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bc907cdb526/Escritorio/Pega/quantsupport/bindings/excel/examples/workbooks/"/>
    </mc:Choice>
  </mc:AlternateContent>
  <xr:revisionPtr revIDLastSave="8" documentId="11_C376C17450383E132E7EDAEF8D6CCBED8221DF3B" xr6:coauthVersionLast="47" xr6:coauthVersionMax="47" xr10:uidLastSave="{F92F0DB1-3025-4092-87EE-87CCF80A3384}"/>
  <bookViews>
    <workbookView xWindow="-120" yWindow="-120" windowWidth="29040" windowHeight="15720" activeTab="1" xr2:uid="{00000000-000D-0000-FFFF-FFFF00000000}"/>
  </bookViews>
  <sheets>
    <sheet name="Start Here" sheetId="1" r:id="rId1"/>
    <sheet name="Origination" sheetId="2" r:id="rId2"/>
  </sheets>
  <definedNames>
    <definedName name="_xlnm._FilterDatabase" localSheetId="1" hidden="1">Origination!$A$1:$J$10001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G113" i="2"/>
  <c r="G9098" i="2"/>
  <c r="G9162" i="2"/>
  <c r="G9061" i="2"/>
  <c r="G8624" i="2"/>
  <c r="G9099" i="2"/>
  <c r="G9145" i="2"/>
  <c r="G8615" i="2"/>
  <c r="G9107" i="2"/>
  <c r="G8749" i="2"/>
  <c r="G9041" i="2"/>
  <c r="G9161" i="2"/>
  <c r="G9063" i="2"/>
  <c r="G9106" i="2"/>
  <c r="G9159" i="2"/>
  <c r="G8892" i="2"/>
  <c r="G9032" i="2"/>
  <c r="G8862" i="2"/>
  <c r="G8966" i="2"/>
  <c r="E10001" i="2"/>
  <c r="F10001" i="2" s="1"/>
  <c r="C10001" i="2"/>
  <c r="E10000" i="2"/>
  <c r="F10000" i="2" s="1"/>
  <c r="C10000" i="2"/>
  <c r="E9999" i="2"/>
  <c r="F9999" i="2" s="1"/>
  <c r="C9999" i="2"/>
  <c r="E9998" i="2"/>
  <c r="F9998" i="2" s="1"/>
  <c r="C9998" i="2"/>
  <c r="E9997" i="2"/>
  <c r="F9997" i="2" s="1"/>
  <c r="C9997" i="2"/>
  <c r="E9996" i="2"/>
  <c r="F9996" i="2" s="1"/>
  <c r="C9996" i="2"/>
  <c r="E9995" i="2"/>
  <c r="F9995" i="2" s="1"/>
  <c r="C9995" i="2"/>
  <c r="E9994" i="2"/>
  <c r="F9994" i="2" s="1"/>
  <c r="C9994" i="2"/>
  <c r="E9993" i="2"/>
  <c r="F9993" i="2" s="1"/>
  <c r="C9993" i="2"/>
  <c r="E9992" i="2"/>
  <c r="F9992" i="2" s="1"/>
  <c r="C9992" i="2"/>
  <c r="E9991" i="2"/>
  <c r="F9991" i="2" s="1"/>
  <c r="C9991" i="2"/>
  <c r="E9990" i="2"/>
  <c r="F9990" i="2" s="1"/>
  <c r="C9990" i="2"/>
  <c r="E9989" i="2"/>
  <c r="F9989" i="2" s="1"/>
  <c r="C9989" i="2"/>
  <c r="E9988" i="2"/>
  <c r="F9988" i="2" s="1"/>
  <c r="C9988" i="2"/>
  <c r="E9987" i="2"/>
  <c r="F9987" i="2" s="1"/>
  <c r="C9987" i="2"/>
  <c r="E9986" i="2"/>
  <c r="F9986" i="2" s="1"/>
  <c r="C9986" i="2"/>
  <c r="E9985" i="2"/>
  <c r="F9985" i="2" s="1"/>
  <c r="C9985" i="2"/>
  <c r="E9984" i="2"/>
  <c r="F9984" i="2" s="1"/>
  <c r="C9984" i="2"/>
  <c r="E9983" i="2"/>
  <c r="F9983" i="2" s="1"/>
  <c r="C9983" i="2"/>
  <c r="E9982" i="2"/>
  <c r="F9982" i="2" s="1"/>
  <c r="C9982" i="2"/>
  <c r="E9981" i="2"/>
  <c r="F9981" i="2" s="1"/>
  <c r="C9981" i="2"/>
  <c r="E9980" i="2"/>
  <c r="F9980" i="2" s="1"/>
  <c r="C9980" i="2"/>
  <c r="E9979" i="2"/>
  <c r="F9979" i="2" s="1"/>
  <c r="C9979" i="2"/>
  <c r="E9978" i="2"/>
  <c r="F9978" i="2" s="1"/>
  <c r="C9978" i="2"/>
  <c r="E9977" i="2"/>
  <c r="F9977" i="2" s="1"/>
  <c r="C9977" i="2"/>
  <c r="E9976" i="2"/>
  <c r="F9976" i="2" s="1"/>
  <c r="C9976" i="2"/>
  <c r="E9975" i="2"/>
  <c r="F9975" i="2" s="1"/>
  <c r="C9975" i="2"/>
  <c r="E9974" i="2"/>
  <c r="F9974" i="2" s="1"/>
  <c r="C9974" i="2"/>
  <c r="E9973" i="2"/>
  <c r="F9973" i="2" s="1"/>
  <c r="C9973" i="2"/>
  <c r="E9972" i="2"/>
  <c r="F9972" i="2" s="1"/>
  <c r="C9972" i="2"/>
  <c r="E9971" i="2"/>
  <c r="F9971" i="2" s="1"/>
  <c r="C9971" i="2"/>
  <c r="E9970" i="2"/>
  <c r="F9970" i="2" s="1"/>
  <c r="C9970" i="2"/>
  <c r="E9969" i="2"/>
  <c r="F9969" i="2" s="1"/>
  <c r="C9969" i="2"/>
  <c r="E9968" i="2"/>
  <c r="F9968" i="2" s="1"/>
  <c r="C9968" i="2"/>
  <c r="E9967" i="2"/>
  <c r="F9967" i="2" s="1"/>
  <c r="C9967" i="2"/>
  <c r="E9966" i="2"/>
  <c r="F9966" i="2" s="1"/>
  <c r="C9966" i="2"/>
  <c r="E9965" i="2"/>
  <c r="F9965" i="2" s="1"/>
  <c r="C9965" i="2"/>
  <c r="E9964" i="2"/>
  <c r="F9964" i="2" s="1"/>
  <c r="C9964" i="2"/>
  <c r="E9963" i="2"/>
  <c r="F9963" i="2" s="1"/>
  <c r="C9963" i="2"/>
  <c r="E9962" i="2"/>
  <c r="F9962" i="2" s="1"/>
  <c r="C9962" i="2"/>
  <c r="E9961" i="2"/>
  <c r="F9961" i="2" s="1"/>
  <c r="C9961" i="2"/>
  <c r="E9960" i="2"/>
  <c r="F9960" i="2" s="1"/>
  <c r="C9960" i="2"/>
  <c r="E9959" i="2"/>
  <c r="F9959" i="2" s="1"/>
  <c r="C9959" i="2"/>
  <c r="E9958" i="2"/>
  <c r="F9958" i="2" s="1"/>
  <c r="C9958" i="2"/>
  <c r="E9957" i="2"/>
  <c r="F9957" i="2" s="1"/>
  <c r="C9957" i="2"/>
  <c r="E9956" i="2"/>
  <c r="F9956" i="2" s="1"/>
  <c r="C9956" i="2"/>
  <c r="E9955" i="2"/>
  <c r="F9955" i="2" s="1"/>
  <c r="C9955" i="2"/>
  <c r="E9954" i="2"/>
  <c r="F9954" i="2" s="1"/>
  <c r="C9954" i="2"/>
  <c r="E9953" i="2"/>
  <c r="F9953" i="2" s="1"/>
  <c r="C9953" i="2"/>
  <c r="E9952" i="2"/>
  <c r="F9952" i="2" s="1"/>
  <c r="C9952" i="2"/>
  <c r="E9951" i="2"/>
  <c r="F9951" i="2" s="1"/>
  <c r="C9951" i="2"/>
  <c r="E9950" i="2"/>
  <c r="F9950" i="2" s="1"/>
  <c r="C9950" i="2"/>
  <c r="E9949" i="2"/>
  <c r="F9949" i="2" s="1"/>
  <c r="C9949" i="2"/>
  <c r="E9948" i="2"/>
  <c r="F9948" i="2" s="1"/>
  <c r="C9948" i="2"/>
  <c r="E9947" i="2"/>
  <c r="F9947" i="2" s="1"/>
  <c r="C9947" i="2"/>
  <c r="E9946" i="2"/>
  <c r="F9946" i="2" s="1"/>
  <c r="C9946" i="2"/>
  <c r="E9945" i="2"/>
  <c r="F9945" i="2" s="1"/>
  <c r="C9945" i="2"/>
  <c r="E9944" i="2"/>
  <c r="F9944" i="2" s="1"/>
  <c r="C9944" i="2"/>
  <c r="E9943" i="2"/>
  <c r="F9943" i="2" s="1"/>
  <c r="C9943" i="2"/>
  <c r="E9942" i="2"/>
  <c r="F9942" i="2" s="1"/>
  <c r="C9942" i="2"/>
  <c r="E9941" i="2"/>
  <c r="F9941" i="2" s="1"/>
  <c r="C9941" i="2"/>
  <c r="E9940" i="2"/>
  <c r="F9940" i="2" s="1"/>
  <c r="C9940" i="2"/>
  <c r="E9939" i="2"/>
  <c r="F9939" i="2" s="1"/>
  <c r="C9939" i="2"/>
  <c r="E9938" i="2"/>
  <c r="F9938" i="2" s="1"/>
  <c r="C9938" i="2"/>
  <c r="E9937" i="2"/>
  <c r="F9937" i="2" s="1"/>
  <c r="C9937" i="2"/>
  <c r="E9936" i="2"/>
  <c r="F9936" i="2" s="1"/>
  <c r="C9936" i="2"/>
  <c r="E9935" i="2"/>
  <c r="F9935" i="2" s="1"/>
  <c r="C9935" i="2"/>
  <c r="E9934" i="2"/>
  <c r="F9934" i="2" s="1"/>
  <c r="C9934" i="2"/>
  <c r="E9933" i="2"/>
  <c r="F9933" i="2" s="1"/>
  <c r="C9933" i="2"/>
  <c r="E9932" i="2"/>
  <c r="F9932" i="2" s="1"/>
  <c r="C9932" i="2"/>
  <c r="E9931" i="2"/>
  <c r="F9931" i="2" s="1"/>
  <c r="C9931" i="2"/>
  <c r="E9930" i="2"/>
  <c r="F9930" i="2" s="1"/>
  <c r="C9930" i="2"/>
  <c r="E9929" i="2"/>
  <c r="F9929" i="2" s="1"/>
  <c r="D9929" i="2"/>
  <c r="C9929" i="2"/>
  <c r="G9929" i="2" s="1"/>
  <c r="F9928" i="2"/>
  <c r="G9928" i="2" s="1"/>
  <c r="E9928" i="2"/>
  <c r="D9928" i="2"/>
  <c r="C9928" i="2"/>
  <c r="F9927" i="2"/>
  <c r="G9927" i="2" s="1"/>
  <c r="E9927" i="2"/>
  <c r="D9927" i="2"/>
  <c r="C9927" i="2"/>
  <c r="F9926" i="2"/>
  <c r="E9926" i="2"/>
  <c r="C9926" i="2"/>
  <c r="E9925" i="2"/>
  <c r="F9925" i="2" s="1"/>
  <c r="C9925" i="2"/>
  <c r="F9924" i="2"/>
  <c r="G9924" i="2" s="1"/>
  <c r="E9924" i="2"/>
  <c r="D9924" i="2"/>
  <c r="C9924" i="2"/>
  <c r="F9923" i="2"/>
  <c r="G9923" i="2" s="1"/>
  <c r="E9923" i="2"/>
  <c r="D9923" i="2"/>
  <c r="C9923" i="2"/>
  <c r="F9922" i="2"/>
  <c r="G9922" i="2" s="1"/>
  <c r="E9922" i="2"/>
  <c r="D9922" i="2"/>
  <c r="C9922" i="2"/>
  <c r="F9921" i="2"/>
  <c r="G9921" i="2" s="1"/>
  <c r="E9921" i="2"/>
  <c r="D9921" i="2"/>
  <c r="C9921" i="2"/>
  <c r="F9920" i="2"/>
  <c r="G9920" i="2" s="1"/>
  <c r="E9920" i="2"/>
  <c r="D9920" i="2"/>
  <c r="C9920" i="2"/>
  <c r="F9919" i="2"/>
  <c r="G9919" i="2" s="1"/>
  <c r="E9919" i="2"/>
  <c r="D9919" i="2"/>
  <c r="C9919" i="2"/>
  <c r="F9918" i="2"/>
  <c r="G9918" i="2" s="1"/>
  <c r="E9918" i="2"/>
  <c r="D9918" i="2"/>
  <c r="C9918" i="2"/>
  <c r="F9917" i="2"/>
  <c r="G9917" i="2" s="1"/>
  <c r="E9917" i="2"/>
  <c r="D9917" i="2"/>
  <c r="C9917" i="2"/>
  <c r="F9916" i="2"/>
  <c r="G9916" i="2" s="1"/>
  <c r="E9916" i="2"/>
  <c r="D9916" i="2"/>
  <c r="C9916" i="2"/>
  <c r="F9915" i="2"/>
  <c r="G9915" i="2" s="1"/>
  <c r="E9915" i="2"/>
  <c r="D9915" i="2"/>
  <c r="C9915" i="2"/>
  <c r="F9914" i="2"/>
  <c r="G9914" i="2" s="1"/>
  <c r="E9914" i="2"/>
  <c r="D9914" i="2"/>
  <c r="C9914" i="2"/>
  <c r="F9913" i="2"/>
  <c r="G9913" i="2" s="1"/>
  <c r="E9913" i="2"/>
  <c r="D9913" i="2"/>
  <c r="C9913" i="2"/>
  <c r="F9912" i="2"/>
  <c r="G9912" i="2" s="1"/>
  <c r="E9912" i="2"/>
  <c r="D9912" i="2"/>
  <c r="C9912" i="2"/>
  <c r="F9911" i="2"/>
  <c r="E9911" i="2"/>
  <c r="C9911" i="2"/>
  <c r="E9910" i="2"/>
  <c r="F9910" i="2" s="1"/>
  <c r="C9910" i="2"/>
  <c r="E9909" i="2"/>
  <c r="F9909" i="2" s="1"/>
  <c r="C9909" i="2"/>
  <c r="E9908" i="2"/>
  <c r="F9908" i="2" s="1"/>
  <c r="C9908" i="2"/>
  <c r="F9907" i="2"/>
  <c r="E9907" i="2"/>
  <c r="C9907" i="2"/>
  <c r="E9906" i="2"/>
  <c r="F9906" i="2" s="1"/>
  <c r="C9906" i="2"/>
  <c r="E9905" i="2"/>
  <c r="F9905" i="2" s="1"/>
  <c r="C9905" i="2"/>
  <c r="F9904" i="2"/>
  <c r="E9904" i="2"/>
  <c r="C9904" i="2"/>
  <c r="E9903" i="2"/>
  <c r="F9903" i="2" s="1"/>
  <c r="C9903" i="2"/>
  <c r="E9902" i="2"/>
  <c r="F9902" i="2" s="1"/>
  <c r="C9902" i="2"/>
  <c r="F9901" i="2"/>
  <c r="E9901" i="2"/>
  <c r="C9901" i="2"/>
  <c r="E9900" i="2"/>
  <c r="F9900" i="2" s="1"/>
  <c r="C9900" i="2"/>
  <c r="E9899" i="2"/>
  <c r="F9899" i="2" s="1"/>
  <c r="C9899" i="2"/>
  <c r="F9898" i="2"/>
  <c r="G9898" i="2" s="1"/>
  <c r="E9898" i="2"/>
  <c r="D9898" i="2"/>
  <c r="C9898" i="2"/>
  <c r="F9897" i="2"/>
  <c r="G9897" i="2" s="1"/>
  <c r="E9897" i="2"/>
  <c r="D9897" i="2"/>
  <c r="C9897" i="2"/>
  <c r="F9896" i="2"/>
  <c r="G9896" i="2" s="1"/>
  <c r="E9896" i="2"/>
  <c r="D9896" i="2"/>
  <c r="C9896" i="2"/>
  <c r="F9895" i="2"/>
  <c r="G9895" i="2" s="1"/>
  <c r="E9895" i="2"/>
  <c r="D9895" i="2"/>
  <c r="C9895" i="2"/>
  <c r="F9894" i="2"/>
  <c r="G9894" i="2" s="1"/>
  <c r="E9894" i="2"/>
  <c r="D9894" i="2"/>
  <c r="C9894" i="2"/>
  <c r="F9893" i="2"/>
  <c r="G9893" i="2" s="1"/>
  <c r="E9893" i="2"/>
  <c r="D9893" i="2"/>
  <c r="C9893" i="2"/>
  <c r="F9892" i="2"/>
  <c r="G9892" i="2" s="1"/>
  <c r="E9892" i="2"/>
  <c r="D9892" i="2"/>
  <c r="C9892" i="2"/>
  <c r="F9891" i="2"/>
  <c r="G9891" i="2" s="1"/>
  <c r="E9891" i="2"/>
  <c r="D9891" i="2"/>
  <c r="C9891" i="2"/>
  <c r="F9890" i="2"/>
  <c r="G9890" i="2" s="1"/>
  <c r="E9890" i="2"/>
  <c r="D9890" i="2"/>
  <c r="C9890" i="2"/>
  <c r="F9889" i="2"/>
  <c r="G9889" i="2" s="1"/>
  <c r="E9889" i="2"/>
  <c r="D9889" i="2"/>
  <c r="C9889" i="2"/>
  <c r="F9888" i="2"/>
  <c r="G9888" i="2" s="1"/>
  <c r="E9888" i="2"/>
  <c r="D9888" i="2"/>
  <c r="C9888" i="2"/>
  <c r="F9887" i="2"/>
  <c r="E9887" i="2"/>
  <c r="C9887" i="2"/>
  <c r="E9886" i="2"/>
  <c r="F9886" i="2" s="1"/>
  <c r="C9886" i="2"/>
  <c r="E9885" i="2"/>
  <c r="F9885" i="2" s="1"/>
  <c r="C9885" i="2"/>
  <c r="E9884" i="2"/>
  <c r="F9884" i="2" s="1"/>
  <c r="C9884" i="2"/>
  <c r="E9883" i="2"/>
  <c r="F9883" i="2" s="1"/>
  <c r="C9883" i="2"/>
  <c r="E9882" i="2"/>
  <c r="F9882" i="2" s="1"/>
  <c r="C9882" i="2"/>
  <c r="E9881" i="2"/>
  <c r="F9881" i="2" s="1"/>
  <c r="C9881" i="2"/>
  <c r="E9880" i="2"/>
  <c r="F9880" i="2" s="1"/>
  <c r="C9880" i="2"/>
  <c r="E9879" i="2"/>
  <c r="F9879" i="2" s="1"/>
  <c r="C9879" i="2"/>
  <c r="E9878" i="2"/>
  <c r="F9878" i="2" s="1"/>
  <c r="C9878" i="2"/>
  <c r="E9877" i="2"/>
  <c r="F9877" i="2" s="1"/>
  <c r="C9877" i="2"/>
  <c r="E9876" i="2"/>
  <c r="F9876" i="2" s="1"/>
  <c r="C9876" i="2"/>
  <c r="E9875" i="2"/>
  <c r="F9875" i="2" s="1"/>
  <c r="C9875" i="2"/>
  <c r="E9874" i="2"/>
  <c r="F9874" i="2" s="1"/>
  <c r="C9874" i="2"/>
  <c r="E9873" i="2"/>
  <c r="F9873" i="2" s="1"/>
  <c r="C9873" i="2"/>
  <c r="E9872" i="2"/>
  <c r="F9872" i="2" s="1"/>
  <c r="C9872" i="2"/>
  <c r="E9871" i="2"/>
  <c r="F9871" i="2" s="1"/>
  <c r="C9871" i="2"/>
  <c r="E9870" i="2"/>
  <c r="F9870" i="2" s="1"/>
  <c r="C9870" i="2"/>
  <c r="E9869" i="2"/>
  <c r="F9869" i="2" s="1"/>
  <c r="C9869" i="2"/>
  <c r="E9868" i="2"/>
  <c r="F9868" i="2" s="1"/>
  <c r="C9868" i="2"/>
  <c r="F9867" i="2"/>
  <c r="G9867" i="2" s="1"/>
  <c r="E9867" i="2"/>
  <c r="D9867" i="2"/>
  <c r="C9867" i="2"/>
  <c r="F9866" i="2"/>
  <c r="G9866" i="2" s="1"/>
  <c r="E9866" i="2"/>
  <c r="D9866" i="2"/>
  <c r="C9866" i="2"/>
  <c r="F9865" i="2"/>
  <c r="G9865" i="2" s="1"/>
  <c r="E9865" i="2"/>
  <c r="D9865" i="2"/>
  <c r="C9865" i="2"/>
  <c r="F9864" i="2"/>
  <c r="G9864" i="2" s="1"/>
  <c r="E9864" i="2"/>
  <c r="D9864" i="2"/>
  <c r="C9864" i="2"/>
  <c r="F9863" i="2"/>
  <c r="G9863" i="2" s="1"/>
  <c r="E9863" i="2"/>
  <c r="D9863" i="2"/>
  <c r="C9863" i="2"/>
  <c r="F9862" i="2"/>
  <c r="G9862" i="2" s="1"/>
  <c r="E9862" i="2"/>
  <c r="D9862" i="2"/>
  <c r="C9862" i="2"/>
  <c r="F9861" i="2"/>
  <c r="G9861" i="2" s="1"/>
  <c r="E9861" i="2"/>
  <c r="D9861" i="2"/>
  <c r="C9861" i="2"/>
  <c r="F9860" i="2"/>
  <c r="G9860" i="2" s="1"/>
  <c r="E9860" i="2"/>
  <c r="D9860" i="2"/>
  <c r="C9860" i="2"/>
  <c r="F9859" i="2"/>
  <c r="G9859" i="2" s="1"/>
  <c r="E9859" i="2"/>
  <c r="D9859" i="2"/>
  <c r="C9859" i="2"/>
  <c r="F9858" i="2"/>
  <c r="G9858" i="2" s="1"/>
  <c r="E9858" i="2"/>
  <c r="D9858" i="2"/>
  <c r="C9858" i="2"/>
  <c r="F9857" i="2"/>
  <c r="G9857" i="2" s="1"/>
  <c r="E9857" i="2"/>
  <c r="D9857" i="2"/>
  <c r="C9857" i="2"/>
  <c r="F9856" i="2"/>
  <c r="E9856" i="2"/>
  <c r="C9856" i="2"/>
  <c r="E9855" i="2"/>
  <c r="F9855" i="2" s="1"/>
  <c r="C9855" i="2"/>
  <c r="F9854" i="2"/>
  <c r="G9854" i="2" s="1"/>
  <c r="E9854" i="2"/>
  <c r="D9854" i="2"/>
  <c r="C9854" i="2"/>
  <c r="F9853" i="2"/>
  <c r="G9853" i="2" s="1"/>
  <c r="E9853" i="2"/>
  <c r="D9853" i="2"/>
  <c r="C9853" i="2"/>
  <c r="F9852" i="2"/>
  <c r="G9852" i="2" s="1"/>
  <c r="E9852" i="2"/>
  <c r="D9852" i="2"/>
  <c r="C9852" i="2"/>
  <c r="F9851" i="2"/>
  <c r="G9851" i="2" s="1"/>
  <c r="E9851" i="2"/>
  <c r="D9851" i="2"/>
  <c r="C9851" i="2"/>
  <c r="F9850" i="2"/>
  <c r="G9850" i="2" s="1"/>
  <c r="E9850" i="2"/>
  <c r="D9850" i="2"/>
  <c r="C9850" i="2"/>
  <c r="F9849" i="2"/>
  <c r="G9849" i="2" s="1"/>
  <c r="E9849" i="2"/>
  <c r="D9849" i="2"/>
  <c r="C9849" i="2"/>
  <c r="F9848" i="2"/>
  <c r="G9848" i="2" s="1"/>
  <c r="E9848" i="2"/>
  <c r="D9848" i="2"/>
  <c r="C9848" i="2"/>
  <c r="F9847" i="2"/>
  <c r="E9847" i="2"/>
  <c r="C9847" i="2"/>
  <c r="E9846" i="2"/>
  <c r="F9846" i="2" s="1"/>
  <c r="C9846" i="2"/>
  <c r="E9845" i="2"/>
  <c r="F9845" i="2" s="1"/>
  <c r="C9845" i="2"/>
  <c r="E9844" i="2"/>
  <c r="F9844" i="2" s="1"/>
  <c r="C9844" i="2"/>
  <c r="E9843" i="2"/>
  <c r="F9843" i="2" s="1"/>
  <c r="C9843" i="2"/>
  <c r="E9842" i="2"/>
  <c r="F9842" i="2" s="1"/>
  <c r="C9842" i="2"/>
  <c r="E9841" i="2"/>
  <c r="F9841" i="2" s="1"/>
  <c r="C9841" i="2"/>
  <c r="E9840" i="2"/>
  <c r="F9840" i="2" s="1"/>
  <c r="C9840" i="2"/>
  <c r="E9839" i="2"/>
  <c r="F9839" i="2" s="1"/>
  <c r="C9839" i="2"/>
  <c r="E9838" i="2"/>
  <c r="F9838" i="2" s="1"/>
  <c r="C9838" i="2"/>
  <c r="F9837" i="2"/>
  <c r="E9837" i="2"/>
  <c r="C9837" i="2"/>
  <c r="E9836" i="2"/>
  <c r="F9836" i="2" s="1"/>
  <c r="C9836" i="2"/>
  <c r="E9835" i="2"/>
  <c r="F9835" i="2" s="1"/>
  <c r="C9835" i="2"/>
  <c r="F9834" i="2"/>
  <c r="G9834" i="2" s="1"/>
  <c r="E9834" i="2"/>
  <c r="D9834" i="2"/>
  <c r="C9834" i="2"/>
  <c r="F9833" i="2"/>
  <c r="G9833" i="2" s="1"/>
  <c r="E9833" i="2"/>
  <c r="D9833" i="2"/>
  <c r="C9833" i="2"/>
  <c r="F9832" i="2"/>
  <c r="E9832" i="2"/>
  <c r="C9832" i="2"/>
  <c r="E9831" i="2"/>
  <c r="F9831" i="2" s="1"/>
  <c r="C9831" i="2"/>
  <c r="F9830" i="2"/>
  <c r="E9830" i="2"/>
  <c r="C9830" i="2"/>
  <c r="E9829" i="2"/>
  <c r="F9829" i="2" s="1"/>
  <c r="C9829" i="2"/>
  <c r="E9828" i="2"/>
  <c r="F9828" i="2" s="1"/>
  <c r="C9828" i="2"/>
  <c r="E9827" i="2"/>
  <c r="F9827" i="2" s="1"/>
  <c r="C9827" i="2"/>
  <c r="E9826" i="2"/>
  <c r="F9826" i="2" s="1"/>
  <c r="C9826" i="2"/>
  <c r="F9825" i="2"/>
  <c r="G9825" i="2" s="1"/>
  <c r="E9825" i="2"/>
  <c r="D9825" i="2"/>
  <c r="C9825" i="2"/>
  <c r="F9824" i="2"/>
  <c r="G9824" i="2" s="1"/>
  <c r="E9824" i="2"/>
  <c r="D9824" i="2"/>
  <c r="C9824" i="2"/>
  <c r="F9823" i="2"/>
  <c r="G9823" i="2" s="1"/>
  <c r="E9823" i="2"/>
  <c r="D9823" i="2"/>
  <c r="C9823" i="2"/>
  <c r="F9822" i="2"/>
  <c r="G9822" i="2" s="1"/>
  <c r="E9822" i="2"/>
  <c r="D9822" i="2"/>
  <c r="C9822" i="2"/>
  <c r="E9821" i="2"/>
  <c r="F9821" i="2" s="1"/>
  <c r="C9821" i="2"/>
  <c r="E9820" i="2"/>
  <c r="F9820" i="2" s="1"/>
  <c r="C9820" i="2"/>
  <c r="E9819" i="2"/>
  <c r="F9819" i="2" s="1"/>
  <c r="C9819" i="2"/>
  <c r="E9818" i="2"/>
  <c r="F9818" i="2" s="1"/>
  <c r="C9818" i="2"/>
  <c r="E9817" i="2"/>
  <c r="F9817" i="2" s="1"/>
  <c r="C9817" i="2"/>
  <c r="F9816" i="2"/>
  <c r="G9816" i="2" s="1"/>
  <c r="E9816" i="2"/>
  <c r="D9816" i="2"/>
  <c r="C9816" i="2"/>
  <c r="F9815" i="2"/>
  <c r="G9815" i="2" s="1"/>
  <c r="E9815" i="2"/>
  <c r="D9815" i="2"/>
  <c r="C9815" i="2"/>
  <c r="F9814" i="2"/>
  <c r="G9814" i="2" s="1"/>
  <c r="E9814" i="2"/>
  <c r="D9814" i="2"/>
  <c r="C9814" i="2"/>
  <c r="F9813" i="2"/>
  <c r="G9813" i="2" s="1"/>
  <c r="E9813" i="2"/>
  <c r="D9813" i="2"/>
  <c r="C9813" i="2"/>
  <c r="F9812" i="2"/>
  <c r="G9812" i="2" s="1"/>
  <c r="E9812" i="2"/>
  <c r="D9812" i="2"/>
  <c r="C9812" i="2"/>
  <c r="F9811" i="2"/>
  <c r="G9811" i="2" s="1"/>
  <c r="E9811" i="2"/>
  <c r="D9811" i="2"/>
  <c r="C9811" i="2"/>
  <c r="F9810" i="2"/>
  <c r="G9810" i="2" s="1"/>
  <c r="E9810" i="2"/>
  <c r="D9810" i="2"/>
  <c r="C9810" i="2"/>
  <c r="F9809" i="2"/>
  <c r="G9809" i="2" s="1"/>
  <c r="E9809" i="2"/>
  <c r="D9809" i="2"/>
  <c r="C9809" i="2"/>
  <c r="E9808" i="2"/>
  <c r="F9808" i="2" s="1"/>
  <c r="C9808" i="2"/>
  <c r="E9807" i="2"/>
  <c r="F9807" i="2" s="1"/>
  <c r="C9807" i="2"/>
  <c r="E9806" i="2"/>
  <c r="F9806" i="2" s="1"/>
  <c r="C9806" i="2"/>
  <c r="E9805" i="2"/>
  <c r="F9805" i="2" s="1"/>
  <c r="C9805" i="2"/>
  <c r="E9804" i="2"/>
  <c r="F9804" i="2" s="1"/>
  <c r="C9804" i="2"/>
  <c r="F9803" i="2"/>
  <c r="E9803" i="2"/>
  <c r="D9803" i="2"/>
  <c r="C9803" i="2"/>
  <c r="G9803" i="2" s="1"/>
  <c r="F9802" i="2"/>
  <c r="E9802" i="2"/>
  <c r="D9802" i="2"/>
  <c r="C9802" i="2"/>
  <c r="G9802" i="2" s="1"/>
  <c r="F9801" i="2"/>
  <c r="G9801" i="2" s="1"/>
  <c r="E9801" i="2"/>
  <c r="D9801" i="2"/>
  <c r="C9801" i="2"/>
  <c r="F9800" i="2"/>
  <c r="G9800" i="2" s="1"/>
  <c r="E9800" i="2"/>
  <c r="D9800" i="2"/>
  <c r="C9800" i="2"/>
  <c r="F9799" i="2"/>
  <c r="G9799" i="2" s="1"/>
  <c r="E9799" i="2"/>
  <c r="D9799" i="2"/>
  <c r="C9799" i="2"/>
  <c r="F9798" i="2"/>
  <c r="G9798" i="2" s="1"/>
  <c r="E9798" i="2"/>
  <c r="D9798" i="2"/>
  <c r="C9798" i="2"/>
  <c r="F9797" i="2"/>
  <c r="G9797" i="2" s="1"/>
  <c r="E9797" i="2"/>
  <c r="D9797" i="2"/>
  <c r="C9797" i="2"/>
  <c r="F9796" i="2"/>
  <c r="G9796" i="2" s="1"/>
  <c r="E9796" i="2"/>
  <c r="D9796" i="2"/>
  <c r="C9796" i="2"/>
  <c r="F9795" i="2"/>
  <c r="G9795" i="2" s="1"/>
  <c r="E9795" i="2"/>
  <c r="D9795" i="2"/>
  <c r="C9795" i="2"/>
  <c r="F9794" i="2"/>
  <c r="G9794" i="2" s="1"/>
  <c r="E9794" i="2"/>
  <c r="D9794" i="2"/>
  <c r="C9794" i="2"/>
  <c r="F9793" i="2"/>
  <c r="E9793" i="2"/>
  <c r="C9793" i="2"/>
  <c r="E9792" i="2"/>
  <c r="F9792" i="2" s="1"/>
  <c r="C9792" i="2"/>
  <c r="E9791" i="2"/>
  <c r="F9791" i="2" s="1"/>
  <c r="C9791" i="2"/>
  <c r="E9790" i="2"/>
  <c r="F9790" i="2" s="1"/>
  <c r="C9790" i="2"/>
  <c r="E9789" i="2"/>
  <c r="F9789" i="2" s="1"/>
  <c r="C9789" i="2"/>
  <c r="F9788" i="2"/>
  <c r="G9788" i="2" s="1"/>
  <c r="E9788" i="2"/>
  <c r="D9788" i="2"/>
  <c r="C9788" i="2"/>
  <c r="F9787" i="2"/>
  <c r="G9787" i="2" s="1"/>
  <c r="E9787" i="2"/>
  <c r="D9787" i="2"/>
  <c r="C9787" i="2"/>
  <c r="F9786" i="2"/>
  <c r="G9786" i="2" s="1"/>
  <c r="E9786" i="2"/>
  <c r="D9786" i="2"/>
  <c r="C9786" i="2"/>
  <c r="F9785" i="2"/>
  <c r="G9785" i="2" s="1"/>
  <c r="E9785" i="2"/>
  <c r="D9785" i="2"/>
  <c r="C9785" i="2"/>
  <c r="F9784" i="2"/>
  <c r="G9784" i="2" s="1"/>
  <c r="E9784" i="2"/>
  <c r="D9784" i="2"/>
  <c r="C9784" i="2"/>
  <c r="F9783" i="2"/>
  <c r="G9783" i="2" s="1"/>
  <c r="E9783" i="2"/>
  <c r="D9783" i="2"/>
  <c r="C9783" i="2"/>
  <c r="F9782" i="2"/>
  <c r="G9782" i="2" s="1"/>
  <c r="E9782" i="2"/>
  <c r="D9782" i="2"/>
  <c r="C9782" i="2"/>
  <c r="F9781" i="2"/>
  <c r="G9781" i="2" s="1"/>
  <c r="E9781" i="2"/>
  <c r="D9781" i="2"/>
  <c r="C9781" i="2"/>
  <c r="E9780" i="2"/>
  <c r="F9780" i="2" s="1"/>
  <c r="G9780" i="2" s="1"/>
  <c r="C9780" i="2"/>
  <c r="D9780" i="2" s="1"/>
  <c r="F9779" i="2"/>
  <c r="E9779" i="2"/>
  <c r="C9779" i="2"/>
  <c r="E9778" i="2"/>
  <c r="F9778" i="2" s="1"/>
  <c r="C9778" i="2"/>
  <c r="E9777" i="2"/>
  <c r="F9777" i="2" s="1"/>
  <c r="C9777" i="2"/>
  <c r="E9776" i="2"/>
  <c r="F9776" i="2" s="1"/>
  <c r="C9776" i="2"/>
  <c r="E9775" i="2"/>
  <c r="F9775" i="2" s="1"/>
  <c r="C9775" i="2"/>
  <c r="E9774" i="2"/>
  <c r="F9774" i="2" s="1"/>
  <c r="C9774" i="2"/>
  <c r="E9773" i="2"/>
  <c r="F9773" i="2" s="1"/>
  <c r="C9773" i="2"/>
  <c r="E9772" i="2"/>
  <c r="F9772" i="2" s="1"/>
  <c r="C9772" i="2"/>
  <c r="E9771" i="2"/>
  <c r="F9771" i="2" s="1"/>
  <c r="C9771" i="2"/>
  <c r="E9770" i="2"/>
  <c r="F9770" i="2" s="1"/>
  <c r="C9770" i="2"/>
  <c r="F9769" i="2"/>
  <c r="G9769" i="2" s="1"/>
  <c r="E9769" i="2"/>
  <c r="D9769" i="2"/>
  <c r="C9769" i="2"/>
  <c r="F9768" i="2"/>
  <c r="G9768" i="2" s="1"/>
  <c r="E9768" i="2"/>
  <c r="D9768" i="2"/>
  <c r="C9768" i="2"/>
  <c r="F9767" i="2"/>
  <c r="G9767" i="2" s="1"/>
  <c r="E9767" i="2"/>
  <c r="D9767" i="2"/>
  <c r="C9767" i="2"/>
  <c r="F9766" i="2"/>
  <c r="G9766" i="2" s="1"/>
  <c r="E9766" i="2"/>
  <c r="D9766" i="2"/>
  <c r="C9766" i="2"/>
  <c r="F9765" i="2"/>
  <c r="G9765" i="2" s="1"/>
  <c r="E9765" i="2"/>
  <c r="D9765" i="2"/>
  <c r="C9765" i="2"/>
  <c r="F9764" i="2"/>
  <c r="G9764" i="2" s="1"/>
  <c r="E9764" i="2"/>
  <c r="D9764" i="2"/>
  <c r="C9764" i="2"/>
  <c r="F9763" i="2"/>
  <c r="G9763" i="2" s="1"/>
  <c r="E9763" i="2"/>
  <c r="D9763" i="2"/>
  <c r="C9763" i="2"/>
  <c r="F9762" i="2"/>
  <c r="G9762" i="2" s="1"/>
  <c r="E9762" i="2"/>
  <c r="D9762" i="2"/>
  <c r="C9762" i="2"/>
  <c r="F9761" i="2"/>
  <c r="G9761" i="2" s="1"/>
  <c r="E9761" i="2"/>
  <c r="D9761" i="2"/>
  <c r="C9761" i="2"/>
  <c r="E9760" i="2"/>
  <c r="F9760" i="2" s="1"/>
  <c r="G9760" i="2" s="1"/>
  <c r="C9760" i="2"/>
  <c r="D9760" i="2" s="1"/>
  <c r="F9759" i="2"/>
  <c r="G9759" i="2" s="1"/>
  <c r="E9759" i="2"/>
  <c r="D9759" i="2"/>
  <c r="C9759" i="2"/>
  <c r="F9758" i="2"/>
  <c r="G9758" i="2" s="1"/>
  <c r="E9758" i="2"/>
  <c r="D9758" i="2"/>
  <c r="C9758" i="2"/>
  <c r="F9757" i="2"/>
  <c r="G9757" i="2" s="1"/>
  <c r="E9757" i="2"/>
  <c r="D9757" i="2"/>
  <c r="C9757" i="2"/>
  <c r="F9756" i="2"/>
  <c r="G9756" i="2" s="1"/>
  <c r="E9756" i="2"/>
  <c r="D9756" i="2"/>
  <c r="C9756" i="2"/>
  <c r="F9755" i="2"/>
  <c r="G9755" i="2" s="1"/>
  <c r="E9755" i="2"/>
  <c r="D9755" i="2"/>
  <c r="C9755" i="2"/>
  <c r="F9754" i="2"/>
  <c r="G9754" i="2" s="1"/>
  <c r="E9754" i="2"/>
  <c r="D9754" i="2"/>
  <c r="C9754" i="2"/>
  <c r="F9753" i="2"/>
  <c r="G9753" i="2" s="1"/>
  <c r="E9753" i="2"/>
  <c r="D9753" i="2"/>
  <c r="C9753" i="2"/>
  <c r="F9752" i="2"/>
  <c r="G9752" i="2" s="1"/>
  <c r="E9752" i="2"/>
  <c r="D9752" i="2"/>
  <c r="C9752" i="2"/>
  <c r="F9751" i="2"/>
  <c r="G9751" i="2" s="1"/>
  <c r="E9751" i="2"/>
  <c r="D9751" i="2"/>
  <c r="C9751" i="2"/>
  <c r="F9750" i="2"/>
  <c r="E9750" i="2"/>
  <c r="C9750" i="2"/>
  <c r="E9749" i="2"/>
  <c r="F9749" i="2" s="1"/>
  <c r="C9749" i="2"/>
  <c r="E9748" i="2"/>
  <c r="F9748" i="2" s="1"/>
  <c r="C9748" i="2"/>
  <c r="E9747" i="2"/>
  <c r="F9747" i="2" s="1"/>
  <c r="C9747" i="2"/>
  <c r="F9746" i="2"/>
  <c r="G9746" i="2" s="1"/>
  <c r="E9746" i="2"/>
  <c r="D9746" i="2"/>
  <c r="C9746" i="2"/>
  <c r="F9745" i="2"/>
  <c r="G9745" i="2" s="1"/>
  <c r="E9745" i="2"/>
  <c r="D9745" i="2"/>
  <c r="C9745" i="2"/>
  <c r="F9744" i="2"/>
  <c r="G9744" i="2" s="1"/>
  <c r="E9744" i="2"/>
  <c r="D9744" i="2"/>
  <c r="C9744" i="2"/>
  <c r="F9743" i="2"/>
  <c r="G9743" i="2" s="1"/>
  <c r="E9743" i="2"/>
  <c r="D9743" i="2"/>
  <c r="C9743" i="2"/>
  <c r="E9742" i="2"/>
  <c r="F9742" i="2" s="1"/>
  <c r="C9742" i="2"/>
  <c r="E9741" i="2"/>
  <c r="F9741" i="2" s="1"/>
  <c r="C9741" i="2"/>
  <c r="E9740" i="2"/>
  <c r="F9740" i="2" s="1"/>
  <c r="C9740" i="2"/>
  <c r="E9739" i="2"/>
  <c r="F9739" i="2" s="1"/>
  <c r="C9739" i="2"/>
  <c r="E9738" i="2"/>
  <c r="F9738" i="2" s="1"/>
  <c r="C9738" i="2"/>
  <c r="E9737" i="2"/>
  <c r="F9737" i="2" s="1"/>
  <c r="C9737" i="2"/>
  <c r="F9736" i="2"/>
  <c r="G9736" i="2" s="1"/>
  <c r="E9736" i="2"/>
  <c r="D9736" i="2"/>
  <c r="C9736" i="2"/>
  <c r="F9735" i="2"/>
  <c r="G9735" i="2" s="1"/>
  <c r="E9735" i="2"/>
  <c r="D9735" i="2"/>
  <c r="C9735" i="2"/>
  <c r="F9734" i="2"/>
  <c r="G9734" i="2" s="1"/>
  <c r="E9734" i="2"/>
  <c r="D9734" i="2"/>
  <c r="C9734" i="2"/>
  <c r="F9733" i="2"/>
  <c r="G9733" i="2" s="1"/>
  <c r="E9733" i="2"/>
  <c r="D9733" i="2"/>
  <c r="C9733" i="2"/>
  <c r="F9732" i="2"/>
  <c r="G9732" i="2" s="1"/>
  <c r="E9732" i="2"/>
  <c r="D9732" i="2"/>
  <c r="C9732" i="2"/>
  <c r="F9731" i="2"/>
  <c r="G9731" i="2" s="1"/>
  <c r="E9731" i="2"/>
  <c r="D9731" i="2"/>
  <c r="C9731" i="2"/>
  <c r="F9730" i="2"/>
  <c r="G9730" i="2" s="1"/>
  <c r="E9730" i="2"/>
  <c r="D9730" i="2"/>
  <c r="C9730" i="2"/>
  <c r="F9729" i="2"/>
  <c r="G9729" i="2" s="1"/>
  <c r="E9729" i="2"/>
  <c r="D9729" i="2"/>
  <c r="C9729" i="2"/>
  <c r="F9728" i="2"/>
  <c r="G9728" i="2" s="1"/>
  <c r="E9728" i="2"/>
  <c r="D9728" i="2"/>
  <c r="C9728" i="2"/>
  <c r="F9727" i="2"/>
  <c r="G9727" i="2" s="1"/>
  <c r="E9727" i="2"/>
  <c r="D9727" i="2"/>
  <c r="C9727" i="2"/>
  <c r="F9726" i="2"/>
  <c r="G9726" i="2" s="1"/>
  <c r="E9726" i="2"/>
  <c r="D9726" i="2"/>
  <c r="C9726" i="2"/>
  <c r="E9725" i="2"/>
  <c r="F9725" i="2" s="1"/>
  <c r="C9725" i="2"/>
  <c r="E9724" i="2"/>
  <c r="F9724" i="2" s="1"/>
  <c r="C9724" i="2"/>
  <c r="F9723" i="2"/>
  <c r="G9723" i="2" s="1"/>
  <c r="E9723" i="2"/>
  <c r="D9723" i="2"/>
  <c r="C9723" i="2"/>
  <c r="F9722" i="2"/>
  <c r="G9722" i="2" s="1"/>
  <c r="E9722" i="2"/>
  <c r="D9722" i="2"/>
  <c r="C9722" i="2"/>
  <c r="F9721" i="2"/>
  <c r="G9721" i="2" s="1"/>
  <c r="E9721" i="2"/>
  <c r="D9721" i="2"/>
  <c r="C9721" i="2"/>
  <c r="F9720" i="2"/>
  <c r="G9720" i="2" s="1"/>
  <c r="E9720" i="2"/>
  <c r="D9720" i="2"/>
  <c r="C9720" i="2"/>
  <c r="F9719" i="2"/>
  <c r="E9719" i="2"/>
  <c r="C9719" i="2"/>
  <c r="E9718" i="2"/>
  <c r="F9718" i="2" s="1"/>
  <c r="C9718" i="2"/>
  <c r="F9717" i="2"/>
  <c r="G9717" i="2" s="1"/>
  <c r="E9717" i="2"/>
  <c r="D9717" i="2"/>
  <c r="C9717" i="2"/>
  <c r="F9716" i="2"/>
  <c r="G9716" i="2" s="1"/>
  <c r="E9716" i="2"/>
  <c r="D9716" i="2"/>
  <c r="C9716" i="2"/>
  <c r="F9715" i="2"/>
  <c r="G9715" i="2" s="1"/>
  <c r="E9715" i="2"/>
  <c r="D9715" i="2"/>
  <c r="C9715" i="2"/>
  <c r="F9714" i="2"/>
  <c r="G9714" i="2" s="1"/>
  <c r="E9714" i="2"/>
  <c r="D9714" i="2"/>
  <c r="C9714" i="2"/>
  <c r="F9713" i="2"/>
  <c r="E9713" i="2"/>
  <c r="C9713" i="2"/>
  <c r="E9712" i="2"/>
  <c r="F9712" i="2" s="1"/>
  <c r="C9712" i="2"/>
  <c r="F9711" i="2"/>
  <c r="E9711" i="2"/>
  <c r="D9711" i="2"/>
  <c r="C9711" i="2"/>
  <c r="G9711" i="2" s="1"/>
  <c r="F9710" i="2"/>
  <c r="G9710" i="2" s="1"/>
  <c r="E9710" i="2"/>
  <c r="D9710" i="2"/>
  <c r="C9710" i="2"/>
  <c r="F9709" i="2"/>
  <c r="E9709" i="2"/>
  <c r="C9709" i="2"/>
  <c r="F9708" i="2"/>
  <c r="E9708" i="2"/>
  <c r="C9708" i="2"/>
  <c r="F9707" i="2"/>
  <c r="G9707" i="2" s="1"/>
  <c r="E9707" i="2"/>
  <c r="D9707" i="2"/>
  <c r="C9707" i="2"/>
  <c r="E9706" i="2"/>
  <c r="F9706" i="2" s="1"/>
  <c r="C9706" i="2"/>
  <c r="E9705" i="2"/>
  <c r="F9705" i="2" s="1"/>
  <c r="C9705" i="2"/>
  <c r="F9704" i="2"/>
  <c r="E9704" i="2"/>
  <c r="C9704" i="2"/>
  <c r="E9703" i="2"/>
  <c r="F9703" i="2" s="1"/>
  <c r="C9703" i="2"/>
  <c r="E9702" i="2"/>
  <c r="F9702" i="2" s="1"/>
  <c r="G9702" i="2" s="1"/>
  <c r="D9702" i="2"/>
  <c r="C9702" i="2"/>
  <c r="E9701" i="2"/>
  <c r="F9701" i="2" s="1"/>
  <c r="C9701" i="2"/>
  <c r="F9700" i="2"/>
  <c r="E9700" i="2"/>
  <c r="C9700" i="2"/>
  <c r="E9699" i="2"/>
  <c r="F9699" i="2" s="1"/>
  <c r="C9699" i="2"/>
  <c r="E9698" i="2"/>
  <c r="F9698" i="2" s="1"/>
  <c r="D9698" i="2"/>
  <c r="C9698" i="2"/>
  <c r="G9698" i="2" s="1"/>
  <c r="F9697" i="2"/>
  <c r="E9697" i="2"/>
  <c r="C9697" i="2"/>
  <c r="G9696" i="2"/>
  <c r="F9696" i="2"/>
  <c r="E9696" i="2"/>
  <c r="D9696" i="2"/>
  <c r="C9696" i="2"/>
  <c r="F9695" i="2"/>
  <c r="G9695" i="2" s="1"/>
  <c r="E9695" i="2"/>
  <c r="D9695" i="2"/>
  <c r="C9695" i="2"/>
  <c r="E9694" i="2"/>
  <c r="F9694" i="2" s="1"/>
  <c r="G9694" i="2" s="1"/>
  <c r="C9694" i="2"/>
  <c r="D9694" i="2" s="1"/>
  <c r="F9693" i="2"/>
  <c r="E9693" i="2"/>
  <c r="C9693" i="2"/>
  <c r="E9692" i="2"/>
  <c r="F9692" i="2" s="1"/>
  <c r="G9692" i="2" s="1"/>
  <c r="D9692" i="2"/>
  <c r="C9692" i="2"/>
  <c r="E9691" i="2"/>
  <c r="F9691" i="2" s="1"/>
  <c r="D9691" i="2"/>
  <c r="C9691" i="2"/>
  <c r="G9691" i="2" s="1"/>
  <c r="G9690" i="2"/>
  <c r="F9690" i="2"/>
  <c r="E9690" i="2"/>
  <c r="D9690" i="2"/>
  <c r="C9690" i="2"/>
  <c r="F9689" i="2"/>
  <c r="E9689" i="2"/>
  <c r="C9689" i="2"/>
  <c r="F9688" i="2"/>
  <c r="E9688" i="2"/>
  <c r="D9688" i="2"/>
  <c r="C9688" i="2"/>
  <c r="G9688" i="2" s="1"/>
  <c r="E9687" i="2"/>
  <c r="F9687" i="2" s="1"/>
  <c r="G9687" i="2" s="1"/>
  <c r="C9687" i="2"/>
  <c r="D9687" i="2" s="1"/>
  <c r="E9686" i="2"/>
  <c r="F9686" i="2" s="1"/>
  <c r="G9686" i="2" s="1"/>
  <c r="C9686" i="2"/>
  <c r="D9686" i="2" s="1"/>
  <c r="E9685" i="2"/>
  <c r="F9685" i="2" s="1"/>
  <c r="G9685" i="2" s="1"/>
  <c r="C9685" i="2"/>
  <c r="D9685" i="2" s="1"/>
  <c r="F9684" i="2"/>
  <c r="E9684" i="2"/>
  <c r="D9684" i="2"/>
  <c r="C9684" i="2"/>
  <c r="G9684" i="2" s="1"/>
  <c r="F9683" i="2"/>
  <c r="E9683" i="2"/>
  <c r="C9683" i="2"/>
  <c r="F9682" i="2"/>
  <c r="E9682" i="2"/>
  <c r="C9682" i="2"/>
  <c r="G9681" i="2"/>
  <c r="F9681" i="2"/>
  <c r="E9681" i="2"/>
  <c r="C9681" i="2"/>
  <c r="D9681" i="2" s="1"/>
  <c r="F9680" i="2"/>
  <c r="G9680" i="2" s="1"/>
  <c r="E9680" i="2"/>
  <c r="C9680" i="2"/>
  <c r="D9680" i="2" s="1"/>
  <c r="E9679" i="2"/>
  <c r="F9679" i="2" s="1"/>
  <c r="G9679" i="2" s="1"/>
  <c r="D9679" i="2"/>
  <c r="C9679" i="2"/>
  <c r="F9678" i="2"/>
  <c r="G9678" i="2" s="1"/>
  <c r="E9678" i="2"/>
  <c r="D9678" i="2"/>
  <c r="C9678" i="2"/>
  <c r="E9677" i="2"/>
  <c r="F9677" i="2" s="1"/>
  <c r="G9677" i="2" s="1"/>
  <c r="C9677" i="2"/>
  <c r="D9677" i="2" s="1"/>
  <c r="F9676" i="2"/>
  <c r="E9676" i="2"/>
  <c r="D9676" i="2"/>
  <c r="C9676" i="2"/>
  <c r="G9676" i="2" s="1"/>
  <c r="E9675" i="2"/>
  <c r="F9675" i="2" s="1"/>
  <c r="C9675" i="2"/>
  <c r="E9674" i="2"/>
  <c r="F9674" i="2" s="1"/>
  <c r="C9674" i="2"/>
  <c r="E9673" i="2"/>
  <c r="F9673" i="2" s="1"/>
  <c r="D9673" i="2"/>
  <c r="C9673" i="2"/>
  <c r="G9673" i="2" s="1"/>
  <c r="F9672" i="2"/>
  <c r="E9672" i="2"/>
  <c r="C9672" i="2"/>
  <c r="F9671" i="2"/>
  <c r="E9671" i="2"/>
  <c r="D9671" i="2"/>
  <c r="C9671" i="2"/>
  <c r="G9671" i="2" s="1"/>
  <c r="F9670" i="2"/>
  <c r="E9670" i="2"/>
  <c r="C9670" i="2"/>
  <c r="E9669" i="2"/>
  <c r="F9669" i="2" s="1"/>
  <c r="C9669" i="2"/>
  <c r="E9668" i="2"/>
  <c r="F9668" i="2" s="1"/>
  <c r="G9668" i="2" s="1"/>
  <c r="D9668" i="2"/>
  <c r="C9668" i="2"/>
  <c r="E9667" i="2"/>
  <c r="F9667" i="2" s="1"/>
  <c r="C9667" i="2"/>
  <c r="E9666" i="2"/>
  <c r="F9666" i="2" s="1"/>
  <c r="D9666" i="2"/>
  <c r="C9666" i="2"/>
  <c r="G9666" i="2" s="1"/>
  <c r="E9665" i="2"/>
  <c r="F9665" i="2" s="1"/>
  <c r="C9665" i="2"/>
  <c r="F9664" i="2"/>
  <c r="E9664" i="2"/>
  <c r="C9664" i="2"/>
  <c r="E9663" i="2"/>
  <c r="F9663" i="2" s="1"/>
  <c r="G9663" i="2" s="1"/>
  <c r="D9663" i="2"/>
  <c r="C9663" i="2"/>
  <c r="E9662" i="2"/>
  <c r="F9662" i="2" s="1"/>
  <c r="D9662" i="2"/>
  <c r="C9662" i="2"/>
  <c r="G9662" i="2" s="1"/>
  <c r="G9661" i="2"/>
  <c r="F9661" i="2"/>
  <c r="E9661" i="2"/>
  <c r="C9661" i="2"/>
  <c r="D9661" i="2" s="1"/>
  <c r="F9660" i="2"/>
  <c r="E9660" i="2"/>
  <c r="C9660" i="2"/>
  <c r="F9659" i="2"/>
  <c r="G9659" i="2" s="1"/>
  <c r="E9659" i="2"/>
  <c r="D9659" i="2"/>
  <c r="C9659" i="2"/>
  <c r="F9658" i="2"/>
  <c r="E9658" i="2"/>
  <c r="C9658" i="2"/>
  <c r="F9657" i="2"/>
  <c r="E9657" i="2"/>
  <c r="D9657" i="2"/>
  <c r="C9657" i="2"/>
  <c r="G9657" i="2" s="1"/>
  <c r="G9656" i="2"/>
  <c r="F9656" i="2"/>
  <c r="E9656" i="2"/>
  <c r="C9656" i="2"/>
  <c r="D9656" i="2" s="1"/>
  <c r="F9655" i="2"/>
  <c r="E9655" i="2"/>
  <c r="C9655" i="2"/>
  <c r="E9654" i="2"/>
  <c r="F9654" i="2" s="1"/>
  <c r="D9654" i="2"/>
  <c r="C9654" i="2"/>
  <c r="G9654" i="2" s="1"/>
  <c r="E9653" i="2"/>
  <c r="F9653" i="2" s="1"/>
  <c r="D9653" i="2"/>
  <c r="C9653" i="2"/>
  <c r="G9653" i="2" s="1"/>
  <c r="E9652" i="2"/>
  <c r="F9652" i="2" s="1"/>
  <c r="C9652" i="2"/>
  <c r="E9651" i="2"/>
  <c r="F9651" i="2" s="1"/>
  <c r="G9651" i="2" s="1"/>
  <c r="D9651" i="2"/>
  <c r="C9651" i="2"/>
  <c r="F9650" i="2"/>
  <c r="E9650" i="2"/>
  <c r="C9650" i="2"/>
  <c r="E9649" i="2"/>
  <c r="F9649" i="2" s="1"/>
  <c r="C9649" i="2"/>
  <c r="F9648" i="2"/>
  <c r="E9648" i="2"/>
  <c r="C9648" i="2"/>
  <c r="F9647" i="2"/>
  <c r="E9647" i="2"/>
  <c r="D9647" i="2"/>
  <c r="C9647" i="2"/>
  <c r="G9647" i="2" s="1"/>
  <c r="F9646" i="2"/>
  <c r="G9646" i="2" s="1"/>
  <c r="E9646" i="2"/>
  <c r="D9646" i="2"/>
  <c r="C9646" i="2"/>
  <c r="F9645" i="2"/>
  <c r="G9645" i="2" s="1"/>
  <c r="E9645" i="2"/>
  <c r="D9645" i="2"/>
  <c r="C9645" i="2"/>
  <c r="E9644" i="2"/>
  <c r="F9644" i="2" s="1"/>
  <c r="G9644" i="2" s="1"/>
  <c r="D9644" i="2"/>
  <c r="C9644" i="2"/>
  <c r="F9643" i="2"/>
  <c r="G9643" i="2" s="1"/>
  <c r="E9643" i="2"/>
  <c r="D9643" i="2"/>
  <c r="C9643" i="2"/>
  <c r="E9642" i="2"/>
  <c r="F9642" i="2" s="1"/>
  <c r="G9642" i="2" s="1"/>
  <c r="D9642" i="2"/>
  <c r="C9642" i="2"/>
  <c r="E9641" i="2"/>
  <c r="F9641" i="2" s="1"/>
  <c r="D9641" i="2"/>
  <c r="C9641" i="2"/>
  <c r="G9641" i="2" s="1"/>
  <c r="F9640" i="2"/>
  <c r="E9640" i="2"/>
  <c r="D9640" i="2"/>
  <c r="C9640" i="2"/>
  <c r="G9640" i="2" s="1"/>
  <c r="G9639" i="2"/>
  <c r="F9639" i="2"/>
  <c r="E9639" i="2"/>
  <c r="D9639" i="2"/>
  <c r="C9639" i="2"/>
  <c r="E9638" i="2"/>
  <c r="F9638" i="2" s="1"/>
  <c r="D9638" i="2"/>
  <c r="C9638" i="2"/>
  <c r="G9638" i="2" s="1"/>
  <c r="F9637" i="2"/>
  <c r="G9637" i="2" s="1"/>
  <c r="E9637" i="2"/>
  <c r="D9637" i="2"/>
  <c r="C9637" i="2"/>
  <c r="E9636" i="2"/>
  <c r="F9636" i="2" s="1"/>
  <c r="G9636" i="2" s="1"/>
  <c r="C9636" i="2"/>
  <c r="D9636" i="2" s="1"/>
  <c r="G9635" i="2"/>
  <c r="F9635" i="2"/>
  <c r="E9635" i="2"/>
  <c r="D9635" i="2"/>
  <c r="C9635" i="2"/>
  <c r="E9634" i="2"/>
  <c r="F9634" i="2" s="1"/>
  <c r="C9634" i="2"/>
  <c r="E9633" i="2"/>
  <c r="F9633" i="2" s="1"/>
  <c r="G9633" i="2" s="1"/>
  <c r="D9633" i="2"/>
  <c r="C9633" i="2"/>
  <c r="E9632" i="2"/>
  <c r="F9632" i="2" s="1"/>
  <c r="D9632" i="2"/>
  <c r="C9632" i="2"/>
  <c r="G9632" i="2" s="1"/>
  <c r="E9631" i="2"/>
  <c r="F9631" i="2" s="1"/>
  <c r="G9631" i="2" s="1"/>
  <c r="D9631" i="2"/>
  <c r="C9631" i="2"/>
  <c r="E9630" i="2"/>
  <c r="F9630" i="2" s="1"/>
  <c r="G9630" i="2" s="1"/>
  <c r="C9630" i="2"/>
  <c r="D9630" i="2" s="1"/>
  <c r="F9629" i="2"/>
  <c r="E9629" i="2"/>
  <c r="D9629" i="2"/>
  <c r="C9629" i="2"/>
  <c r="G9629" i="2" s="1"/>
  <c r="E9628" i="2"/>
  <c r="F9628" i="2" s="1"/>
  <c r="D9628" i="2"/>
  <c r="C9628" i="2"/>
  <c r="G9628" i="2" s="1"/>
  <c r="F9627" i="2"/>
  <c r="E9627" i="2"/>
  <c r="D9627" i="2"/>
  <c r="C9627" i="2"/>
  <c r="G9627" i="2" s="1"/>
  <c r="G9626" i="2"/>
  <c r="F9626" i="2"/>
  <c r="E9626" i="2"/>
  <c r="C9626" i="2"/>
  <c r="D9626" i="2" s="1"/>
  <c r="F9625" i="2"/>
  <c r="G9625" i="2" s="1"/>
  <c r="E9625" i="2"/>
  <c r="D9625" i="2"/>
  <c r="C9625" i="2"/>
  <c r="E9624" i="2"/>
  <c r="F9624" i="2" s="1"/>
  <c r="C9624" i="2"/>
  <c r="F9623" i="2"/>
  <c r="G9623" i="2" s="1"/>
  <c r="E9623" i="2"/>
  <c r="C9623" i="2"/>
  <c r="D9623" i="2" s="1"/>
  <c r="E9622" i="2"/>
  <c r="F9622" i="2" s="1"/>
  <c r="C9622" i="2"/>
  <c r="E9621" i="2"/>
  <c r="F9621" i="2" s="1"/>
  <c r="G9621" i="2" s="1"/>
  <c r="C9621" i="2"/>
  <c r="D9621" i="2" s="1"/>
  <c r="E9620" i="2"/>
  <c r="F9620" i="2" s="1"/>
  <c r="G9620" i="2" s="1"/>
  <c r="D9620" i="2"/>
  <c r="C9620" i="2"/>
  <c r="F9619" i="2"/>
  <c r="E9619" i="2"/>
  <c r="C9619" i="2"/>
  <c r="E9618" i="2"/>
  <c r="F9618" i="2" s="1"/>
  <c r="G9618" i="2" s="1"/>
  <c r="D9618" i="2"/>
  <c r="C9618" i="2"/>
  <c r="E9617" i="2"/>
  <c r="F9617" i="2" s="1"/>
  <c r="C9617" i="2"/>
  <c r="E9616" i="2"/>
  <c r="F9616" i="2" s="1"/>
  <c r="C9616" i="2"/>
  <c r="G9615" i="2"/>
  <c r="F9615" i="2"/>
  <c r="E9615" i="2"/>
  <c r="D9615" i="2"/>
  <c r="C9615" i="2"/>
  <c r="E9614" i="2"/>
  <c r="F9614" i="2" s="1"/>
  <c r="G9614" i="2" s="1"/>
  <c r="D9614" i="2"/>
  <c r="C9614" i="2"/>
  <c r="E9613" i="2"/>
  <c r="F9613" i="2" s="1"/>
  <c r="G9613" i="2" s="1"/>
  <c r="D9613" i="2"/>
  <c r="C9613" i="2"/>
  <c r="G9612" i="2"/>
  <c r="F9612" i="2"/>
  <c r="E9612" i="2"/>
  <c r="D9612" i="2"/>
  <c r="C9612" i="2"/>
  <c r="E9611" i="2"/>
  <c r="F9611" i="2" s="1"/>
  <c r="G9611" i="2" s="1"/>
  <c r="D9611" i="2"/>
  <c r="C9611" i="2"/>
  <c r="E9610" i="2"/>
  <c r="F9610" i="2" s="1"/>
  <c r="C9610" i="2"/>
  <c r="E9609" i="2"/>
  <c r="F9609" i="2" s="1"/>
  <c r="G9609" i="2" s="1"/>
  <c r="D9609" i="2"/>
  <c r="C9609" i="2"/>
  <c r="F9608" i="2"/>
  <c r="E9608" i="2"/>
  <c r="C9608" i="2"/>
  <c r="E9607" i="2"/>
  <c r="F9607" i="2" s="1"/>
  <c r="C9607" i="2"/>
  <c r="E9606" i="2"/>
  <c r="F9606" i="2" s="1"/>
  <c r="G9606" i="2" s="1"/>
  <c r="D9606" i="2"/>
  <c r="C9606" i="2"/>
  <c r="F9605" i="2"/>
  <c r="E9605" i="2"/>
  <c r="D9605" i="2"/>
  <c r="C9605" i="2"/>
  <c r="G9605" i="2" s="1"/>
  <c r="E9604" i="2"/>
  <c r="F9604" i="2" s="1"/>
  <c r="C9604" i="2"/>
  <c r="E9603" i="2"/>
  <c r="F9603" i="2" s="1"/>
  <c r="D9603" i="2"/>
  <c r="C9603" i="2"/>
  <c r="G9603" i="2" s="1"/>
  <c r="E9602" i="2"/>
  <c r="F9602" i="2" s="1"/>
  <c r="D9602" i="2"/>
  <c r="C9602" i="2"/>
  <c r="G9602" i="2" s="1"/>
  <c r="E9601" i="2"/>
  <c r="F9601" i="2" s="1"/>
  <c r="C9601" i="2"/>
  <c r="F9600" i="2"/>
  <c r="E9600" i="2"/>
  <c r="C9600" i="2"/>
  <c r="G9599" i="2"/>
  <c r="F9599" i="2"/>
  <c r="E9599" i="2"/>
  <c r="C9599" i="2"/>
  <c r="D9599" i="2" s="1"/>
  <c r="F9598" i="2"/>
  <c r="E9598" i="2"/>
  <c r="C9598" i="2"/>
  <c r="F9597" i="2"/>
  <c r="G9597" i="2" s="1"/>
  <c r="E9597" i="2"/>
  <c r="D9597" i="2"/>
  <c r="C9597" i="2"/>
  <c r="E9596" i="2"/>
  <c r="F9596" i="2" s="1"/>
  <c r="C9596" i="2"/>
  <c r="F9595" i="2"/>
  <c r="E9595" i="2"/>
  <c r="C9595" i="2"/>
  <c r="F9594" i="2"/>
  <c r="E9594" i="2"/>
  <c r="C9594" i="2"/>
  <c r="E9593" i="2"/>
  <c r="F9593" i="2" s="1"/>
  <c r="C9593" i="2"/>
  <c r="F9592" i="2"/>
  <c r="E9592" i="2"/>
  <c r="C9592" i="2"/>
  <c r="E9591" i="2"/>
  <c r="F9591" i="2" s="1"/>
  <c r="C9591" i="2"/>
  <c r="E9590" i="2"/>
  <c r="F9590" i="2" s="1"/>
  <c r="G9590" i="2" s="1"/>
  <c r="C9590" i="2"/>
  <c r="D9590" i="2" s="1"/>
  <c r="E9589" i="2"/>
  <c r="F9589" i="2" s="1"/>
  <c r="G9589" i="2" s="1"/>
  <c r="C9589" i="2"/>
  <c r="D9589" i="2" s="1"/>
  <c r="E9588" i="2"/>
  <c r="F9588" i="2" s="1"/>
  <c r="C9588" i="2"/>
  <c r="F9587" i="2"/>
  <c r="G9587" i="2" s="1"/>
  <c r="E9587" i="2"/>
  <c r="D9587" i="2"/>
  <c r="C9587" i="2"/>
  <c r="E9586" i="2"/>
  <c r="F9586" i="2" s="1"/>
  <c r="C9586" i="2"/>
  <c r="E9585" i="2"/>
  <c r="F9585" i="2" s="1"/>
  <c r="C9585" i="2"/>
  <c r="G9584" i="2"/>
  <c r="F9584" i="2"/>
  <c r="E9584" i="2"/>
  <c r="C9584" i="2"/>
  <c r="D9584" i="2" s="1"/>
  <c r="E9583" i="2"/>
  <c r="F9583" i="2" s="1"/>
  <c r="D9583" i="2"/>
  <c r="C9583" i="2"/>
  <c r="G9583" i="2" s="1"/>
  <c r="F9582" i="2"/>
  <c r="E9582" i="2"/>
  <c r="C9582" i="2"/>
  <c r="E9581" i="2"/>
  <c r="F9581" i="2" s="1"/>
  <c r="G9581" i="2" s="1"/>
  <c r="D9581" i="2"/>
  <c r="C9581" i="2"/>
  <c r="E9580" i="2"/>
  <c r="F9580" i="2" s="1"/>
  <c r="G9580" i="2" s="1"/>
  <c r="D9580" i="2"/>
  <c r="C9580" i="2"/>
  <c r="E9579" i="2"/>
  <c r="F9579" i="2" s="1"/>
  <c r="C9579" i="2"/>
  <c r="E9578" i="2"/>
  <c r="F9578" i="2" s="1"/>
  <c r="G9578" i="2" s="1"/>
  <c r="D9578" i="2"/>
  <c r="C9578" i="2"/>
  <c r="E9577" i="2"/>
  <c r="F9577" i="2" s="1"/>
  <c r="D9577" i="2"/>
  <c r="C9577" i="2"/>
  <c r="G9577" i="2" s="1"/>
  <c r="E9576" i="2"/>
  <c r="F9576" i="2" s="1"/>
  <c r="C9576" i="2"/>
  <c r="F9575" i="2"/>
  <c r="G9575" i="2" s="1"/>
  <c r="E9575" i="2"/>
  <c r="D9575" i="2"/>
  <c r="C9575" i="2"/>
  <c r="E9574" i="2"/>
  <c r="F9574" i="2" s="1"/>
  <c r="D9574" i="2"/>
  <c r="C9574" i="2"/>
  <c r="G9574" i="2" s="1"/>
  <c r="F9573" i="2"/>
  <c r="E9573" i="2"/>
  <c r="C9573" i="2"/>
  <c r="E9572" i="2"/>
  <c r="F9572" i="2" s="1"/>
  <c r="C9572" i="2"/>
  <c r="F9571" i="2"/>
  <c r="G9571" i="2" s="1"/>
  <c r="E9571" i="2"/>
  <c r="D9571" i="2"/>
  <c r="C9571" i="2"/>
  <c r="E9570" i="2"/>
  <c r="F9570" i="2" s="1"/>
  <c r="G9570" i="2" s="1"/>
  <c r="D9570" i="2"/>
  <c r="C9570" i="2"/>
  <c r="F9569" i="2"/>
  <c r="E9569" i="2"/>
  <c r="C9569" i="2"/>
  <c r="E9568" i="2"/>
  <c r="F9568" i="2" s="1"/>
  <c r="G9568" i="2" s="1"/>
  <c r="C9568" i="2"/>
  <c r="D9568" i="2" s="1"/>
  <c r="F9567" i="2"/>
  <c r="E9567" i="2"/>
  <c r="D9567" i="2"/>
  <c r="C9567" i="2"/>
  <c r="G9567" i="2" s="1"/>
  <c r="F9566" i="2"/>
  <c r="G9566" i="2" s="1"/>
  <c r="E9566" i="2"/>
  <c r="D9566" i="2"/>
  <c r="C9566" i="2"/>
  <c r="E9565" i="2"/>
  <c r="F9565" i="2" s="1"/>
  <c r="G9565" i="2" s="1"/>
  <c r="D9565" i="2"/>
  <c r="C9565" i="2"/>
  <c r="E9564" i="2"/>
  <c r="F9564" i="2" s="1"/>
  <c r="D9564" i="2"/>
  <c r="C9564" i="2"/>
  <c r="G9564" i="2" s="1"/>
  <c r="F9563" i="2"/>
  <c r="E9563" i="2"/>
  <c r="D9563" i="2"/>
  <c r="C9563" i="2"/>
  <c r="G9563" i="2" s="1"/>
  <c r="F9562" i="2"/>
  <c r="G9562" i="2" s="1"/>
  <c r="E9562" i="2"/>
  <c r="D9562" i="2"/>
  <c r="C9562" i="2"/>
  <c r="F9561" i="2"/>
  <c r="E9561" i="2"/>
  <c r="D9561" i="2"/>
  <c r="C9561" i="2"/>
  <c r="G9561" i="2" s="1"/>
  <c r="E9560" i="2"/>
  <c r="F9560" i="2" s="1"/>
  <c r="G9560" i="2" s="1"/>
  <c r="C9560" i="2"/>
  <c r="D9560" i="2" s="1"/>
  <c r="F9559" i="2"/>
  <c r="E9559" i="2"/>
  <c r="C9559" i="2"/>
  <c r="E9558" i="2"/>
  <c r="F9558" i="2" s="1"/>
  <c r="G9558" i="2" s="1"/>
  <c r="D9558" i="2"/>
  <c r="C9558" i="2"/>
  <c r="E9557" i="2"/>
  <c r="F9557" i="2" s="1"/>
  <c r="G9557" i="2" s="1"/>
  <c r="C9557" i="2"/>
  <c r="D9557" i="2" s="1"/>
  <c r="E9556" i="2"/>
  <c r="F9556" i="2" s="1"/>
  <c r="G9556" i="2" s="1"/>
  <c r="D9556" i="2"/>
  <c r="C9556" i="2"/>
  <c r="F9555" i="2"/>
  <c r="G9555" i="2" s="1"/>
  <c r="E9555" i="2"/>
  <c r="D9555" i="2"/>
  <c r="C9555" i="2"/>
  <c r="F9554" i="2"/>
  <c r="E9554" i="2"/>
  <c r="C9554" i="2"/>
  <c r="E9553" i="2"/>
  <c r="F9553" i="2" s="1"/>
  <c r="C9553" i="2"/>
  <c r="F9552" i="2"/>
  <c r="E9552" i="2"/>
  <c r="C9552" i="2"/>
  <c r="F9551" i="2"/>
  <c r="E9551" i="2"/>
  <c r="C9551" i="2"/>
  <c r="E9550" i="2"/>
  <c r="F9550" i="2" s="1"/>
  <c r="G9550" i="2" s="1"/>
  <c r="C9550" i="2"/>
  <c r="D9550" i="2" s="1"/>
  <c r="F9549" i="2"/>
  <c r="G9549" i="2" s="1"/>
  <c r="E9549" i="2"/>
  <c r="D9549" i="2"/>
  <c r="C9549" i="2"/>
  <c r="E9548" i="2"/>
  <c r="F9548" i="2" s="1"/>
  <c r="C9548" i="2"/>
  <c r="E9547" i="2"/>
  <c r="F9547" i="2" s="1"/>
  <c r="C9547" i="2"/>
  <c r="F9546" i="2"/>
  <c r="G9546" i="2" s="1"/>
  <c r="E9546" i="2"/>
  <c r="D9546" i="2"/>
  <c r="C9546" i="2"/>
  <c r="G9545" i="2"/>
  <c r="F9545" i="2"/>
  <c r="E9545" i="2"/>
  <c r="D9545" i="2"/>
  <c r="C9545" i="2"/>
  <c r="F9544" i="2"/>
  <c r="G9544" i="2" s="1"/>
  <c r="E9544" i="2"/>
  <c r="D9544" i="2"/>
  <c r="C9544" i="2"/>
  <c r="E9543" i="2"/>
  <c r="F9543" i="2" s="1"/>
  <c r="D9543" i="2"/>
  <c r="C9543" i="2"/>
  <c r="G9543" i="2" s="1"/>
  <c r="F9542" i="2"/>
  <c r="G9542" i="2" s="1"/>
  <c r="E9542" i="2"/>
  <c r="D9542" i="2"/>
  <c r="C9542" i="2"/>
  <c r="F9541" i="2"/>
  <c r="E9541" i="2"/>
  <c r="D9541" i="2"/>
  <c r="C9541" i="2"/>
  <c r="G9541" i="2" s="1"/>
  <c r="G9540" i="2"/>
  <c r="F9540" i="2"/>
  <c r="E9540" i="2"/>
  <c r="D9540" i="2"/>
  <c r="C9540" i="2"/>
  <c r="F9539" i="2"/>
  <c r="E9539" i="2"/>
  <c r="C9539" i="2"/>
  <c r="F9538" i="2"/>
  <c r="G9538" i="2" s="1"/>
  <c r="E9538" i="2"/>
  <c r="D9538" i="2"/>
  <c r="C9538" i="2"/>
  <c r="E9537" i="2"/>
  <c r="F9537" i="2" s="1"/>
  <c r="C9537" i="2"/>
  <c r="E9536" i="2"/>
  <c r="F9536" i="2" s="1"/>
  <c r="D9536" i="2"/>
  <c r="C9536" i="2"/>
  <c r="G9536" i="2" s="1"/>
  <c r="F9535" i="2"/>
  <c r="E9535" i="2"/>
  <c r="D9535" i="2"/>
  <c r="C9535" i="2"/>
  <c r="G9535" i="2" s="1"/>
  <c r="E9534" i="2"/>
  <c r="F9534" i="2" s="1"/>
  <c r="D9534" i="2"/>
  <c r="C9534" i="2"/>
  <c r="G9534" i="2" s="1"/>
  <c r="F9533" i="2"/>
  <c r="G9533" i="2" s="1"/>
  <c r="E9533" i="2"/>
  <c r="C9533" i="2"/>
  <c r="D9533" i="2" s="1"/>
  <c r="F9532" i="2"/>
  <c r="G9532" i="2" s="1"/>
  <c r="E9532" i="2"/>
  <c r="D9532" i="2"/>
  <c r="C9532" i="2"/>
  <c r="F9531" i="2"/>
  <c r="E9531" i="2"/>
  <c r="C9531" i="2"/>
  <c r="F9530" i="2"/>
  <c r="E9530" i="2"/>
  <c r="C9530" i="2"/>
  <c r="E9529" i="2"/>
  <c r="F9529" i="2" s="1"/>
  <c r="G9529" i="2" s="1"/>
  <c r="D9529" i="2"/>
  <c r="C9529" i="2"/>
  <c r="E9528" i="2"/>
  <c r="F9528" i="2" s="1"/>
  <c r="C9528" i="2"/>
  <c r="E9527" i="2"/>
  <c r="F9527" i="2" s="1"/>
  <c r="D9527" i="2"/>
  <c r="C9527" i="2"/>
  <c r="G9527" i="2" s="1"/>
  <c r="E9526" i="2"/>
  <c r="F9526" i="2" s="1"/>
  <c r="C9526" i="2"/>
  <c r="E9525" i="2"/>
  <c r="F9525" i="2" s="1"/>
  <c r="G9525" i="2" s="1"/>
  <c r="D9525" i="2"/>
  <c r="C9525" i="2"/>
  <c r="F9524" i="2"/>
  <c r="E9524" i="2"/>
  <c r="C9524" i="2"/>
  <c r="E9523" i="2"/>
  <c r="F9523" i="2" s="1"/>
  <c r="C9523" i="2"/>
  <c r="F9522" i="2"/>
  <c r="E9522" i="2"/>
  <c r="C9522" i="2"/>
  <c r="F9521" i="2"/>
  <c r="G9521" i="2" s="1"/>
  <c r="E9521" i="2"/>
  <c r="C9521" i="2"/>
  <c r="D9521" i="2" s="1"/>
  <c r="E9520" i="2"/>
  <c r="F9520" i="2" s="1"/>
  <c r="C9520" i="2"/>
  <c r="E9519" i="2"/>
  <c r="F9519" i="2" s="1"/>
  <c r="D9519" i="2"/>
  <c r="C9519" i="2"/>
  <c r="G9519" i="2" s="1"/>
  <c r="F9518" i="2"/>
  <c r="E9518" i="2"/>
  <c r="D9518" i="2"/>
  <c r="C9518" i="2"/>
  <c r="G9518" i="2" s="1"/>
  <c r="E9517" i="2"/>
  <c r="F9517" i="2" s="1"/>
  <c r="G9517" i="2" s="1"/>
  <c r="C9517" i="2"/>
  <c r="D9517" i="2" s="1"/>
  <c r="F9516" i="2"/>
  <c r="E9516" i="2"/>
  <c r="D9516" i="2"/>
  <c r="C9516" i="2"/>
  <c r="G9516" i="2" s="1"/>
  <c r="E9515" i="2"/>
  <c r="F9515" i="2" s="1"/>
  <c r="C9515" i="2"/>
  <c r="F9514" i="2"/>
  <c r="G9514" i="2" s="1"/>
  <c r="E9514" i="2"/>
  <c r="D9514" i="2"/>
  <c r="C9514" i="2"/>
  <c r="E9513" i="2"/>
  <c r="F9513" i="2" s="1"/>
  <c r="D9513" i="2"/>
  <c r="C9513" i="2"/>
  <c r="G9513" i="2" s="1"/>
  <c r="E9512" i="2"/>
  <c r="F9512" i="2" s="1"/>
  <c r="G9512" i="2" s="1"/>
  <c r="C9512" i="2"/>
  <c r="D9512" i="2" s="1"/>
  <c r="E9511" i="2"/>
  <c r="F9511" i="2" s="1"/>
  <c r="G9511" i="2" s="1"/>
  <c r="D9511" i="2"/>
  <c r="C9511" i="2"/>
  <c r="F9510" i="2"/>
  <c r="G9510" i="2" s="1"/>
  <c r="E9510" i="2"/>
  <c r="D9510" i="2"/>
  <c r="C9510" i="2"/>
  <c r="E9509" i="2"/>
  <c r="F9509" i="2" s="1"/>
  <c r="G9509" i="2" s="1"/>
  <c r="D9509" i="2"/>
  <c r="C9509" i="2"/>
  <c r="E9508" i="2"/>
  <c r="F9508" i="2" s="1"/>
  <c r="G9508" i="2" s="1"/>
  <c r="C9508" i="2"/>
  <c r="D9508" i="2" s="1"/>
  <c r="E9507" i="2"/>
  <c r="F9507" i="2" s="1"/>
  <c r="G9507" i="2" s="1"/>
  <c r="D9507" i="2"/>
  <c r="C9507" i="2"/>
  <c r="E9506" i="2"/>
  <c r="F9506" i="2" s="1"/>
  <c r="C9506" i="2"/>
  <c r="E9505" i="2"/>
  <c r="F9505" i="2" s="1"/>
  <c r="C9505" i="2"/>
  <c r="E9504" i="2"/>
  <c r="F9504" i="2" s="1"/>
  <c r="G9504" i="2" s="1"/>
  <c r="D9504" i="2"/>
  <c r="C9504" i="2"/>
  <c r="F9503" i="2"/>
  <c r="E9503" i="2"/>
  <c r="C9503" i="2"/>
  <c r="F9502" i="2"/>
  <c r="G9502" i="2" s="1"/>
  <c r="E9502" i="2"/>
  <c r="C9502" i="2"/>
  <c r="D9502" i="2" s="1"/>
  <c r="F9501" i="2"/>
  <c r="G9501" i="2" s="1"/>
  <c r="E9501" i="2"/>
  <c r="D9501" i="2"/>
  <c r="C9501" i="2"/>
  <c r="F9500" i="2"/>
  <c r="E9500" i="2"/>
  <c r="C9500" i="2"/>
  <c r="F9499" i="2"/>
  <c r="G9499" i="2" s="1"/>
  <c r="E9499" i="2"/>
  <c r="D9499" i="2"/>
  <c r="C9499" i="2"/>
  <c r="F9498" i="2"/>
  <c r="E9498" i="2"/>
  <c r="D9498" i="2"/>
  <c r="C9498" i="2"/>
  <c r="G9498" i="2" s="1"/>
  <c r="F9497" i="2"/>
  <c r="G9497" i="2" s="1"/>
  <c r="E9497" i="2"/>
  <c r="D9497" i="2"/>
  <c r="C9497" i="2"/>
  <c r="E9496" i="2"/>
  <c r="F9496" i="2" s="1"/>
  <c r="G9496" i="2" s="1"/>
  <c r="D9496" i="2"/>
  <c r="C9496" i="2"/>
  <c r="F9495" i="2"/>
  <c r="G9495" i="2" s="1"/>
  <c r="E9495" i="2"/>
  <c r="D9495" i="2"/>
  <c r="C9495" i="2"/>
  <c r="E9494" i="2"/>
  <c r="F9494" i="2" s="1"/>
  <c r="G9494" i="2" s="1"/>
  <c r="C9494" i="2"/>
  <c r="D9494" i="2" s="1"/>
  <c r="F9493" i="2"/>
  <c r="E9493" i="2"/>
  <c r="D9493" i="2"/>
  <c r="C9493" i="2"/>
  <c r="G9493" i="2" s="1"/>
  <c r="E9492" i="2"/>
  <c r="F9492" i="2" s="1"/>
  <c r="C9492" i="2"/>
  <c r="E9491" i="2"/>
  <c r="F9491" i="2" s="1"/>
  <c r="C9491" i="2"/>
  <c r="F9490" i="2"/>
  <c r="E9490" i="2"/>
  <c r="C9490" i="2"/>
  <c r="F9489" i="2"/>
  <c r="G9489" i="2" s="1"/>
  <c r="E9489" i="2"/>
  <c r="D9489" i="2"/>
  <c r="C9489" i="2"/>
  <c r="E9488" i="2"/>
  <c r="F9488" i="2" s="1"/>
  <c r="C9488" i="2"/>
  <c r="F9487" i="2"/>
  <c r="G9487" i="2" s="1"/>
  <c r="E9487" i="2"/>
  <c r="D9487" i="2"/>
  <c r="C9487" i="2"/>
  <c r="G9486" i="2"/>
  <c r="F9486" i="2"/>
  <c r="E9486" i="2"/>
  <c r="D9486" i="2"/>
  <c r="C9486" i="2"/>
  <c r="E9485" i="2"/>
  <c r="F9485" i="2" s="1"/>
  <c r="G9485" i="2" s="1"/>
  <c r="D9485" i="2"/>
  <c r="C9485" i="2"/>
  <c r="E9484" i="2"/>
  <c r="F9484" i="2" s="1"/>
  <c r="G9484" i="2" s="1"/>
  <c r="D9484" i="2"/>
  <c r="C9484" i="2"/>
  <c r="E9483" i="2"/>
  <c r="F9483" i="2" s="1"/>
  <c r="C9483" i="2"/>
  <c r="E9482" i="2"/>
  <c r="F9482" i="2" s="1"/>
  <c r="C9482" i="2"/>
  <c r="E9481" i="2"/>
  <c r="F9481" i="2" s="1"/>
  <c r="C9481" i="2"/>
  <c r="E9480" i="2"/>
  <c r="F9480" i="2" s="1"/>
  <c r="C9480" i="2"/>
  <c r="E9479" i="2"/>
  <c r="F9479" i="2" s="1"/>
  <c r="D9479" i="2"/>
  <c r="C9479" i="2"/>
  <c r="G9479" i="2" s="1"/>
  <c r="E9478" i="2"/>
  <c r="F9478" i="2" s="1"/>
  <c r="C9478" i="2"/>
  <c r="E9477" i="2"/>
  <c r="F9477" i="2" s="1"/>
  <c r="D9477" i="2"/>
  <c r="C9477" i="2"/>
  <c r="G9477" i="2" s="1"/>
  <c r="E9476" i="2"/>
  <c r="F9476" i="2" s="1"/>
  <c r="G9476" i="2" s="1"/>
  <c r="D9476" i="2"/>
  <c r="C9476" i="2"/>
  <c r="F9475" i="2"/>
  <c r="E9475" i="2"/>
  <c r="C9475" i="2"/>
  <c r="E9474" i="2"/>
  <c r="F9474" i="2" s="1"/>
  <c r="G9474" i="2" s="1"/>
  <c r="D9474" i="2"/>
  <c r="C9474" i="2"/>
  <c r="E9473" i="2"/>
  <c r="F9473" i="2" s="1"/>
  <c r="G9473" i="2" s="1"/>
  <c r="D9473" i="2"/>
  <c r="C9473" i="2"/>
  <c r="E9472" i="2"/>
  <c r="F9472" i="2" s="1"/>
  <c r="C9472" i="2"/>
  <c r="F9471" i="2"/>
  <c r="E9471" i="2"/>
  <c r="C9471" i="2"/>
  <c r="F9470" i="2"/>
  <c r="G9470" i="2" s="1"/>
  <c r="E9470" i="2"/>
  <c r="D9470" i="2"/>
  <c r="C9470" i="2"/>
  <c r="F9469" i="2"/>
  <c r="E9469" i="2"/>
  <c r="D9469" i="2"/>
  <c r="C9469" i="2"/>
  <c r="G9469" i="2" s="1"/>
  <c r="F9468" i="2"/>
  <c r="E9468" i="2"/>
  <c r="C9468" i="2"/>
  <c r="F9467" i="2"/>
  <c r="G9467" i="2" s="1"/>
  <c r="E9467" i="2"/>
  <c r="D9467" i="2"/>
  <c r="C9467" i="2"/>
  <c r="E9466" i="2"/>
  <c r="F9466" i="2" s="1"/>
  <c r="C9466" i="2"/>
  <c r="E9465" i="2"/>
  <c r="F9465" i="2" s="1"/>
  <c r="G9465" i="2" s="1"/>
  <c r="D9465" i="2"/>
  <c r="C9465" i="2"/>
  <c r="E9464" i="2"/>
  <c r="F9464" i="2" s="1"/>
  <c r="G9464" i="2" s="1"/>
  <c r="D9464" i="2"/>
  <c r="C9464" i="2"/>
  <c r="E9463" i="2"/>
  <c r="F9463" i="2" s="1"/>
  <c r="G9463" i="2" s="1"/>
  <c r="C9463" i="2"/>
  <c r="D9463" i="2" s="1"/>
  <c r="F9462" i="2"/>
  <c r="E9462" i="2"/>
  <c r="C9462" i="2"/>
  <c r="E9461" i="2"/>
  <c r="F9461" i="2" s="1"/>
  <c r="G9461" i="2" s="1"/>
  <c r="D9461" i="2"/>
  <c r="C9461" i="2"/>
  <c r="E9460" i="2"/>
  <c r="F9460" i="2" s="1"/>
  <c r="C9460" i="2"/>
  <c r="F9459" i="2"/>
  <c r="G9459" i="2" s="1"/>
  <c r="E9459" i="2"/>
  <c r="D9459" i="2"/>
  <c r="C9459" i="2"/>
  <c r="E9458" i="2"/>
  <c r="F9458" i="2" s="1"/>
  <c r="G9458" i="2" s="1"/>
  <c r="D9458" i="2"/>
  <c r="C9458" i="2"/>
  <c r="E9457" i="2"/>
  <c r="F9457" i="2" s="1"/>
  <c r="G9457" i="2" s="1"/>
  <c r="D9457" i="2"/>
  <c r="C9457" i="2"/>
  <c r="E9456" i="2"/>
  <c r="F9456" i="2" s="1"/>
  <c r="G9456" i="2" s="1"/>
  <c r="D9456" i="2"/>
  <c r="C9456" i="2"/>
  <c r="E9455" i="2"/>
  <c r="F9455" i="2" s="1"/>
  <c r="G9455" i="2" s="1"/>
  <c r="D9455" i="2"/>
  <c r="C9455" i="2"/>
  <c r="E9454" i="2"/>
  <c r="F9454" i="2" s="1"/>
  <c r="G9454" i="2" s="1"/>
  <c r="D9454" i="2"/>
  <c r="C9454" i="2"/>
  <c r="G9453" i="2"/>
  <c r="F9453" i="2"/>
  <c r="E9453" i="2"/>
  <c r="C9453" i="2"/>
  <c r="D9453" i="2" s="1"/>
  <c r="E9452" i="2"/>
  <c r="F9452" i="2" s="1"/>
  <c r="G9452" i="2" s="1"/>
  <c r="C9452" i="2"/>
  <c r="D9452" i="2" s="1"/>
  <c r="F9451" i="2"/>
  <c r="E9451" i="2"/>
  <c r="C9451" i="2"/>
  <c r="F9450" i="2"/>
  <c r="E9450" i="2"/>
  <c r="C9450" i="2"/>
  <c r="E9449" i="2"/>
  <c r="F9449" i="2" s="1"/>
  <c r="C9449" i="2"/>
  <c r="E9448" i="2"/>
  <c r="F9448" i="2" s="1"/>
  <c r="C9448" i="2"/>
  <c r="F9447" i="2"/>
  <c r="E9447" i="2"/>
  <c r="D9447" i="2"/>
  <c r="C9447" i="2"/>
  <c r="G9447" i="2" s="1"/>
  <c r="E9446" i="2"/>
  <c r="F9446" i="2" s="1"/>
  <c r="C9446" i="2"/>
  <c r="F9445" i="2"/>
  <c r="E9445" i="2"/>
  <c r="C9445" i="2"/>
  <c r="E9444" i="2"/>
  <c r="F9444" i="2" s="1"/>
  <c r="C9444" i="2"/>
  <c r="E9443" i="2"/>
  <c r="F9443" i="2" s="1"/>
  <c r="C9443" i="2"/>
  <c r="E9442" i="2"/>
  <c r="F9442" i="2" s="1"/>
  <c r="D9442" i="2"/>
  <c r="C9442" i="2"/>
  <c r="G9442" i="2" s="1"/>
  <c r="E9441" i="2"/>
  <c r="F9441" i="2" s="1"/>
  <c r="G9441" i="2" s="1"/>
  <c r="C9441" i="2"/>
  <c r="D9441" i="2" s="1"/>
  <c r="E9440" i="2"/>
  <c r="F9440" i="2" s="1"/>
  <c r="G9440" i="2" s="1"/>
  <c r="D9440" i="2"/>
  <c r="C9440" i="2"/>
  <c r="F9439" i="2"/>
  <c r="G9439" i="2" s="1"/>
  <c r="E9439" i="2"/>
  <c r="D9439" i="2"/>
  <c r="C9439" i="2"/>
  <c r="E9438" i="2"/>
  <c r="F9438" i="2" s="1"/>
  <c r="C9438" i="2"/>
  <c r="F9437" i="2"/>
  <c r="E9437" i="2"/>
  <c r="D9437" i="2"/>
  <c r="C9437" i="2"/>
  <c r="G9437" i="2" s="1"/>
  <c r="E9436" i="2"/>
  <c r="F9436" i="2" s="1"/>
  <c r="G9436" i="2" s="1"/>
  <c r="C9436" i="2"/>
  <c r="D9436" i="2" s="1"/>
  <c r="E9435" i="2"/>
  <c r="F9435" i="2" s="1"/>
  <c r="C9435" i="2"/>
  <c r="E9434" i="2"/>
  <c r="F9434" i="2" s="1"/>
  <c r="C9434" i="2"/>
  <c r="E9433" i="2"/>
  <c r="F9433" i="2" s="1"/>
  <c r="G9433" i="2" s="1"/>
  <c r="C9433" i="2"/>
  <c r="D9433" i="2" s="1"/>
  <c r="F9432" i="2"/>
  <c r="E9432" i="2"/>
  <c r="C9432" i="2"/>
  <c r="F9431" i="2"/>
  <c r="G9431" i="2" s="1"/>
  <c r="E9431" i="2"/>
  <c r="D9431" i="2"/>
  <c r="C9431" i="2"/>
  <c r="G9430" i="2"/>
  <c r="F9430" i="2"/>
  <c r="E9430" i="2"/>
  <c r="C9430" i="2"/>
  <c r="D9430" i="2" s="1"/>
  <c r="F9429" i="2"/>
  <c r="E9429" i="2"/>
  <c r="C9429" i="2"/>
  <c r="F9428" i="2"/>
  <c r="G9428" i="2" s="1"/>
  <c r="E9428" i="2"/>
  <c r="C9428" i="2"/>
  <c r="D9428" i="2" s="1"/>
  <c r="E9427" i="2"/>
  <c r="F9427" i="2" s="1"/>
  <c r="D9427" i="2"/>
  <c r="C9427" i="2"/>
  <c r="G9427" i="2" s="1"/>
  <c r="F9426" i="2"/>
  <c r="G9426" i="2" s="1"/>
  <c r="E9426" i="2"/>
  <c r="D9426" i="2"/>
  <c r="C9426" i="2"/>
  <c r="F9425" i="2"/>
  <c r="E9425" i="2"/>
  <c r="C9425" i="2"/>
  <c r="F9424" i="2"/>
  <c r="E9424" i="2"/>
  <c r="C9424" i="2"/>
  <c r="E9423" i="2"/>
  <c r="F9423" i="2" s="1"/>
  <c r="C9423" i="2"/>
  <c r="E9422" i="2"/>
  <c r="F9422" i="2" s="1"/>
  <c r="C9422" i="2"/>
  <c r="E9421" i="2"/>
  <c r="F9421" i="2" s="1"/>
  <c r="G9421" i="2" s="1"/>
  <c r="D9421" i="2"/>
  <c r="C9421" i="2"/>
  <c r="E9420" i="2"/>
  <c r="F9420" i="2" s="1"/>
  <c r="D9420" i="2"/>
  <c r="C9420" i="2"/>
  <c r="G9420" i="2" s="1"/>
  <c r="F9419" i="2"/>
  <c r="G9419" i="2" s="1"/>
  <c r="E9419" i="2"/>
  <c r="C9419" i="2"/>
  <c r="D9419" i="2" s="1"/>
  <c r="G9418" i="2"/>
  <c r="F9418" i="2"/>
  <c r="E9418" i="2"/>
  <c r="D9418" i="2"/>
  <c r="C9418" i="2"/>
  <c r="G9417" i="2"/>
  <c r="F9417" i="2"/>
  <c r="E9417" i="2"/>
  <c r="D9417" i="2"/>
  <c r="C9417" i="2"/>
  <c r="F9416" i="2"/>
  <c r="G9416" i="2" s="1"/>
  <c r="E9416" i="2"/>
  <c r="C9416" i="2"/>
  <c r="D9416" i="2" s="1"/>
  <c r="E9415" i="2"/>
  <c r="F9415" i="2" s="1"/>
  <c r="D9415" i="2"/>
  <c r="C9415" i="2"/>
  <c r="G9415" i="2" s="1"/>
  <c r="E9414" i="2"/>
  <c r="F9414" i="2" s="1"/>
  <c r="C9414" i="2"/>
  <c r="F9413" i="2"/>
  <c r="E9413" i="2"/>
  <c r="D9413" i="2"/>
  <c r="C9413" i="2"/>
  <c r="G9413" i="2" s="1"/>
  <c r="F9412" i="2"/>
  <c r="E9412" i="2"/>
  <c r="C9412" i="2"/>
  <c r="F9411" i="2"/>
  <c r="E9411" i="2"/>
  <c r="C9411" i="2"/>
  <c r="F9410" i="2"/>
  <c r="E9410" i="2"/>
  <c r="C9410" i="2"/>
  <c r="G9409" i="2"/>
  <c r="F9409" i="2"/>
  <c r="E9409" i="2"/>
  <c r="D9409" i="2"/>
  <c r="C9409" i="2"/>
  <c r="F9408" i="2"/>
  <c r="E9408" i="2"/>
  <c r="C9408" i="2"/>
  <c r="F9407" i="2"/>
  <c r="G9407" i="2" s="1"/>
  <c r="E9407" i="2"/>
  <c r="D9407" i="2"/>
  <c r="C9407" i="2"/>
  <c r="E9406" i="2"/>
  <c r="F9406" i="2" s="1"/>
  <c r="C9406" i="2"/>
  <c r="F9405" i="2"/>
  <c r="G9405" i="2" s="1"/>
  <c r="E9405" i="2"/>
  <c r="C9405" i="2"/>
  <c r="D9405" i="2" s="1"/>
  <c r="E9404" i="2"/>
  <c r="F9404" i="2" s="1"/>
  <c r="G9404" i="2" s="1"/>
  <c r="D9404" i="2"/>
  <c r="C9404" i="2"/>
  <c r="F9403" i="2"/>
  <c r="G9403" i="2" s="1"/>
  <c r="E9403" i="2"/>
  <c r="D9403" i="2"/>
  <c r="C9403" i="2"/>
  <c r="E9402" i="2"/>
  <c r="F9402" i="2" s="1"/>
  <c r="C9402" i="2"/>
  <c r="F9401" i="2"/>
  <c r="E9401" i="2"/>
  <c r="D9401" i="2"/>
  <c r="C9401" i="2"/>
  <c r="G9401" i="2" s="1"/>
  <c r="F9400" i="2"/>
  <c r="E9400" i="2"/>
  <c r="C9400" i="2"/>
  <c r="E9399" i="2"/>
  <c r="F9399" i="2" s="1"/>
  <c r="G9399" i="2" s="1"/>
  <c r="D9399" i="2"/>
  <c r="C9399" i="2"/>
  <c r="E9398" i="2"/>
  <c r="F9398" i="2" s="1"/>
  <c r="D9398" i="2"/>
  <c r="C9398" i="2"/>
  <c r="G9398" i="2" s="1"/>
  <c r="E9397" i="2"/>
  <c r="F9397" i="2" s="1"/>
  <c r="G9397" i="2" s="1"/>
  <c r="D9397" i="2"/>
  <c r="C9397" i="2"/>
  <c r="E9396" i="2"/>
  <c r="F9396" i="2" s="1"/>
  <c r="C9396" i="2"/>
  <c r="E9395" i="2"/>
  <c r="F9395" i="2" s="1"/>
  <c r="D9395" i="2"/>
  <c r="C9395" i="2"/>
  <c r="G9395" i="2" s="1"/>
  <c r="F9394" i="2"/>
  <c r="E9394" i="2"/>
  <c r="C9394" i="2"/>
  <c r="G9393" i="2"/>
  <c r="F9393" i="2"/>
  <c r="E9393" i="2"/>
  <c r="D9393" i="2"/>
  <c r="C9393" i="2"/>
  <c r="F9392" i="2"/>
  <c r="E9392" i="2"/>
  <c r="C9392" i="2"/>
  <c r="E9391" i="2"/>
  <c r="F9391" i="2" s="1"/>
  <c r="G9391" i="2" s="1"/>
  <c r="D9391" i="2"/>
  <c r="C9391" i="2"/>
  <c r="F9390" i="2"/>
  <c r="E9390" i="2"/>
  <c r="D9390" i="2"/>
  <c r="C9390" i="2"/>
  <c r="G9390" i="2" s="1"/>
  <c r="F9389" i="2"/>
  <c r="E9389" i="2"/>
  <c r="C9389" i="2"/>
  <c r="E9388" i="2"/>
  <c r="F9388" i="2" s="1"/>
  <c r="G9388" i="2" s="1"/>
  <c r="C9388" i="2"/>
  <c r="D9388" i="2" s="1"/>
  <c r="E9387" i="2"/>
  <c r="F9387" i="2" s="1"/>
  <c r="G9387" i="2" s="1"/>
  <c r="D9387" i="2"/>
  <c r="C9387" i="2"/>
  <c r="E9386" i="2"/>
  <c r="F9386" i="2" s="1"/>
  <c r="C9386" i="2"/>
  <c r="F9385" i="2"/>
  <c r="E9385" i="2"/>
  <c r="C9385" i="2"/>
  <c r="F9384" i="2"/>
  <c r="G9384" i="2" s="1"/>
  <c r="E9384" i="2"/>
  <c r="C9384" i="2"/>
  <c r="D9384" i="2" s="1"/>
  <c r="E9383" i="2"/>
  <c r="F9383" i="2" s="1"/>
  <c r="G9383" i="2" s="1"/>
  <c r="C9383" i="2"/>
  <c r="D9383" i="2" s="1"/>
  <c r="F9382" i="2"/>
  <c r="G9382" i="2" s="1"/>
  <c r="E9382" i="2"/>
  <c r="C9382" i="2"/>
  <c r="D9382" i="2" s="1"/>
  <c r="E9381" i="2"/>
  <c r="F9381" i="2" s="1"/>
  <c r="C9381" i="2"/>
  <c r="E9380" i="2"/>
  <c r="F9380" i="2" s="1"/>
  <c r="C9380" i="2"/>
  <c r="E9379" i="2"/>
  <c r="F9379" i="2" s="1"/>
  <c r="C9379" i="2"/>
  <c r="F9378" i="2"/>
  <c r="E9378" i="2"/>
  <c r="C9378" i="2"/>
  <c r="F9377" i="2"/>
  <c r="E9377" i="2"/>
  <c r="D9377" i="2"/>
  <c r="C9377" i="2"/>
  <c r="G9377" i="2" s="1"/>
  <c r="E9376" i="2"/>
  <c r="F9376" i="2" s="1"/>
  <c r="C9376" i="2"/>
  <c r="E9375" i="2"/>
  <c r="F9375" i="2" s="1"/>
  <c r="C9375" i="2"/>
  <c r="E9374" i="2"/>
  <c r="F9374" i="2" s="1"/>
  <c r="C9374" i="2"/>
  <c r="E9373" i="2"/>
  <c r="F9373" i="2" s="1"/>
  <c r="C9373" i="2"/>
  <c r="E9372" i="2"/>
  <c r="F9372" i="2" s="1"/>
  <c r="C9372" i="2"/>
  <c r="E9371" i="2"/>
  <c r="F9371" i="2" s="1"/>
  <c r="C9371" i="2"/>
  <c r="E9370" i="2"/>
  <c r="F9370" i="2" s="1"/>
  <c r="C9370" i="2"/>
  <c r="E9369" i="2"/>
  <c r="F9369" i="2" s="1"/>
  <c r="C9369" i="2"/>
  <c r="E9368" i="2"/>
  <c r="F9368" i="2" s="1"/>
  <c r="C9368" i="2"/>
  <c r="E9367" i="2"/>
  <c r="F9367" i="2" s="1"/>
  <c r="C9367" i="2"/>
  <c r="E9366" i="2"/>
  <c r="F9366" i="2" s="1"/>
  <c r="C9366" i="2"/>
  <c r="E9365" i="2"/>
  <c r="F9365" i="2" s="1"/>
  <c r="C9365" i="2"/>
  <c r="E9364" i="2"/>
  <c r="F9364" i="2" s="1"/>
  <c r="C9364" i="2"/>
  <c r="E9363" i="2"/>
  <c r="F9363" i="2" s="1"/>
  <c r="C9363" i="2"/>
  <c r="E9362" i="2"/>
  <c r="F9362" i="2" s="1"/>
  <c r="C9362" i="2"/>
  <c r="E9361" i="2"/>
  <c r="F9361" i="2" s="1"/>
  <c r="C9361" i="2"/>
  <c r="E9360" i="2"/>
  <c r="F9360" i="2" s="1"/>
  <c r="C9360" i="2"/>
  <c r="E9359" i="2"/>
  <c r="F9359" i="2" s="1"/>
  <c r="C9359" i="2"/>
  <c r="E9358" i="2"/>
  <c r="F9358" i="2" s="1"/>
  <c r="C9358" i="2"/>
  <c r="E9357" i="2"/>
  <c r="F9357" i="2" s="1"/>
  <c r="C9357" i="2"/>
  <c r="E9356" i="2"/>
  <c r="F9356" i="2" s="1"/>
  <c r="C9356" i="2"/>
  <c r="E9355" i="2"/>
  <c r="F9355" i="2" s="1"/>
  <c r="C9355" i="2"/>
  <c r="E9354" i="2"/>
  <c r="F9354" i="2" s="1"/>
  <c r="C9354" i="2"/>
  <c r="E9353" i="2"/>
  <c r="F9353" i="2" s="1"/>
  <c r="C9353" i="2"/>
  <c r="E9352" i="2"/>
  <c r="F9352" i="2" s="1"/>
  <c r="C9352" i="2"/>
  <c r="E9351" i="2"/>
  <c r="F9351" i="2" s="1"/>
  <c r="C9351" i="2"/>
  <c r="E9350" i="2"/>
  <c r="F9350" i="2" s="1"/>
  <c r="C9350" i="2"/>
  <c r="E9349" i="2"/>
  <c r="F9349" i="2" s="1"/>
  <c r="C9349" i="2"/>
  <c r="E9348" i="2"/>
  <c r="F9348" i="2" s="1"/>
  <c r="C9348" i="2"/>
  <c r="E9347" i="2"/>
  <c r="F9347" i="2" s="1"/>
  <c r="C9347" i="2"/>
  <c r="E9346" i="2"/>
  <c r="F9346" i="2" s="1"/>
  <c r="C9346" i="2"/>
  <c r="E9345" i="2"/>
  <c r="F9345" i="2" s="1"/>
  <c r="C9345" i="2"/>
  <c r="E9344" i="2"/>
  <c r="F9344" i="2" s="1"/>
  <c r="C9344" i="2"/>
  <c r="E9343" i="2"/>
  <c r="F9343" i="2" s="1"/>
  <c r="C9343" i="2"/>
  <c r="E9342" i="2"/>
  <c r="F9342" i="2" s="1"/>
  <c r="C9342" i="2"/>
  <c r="E9341" i="2"/>
  <c r="F9341" i="2" s="1"/>
  <c r="C9341" i="2"/>
  <c r="E9340" i="2"/>
  <c r="F9340" i="2" s="1"/>
  <c r="C9340" i="2"/>
  <c r="E9339" i="2"/>
  <c r="F9339" i="2" s="1"/>
  <c r="C9339" i="2"/>
  <c r="E9338" i="2"/>
  <c r="F9338" i="2" s="1"/>
  <c r="C9338" i="2"/>
  <c r="E9337" i="2"/>
  <c r="F9337" i="2" s="1"/>
  <c r="C9337" i="2"/>
  <c r="E9336" i="2"/>
  <c r="F9336" i="2" s="1"/>
  <c r="C9336" i="2"/>
  <c r="E9335" i="2"/>
  <c r="F9335" i="2" s="1"/>
  <c r="C9335" i="2"/>
  <c r="E9334" i="2"/>
  <c r="F9334" i="2" s="1"/>
  <c r="C9334" i="2"/>
  <c r="E9333" i="2"/>
  <c r="F9333" i="2" s="1"/>
  <c r="C9333" i="2"/>
  <c r="E9332" i="2"/>
  <c r="F9332" i="2" s="1"/>
  <c r="C9332" i="2"/>
  <c r="E9331" i="2"/>
  <c r="F9331" i="2" s="1"/>
  <c r="C9331" i="2"/>
  <c r="E9330" i="2"/>
  <c r="F9330" i="2" s="1"/>
  <c r="C9330" i="2"/>
  <c r="E9329" i="2"/>
  <c r="F9329" i="2" s="1"/>
  <c r="C9329" i="2"/>
  <c r="E9328" i="2"/>
  <c r="F9328" i="2" s="1"/>
  <c r="C9328" i="2"/>
  <c r="E9327" i="2"/>
  <c r="F9327" i="2" s="1"/>
  <c r="C9327" i="2"/>
  <c r="E9326" i="2"/>
  <c r="F9326" i="2" s="1"/>
  <c r="C9326" i="2"/>
  <c r="E9325" i="2"/>
  <c r="F9325" i="2" s="1"/>
  <c r="C9325" i="2"/>
  <c r="E9324" i="2"/>
  <c r="F9324" i="2" s="1"/>
  <c r="C9324" i="2"/>
  <c r="E9323" i="2"/>
  <c r="F9323" i="2" s="1"/>
  <c r="C9323" i="2"/>
  <c r="E9322" i="2"/>
  <c r="F9322" i="2" s="1"/>
  <c r="C9322" i="2"/>
  <c r="E9321" i="2"/>
  <c r="F9321" i="2" s="1"/>
  <c r="C9321" i="2"/>
  <c r="E9320" i="2"/>
  <c r="F9320" i="2" s="1"/>
  <c r="C9320" i="2"/>
  <c r="E9319" i="2"/>
  <c r="F9319" i="2" s="1"/>
  <c r="C9319" i="2"/>
  <c r="E9318" i="2"/>
  <c r="F9318" i="2" s="1"/>
  <c r="C9318" i="2"/>
  <c r="E9317" i="2"/>
  <c r="F9317" i="2" s="1"/>
  <c r="C9317" i="2"/>
  <c r="E9316" i="2"/>
  <c r="F9316" i="2" s="1"/>
  <c r="C9316" i="2"/>
  <c r="E9315" i="2"/>
  <c r="F9315" i="2" s="1"/>
  <c r="C9315" i="2"/>
  <c r="E9314" i="2"/>
  <c r="F9314" i="2" s="1"/>
  <c r="C9314" i="2"/>
  <c r="E9313" i="2"/>
  <c r="F9313" i="2" s="1"/>
  <c r="C9313" i="2"/>
  <c r="E9312" i="2"/>
  <c r="F9312" i="2" s="1"/>
  <c r="C9312" i="2"/>
  <c r="E9311" i="2"/>
  <c r="F9311" i="2" s="1"/>
  <c r="C9311" i="2"/>
  <c r="E9310" i="2"/>
  <c r="F9310" i="2" s="1"/>
  <c r="C9310" i="2"/>
  <c r="E9309" i="2"/>
  <c r="F9309" i="2" s="1"/>
  <c r="C9309" i="2"/>
  <c r="E9308" i="2"/>
  <c r="F9308" i="2" s="1"/>
  <c r="C9308" i="2"/>
  <c r="E9307" i="2"/>
  <c r="F9307" i="2" s="1"/>
  <c r="C9307" i="2"/>
  <c r="E9306" i="2"/>
  <c r="F9306" i="2" s="1"/>
  <c r="C9306" i="2"/>
  <c r="E9305" i="2"/>
  <c r="F9305" i="2" s="1"/>
  <c r="C9305" i="2"/>
  <c r="E9304" i="2"/>
  <c r="F9304" i="2" s="1"/>
  <c r="C9304" i="2"/>
  <c r="E9303" i="2"/>
  <c r="F9303" i="2" s="1"/>
  <c r="C9303" i="2"/>
  <c r="E9302" i="2"/>
  <c r="F9302" i="2" s="1"/>
  <c r="C9302" i="2"/>
  <c r="E9301" i="2"/>
  <c r="F9301" i="2" s="1"/>
  <c r="C9301" i="2"/>
  <c r="E9300" i="2"/>
  <c r="F9300" i="2" s="1"/>
  <c r="C9300" i="2"/>
  <c r="E9299" i="2"/>
  <c r="F9299" i="2" s="1"/>
  <c r="C9299" i="2"/>
  <c r="E9298" i="2"/>
  <c r="F9298" i="2" s="1"/>
  <c r="C9298" i="2"/>
  <c r="E9297" i="2"/>
  <c r="F9297" i="2" s="1"/>
  <c r="C9297" i="2"/>
  <c r="E9296" i="2"/>
  <c r="F9296" i="2" s="1"/>
  <c r="C9296" i="2"/>
  <c r="E9295" i="2"/>
  <c r="F9295" i="2" s="1"/>
  <c r="C9295" i="2"/>
  <c r="E9294" i="2"/>
  <c r="F9294" i="2" s="1"/>
  <c r="C9294" i="2"/>
  <c r="E9293" i="2"/>
  <c r="F9293" i="2" s="1"/>
  <c r="C9293" i="2"/>
  <c r="E9292" i="2"/>
  <c r="F9292" i="2" s="1"/>
  <c r="C9292" i="2"/>
  <c r="E9291" i="2"/>
  <c r="F9291" i="2" s="1"/>
  <c r="C9291" i="2"/>
  <c r="E9290" i="2"/>
  <c r="F9290" i="2" s="1"/>
  <c r="C9290" i="2"/>
  <c r="E9289" i="2"/>
  <c r="F9289" i="2" s="1"/>
  <c r="C9289" i="2"/>
  <c r="E9288" i="2"/>
  <c r="F9288" i="2" s="1"/>
  <c r="C9288" i="2"/>
  <c r="E9287" i="2"/>
  <c r="F9287" i="2" s="1"/>
  <c r="C9287" i="2"/>
  <c r="E9286" i="2"/>
  <c r="F9286" i="2" s="1"/>
  <c r="C9286" i="2"/>
  <c r="E9285" i="2"/>
  <c r="F9285" i="2" s="1"/>
  <c r="C9285" i="2"/>
  <c r="E9284" i="2"/>
  <c r="F9284" i="2" s="1"/>
  <c r="C9284" i="2"/>
  <c r="E9283" i="2"/>
  <c r="F9283" i="2" s="1"/>
  <c r="C9283" i="2"/>
  <c r="E9282" i="2"/>
  <c r="F9282" i="2" s="1"/>
  <c r="C9282" i="2"/>
  <c r="E9281" i="2"/>
  <c r="F9281" i="2" s="1"/>
  <c r="C9281" i="2"/>
  <c r="E9280" i="2"/>
  <c r="F9280" i="2" s="1"/>
  <c r="C9280" i="2"/>
  <c r="E9279" i="2"/>
  <c r="F9279" i="2" s="1"/>
  <c r="C9279" i="2"/>
  <c r="E9278" i="2"/>
  <c r="F9278" i="2" s="1"/>
  <c r="C9278" i="2"/>
  <c r="E9277" i="2"/>
  <c r="F9277" i="2" s="1"/>
  <c r="C9277" i="2"/>
  <c r="E9276" i="2"/>
  <c r="F9276" i="2" s="1"/>
  <c r="C9276" i="2"/>
  <c r="E9275" i="2"/>
  <c r="F9275" i="2" s="1"/>
  <c r="C9275" i="2"/>
  <c r="E9274" i="2"/>
  <c r="F9274" i="2" s="1"/>
  <c r="C9274" i="2"/>
  <c r="E9273" i="2"/>
  <c r="F9273" i="2" s="1"/>
  <c r="C9273" i="2"/>
  <c r="E9272" i="2"/>
  <c r="F9272" i="2" s="1"/>
  <c r="C9272" i="2"/>
  <c r="E9271" i="2"/>
  <c r="F9271" i="2" s="1"/>
  <c r="C9271" i="2"/>
  <c r="E9270" i="2"/>
  <c r="F9270" i="2" s="1"/>
  <c r="C9270" i="2"/>
  <c r="E9269" i="2"/>
  <c r="F9269" i="2" s="1"/>
  <c r="C9269" i="2"/>
  <c r="E9268" i="2"/>
  <c r="F9268" i="2" s="1"/>
  <c r="C9268" i="2"/>
  <c r="E9267" i="2"/>
  <c r="F9267" i="2" s="1"/>
  <c r="C9267" i="2"/>
  <c r="E9266" i="2"/>
  <c r="F9266" i="2" s="1"/>
  <c r="C9266" i="2"/>
  <c r="E9265" i="2"/>
  <c r="F9265" i="2" s="1"/>
  <c r="C9265" i="2"/>
  <c r="E9264" i="2"/>
  <c r="F9264" i="2" s="1"/>
  <c r="C9264" i="2"/>
  <c r="E9263" i="2"/>
  <c r="F9263" i="2" s="1"/>
  <c r="C9263" i="2"/>
  <c r="E9262" i="2"/>
  <c r="F9262" i="2" s="1"/>
  <c r="C9262" i="2"/>
  <c r="E9261" i="2"/>
  <c r="F9261" i="2" s="1"/>
  <c r="C9261" i="2"/>
  <c r="E9260" i="2"/>
  <c r="F9260" i="2" s="1"/>
  <c r="C9260" i="2"/>
  <c r="E9259" i="2"/>
  <c r="F9259" i="2" s="1"/>
  <c r="C9259" i="2"/>
  <c r="E9258" i="2"/>
  <c r="F9258" i="2" s="1"/>
  <c r="C9258" i="2"/>
  <c r="E9257" i="2"/>
  <c r="F9257" i="2" s="1"/>
  <c r="C9257" i="2"/>
  <c r="E9256" i="2"/>
  <c r="F9256" i="2" s="1"/>
  <c r="C9256" i="2"/>
  <c r="E9255" i="2"/>
  <c r="F9255" i="2" s="1"/>
  <c r="C9255" i="2"/>
  <c r="E9254" i="2"/>
  <c r="F9254" i="2" s="1"/>
  <c r="C9254" i="2"/>
  <c r="E9253" i="2"/>
  <c r="F9253" i="2" s="1"/>
  <c r="C9253" i="2"/>
  <c r="E9252" i="2"/>
  <c r="F9252" i="2" s="1"/>
  <c r="C9252" i="2"/>
  <c r="E9251" i="2"/>
  <c r="F9251" i="2" s="1"/>
  <c r="C9251" i="2"/>
  <c r="E9250" i="2"/>
  <c r="F9250" i="2" s="1"/>
  <c r="C9250" i="2"/>
  <c r="E9249" i="2"/>
  <c r="F9249" i="2" s="1"/>
  <c r="C9249" i="2"/>
  <c r="E9248" i="2"/>
  <c r="F9248" i="2" s="1"/>
  <c r="C9248" i="2"/>
  <c r="E9247" i="2"/>
  <c r="F9247" i="2" s="1"/>
  <c r="C9247" i="2"/>
  <c r="E9246" i="2"/>
  <c r="F9246" i="2" s="1"/>
  <c r="C9246" i="2"/>
  <c r="E9245" i="2"/>
  <c r="F9245" i="2" s="1"/>
  <c r="C9245" i="2"/>
  <c r="E9244" i="2"/>
  <c r="F9244" i="2" s="1"/>
  <c r="C9244" i="2"/>
  <c r="E9243" i="2"/>
  <c r="F9243" i="2" s="1"/>
  <c r="C9243" i="2"/>
  <c r="E9242" i="2"/>
  <c r="F9242" i="2" s="1"/>
  <c r="C9242" i="2"/>
  <c r="E9241" i="2"/>
  <c r="F9241" i="2" s="1"/>
  <c r="C9241" i="2"/>
  <c r="E9240" i="2"/>
  <c r="F9240" i="2" s="1"/>
  <c r="C9240" i="2"/>
  <c r="E9239" i="2"/>
  <c r="F9239" i="2" s="1"/>
  <c r="C9239" i="2"/>
  <c r="E9238" i="2"/>
  <c r="F9238" i="2" s="1"/>
  <c r="C9238" i="2"/>
  <c r="E9237" i="2"/>
  <c r="F9237" i="2" s="1"/>
  <c r="C9237" i="2"/>
  <c r="E9236" i="2"/>
  <c r="F9236" i="2" s="1"/>
  <c r="C9236" i="2"/>
  <c r="E9235" i="2"/>
  <c r="F9235" i="2" s="1"/>
  <c r="C9235" i="2"/>
  <c r="E9234" i="2"/>
  <c r="F9234" i="2" s="1"/>
  <c r="C9234" i="2"/>
  <c r="E9233" i="2"/>
  <c r="F9233" i="2" s="1"/>
  <c r="C9233" i="2"/>
  <c r="E9232" i="2"/>
  <c r="F9232" i="2" s="1"/>
  <c r="C9232" i="2"/>
  <c r="E9231" i="2"/>
  <c r="F9231" i="2" s="1"/>
  <c r="C9231" i="2"/>
  <c r="E9230" i="2"/>
  <c r="F9230" i="2" s="1"/>
  <c r="C9230" i="2"/>
  <c r="E9229" i="2"/>
  <c r="F9229" i="2" s="1"/>
  <c r="C9229" i="2"/>
  <c r="E9228" i="2"/>
  <c r="F9228" i="2" s="1"/>
  <c r="C9228" i="2"/>
  <c r="E9227" i="2"/>
  <c r="F9227" i="2" s="1"/>
  <c r="C9227" i="2"/>
  <c r="E9226" i="2"/>
  <c r="F9226" i="2" s="1"/>
  <c r="C9226" i="2"/>
  <c r="E9225" i="2"/>
  <c r="F9225" i="2" s="1"/>
  <c r="C9225" i="2"/>
  <c r="E9224" i="2"/>
  <c r="F9224" i="2" s="1"/>
  <c r="C9224" i="2"/>
  <c r="E9223" i="2"/>
  <c r="F9223" i="2" s="1"/>
  <c r="C9223" i="2"/>
  <c r="E9222" i="2"/>
  <c r="F9222" i="2" s="1"/>
  <c r="C9222" i="2"/>
  <c r="E9221" i="2"/>
  <c r="F9221" i="2" s="1"/>
  <c r="C9221" i="2"/>
  <c r="E9220" i="2"/>
  <c r="F9220" i="2" s="1"/>
  <c r="C9220" i="2"/>
  <c r="E9219" i="2"/>
  <c r="F9219" i="2" s="1"/>
  <c r="C9219" i="2"/>
  <c r="E9218" i="2"/>
  <c r="F9218" i="2" s="1"/>
  <c r="C9218" i="2"/>
  <c r="E9217" i="2"/>
  <c r="F9217" i="2" s="1"/>
  <c r="C9217" i="2"/>
  <c r="E9216" i="2"/>
  <c r="F9216" i="2" s="1"/>
  <c r="C9216" i="2"/>
  <c r="E9215" i="2"/>
  <c r="F9215" i="2" s="1"/>
  <c r="C9215" i="2"/>
  <c r="E9214" i="2"/>
  <c r="F9214" i="2" s="1"/>
  <c r="C9214" i="2"/>
  <c r="E9213" i="2"/>
  <c r="F9213" i="2" s="1"/>
  <c r="C9213" i="2"/>
  <c r="E9212" i="2"/>
  <c r="F9212" i="2" s="1"/>
  <c r="C9212" i="2"/>
  <c r="E9211" i="2"/>
  <c r="F9211" i="2" s="1"/>
  <c r="C9211" i="2"/>
  <c r="E9210" i="2"/>
  <c r="F9210" i="2" s="1"/>
  <c r="C9210" i="2"/>
  <c r="E9209" i="2"/>
  <c r="F9209" i="2" s="1"/>
  <c r="C9209" i="2"/>
  <c r="E9208" i="2"/>
  <c r="F9208" i="2" s="1"/>
  <c r="C9208" i="2"/>
  <c r="E9207" i="2"/>
  <c r="F9207" i="2" s="1"/>
  <c r="C9207" i="2"/>
  <c r="E9206" i="2"/>
  <c r="F9206" i="2" s="1"/>
  <c r="C9206" i="2"/>
  <c r="E9205" i="2"/>
  <c r="F9205" i="2" s="1"/>
  <c r="C9205" i="2"/>
  <c r="E9204" i="2"/>
  <c r="F9204" i="2" s="1"/>
  <c r="C9204" i="2"/>
  <c r="E9203" i="2"/>
  <c r="F9203" i="2" s="1"/>
  <c r="C9203" i="2"/>
  <c r="E9202" i="2"/>
  <c r="F9202" i="2" s="1"/>
  <c r="C9202" i="2"/>
  <c r="E9201" i="2"/>
  <c r="F9201" i="2" s="1"/>
  <c r="C9201" i="2"/>
  <c r="E9200" i="2"/>
  <c r="F9200" i="2" s="1"/>
  <c r="C9200" i="2"/>
  <c r="E9199" i="2"/>
  <c r="F9199" i="2" s="1"/>
  <c r="C9199" i="2"/>
  <c r="E9198" i="2"/>
  <c r="F9198" i="2" s="1"/>
  <c r="C9198" i="2"/>
  <c r="E9197" i="2"/>
  <c r="F9197" i="2" s="1"/>
  <c r="C9197" i="2"/>
  <c r="E9196" i="2"/>
  <c r="F9196" i="2" s="1"/>
  <c r="C9196" i="2"/>
  <c r="E9195" i="2"/>
  <c r="F9195" i="2" s="1"/>
  <c r="C9195" i="2"/>
  <c r="E9194" i="2"/>
  <c r="F9194" i="2" s="1"/>
  <c r="C9194" i="2"/>
  <c r="E9193" i="2"/>
  <c r="F9193" i="2" s="1"/>
  <c r="C9193" i="2"/>
  <c r="E9192" i="2"/>
  <c r="F9192" i="2" s="1"/>
  <c r="C9192" i="2"/>
  <c r="E9191" i="2"/>
  <c r="F9191" i="2" s="1"/>
  <c r="C9191" i="2"/>
  <c r="E9190" i="2"/>
  <c r="F9190" i="2" s="1"/>
  <c r="C9190" i="2"/>
  <c r="E9189" i="2"/>
  <c r="F9189" i="2" s="1"/>
  <c r="C9189" i="2"/>
  <c r="E9188" i="2"/>
  <c r="F9188" i="2" s="1"/>
  <c r="C9188" i="2"/>
  <c r="E9187" i="2"/>
  <c r="F9187" i="2" s="1"/>
  <c r="C9187" i="2"/>
  <c r="E9186" i="2"/>
  <c r="F9186" i="2" s="1"/>
  <c r="C9186" i="2"/>
  <c r="E9185" i="2"/>
  <c r="F9185" i="2" s="1"/>
  <c r="C9185" i="2"/>
  <c r="E9184" i="2"/>
  <c r="F9184" i="2" s="1"/>
  <c r="C9184" i="2"/>
  <c r="E9183" i="2"/>
  <c r="F9183" i="2" s="1"/>
  <c r="C9183" i="2"/>
  <c r="E9182" i="2"/>
  <c r="F9182" i="2" s="1"/>
  <c r="C9182" i="2"/>
  <c r="E9181" i="2"/>
  <c r="F9181" i="2" s="1"/>
  <c r="C9181" i="2"/>
  <c r="E9180" i="2"/>
  <c r="F9180" i="2" s="1"/>
  <c r="C9180" i="2"/>
  <c r="E9179" i="2"/>
  <c r="F9179" i="2" s="1"/>
  <c r="C9179" i="2"/>
  <c r="E9178" i="2"/>
  <c r="F9178" i="2" s="1"/>
  <c r="C9178" i="2"/>
  <c r="E9177" i="2"/>
  <c r="F9177" i="2" s="1"/>
  <c r="C9177" i="2"/>
  <c r="E9176" i="2"/>
  <c r="F9176" i="2" s="1"/>
  <c r="C9176" i="2"/>
  <c r="E9175" i="2"/>
  <c r="F9175" i="2" s="1"/>
  <c r="C9175" i="2"/>
  <c r="E9174" i="2"/>
  <c r="F9174" i="2" s="1"/>
  <c r="C9174" i="2"/>
  <c r="E9173" i="2"/>
  <c r="F9173" i="2" s="1"/>
  <c r="C9173" i="2"/>
  <c r="E9172" i="2"/>
  <c r="F9172" i="2" s="1"/>
  <c r="C9172" i="2"/>
  <c r="E9171" i="2"/>
  <c r="F9171" i="2" s="1"/>
  <c r="C9171" i="2"/>
  <c r="E9170" i="2"/>
  <c r="F9170" i="2" s="1"/>
  <c r="C9170" i="2"/>
  <c r="E9169" i="2"/>
  <c r="F9169" i="2" s="1"/>
  <c r="C9169" i="2"/>
  <c r="E9168" i="2"/>
  <c r="F9168" i="2" s="1"/>
  <c r="C9168" i="2"/>
  <c r="E9167" i="2"/>
  <c r="F9167" i="2" s="1"/>
  <c r="C9167" i="2"/>
  <c r="E9166" i="2"/>
  <c r="F9166" i="2" s="1"/>
  <c r="C9166" i="2"/>
  <c r="E9165" i="2"/>
  <c r="F9165" i="2" s="1"/>
  <c r="C9165" i="2"/>
  <c r="E9164" i="2"/>
  <c r="F9164" i="2" s="1"/>
  <c r="C9164" i="2"/>
  <c r="E9163" i="2"/>
  <c r="F9163" i="2" s="1"/>
  <c r="C9163" i="2"/>
  <c r="E9162" i="2"/>
  <c r="F9162" i="2" s="1"/>
  <c r="C9162" i="2"/>
  <c r="E9161" i="2"/>
  <c r="F9161" i="2" s="1"/>
  <c r="C9161" i="2"/>
  <c r="E9160" i="2"/>
  <c r="F9160" i="2" s="1"/>
  <c r="C9160" i="2"/>
  <c r="E9159" i="2"/>
  <c r="F9159" i="2" s="1"/>
  <c r="C9159" i="2"/>
  <c r="E9158" i="2"/>
  <c r="F9158" i="2" s="1"/>
  <c r="C9158" i="2"/>
  <c r="E9157" i="2"/>
  <c r="F9157" i="2" s="1"/>
  <c r="C9157" i="2"/>
  <c r="E9156" i="2"/>
  <c r="F9156" i="2" s="1"/>
  <c r="C9156" i="2"/>
  <c r="E9155" i="2"/>
  <c r="F9155" i="2" s="1"/>
  <c r="C9155" i="2"/>
  <c r="E9154" i="2"/>
  <c r="F9154" i="2" s="1"/>
  <c r="C9154" i="2"/>
  <c r="E9153" i="2"/>
  <c r="F9153" i="2" s="1"/>
  <c r="C9153" i="2"/>
  <c r="E9152" i="2"/>
  <c r="F9152" i="2" s="1"/>
  <c r="C9152" i="2"/>
  <c r="E9151" i="2"/>
  <c r="F9151" i="2" s="1"/>
  <c r="C9151" i="2"/>
  <c r="E9150" i="2"/>
  <c r="F9150" i="2" s="1"/>
  <c r="C9150" i="2"/>
  <c r="E9149" i="2"/>
  <c r="F9149" i="2" s="1"/>
  <c r="C9149" i="2"/>
  <c r="E9148" i="2"/>
  <c r="F9148" i="2" s="1"/>
  <c r="C9148" i="2"/>
  <c r="E9147" i="2"/>
  <c r="F9147" i="2" s="1"/>
  <c r="C9147" i="2"/>
  <c r="E9146" i="2"/>
  <c r="F9146" i="2" s="1"/>
  <c r="C9146" i="2"/>
  <c r="E9145" i="2"/>
  <c r="F9145" i="2" s="1"/>
  <c r="C9145" i="2"/>
  <c r="E9144" i="2"/>
  <c r="F9144" i="2" s="1"/>
  <c r="C9144" i="2"/>
  <c r="E9143" i="2"/>
  <c r="F9143" i="2" s="1"/>
  <c r="C9143" i="2"/>
  <c r="E9142" i="2"/>
  <c r="F9142" i="2" s="1"/>
  <c r="C9142" i="2"/>
  <c r="E9141" i="2"/>
  <c r="F9141" i="2" s="1"/>
  <c r="C9141" i="2"/>
  <c r="E9140" i="2"/>
  <c r="F9140" i="2" s="1"/>
  <c r="C9140" i="2"/>
  <c r="E9139" i="2"/>
  <c r="F9139" i="2" s="1"/>
  <c r="C9139" i="2"/>
  <c r="E9138" i="2"/>
  <c r="F9138" i="2" s="1"/>
  <c r="C9138" i="2"/>
  <c r="E9137" i="2"/>
  <c r="F9137" i="2" s="1"/>
  <c r="C9137" i="2"/>
  <c r="E9136" i="2"/>
  <c r="F9136" i="2" s="1"/>
  <c r="C9136" i="2"/>
  <c r="E9135" i="2"/>
  <c r="F9135" i="2" s="1"/>
  <c r="C9135" i="2"/>
  <c r="E9134" i="2"/>
  <c r="F9134" i="2" s="1"/>
  <c r="C9134" i="2"/>
  <c r="E9133" i="2"/>
  <c r="F9133" i="2" s="1"/>
  <c r="C9133" i="2"/>
  <c r="E9132" i="2"/>
  <c r="F9132" i="2" s="1"/>
  <c r="C9132" i="2"/>
  <c r="E9131" i="2"/>
  <c r="F9131" i="2" s="1"/>
  <c r="C9131" i="2"/>
  <c r="E9130" i="2"/>
  <c r="F9130" i="2" s="1"/>
  <c r="C9130" i="2"/>
  <c r="E9129" i="2"/>
  <c r="F9129" i="2" s="1"/>
  <c r="C9129" i="2"/>
  <c r="E9128" i="2"/>
  <c r="F9128" i="2" s="1"/>
  <c r="C9128" i="2"/>
  <c r="E9127" i="2"/>
  <c r="F9127" i="2" s="1"/>
  <c r="C9127" i="2"/>
  <c r="E9126" i="2"/>
  <c r="F9126" i="2" s="1"/>
  <c r="C9126" i="2"/>
  <c r="E9125" i="2"/>
  <c r="F9125" i="2" s="1"/>
  <c r="C9125" i="2"/>
  <c r="E9124" i="2"/>
  <c r="F9124" i="2" s="1"/>
  <c r="C9124" i="2"/>
  <c r="E9123" i="2"/>
  <c r="F9123" i="2" s="1"/>
  <c r="C9123" i="2"/>
  <c r="E9122" i="2"/>
  <c r="F9122" i="2" s="1"/>
  <c r="C9122" i="2"/>
  <c r="E9121" i="2"/>
  <c r="F9121" i="2" s="1"/>
  <c r="C9121" i="2"/>
  <c r="E9120" i="2"/>
  <c r="F9120" i="2" s="1"/>
  <c r="C9120" i="2"/>
  <c r="E9119" i="2"/>
  <c r="F9119" i="2" s="1"/>
  <c r="C9119" i="2"/>
  <c r="E9118" i="2"/>
  <c r="F9118" i="2" s="1"/>
  <c r="C9118" i="2"/>
  <c r="E9117" i="2"/>
  <c r="F9117" i="2" s="1"/>
  <c r="C9117" i="2"/>
  <c r="E9116" i="2"/>
  <c r="F9116" i="2" s="1"/>
  <c r="C9116" i="2"/>
  <c r="E9115" i="2"/>
  <c r="F9115" i="2" s="1"/>
  <c r="C9115" i="2"/>
  <c r="E9114" i="2"/>
  <c r="F9114" i="2" s="1"/>
  <c r="C9114" i="2"/>
  <c r="E9113" i="2"/>
  <c r="F9113" i="2" s="1"/>
  <c r="C9113" i="2"/>
  <c r="E9112" i="2"/>
  <c r="F9112" i="2" s="1"/>
  <c r="C9112" i="2"/>
  <c r="E9111" i="2"/>
  <c r="F9111" i="2" s="1"/>
  <c r="C9111" i="2"/>
  <c r="E9110" i="2"/>
  <c r="F9110" i="2" s="1"/>
  <c r="C9110" i="2"/>
  <c r="E9109" i="2"/>
  <c r="F9109" i="2" s="1"/>
  <c r="C9109" i="2"/>
  <c r="E9108" i="2"/>
  <c r="F9108" i="2" s="1"/>
  <c r="C9108" i="2"/>
  <c r="E9107" i="2"/>
  <c r="F9107" i="2" s="1"/>
  <c r="C9107" i="2"/>
  <c r="E9106" i="2"/>
  <c r="F9106" i="2" s="1"/>
  <c r="C9106" i="2"/>
  <c r="E9105" i="2"/>
  <c r="F9105" i="2" s="1"/>
  <c r="C9105" i="2"/>
  <c r="E9104" i="2"/>
  <c r="F9104" i="2" s="1"/>
  <c r="C9104" i="2"/>
  <c r="E9103" i="2"/>
  <c r="F9103" i="2" s="1"/>
  <c r="C9103" i="2"/>
  <c r="E9102" i="2"/>
  <c r="F9102" i="2" s="1"/>
  <c r="C9102" i="2"/>
  <c r="E9101" i="2"/>
  <c r="F9101" i="2" s="1"/>
  <c r="C9101" i="2"/>
  <c r="E9100" i="2"/>
  <c r="F9100" i="2" s="1"/>
  <c r="C9100" i="2"/>
  <c r="E9099" i="2"/>
  <c r="F9099" i="2" s="1"/>
  <c r="C9099" i="2"/>
  <c r="E9098" i="2"/>
  <c r="F9098" i="2" s="1"/>
  <c r="C9098" i="2"/>
  <c r="E9097" i="2"/>
  <c r="F9097" i="2" s="1"/>
  <c r="C9097" i="2"/>
  <c r="E9096" i="2"/>
  <c r="F9096" i="2" s="1"/>
  <c r="C9096" i="2"/>
  <c r="E9095" i="2"/>
  <c r="F9095" i="2" s="1"/>
  <c r="C9095" i="2"/>
  <c r="E9094" i="2"/>
  <c r="F9094" i="2" s="1"/>
  <c r="C9094" i="2"/>
  <c r="E9093" i="2"/>
  <c r="F9093" i="2" s="1"/>
  <c r="C9093" i="2"/>
  <c r="E9092" i="2"/>
  <c r="F9092" i="2" s="1"/>
  <c r="C9092" i="2"/>
  <c r="E9091" i="2"/>
  <c r="F9091" i="2" s="1"/>
  <c r="C9091" i="2"/>
  <c r="E9090" i="2"/>
  <c r="F9090" i="2" s="1"/>
  <c r="C9090" i="2"/>
  <c r="E9089" i="2"/>
  <c r="F9089" i="2" s="1"/>
  <c r="C9089" i="2"/>
  <c r="E9088" i="2"/>
  <c r="F9088" i="2" s="1"/>
  <c r="C9088" i="2"/>
  <c r="E9087" i="2"/>
  <c r="F9087" i="2" s="1"/>
  <c r="C9087" i="2"/>
  <c r="E9086" i="2"/>
  <c r="F9086" i="2" s="1"/>
  <c r="C9086" i="2"/>
  <c r="E9085" i="2"/>
  <c r="F9085" i="2" s="1"/>
  <c r="C9085" i="2"/>
  <c r="E9084" i="2"/>
  <c r="F9084" i="2" s="1"/>
  <c r="C9084" i="2"/>
  <c r="E9083" i="2"/>
  <c r="F9083" i="2" s="1"/>
  <c r="C9083" i="2"/>
  <c r="E9082" i="2"/>
  <c r="F9082" i="2" s="1"/>
  <c r="C9082" i="2"/>
  <c r="E9081" i="2"/>
  <c r="F9081" i="2" s="1"/>
  <c r="C9081" i="2"/>
  <c r="E9080" i="2"/>
  <c r="F9080" i="2" s="1"/>
  <c r="C9080" i="2"/>
  <c r="E9079" i="2"/>
  <c r="F9079" i="2" s="1"/>
  <c r="C9079" i="2"/>
  <c r="E9078" i="2"/>
  <c r="F9078" i="2" s="1"/>
  <c r="C9078" i="2"/>
  <c r="E9077" i="2"/>
  <c r="F9077" i="2" s="1"/>
  <c r="C9077" i="2"/>
  <c r="E9076" i="2"/>
  <c r="F9076" i="2" s="1"/>
  <c r="C9076" i="2"/>
  <c r="E9075" i="2"/>
  <c r="F9075" i="2" s="1"/>
  <c r="C9075" i="2"/>
  <c r="E9074" i="2"/>
  <c r="F9074" i="2" s="1"/>
  <c r="C9074" i="2"/>
  <c r="E9073" i="2"/>
  <c r="F9073" i="2" s="1"/>
  <c r="C9073" i="2"/>
  <c r="E9072" i="2"/>
  <c r="F9072" i="2" s="1"/>
  <c r="C9072" i="2"/>
  <c r="E9071" i="2"/>
  <c r="F9071" i="2" s="1"/>
  <c r="C9071" i="2"/>
  <c r="E9070" i="2"/>
  <c r="F9070" i="2" s="1"/>
  <c r="C9070" i="2"/>
  <c r="E9069" i="2"/>
  <c r="F9069" i="2" s="1"/>
  <c r="C9069" i="2"/>
  <c r="E9068" i="2"/>
  <c r="F9068" i="2" s="1"/>
  <c r="C9068" i="2"/>
  <c r="E9067" i="2"/>
  <c r="F9067" i="2" s="1"/>
  <c r="C9067" i="2"/>
  <c r="E9066" i="2"/>
  <c r="F9066" i="2" s="1"/>
  <c r="C9066" i="2"/>
  <c r="E9065" i="2"/>
  <c r="F9065" i="2" s="1"/>
  <c r="C9065" i="2"/>
  <c r="E9064" i="2"/>
  <c r="F9064" i="2" s="1"/>
  <c r="C9064" i="2"/>
  <c r="E9063" i="2"/>
  <c r="F9063" i="2" s="1"/>
  <c r="C9063" i="2"/>
  <c r="E9062" i="2"/>
  <c r="F9062" i="2" s="1"/>
  <c r="C9062" i="2"/>
  <c r="E9061" i="2"/>
  <c r="F9061" i="2" s="1"/>
  <c r="C9061" i="2"/>
  <c r="E9060" i="2"/>
  <c r="F9060" i="2" s="1"/>
  <c r="C9060" i="2"/>
  <c r="E9059" i="2"/>
  <c r="F9059" i="2" s="1"/>
  <c r="C9059" i="2"/>
  <c r="E9058" i="2"/>
  <c r="F9058" i="2" s="1"/>
  <c r="C9058" i="2"/>
  <c r="E9057" i="2"/>
  <c r="F9057" i="2" s="1"/>
  <c r="C9057" i="2"/>
  <c r="E9056" i="2"/>
  <c r="F9056" i="2" s="1"/>
  <c r="C9056" i="2"/>
  <c r="E9055" i="2"/>
  <c r="F9055" i="2" s="1"/>
  <c r="C9055" i="2"/>
  <c r="E9054" i="2"/>
  <c r="F9054" i="2" s="1"/>
  <c r="C9054" i="2"/>
  <c r="E9053" i="2"/>
  <c r="F9053" i="2" s="1"/>
  <c r="C9053" i="2"/>
  <c r="E9052" i="2"/>
  <c r="F9052" i="2" s="1"/>
  <c r="C9052" i="2"/>
  <c r="E9051" i="2"/>
  <c r="F9051" i="2" s="1"/>
  <c r="C9051" i="2"/>
  <c r="E9050" i="2"/>
  <c r="F9050" i="2" s="1"/>
  <c r="C9050" i="2"/>
  <c r="E9049" i="2"/>
  <c r="F9049" i="2" s="1"/>
  <c r="C9049" i="2"/>
  <c r="E9048" i="2"/>
  <c r="F9048" i="2" s="1"/>
  <c r="C9048" i="2"/>
  <c r="E9047" i="2"/>
  <c r="F9047" i="2" s="1"/>
  <c r="C9047" i="2"/>
  <c r="E9046" i="2"/>
  <c r="F9046" i="2" s="1"/>
  <c r="C9046" i="2"/>
  <c r="E9045" i="2"/>
  <c r="F9045" i="2" s="1"/>
  <c r="C9045" i="2"/>
  <c r="E9044" i="2"/>
  <c r="F9044" i="2" s="1"/>
  <c r="C9044" i="2"/>
  <c r="E9043" i="2"/>
  <c r="F9043" i="2" s="1"/>
  <c r="C9043" i="2"/>
  <c r="E9042" i="2"/>
  <c r="F9042" i="2" s="1"/>
  <c r="C9042" i="2"/>
  <c r="E9041" i="2"/>
  <c r="F9041" i="2" s="1"/>
  <c r="C9041" i="2"/>
  <c r="E9040" i="2"/>
  <c r="F9040" i="2" s="1"/>
  <c r="C9040" i="2"/>
  <c r="E9039" i="2"/>
  <c r="F9039" i="2" s="1"/>
  <c r="C9039" i="2"/>
  <c r="E9038" i="2"/>
  <c r="F9038" i="2" s="1"/>
  <c r="C9038" i="2"/>
  <c r="E9037" i="2"/>
  <c r="F9037" i="2" s="1"/>
  <c r="C9037" i="2"/>
  <c r="E9036" i="2"/>
  <c r="F9036" i="2" s="1"/>
  <c r="C9036" i="2"/>
  <c r="E9035" i="2"/>
  <c r="F9035" i="2" s="1"/>
  <c r="C9035" i="2"/>
  <c r="E9034" i="2"/>
  <c r="F9034" i="2" s="1"/>
  <c r="C9034" i="2"/>
  <c r="E9033" i="2"/>
  <c r="F9033" i="2" s="1"/>
  <c r="C9033" i="2"/>
  <c r="E9032" i="2"/>
  <c r="F9032" i="2" s="1"/>
  <c r="C9032" i="2"/>
  <c r="E9031" i="2"/>
  <c r="F9031" i="2" s="1"/>
  <c r="C9031" i="2"/>
  <c r="E9030" i="2"/>
  <c r="F9030" i="2" s="1"/>
  <c r="C9030" i="2"/>
  <c r="E9029" i="2"/>
  <c r="F9029" i="2" s="1"/>
  <c r="C9029" i="2"/>
  <c r="E9028" i="2"/>
  <c r="F9028" i="2" s="1"/>
  <c r="C9028" i="2"/>
  <c r="E9027" i="2"/>
  <c r="F9027" i="2" s="1"/>
  <c r="C9027" i="2"/>
  <c r="E9026" i="2"/>
  <c r="F9026" i="2" s="1"/>
  <c r="C9026" i="2"/>
  <c r="E9025" i="2"/>
  <c r="F9025" i="2" s="1"/>
  <c r="C9025" i="2"/>
  <c r="E9024" i="2"/>
  <c r="F9024" i="2" s="1"/>
  <c r="C9024" i="2"/>
  <c r="E9023" i="2"/>
  <c r="F9023" i="2" s="1"/>
  <c r="C9023" i="2"/>
  <c r="E9022" i="2"/>
  <c r="F9022" i="2" s="1"/>
  <c r="C9022" i="2"/>
  <c r="E9021" i="2"/>
  <c r="F9021" i="2" s="1"/>
  <c r="C9021" i="2"/>
  <c r="E9020" i="2"/>
  <c r="F9020" i="2" s="1"/>
  <c r="C9020" i="2"/>
  <c r="E9019" i="2"/>
  <c r="F9019" i="2" s="1"/>
  <c r="C9019" i="2"/>
  <c r="E9018" i="2"/>
  <c r="F9018" i="2" s="1"/>
  <c r="C9018" i="2"/>
  <c r="E9017" i="2"/>
  <c r="F9017" i="2" s="1"/>
  <c r="C9017" i="2"/>
  <c r="E9016" i="2"/>
  <c r="F9016" i="2" s="1"/>
  <c r="C9016" i="2"/>
  <c r="E9015" i="2"/>
  <c r="F9015" i="2" s="1"/>
  <c r="C9015" i="2"/>
  <c r="E9014" i="2"/>
  <c r="F9014" i="2" s="1"/>
  <c r="C9014" i="2"/>
  <c r="E9013" i="2"/>
  <c r="F9013" i="2" s="1"/>
  <c r="C9013" i="2"/>
  <c r="E9012" i="2"/>
  <c r="F9012" i="2" s="1"/>
  <c r="C9012" i="2"/>
  <c r="E9011" i="2"/>
  <c r="F9011" i="2" s="1"/>
  <c r="C9011" i="2"/>
  <c r="E9010" i="2"/>
  <c r="F9010" i="2" s="1"/>
  <c r="C9010" i="2"/>
  <c r="E9009" i="2"/>
  <c r="F9009" i="2" s="1"/>
  <c r="C9009" i="2"/>
  <c r="E9008" i="2"/>
  <c r="F9008" i="2" s="1"/>
  <c r="C9008" i="2"/>
  <c r="E9007" i="2"/>
  <c r="F9007" i="2" s="1"/>
  <c r="C9007" i="2"/>
  <c r="E9006" i="2"/>
  <c r="F9006" i="2" s="1"/>
  <c r="C9006" i="2"/>
  <c r="E9005" i="2"/>
  <c r="F9005" i="2" s="1"/>
  <c r="C9005" i="2"/>
  <c r="E9004" i="2"/>
  <c r="F9004" i="2" s="1"/>
  <c r="C9004" i="2"/>
  <c r="E9003" i="2"/>
  <c r="F9003" i="2" s="1"/>
  <c r="C9003" i="2"/>
  <c r="E9002" i="2"/>
  <c r="F9002" i="2" s="1"/>
  <c r="C9002" i="2"/>
  <c r="E9001" i="2"/>
  <c r="F9001" i="2" s="1"/>
  <c r="C9001" i="2"/>
  <c r="E9000" i="2"/>
  <c r="F9000" i="2" s="1"/>
  <c r="C9000" i="2"/>
  <c r="E8999" i="2"/>
  <c r="F8999" i="2" s="1"/>
  <c r="C8999" i="2"/>
  <c r="E8998" i="2"/>
  <c r="F8998" i="2" s="1"/>
  <c r="C8998" i="2"/>
  <c r="E8997" i="2"/>
  <c r="F8997" i="2" s="1"/>
  <c r="C8997" i="2"/>
  <c r="E8996" i="2"/>
  <c r="F8996" i="2" s="1"/>
  <c r="C8996" i="2"/>
  <c r="E8995" i="2"/>
  <c r="F8995" i="2" s="1"/>
  <c r="C8995" i="2"/>
  <c r="E8994" i="2"/>
  <c r="F8994" i="2" s="1"/>
  <c r="C8994" i="2"/>
  <c r="E8993" i="2"/>
  <c r="F8993" i="2" s="1"/>
  <c r="C8993" i="2"/>
  <c r="E8992" i="2"/>
  <c r="F8992" i="2" s="1"/>
  <c r="C8992" i="2"/>
  <c r="E8991" i="2"/>
  <c r="F8991" i="2" s="1"/>
  <c r="C8991" i="2"/>
  <c r="E8990" i="2"/>
  <c r="F8990" i="2" s="1"/>
  <c r="C8990" i="2"/>
  <c r="E8989" i="2"/>
  <c r="F8989" i="2" s="1"/>
  <c r="C8989" i="2"/>
  <c r="E8988" i="2"/>
  <c r="F8988" i="2" s="1"/>
  <c r="C8988" i="2"/>
  <c r="E8987" i="2"/>
  <c r="F8987" i="2" s="1"/>
  <c r="C8987" i="2"/>
  <c r="E8986" i="2"/>
  <c r="F8986" i="2" s="1"/>
  <c r="C8986" i="2"/>
  <c r="E8985" i="2"/>
  <c r="F8985" i="2" s="1"/>
  <c r="C8985" i="2"/>
  <c r="E8984" i="2"/>
  <c r="F8984" i="2" s="1"/>
  <c r="C8984" i="2"/>
  <c r="E8983" i="2"/>
  <c r="F8983" i="2" s="1"/>
  <c r="C8983" i="2"/>
  <c r="E8982" i="2"/>
  <c r="F8982" i="2" s="1"/>
  <c r="C8982" i="2"/>
  <c r="E8981" i="2"/>
  <c r="F8981" i="2" s="1"/>
  <c r="C8981" i="2"/>
  <c r="E8980" i="2"/>
  <c r="F8980" i="2" s="1"/>
  <c r="C8980" i="2"/>
  <c r="E8979" i="2"/>
  <c r="F8979" i="2" s="1"/>
  <c r="C8979" i="2"/>
  <c r="E8978" i="2"/>
  <c r="F8978" i="2" s="1"/>
  <c r="C8978" i="2"/>
  <c r="E8977" i="2"/>
  <c r="F8977" i="2" s="1"/>
  <c r="C8977" i="2"/>
  <c r="E8976" i="2"/>
  <c r="F8976" i="2" s="1"/>
  <c r="C8976" i="2"/>
  <c r="E8975" i="2"/>
  <c r="F8975" i="2" s="1"/>
  <c r="C8975" i="2"/>
  <c r="E8974" i="2"/>
  <c r="F8974" i="2" s="1"/>
  <c r="C8974" i="2"/>
  <c r="E8973" i="2"/>
  <c r="F8973" i="2" s="1"/>
  <c r="C8973" i="2"/>
  <c r="E8972" i="2"/>
  <c r="F8972" i="2" s="1"/>
  <c r="C8972" i="2"/>
  <c r="E8971" i="2"/>
  <c r="F8971" i="2" s="1"/>
  <c r="C8971" i="2"/>
  <c r="E8970" i="2"/>
  <c r="F8970" i="2" s="1"/>
  <c r="C8970" i="2"/>
  <c r="E8969" i="2"/>
  <c r="F8969" i="2" s="1"/>
  <c r="C8969" i="2"/>
  <c r="E8968" i="2"/>
  <c r="F8968" i="2" s="1"/>
  <c r="C8968" i="2"/>
  <c r="E8967" i="2"/>
  <c r="F8967" i="2" s="1"/>
  <c r="C8967" i="2"/>
  <c r="E8966" i="2"/>
  <c r="F8966" i="2" s="1"/>
  <c r="C8966" i="2"/>
  <c r="E8965" i="2"/>
  <c r="F8965" i="2" s="1"/>
  <c r="C8965" i="2"/>
  <c r="E8964" i="2"/>
  <c r="F8964" i="2" s="1"/>
  <c r="C8964" i="2"/>
  <c r="E8963" i="2"/>
  <c r="F8963" i="2" s="1"/>
  <c r="C8963" i="2"/>
  <c r="E8962" i="2"/>
  <c r="F8962" i="2" s="1"/>
  <c r="C8962" i="2"/>
  <c r="E8961" i="2"/>
  <c r="F8961" i="2" s="1"/>
  <c r="C8961" i="2"/>
  <c r="E8960" i="2"/>
  <c r="F8960" i="2" s="1"/>
  <c r="C8960" i="2"/>
  <c r="E8959" i="2"/>
  <c r="F8959" i="2" s="1"/>
  <c r="C8959" i="2"/>
  <c r="E8958" i="2"/>
  <c r="F8958" i="2" s="1"/>
  <c r="C8958" i="2"/>
  <c r="E8957" i="2"/>
  <c r="F8957" i="2" s="1"/>
  <c r="C8957" i="2"/>
  <c r="E8956" i="2"/>
  <c r="F8956" i="2" s="1"/>
  <c r="C8956" i="2"/>
  <c r="E8955" i="2"/>
  <c r="F8955" i="2" s="1"/>
  <c r="C8955" i="2"/>
  <c r="E8954" i="2"/>
  <c r="F8954" i="2" s="1"/>
  <c r="C8954" i="2"/>
  <c r="E8953" i="2"/>
  <c r="F8953" i="2" s="1"/>
  <c r="C8953" i="2"/>
  <c r="E8952" i="2"/>
  <c r="F8952" i="2" s="1"/>
  <c r="C8952" i="2"/>
  <c r="E8951" i="2"/>
  <c r="F8951" i="2" s="1"/>
  <c r="C8951" i="2"/>
  <c r="E8950" i="2"/>
  <c r="F8950" i="2" s="1"/>
  <c r="C8950" i="2"/>
  <c r="E8949" i="2"/>
  <c r="F8949" i="2" s="1"/>
  <c r="C8949" i="2"/>
  <c r="E8948" i="2"/>
  <c r="F8948" i="2" s="1"/>
  <c r="C8948" i="2"/>
  <c r="E8947" i="2"/>
  <c r="F8947" i="2" s="1"/>
  <c r="C8947" i="2"/>
  <c r="E8946" i="2"/>
  <c r="F8946" i="2" s="1"/>
  <c r="C8946" i="2"/>
  <c r="E8945" i="2"/>
  <c r="F8945" i="2" s="1"/>
  <c r="C8945" i="2"/>
  <c r="E8944" i="2"/>
  <c r="F8944" i="2" s="1"/>
  <c r="C8944" i="2"/>
  <c r="E8943" i="2"/>
  <c r="F8943" i="2" s="1"/>
  <c r="C8943" i="2"/>
  <c r="E8942" i="2"/>
  <c r="F8942" i="2" s="1"/>
  <c r="C8942" i="2"/>
  <c r="E8941" i="2"/>
  <c r="F8941" i="2" s="1"/>
  <c r="C8941" i="2"/>
  <c r="E8940" i="2"/>
  <c r="F8940" i="2" s="1"/>
  <c r="C8940" i="2"/>
  <c r="E8939" i="2"/>
  <c r="F8939" i="2" s="1"/>
  <c r="C8939" i="2"/>
  <c r="E8938" i="2"/>
  <c r="F8938" i="2" s="1"/>
  <c r="C8938" i="2"/>
  <c r="E8937" i="2"/>
  <c r="F8937" i="2" s="1"/>
  <c r="C8937" i="2"/>
  <c r="E8936" i="2"/>
  <c r="F8936" i="2" s="1"/>
  <c r="C8936" i="2"/>
  <c r="E8935" i="2"/>
  <c r="F8935" i="2" s="1"/>
  <c r="C8935" i="2"/>
  <c r="E8934" i="2"/>
  <c r="F8934" i="2" s="1"/>
  <c r="C8934" i="2"/>
  <c r="E8933" i="2"/>
  <c r="F8933" i="2" s="1"/>
  <c r="C8933" i="2"/>
  <c r="E8932" i="2"/>
  <c r="F8932" i="2" s="1"/>
  <c r="C8932" i="2"/>
  <c r="E8931" i="2"/>
  <c r="F8931" i="2" s="1"/>
  <c r="C8931" i="2"/>
  <c r="E8930" i="2"/>
  <c r="F8930" i="2" s="1"/>
  <c r="C8930" i="2"/>
  <c r="E8929" i="2"/>
  <c r="F8929" i="2" s="1"/>
  <c r="C8929" i="2"/>
  <c r="E8928" i="2"/>
  <c r="F8928" i="2" s="1"/>
  <c r="C8928" i="2"/>
  <c r="E8927" i="2"/>
  <c r="F8927" i="2" s="1"/>
  <c r="C8927" i="2"/>
  <c r="E8926" i="2"/>
  <c r="F8926" i="2" s="1"/>
  <c r="C8926" i="2"/>
  <c r="E8925" i="2"/>
  <c r="F8925" i="2" s="1"/>
  <c r="C8925" i="2"/>
  <c r="E8924" i="2"/>
  <c r="F8924" i="2" s="1"/>
  <c r="C8924" i="2"/>
  <c r="E8923" i="2"/>
  <c r="F8923" i="2" s="1"/>
  <c r="C8923" i="2"/>
  <c r="E8922" i="2"/>
  <c r="F8922" i="2" s="1"/>
  <c r="C8922" i="2"/>
  <c r="E8921" i="2"/>
  <c r="F8921" i="2" s="1"/>
  <c r="C8921" i="2"/>
  <c r="E8920" i="2"/>
  <c r="F8920" i="2" s="1"/>
  <c r="C8920" i="2"/>
  <c r="E8919" i="2"/>
  <c r="F8919" i="2" s="1"/>
  <c r="C8919" i="2"/>
  <c r="E8918" i="2"/>
  <c r="F8918" i="2" s="1"/>
  <c r="C8918" i="2"/>
  <c r="E8917" i="2"/>
  <c r="F8917" i="2" s="1"/>
  <c r="C8917" i="2"/>
  <c r="E8916" i="2"/>
  <c r="F8916" i="2" s="1"/>
  <c r="C8916" i="2"/>
  <c r="E8915" i="2"/>
  <c r="F8915" i="2" s="1"/>
  <c r="C8915" i="2"/>
  <c r="E8914" i="2"/>
  <c r="F8914" i="2" s="1"/>
  <c r="C8914" i="2"/>
  <c r="E8913" i="2"/>
  <c r="F8913" i="2" s="1"/>
  <c r="C8913" i="2"/>
  <c r="E8912" i="2"/>
  <c r="F8912" i="2" s="1"/>
  <c r="C8912" i="2"/>
  <c r="E8911" i="2"/>
  <c r="F8911" i="2" s="1"/>
  <c r="C8911" i="2"/>
  <c r="E8910" i="2"/>
  <c r="F8910" i="2" s="1"/>
  <c r="C8910" i="2"/>
  <c r="E8909" i="2"/>
  <c r="F8909" i="2" s="1"/>
  <c r="C8909" i="2"/>
  <c r="E8908" i="2"/>
  <c r="F8908" i="2" s="1"/>
  <c r="C8908" i="2"/>
  <c r="E8907" i="2"/>
  <c r="F8907" i="2" s="1"/>
  <c r="C8907" i="2"/>
  <c r="E8906" i="2"/>
  <c r="F8906" i="2" s="1"/>
  <c r="C8906" i="2"/>
  <c r="E8905" i="2"/>
  <c r="F8905" i="2" s="1"/>
  <c r="C8905" i="2"/>
  <c r="E8904" i="2"/>
  <c r="F8904" i="2" s="1"/>
  <c r="C8904" i="2"/>
  <c r="E8903" i="2"/>
  <c r="F8903" i="2" s="1"/>
  <c r="C8903" i="2"/>
  <c r="E8902" i="2"/>
  <c r="F8902" i="2" s="1"/>
  <c r="C8902" i="2"/>
  <c r="E8901" i="2"/>
  <c r="F8901" i="2" s="1"/>
  <c r="C8901" i="2"/>
  <c r="E8900" i="2"/>
  <c r="F8900" i="2" s="1"/>
  <c r="C8900" i="2"/>
  <c r="E8899" i="2"/>
  <c r="F8899" i="2" s="1"/>
  <c r="C8899" i="2"/>
  <c r="E8898" i="2"/>
  <c r="F8898" i="2" s="1"/>
  <c r="C8898" i="2"/>
  <c r="E8897" i="2"/>
  <c r="F8897" i="2" s="1"/>
  <c r="C8897" i="2"/>
  <c r="E8896" i="2"/>
  <c r="F8896" i="2" s="1"/>
  <c r="C8896" i="2"/>
  <c r="E8895" i="2"/>
  <c r="F8895" i="2" s="1"/>
  <c r="C8895" i="2"/>
  <c r="E8894" i="2"/>
  <c r="F8894" i="2" s="1"/>
  <c r="C8894" i="2"/>
  <c r="E8893" i="2"/>
  <c r="F8893" i="2" s="1"/>
  <c r="C8893" i="2"/>
  <c r="E8892" i="2"/>
  <c r="F8892" i="2" s="1"/>
  <c r="C8892" i="2"/>
  <c r="E8891" i="2"/>
  <c r="F8891" i="2" s="1"/>
  <c r="C8891" i="2"/>
  <c r="E8890" i="2"/>
  <c r="F8890" i="2" s="1"/>
  <c r="C8890" i="2"/>
  <c r="E8889" i="2"/>
  <c r="F8889" i="2" s="1"/>
  <c r="C8889" i="2"/>
  <c r="E8888" i="2"/>
  <c r="F8888" i="2" s="1"/>
  <c r="C8888" i="2"/>
  <c r="E8887" i="2"/>
  <c r="F8887" i="2" s="1"/>
  <c r="C8887" i="2"/>
  <c r="E8886" i="2"/>
  <c r="F8886" i="2" s="1"/>
  <c r="C8886" i="2"/>
  <c r="E8885" i="2"/>
  <c r="F8885" i="2" s="1"/>
  <c r="C8885" i="2"/>
  <c r="E8884" i="2"/>
  <c r="F8884" i="2" s="1"/>
  <c r="C8884" i="2"/>
  <c r="E8883" i="2"/>
  <c r="F8883" i="2" s="1"/>
  <c r="C8883" i="2"/>
  <c r="E8882" i="2"/>
  <c r="F8882" i="2" s="1"/>
  <c r="C8882" i="2"/>
  <c r="E8881" i="2"/>
  <c r="F8881" i="2" s="1"/>
  <c r="C8881" i="2"/>
  <c r="E8880" i="2"/>
  <c r="F8880" i="2" s="1"/>
  <c r="C8880" i="2"/>
  <c r="E8879" i="2"/>
  <c r="F8879" i="2" s="1"/>
  <c r="C8879" i="2"/>
  <c r="E8878" i="2"/>
  <c r="F8878" i="2" s="1"/>
  <c r="C8878" i="2"/>
  <c r="E8877" i="2"/>
  <c r="F8877" i="2" s="1"/>
  <c r="C8877" i="2"/>
  <c r="E8876" i="2"/>
  <c r="F8876" i="2" s="1"/>
  <c r="C8876" i="2"/>
  <c r="E8875" i="2"/>
  <c r="F8875" i="2" s="1"/>
  <c r="C8875" i="2"/>
  <c r="E8874" i="2"/>
  <c r="F8874" i="2" s="1"/>
  <c r="C8874" i="2"/>
  <c r="E8873" i="2"/>
  <c r="F8873" i="2" s="1"/>
  <c r="C8873" i="2"/>
  <c r="E8872" i="2"/>
  <c r="F8872" i="2" s="1"/>
  <c r="C8872" i="2"/>
  <c r="E8871" i="2"/>
  <c r="F8871" i="2" s="1"/>
  <c r="C8871" i="2"/>
  <c r="E8870" i="2"/>
  <c r="F8870" i="2" s="1"/>
  <c r="C8870" i="2"/>
  <c r="E8869" i="2"/>
  <c r="F8869" i="2" s="1"/>
  <c r="C8869" i="2"/>
  <c r="E8868" i="2"/>
  <c r="F8868" i="2" s="1"/>
  <c r="C8868" i="2"/>
  <c r="E8867" i="2"/>
  <c r="F8867" i="2" s="1"/>
  <c r="C8867" i="2"/>
  <c r="E8866" i="2"/>
  <c r="F8866" i="2" s="1"/>
  <c r="C8866" i="2"/>
  <c r="E8865" i="2"/>
  <c r="F8865" i="2" s="1"/>
  <c r="C8865" i="2"/>
  <c r="E8864" i="2"/>
  <c r="F8864" i="2" s="1"/>
  <c r="C8864" i="2"/>
  <c r="E8863" i="2"/>
  <c r="F8863" i="2" s="1"/>
  <c r="C8863" i="2"/>
  <c r="E8862" i="2"/>
  <c r="F8862" i="2" s="1"/>
  <c r="C8862" i="2"/>
  <c r="E8861" i="2"/>
  <c r="F8861" i="2" s="1"/>
  <c r="C8861" i="2"/>
  <c r="E8860" i="2"/>
  <c r="F8860" i="2" s="1"/>
  <c r="C8860" i="2"/>
  <c r="E8859" i="2"/>
  <c r="F8859" i="2" s="1"/>
  <c r="C8859" i="2"/>
  <c r="E8858" i="2"/>
  <c r="F8858" i="2" s="1"/>
  <c r="C8858" i="2"/>
  <c r="E8857" i="2"/>
  <c r="F8857" i="2" s="1"/>
  <c r="C8857" i="2"/>
  <c r="E8856" i="2"/>
  <c r="F8856" i="2" s="1"/>
  <c r="C8856" i="2"/>
  <c r="E8855" i="2"/>
  <c r="F8855" i="2" s="1"/>
  <c r="C8855" i="2"/>
  <c r="E8854" i="2"/>
  <c r="F8854" i="2" s="1"/>
  <c r="C8854" i="2"/>
  <c r="E8853" i="2"/>
  <c r="F8853" i="2" s="1"/>
  <c r="C8853" i="2"/>
  <c r="E8852" i="2"/>
  <c r="F8852" i="2" s="1"/>
  <c r="C8852" i="2"/>
  <c r="E8851" i="2"/>
  <c r="F8851" i="2" s="1"/>
  <c r="C8851" i="2"/>
  <c r="E8850" i="2"/>
  <c r="F8850" i="2" s="1"/>
  <c r="C8850" i="2"/>
  <c r="E8849" i="2"/>
  <c r="F8849" i="2" s="1"/>
  <c r="C8849" i="2"/>
  <c r="E8848" i="2"/>
  <c r="F8848" i="2" s="1"/>
  <c r="C8848" i="2"/>
  <c r="E8847" i="2"/>
  <c r="F8847" i="2" s="1"/>
  <c r="C8847" i="2"/>
  <c r="E8846" i="2"/>
  <c r="F8846" i="2" s="1"/>
  <c r="C8846" i="2"/>
  <c r="E8845" i="2"/>
  <c r="F8845" i="2" s="1"/>
  <c r="C8845" i="2"/>
  <c r="E8844" i="2"/>
  <c r="F8844" i="2" s="1"/>
  <c r="C8844" i="2"/>
  <c r="E8843" i="2"/>
  <c r="F8843" i="2" s="1"/>
  <c r="C8843" i="2"/>
  <c r="E8842" i="2"/>
  <c r="F8842" i="2" s="1"/>
  <c r="C8842" i="2"/>
  <c r="E8841" i="2"/>
  <c r="F8841" i="2" s="1"/>
  <c r="C8841" i="2"/>
  <c r="E8840" i="2"/>
  <c r="F8840" i="2" s="1"/>
  <c r="C8840" i="2"/>
  <c r="E8839" i="2"/>
  <c r="F8839" i="2" s="1"/>
  <c r="C8839" i="2"/>
  <c r="E8838" i="2"/>
  <c r="F8838" i="2" s="1"/>
  <c r="C8838" i="2"/>
  <c r="E8837" i="2"/>
  <c r="F8837" i="2" s="1"/>
  <c r="C8837" i="2"/>
  <c r="E8836" i="2"/>
  <c r="F8836" i="2" s="1"/>
  <c r="C8836" i="2"/>
  <c r="E8835" i="2"/>
  <c r="F8835" i="2" s="1"/>
  <c r="C8835" i="2"/>
  <c r="E8834" i="2"/>
  <c r="F8834" i="2" s="1"/>
  <c r="C8834" i="2"/>
  <c r="E8833" i="2"/>
  <c r="F8833" i="2" s="1"/>
  <c r="C8833" i="2"/>
  <c r="E8832" i="2"/>
  <c r="F8832" i="2" s="1"/>
  <c r="C8832" i="2"/>
  <c r="E8831" i="2"/>
  <c r="F8831" i="2" s="1"/>
  <c r="C8831" i="2"/>
  <c r="E8830" i="2"/>
  <c r="F8830" i="2" s="1"/>
  <c r="C8830" i="2"/>
  <c r="E8829" i="2"/>
  <c r="F8829" i="2" s="1"/>
  <c r="C8829" i="2"/>
  <c r="E8828" i="2"/>
  <c r="F8828" i="2" s="1"/>
  <c r="C8828" i="2"/>
  <c r="E8827" i="2"/>
  <c r="F8827" i="2" s="1"/>
  <c r="C8827" i="2"/>
  <c r="E8826" i="2"/>
  <c r="F8826" i="2" s="1"/>
  <c r="C8826" i="2"/>
  <c r="E8825" i="2"/>
  <c r="F8825" i="2" s="1"/>
  <c r="C8825" i="2"/>
  <c r="E8824" i="2"/>
  <c r="F8824" i="2" s="1"/>
  <c r="C8824" i="2"/>
  <c r="E8823" i="2"/>
  <c r="F8823" i="2" s="1"/>
  <c r="C8823" i="2"/>
  <c r="E8822" i="2"/>
  <c r="F8822" i="2" s="1"/>
  <c r="C8822" i="2"/>
  <c r="E8821" i="2"/>
  <c r="F8821" i="2" s="1"/>
  <c r="C8821" i="2"/>
  <c r="E8820" i="2"/>
  <c r="F8820" i="2" s="1"/>
  <c r="C8820" i="2"/>
  <c r="E8819" i="2"/>
  <c r="F8819" i="2" s="1"/>
  <c r="C8819" i="2"/>
  <c r="E8818" i="2"/>
  <c r="F8818" i="2" s="1"/>
  <c r="C8818" i="2"/>
  <c r="E8817" i="2"/>
  <c r="F8817" i="2" s="1"/>
  <c r="C8817" i="2"/>
  <c r="E8816" i="2"/>
  <c r="F8816" i="2" s="1"/>
  <c r="C8816" i="2"/>
  <c r="E8815" i="2"/>
  <c r="F8815" i="2" s="1"/>
  <c r="C8815" i="2"/>
  <c r="E8814" i="2"/>
  <c r="F8814" i="2" s="1"/>
  <c r="C8814" i="2"/>
  <c r="E8813" i="2"/>
  <c r="F8813" i="2" s="1"/>
  <c r="C8813" i="2"/>
  <c r="E8812" i="2"/>
  <c r="F8812" i="2" s="1"/>
  <c r="C8812" i="2"/>
  <c r="E8811" i="2"/>
  <c r="F8811" i="2" s="1"/>
  <c r="C8811" i="2"/>
  <c r="E8810" i="2"/>
  <c r="F8810" i="2" s="1"/>
  <c r="C8810" i="2"/>
  <c r="E8809" i="2"/>
  <c r="F8809" i="2" s="1"/>
  <c r="C8809" i="2"/>
  <c r="E8808" i="2"/>
  <c r="F8808" i="2" s="1"/>
  <c r="C8808" i="2"/>
  <c r="E8807" i="2"/>
  <c r="F8807" i="2" s="1"/>
  <c r="C8807" i="2"/>
  <c r="E8806" i="2"/>
  <c r="F8806" i="2" s="1"/>
  <c r="C8806" i="2"/>
  <c r="E8805" i="2"/>
  <c r="F8805" i="2" s="1"/>
  <c r="C8805" i="2"/>
  <c r="E8804" i="2"/>
  <c r="F8804" i="2" s="1"/>
  <c r="C8804" i="2"/>
  <c r="E8803" i="2"/>
  <c r="F8803" i="2" s="1"/>
  <c r="C8803" i="2"/>
  <c r="E8802" i="2"/>
  <c r="F8802" i="2" s="1"/>
  <c r="C8802" i="2"/>
  <c r="E8801" i="2"/>
  <c r="F8801" i="2" s="1"/>
  <c r="C8801" i="2"/>
  <c r="E8800" i="2"/>
  <c r="F8800" i="2" s="1"/>
  <c r="C8800" i="2"/>
  <c r="E8799" i="2"/>
  <c r="F8799" i="2" s="1"/>
  <c r="C8799" i="2"/>
  <c r="E8798" i="2"/>
  <c r="F8798" i="2" s="1"/>
  <c r="C8798" i="2"/>
  <c r="E8797" i="2"/>
  <c r="F8797" i="2" s="1"/>
  <c r="C8797" i="2"/>
  <c r="E8796" i="2"/>
  <c r="F8796" i="2" s="1"/>
  <c r="C8796" i="2"/>
  <c r="E8795" i="2"/>
  <c r="F8795" i="2" s="1"/>
  <c r="C8795" i="2"/>
  <c r="E8794" i="2"/>
  <c r="F8794" i="2" s="1"/>
  <c r="C8794" i="2"/>
  <c r="E8793" i="2"/>
  <c r="F8793" i="2" s="1"/>
  <c r="C8793" i="2"/>
  <c r="E8792" i="2"/>
  <c r="F8792" i="2" s="1"/>
  <c r="C8792" i="2"/>
  <c r="E8791" i="2"/>
  <c r="F8791" i="2" s="1"/>
  <c r="C8791" i="2"/>
  <c r="E8790" i="2"/>
  <c r="F8790" i="2" s="1"/>
  <c r="C8790" i="2"/>
  <c r="E8789" i="2"/>
  <c r="F8789" i="2" s="1"/>
  <c r="C8789" i="2"/>
  <c r="E8788" i="2"/>
  <c r="F8788" i="2" s="1"/>
  <c r="C8788" i="2"/>
  <c r="E8787" i="2"/>
  <c r="F8787" i="2" s="1"/>
  <c r="C8787" i="2"/>
  <c r="E8786" i="2"/>
  <c r="F8786" i="2" s="1"/>
  <c r="C8786" i="2"/>
  <c r="E8785" i="2"/>
  <c r="F8785" i="2" s="1"/>
  <c r="C8785" i="2"/>
  <c r="E8784" i="2"/>
  <c r="F8784" i="2" s="1"/>
  <c r="C8784" i="2"/>
  <c r="E8783" i="2"/>
  <c r="F8783" i="2" s="1"/>
  <c r="C8783" i="2"/>
  <c r="E8782" i="2"/>
  <c r="F8782" i="2" s="1"/>
  <c r="C8782" i="2"/>
  <c r="E8781" i="2"/>
  <c r="F8781" i="2" s="1"/>
  <c r="C8781" i="2"/>
  <c r="E8780" i="2"/>
  <c r="F8780" i="2" s="1"/>
  <c r="C8780" i="2"/>
  <c r="E8779" i="2"/>
  <c r="F8779" i="2" s="1"/>
  <c r="C8779" i="2"/>
  <c r="E8778" i="2"/>
  <c r="F8778" i="2" s="1"/>
  <c r="C8778" i="2"/>
  <c r="E8777" i="2"/>
  <c r="F8777" i="2" s="1"/>
  <c r="C8777" i="2"/>
  <c r="E8776" i="2"/>
  <c r="F8776" i="2" s="1"/>
  <c r="C8776" i="2"/>
  <c r="E8775" i="2"/>
  <c r="F8775" i="2" s="1"/>
  <c r="C8775" i="2"/>
  <c r="E8774" i="2"/>
  <c r="F8774" i="2" s="1"/>
  <c r="C8774" i="2"/>
  <c r="E8773" i="2"/>
  <c r="F8773" i="2" s="1"/>
  <c r="C8773" i="2"/>
  <c r="E8772" i="2"/>
  <c r="F8772" i="2" s="1"/>
  <c r="C8772" i="2"/>
  <c r="E8771" i="2"/>
  <c r="F8771" i="2" s="1"/>
  <c r="C8771" i="2"/>
  <c r="E8770" i="2"/>
  <c r="F8770" i="2" s="1"/>
  <c r="C8770" i="2"/>
  <c r="E8769" i="2"/>
  <c r="F8769" i="2" s="1"/>
  <c r="C8769" i="2"/>
  <c r="E8768" i="2"/>
  <c r="F8768" i="2" s="1"/>
  <c r="C8768" i="2"/>
  <c r="E8767" i="2"/>
  <c r="F8767" i="2" s="1"/>
  <c r="C8767" i="2"/>
  <c r="E8766" i="2"/>
  <c r="F8766" i="2" s="1"/>
  <c r="C8766" i="2"/>
  <c r="E8765" i="2"/>
  <c r="F8765" i="2" s="1"/>
  <c r="C8765" i="2"/>
  <c r="E8764" i="2"/>
  <c r="F8764" i="2" s="1"/>
  <c r="C8764" i="2"/>
  <c r="E8763" i="2"/>
  <c r="F8763" i="2" s="1"/>
  <c r="C8763" i="2"/>
  <c r="E8762" i="2"/>
  <c r="F8762" i="2" s="1"/>
  <c r="C8762" i="2"/>
  <c r="E8761" i="2"/>
  <c r="F8761" i="2" s="1"/>
  <c r="C8761" i="2"/>
  <c r="E8760" i="2"/>
  <c r="F8760" i="2" s="1"/>
  <c r="C8760" i="2"/>
  <c r="E8759" i="2"/>
  <c r="F8759" i="2" s="1"/>
  <c r="C8759" i="2"/>
  <c r="E8758" i="2"/>
  <c r="F8758" i="2" s="1"/>
  <c r="C8758" i="2"/>
  <c r="E8757" i="2"/>
  <c r="F8757" i="2" s="1"/>
  <c r="C8757" i="2"/>
  <c r="E8756" i="2"/>
  <c r="F8756" i="2" s="1"/>
  <c r="C8756" i="2"/>
  <c r="E8755" i="2"/>
  <c r="F8755" i="2" s="1"/>
  <c r="C8755" i="2"/>
  <c r="E8754" i="2"/>
  <c r="F8754" i="2" s="1"/>
  <c r="C8754" i="2"/>
  <c r="E8753" i="2"/>
  <c r="F8753" i="2" s="1"/>
  <c r="C8753" i="2"/>
  <c r="E8752" i="2"/>
  <c r="F8752" i="2" s="1"/>
  <c r="C8752" i="2"/>
  <c r="E8751" i="2"/>
  <c r="F8751" i="2" s="1"/>
  <c r="C8751" i="2"/>
  <c r="E8750" i="2"/>
  <c r="F8750" i="2" s="1"/>
  <c r="C8750" i="2"/>
  <c r="E8749" i="2"/>
  <c r="F8749" i="2" s="1"/>
  <c r="C8749" i="2"/>
  <c r="E8748" i="2"/>
  <c r="F8748" i="2" s="1"/>
  <c r="C8748" i="2"/>
  <c r="E8747" i="2"/>
  <c r="F8747" i="2" s="1"/>
  <c r="C8747" i="2"/>
  <c r="E8746" i="2"/>
  <c r="F8746" i="2" s="1"/>
  <c r="C8746" i="2"/>
  <c r="E8745" i="2"/>
  <c r="F8745" i="2" s="1"/>
  <c r="C8745" i="2"/>
  <c r="E8744" i="2"/>
  <c r="F8744" i="2" s="1"/>
  <c r="C8744" i="2"/>
  <c r="E8743" i="2"/>
  <c r="F8743" i="2" s="1"/>
  <c r="C8743" i="2"/>
  <c r="E8742" i="2"/>
  <c r="F8742" i="2" s="1"/>
  <c r="C8742" i="2"/>
  <c r="E8741" i="2"/>
  <c r="F8741" i="2" s="1"/>
  <c r="C8741" i="2"/>
  <c r="E8740" i="2"/>
  <c r="F8740" i="2" s="1"/>
  <c r="C8740" i="2"/>
  <c r="E8739" i="2"/>
  <c r="F8739" i="2" s="1"/>
  <c r="C8739" i="2"/>
  <c r="E8738" i="2"/>
  <c r="F8738" i="2" s="1"/>
  <c r="C8738" i="2"/>
  <c r="E8737" i="2"/>
  <c r="F8737" i="2" s="1"/>
  <c r="C8737" i="2"/>
  <c r="E8736" i="2"/>
  <c r="F8736" i="2" s="1"/>
  <c r="C8736" i="2"/>
  <c r="E8735" i="2"/>
  <c r="F8735" i="2" s="1"/>
  <c r="C8735" i="2"/>
  <c r="E8734" i="2"/>
  <c r="F8734" i="2" s="1"/>
  <c r="C8734" i="2"/>
  <c r="E8733" i="2"/>
  <c r="F8733" i="2" s="1"/>
  <c r="C8733" i="2"/>
  <c r="E8732" i="2"/>
  <c r="F8732" i="2" s="1"/>
  <c r="C8732" i="2"/>
  <c r="E8731" i="2"/>
  <c r="F8731" i="2" s="1"/>
  <c r="C8731" i="2"/>
  <c r="E8730" i="2"/>
  <c r="F8730" i="2" s="1"/>
  <c r="C8730" i="2"/>
  <c r="E8729" i="2"/>
  <c r="F8729" i="2" s="1"/>
  <c r="C8729" i="2"/>
  <c r="E8728" i="2"/>
  <c r="F8728" i="2" s="1"/>
  <c r="C8728" i="2"/>
  <c r="E8727" i="2"/>
  <c r="F8727" i="2" s="1"/>
  <c r="C8727" i="2"/>
  <c r="E8726" i="2"/>
  <c r="F8726" i="2" s="1"/>
  <c r="C8726" i="2"/>
  <c r="E8725" i="2"/>
  <c r="F8725" i="2" s="1"/>
  <c r="C8725" i="2"/>
  <c r="E8724" i="2"/>
  <c r="F8724" i="2" s="1"/>
  <c r="C8724" i="2"/>
  <c r="E8723" i="2"/>
  <c r="F8723" i="2" s="1"/>
  <c r="C8723" i="2"/>
  <c r="E8722" i="2"/>
  <c r="F8722" i="2" s="1"/>
  <c r="C8722" i="2"/>
  <c r="E8721" i="2"/>
  <c r="F8721" i="2" s="1"/>
  <c r="C8721" i="2"/>
  <c r="E8720" i="2"/>
  <c r="F8720" i="2" s="1"/>
  <c r="C8720" i="2"/>
  <c r="E8719" i="2"/>
  <c r="F8719" i="2" s="1"/>
  <c r="C8719" i="2"/>
  <c r="E8718" i="2"/>
  <c r="F8718" i="2" s="1"/>
  <c r="C8718" i="2"/>
  <c r="E8717" i="2"/>
  <c r="F8717" i="2" s="1"/>
  <c r="C8717" i="2"/>
  <c r="E8716" i="2"/>
  <c r="F8716" i="2" s="1"/>
  <c r="C8716" i="2"/>
  <c r="E8715" i="2"/>
  <c r="F8715" i="2" s="1"/>
  <c r="C8715" i="2"/>
  <c r="E8714" i="2"/>
  <c r="F8714" i="2" s="1"/>
  <c r="C8714" i="2"/>
  <c r="E8713" i="2"/>
  <c r="F8713" i="2" s="1"/>
  <c r="C8713" i="2"/>
  <c r="E8712" i="2"/>
  <c r="F8712" i="2" s="1"/>
  <c r="C8712" i="2"/>
  <c r="E8711" i="2"/>
  <c r="F8711" i="2" s="1"/>
  <c r="C8711" i="2"/>
  <c r="E8710" i="2"/>
  <c r="F8710" i="2" s="1"/>
  <c r="C8710" i="2"/>
  <c r="E8709" i="2"/>
  <c r="F8709" i="2" s="1"/>
  <c r="C8709" i="2"/>
  <c r="E8708" i="2"/>
  <c r="F8708" i="2" s="1"/>
  <c r="C8708" i="2"/>
  <c r="E8707" i="2"/>
  <c r="F8707" i="2" s="1"/>
  <c r="C8707" i="2"/>
  <c r="E8706" i="2"/>
  <c r="F8706" i="2" s="1"/>
  <c r="C8706" i="2"/>
  <c r="E8705" i="2"/>
  <c r="F8705" i="2" s="1"/>
  <c r="C8705" i="2"/>
  <c r="E8704" i="2"/>
  <c r="F8704" i="2" s="1"/>
  <c r="C8704" i="2"/>
  <c r="E8703" i="2"/>
  <c r="F8703" i="2" s="1"/>
  <c r="C8703" i="2"/>
  <c r="E8702" i="2"/>
  <c r="F8702" i="2" s="1"/>
  <c r="C8702" i="2"/>
  <c r="E8701" i="2"/>
  <c r="F8701" i="2" s="1"/>
  <c r="C8701" i="2"/>
  <c r="E8700" i="2"/>
  <c r="F8700" i="2" s="1"/>
  <c r="C8700" i="2"/>
  <c r="E8699" i="2"/>
  <c r="F8699" i="2" s="1"/>
  <c r="C8699" i="2"/>
  <c r="E8698" i="2"/>
  <c r="F8698" i="2" s="1"/>
  <c r="C8698" i="2"/>
  <c r="E8697" i="2"/>
  <c r="F8697" i="2" s="1"/>
  <c r="C8697" i="2"/>
  <c r="E8696" i="2"/>
  <c r="F8696" i="2" s="1"/>
  <c r="C8696" i="2"/>
  <c r="E8695" i="2"/>
  <c r="F8695" i="2" s="1"/>
  <c r="C8695" i="2"/>
  <c r="E8694" i="2"/>
  <c r="F8694" i="2" s="1"/>
  <c r="C8694" i="2"/>
  <c r="E8693" i="2"/>
  <c r="F8693" i="2" s="1"/>
  <c r="C8693" i="2"/>
  <c r="E8692" i="2"/>
  <c r="F8692" i="2" s="1"/>
  <c r="C8692" i="2"/>
  <c r="E8691" i="2"/>
  <c r="F8691" i="2" s="1"/>
  <c r="C8691" i="2"/>
  <c r="E8690" i="2"/>
  <c r="F8690" i="2" s="1"/>
  <c r="C8690" i="2"/>
  <c r="E8689" i="2"/>
  <c r="F8689" i="2" s="1"/>
  <c r="C8689" i="2"/>
  <c r="E8688" i="2"/>
  <c r="F8688" i="2" s="1"/>
  <c r="C8688" i="2"/>
  <c r="E8687" i="2"/>
  <c r="F8687" i="2" s="1"/>
  <c r="C8687" i="2"/>
  <c r="E8686" i="2"/>
  <c r="F8686" i="2" s="1"/>
  <c r="C8686" i="2"/>
  <c r="E8685" i="2"/>
  <c r="F8685" i="2" s="1"/>
  <c r="C8685" i="2"/>
  <c r="E8684" i="2"/>
  <c r="F8684" i="2" s="1"/>
  <c r="C8684" i="2"/>
  <c r="E8683" i="2"/>
  <c r="F8683" i="2" s="1"/>
  <c r="C8683" i="2"/>
  <c r="E8682" i="2"/>
  <c r="F8682" i="2" s="1"/>
  <c r="C8682" i="2"/>
  <c r="E8681" i="2"/>
  <c r="F8681" i="2" s="1"/>
  <c r="C8681" i="2"/>
  <c r="E8680" i="2"/>
  <c r="F8680" i="2" s="1"/>
  <c r="C8680" i="2"/>
  <c r="E8679" i="2"/>
  <c r="F8679" i="2" s="1"/>
  <c r="C8679" i="2"/>
  <c r="E8678" i="2"/>
  <c r="F8678" i="2" s="1"/>
  <c r="C8678" i="2"/>
  <c r="E8677" i="2"/>
  <c r="F8677" i="2" s="1"/>
  <c r="C8677" i="2"/>
  <c r="E8676" i="2"/>
  <c r="F8676" i="2" s="1"/>
  <c r="C8676" i="2"/>
  <c r="E8675" i="2"/>
  <c r="F8675" i="2" s="1"/>
  <c r="C8675" i="2"/>
  <c r="E8674" i="2"/>
  <c r="F8674" i="2" s="1"/>
  <c r="C8674" i="2"/>
  <c r="E8673" i="2"/>
  <c r="F8673" i="2" s="1"/>
  <c r="C8673" i="2"/>
  <c r="E8672" i="2"/>
  <c r="F8672" i="2" s="1"/>
  <c r="C8672" i="2"/>
  <c r="E8671" i="2"/>
  <c r="F8671" i="2" s="1"/>
  <c r="C8671" i="2"/>
  <c r="E8670" i="2"/>
  <c r="F8670" i="2" s="1"/>
  <c r="C8670" i="2"/>
  <c r="E8669" i="2"/>
  <c r="F8669" i="2" s="1"/>
  <c r="C8669" i="2"/>
  <c r="E8668" i="2"/>
  <c r="F8668" i="2" s="1"/>
  <c r="C8668" i="2"/>
  <c r="E8667" i="2"/>
  <c r="F8667" i="2" s="1"/>
  <c r="C8667" i="2"/>
  <c r="E8666" i="2"/>
  <c r="F8666" i="2" s="1"/>
  <c r="C8666" i="2"/>
  <c r="E8665" i="2"/>
  <c r="F8665" i="2" s="1"/>
  <c r="C8665" i="2"/>
  <c r="E8664" i="2"/>
  <c r="F8664" i="2" s="1"/>
  <c r="C8664" i="2"/>
  <c r="E8663" i="2"/>
  <c r="F8663" i="2" s="1"/>
  <c r="C8663" i="2"/>
  <c r="E8662" i="2"/>
  <c r="F8662" i="2" s="1"/>
  <c r="C8662" i="2"/>
  <c r="E8661" i="2"/>
  <c r="F8661" i="2" s="1"/>
  <c r="C8661" i="2"/>
  <c r="E8660" i="2"/>
  <c r="F8660" i="2" s="1"/>
  <c r="C8660" i="2"/>
  <c r="E8659" i="2"/>
  <c r="F8659" i="2" s="1"/>
  <c r="C8659" i="2"/>
  <c r="E8658" i="2"/>
  <c r="F8658" i="2" s="1"/>
  <c r="C8658" i="2"/>
  <c r="E8657" i="2"/>
  <c r="F8657" i="2" s="1"/>
  <c r="C8657" i="2"/>
  <c r="E8656" i="2"/>
  <c r="F8656" i="2" s="1"/>
  <c r="C8656" i="2"/>
  <c r="E8655" i="2"/>
  <c r="F8655" i="2" s="1"/>
  <c r="C8655" i="2"/>
  <c r="E8654" i="2"/>
  <c r="F8654" i="2" s="1"/>
  <c r="C8654" i="2"/>
  <c r="E8653" i="2"/>
  <c r="F8653" i="2" s="1"/>
  <c r="C8653" i="2"/>
  <c r="E8652" i="2"/>
  <c r="F8652" i="2" s="1"/>
  <c r="C8652" i="2"/>
  <c r="E8651" i="2"/>
  <c r="F8651" i="2" s="1"/>
  <c r="C8651" i="2"/>
  <c r="E8650" i="2"/>
  <c r="F8650" i="2" s="1"/>
  <c r="C8650" i="2"/>
  <c r="E8649" i="2"/>
  <c r="F8649" i="2" s="1"/>
  <c r="C8649" i="2"/>
  <c r="E8648" i="2"/>
  <c r="F8648" i="2" s="1"/>
  <c r="C8648" i="2"/>
  <c r="E8647" i="2"/>
  <c r="F8647" i="2" s="1"/>
  <c r="C8647" i="2"/>
  <c r="E8646" i="2"/>
  <c r="F8646" i="2" s="1"/>
  <c r="C8646" i="2"/>
  <c r="E8645" i="2"/>
  <c r="F8645" i="2" s="1"/>
  <c r="C8645" i="2"/>
  <c r="E8644" i="2"/>
  <c r="F8644" i="2" s="1"/>
  <c r="C8644" i="2"/>
  <c r="E8643" i="2"/>
  <c r="F8643" i="2" s="1"/>
  <c r="C8643" i="2"/>
  <c r="E8642" i="2"/>
  <c r="F8642" i="2" s="1"/>
  <c r="C8642" i="2"/>
  <c r="E8641" i="2"/>
  <c r="F8641" i="2" s="1"/>
  <c r="C8641" i="2"/>
  <c r="E8640" i="2"/>
  <c r="F8640" i="2" s="1"/>
  <c r="C8640" i="2"/>
  <c r="E8639" i="2"/>
  <c r="F8639" i="2" s="1"/>
  <c r="C8639" i="2"/>
  <c r="E8638" i="2"/>
  <c r="F8638" i="2" s="1"/>
  <c r="C8638" i="2"/>
  <c r="E8637" i="2"/>
  <c r="F8637" i="2" s="1"/>
  <c r="C8637" i="2"/>
  <c r="E8636" i="2"/>
  <c r="F8636" i="2" s="1"/>
  <c r="C8636" i="2"/>
  <c r="E8635" i="2"/>
  <c r="F8635" i="2" s="1"/>
  <c r="C8635" i="2"/>
  <c r="E8634" i="2"/>
  <c r="F8634" i="2" s="1"/>
  <c r="C8634" i="2"/>
  <c r="E8633" i="2"/>
  <c r="F8633" i="2" s="1"/>
  <c r="C8633" i="2"/>
  <c r="E8632" i="2"/>
  <c r="F8632" i="2" s="1"/>
  <c r="C8632" i="2"/>
  <c r="E8631" i="2"/>
  <c r="F8631" i="2" s="1"/>
  <c r="C8631" i="2"/>
  <c r="E8630" i="2"/>
  <c r="F8630" i="2" s="1"/>
  <c r="C8630" i="2"/>
  <c r="E8629" i="2"/>
  <c r="F8629" i="2" s="1"/>
  <c r="C8629" i="2"/>
  <c r="E8628" i="2"/>
  <c r="F8628" i="2" s="1"/>
  <c r="C8628" i="2"/>
  <c r="E8627" i="2"/>
  <c r="F8627" i="2" s="1"/>
  <c r="C8627" i="2"/>
  <c r="E8626" i="2"/>
  <c r="F8626" i="2" s="1"/>
  <c r="C8626" i="2"/>
  <c r="E8625" i="2"/>
  <c r="F8625" i="2" s="1"/>
  <c r="C8625" i="2"/>
  <c r="E8624" i="2"/>
  <c r="F8624" i="2" s="1"/>
  <c r="C8624" i="2"/>
  <c r="E8623" i="2"/>
  <c r="F8623" i="2" s="1"/>
  <c r="C8623" i="2"/>
  <c r="E8622" i="2"/>
  <c r="F8622" i="2" s="1"/>
  <c r="C8622" i="2"/>
  <c r="E8621" i="2"/>
  <c r="F8621" i="2" s="1"/>
  <c r="C8621" i="2"/>
  <c r="E8620" i="2"/>
  <c r="F8620" i="2" s="1"/>
  <c r="C8620" i="2"/>
  <c r="E8619" i="2"/>
  <c r="F8619" i="2" s="1"/>
  <c r="C8619" i="2"/>
  <c r="E8618" i="2"/>
  <c r="F8618" i="2" s="1"/>
  <c r="C8618" i="2"/>
  <c r="E8617" i="2"/>
  <c r="F8617" i="2" s="1"/>
  <c r="C8617" i="2"/>
  <c r="E8616" i="2"/>
  <c r="F8616" i="2" s="1"/>
  <c r="C8616" i="2"/>
  <c r="E8615" i="2"/>
  <c r="F8615" i="2" s="1"/>
  <c r="C8615" i="2"/>
  <c r="E8614" i="2"/>
  <c r="F8614" i="2" s="1"/>
  <c r="C8614" i="2"/>
  <c r="E8613" i="2"/>
  <c r="F8613" i="2" s="1"/>
  <c r="C8613" i="2"/>
  <c r="E8612" i="2"/>
  <c r="F8612" i="2" s="1"/>
  <c r="C8612" i="2"/>
  <c r="E8611" i="2"/>
  <c r="F8611" i="2" s="1"/>
  <c r="C8611" i="2"/>
  <c r="E8610" i="2"/>
  <c r="F8610" i="2" s="1"/>
  <c r="C8610" i="2"/>
  <c r="E8609" i="2"/>
  <c r="F8609" i="2" s="1"/>
  <c r="C8609" i="2"/>
  <c r="E8608" i="2"/>
  <c r="F8608" i="2" s="1"/>
  <c r="C8608" i="2"/>
  <c r="E8607" i="2"/>
  <c r="F8607" i="2" s="1"/>
  <c r="C8607" i="2"/>
  <c r="E8606" i="2"/>
  <c r="F8606" i="2" s="1"/>
  <c r="C8606" i="2"/>
  <c r="E8605" i="2"/>
  <c r="F8605" i="2" s="1"/>
  <c r="C8605" i="2"/>
  <c r="E8604" i="2"/>
  <c r="F8604" i="2" s="1"/>
  <c r="C8604" i="2"/>
  <c r="E8603" i="2"/>
  <c r="F8603" i="2" s="1"/>
  <c r="C8603" i="2"/>
  <c r="E8602" i="2"/>
  <c r="F8602" i="2" s="1"/>
  <c r="C8602" i="2"/>
  <c r="E8601" i="2"/>
  <c r="F8601" i="2" s="1"/>
  <c r="C8601" i="2"/>
  <c r="E8600" i="2"/>
  <c r="F8600" i="2" s="1"/>
  <c r="C8600" i="2"/>
  <c r="E8599" i="2"/>
  <c r="F8599" i="2" s="1"/>
  <c r="C8599" i="2"/>
  <c r="E8598" i="2"/>
  <c r="F8598" i="2" s="1"/>
  <c r="C8598" i="2"/>
  <c r="E8597" i="2"/>
  <c r="F8597" i="2" s="1"/>
  <c r="C8597" i="2"/>
  <c r="E8596" i="2"/>
  <c r="F8596" i="2" s="1"/>
  <c r="C8596" i="2"/>
  <c r="E8595" i="2"/>
  <c r="F8595" i="2" s="1"/>
  <c r="C8595" i="2"/>
  <c r="E8594" i="2"/>
  <c r="F8594" i="2" s="1"/>
  <c r="C8594" i="2"/>
  <c r="E8593" i="2"/>
  <c r="F8593" i="2" s="1"/>
  <c r="C8593" i="2"/>
  <c r="E8592" i="2"/>
  <c r="F8592" i="2" s="1"/>
  <c r="C8592" i="2"/>
  <c r="E8591" i="2"/>
  <c r="F8591" i="2" s="1"/>
  <c r="C8591" i="2"/>
  <c r="E8590" i="2"/>
  <c r="F8590" i="2" s="1"/>
  <c r="C8590" i="2"/>
  <c r="E8589" i="2"/>
  <c r="F8589" i="2" s="1"/>
  <c r="C8589" i="2"/>
  <c r="E8588" i="2"/>
  <c r="F8588" i="2" s="1"/>
  <c r="C8588" i="2"/>
  <c r="E8587" i="2"/>
  <c r="F8587" i="2" s="1"/>
  <c r="C8587" i="2"/>
  <c r="E8586" i="2"/>
  <c r="F8586" i="2" s="1"/>
  <c r="C8586" i="2"/>
  <c r="E8585" i="2"/>
  <c r="F8585" i="2" s="1"/>
  <c r="C8585" i="2"/>
  <c r="E8584" i="2"/>
  <c r="F8584" i="2" s="1"/>
  <c r="C8584" i="2"/>
  <c r="E8583" i="2"/>
  <c r="F8583" i="2" s="1"/>
  <c r="C8583" i="2"/>
  <c r="E8582" i="2"/>
  <c r="F8582" i="2" s="1"/>
  <c r="C8582" i="2"/>
  <c r="E8581" i="2"/>
  <c r="F8581" i="2" s="1"/>
  <c r="C8581" i="2"/>
  <c r="E8580" i="2"/>
  <c r="F8580" i="2" s="1"/>
  <c r="C8580" i="2"/>
  <c r="E8579" i="2"/>
  <c r="F8579" i="2" s="1"/>
  <c r="C8579" i="2"/>
  <c r="E8578" i="2"/>
  <c r="F8578" i="2" s="1"/>
  <c r="C8578" i="2"/>
  <c r="E8577" i="2"/>
  <c r="F8577" i="2" s="1"/>
  <c r="C8577" i="2"/>
  <c r="E8576" i="2"/>
  <c r="F8576" i="2" s="1"/>
  <c r="C8576" i="2"/>
  <c r="E8575" i="2"/>
  <c r="F8575" i="2" s="1"/>
  <c r="C8575" i="2"/>
  <c r="E8574" i="2"/>
  <c r="F8574" i="2" s="1"/>
  <c r="C8574" i="2"/>
  <c r="E8573" i="2"/>
  <c r="F8573" i="2" s="1"/>
  <c r="C8573" i="2"/>
  <c r="E8572" i="2"/>
  <c r="F8572" i="2" s="1"/>
  <c r="C8572" i="2"/>
  <c r="E8571" i="2"/>
  <c r="F8571" i="2" s="1"/>
  <c r="C8571" i="2"/>
  <c r="E8570" i="2"/>
  <c r="F8570" i="2" s="1"/>
  <c r="C8570" i="2"/>
  <c r="E8569" i="2"/>
  <c r="F8569" i="2" s="1"/>
  <c r="C8569" i="2"/>
  <c r="E8568" i="2"/>
  <c r="F8568" i="2" s="1"/>
  <c r="C8568" i="2"/>
  <c r="E8567" i="2"/>
  <c r="F8567" i="2" s="1"/>
  <c r="C8567" i="2"/>
  <c r="E8566" i="2"/>
  <c r="F8566" i="2" s="1"/>
  <c r="C8566" i="2"/>
  <c r="E8565" i="2"/>
  <c r="F8565" i="2" s="1"/>
  <c r="C8565" i="2"/>
  <c r="E8564" i="2"/>
  <c r="F8564" i="2" s="1"/>
  <c r="C8564" i="2"/>
  <c r="E8563" i="2"/>
  <c r="F8563" i="2" s="1"/>
  <c r="C8563" i="2"/>
  <c r="E8562" i="2"/>
  <c r="F8562" i="2" s="1"/>
  <c r="C8562" i="2"/>
  <c r="E8561" i="2"/>
  <c r="F8561" i="2" s="1"/>
  <c r="C8561" i="2"/>
  <c r="E8560" i="2"/>
  <c r="F8560" i="2" s="1"/>
  <c r="C8560" i="2"/>
  <c r="E8559" i="2"/>
  <c r="F8559" i="2" s="1"/>
  <c r="C8559" i="2"/>
  <c r="E8558" i="2"/>
  <c r="F8558" i="2" s="1"/>
  <c r="C8558" i="2"/>
  <c r="E8557" i="2"/>
  <c r="F8557" i="2" s="1"/>
  <c r="C8557" i="2"/>
  <c r="E8556" i="2"/>
  <c r="F8556" i="2" s="1"/>
  <c r="C8556" i="2"/>
  <c r="E8555" i="2"/>
  <c r="F8555" i="2" s="1"/>
  <c r="C8555" i="2"/>
  <c r="E8554" i="2"/>
  <c r="F8554" i="2" s="1"/>
  <c r="C8554" i="2"/>
  <c r="E8553" i="2"/>
  <c r="F8553" i="2" s="1"/>
  <c r="C8553" i="2"/>
  <c r="E8552" i="2"/>
  <c r="F8552" i="2" s="1"/>
  <c r="C8552" i="2"/>
  <c r="E8551" i="2"/>
  <c r="F8551" i="2" s="1"/>
  <c r="C8551" i="2"/>
  <c r="E8550" i="2"/>
  <c r="F8550" i="2" s="1"/>
  <c r="C8550" i="2"/>
  <c r="E8549" i="2"/>
  <c r="F8549" i="2" s="1"/>
  <c r="C8549" i="2"/>
  <c r="E8548" i="2"/>
  <c r="F8548" i="2" s="1"/>
  <c r="C8548" i="2"/>
  <c r="E8547" i="2"/>
  <c r="F8547" i="2" s="1"/>
  <c r="C8547" i="2"/>
  <c r="E8546" i="2"/>
  <c r="F8546" i="2" s="1"/>
  <c r="C8546" i="2"/>
  <c r="E8545" i="2"/>
  <c r="F8545" i="2" s="1"/>
  <c r="C8545" i="2"/>
  <c r="E8544" i="2"/>
  <c r="F8544" i="2" s="1"/>
  <c r="C8544" i="2"/>
  <c r="E8543" i="2"/>
  <c r="F8543" i="2" s="1"/>
  <c r="C8543" i="2"/>
  <c r="E8542" i="2"/>
  <c r="F8542" i="2" s="1"/>
  <c r="C8542" i="2"/>
  <c r="E8541" i="2"/>
  <c r="F8541" i="2" s="1"/>
  <c r="C8541" i="2"/>
  <c r="E8540" i="2"/>
  <c r="F8540" i="2" s="1"/>
  <c r="C8540" i="2"/>
  <c r="E8539" i="2"/>
  <c r="F8539" i="2" s="1"/>
  <c r="C8539" i="2"/>
  <c r="E8538" i="2"/>
  <c r="F8538" i="2" s="1"/>
  <c r="C8538" i="2"/>
  <c r="E8537" i="2"/>
  <c r="F8537" i="2" s="1"/>
  <c r="C8537" i="2"/>
  <c r="E8536" i="2"/>
  <c r="F8536" i="2" s="1"/>
  <c r="C8536" i="2"/>
  <c r="E8535" i="2"/>
  <c r="F8535" i="2" s="1"/>
  <c r="C8535" i="2"/>
  <c r="E8534" i="2"/>
  <c r="F8534" i="2" s="1"/>
  <c r="C8534" i="2"/>
  <c r="E8533" i="2"/>
  <c r="F8533" i="2" s="1"/>
  <c r="C8533" i="2"/>
  <c r="E8532" i="2"/>
  <c r="F8532" i="2" s="1"/>
  <c r="C8532" i="2"/>
  <c r="E8531" i="2"/>
  <c r="F8531" i="2" s="1"/>
  <c r="C8531" i="2"/>
  <c r="E8530" i="2"/>
  <c r="F8530" i="2" s="1"/>
  <c r="C8530" i="2"/>
  <c r="E8529" i="2"/>
  <c r="F8529" i="2" s="1"/>
  <c r="C8529" i="2"/>
  <c r="E8528" i="2"/>
  <c r="F8528" i="2" s="1"/>
  <c r="C8528" i="2"/>
  <c r="E8527" i="2"/>
  <c r="F8527" i="2" s="1"/>
  <c r="C8527" i="2"/>
  <c r="E8526" i="2"/>
  <c r="F8526" i="2" s="1"/>
  <c r="C8526" i="2"/>
  <c r="E8525" i="2"/>
  <c r="F8525" i="2" s="1"/>
  <c r="C8525" i="2"/>
  <c r="E8524" i="2"/>
  <c r="F8524" i="2" s="1"/>
  <c r="C8524" i="2"/>
  <c r="E8523" i="2"/>
  <c r="F8523" i="2" s="1"/>
  <c r="C8523" i="2"/>
  <c r="E8522" i="2"/>
  <c r="F8522" i="2" s="1"/>
  <c r="C8522" i="2"/>
  <c r="E8521" i="2"/>
  <c r="F8521" i="2" s="1"/>
  <c r="C8521" i="2"/>
  <c r="E8520" i="2"/>
  <c r="F8520" i="2" s="1"/>
  <c r="C8520" i="2"/>
  <c r="E8519" i="2"/>
  <c r="F8519" i="2" s="1"/>
  <c r="C8519" i="2"/>
  <c r="E8518" i="2"/>
  <c r="F8518" i="2" s="1"/>
  <c r="C8518" i="2"/>
  <c r="E8517" i="2"/>
  <c r="F8517" i="2" s="1"/>
  <c r="C8517" i="2"/>
  <c r="E8516" i="2"/>
  <c r="F8516" i="2" s="1"/>
  <c r="C8516" i="2"/>
  <c r="E8515" i="2"/>
  <c r="F8515" i="2" s="1"/>
  <c r="C8515" i="2"/>
  <c r="E8514" i="2"/>
  <c r="F8514" i="2" s="1"/>
  <c r="C8514" i="2"/>
  <c r="E8513" i="2"/>
  <c r="F8513" i="2" s="1"/>
  <c r="C8513" i="2"/>
  <c r="E8512" i="2"/>
  <c r="F8512" i="2" s="1"/>
  <c r="C8512" i="2"/>
  <c r="E8511" i="2"/>
  <c r="F8511" i="2" s="1"/>
  <c r="C8511" i="2"/>
  <c r="E8510" i="2"/>
  <c r="F8510" i="2" s="1"/>
  <c r="C8510" i="2"/>
  <c r="E8509" i="2"/>
  <c r="F8509" i="2" s="1"/>
  <c r="C8509" i="2"/>
  <c r="E8508" i="2"/>
  <c r="F8508" i="2" s="1"/>
  <c r="C8508" i="2"/>
  <c r="E8507" i="2"/>
  <c r="F8507" i="2" s="1"/>
  <c r="C8507" i="2"/>
  <c r="E8506" i="2"/>
  <c r="F8506" i="2" s="1"/>
  <c r="C8506" i="2"/>
  <c r="E8505" i="2"/>
  <c r="F8505" i="2" s="1"/>
  <c r="C8505" i="2"/>
  <c r="E8504" i="2"/>
  <c r="F8504" i="2" s="1"/>
  <c r="C8504" i="2"/>
  <c r="E8503" i="2"/>
  <c r="F8503" i="2" s="1"/>
  <c r="C8503" i="2"/>
  <c r="E8502" i="2"/>
  <c r="F8502" i="2" s="1"/>
  <c r="C8502" i="2"/>
  <c r="E8501" i="2"/>
  <c r="F8501" i="2" s="1"/>
  <c r="C8501" i="2"/>
  <c r="E8500" i="2"/>
  <c r="F8500" i="2" s="1"/>
  <c r="C8500" i="2"/>
  <c r="E8499" i="2"/>
  <c r="F8499" i="2" s="1"/>
  <c r="C8499" i="2"/>
  <c r="E8498" i="2"/>
  <c r="F8498" i="2" s="1"/>
  <c r="C8498" i="2"/>
  <c r="E8497" i="2"/>
  <c r="F8497" i="2" s="1"/>
  <c r="C8497" i="2"/>
  <c r="E8496" i="2"/>
  <c r="F8496" i="2" s="1"/>
  <c r="C8496" i="2"/>
  <c r="E8495" i="2"/>
  <c r="F8495" i="2" s="1"/>
  <c r="C8495" i="2"/>
  <c r="E8494" i="2"/>
  <c r="F8494" i="2" s="1"/>
  <c r="C8494" i="2"/>
  <c r="E8493" i="2"/>
  <c r="F8493" i="2" s="1"/>
  <c r="C8493" i="2"/>
  <c r="E8492" i="2"/>
  <c r="F8492" i="2" s="1"/>
  <c r="C8492" i="2"/>
  <c r="E8491" i="2"/>
  <c r="F8491" i="2" s="1"/>
  <c r="C8491" i="2"/>
  <c r="E8490" i="2"/>
  <c r="F8490" i="2" s="1"/>
  <c r="C8490" i="2"/>
  <c r="E8489" i="2"/>
  <c r="F8489" i="2" s="1"/>
  <c r="C8489" i="2"/>
  <c r="E8488" i="2"/>
  <c r="F8488" i="2" s="1"/>
  <c r="C8488" i="2"/>
  <c r="E8487" i="2"/>
  <c r="F8487" i="2" s="1"/>
  <c r="C8487" i="2"/>
  <c r="E8486" i="2"/>
  <c r="F8486" i="2" s="1"/>
  <c r="C8486" i="2"/>
  <c r="E8485" i="2"/>
  <c r="F8485" i="2" s="1"/>
  <c r="C8485" i="2"/>
  <c r="E8484" i="2"/>
  <c r="F8484" i="2" s="1"/>
  <c r="C8484" i="2"/>
  <c r="E8483" i="2"/>
  <c r="F8483" i="2" s="1"/>
  <c r="C8483" i="2"/>
  <c r="E8482" i="2"/>
  <c r="F8482" i="2" s="1"/>
  <c r="C8482" i="2"/>
  <c r="E8481" i="2"/>
  <c r="F8481" i="2" s="1"/>
  <c r="C8481" i="2"/>
  <c r="E8480" i="2"/>
  <c r="F8480" i="2" s="1"/>
  <c r="C8480" i="2"/>
  <c r="E8479" i="2"/>
  <c r="F8479" i="2" s="1"/>
  <c r="C8479" i="2"/>
  <c r="E8478" i="2"/>
  <c r="F8478" i="2" s="1"/>
  <c r="C8478" i="2"/>
  <c r="E8477" i="2"/>
  <c r="F8477" i="2" s="1"/>
  <c r="C8477" i="2"/>
  <c r="E8476" i="2"/>
  <c r="F8476" i="2" s="1"/>
  <c r="C8476" i="2"/>
  <c r="E8475" i="2"/>
  <c r="F8475" i="2" s="1"/>
  <c r="C8475" i="2"/>
  <c r="E8474" i="2"/>
  <c r="F8474" i="2" s="1"/>
  <c r="C8474" i="2"/>
  <c r="E8473" i="2"/>
  <c r="F8473" i="2" s="1"/>
  <c r="C8473" i="2"/>
  <c r="E8472" i="2"/>
  <c r="F8472" i="2" s="1"/>
  <c r="C8472" i="2"/>
  <c r="E8471" i="2"/>
  <c r="F8471" i="2" s="1"/>
  <c r="C8471" i="2"/>
  <c r="E8470" i="2"/>
  <c r="F8470" i="2" s="1"/>
  <c r="C8470" i="2"/>
  <c r="E8469" i="2"/>
  <c r="F8469" i="2" s="1"/>
  <c r="C8469" i="2"/>
  <c r="E8468" i="2"/>
  <c r="F8468" i="2" s="1"/>
  <c r="C8468" i="2"/>
  <c r="E8467" i="2"/>
  <c r="F8467" i="2" s="1"/>
  <c r="C8467" i="2"/>
  <c r="E8466" i="2"/>
  <c r="F8466" i="2" s="1"/>
  <c r="C8466" i="2"/>
  <c r="E8465" i="2"/>
  <c r="F8465" i="2" s="1"/>
  <c r="C8465" i="2"/>
  <c r="E8464" i="2"/>
  <c r="F8464" i="2" s="1"/>
  <c r="C8464" i="2"/>
  <c r="E8463" i="2"/>
  <c r="F8463" i="2" s="1"/>
  <c r="C8463" i="2"/>
  <c r="E8462" i="2"/>
  <c r="F8462" i="2" s="1"/>
  <c r="C8462" i="2"/>
  <c r="E8461" i="2"/>
  <c r="F8461" i="2" s="1"/>
  <c r="C8461" i="2"/>
  <c r="E8460" i="2"/>
  <c r="F8460" i="2" s="1"/>
  <c r="C8460" i="2"/>
  <c r="E8459" i="2"/>
  <c r="F8459" i="2" s="1"/>
  <c r="C8459" i="2"/>
  <c r="E8458" i="2"/>
  <c r="F8458" i="2" s="1"/>
  <c r="C8458" i="2"/>
  <c r="E8457" i="2"/>
  <c r="F8457" i="2" s="1"/>
  <c r="C8457" i="2"/>
  <c r="E8456" i="2"/>
  <c r="F8456" i="2" s="1"/>
  <c r="C8456" i="2"/>
  <c r="E8455" i="2"/>
  <c r="F8455" i="2" s="1"/>
  <c r="C8455" i="2"/>
  <c r="E8454" i="2"/>
  <c r="F8454" i="2" s="1"/>
  <c r="C8454" i="2"/>
  <c r="E8453" i="2"/>
  <c r="F8453" i="2" s="1"/>
  <c r="C8453" i="2"/>
  <c r="E8452" i="2"/>
  <c r="F8452" i="2" s="1"/>
  <c r="C8452" i="2"/>
  <c r="E8451" i="2"/>
  <c r="F8451" i="2" s="1"/>
  <c r="C8451" i="2"/>
  <c r="E8450" i="2"/>
  <c r="F8450" i="2" s="1"/>
  <c r="C8450" i="2"/>
  <c r="E8449" i="2"/>
  <c r="F8449" i="2" s="1"/>
  <c r="C8449" i="2"/>
  <c r="E8448" i="2"/>
  <c r="F8448" i="2" s="1"/>
  <c r="C8448" i="2"/>
  <c r="E8447" i="2"/>
  <c r="F8447" i="2" s="1"/>
  <c r="C8447" i="2"/>
  <c r="E8446" i="2"/>
  <c r="F8446" i="2" s="1"/>
  <c r="C8446" i="2"/>
  <c r="E8445" i="2"/>
  <c r="F8445" i="2" s="1"/>
  <c r="C8445" i="2"/>
  <c r="E8444" i="2"/>
  <c r="F8444" i="2" s="1"/>
  <c r="C8444" i="2"/>
  <c r="E8443" i="2"/>
  <c r="F8443" i="2" s="1"/>
  <c r="C8443" i="2"/>
  <c r="E8442" i="2"/>
  <c r="F8442" i="2" s="1"/>
  <c r="C8442" i="2"/>
  <c r="E8441" i="2"/>
  <c r="F8441" i="2" s="1"/>
  <c r="C8441" i="2"/>
  <c r="E8440" i="2"/>
  <c r="F8440" i="2" s="1"/>
  <c r="C8440" i="2"/>
  <c r="E8439" i="2"/>
  <c r="F8439" i="2" s="1"/>
  <c r="C8439" i="2"/>
  <c r="E8438" i="2"/>
  <c r="F8438" i="2" s="1"/>
  <c r="C8438" i="2"/>
  <c r="E8437" i="2"/>
  <c r="F8437" i="2" s="1"/>
  <c r="C8437" i="2"/>
  <c r="E8436" i="2"/>
  <c r="F8436" i="2" s="1"/>
  <c r="C8436" i="2"/>
  <c r="E8435" i="2"/>
  <c r="F8435" i="2" s="1"/>
  <c r="C8435" i="2"/>
  <c r="E8434" i="2"/>
  <c r="F8434" i="2" s="1"/>
  <c r="C8434" i="2"/>
  <c r="E8433" i="2"/>
  <c r="F8433" i="2" s="1"/>
  <c r="C8433" i="2"/>
  <c r="E8432" i="2"/>
  <c r="F8432" i="2" s="1"/>
  <c r="C8432" i="2"/>
  <c r="E8431" i="2"/>
  <c r="F8431" i="2" s="1"/>
  <c r="C8431" i="2"/>
  <c r="E8430" i="2"/>
  <c r="F8430" i="2" s="1"/>
  <c r="C8430" i="2"/>
  <c r="E8429" i="2"/>
  <c r="F8429" i="2" s="1"/>
  <c r="C8429" i="2"/>
  <c r="E8428" i="2"/>
  <c r="F8428" i="2" s="1"/>
  <c r="C8428" i="2"/>
  <c r="E8427" i="2"/>
  <c r="F8427" i="2" s="1"/>
  <c r="C8427" i="2"/>
  <c r="E8426" i="2"/>
  <c r="F8426" i="2" s="1"/>
  <c r="C8426" i="2"/>
  <c r="E8425" i="2"/>
  <c r="F8425" i="2" s="1"/>
  <c r="C8425" i="2"/>
  <c r="E8424" i="2"/>
  <c r="F8424" i="2" s="1"/>
  <c r="C8424" i="2"/>
  <c r="E8423" i="2"/>
  <c r="F8423" i="2" s="1"/>
  <c r="C8423" i="2"/>
  <c r="E8422" i="2"/>
  <c r="F8422" i="2" s="1"/>
  <c r="C8422" i="2"/>
  <c r="E8421" i="2"/>
  <c r="F8421" i="2" s="1"/>
  <c r="C8421" i="2"/>
  <c r="E8420" i="2"/>
  <c r="F8420" i="2" s="1"/>
  <c r="C8420" i="2"/>
  <c r="E8419" i="2"/>
  <c r="F8419" i="2" s="1"/>
  <c r="C8419" i="2"/>
  <c r="E8418" i="2"/>
  <c r="F8418" i="2" s="1"/>
  <c r="C8418" i="2"/>
  <c r="E8417" i="2"/>
  <c r="F8417" i="2" s="1"/>
  <c r="C8417" i="2"/>
  <c r="E8416" i="2"/>
  <c r="F8416" i="2" s="1"/>
  <c r="C8416" i="2"/>
  <c r="E8415" i="2"/>
  <c r="F8415" i="2" s="1"/>
  <c r="C8415" i="2"/>
  <c r="E8414" i="2"/>
  <c r="F8414" i="2" s="1"/>
  <c r="C8414" i="2"/>
  <c r="E8413" i="2"/>
  <c r="F8413" i="2" s="1"/>
  <c r="C8413" i="2"/>
  <c r="E8412" i="2"/>
  <c r="F8412" i="2" s="1"/>
  <c r="C8412" i="2"/>
  <c r="E8411" i="2"/>
  <c r="F8411" i="2" s="1"/>
  <c r="C8411" i="2"/>
  <c r="E8410" i="2"/>
  <c r="F8410" i="2" s="1"/>
  <c r="C8410" i="2"/>
  <c r="E8409" i="2"/>
  <c r="F8409" i="2" s="1"/>
  <c r="C8409" i="2"/>
  <c r="E8408" i="2"/>
  <c r="F8408" i="2" s="1"/>
  <c r="C8408" i="2"/>
  <c r="E8407" i="2"/>
  <c r="F8407" i="2" s="1"/>
  <c r="C8407" i="2"/>
  <c r="E8406" i="2"/>
  <c r="F8406" i="2" s="1"/>
  <c r="C8406" i="2"/>
  <c r="E8405" i="2"/>
  <c r="F8405" i="2" s="1"/>
  <c r="C8405" i="2"/>
  <c r="E8404" i="2"/>
  <c r="F8404" i="2" s="1"/>
  <c r="C8404" i="2"/>
  <c r="E8403" i="2"/>
  <c r="F8403" i="2" s="1"/>
  <c r="C8403" i="2"/>
  <c r="E8402" i="2"/>
  <c r="F8402" i="2" s="1"/>
  <c r="C8402" i="2"/>
  <c r="E8401" i="2"/>
  <c r="F8401" i="2" s="1"/>
  <c r="C8401" i="2"/>
  <c r="E8400" i="2"/>
  <c r="F8400" i="2" s="1"/>
  <c r="C8400" i="2"/>
  <c r="E8399" i="2"/>
  <c r="F8399" i="2" s="1"/>
  <c r="C8399" i="2"/>
  <c r="E8398" i="2"/>
  <c r="F8398" i="2" s="1"/>
  <c r="C8398" i="2"/>
  <c r="E8397" i="2"/>
  <c r="F8397" i="2" s="1"/>
  <c r="C8397" i="2"/>
  <c r="E8396" i="2"/>
  <c r="F8396" i="2" s="1"/>
  <c r="C8396" i="2"/>
  <c r="E8395" i="2"/>
  <c r="F8395" i="2" s="1"/>
  <c r="C8395" i="2"/>
  <c r="E8394" i="2"/>
  <c r="F8394" i="2" s="1"/>
  <c r="C8394" i="2"/>
  <c r="E8393" i="2"/>
  <c r="F8393" i="2" s="1"/>
  <c r="C8393" i="2"/>
  <c r="E8392" i="2"/>
  <c r="F8392" i="2" s="1"/>
  <c r="C8392" i="2"/>
  <c r="E8391" i="2"/>
  <c r="F8391" i="2" s="1"/>
  <c r="C8391" i="2"/>
  <c r="E8390" i="2"/>
  <c r="F8390" i="2" s="1"/>
  <c r="C8390" i="2"/>
  <c r="E8389" i="2"/>
  <c r="F8389" i="2" s="1"/>
  <c r="C8389" i="2"/>
  <c r="E8388" i="2"/>
  <c r="F8388" i="2" s="1"/>
  <c r="C8388" i="2"/>
  <c r="E8387" i="2"/>
  <c r="F8387" i="2" s="1"/>
  <c r="C8387" i="2"/>
  <c r="E8386" i="2"/>
  <c r="F8386" i="2" s="1"/>
  <c r="C8386" i="2"/>
  <c r="E8385" i="2"/>
  <c r="F8385" i="2" s="1"/>
  <c r="C8385" i="2"/>
  <c r="E8384" i="2"/>
  <c r="F8384" i="2" s="1"/>
  <c r="C8384" i="2"/>
  <c r="E8383" i="2"/>
  <c r="F8383" i="2" s="1"/>
  <c r="C8383" i="2"/>
  <c r="E8382" i="2"/>
  <c r="F8382" i="2" s="1"/>
  <c r="C8382" i="2"/>
  <c r="E8381" i="2"/>
  <c r="F8381" i="2" s="1"/>
  <c r="C8381" i="2"/>
  <c r="E8380" i="2"/>
  <c r="F8380" i="2" s="1"/>
  <c r="C8380" i="2"/>
  <c r="E8379" i="2"/>
  <c r="F8379" i="2" s="1"/>
  <c r="C8379" i="2"/>
  <c r="E8378" i="2"/>
  <c r="F8378" i="2" s="1"/>
  <c r="C8378" i="2"/>
  <c r="E8377" i="2"/>
  <c r="F8377" i="2" s="1"/>
  <c r="C8377" i="2"/>
  <c r="E8376" i="2"/>
  <c r="F8376" i="2" s="1"/>
  <c r="C8376" i="2"/>
  <c r="E8375" i="2"/>
  <c r="F8375" i="2" s="1"/>
  <c r="C8375" i="2"/>
  <c r="E8374" i="2"/>
  <c r="F8374" i="2" s="1"/>
  <c r="C8374" i="2"/>
  <c r="E8373" i="2"/>
  <c r="F8373" i="2" s="1"/>
  <c r="C8373" i="2"/>
  <c r="E8372" i="2"/>
  <c r="F8372" i="2" s="1"/>
  <c r="C8372" i="2"/>
  <c r="E8371" i="2"/>
  <c r="F8371" i="2" s="1"/>
  <c r="C8371" i="2"/>
  <c r="E8370" i="2"/>
  <c r="F8370" i="2" s="1"/>
  <c r="C8370" i="2"/>
  <c r="E8369" i="2"/>
  <c r="F8369" i="2" s="1"/>
  <c r="C8369" i="2"/>
  <c r="E8368" i="2"/>
  <c r="F8368" i="2" s="1"/>
  <c r="C8368" i="2"/>
  <c r="E8367" i="2"/>
  <c r="F8367" i="2" s="1"/>
  <c r="C8367" i="2"/>
  <c r="E8366" i="2"/>
  <c r="F8366" i="2" s="1"/>
  <c r="C8366" i="2"/>
  <c r="E8365" i="2"/>
  <c r="F8365" i="2" s="1"/>
  <c r="C8365" i="2"/>
  <c r="E8364" i="2"/>
  <c r="F8364" i="2" s="1"/>
  <c r="C8364" i="2"/>
  <c r="E8363" i="2"/>
  <c r="F8363" i="2" s="1"/>
  <c r="C8363" i="2"/>
  <c r="E8362" i="2"/>
  <c r="F8362" i="2" s="1"/>
  <c r="C8362" i="2"/>
  <c r="E8361" i="2"/>
  <c r="F8361" i="2" s="1"/>
  <c r="C8361" i="2"/>
  <c r="E8360" i="2"/>
  <c r="F8360" i="2" s="1"/>
  <c r="C8360" i="2"/>
  <c r="E8359" i="2"/>
  <c r="F8359" i="2" s="1"/>
  <c r="C8359" i="2"/>
  <c r="E8358" i="2"/>
  <c r="F8358" i="2" s="1"/>
  <c r="C8358" i="2"/>
  <c r="E8357" i="2"/>
  <c r="F8357" i="2" s="1"/>
  <c r="C8357" i="2"/>
  <c r="E8356" i="2"/>
  <c r="F8356" i="2" s="1"/>
  <c r="C8356" i="2"/>
  <c r="E8355" i="2"/>
  <c r="F8355" i="2" s="1"/>
  <c r="C8355" i="2"/>
  <c r="E8354" i="2"/>
  <c r="F8354" i="2" s="1"/>
  <c r="C8354" i="2"/>
  <c r="E8353" i="2"/>
  <c r="F8353" i="2" s="1"/>
  <c r="C8353" i="2"/>
  <c r="E8352" i="2"/>
  <c r="F8352" i="2" s="1"/>
  <c r="C8352" i="2"/>
  <c r="E8351" i="2"/>
  <c r="F8351" i="2" s="1"/>
  <c r="C8351" i="2"/>
  <c r="E8350" i="2"/>
  <c r="F8350" i="2" s="1"/>
  <c r="C8350" i="2"/>
  <c r="E8349" i="2"/>
  <c r="F8349" i="2" s="1"/>
  <c r="C8349" i="2"/>
  <c r="E8348" i="2"/>
  <c r="F8348" i="2" s="1"/>
  <c r="C8348" i="2"/>
  <c r="E8347" i="2"/>
  <c r="F8347" i="2" s="1"/>
  <c r="C8347" i="2"/>
  <c r="E8346" i="2"/>
  <c r="F8346" i="2" s="1"/>
  <c r="C8346" i="2"/>
  <c r="E8345" i="2"/>
  <c r="F8345" i="2" s="1"/>
  <c r="C8345" i="2"/>
  <c r="E8344" i="2"/>
  <c r="F8344" i="2" s="1"/>
  <c r="C8344" i="2"/>
  <c r="E8343" i="2"/>
  <c r="F8343" i="2" s="1"/>
  <c r="C8343" i="2"/>
  <c r="E8342" i="2"/>
  <c r="F8342" i="2" s="1"/>
  <c r="C8342" i="2"/>
  <c r="E8341" i="2"/>
  <c r="F8341" i="2" s="1"/>
  <c r="C8341" i="2"/>
  <c r="E8340" i="2"/>
  <c r="F8340" i="2" s="1"/>
  <c r="C8340" i="2"/>
  <c r="E8339" i="2"/>
  <c r="F8339" i="2" s="1"/>
  <c r="C8339" i="2"/>
  <c r="E8338" i="2"/>
  <c r="F8338" i="2" s="1"/>
  <c r="C8338" i="2"/>
  <c r="E8337" i="2"/>
  <c r="F8337" i="2" s="1"/>
  <c r="C8337" i="2"/>
  <c r="E8336" i="2"/>
  <c r="F8336" i="2" s="1"/>
  <c r="C8336" i="2"/>
  <c r="E8335" i="2"/>
  <c r="F8335" i="2" s="1"/>
  <c r="C8335" i="2"/>
  <c r="E8334" i="2"/>
  <c r="F8334" i="2" s="1"/>
  <c r="C8334" i="2"/>
  <c r="E8333" i="2"/>
  <c r="F8333" i="2" s="1"/>
  <c r="C8333" i="2"/>
  <c r="E8332" i="2"/>
  <c r="F8332" i="2" s="1"/>
  <c r="C8332" i="2"/>
  <c r="E8331" i="2"/>
  <c r="F8331" i="2" s="1"/>
  <c r="C8331" i="2"/>
  <c r="E8330" i="2"/>
  <c r="F8330" i="2" s="1"/>
  <c r="C8330" i="2"/>
  <c r="E8329" i="2"/>
  <c r="F8329" i="2" s="1"/>
  <c r="C8329" i="2"/>
  <c r="E8328" i="2"/>
  <c r="F8328" i="2" s="1"/>
  <c r="C8328" i="2"/>
  <c r="E8327" i="2"/>
  <c r="F8327" i="2" s="1"/>
  <c r="C8327" i="2"/>
  <c r="E8326" i="2"/>
  <c r="F8326" i="2" s="1"/>
  <c r="C8326" i="2"/>
  <c r="E8325" i="2"/>
  <c r="F8325" i="2" s="1"/>
  <c r="C8325" i="2"/>
  <c r="E8324" i="2"/>
  <c r="F8324" i="2" s="1"/>
  <c r="C8324" i="2"/>
  <c r="E8323" i="2"/>
  <c r="F8323" i="2" s="1"/>
  <c r="C8323" i="2"/>
  <c r="E8322" i="2"/>
  <c r="F8322" i="2" s="1"/>
  <c r="C8322" i="2"/>
  <c r="E8321" i="2"/>
  <c r="F8321" i="2" s="1"/>
  <c r="C8321" i="2"/>
  <c r="E8320" i="2"/>
  <c r="F8320" i="2" s="1"/>
  <c r="C8320" i="2"/>
  <c r="E8319" i="2"/>
  <c r="F8319" i="2" s="1"/>
  <c r="C8319" i="2"/>
  <c r="E8318" i="2"/>
  <c r="F8318" i="2" s="1"/>
  <c r="C8318" i="2"/>
  <c r="E8317" i="2"/>
  <c r="F8317" i="2" s="1"/>
  <c r="C8317" i="2"/>
  <c r="E8316" i="2"/>
  <c r="F8316" i="2" s="1"/>
  <c r="C8316" i="2"/>
  <c r="E8315" i="2"/>
  <c r="F8315" i="2" s="1"/>
  <c r="C8315" i="2"/>
  <c r="E8314" i="2"/>
  <c r="F8314" i="2" s="1"/>
  <c r="C8314" i="2"/>
  <c r="E8313" i="2"/>
  <c r="F8313" i="2" s="1"/>
  <c r="C8313" i="2"/>
  <c r="E8312" i="2"/>
  <c r="F8312" i="2" s="1"/>
  <c r="C8312" i="2"/>
  <c r="E8311" i="2"/>
  <c r="F8311" i="2" s="1"/>
  <c r="C8311" i="2"/>
  <c r="E8310" i="2"/>
  <c r="F8310" i="2" s="1"/>
  <c r="C8310" i="2"/>
  <c r="E8309" i="2"/>
  <c r="F8309" i="2" s="1"/>
  <c r="C8309" i="2"/>
  <c r="E8308" i="2"/>
  <c r="F8308" i="2" s="1"/>
  <c r="C8308" i="2"/>
  <c r="E8307" i="2"/>
  <c r="F8307" i="2" s="1"/>
  <c r="C8307" i="2"/>
  <c r="E8306" i="2"/>
  <c r="F8306" i="2" s="1"/>
  <c r="C8306" i="2"/>
  <c r="E8305" i="2"/>
  <c r="F8305" i="2" s="1"/>
  <c r="C8305" i="2"/>
  <c r="E8304" i="2"/>
  <c r="F8304" i="2" s="1"/>
  <c r="C8304" i="2"/>
  <c r="E8303" i="2"/>
  <c r="F8303" i="2" s="1"/>
  <c r="C8303" i="2"/>
  <c r="E8302" i="2"/>
  <c r="F8302" i="2" s="1"/>
  <c r="C8302" i="2"/>
  <c r="E8301" i="2"/>
  <c r="F8301" i="2" s="1"/>
  <c r="C8301" i="2"/>
  <c r="E8300" i="2"/>
  <c r="F8300" i="2" s="1"/>
  <c r="C8300" i="2"/>
  <c r="E8299" i="2"/>
  <c r="F8299" i="2" s="1"/>
  <c r="C8299" i="2"/>
  <c r="E8298" i="2"/>
  <c r="F8298" i="2" s="1"/>
  <c r="C8298" i="2"/>
  <c r="E8297" i="2"/>
  <c r="F8297" i="2" s="1"/>
  <c r="C8297" i="2"/>
  <c r="E8296" i="2"/>
  <c r="F8296" i="2" s="1"/>
  <c r="C8296" i="2"/>
  <c r="E8295" i="2"/>
  <c r="F8295" i="2" s="1"/>
  <c r="C8295" i="2"/>
  <c r="E8294" i="2"/>
  <c r="F8294" i="2" s="1"/>
  <c r="C8294" i="2"/>
  <c r="E8293" i="2"/>
  <c r="F8293" i="2" s="1"/>
  <c r="C8293" i="2"/>
  <c r="E8292" i="2"/>
  <c r="F8292" i="2" s="1"/>
  <c r="C8292" i="2"/>
  <c r="E8291" i="2"/>
  <c r="F8291" i="2" s="1"/>
  <c r="C8291" i="2"/>
  <c r="E8290" i="2"/>
  <c r="F8290" i="2" s="1"/>
  <c r="C8290" i="2"/>
  <c r="E8289" i="2"/>
  <c r="F8289" i="2" s="1"/>
  <c r="C8289" i="2"/>
  <c r="E8288" i="2"/>
  <c r="F8288" i="2" s="1"/>
  <c r="C8288" i="2"/>
  <c r="E8287" i="2"/>
  <c r="F8287" i="2" s="1"/>
  <c r="C8287" i="2"/>
  <c r="E8286" i="2"/>
  <c r="F8286" i="2" s="1"/>
  <c r="C8286" i="2"/>
  <c r="E8285" i="2"/>
  <c r="F8285" i="2" s="1"/>
  <c r="C8285" i="2"/>
  <c r="E8284" i="2"/>
  <c r="F8284" i="2" s="1"/>
  <c r="C8284" i="2"/>
  <c r="E8283" i="2"/>
  <c r="F8283" i="2" s="1"/>
  <c r="C8283" i="2"/>
  <c r="E8282" i="2"/>
  <c r="F8282" i="2" s="1"/>
  <c r="C8282" i="2"/>
  <c r="E8281" i="2"/>
  <c r="F8281" i="2" s="1"/>
  <c r="C8281" i="2"/>
  <c r="E8280" i="2"/>
  <c r="F8280" i="2" s="1"/>
  <c r="C8280" i="2"/>
  <c r="E8279" i="2"/>
  <c r="F8279" i="2" s="1"/>
  <c r="C8279" i="2"/>
  <c r="E8278" i="2"/>
  <c r="F8278" i="2" s="1"/>
  <c r="C8278" i="2"/>
  <c r="E8277" i="2"/>
  <c r="F8277" i="2" s="1"/>
  <c r="C8277" i="2"/>
  <c r="E8276" i="2"/>
  <c r="F8276" i="2" s="1"/>
  <c r="C8276" i="2"/>
  <c r="E8275" i="2"/>
  <c r="F8275" i="2" s="1"/>
  <c r="C8275" i="2"/>
  <c r="E8274" i="2"/>
  <c r="F8274" i="2" s="1"/>
  <c r="C8274" i="2"/>
  <c r="E8273" i="2"/>
  <c r="F8273" i="2" s="1"/>
  <c r="C8273" i="2"/>
  <c r="E8272" i="2"/>
  <c r="F8272" i="2" s="1"/>
  <c r="C8272" i="2"/>
  <c r="E8271" i="2"/>
  <c r="F8271" i="2" s="1"/>
  <c r="C8271" i="2"/>
  <c r="E8270" i="2"/>
  <c r="F8270" i="2" s="1"/>
  <c r="C8270" i="2"/>
  <c r="E8269" i="2"/>
  <c r="F8269" i="2" s="1"/>
  <c r="C8269" i="2"/>
  <c r="E8268" i="2"/>
  <c r="F8268" i="2" s="1"/>
  <c r="C8268" i="2"/>
  <c r="E8267" i="2"/>
  <c r="F8267" i="2" s="1"/>
  <c r="C8267" i="2"/>
  <c r="E8266" i="2"/>
  <c r="F8266" i="2" s="1"/>
  <c r="C8266" i="2"/>
  <c r="E8265" i="2"/>
  <c r="F8265" i="2" s="1"/>
  <c r="C8265" i="2"/>
  <c r="E8264" i="2"/>
  <c r="F8264" i="2" s="1"/>
  <c r="C8264" i="2"/>
  <c r="E8263" i="2"/>
  <c r="F8263" i="2" s="1"/>
  <c r="C8263" i="2"/>
  <c r="E8262" i="2"/>
  <c r="F8262" i="2" s="1"/>
  <c r="C8262" i="2"/>
  <c r="E8261" i="2"/>
  <c r="F8261" i="2" s="1"/>
  <c r="C8261" i="2"/>
  <c r="E8260" i="2"/>
  <c r="F8260" i="2" s="1"/>
  <c r="C8260" i="2"/>
  <c r="E8259" i="2"/>
  <c r="F8259" i="2" s="1"/>
  <c r="C8259" i="2"/>
  <c r="E8258" i="2"/>
  <c r="F8258" i="2" s="1"/>
  <c r="C8258" i="2"/>
  <c r="E8257" i="2"/>
  <c r="F8257" i="2" s="1"/>
  <c r="C8257" i="2"/>
  <c r="E8256" i="2"/>
  <c r="F8256" i="2" s="1"/>
  <c r="C8256" i="2"/>
  <c r="E8255" i="2"/>
  <c r="F8255" i="2" s="1"/>
  <c r="C8255" i="2"/>
  <c r="E8254" i="2"/>
  <c r="F8254" i="2" s="1"/>
  <c r="C8254" i="2"/>
  <c r="E8253" i="2"/>
  <c r="F8253" i="2" s="1"/>
  <c r="C8253" i="2"/>
  <c r="E8252" i="2"/>
  <c r="F8252" i="2" s="1"/>
  <c r="C8252" i="2"/>
  <c r="E8251" i="2"/>
  <c r="F8251" i="2" s="1"/>
  <c r="C8251" i="2"/>
  <c r="E8250" i="2"/>
  <c r="F8250" i="2" s="1"/>
  <c r="C8250" i="2"/>
  <c r="E8249" i="2"/>
  <c r="F8249" i="2" s="1"/>
  <c r="C8249" i="2"/>
  <c r="E8248" i="2"/>
  <c r="F8248" i="2" s="1"/>
  <c r="C8248" i="2"/>
  <c r="E8247" i="2"/>
  <c r="F8247" i="2" s="1"/>
  <c r="C8247" i="2"/>
  <c r="E8246" i="2"/>
  <c r="F8246" i="2" s="1"/>
  <c r="C8246" i="2"/>
  <c r="E8245" i="2"/>
  <c r="F8245" i="2" s="1"/>
  <c r="C8245" i="2"/>
  <c r="E8244" i="2"/>
  <c r="F8244" i="2" s="1"/>
  <c r="C8244" i="2"/>
  <c r="E8243" i="2"/>
  <c r="F8243" i="2" s="1"/>
  <c r="C8243" i="2"/>
  <c r="E8242" i="2"/>
  <c r="F8242" i="2" s="1"/>
  <c r="C8242" i="2"/>
  <c r="E8241" i="2"/>
  <c r="F8241" i="2" s="1"/>
  <c r="C8241" i="2"/>
  <c r="E8240" i="2"/>
  <c r="F8240" i="2" s="1"/>
  <c r="C8240" i="2"/>
  <c r="E8239" i="2"/>
  <c r="F8239" i="2" s="1"/>
  <c r="C8239" i="2"/>
  <c r="E8238" i="2"/>
  <c r="F8238" i="2" s="1"/>
  <c r="C8238" i="2"/>
  <c r="E8237" i="2"/>
  <c r="F8237" i="2" s="1"/>
  <c r="C8237" i="2"/>
  <c r="E8236" i="2"/>
  <c r="F8236" i="2" s="1"/>
  <c r="C8236" i="2"/>
  <c r="E8235" i="2"/>
  <c r="F8235" i="2" s="1"/>
  <c r="C8235" i="2"/>
  <c r="E8234" i="2"/>
  <c r="F8234" i="2" s="1"/>
  <c r="C8234" i="2"/>
  <c r="E8233" i="2"/>
  <c r="F8233" i="2" s="1"/>
  <c r="C8233" i="2"/>
  <c r="E8232" i="2"/>
  <c r="F8232" i="2" s="1"/>
  <c r="C8232" i="2"/>
  <c r="E8231" i="2"/>
  <c r="F8231" i="2" s="1"/>
  <c r="C8231" i="2"/>
  <c r="E8230" i="2"/>
  <c r="F8230" i="2" s="1"/>
  <c r="C8230" i="2"/>
  <c r="E8229" i="2"/>
  <c r="F8229" i="2" s="1"/>
  <c r="C8229" i="2"/>
  <c r="E8228" i="2"/>
  <c r="F8228" i="2" s="1"/>
  <c r="C8228" i="2"/>
  <c r="E8227" i="2"/>
  <c r="F8227" i="2" s="1"/>
  <c r="C8227" i="2"/>
  <c r="E8226" i="2"/>
  <c r="F8226" i="2" s="1"/>
  <c r="C8226" i="2"/>
  <c r="E8225" i="2"/>
  <c r="F8225" i="2" s="1"/>
  <c r="C8225" i="2"/>
  <c r="E8224" i="2"/>
  <c r="F8224" i="2" s="1"/>
  <c r="C8224" i="2"/>
  <c r="E8223" i="2"/>
  <c r="F8223" i="2" s="1"/>
  <c r="C8223" i="2"/>
  <c r="E8222" i="2"/>
  <c r="F8222" i="2" s="1"/>
  <c r="C8222" i="2"/>
  <c r="E8221" i="2"/>
  <c r="F8221" i="2" s="1"/>
  <c r="C8221" i="2"/>
  <c r="E8220" i="2"/>
  <c r="F8220" i="2" s="1"/>
  <c r="C8220" i="2"/>
  <c r="E8219" i="2"/>
  <c r="F8219" i="2" s="1"/>
  <c r="C8219" i="2"/>
  <c r="E8218" i="2"/>
  <c r="F8218" i="2" s="1"/>
  <c r="C8218" i="2"/>
  <c r="E8217" i="2"/>
  <c r="F8217" i="2" s="1"/>
  <c r="C8217" i="2"/>
  <c r="E8216" i="2"/>
  <c r="F8216" i="2" s="1"/>
  <c r="C8216" i="2"/>
  <c r="E8215" i="2"/>
  <c r="F8215" i="2" s="1"/>
  <c r="C8215" i="2"/>
  <c r="E8214" i="2"/>
  <c r="F8214" i="2" s="1"/>
  <c r="C8214" i="2"/>
  <c r="E8213" i="2"/>
  <c r="F8213" i="2" s="1"/>
  <c r="C8213" i="2"/>
  <c r="E8212" i="2"/>
  <c r="F8212" i="2" s="1"/>
  <c r="C8212" i="2"/>
  <c r="E8211" i="2"/>
  <c r="F8211" i="2" s="1"/>
  <c r="C8211" i="2"/>
  <c r="E8210" i="2"/>
  <c r="F8210" i="2" s="1"/>
  <c r="C8210" i="2"/>
  <c r="E8209" i="2"/>
  <c r="F8209" i="2" s="1"/>
  <c r="C8209" i="2"/>
  <c r="E8208" i="2"/>
  <c r="F8208" i="2" s="1"/>
  <c r="C8208" i="2"/>
  <c r="E8207" i="2"/>
  <c r="F8207" i="2" s="1"/>
  <c r="C8207" i="2"/>
  <c r="E8206" i="2"/>
  <c r="F8206" i="2" s="1"/>
  <c r="C8206" i="2"/>
  <c r="E8205" i="2"/>
  <c r="F8205" i="2" s="1"/>
  <c r="C8205" i="2"/>
  <c r="E8204" i="2"/>
  <c r="F8204" i="2" s="1"/>
  <c r="C8204" i="2"/>
  <c r="E8203" i="2"/>
  <c r="F8203" i="2" s="1"/>
  <c r="C8203" i="2"/>
  <c r="E8202" i="2"/>
  <c r="F8202" i="2" s="1"/>
  <c r="C8202" i="2"/>
  <c r="E8201" i="2"/>
  <c r="F8201" i="2" s="1"/>
  <c r="C8201" i="2"/>
  <c r="E8200" i="2"/>
  <c r="F8200" i="2" s="1"/>
  <c r="C8200" i="2"/>
  <c r="E8199" i="2"/>
  <c r="F8199" i="2" s="1"/>
  <c r="C8199" i="2"/>
  <c r="E8198" i="2"/>
  <c r="F8198" i="2" s="1"/>
  <c r="C8198" i="2"/>
  <c r="E8197" i="2"/>
  <c r="F8197" i="2" s="1"/>
  <c r="C8197" i="2"/>
  <c r="E8196" i="2"/>
  <c r="F8196" i="2" s="1"/>
  <c r="C8196" i="2"/>
  <c r="E8195" i="2"/>
  <c r="F8195" i="2" s="1"/>
  <c r="C8195" i="2"/>
  <c r="E8194" i="2"/>
  <c r="F8194" i="2" s="1"/>
  <c r="C8194" i="2"/>
  <c r="E8193" i="2"/>
  <c r="F8193" i="2" s="1"/>
  <c r="C8193" i="2"/>
  <c r="E8192" i="2"/>
  <c r="F8192" i="2" s="1"/>
  <c r="C8192" i="2"/>
  <c r="E8191" i="2"/>
  <c r="F8191" i="2" s="1"/>
  <c r="C8191" i="2"/>
  <c r="E8190" i="2"/>
  <c r="F8190" i="2" s="1"/>
  <c r="C8190" i="2"/>
  <c r="E8189" i="2"/>
  <c r="F8189" i="2" s="1"/>
  <c r="C8189" i="2"/>
  <c r="E8188" i="2"/>
  <c r="F8188" i="2" s="1"/>
  <c r="C8188" i="2"/>
  <c r="E8187" i="2"/>
  <c r="F8187" i="2" s="1"/>
  <c r="C8187" i="2"/>
  <c r="E8186" i="2"/>
  <c r="F8186" i="2" s="1"/>
  <c r="C8186" i="2"/>
  <c r="E8185" i="2"/>
  <c r="F8185" i="2" s="1"/>
  <c r="C8185" i="2"/>
  <c r="E8184" i="2"/>
  <c r="F8184" i="2" s="1"/>
  <c r="C8184" i="2"/>
  <c r="E8183" i="2"/>
  <c r="F8183" i="2" s="1"/>
  <c r="C8183" i="2"/>
  <c r="E8182" i="2"/>
  <c r="F8182" i="2" s="1"/>
  <c r="C8182" i="2"/>
  <c r="E8181" i="2"/>
  <c r="F8181" i="2" s="1"/>
  <c r="C8181" i="2"/>
  <c r="E8180" i="2"/>
  <c r="F8180" i="2" s="1"/>
  <c r="C8180" i="2"/>
  <c r="E8179" i="2"/>
  <c r="F8179" i="2" s="1"/>
  <c r="C8179" i="2"/>
  <c r="E8178" i="2"/>
  <c r="F8178" i="2" s="1"/>
  <c r="C8178" i="2"/>
  <c r="E8177" i="2"/>
  <c r="F8177" i="2" s="1"/>
  <c r="C8177" i="2"/>
  <c r="E8176" i="2"/>
  <c r="F8176" i="2" s="1"/>
  <c r="C8176" i="2"/>
  <c r="E8175" i="2"/>
  <c r="F8175" i="2" s="1"/>
  <c r="C8175" i="2"/>
  <c r="E8174" i="2"/>
  <c r="F8174" i="2" s="1"/>
  <c r="C8174" i="2"/>
  <c r="E8173" i="2"/>
  <c r="F8173" i="2" s="1"/>
  <c r="C8173" i="2"/>
  <c r="E8172" i="2"/>
  <c r="F8172" i="2" s="1"/>
  <c r="C8172" i="2"/>
  <c r="E8171" i="2"/>
  <c r="F8171" i="2" s="1"/>
  <c r="C8171" i="2"/>
  <c r="E8170" i="2"/>
  <c r="F8170" i="2" s="1"/>
  <c r="C8170" i="2"/>
  <c r="E8169" i="2"/>
  <c r="F8169" i="2" s="1"/>
  <c r="C8169" i="2"/>
  <c r="E8168" i="2"/>
  <c r="F8168" i="2" s="1"/>
  <c r="C8168" i="2"/>
  <c r="E8167" i="2"/>
  <c r="F8167" i="2" s="1"/>
  <c r="C8167" i="2"/>
  <c r="E8166" i="2"/>
  <c r="F8166" i="2" s="1"/>
  <c r="C8166" i="2"/>
  <c r="E8165" i="2"/>
  <c r="F8165" i="2" s="1"/>
  <c r="C8165" i="2"/>
  <c r="E8164" i="2"/>
  <c r="F8164" i="2" s="1"/>
  <c r="C8164" i="2"/>
  <c r="E8163" i="2"/>
  <c r="F8163" i="2" s="1"/>
  <c r="C8163" i="2"/>
  <c r="E8162" i="2"/>
  <c r="F8162" i="2" s="1"/>
  <c r="C8162" i="2"/>
  <c r="E8161" i="2"/>
  <c r="F8161" i="2" s="1"/>
  <c r="C8161" i="2"/>
  <c r="E8160" i="2"/>
  <c r="F8160" i="2" s="1"/>
  <c r="C8160" i="2"/>
  <c r="E8159" i="2"/>
  <c r="F8159" i="2" s="1"/>
  <c r="C8159" i="2"/>
  <c r="E8158" i="2"/>
  <c r="F8158" i="2" s="1"/>
  <c r="C8158" i="2"/>
  <c r="E8157" i="2"/>
  <c r="F8157" i="2" s="1"/>
  <c r="C8157" i="2"/>
  <c r="E8156" i="2"/>
  <c r="F8156" i="2" s="1"/>
  <c r="C8156" i="2"/>
  <c r="E8155" i="2"/>
  <c r="F8155" i="2" s="1"/>
  <c r="C8155" i="2"/>
  <c r="E8154" i="2"/>
  <c r="F8154" i="2" s="1"/>
  <c r="C8154" i="2"/>
  <c r="E8153" i="2"/>
  <c r="F8153" i="2" s="1"/>
  <c r="C8153" i="2"/>
  <c r="E8152" i="2"/>
  <c r="F8152" i="2" s="1"/>
  <c r="C8152" i="2"/>
  <c r="E8151" i="2"/>
  <c r="F8151" i="2" s="1"/>
  <c r="C8151" i="2"/>
  <c r="E8150" i="2"/>
  <c r="F8150" i="2" s="1"/>
  <c r="C8150" i="2"/>
  <c r="E8149" i="2"/>
  <c r="F8149" i="2" s="1"/>
  <c r="C8149" i="2"/>
  <c r="E8148" i="2"/>
  <c r="F8148" i="2" s="1"/>
  <c r="C8148" i="2"/>
  <c r="E8147" i="2"/>
  <c r="F8147" i="2" s="1"/>
  <c r="C8147" i="2"/>
  <c r="E8146" i="2"/>
  <c r="F8146" i="2" s="1"/>
  <c r="C8146" i="2"/>
  <c r="E8145" i="2"/>
  <c r="F8145" i="2" s="1"/>
  <c r="C8145" i="2"/>
  <c r="E8144" i="2"/>
  <c r="F8144" i="2" s="1"/>
  <c r="C8144" i="2"/>
  <c r="E8143" i="2"/>
  <c r="F8143" i="2" s="1"/>
  <c r="C8143" i="2"/>
  <c r="E8142" i="2"/>
  <c r="F8142" i="2" s="1"/>
  <c r="C8142" i="2"/>
  <c r="E8141" i="2"/>
  <c r="F8141" i="2" s="1"/>
  <c r="C8141" i="2"/>
  <c r="E8140" i="2"/>
  <c r="F8140" i="2" s="1"/>
  <c r="C8140" i="2"/>
  <c r="E8139" i="2"/>
  <c r="F8139" i="2" s="1"/>
  <c r="C8139" i="2"/>
  <c r="E8138" i="2"/>
  <c r="F8138" i="2" s="1"/>
  <c r="C8138" i="2"/>
  <c r="E8137" i="2"/>
  <c r="F8137" i="2" s="1"/>
  <c r="C8137" i="2"/>
  <c r="E8136" i="2"/>
  <c r="F8136" i="2" s="1"/>
  <c r="C8136" i="2"/>
  <c r="E8135" i="2"/>
  <c r="F8135" i="2" s="1"/>
  <c r="C8135" i="2"/>
  <c r="E8134" i="2"/>
  <c r="F8134" i="2" s="1"/>
  <c r="C8134" i="2"/>
  <c r="E8133" i="2"/>
  <c r="F8133" i="2" s="1"/>
  <c r="C8133" i="2"/>
  <c r="E8132" i="2"/>
  <c r="F8132" i="2" s="1"/>
  <c r="C8132" i="2"/>
  <c r="E8131" i="2"/>
  <c r="F8131" i="2" s="1"/>
  <c r="C8131" i="2"/>
  <c r="E8130" i="2"/>
  <c r="F8130" i="2" s="1"/>
  <c r="C8130" i="2"/>
  <c r="E8129" i="2"/>
  <c r="F8129" i="2" s="1"/>
  <c r="C8129" i="2"/>
  <c r="E8128" i="2"/>
  <c r="F8128" i="2" s="1"/>
  <c r="C8128" i="2"/>
  <c r="E8127" i="2"/>
  <c r="F8127" i="2" s="1"/>
  <c r="C8127" i="2"/>
  <c r="E8126" i="2"/>
  <c r="F8126" i="2" s="1"/>
  <c r="C8126" i="2"/>
  <c r="E8125" i="2"/>
  <c r="F8125" i="2" s="1"/>
  <c r="C8125" i="2"/>
  <c r="E8124" i="2"/>
  <c r="F8124" i="2" s="1"/>
  <c r="C8124" i="2"/>
  <c r="E8123" i="2"/>
  <c r="F8123" i="2" s="1"/>
  <c r="C8123" i="2"/>
  <c r="E8122" i="2"/>
  <c r="F8122" i="2" s="1"/>
  <c r="C8122" i="2"/>
  <c r="E8121" i="2"/>
  <c r="F8121" i="2" s="1"/>
  <c r="C8121" i="2"/>
  <c r="E8120" i="2"/>
  <c r="F8120" i="2" s="1"/>
  <c r="C8120" i="2"/>
  <c r="E8119" i="2"/>
  <c r="F8119" i="2" s="1"/>
  <c r="C8119" i="2"/>
  <c r="E8118" i="2"/>
  <c r="F8118" i="2" s="1"/>
  <c r="C8118" i="2"/>
  <c r="E8117" i="2"/>
  <c r="F8117" i="2" s="1"/>
  <c r="C8117" i="2"/>
  <c r="E8116" i="2"/>
  <c r="F8116" i="2" s="1"/>
  <c r="C8116" i="2"/>
  <c r="E8115" i="2"/>
  <c r="F8115" i="2" s="1"/>
  <c r="C8115" i="2"/>
  <c r="E8114" i="2"/>
  <c r="F8114" i="2" s="1"/>
  <c r="C8114" i="2"/>
  <c r="E8113" i="2"/>
  <c r="F8113" i="2" s="1"/>
  <c r="C8113" i="2"/>
  <c r="E8112" i="2"/>
  <c r="F8112" i="2" s="1"/>
  <c r="C8112" i="2"/>
  <c r="E8111" i="2"/>
  <c r="F8111" i="2" s="1"/>
  <c r="C8111" i="2"/>
  <c r="E8110" i="2"/>
  <c r="F8110" i="2" s="1"/>
  <c r="C8110" i="2"/>
  <c r="E8109" i="2"/>
  <c r="F8109" i="2" s="1"/>
  <c r="C8109" i="2"/>
  <c r="E8108" i="2"/>
  <c r="F8108" i="2" s="1"/>
  <c r="C8108" i="2"/>
  <c r="E8107" i="2"/>
  <c r="F8107" i="2" s="1"/>
  <c r="C8107" i="2"/>
  <c r="E8106" i="2"/>
  <c r="F8106" i="2" s="1"/>
  <c r="C8106" i="2"/>
  <c r="E8105" i="2"/>
  <c r="F8105" i="2" s="1"/>
  <c r="C8105" i="2"/>
  <c r="E8104" i="2"/>
  <c r="F8104" i="2" s="1"/>
  <c r="C8104" i="2"/>
  <c r="E8103" i="2"/>
  <c r="F8103" i="2" s="1"/>
  <c r="C8103" i="2"/>
  <c r="E8102" i="2"/>
  <c r="F8102" i="2" s="1"/>
  <c r="C8102" i="2"/>
  <c r="E8101" i="2"/>
  <c r="F8101" i="2" s="1"/>
  <c r="C8101" i="2"/>
  <c r="E8100" i="2"/>
  <c r="F8100" i="2" s="1"/>
  <c r="C8100" i="2"/>
  <c r="E8099" i="2"/>
  <c r="F8099" i="2" s="1"/>
  <c r="C8099" i="2"/>
  <c r="E8098" i="2"/>
  <c r="F8098" i="2" s="1"/>
  <c r="C8098" i="2"/>
  <c r="E8097" i="2"/>
  <c r="F8097" i="2" s="1"/>
  <c r="C8097" i="2"/>
  <c r="E8096" i="2"/>
  <c r="F8096" i="2" s="1"/>
  <c r="C8096" i="2"/>
  <c r="E8095" i="2"/>
  <c r="F8095" i="2" s="1"/>
  <c r="C8095" i="2"/>
  <c r="E8094" i="2"/>
  <c r="F8094" i="2" s="1"/>
  <c r="C8094" i="2"/>
  <c r="E8093" i="2"/>
  <c r="F8093" i="2" s="1"/>
  <c r="C8093" i="2"/>
  <c r="E8092" i="2"/>
  <c r="F8092" i="2" s="1"/>
  <c r="C8092" i="2"/>
  <c r="E8091" i="2"/>
  <c r="F8091" i="2" s="1"/>
  <c r="C8091" i="2"/>
  <c r="E8090" i="2"/>
  <c r="F8090" i="2" s="1"/>
  <c r="C8090" i="2"/>
  <c r="E8089" i="2"/>
  <c r="F8089" i="2" s="1"/>
  <c r="C8089" i="2"/>
  <c r="E8088" i="2"/>
  <c r="F8088" i="2" s="1"/>
  <c r="C8088" i="2"/>
  <c r="E8087" i="2"/>
  <c r="F8087" i="2" s="1"/>
  <c r="C8087" i="2"/>
  <c r="E8086" i="2"/>
  <c r="F8086" i="2" s="1"/>
  <c r="C8086" i="2"/>
  <c r="E8085" i="2"/>
  <c r="F8085" i="2" s="1"/>
  <c r="C8085" i="2"/>
  <c r="E8084" i="2"/>
  <c r="F8084" i="2" s="1"/>
  <c r="C8084" i="2"/>
  <c r="E8083" i="2"/>
  <c r="F8083" i="2" s="1"/>
  <c r="C8083" i="2"/>
  <c r="E8082" i="2"/>
  <c r="F8082" i="2" s="1"/>
  <c r="C8082" i="2"/>
  <c r="E8081" i="2"/>
  <c r="F8081" i="2" s="1"/>
  <c r="C8081" i="2"/>
  <c r="E8080" i="2"/>
  <c r="F8080" i="2" s="1"/>
  <c r="C8080" i="2"/>
  <c r="E8079" i="2"/>
  <c r="F8079" i="2" s="1"/>
  <c r="C8079" i="2"/>
  <c r="E8078" i="2"/>
  <c r="F8078" i="2" s="1"/>
  <c r="C8078" i="2"/>
  <c r="E8077" i="2"/>
  <c r="F8077" i="2" s="1"/>
  <c r="C8077" i="2"/>
  <c r="E8076" i="2"/>
  <c r="F8076" i="2" s="1"/>
  <c r="C8076" i="2"/>
  <c r="E8075" i="2"/>
  <c r="F8075" i="2" s="1"/>
  <c r="C8075" i="2"/>
  <c r="E8074" i="2"/>
  <c r="F8074" i="2" s="1"/>
  <c r="C8074" i="2"/>
  <c r="E8073" i="2"/>
  <c r="F8073" i="2" s="1"/>
  <c r="C8073" i="2"/>
  <c r="E8072" i="2"/>
  <c r="F8072" i="2" s="1"/>
  <c r="C8072" i="2"/>
  <c r="E8071" i="2"/>
  <c r="F8071" i="2" s="1"/>
  <c r="C8071" i="2"/>
  <c r="E8070" i="2"/>
  <c r="F8070" i="2" s="1"/>
  <c r="C8070" i="2"/>
  <c r="E8069" i="2"/>
  <c r="F8069" i="2" s="1"/>
  <c r="C8069" i="2"/>
  <c r="E8068" i="2"/>
  <c r="F8068" i="2" s="1"/>
  <c r="C8068" i="2"/>
  <c r="E8067" i="2"/>
  <c r="F8067" i="2" s="1"/>
  <c r="C8067" i="2"/>
  <c r="E8066" i="2"/>
  <c r="F8066" i="2" s="1"/>
  <c r="C8066" i="2"/>
  <c r="E8065" i="2"/>
  <c r="F8065" i="2" s="1"/>
  <c r="C8065" i="2"/>
  <c r="E8064" i="2"/>
  <c r="F8064" i="2" s="1"/>
  <c r="C8064" i="2"/>
  <c r="E8063" i="2"/>
  <c r="F8063" i="2" s="1"/>
  <c r="C8063" i="2"/>
  <c r="E8062" i="2"/>
  <c r="F8062" i="2" s="1"/>
  <c r="C8062" i="2"/>
  <c r="E8061" i="2"/>
  <c r="F8061" i="2" s="1"/>
  <c r="C8061" i="2"/>
  <c r="E8060" i="2"/>
  <c r="F8060" i="2" s="1"/>
  <c r="C8060" i="2"/>
  <c r="E8059" i="2"/>
  <c r="F8059" i="2" s="1"/>
  <c r="C8059" i="2"/>
  <c r="E8058" i="2"/>
  <c r="F8058" i="2" s="1"/>
  <c r="C8058" i="2"/>
  <c r="E8057" i="2"/>
  <c r="F8057" i="2" s="1"/>
  <c r="C8057" i="2"/>
  <c r="E8056" i="2"/>
  <c r="F8056" i="2" s="1"/>
  <c r="C8056" i="2"/>
  <c r="E8055" i="2"/>
  <c r="F8055" i="2" s="1"/>
  <c r="C8055" i="2"/>
  <c r="E8054" i="2"/>
  <c r="F8054" i="2" s="1"/>
  <c r="C8054" i="2"/>
  <c r="E8053" i="2"/>
  <c r="F8053" i="2" s="1"/>
  <c r="C8053" i="2"/>
  <c r="E8052" i="2"/>
  <c r="F8052" i="2" s="1"/>
  <c r="C8052" i="2"/>
  <c r="E8051" i="2"/>
  <c r="F8051" i="2" s="1"/>
  <c r="C8051" i="2"/>
  <c r="E8050" i="2"/>
  <c r="F8050" i="2" s="1"/>
  <c r="C8050" i="2"/>
  <c r="E8049" i="2"/>
  <c r="F8049" i="2" s="1"/>
  <c r="C8049" i="2"/>
  <c r="E8048" i="2"/>
  <c r="F8048" i="2" s="1"/>
  <c r="C8048" i="2"/>
  <c r="E8047" i="2"/>
  <c r="F8047" i="2" s="1"/>
  <c r="C8047" i="2"/>
  <c r="E8046" i="2"/>
  <c r="F8046" i="2" s="1"/>
  <c r="C8046" i="2"/>
  <c r="E8045" i="2"/>
  <c r="F8045" i="2" s="1"/>
  <c r="C8045" i="2"/>
  <c r="E8044" i="2"/>
  <c r="F8044" i="2" s="1"/>
  <c r="C8044" i="2"/>
  <c r="E8043" i="2"/>
  <c r="F8043" i="2" s="1"/>
  <c r="C8043" i="2"/>
  <c r="E8042" i="2"/>
  <c r="F8042" i="2" s="1"/>
  <c r="C8042" i="2"/>
  <c r="E8041" i="2"/>
  <c r="F8041" i="2" s="1"/>
  <c r="C8041" i="2"/>
  <c r="E8040" i="2"/>
  <c r="F8040" i="2" s="1"/>
  <c r="C8040" i="2"/>
  <c r="E8039" i="2"/>
  <c r="F8039" i="2" s="1"/>
  <c r="C8039" i="2"/>
  <c r="E8038" i="2"/>
  <c r="F8038" i="2" s="1"/>
  <c r="C8038" i="2"/>
  <c r="E8037" i="2"/>
  <c r="F8037" i="2" s="1"/>
  <c r="C8037" i="2"/>
  <c r="E8036" i="2"/>
  <c r="F8036" i="2" s="1"/>
  <c r="C8036" i="2"/>
  <c r="E8035" i="2"/>
  <c r="F8035" i="2" s="1"/>
  <c r="C8035" i="2"/>
  <c r="E8034" i="2"/>
  <c r="F8034" i="2" s="1"/>
  <c r="C8034" i="2"/>
  <c r="E8033" i="2"/>
  <c r="F8033" i="2" s="1"/>
  <c r="C8033" i="2"/>
  <c r="E8032" i="2"/>
  <c r="F8032" i="2" s="1"/>
  <c r="C8032" i="2"/>
  <c r="E8031" i="2"/>
  <c r="F8031" i="2" s="1"/>
  <c r="C8031" i="2"/>
  <c r="E8030" i="2"/>
  <c r="F8030" i="2" s="1"/>
  <c r="C8030" i="2"/>
  <c r="E8029" i="2"/>
  <c r="F8029" i="2" s="1"/>
  <c r="C8029" i="2"/>
  <c r="E8028" i="2"/>
  <c r="F8028" i="2" s="1"/>
  <c r="C8028" i="2"/>
  <c r="E8027" i="2"/>
  <c r="F8027" i="2" s="1"/>
  <c r="C8027" i="2"/>
  <c r="E8026" i="2"/>
  <c r="F8026" i="2" s="1"/>
  <c r="C8026" i="2"/>
  <c r="E8025" i="2"/>
  <c r="F8025" i="2" s="1"/>
  <c r="C8025" i="2"/>
  <c r="E8024" i="2"/>
  <c r="F8024" i="2" s="1"/>
  <c r="C8024" i="2"/>
  <c r="E8023" i="2"/>
  <c r="F8023" i="2" s="1"/>
  <c r="C8023" i="2"/>
  <c r="E8022" i="2"/>
  <c r="F8022" i="2" s="1"/>
  <c r="C8022" i="2"/>
  <c r="E8021" i="2"/>
  <c r="F8021" i="2" s="1"/>
  <c r="C8021" i="2"/>
  <c r="E8020" i="2"/>
  <c r="F8020" i="2" s="1"/>
  <c r="C8020" i="2"/>
  <c r="E8019" i="2"/>
  <c r="F8019" i="2" s="1"/>
  <c r="C8019" i="2"/>
  <c r="E8018" i="2"/>
  <c r="F8018" i="2" s="1"/>
  <c r="C8018" i="2"/>
  <c r="E8017" i="2"/>
  <c r="F8017" i="2" s="1"/>
  <c r="C8017" i="2"/>
  <c r="E8016" i="2"/>
  <c r="F8016" i="2" s="1"/>
  <c r="C8016" i="2"/>
  <c r="E8015" i="2"/>
  <c r="F8015" i="2" s="1"/>
  <c r="C8015" i="2"/>
  <c r="E8014" i="2"/>
  <c r="F8014" i="2" s="1"/>
  <c r="C8014" i="2"/>
  <c r="E8013" i="2"/>
  <c r="F8013" i="2" s="1"/>
  <c r="C8013" i="2"/>
  <c r="E8012" i="2"/>
  <c r="F8012" i="2" s="1"/>
  <c r="C8012" i="2"/>
  <c r="E8011" i="2"/>
  <c r="F8011" i="2" s="1"/>
  <c r="C8011" i="2"/>
  <c r="E8010" i="2"/>
  <c r="F8010" i="2" s="1"/>
  <c r="C8010" i="2"/>
  <c r="E8009" i="2"/>
  <c r="F8009" i="2" s="1"/>
  <c r="C8009" i="2"/>
  <c r="E8008" i="2"/>
  <c r="F8008" i="2" s="1"/>
  <c r="C8008" i="2"/>
  <c r="E8007" i="2"/>
  <c r="F8007" i="2" s="1"/>
  <c r="C8007" i="2"/>
  <c r="E8006" i="2"/>
  <c r="F8006" i="2" s="1"/>
  <c r="C8006" i="2"/>
  <c r="E8005" i="2"/>
  <c r="F8005" i="2" s="1"/>
  <c r="C8005" i="2"/>
  <c r="E8004" i="2"/>
  <c r="F8004" i="2" s="1"/>
  <c r="C8004" i="2"/>
  <c r="E8003" i="2"/>
  <c r="F8003" i="2" s="1"/>
  <c r="C8003" i="2"/>
  <c r="E8002" i="2"/>
  <c r="F8002" i="2" s="1"/>
  <c r="C8002" i="2"/>
  <c r="E8001" i="2"/>
  <c r="F8001" i="2" s="1"/>
  <c r="C8001" i="2"/>
  <c r="E8000" i="2"/>
  <c r="F8000" i="2" s="1"/>
  <c r="C8000" i="2"/>
  <c r="E7999" i="2"/>
  <c r="F7999" i="2" s="1"/>
  <c r="C7999" i="2"/>
  <c r="E7998" i="2"/>
  <c r="F7998" i="2" s="1"/>
  <c r="C7998" i="2"/>
  <c r="E7997" i="2"/>
  <c r="F7997" i="2" s="1"/>
  <c r="C7997" i="2"/>
  <c r="E7996" i="2"/>
  <c r="F7996" i="2" s="1"/>
  <c r="C7996" i="2"/>
  <c r="E7995" i="2"/>
  <c r="F7995" i="2" s="1"/>
  <c r="C7995" i="2"/>
  <c r="E7994" i="2"/>
  <c r="F7994" i="2" s="1"/>
  <c r="C7994" i="2"/>
  <c r="E7993" i="2"/>
  <c r="F7993" i="2" s="1"/>
  <c r="C7993" i="2"/>
  <c r="E7992" i="2"/>
  <c r="F7992" i="2" s="1"/>
  <c r="C7992" i="2"/>
  <c r="E7991" i="2"/>
  <c r="F7991" i="2" s="1"/>
  <c r="C7991" i="2"/>
  <c r="E7990" i="2"/>
  <c r="F7990" i="2" s="1"/>
  <c r="C7990" i="2"/>
  <c r="E7989" i="2"/>
  <c r="F7989" i="2" s="1"/>
  <c r="C7989" i="2"/>
  <c r="E7988" i="2"/>
  <c r="F7988" i="2" s="1"/>
  <c r="C7988" i="2"/>
  <c r="E7987" i="2"/>
  <c r="F7987" i="2" s="1"/>
  <c r="C7987" i="2"/>
  <c r="E7986" i="2"/>
  <c r="F7986" i="2" s="1"/>
  <c r="C7986" i="2"/>
  <c r="E7985" i="2"/>
  <c r="F7985" i="2" s="1"/>
  <c r="C7985" i="2"/>
  <c r="E7984" i="2"/>
  <c r="F7984" i="2" s="1"/>
  <c r="C7984" i="2"/>
  <c r="E7983" i="2"/>
  <c r="F7983" i="2" s="1"/>
  <c r="C7983" i="2"/>
  <c r="E7982" i="2"/>
  <c r="F7982" i="2" s="1"/>
  <c r="C7982" i="2"/>
  <c r="E7981" i="2"/>
  <c r="F7981" i="2" s="1"/>
  <c r="C7981" i="2"/>
  <c r="E7980" i="2"/>
  <c r="F7980" i="2" s="1"/>
  <c r="C7980" i="2"/>
  <c r="E7979" i="2"/>
  <c r="F7979" i="2" s="1"/>
  <c r="C7979" i="2"/>
  <c r="E7978" i="2"/>
  <c r="F7978" i="2" s="1"/>
  <c r="C7978" i="2"/>
  <c r="E7977" i="2"/>
  <c r="F7977" i="2" s="1"/>
  <c r="C7977" i="2"/>
  <c r="E7976" i="2"/>
  <c r="F7976" i="2" s="1"/>
  <c r="C7976" i="2"/>
  <c r="E7975" i="2"/>
  <c r="F7975" i="2" s="1"/>
  <c r="C7975" i="2"/>
  <c r="E7974" i="2"/>
  <c r="F7974" i="2" s="1"/>
  <c r="C7974" i="2"/>
  <c r="E7973" i="2"/>
  <c r="F7973" i="2" s="1"/>
  <c r="C7973" i="2"/>
  <c r="E7972" i="2"/>
  <c r="F7972" i="2" s="1"/>
  <c r="C7972" i="2"/>
  <c r="E7971" i="2"/>
  <c r="F7971" i="2" s="1"/>
  <c r="C7971" i="2"/>
  <c r="E7970" i="2"/>
  <c r="F7970" i="2" s="1"/>
  <c r="C7970" i="2"/>
  <c r="E7969" i="2"/>
  <c r="F7969" i="2" s="1"/>
  <c r="C7969" i="2"/>
  <c r="E7968" i="2"/>
  <c r="F7968" i="2" s="1"/>
  <c r="C7968" i="2"/>
  <c r="E7967" i="2"/>
  <c r="F7967" i="2" s="1"/>
  <c r="C7967" i="2"/>
  <c r="E7966" i="2"/>
  <c r="F7966" i="2" s="1"/>
  <c r="C7966" i="2"/>
  <c r="E7965" i="2"/>
  <c r="F7965" i="2" s="1"/>
  <c r="C7965" i="2"/>
  <c r="E7964" i="2"/>
  <c r="F7964" i="2" s="1"/>
  <c r="C7964" i="2"/>
  <c r="E7963" i="2"/>
  <c r="F7963" i="2" s="1"/>
  <c r="C7963" i="2"/>
  <c r="E7962" i="2"/>
  <c r="F7962" i="2" s="1"/>
  <c r="C7962" i="2"/>
  <c r="E7961" i="2"/>
  <c r="F7961" i="2" s="1"/>
  <c r="C7961" i="2"/>
  <c r="E7960" i="2"/>
  <c r="F7960" i="2" s="1"/>
  <c r="C7960" i="2"/>
  <c r="E7959" i="2"/>
  <c r="F7959" i="2" s="1"/>
  <c r="C7959" i="2"/>
  <c r="E7958" i="2"/>
  <c r="F7958" i="2" s="1"/>
  <c r="C7958" i="2"/>
  <c r="E7957" i="2"/>
  <c r="F7957" i="2" s="1"/>
  <c r="C7957" i="2"/>
  <c r="E7956" i="2"/>
  <c r="F7956" i="2" s="1"/>
  <c r="C7956" i="2"/>
  <c r="E7955" i="2"/>
  <c r="F7955" i="2" s="1"/>
  <c r="C7955" i="2"/>
  <c r="E7954" i="2"/>
  <c r="F7954" i="2" s="1"/>
  <c r="C7954" i="2"/>
  <c r="E7953" i="2"/>
  <c r="F7953" i="2" s="1"/>
  <c r="C7953" i="2"/>
  <c r="E7952" i="2"/>
  <c r="F7952" i="2" s="1"/>
  <c r="C7952" i="2"/>
  <c r="E7951" i="2"/>
  <c r="F7951" i="2" s="1"/>
  <c r="C7951" i="2"/>
  <c r="E7950" i="2"/>
  <c r="F7950" i="2" s="1"/>
  <c r="C7950" i="2"/>
  <c r="E7949" i="2"/>
  <c r="F7949" i="2" s="1"/>
  <c r="C7949" i="2"/>
  <c r="E7948" i="2"/>
  <c r="F7948" i="2" s="1"/>
  <c r="C7948" i="2"/>
  <c r="E7947" i="2"/>
  <c r="F7947" i="2" s="1"/>
  <c r="C7947" i="2"/>
  <c r="E7946" i="2"/>
  <c r="F7946" i="2" s="1"/>
  <c r="C7946" i="2"/>
  <c r="E7945" i="2"/>
  <c r="F7945" i="2" s="1"/>
  <c r="C7945" i="2"/>
  <c r="E7944" i="2"/>
  <c r="F7944" i="2" s="1"/>
  <c r="C7944" i="2"/>
  <c r="E7943" i="2"/>
  <c r="F7943" i="2" s="1"/>
  <c r="C7943" i="2"/>
  <c r="E7942" i="2"/>
  <c r="F7942" i="2" s="1"/>
  <c r="C7942" i="2"/>
  <c r="E7941" i="2"/>
  <c r="F7941" i="2" s="1"/>
  <c r="C7941" i="2"/>
  <c r="E7940" i="2"/>
  <c r="F7940" i="2" s="1"/>
  <c r="C7940" i="2"/>
  <c r="E7939" i="2"/>
  <c r="F7939" i="2" s="1"/>
  <c r="C7939" i="2"/>
  <c r="E7938" i="2"/>
  <c r="F7938" i="2" s="1"/>
  <c r="C7938" i="2"/>
  <c r="E7937" i="2"/>
  <c r="F7937" i="2" s="1"/>
  <c r="C7937" i="2"/>
  <c r="E7936" i="2"/>
  <c r="F7936" i="2" s="1"/>
  <c r="C7936" i="2"/>
  <c r="E7935" i="2"/>
  <c r="F7935" i="2" s="1"/>
  <c r="C7935" i="2"/>
  <c r="E7934" i="2"/>
  <c r="F7934" i="2" s="1"/>
  <c r="C7934" i="2"/>
  <c r="E7933" i="2"/>
  <c r="F7933" i="2" s="1"/>
  <c r="C7933" i="2"/>
  <c r="E7932" i="2"/>
  <c r="F7932" i="2" s="1"/>
  <c r="C7932" i="2"/>
  <c r="E7931" i="2"/>
  <c r="F7931" i="2" s="1"/>
  <c r="C7931" i="2"/>
  <c r="E7930" i="2"/>
  <c r="F7930" i="2" s="1"/>
  <c r="C7930" i="2"/>
  <c r="E7929" i="2"/>
  <c r="F7929" i="2" s="1"/>
  <c r="C7929" i="2"/>
  <c r="E7928" i="2"/>
  <c r="F7928" i="2" s="1"/>
  <c r="C7928" i="2"/>
  <c r="E7927" i="2"/>
  <c r="F7927" i="2" s="1"/>
  <c r="C7927" i="2"/>
  <c r="E7926" i="2"/>
  <c r="F7926" i="2" s="1"/>
  <c r="C7926" i="2"/>
  <c r="E7925" i="2"/>
  <c r="F7925" i="2" s="1"/>
  <c r="C7925" i="2"/>
  <c r="E7924" i="2"/>
  <c r="F7924" i="2" s="1"/>
  <c r="C7924" i="2"/>
  <c r="E7923" i="2"/>
  <c r="F7923" i="2" s="1"/>
  <c r="C7923" i="2"/>
  <c r="E7922" i="2"/>
  <c r="F7922" i="2" s="1"/>
  <c r="C7922" i="2"/>
  <c r="E7921" i="2"/>
  <c r="F7921" i="2" s="1"/>
  <c r="C7921" i="2"/>
  <c r="E7920" i="2"/>
  <c r="F7920" i="2" s="1"/>
  <c r="C7920" i="2"/>
  <c r="E7919" i="2"/>
  <c r="F7919" i="2" s="1"/>
  <c r="C7919" i="2"/>
  <c r="E7918" i="2"/>
  <c r="F7918" i="2" s="1"/>
  <c r="C7918" i="2"/>
  <c r="E7917" i="2"/>
  <c r="F7917" i="2" s="1"/>
  <c r="C7917" i="2"/>
  <c r="E7916" i="2"/>
  <c r="F7916" i="2" s="1"/>
  <c r="C7916" i="2"/>
  <c r="E7915" i="2"/>
  <c r="F7915" i="2" s="1"/>
  <c r="C7915" i="2"/>
  <c r="E7914" i="2"/>
  <c r="F7914" i="2" s="1"/>
  <c r="C7914" i="2"/>
  <c r="E7913" i="2"/>
  <c r="F7913" i="2" s="1"/>
  <c r="C7913" i="2"/>
  <c r="E7912" i="2"/>
  <c r="F7912" i="2" s="1"/>
  <c r="C7912" i="2"/>
  <c r="E7911" i="2"/>
  <c r="F7911" i="2" s="1"/>
  <c r="C7911" i="2"/>
  <c r="E7910" i="2"/>
  <c r="F7910" i="2" s="1"/>
  <c r="C7910" i="2"/>
  <c r="E7909" i="2"/>
  <c r="F7909" i="2" s="1"/>
  <c r="C7909" i="2"/>
  <c r="E7908" i="2"/>
  <c r="F7908" i="2" s="1"/>
  <c r="C7908" i="2"/>
  <c r="E7907" i="2"/>
  <c r="F7907" i="2" s="1"/>
  <c r="C7907" i="2"/>
  <c r="E7906" i="2"/>
  <c r="F7906" i="2" s="1"/>
  <c r="C7906" i="2"/>
  <c r="E7905" i="2"/>
  <c r="F7905" i="2" s="1"/>
  <c r="C7905" i="2"/>
  <c r="E7904" i="2"/>
  <c r="F7904" i="2" s="1"/>
  <c r="C7904" i="2"/>
  <c r="E7903" i="2"/>
  <c r="F7903" i="2" s="1"/>
  <c r="C7903" i="2"/>
  <c r="E7902" i="2"/>
  <c r="F7902" i="2" s="1"/>
  <c r="C7902" i="2"/>
  <c r="E7901" i="2"/>
  <c r="F7901" i="2" s="1"/>
  <c r="C7901" i="2"/>
  <c r="E7900" i="2"/>
  <c r="F7900" i="2" s="1"/>
  <c r="C7900" i="2"/>
  <c r="E7899" i="2"/>
  <c r="F7899" i="2" s="1"/>
  <c r="C7899" i="2"/>
  <c r="E7898" i="2"/>
  <c r="F7898" i="2" s="1"/>
  <c r="C7898" i="2"/>
  <c r="E7897" i="2"/>
  <c r="F7897" i="2" s="1"/>
  <c r="C7897" i="2"/>
  <c r="E7896" i="2"/>
  <c r="F7896" i="2" s="1"/>
  <c r="C7896" i="2"/>
  <c r="E7895" i="2"/>
  <c r="F7895" i="2" s="1"/>
  <c r="C7895" i="2"/>
  <c r="E7894" i="2"/>
  <c r="F7894" i="2" s="1"/>
  <c r="C7894" i="2"/>
  <c r="E7893" i="2"/>
  <c r="F7893" i="2" s="1"/>
  <c r="C7893" i="2"/>
  <c r="E7892" i="2"/>
  <c r="F7892" i="2" s="1"/>
  <c r="C7892" i="2"/>
  <c r="E7891" i="2"/>
  <c r="F7891" i="2" s="1"/>
  <c r="C7891" i="2"/>
  <c r="E7890" i="2"/>
  <c r="F7890" i="2" s="1"/>
  <c r="C7890" i="2"/>
  <c r="E7889" i="2"/>
  <c r="F7889" i="2" s="1"/>
  <c r="C7889" i="2"/>
  <c r="E7888" i="2"/>
  <c r="F7888" i="2" s="1"/>
  <c r="C7888" i="2"/>
  <c r="E7887" i="2"/>
  <c r="F7887" i="2" s="1"/>
  <c r="C7887" i="2"/>
  <c r="E7886" i="2"/>
  <c r="F7886" i="2" s="1"/>
  <c r="C7886" i="2"/>
  <c r="E7885" i="2"/>
  <c r="F7885" i="2" s="1"/>
  <c r="C7885" i="2"/>
  <c r="E7884" i="2"/>
  <c r="F7884" i="2" s="1"/>
  <c r="C7884" i="2"/>
  <c r="E7883" i="2"/>
  <c r="F7883" i="2" s="1"/>
  <c r="C7883" i="2"/>
  <c r="E7882" i="2"/>
  <c r="F7882" i="2" s="1"/>
  <c r="C7882" i="2"/>
  <c r="E7881" i="2"/>
  <c r="F7881" i="2" s="1"/>
  <c r="C7881" i="2"/>
  <c r="E7880" i="2"/>
  <c r="F7880" i="2" s="1"/>
  <c r="C7880" i="2"/>
  <c r="E7879" i="2"/>
  <c r="F7879" i="2" s="1"/>
  <c r="C7879" i="2"/>
  <c r="E7878" i="2"/>
  <c r="F7878" i="2" s="1"/>
  <c r="C7878" i="2"/>
  <c r="E7877" i="2"/>
  <c r="F7877" i="2" s="1"/>
  <c r="C7877" i="2"/>
  <c r="E7876" i="2"/>
  <c r="F7876" i="2" s="1"/>
  <c r="C7876" i="2"/>
  <c r="E7875" i="2"/>
  <c r="F7875" i="2" s="1"/>
  <c r="C7875" i="2"/>
  <c r="E7874" i="2"/>
  <c r="F7874" i="2" s="1"/>
  <c r="C7874" i="2"/>
  <c r="E7873" i="2"/>
  <c r="F7873" i="2" s="1"/>
  <c r="C7873" i="2"/>
  <c r="E7872" i="2"/>
  <c r="F7872" i="2" s="1"/>
  <c r="C7872" i="2"/>
  <c r="E7871" i="2"/>
  <c r="F7871" i="2" s="1"/>
  <c r="C7871" i="2"/>
  <c r="E7870" i="2"/>
  <c r="F7870" i="2" s="1"/>
  <c r="C7870" i="2"/>
  <c r="E7869" i="2"/>
  <c r="F7869" i="2" s="1"/>
  <c r="C7869" i="2"/>
  <c r="E7868" i="2"/>
  <c r="F7868" i="2" s="1"/>
  <c r="C7868" i="2"/>
  <c r="E7867" i="2"/>
  <c r="F7867" i="2" s="1"/>
  <c r="C7867" i="2"/>
  <c r="E7866" i="2"/>
  <c r="F7866" i="2" s="1"/>
  <c r="C7866" i="2"/>
  <c r="E7865" i="2"/>
  <c r="F7865" i="2" s="1"/>
  <c r="C7865" i="2"/>
  <c r="E7864" i="2"/>
  <c r="F7864" i="2" s="1"/>
  <c r="C7864" i="2"/>
  <c r="E7863" i="2"/>
  <c r="F7863" i="2" s="1"/>
  <c r="C7863" i="2"/>
  <c r="E7862" i="2"/>
  <c r="F7862" i="2" s="1"/>
  <c r="C7862" i="2"/>
  <c r="E7861" i="2"/>
  <c r="F7861" i="2" s="1"/>
  <c r="C7861" i="2"/>
  <c r="E7860" i="2"/>
  <c r="F7860" i="2" s="1"/>
  <c r="C7860" i="2"/>
  <c r="E7859" i="2"/>
  <c r="F7859" i="2" s="1"/>
  <c r="C7859" i="2"/>
  <c r="E7858" i="2"/>
  <c r="F7858" i="2" s="1"/>
  <c r="C7858" i="2"/>
  <c r="E7857" i="2"/>
  <c r="F7857" i="2" s="1"/>
  <c r="C7857" i="2"/>
  <c r="E7856" i="2"/>
  <c r="F7856" i="2" s="1"/>
  <c r="C7856" i="2"/>
  <c r="E7855" i="2"/>
  <c r="F7855" i="2" s="1"/>
  <c r="C7855" i="2"/>
  <c r="E7854" i="2"/>
  <c r="F7854" i="2" s="1"/>
  <c r="C7854" i="2"/>
  <c r="E7853" i="2"/>
  <c r="F7853" i="2" s="1"/>
  <c r="C7853" i="2"/>
  <c r="E7852" i="2"/>
  <c r="F7852" i="2" s="1"/>
  <c r="C7852" i="2"/>
  <c r="E7851" i="2"/>
  <c r="F7851" i="2" s="1"/>
  <c r="C7851" i="2"/>
  <c r="E7850" i="2"/>
  <c r="F7850" i="2" s="1"/>
  <c r="C7850" i="2"/>
  <c r="E7849" i="2"/>
  <c r="F7849" i="2" s="1"/>
  <c r="C7849" i="2"/>
  <c r="E7848" i="2"/>
  <c r="F7848" i="2" s="1"/>
  <c r="C7848" i="2"/>
  <c r="E7847" i="2"/>
  <c r="F7847" i="2" s="1"/>
  <c r="C7847" i="2"/>
  <c r="E7846" i="2"/>
  <c r="F7846" i="2" s="1"/>
  <c r="C7846" i="2"/>
  <c r="E7845" i="2"/>
  <c r="F7845" i="2" s="1"/>
  <c r="C7845" i="2"/>
  <c r="E7844" i="2"/>
  <c r="F7844" i="2" s="1"/>
  <c r="C7844" i="2"/>
  <c r="E7843" i="2"/>
  <c r="F7843" i="2" s="1"/>
  <c r="C7843" i="2"/>
  <c r="E7842" i="2"/>
  <c r="F7842" i="2" s="1"/>
  <c r="C7842" i="2"/>
  <c r="E7841" i="2"/>
  <c r="F7841" i="2" s="1"/>
  <c r="C7841" i="2"/>
  <c r="E7840" i="2"/>
  <c r="F7840" i="2" s="1"/>
  <c r="C7840" i="2"/>
  <c r="E7839" i="2"/>
  <c r="F7839" i="2" s="1"/>
  <c r="C7839" i="2"/>
  <c r="E7838" i="2"/>
  <c r="F7838" i="2" s="1"/>
  <c r="C7838" i="2"/>
  <c r="E7837" i="2"/>
  <c r="F7837" i="2" s="1"/>
  <c r="C7837" i="2"/>
  <c r="E7836" i="2"/>
  <c r="F7836" i="2" s="1"/>
  <c r="C7836" i="2"/>
  <c r="E7835" i="2"/>
  <c r="F7835" i="2" s="1"/>
  <c r="C7835" i="2"/>
  <c r="E7834" i="2"/>
  <c r="F7834" i="2" s="1"/>
  <c r="C7834" i="2"/>
  <c r="E7833" i="2"/>
  <c r="F7833" i="2" s="1"/>
  <c r="C7833" i="2"/>
  <c r="E7832" i="2"/>
  <c r="F7832" i="2" s="1"/>
  <c r="C7832" i="2"/>
  <c r="E7831" i="2"/>
  <c r="F7831" i="2" s="1"/>
  <c r="C7831" i="2"/>
  <c r="E7830" i="2"/>
  <c r="F7830" i="2" s="1"/>
  <c r="C7830" i="2"/>
  <c r="E7829" i="2"/>
  <c r="F7829" i="2" s="1"/>
  <c r="C7829" i="2"/>
  <c r="E7828" i="2"/>
  <c r="F7828" i="2" s="1"/>
  <c r="C7828" i="2"/>
  <c r="E7827" i="2"/>
  <c r="F7827" i="2" s="1"/>
  <c r="C7827" i="2"/>
  <c r="E7826" i="2"/>
  <c r="F7826" i="2" s="1"/>
  <c r="C7826" i="2"/>
  <c r="E7825" i="2"/>
  <c r="F7825" i="2" s="1"/>
  <c r="C7825" i="2"/>
  <c r="E7824" i="2"/>
  <c r="F7824" i="2" s="1"/>
  <c r="C7824" i="2"/>
  <c r="E7823" i="2"/>
  <c r="F7823" i="2" s="1"/>
  <c r="C7823" i="2"/>
  <c r="E7822" i="2"/>
  <c r="F7822" i="2" s="1"/>
  <c r="C7822" i="2"/>
  <c r="E7821" i="2"/>
  <c r="F7821" i="2" s="1"/>
  <c r="C7821" i="2"/>
  <c r="E7820" i="2"/>
  <c r="F7820" i="2" s="1"/>
  <c r="C7820" i="2"/>
  <c r="E7819" i="2"/>
  <c r="F7819" i="2" s="1"/>
  <c r="C7819" i="2"/>
  <c r="E7818" i="2"/>
  <c r="F7818" i="2" s="1"/>
  <c r="C7818" i="2"/>
  <c r="E7817" i="2"/>
  <c r="F7817" i="2" s="1"/>
  <c r="C7817" i="2"/>
  <c r="E7816" i="2"/>
  <c r="F7816" i="2" s="1"/>
  <c r="C7816" i="2"/>
  <c r="E7815" i="2"/>
  <c r="F7815" i="2" s="1"/>
  <c r="C7815" i="2"/>
  <c r="E7814" i="2"/>
  <c r="F7814" i="2" s="1"/>
  <c r="C7814" i="2"/>
  <c r="E7813" i="2"/>
  <c r="F7813" i="2" s="1"/>
  <c r="C7813" i="2"/>
  <c r="E7812" i="2"/>
  <c r="F7812" i="2" s="1"/>
  <c r="C7812" i="2"/>
  <c r="E7811" i="2"/>
  <c r="F7811" i="2" s="1"/>
  <c r="C7811" i="2"/>
  <c r="E7810" i="2"/>
  <c r="F7810" i="2" s="1"/>
  <c r="C7810" i="2"/>
  <c r="E7809" i="2"/>
  <c r="F7809" i="2" s="1"/>
  <c r="C7809" i="2"/>
  <c r="E7808" i="2"/>
  <c r="F7808" i="2" s="1"/>
  <c r="C7808" i="2"/>
  <c r="E7807" i="2"/>
  <c r="F7807" i="2" s="1"/>
  <c r="C7807" i="2"/>
  <c r="E7806" i="2"/>
  <c r="F7806" i="2" s="1"/>
  <c r="C7806" i="2"/>
  <c r="E7805" i="2"/>
  <c r="F7805" i="2" s="1"/>
  <c r="C7805" i="2"/>
  <c r="E7804" i="2"/>
  <c r="F7804" i="2" s="1"/>
  <c r="C7804" i="2"/>
  <c r="E7803" i="2"/>
  <c r="F7803" i="2" s="1"/>
  <c r="C7803" i="2"/>
  <c r="E7802" i="2"/>
  <c r="F7802" i="2" s="1"/>
  <c r="C7802" i="2"/>
  <c r="E7801" i="2"/>
  <c r="F7801" i="2" s="1"/>
  <c r="C7801" i="2"/>
  <c r="E7800" i="2"/>
  <c r="F7800" i="2" s="1"/>
  <c r="C7800" i="2"/>
  <c r="E7799" i="2"/>
  <c r="F7799" i="2" s="1"/>
  <c r="C7799" i="2"/>
  <c r="E7798" i="2"/>
  <c r="F7798" i="2" s="1"/>
  <c r="C7798" i="2"/>
  <c r="E7797" i="2"/>
  <c r="F7797" i="2" s="1"/>
  <c r="C7797" i="2"/>
  <c r="E7796" i="2"/>
  <c r="F7796" i="2" s="1"/>
  <c r="C7796" i="2"/>
  <c r="E7795" i="2"/>
  <c r="F7795" i="2" s="1"/>
  <c r="C7795" i="2"/>
  <c r="E7794" i="2"/>
  <c r="F7794" i="2" s="1"/>
  <c r="C7794" i="2"/>
  <c r="E7793" i="2"/>
  <c r="F7793" i="2" s="1"/>
  <c r="C7793" i="2"/>
  <c r="E7792" i="2"/>
  <c r="F7792" i="2" s="1"/>
  <c r="C7792" i="2"/>
  <c r="E7791" i="2"/>
  <c r="F7791" i="2" s="1"/>
  <c r="C7791" i="2"/>
  <c r="E7790" i="2"/>
  <c r="F7790" i="2" s="1"/>
  <c r="C7790" i="2"/>
  <c r="E7789" i="2"/>
  <c r="F7789" i="2" s="1"/>
  <c r="C7789" i="2"/>
  <c r="E7788" i="2"/>
  <c r="F7788" i="2" s="1"/>
  <c r="C7788" i="2"/>
  <c r="E7787" i="2"/>
  <c r="F7787" i="2" s="1"/>
  <c r="C7787" i="2"/>
  <c r="E7786" i="2"/>
  <c r="F7786" i="2" s="1"/>
  <c r="C7786" i="2"/>
  <c r="E7785" i="2"/>
  <c r="F7785" i="2" s="1"/>
  <c r="C7785" i="2"/>
  <c r="E7784" i="2"/>
  <c r="F7784" i="2" s="1"/>
  <c r="C7784" i="2"/>
  <c r="E7783" i="2"/>
  <c r="F7783" i="2" s="1"/>
  <c r="C7783" i="2"/>
  <c r="E7782" i="2"/>
  <c r="F7782" i="2" s="1"/>
  <c r="C7782" i="2"/>
  <c r="E7781" i="2"/>
  <c r="F7781" i="2" s="1"/>
  <c r="C7781" i="2"/>
  <c r="E7780" i="2"/>
  <c r="F7780" i="2" s="1"/>
  <c r="C7780" i="2"/>
  <c r="E7779" i="2"/>
  <c r="F7779" i="2" s="1"/>
  <c r="C7779" i="2"/>
  <c r="E7778" i="2"/>
  <c r="F7778" i="2" s="1"/>
  <c r="C7778" i="2"/>
  <c r="E7777" i="2"/>
  <c r="F7777" i="2" s="1"/>
  <c r="C7777" i="2"/>
  <c r="E7776" i="2"/>
  <c r="F7776" i="2" s="1"/>
  <c r="C7776" i="2"/>
  <c r="E7775" i="2"/>
  <c r="F7775" i="2" s="1"/>
  <c r="C7775" i="2"/>
  <c r="E7774" i="2"/>
  <c r="F7774" i="2" s="1"/>
  <c r="C7774" i="2"/>
  <c r="E7773" i="2"/>
  <c r="F7773" i="2" s="1"/>
  <c r="C7773" i="2"/>
  <c r="E7772" i="2"/>
  <c r="F7772" i="2" s="1"/>
  <c r="C7772" i="2"/>
  <c r="E7771" i="2"/>
  <c r="F7771" i="2" s="1"/>
  <c r="C7771" i="2"/>
  <c r="E7770" i="2"/>
  <c r="F7770" i="2" s="1"/>
  <c r="C7770" i="2"/>
  <c r="E7769" i="2"/>
  <c r="F7769" i="2" s="1"/>
  <c r="C7769" i="2"/>
  <c r="E7768" i="2"/>
  <c r="F7768" i="2" s="1"/>
  <c r="C7768" i="2"/>
  <c r="E7767" i="2"/>
  <c r="F7767" i="2" s="1"/>
  <c r="C7767" i="2"/>
  <c r="E7766" i="2"/>
  <c r="F7766" i="2" s="1"/>
  <c r="C7766" i="2"/>
  <c r="E7765" i="2"/>
  <c r="F7765" i="2" s="1"/>
  <c r="C7765" i="2"/>
  <c r="E7764" i="2"/>
  <c r="F7764" i="2" s="1"/>
  <c r="C7764" i="2"/>
  <c r="E7763" i="2"/>
  <c r="F7763" i="2" s="1"/>
  <c r="C7763" i="2"/>
  <c r="E7762" i="2"/>
  <c r="F7762" i="2" s="1"/>
  <c r="C7762" i="2"/>
  <c r="E7761" i="2"/>
  <c r="F7761" i="2" s="1"/>
  <c r="C7761" i="2"/>
  <c r="E7760" i="2"/>
  <c r="F7760" i="2" s="1"/>
  <c r="C7760" i="2"/>
  <c r="E7759" i="2"/>
  <c r="F7759" i="2" s="1"/>
  <c r="C7759" i="2"/>
  <c r="E7758" i="2"/>
  <c r="F7758" i="2" s="1"/>
  <c r="C7758" i="2"/>
  <c r="E7757" i="2"/>
  <c r="F7757" i="2" s="1"/>
  <c r="C7757" i="2"/>
  <c r="E7756" i="2"/>
  <c r="F7756" i="2" s="1"/>
  <c r="C7756" i="2"/>
  <c r="E7755" i="2"/>
  <c r="F7755" i="2" s="1"/>
  <c r="C7755" i="2"/>
  <c r="E7754" i="2"/>
  <c r="F7754" i="2" s="1"/>
  <c r="C7754" i="2"/>
  <c r="E7753" i="2"/>
  <c r="F7753" i="2" s="1"/>
  <c r="C7753" i="2"/>
  <c r="E7752" i="2"/>
  <c r="F7752" i="2" s="1"/>
  <c r="C7752" i="2"/>
  <c r="E7751" i="2"/>
  <c r="F7751" i="2" s="1"/>
  <c r="C7751" i="2"/>
  <c r="E7750" i="2"/>
  <c r="F7750" i="2" s="1"/>
  <c r="C7750" i="2"/>
  <c r="E7749" i="2"/>
  <c r="F7749" i="2" s="1"/>
  <c r="C7749" i="2"/>
  <c r="E7748" i="2"/>
  <c r="F7748" i="2" s="1"/>
  <c r="C7748" i="2"/>
  <c r="E7747" i="2"/>
  <c r="F7747" i="2" s="1"/>
  <c r="C7747" i="2"/>
  <c r="E7746" i="2"/>
  <c r="F7746" i="2" s="1"/>
  <c r="C7746" i="2"/>
  <c r="E7745" i="2"/>
  <c r="F7745" i="2" s="1"/>
  <c r="C7745" i="2"/>
  <c r="E7744" i="2"/>
  <c r="F7744" i="2" s="1"/>
  <c r="C7744" i="2"/>
  <c r="E7743" i="2"/>
  <c r="F7743" i="2" s="1"/>
  <c r="C7743" i="2"/>
  <c r="E7742" i="2"/>
  <c r="F7742" i="2" s="1"/>
  <c r="C7742" i="2"/>
  <c r="E7741" i="2"/>
  <c r="F7741" i="2" s="1"/>
  <c r="C7741" i="2"/>
  <c r="E7740" i="2"/>
  <c r="F7740" i="2" s="1"/>
  <c r="C7740" i="2"/>
  <c r="E7739" i="2"/>
  <c r="F7739" i="2" s="1"/>
  <c r="C7739" i="2"/>
  <c r="E7738" i="2"/>
  <c r="F7738" i="2" s="1"/>
  <c r="C7738" i="2"/>
  <c r="E7737" i="2"/>
  <c r="F7737" i="2" s="1"/>
  <c r="C7737" i="2"/>
  <c r="E7736" i="2"/>
  <c r="F7736" i="2" s="1"/>
  <c r="C7736" i="2"/>
  <c r="E7735" i="2"/>
  <c r="F7735" i="2" s="1"/>
  <c r="C7735" i="2"/>
  <c r="E7734" i="2"/>
  <c r="F7734" i="2" s="1"/>
  <c r="C7734" i="2"/>
  <c r="E7733" i="2"/>
  <c r="F7733" i="2" s="1"/>
  <c r="C7733" i="2"/>
  <c r="E7732" i="2"/>
  <c r="F7732" i="2" s="1"/>
  <c r="C7732" i="2"/>
  <c r="E7731" i="2"/>
  <c r="F7731" i="2" s="1"/>
  <c r="C7731" i="2"/>
  <c r="E7730" i="2"/>
  <c r="F7730" i="2" s="1"/>
  <c r="C7730" i="2"/>
  <c r="E7729" i="2"/>
  <c r="F7729" i="2" s="1"/>
  <c r="C7729" i="2"/>
  <c r="E7728" i="2"/>
  <c r="F7728" i="2" s="1"/>
  <c r="C7728" i="2"/>
  <c r="E7727" i="2"/>
  <c r="F7727" i="2" s="1"/>
  <c r="C7727" i="2"/>
  <c r="E7726" i="2"/>
  <c r="F7726" i="2" s="1"/>
  <c r="C7726" i="2"/>
  <c r="E7725" i="2"/>
  <c r="F7725" i="2" s="1"/>
  <c r="C7725" i="2"/>
  <c r="E7724" i="2"/>
  <c r="F7724" i="2" s="1"/>
  <c r="C7724" i="2"/>
  <c r="E7723" i="2"/>
  <c r="F7723" i="2" s="1"/>
  <c r="C7723" i="2"/>
  <c r="E7722" i="2"/>
  <c r="F7722" i="2" s="1"/>
  <c r="C7722" i="2"/>
  <c r="E7721" i="2"/>
  <c r="F7721" i="2" s="1"/>
  <c r="C7721" i="2"/>
  <c r="E7720" i="2"/>
  <c r="F7720" i="2" s="1"/>
  <c r="C7720" i="2"/>
  <c r="E7719" i="2"/>
  <c r="F7719" i="2" s="1"/>
  <c r="C7719" i="2"/>
  <c r="E7718" i="2"/>
  <c r="F7718" i="2" s="1"/>
  <c r="C7718" i="2"/>
  <c r="E7717" i="2"/>
  <c r="F7717" i="2" s="1"/>
  <c r="C7717" i="2"/>
  <c r="E7716" i="2"/>
  <c r="F7716" i="2" s="1"/>
  <c r="C7716" i="2"/>
  <c r="E7715" i="2"/>
  <c r="F7715" i="2" s="1"/>
  <c r="C7715" i="2"/>
  <c r="E7714" i="2"/>
  <c r="F7714" i="2" s="1"/>
  <c r="C7714" i="2"/>
  <c r="E7713" i="2"/>
  <c r="F7713" i="2" s="1"/>
  <c r="C7713" i="2"/>
  <c r="E7712" i="2"/>
  <c r="F7712" i="2" s="1"/>
  <c r="C7712" i="2"/>
  <c r="E7711" i="2"/>
  <c r="F7711" i="2" s="1"/>
  <c r="C7711" i="2"/>
  <c r="E7710" i="2"/>
  <c r="F7710" i="2" s="1"/>
  <c r="C7710" i="2"/>
  <c r="E7709" i="2"/>
  <c r="F7709" i="2" s="1"/>
  <c r="C7709" i="2"/>
  <c r="E7708" i="2"/>
  <c r="F7708" i="2" s="1"/>
  <c r="C7708" i="2"/>
  <c r="E7707" i="2"/>
  <c r="F7707" i="2" s="1"/>
  <c r="C7707" i="2"/>
  <c r="E7706" i="2"/>
  <c r="F7706" i="2" s="1"/>
  <c r="C7706" i="2"/>
  <c r="E7705" i="2"/>
  <c r="F7705" i="2" s="1"/>
  <c r="C7705" i="2"/>
  <c r="E7704" i="2"/>
  <c r="F7704" i="2" s="1"/>
  <c r="C7704" i="2"/>
  <c r="E7703" i="2"/>
  <c r="F7703" i="2" s="1"/>
  <c r="C7703" i="2"/>
  <c r="E7702" i="2"/>
  <c r="F7702" i="2" s="1"/>
  <c r="C7702" i="2"/>
  <c r="E7701" i="2"/>
  <c r="F7701" i="2" s="1"/>
  <c r="C7701" i="2"/>
  <c r="E7700" i="2"/>
  <c r="F7700" i="2" s="1"/>
  <c r="C7700" i="2"/>
  <c r="E7699" i="2"/>
  <c r="F7699" i="2" s="1"/>
  <c r="C7699" i="2"/>
  <c r="E7698" i="2"/>
  <c r="F7698" i="2" s="1"/>
  <c r="C7698" i="2"/>
  <c r="E7697" i="2"/>
  <c r="F7697" i="2" s="1"/>
  <c r="C7697" i="2"/>
  <c r="E7696" i="2"/>
  <c r="F7696" i="2" s="1"/>
  <c r="C7696" i="2"/>
  <c r="E7695" i="2"/>
  <c r="F7695" i="2" s="1"/>
  <c r="C7695" i="2"/>
  <c r="E7694" i="2"/>
  <c r="F7694" i="2" s="1"/>
  <c r="C7694" i="2"/>
  <c r="E7693" i="2"/>
  <c r="F7693" i="2" s="1"/>
  <c r="C7693" i="2"/>
  <c r="E7692" i="2"/>
  <c r="F7692" i="2" s="1"/>
  <c r="C7692" i="2"/>
  <c r="E7691" i="2"/>
  <c r="F7691" i="2" s="1"/>
  <c r="C7691" i="2"/>
  <c r="E7690" i="2"/>
  <c r="F7690" i="2" s="1"/>
  <c r="C7690" i="2"/>
  <c r="E7689" i="2"/>
  <c r="F7689" i="2" s="1"/>
  <c r="C7689" i="2"/>
  <c r="E7688" i="2"/>
  <c r="F7688" i="2" s="1"/>
  <c r="C7688" i="2"/>
  <c r="E7687" i="2"/>
  <c r="F7687" i="2" s="1"/>
  <c r="C7687" i="2"/>
  <c r="E7686" i="2"/>
  <c r="F7686" i="2" s="1"/>
  <c r="C7686" i="2"/>
  <c r="E7685" i="2"/>
  <c r="F7685" i="2" s="1"/>
  <c r="C7685" i="2"/>
  <c r="E7684" i="2"/>
  <c r="F7684" i="2" s="1"/>
  <c r="C7684" i="2"/>
  <c r="E7683" i="2"/>
  <c r="F7683" i="2" s="1"/>
  <c r="C7683" i="2"/>
  <c r="E7682" i="2"/>
  <c r="F7682" i="2" s="1"/>
  <c r="C7682" i="2"/>
  <c r="E7681" i="2"/>
  <c r="F7681" i="2" s="1"/>
  <c r="C7681" i="2"/>
  <c r="E7680" i="2"/>
  <c r="F7680" i="2" s="1"/>
  <c r="C7680" i="2"/>
  <c r="E7679" i="2"/>
  <c r="F7679" i="2" s="1"/>
  <c r="C7679" i="2"/>
  <c r="E7678" i="2"/>
  <c r="F7678" i="2" s="1"/>
  <c r="C7678" i="2"/>
  <c r="E7677" i="2"/>
  <c r="F7677" i="2" s="1"/>
  <c r="C7677" i="2"/>
  <c r="E7676" i="2"/>
  <c r="F7676" i="2" s="1"/>
  <c r="C7676" i="2"/>
  <c r="E7675" i="2"/>
  <c r="F7675" i="2" s="1"/>
  <c r="C7675" i="2"/>
  <c r="E7674" i="2"/>
  <c r="F7674" i="2" s="1"/>
  <c r="C7674" i="2"/>
  <c r="E7673" i="2"/>
  <c r="F7673" i="2" s="1"/>
  <c r="C7673" i="2"/>
  <c r="E7672" i="2"/>
  <c r="F7672" i="2" s="1"/>
  <c r="C7672" i="2"/>
  <c r="E7671" i="2"/>
  <c r="F7671" i="2" s="1"/>
  <c r="C7671" i="2"/>
  <c r="E7670" i="2"/>
  <c r="F7670" i="2" s="1"/>
  <c r="C7670" i="2"/>
  <c r="E7669" i="2"/>
  <c r="F7669" i="2" s="1"/>
  <c r="C7669" i="2"/>
  <c r="E7668" i="2"/>
  <c r="F7668" i="2" s="1"/>
  <c r="C7668" i="2"/>
  <c r="E7667" i="2"/>
  <c r="F7667" i="2" s="1"/>
  <c r="C7667" i="2"/>
  <c r="E7666" i="2"/>
  <c r="F7666" i="2" s="1"/>
  <c r="C7666" i="2"/>
  <c r="E7665" i="2"/>
  <c r="F7665" i="2" s="1"/>
  <c r="C7665" i="2"/>
  <c r="E7664" i="2"/>
  <c r="F7664" i="2" s="1"/>
  <c r="C7664" i="2"/>
  <c r="E7663" i="2"/>
  <c r="F7663" i="2" s="1"/>
  <c r="C7663" i="2"/>
  <c r="E7662" i="2"/>
  <c r="F7662" i="2" s="1"/>
  <c r="C7662" i="2"/>
  <c r="E7661" i="2"/>
  <c r="F7661" i="2" s="1"/>
  <c r="C7661" i="2"/>
  <c r="E7660" i="2"/>
  <c r="F7660" i="2" s="1"/>
  <c r="C7660" i="2"/>
  <c r="E7659" i="2"/>
  <c r="F7659" i="2" s="1"/>
  <c r="C7659" i="2"/>
  <c r="E7658" i="2"/>
  <c r="F7658" i="2" s="1"/>
  <c r="C7658" i="2"/>
  <c r="E7657" i="2"/>
  <c r="F7657" i="2" s="1"/>
  <c r="C7657" i="2"/>
  <c r="E7656" i="2"/>
  <c r="F7656" i="2" s="1"/>
  <c r="C7656" i="2"/>
  <c r="E7655" i="2"/>
  <c r="F7655" i="2" s="1"/>
  <c r="C7655" i="2"/>
  <c r="E7654" i="2"/>
  <c r="F7654" i="2" s="1"/>
  <c r="C7654" i="2"/>
  <c r="E7653" i="2"/>
  <c r="F7653" i="2" s="1"/>
  <c r="C7653" i="2"/>
  <c r="E7652" i="2"/>
  <c r="F7652" i="2" s="1"/>
  <c r="C7652" i="2"/>
  <c r="E7651" i="2"/>
  <c r="F7651" i="2" s="1"/>
  <c r="C7651" i="2"/>
  <c r="E7650" i="2"/>
  <c r="F7650" i="2" s="1"/>
  <c r="C7650" i="2"/>
  <c r="E7649" i="2"/>
  <c r="F7649" i="2" s="1"/>
  <c r="C7649" i="2"/>
  <c r="E7648" i="2"/>
  <c r="F7648" i="2" s="1"/>
  <c r="C7648" i="2"/>
  <c r="E7647" i="2"/>
  <c r="F7647" i="2" s="1"/>
  <c r="C7647" i="2"/>
  <c r="E7646" i="2"/>
  <c r="F7646" i="2" s="1"/>
  <c r="C7646" i="2"/>
  <c r="E7645" i="2"/>
  <c r="F7645" i="2" s="1"/>
  <c r="C7645" i="2"/>
  <c r="E7644" i="2"/>
  <c r="F7644" i="2" s="1"/>
  <c r="C7644" i="2"/>
  <c r="E7643" i="2"/>
  <c r="F7643" i="2" s="1"/>
  <c r="C7643" i="2"/>
  <c r="E7642" i="2"/>
  <c r="F7642" i="2" s="1"/>
  <c r="C7642" i="2"/>
  <c r="E7641" i="2"/>
  <c r="F7641" i="2" s="1"/>
  <c r="C7641" i="2"/>
  <c r="E7640" i="2"/>
  <c r="F7640" i="2" s="1"/>
  <c r="C7640" i="2"/>
  <c r="E7639" i="2"/>
  <c r="F7639" i="2" s="1"/>
  <c r="C7639" i="2"/>
  <c r="E7638" i="2"/>
  <c r="F7638" i="2" s="1"/>
  <c r="C7638" i="2"/>
  <c r="E7637" i="2"/>
  <c r="F7637" i="2" s="1"/>
  <c r="C7637" i="2"/>
  <c r="E7636" i="2"/>
  <c r="F7636" i="2" s="1"/>
  <c r="C7636" i="2"/>
  <c r="E7635" i="2"/>
  <c r="F7635" i="2" s="1"/>
  <c r="C7635" i="2"/>
  <c r="E7634" i="2"/>
  <c r="F7634" i="2" s="1"/>
  <c r="C7634" i="2"/>
  <c r="E7633" i="2"/>
  <c r="F7633" i="2" s="1"/>
  <c r="C7633" i="2"/>
  <c r="E7632" i="2"/>
  <c r="F7632" i="2" s="1"/>
  <c r="C7632" i="2"/>
  <c r="E7631" i="2"/>
  <c r="F7631" i="2" s="1"/>
  <c r="C7631" i="2"/>
  <c r="E7630" i="2"/>
  <c r="F7630" i="2" s="1"/>
  <c r="C7630" i="2"/>
  <c r="E7629" i="2"/>
  <c r="F7629" i="2" s="1"/>
  <c r="C7629" i="2"/>
  <c r="E7628" i="2"/>
  <c r="F7628" i="2" s="1"/>
  <c r="C7628" i="2"/>
  <c r="E7627" i="2"/>
  <c r="F7627" i="2" s="1"/>
  <c r="C7627" i="2"/>
  <c r="E7626" i="2"/>
  <c r="F7626" i="2" s="1"/>
  <c r="C7626" i="2"/>
  <c r="E7625" i="2"/>
  <c r="F7625" i="2" s="1"/>
  <c r="C7625" i="2"/>
  <c r="E7624" i="2"/>
  <c r="F7624" i="2" s="1"/>
  <c r="C7624" i="2"/>
  <c r="E7623" i="2"/>
  <c r="F7623" i="2" s="1"/>
  <c r="C7623" i="2"/>
  <c r="E7622" i="2"/>
  <c r="F7622" i="2" s="1"/>
  <c r="C7622" i="2"/>
  <c r="E7621" i="2"/>
  <c r="F7621" i="2" s="1"/>
  <c r="C7621" i="2"/>
  <c r="E7620" i="2"/>
  <c r="F7620" i="2" s="1"/>
  <c r="C7620" i="2"/>
  <c r="E7619" i="2"/>
  <c r="F7619" i="2" s="1"/>
  <c r="C7619" i="2"/>
  <c r="E7618" i="2"/>
  <c r="F7618" i="2" s="1"/>
  <c r="C7618" i="2"/>
  <c r="E7617" i="2"/>
  <c r="F7617" i="2" s="1"/>
  <c r="C7617" i="2"/>
  <c r="E7616" i="2"/>
  <c r="F7616" i="2" s="1"/>
  <c r="C7616" i="2"/>
  <c r="E7615" i="2"/>
  <c r="F7615" i="2" s="1"/>
  <c r="C7615" i="2"/>
  <c r="E7614" i="2"/>
  <c r="F7614" i="2" s="1"/>
  <c r="C7614" i="2"/>
  <c r="E7613" i="2"/>
  <c r="F7613" i="2" s="1"/>
  <c r="C7613" i="2"/>
  <c r="E7612" i="2"/>
  <c r="F7612" i="2" s="1"/>
  <c r="C7612" i="2"/>
  <c r="E7611" i="2"/>
  <c r="F7611" i="2" s="1"/>
  <c r="C7611" i="2"/>
  <c r="E7610" i="2"/>
  <c r="F7610" i="2" s="1"/>
  <c r="C7610" i="2"/>
  <c r="E7609" i="2"/>
  <c r="F7609" i="2" s="1"/>
  <c r="C7609" i="2"/>
  <c r="E7608" i="2"/>
  <c r="F7608" i="2" s="1"/>
  <c r="C7608" i="2"/>
  <c r="E7607" i="2"/>
  <c r="F7607" i="2" s="1"/>
  <c r="C7607" i="2"/>
  <c r="E7606" i="2"/>
  <c r="F7606" i="2" s="1"/>
  <c r="C7606" i="2"/>
  <c r="E7605" i="2"/>
  <c r="F7605" i="2" s="1"/>
  <c r="C7605" i="2"/>
  <c r="E7604" i="2"/>
  <c r="F7604" i="2" s="1"/>
  <c r="C7604" i="2"/>
  <c r="E7603" i="2"/>
  <c r="F7603" i="2" s="1"/>
  <c r="C7603" i="2"/>
  <c r="E7602" i="2"/>
  <c r="F7602" i="2" s="1"/>
  <c r="C7602" i="2"/>
  <c r="E7601" i="2"/>
  <c r="F7601" i="2" s="1"/>
  <c r="C7601" i="2"/>
  <c r="E7600" i="2"/>
  <c r="F7600" i="2" s="1"/>
  <c r="C7600" i="2"/>
  <c r="E7599" i="2"/>
  <c r="F7599" i="2" s="1"/>
  <c r="C7599" i="2"/>
  <c r="E7598" i="2"/>
  <c r="F7598" i="2" s="1"/>
  <c r="C7598" i="2"/>
  <c r="E7597" i="2"/>
  <c r="F7597" i="2" s="1"/>
  <c r="C7597" i="2"/>
  <c r="E7596" i="2"/>
  <c r="F7596" i="2" s="1"/>
  <c r="C7596" i="2"/>
  <c r="E7595" i="2"/>
  <c r="F7595" i="2" s="1"/>
  <c r="C7595" i="2"/>
  <c r="E7594" i="2"/>
  <c r="F7594" i="2" s="1"/>
  <c r="C7594" i="2"/>
  <c r="E7593" i="2"/>
  <c r="F7593" i="2" s="1"/>
  <c r="C7593" i="2"/>
  <c r="E7592" i="2"/>
  <c r="F7592" i="2" s="1"/>
  <c r="C7592" i="2"/>
  <c r="E7591" i="2"/>
  <c r="F7591" i="2" s="1"/>
  <c r="C7591" i="2"/>
  <c r="E7590" i="2"/>
  <c r="F7590" i="2" s="1"/>
  <c r="C7590" i="2"/>
  <c r="E7589" i="2"/>
  <c r="F7589" i="2" s="1"/>
  <c r="C7589" i="2"/>
  <c r="E7588" i="2"/>
  <c r="F7588" i="2" s="1"/>
  <c r="C7588" i="2"/>
  <c r="E7587" i="2"/>
  <c r="F7587" i="2" s="1"/>
  <c r="C7587" i="2"/>
  <c r="E7586" i="2"/>
  <c r="F7586" i="2" s="1"/>
  <c r="C7586" i="2"/>
  <c r="E7585" i="2"/>
  <c r="F7585" i="2" s="1"/>
  <c r="C7585" i="2"/>
  <c r="E7584" i="2"/>
  <c r="F7584" i="2" s="1"/>
  <c r="C7584" i="2"/>
  <c r="E7583" i="2"/>
  <c r="F7583" i="2" s="1"/>
  <c r="C7583" i="2"/>
  <c r="E7582" i="2"/>
  <c r="F7582" i="2" s="1"/>
  <c r="C7582" i="2"/>
  <c r="E7581" i="2"/>
  <c r="F7581" i="2" s="1"/>
  <c r="C7581" i="2"/>
  <c r="E7580" i="2"/>
  <c r="F7580" i="2" s="1"/>
  <c r="C7580" i="2"/>
  <c r="E7579" i="2"/>
  <c r="F7579" i="2" s="1"/>
  <c r="C7579" i="2"/>
  <c r="E7578" i="2"/>
  <c r="F7578" i="2" s="1"/>
  <c r="C7578" i="2"/>
  <c r="E7577" i="2"/>
  <c r="F7577" i="2" s="1"/>
  <c r="C7577" i="2"/>
  <c r="E7576" i="2"/>
  <c r="F7576" i="2" s="1"/>
  <c r="C7576" i="2"/>
  <c r="E7575" i="2"/>
  <c r="F7575" i="2" s="1"/>
  <c r="C7575" i="2"/>
  <c r="E7574" i="2"/>
  <c r="F7574" i="2" s="1"/>
  <c r="C7574" i="2"/>
  <c r="E7573" i="2"/>
  <c r="F7573" i="2" s="1"/>
  <c r="C7573" i="2"/>
  <c r="E7572" i="2"/>
  <c r="F7572" i="2" s="1"/>
  <c r="C7572" i="2"/>
  <c r="E7571" i="2"/>
  <c r="F7571" i="2" s="1"/>
  <c r="C7571" i="2"/>
  <c r="E7570" i="2"/>
  <c r="F7570" i="2" s="1"/>
  <c r="C7570" i="2"/>
  <c r="E7569" i="2"/>
  <c r="F7569" i="2" s="1"/>
  <c r="C7569" i="2"/>
  <c r="E7568" i="2"/>
  <c r="F7568" i="2" s="1"/>
  <c r="C7568" i="2"/>
  <c r="E7567" i="2"/>
  <c r="F7567" i="2" s="1"/>
  <c r="C7567" i="2"/>
  <c r="E7566" i="2"/>
  <c r="F7566" i="2" s="1"/>
  <c r="C7566" i="2"/>
  <c r="E7565" i="2"/>
  <c r="F7565" i="2" s="1"/>
  <c r="C7565" i="2"/>
  <c r="E7564" i="2"/>
  <c r="F7564" i="2" s="1"/>
  <c r="C7564" i="2"/>
  <c r="E7563" i="2"/>
  <c r="F7563" i="2" s="1"/>
  <c r="C7563" i="2"/>
  <c r="E7562" i="2"/>
  <c r="F7562" i="2" s="1"/>
  <c r="C7562" i="2"/>
  <c r="E7561" i="2"/>
  <c r="F7561" i="2" s="1"/>
  <c r="C7561" i="2"/>
  <c r="E7560" i="2"/>
  <c r="F7560" i="2" s="1"/>
  <c r="C7560" i="2"/>
  <c r="E7559" i="2"/>
  <c r="F7559" i="2" s="1"/>
  <c r="C7559" i="2"/>
  <c r="E7558" i="2"/>
  <c r="F7558" i="2" s="1"/>
  <c r="C7558" i="2"/>
  <c r="E7557" i="2"/>
  <c r="F7557" i="2" s="1"/>
  <c r="C7557" i="2"/>
  <c r="E7556" i="2"/>
  <c r="F7556" i="2" s="1"/>
  <c r="C7556" i="2"/>
  <c r="E7555" i="2"/>
  <c r="F7555" i="2" s="1"/>
  <c r="C7555" i="2"/>
  <c r="E7554" i="2"/>
  <c r="F7554" i="2" s="1"/>
  <c r="C7554" i="2"/>
  <c r="E7553" i="2"/>
  <c r="F7553" i="2" s="1"/>
  <c r="C7553" i="2"/>
  <c r="E7552" i="2"/>
  <c r="F7552" i="2" s="1"/>
  <c r="C7552" i="2"/>
  <c r="E7551" i="2"/>
  <c r="F7551" i="2" s="1"/>
  <c r="C7551" i="2"/>
  <c r="E7550" i="2"/>
  <c r="F7550" i="2" s="1"/>
  <c r="C7550" i="2"/>
  <c r="E7549" i="2"/>
  <c r="F7549" i="2" s="1"/>
  <c r="C7549" i="2"/>
  <c r="E7548" i="2"/>
  <c r="F7548" i="2" s="1"/>
  <c r="C7548" i="2"/>
  <c r="E7547" i="2"/>
  <c r="F7547" i="2" s="1"/>
  <c r="C7547" i="2"/>
  <c r="E7546" i="2"/>
  <c r="F7546" i="2" s="1"/>
  <c r="C7546" i="2"/>
  <c r="E7545" i="2"/>
  <c r="F7545" i="2" s="1"/>
  <c r="C7545" i="2"/>
  <c r="E7544" i="2"/>
  <c r="F7544" i="2" s="1"/>
  <c r="C7544" i="2"/>
  <c r="E7543" i="2"/>
  <c r="F7543" i="2" s="1"/>
  <c r="C7543" i="2"/>
  <c r="E7542" i="2"/>
  <c r="F7542" i="2" s="1"/>
  <c r="C7542" i="2"/>
  <c r="E7541" i="2"/>
  <c r="F7541" i="2" s="1"/>
  <c r="C7541" i="2"/>
  <c r="E7540" i="2"/>
  <c r="F7540" i="2" s="1"/>
  <c r="C7540" i="2"/>
  <c r="E7539" i="2"/>
  <c r="F7539" i="2" s="1"/>
  <c r="C7539" i="2"/>
  <c r="E7538" i="2"/>
  <c r="F7538" i="2" s="1"/>
  <c r="C7538" i="2"/>
  <c r="E7537" i="2"/>
  <c r="F7537" i="2" s="1"/>
  <c r="C7537" i="2"/>
  <c r="E7536" i="2"/>
  <c r="F7536" i="2" s="1"/>
  <c r="C7536" i="2"/>
  <c r="E7535" i="2"/>
  <c r="F7535" i="2" s="1"/>
  <c r="C7535" i="2"/>
  <c r="E7534" i="2"/>
  <c r="F7534" i="2" s="1"/>
  <c r="C7534" i="2"/>
  <c r="E7533" i="2"/>
  <c r="F7533" i="2" s="1"/>
  <c r="C7533" i="2"/>
  <c r="E7532" i="2"/>
  <c r="F7532" i="2" s="1"/>
  <c r="C7532" i="2"/>
  <c r="E7531" i="2"/>
  <c r="F7531" i="2" s="1"/>
  <c r="C7531" i="2"/>
  <c r="E7530" i="2"/>
  <c r="F7530" i="2" s="1"/>
  <c r="C7530" i="2"/>
  <c r="E7529" i="2"/>
  <c r="F7529" i="2" s="1"/>
  <c r="C7529" i="2"/>
  <c r="E7528" i="2"/>
  <c r="F7528" i="2" s="1"/>
  <c r="C7528" i="2"/>
  <c r="E7527" i="2"/>
  <c r="F7527" i="2" s="1"/>
  <c r="C7527" i="2"/>
  <c r="E7526" i="2"/>
  <c r="F7526" i="2" s="1"/>
  <c r="C7526" i="2"/>
  <c r="E7525" i="2"/>
  <c r="F7525" i="2" s="1"/>
  <c r="C7525" i="2"/>
  <c r="E7524" i="2"/>
  <c r="F7524" i="2" s="1"/>
  <c r="C7524" i="2"/>
  <c r="E7523" i="2"/>
  <c r="F7523" i="2" s="1"/>
  <c r="C7523" i="2"/>
  <c r="E7522" i="2"/>
  <c r="F7522" i="2" s="1"/>
  <c r="C7522" i="2"/>
  <c r="E7521" i="2"/>
  <c r="F7521" i="2" s="1"/>
  <c r="C7521" i="2"/>
  <c r="E7520" i="2"/>
  <c r="F7520" i="2" s="1"/>
  <c r="C7520" i="2"/>
  <c r="E7519" i="2"/>
  <c r="F7519" i="2" s="1"/>
  <c r="C7519" i="2"/>
  <c r="E7518" i="2"/>
  <c r="F7518" i="2" s="1"/>
  <c r="C7518" i="2"/>
  <c r="E7517" i="2"/>
  <c r="F7517" i="2" s="1"/>
  <c r="C7517" i="2"/>
  <c r="E7516" i="2"/>
  <c r="F7516" i="2" s="1"/>
  <c r="C7516" i="2"/>
  <c r="E7515" i="2"/>
  <c r="F7515" i="2" s="1"/>
  <c r="C7515" i="2"/>
  <c r="E7514" i="2"/>
  <c r="F7514" i="2" s="1"/>
  <c r="C7514" i="2"/>
  <c r="E7513" i="2"/>
  <c r="F7513" i="2" s="1"/>
  <c r="C7513" i="2"/>
  <c r="E7512" i="2"/>
  <c r="F7512" i="2" s="1"/>
  <c r="C7512" i="2"/>
  <c r="E7511" i="2"/>
  <c r="F7511" i="2" s="1"/>
  <c r="C7511" i="2"/>
  <c r="E7510" i="2"/>
  <c r="F7510" i="2" s="1"/>
  <c r="C7510" i="2"/>
  <c r="E7509" i="2"/>
  <c r="F7509" i="2" s="1"/>
  <c r="C7509" i="2"/>
  <c r="E7508" i="2"/>
  <c r="F7508" i="2" s="1"/>
  <c r="C7508" i="2"/>
  <c r="E7507" i="2"/>
  <c r="F7507" i="2" s="1"/>
  <c r="C7507" i="2"/>
  <c r="E7506" i="2"/>
  <c r="F7506" i="2" s="1"/>
  <c r="C7506" i="2"/>
  <c r="E7505" i="2"/>
  <c r="F7505" i="2" s="1"/>
  <c r="C7505" i="2"/>
  <c r="E7504" i="2"/>
  <c r="F7504" i="2" s="1"/>
  <c r="C7504" i="2"/>
  <c r="E7503" i="2"/>
  <c r="F7503" i="2" s="1"/>
  <c r="C7503" i="2"/>
  <c r="E7502" i="2"/>
  <c r="F7502" i="2" s="1"/>
  <c r="C7502" i="2"/>
  <c r="E7501" i="2"/>
  <c r="F7501" i="2" s="1"/>
  <c r="C7501" i="2"/>
  <c r="E7500" i="2"/>
  <c r="F7500" i="2" s="1"/>
  <c r="C7500" i="2"/>
  <c r="E7499" i="2"/>
  <c r="F7499" i="2" s="1"/>
  <c r="C7499" i="2"/>
  <c r="E7498" i="2"/>
  <c r="F7498" i="2" s="1"/>
  <c r="C7498" i="2"/>
  <c r="E7497" i="2"/>
  <c r="F7497" i="2" s="1"/>
  <c r="C7497" i="2"/>
  <c r="E7496" i="2"/>
  <c r="F7496" i="2" s="1"/>
  <c r="C7496" i="2"/>
  <c r="E7495" i="2"/>
  <c r="F7495" i="2" s="1"/>
  <c r="C7495" i="2"/>
  <c r="E7494" i="2"/>
  <c r="F7494" i="2" s="1"/>
  <c r="C7494" i="2"/>
  <c r="E7493" i="2"/>
  <c r="F7493" i="2" s="1"/>
  <c r="C7493" i="2"/>
  <c r="E7492" i="2"/>
  <c r="F7492" i="2" s="1"/>
  <c r="C7492" i="2"/>
  <c r="E7491" i="2"/>
  <c r="F7491" i="2" s="1"/>
  <c r="C7491" i="2"/>
  <c r="E7490" i="2"/>
  <c r="F7490" i="2" s="1"/>
  <c r="C7490" i="2"/>
  <c r="E7489" i="2"/>
  <c r="F7489" i="2" s="1"/>
  <c r="C7489" i="2"/>
  <c r="E7488" i="2"/>
  <c r="F7488" i="2" s="1"/>
  <c r="C7488" i="2"/>
  <c r="E7487" i="2"/>
  <c r="F7487" i="2" s="1"/>
  <c r="C7487" i="2"/>
  <c r="E7486" i="2"/>
  <c r="F7486" i="2" s="1"/>
  <c r="C7486" i="2"/>
  <c r="E7485" i="2"/>
  <c r="F7485" i="2" s="1"/>
  <c r="C7485" i="2"/>
  <c r="E7484" i="2"/>
  <c r="F7484" i="2" s="1"/>
  <c r="C7484" i="2"/>
  <c r="E7483" i="2"/>
  <c r="F7483" i="2" s="1"/>
  <c r="C7483" i="2"/>
  <c r="E7482" i="2"/>
  <c r="F7482" i="2" s="1"/>
  <c r="C7482" i="2"/>
  <c r="E7481" i="2"/>
  <c r="F7481" i="2" s="1"/>
  <c r="C7481" i="2"/>
  <c r="E7480" i="2"/>
  <c r="F7480" i="2" s="1"/>
  <c r="C7480" i="2"/>
  <c r="E7479" i="2"/>
  <c r="F7479" i="2" s="1"/>
  <c r="C7479" i="2"/>
  <c r="E7478" i="2"/>
  <c r="F7478" i="2" s="1"/>
  <c r="C7478" i="2"/>
  <c r="E7477" i="2"/>
  <c r="F7477" i="2" s="1"/>
  <c r="C7477" i="2"/>
  <c r="E7476" i="2"/>
  <c r="F7476" i="2" s="1"/>
  <c r="C7476" i="2"/>
  <c r="E7475" i="2"/>
  <c r="F7475" i="2" s="1"/>
  <c r="C7475" i="2"/>
  <c r="E7474" i="2"/>
  <c r="F7474" i="2" s="1"/>
  <c r="C7474" i="2"/>
  <c r="E7473" i="2"/>
  <c r="F7473" i="2" s="1"/>
  <c r="C7473" i="2"/>
  <c r="E7472" i="2"/>
  <c r="F7472" i="2" s="1"/>
  <c r="C7472" i="2"/>
  <c r="E7471" i="2"/>
  <c r="F7471" i="2" s="1"/>
  <c r="C7471" i="2"/>
  <c r="E7470" i="2"/>
  <c r="F7470" i="2" s="1"/>
  <c r="C7470" i="2"/>
  <c r="E7469" i="2"/>
  <c r="F7469" i="2" s="1"/>
  <c r="C7469" i="2"/>
  <c r="E7468" i="2"/>
  <c r="F7468" i="2" s="1"/>
  <c r="C7468" i="2"/>
  <c r="E7467" i="2"/>
  <c r="F7467" i="2" s="1"/>
  <c r="C7467" i="2"/>
  <c r="E7466" i="2"/>
  <c r="F7466" i="2" s="1"/>
  <c r="C7466" i="2"/>
  <c r="E7465" i="2"/>
  <c r="F7465" i="2" s="1"/>
  <c r="C7465" i="2"/>
  <c r="E7464" i="2"/>
  <c r="F7464" i="2" s="1"/>
  <c r="C7464" i="2"/>
  <c r="E7463" i="2"/>
  <c r="F7463" i="2" s="1"/>
  <c r="C7463" i="2"/>
  <c r="E7462" i="2"/>
  <c r="F7462" i="2" s="1"/>
  <c r="C7462" i="2"/>
  <c r="E7461" i="2"/>
  <c r="F7461" i="2" s="1"/>
  <c r="C7461" i="2"/>
  <c r="E7460" i="2"/>
  <c r="F7460" i="2" s="1"/>
  <c r="C7460" i="2"/>
  <c r="E7459" i="2"/>
  <c r="F7459" i="2" s="1"/>
  <c r="C7459" i="2"/>
  <c r="E7458" i="2"/>
  <c r="F7458" i="2" s="1"/>
  <c r="C7458" i="2"/>
  <c r="E7457" i="2"/>
  <c r="F7457" i="2" s="1"/>
  <c r="C7457" i="2"/>
  <c r="E7456" i="2"/>
  <c r="F7456" i="2" s="1"/>
  <c r="C7456" i="2"/>
  <c r="E7455" i="2"/>
  <c r="F7455" i="2" s="1"/>
  <c r="C7455" i="2"/>
  <c r="E7454" i="2"/>
  <c r="F7454" i="2" s="1"/>
  <c r="C7454" i="2"/>
  <c r="E7453" i="2"/>
  <c r="F7453" i="2" s="1"/>
  <c r="C7453" i="2"/>
  <c r="E7452" i="2"/>
  <c r="F7452" i="2" s="1"/>
  <c r="C7452" i="2"/>
  <c r="E7451" i="2"/>
  <c r="F7451" i="2" s="1"/>
  <c r="C7451" i="2"/>
  <c r="E7450" i="2"/>
  <c r="F7450" i="2" s="1"/>
  <c r="C7450" i="2"/>
  <c r="E7449" i="2"/>
  <c r="F7449" i="2" s="1"/>
  <c r="C7449" i="2"/>
  <c r="E7448" i="2"/>
  <c r="F7448" i="2" s="1"/>
  <c r="C7448" i="2"/>
  <c r="E7447" i="2"/>
  <c r="F7447" i="2" s="1"/>
  <c r="C7447" i="2"/>
  <c r="E7446" i="2"/>
  <c r="F7446" i="2" s="1"/>
  <c r="C7446" i="2"/>
  <c r="E7445" i="2"/>
  <c r="F7445" i="2" s="1"/>
  <c r="C7445" i="2"/>
  <c r="E7444" i="2"/>
  <c r="F7444" i="2" s="1"/>
  <c r="C7444" i="2"/>
  <c r="E7443" i="2"/>
  <c r="F7443" i="2" s="1"/>
  <c r="C7443" i="2"/>
  <c r="E7442" i="2"/>
  <c r="F7442" i="2" s="1"/>
  <c r="C7442" i="2"/>
  <c r="E7441" i="2"/>
  <c r="F7441" i="2" s="1"/>
  <c r="C7441" i="2"/>
  <c r="E7440" i="2"/>
  <c r="F7440" i="2" s="1"/>
  <c r="C7440" i="2"/>
  <c r="E7439" i="2"/>
  <c r="F7439" i="2" s="1"/>
  <c r="C7439" i="2"/>
  <c r="E7438" i="2"/>
  <c r="F7438" i="2" s="1"/>
  <c r="C7438" i="2"/>
  <c r="E7437" i="2"/>
  <c r="F7437" i="2" s="1"/>
  <c r="C7437" i="2"/>
  <c r="E7436" i="2"/>
  <c r="F7436" i="2" s="1"/>
  <c r="C7436" i="2"/>
  <c r="E7435" i="2"/>
  <c r="F7435" i="2" s="1"/>
  <c r="C7435" i="2"/>
  <c r="E7434" i="2"/>
  <c r="F7434" i="2" s="1"/>
  <c r="C7434" i="2"/>
  <c r="E7433" i="2"/>
  <c r="F7433" i="2" s="1"/>
  <c r="C7433" i="2"/>
  <c r="E7432" i="2"/>
  <c r="F7432" i="2" s="1"/>
  <c r="C7432" i="2"/>
  <c r="E7431" i="2"/>
  <c r="F7431" i="2" s="1"/>
  <c r="C7431" i="2"/>
  <c r="E7430" i="2"/>
  <c r="F7430" i="2" s="1"/>
  <c r="C7430" i="2"/>
  <c r="E7429" i="2"/>
  <c r="F7429" i="2" s="1"/>
  <c r="C7429" i="2"/>
  <c r="E7428" i="2"/>
  <c r="F7428" i="2" s="1"/>
  <c r="C7428" i="2"/>
  <c r="E7427" i="2"/>
  <c r="F7427" i="2" s="1"/>
  <c r="C7427" i="2"/>
  <c r="E7426" i="2"/>
  <c r="F7426" i="2" s="1"/>
  <c r="C7426" i="2"/>
  <c r="E7425" i="2"/>
  <c r="F7425" i="2" s="1"/>
  <c r="C7425" i="2"/>
  <c r="E7424" i="2"/>
  <c r="F7424" i="2" s="1"/>
  <c r="C7424" i="2"/>
  <c r="E7423" i="2"/>
  <c r="F7423" i="2" s="1"/>
  <c r="C7423" i="2"/>
  <c r="E7422" i="2"/>
  <c r="F7422" i="2" s="1"/>
  <c r="C7422" i="2"/>
  <c r="E7421" i="2"/>
  <c r="F7421" i="2" s="1"/>
  <c r="C7421" i="2"/>
  <c r="E7420" i="2"/>
  <c r="F7420" i="2" s="1"/>
  <c r="C7420" i="2"/>
  <c r="E7419" i="2"/>
  <c r="F7419" i="2" s="1"/>
  <c r="C7419" i="2"/>
  <c r="E7418" i="2"/>
  <c r="F7418" i="2" s="1"/>
  <c r="C7418" i="2"/>
  <c r="E7417" i="2"/>
  <c r="F7417" i="2" s="1"/>
  <c r="C7417" i="2"/>
  <c r="E7416" i="2"/>
  <c r="F7416" i="2" s="1"/>
  <c r="C7416" i="2"/>
  <c r="E7415" i="2"/>
  <c r="F7415" i="2" s="1"/>
  <c r="C7415" i="2"/>
  <c r="E7414" i="2"/>
  <c r="F7414" i="2" s="1"/>
  <c r="C7414" i="2"/>
  <c r="E7413" i="2"/>
  <c r="F7413" i="2" s="1"/>
  <c r="C7413" i="2"/>
  <c r="E7412" i="2"/>
  <c r="F7412" i="2" s="1"/>
  <c r="C7412" i="2"/>
  <c r="E7411" i="2"/>
  <c r="F7411" i="2" s="1"/>
  <c r="C7411" i="2"/>
  <c r="E7410" i="2"/>
  <c r="F7410" i="2" s="1"/>
  <c r="C7410" i="2"/>
  <c r="E7409" i="2"/>
  <c r="F7409" i="2" s="1"/>
  <c r="C7409" i="2"/>
  <c r="E7408" i="2"/>
  <c r="F7408" i="2" s="1"/>
  <c r="C7408" i="2"/>
  <c r="E7407" i="2"/>
  <c r="F7407" i="2" s="1"/>
  <c r="C7407" i="2"/>
  <c r="E7406" i="2"/>
  <c r="F7406" i="2" s="1"/>
  <c r="C7406" i="2"/>
  <c r="E7405" i="2"/>
  <c r="F7405" i="2" s="1"/>
  <c r="C7405" i="2"/>
  <c r="E7404" i="2"/>
  <c r="F7404" i="2" s="1"/>
  <c r="C7404" i="2"/>
  <c r="E7403" i="2"/>
  <c r="F7403" i="2" s="1"/>
  <c r="C7403" i="2"/>
  <c r="E7402" i="2"/>
  <c r="F7402" i="2" s="1"/>
  <c r="C7402" i="2"/>
  <c r="E7401" i="2"/>
  <c r="F7401" i="2" s="1"/>
  <c r="C7401" i="2"/>
  <c r="E7400" i="2"/>
  <c r="F7400" i="2" s="1"/>
  <c r="C7400" i="2"/>
  <c r="E7399" i="2"/>
  <c r="F7399" i="2" s="1"/>
  <c r="C7399" i="2"/>
  <c r="E7398" i="2"/>
  <c r="F7398" i="2" s="1"/>
  <c r="C7398" i="2"/>
  <c r="E7397" i="2"/>
  <c r="F7397" i="2" s="1"/>
  <c r="C7397" i="2"/>
  <c r="E7396" i="2"/>
  <c r="F7396" i="2" s="1"/>
  <c r="C7396" i="2"/>
  <c r="E7395" i="2"/>
  <c r="F7395" i="2" s="1"/>
  <c r="C7395" i="2"/>
  <c r="E7394" i="2"/>
  <c r="F7394" i="2" s="1"/>
  <c r="C7394" i="2"/>
  <c r="E7393" i="2"/>
  <c r="F7393" i="2" s="1"/>
  <c r="C7393" i="2"/>
  <c r="E7392" i="2"/>
  <c r="F7392" i="2" s="1"/>
  <c r="C7392" i="2"/>
  <c r="E7391" i="2"/>
  <c r="F7391" i="2" s="1"/>
  <c r="C7391" i="2"/>
  <c r="E7390" i="2"/>
  <c r="F7390" i="2" s="1"/>
  <c r="C7390" i="2"/>
  <c r="E7389" i="2"/>
  <c r="F7389" i="2" s="1"/>
  <c r="C7389" i="2"/>
  <c r="E7388" i="2"/>
  <c r="F7388" i="2" s="1"/>
  <c r="C7388" i="2"/>
  <c r="E7387" i="2"/>
  <c r="F7387" i="2" s="1"/>
  <c r="C7387" i="2"/>
  <c r="E7386" i="2"/>
  <c r="F7386" i="2" s="1"/>
  <c r="C7386" i="2"/>
  <c r="E7385" i="2"/>
  <c r="F7385" i="2" s="1"/>
  <c r="C7385" i="2"/>
  <c r="E7384" i="2"/>
  <c r="F7384" i="2" s="1"/>
  <c r="C7384" i="2"/>
  <c r="E7383" i="2"/>
  <c r="F7383" i="2" s="1"/>
  <c r="C7383" i="2"/>
  <c r="E7382" i="2"/>
  <c r="F7382" i="2" s="1"/>
  <c r="C7382" i="2"/>
  <c r="E7381" i="2"/>
  <c r="F7381" i="2" s="1"/>
  <c r="C7381" i="2"/>
  <c r="E7380" i="2"/>
  <c r="F7380" i="2" s="1"/>
  <c r="C7380" i="2"/>
  <c r="E7379" i="2"/>
  <c r="F7379" i="2" s="1"/>
  <c r="C7379" i="2"/>
  <c r="E7378" i="2"/>
  <c r="F7378" i="2" s="1"/>
  <c r="C7378" i="2"/>
  <c r="E7377" i="2"/>
  <c r="F7377" i="2" s="1"/>
  <c r="C7377" i="2"/>
  <c r="E7376" i="2"/>
  <c r="F7376" i="2" s="1"/>
  <c r="C7376" i="2"/>
  <c r="E7375" i="2"/>
  <c r="F7375" i="2" s="1"/>
  <c r="C7375" i="2"/>
  <c r="E7374" i="2"/>
  <c r="F7374" i="2" s="1"/>
  <c r="C7374" i="2"/>
  <c r="E7373" i="2"/>
  <c r="F7373" i="2" s="1"/>
  <c r="C7373" i="2"/>
  <c r="E7372" i="2"/>
  <c r="F7372" i="2" s="1"/>
  <c r="C7372" i="2"/>
  <c r="E7371" i="2"/>
  <c r="F7371" i="2" s="1"/>
  <c r="C7371" i="2"/>
  <c r="E7370" i="2"/>
  <c r="F7370" i="2" s="1"/>
  <c r="C7370" i="2"/>
  <c r="E7369" i="2"/>
  <c r="F7369" i="2" s="1"/>
  <c r="C7369" i="2"/>
  <c r="E7368" i="2"/>
  <c r="F7368" i="2" s="1"/>
  <c r="C7368" i="2"/>
  <c r="E7367" i="2"/>
  <c r="F7367" i="2" s="1"/>
  <c r="C7367" i="2"/>
  <c r="E7366" i="2"/>
  <c r="F7366" i="2" s="1"/>
  <c r="C7366" i="2"/>
  <c r="E7365" i="2"/>
  <c r="F7365" i="2" s="1"/>
  <c r="C7365" i="2"/>
  <c r="E7364" i="2"/>
  <c r="F7364" i="2" s="1"/>
  <c r="C7364" i="2"/>
  <c r="E7363" i="2"/>
  <c r="F7363" i="2" s="1"/>
  <c r="C7363" i="2"/>
  <c r="E7362" i="2"/>
  <c r="F7362" i="2" s="1"/>
  <c r="C7362" i="2"/>
  <c r="E7361" i="2"/>
  <c r="F7361" i="2" s="1"/>
  <c r="C7361" i="2"/>
  <c r="E7360" i="2"/>
  <c r="F7360" i="2" s="1"/>
  <c r="C7360" i="2"/>
  <c r="E7359" i="2"/>
  <c r="F7359" i="2" s="1"/>
  <c r="C7359" i="2"/>
  <c r="E7358" i="2"/>
  <c r="F7358" i="2" s="1"/>
  <c r="C7358" i="2"/>
  <c r="E7357" i="2"/>
  <c r="F7357" i="2" s="1"/>
  <c r="C7357" i="2"/>
  <c r="E7356" i="2"/>
  <c r="F7356" i="2" s="1"/>
  <c r="C7356" i="2"/>
  <c r="E7355" i="2"/>
  <c r="F7355" i="2" s="1"/>
  <c r="C7355" i="2"/>
  <c r="E7354" i="2"/>
  <c r="F7354" i="2" s="1"/>
  <c r="C7354" i="2"/>
  <c r="E7353" i="2"/>
  <c r="F7353" i="2" s="1"/>
  <c r="C7353" i="2"/>
  <c r="E7352" i="2"/>
  <c r="F7352" i="2" s="1"/>
  <c r="C7352" i="2"/>
  <c r="E7351" i="2"/>
  <c r="F7351" i="2" s="1"/>
  <c r="C7351" i="2"/>
  <c r="E7350" i="2"/>
  <c r="F7350" i="2" s="1"/>
  <c r="C7350" i="2"/>
  <c r="E7349" i="2"/>
  <c r="F7349" i="2" s="1"/>
  <c r="C7349" i="2"/>
  <c r="E7348" i="2"/>
  <c r="F7348" i="2" s="1"/>
  <c r="C7348" i="2"/>
  <c r="E7347" i="2"/>
  <c r="F7347" i="2" s="1"/>
  <c r="C7347" i="2"/>
  <c r="E7346" i="2"/>
  <c r="F7346" i="2" s="1"/>
  <c r="C7346" i="2"/>
  <c r="E7345" i="2"/>
  <c r="F7345" i="2" s="1"/>
  <c r="C7345" i="2"/>
  <c r="E7344" i="2"/>
  <c r="F7344" i="2" s="1"/>
  <c r="C7344" i="2"/>
  <c r="E7343" i="2"/>
  <c r="F7343" i="2" s="1"/>
  <c r="C7343" i="2"/>
  <c r="E7342" i="2"/>
  <c r="F7342" i="2" s="1"/>
  <c r="C7342" i="2"/>
  <c r="E7341" i="2"/>
  <c r="F7341" i="2" s="1"/>
  <c r="C7341" i="2"/>
  <c r="E7340" i="2"/>
  <c r="F7340" i="2" s="1"/>
  <c r="C7340" i="2"/>
  <c r="E7339" i="2"/>
  <c r="F7339" i="2" s="1"/>
  <c r="C7339" i="2"/>
  <c r="E7338" i="2"/>
  <c r="F7338" i="2" s="1"/>
  <c r="C7338" i="2"/>
  <c r="E7337" i="2"/>
  <c r="F7337" i="2" s="1"/>
  <c r="C7337" i="2"/>
  <c r="E7336" i="2"/>
  <c r="F7336" i="2" s="1"/>
  <c r="C7336" i="2"/>
  <c r="E7335" i="2"/>
  <c r="F7335" i="2" s="1"/>
  <c r="C7335" i="2"/>
  <c r="E7334" i="2"/>
  <c r="F7334" i="2" s="1"/>
  <c r="C7334" i="2"/>
  <c r="E7333" i="2"/>
  <c r="F7333" i="2" s="1"/>
  <c r="C7333" i="2"/>
  <c r="E7332" i="2"/>
  <c r="F7332" i="2" s="1"/>
  <c r="C7332" i="2"/>
  <c r="E7331" i="2"/>
  <c r="F7331" i="2" s="1"/>
  <c r="C7331" i="2"/>
  <c r="E7330" i="2"/>
  <c r="F7330" i="2" s="1"/>
  <c r="C7330" i="2"/>
  <c r="E7329" i="2"/>
  <c r="F7329" i="2" s="1"/>
  <c r="C7329" i="2"/>
  <c r="E7328" i="2"/>
  <c r="F7328" i="2" s="1"/>
  <c r="C7328" i="2"/>
  <c r="E7327" i="2"/>
  <c r="F7327" i="2" s="1"/>
  <c r="C7327" i="2"/>
  <c r="E7326" i="2"/>
  <c r="F7326" i="2" s="1"/>
  <c r="C7326" i="2"/>
  <c r="E7325" i="2"/>
  <c r="F7325" i="2" s="1"/>
  <c r="C7325" i="2"/>
  <c r="E7324" i="2"/>
  <c r="F7324" i="2" s="1"/>
  <c r="C7324" i="2"/>
  <c r="E7323" i="2"/>
  <c r="F7323" i="2" s="1"/>
  <c r="C7323" i="2"/>
  <c r="E7322" i="2"/>
  <c r="F7322" i="2" s="1"/>
  <c r="C7322" i="2"/>
  <c r="E7321" i="2"/>
  <c r="F7321" i="2" s="1"/>
  <c r="C7321" i="2"/>
  <c r="E7320" i="2"/>
  <c r="F7320" i="2" s="1"/>
  <c r="C7320" i="2"/>
  <c r="E7319" i="2"/>
  <c r="F7319" i="2" s="1"/>
  <c r="C7319" i="2"/>
  <c r="E7318" i="2"/>
  <c r="F7318" i="2" s="1"/>
  <c r="C7318" i="2"/>
  <c r="E7317" i="2"/>
  <c r="F7317" i="2" s="1"/>
  <c r="C7317" i="2"/>
  <c r="E7316" i="2"/>
  <c r="F7316" i="2" s="1"/>
  <c r="C7316" i="2"/>
  <c r="E7315" i="2"/>
  <c r="F7315" i="2" s="1"/>
  <c r="C7315" i="2"/>
  <c r="E7314" i="2"/>
  <c r="F7314" i="2" s="1"/>
  <c r="C7314" i="2"/>
  <c r="E7313" i="2"/>
  <c r="F7313" i="2" s="1"/>
  <c r="C7313" i="2"/>
  <c r="E7312" i="2"/>
  <c r="F7312" i="2" s="1"/>
  <c r="C7312" i="2"/>
  <c r="E7311" i="2"/>
  <c r="F7311" i="2" s="1"/>
  <c r="C7311" i="2"/>
  <c r="E7310" i="2"/>
  <c r="F7310" i="2" s="1"/>
  <c r="C7310" i="2"/>
  <c r="E7309" i="2"/>
  <c r="F7309" i="2" s="1"/>
  <c r="C7309" i="2"/>
  <c r="E7308" i="2"/>
  <c r="F7308" i="2" s="1"/>
  <c r="C7308" i="2"/>
  <c r="E7307" i="2"/>
  <c r="F7307" i="2" s="1"/>
  <c r="C7307" i="2"/>
  <c r="E7306" i="2"/>
  <c r="F7306" i="2" s="1"/>
  <c r="C7306" i="2"/>
  <c r="E7305" i="2"/>
  <c r="F7305" i="2" s="1"/>
  <c r="C7305" i="2"/>
  <c r="E7304" i="2"/>
  <c r="F7304" i="2" s="1"/>
  <c r="C7304" i="2"/>
  <c r="E7303" i="2"/>
  <c r="F7303" i="2" s="1"/>
  <c r="C7303" i="2"/>
  <c r="E7302" i="2"/>
  <c r="F7302" i="2" s="1"/>
  <c r="C7302" i="2"/>
  <c r="E7301" i="2"/>
  <c r="F7301" i="2" s="1"/>
  <c r="C7301" i="2"/>
  <c r="E7300" i="2"/>
  <c r="F7300" i="2" s="1"/>
  <c r="C7300" i="2"/>
  <c r="E7299" i="2"/>
  <c r="F7299" i="2" s="1"/>
  <c r="C7299" i="2"/>
  <c r="E7298" i="2"/>
  <c r="F7298" i="2" s="1"/>
  <c r="C7298" i="2"/>
  <c r="E7297" i="2"/>
  <c r="F7297" i="2" s="1"/>
  <c r="C7297" i="2"/>
  <c r="E7296" i="2"/>
  <c r="F7296" i="2" s="1"/>
  <c r="C7296" i="2"/>
  <c r="E7295" i="2"/>
  <c r="F7295" i="2" s="1"/>
  <c r="C7295" i="2"/>
  <c r="E7294" i="2"/>
  <c r="F7294" i="2" s="1"/>
  <c r="C7294" i="2"/>
  <c r="E7293" i="2"/>
  <c r="F7293" i="2" s="1"/>
  <c r="C7293" i="2"/>
  <c r="E7292" i="2"/>
  <c r="F7292" i="2" s="1"/>
  <c r="C7292" i="2"/>
  <c r="E7291" i="2"/>
  <c r="F7291" i="2" s="1"/>
  <c r="C7291" i="2"/>
  <c r="E7290" i="2"/>
  <c r="F7290" i="2" s="1"/>
  <c r="C7290" i="2"/>
  <c r="E7289" i="2"/>
  <c r="F7289" i="2" s="1"/>
  <c r="C7289" i="2"/>
  <c r="E7288" i="2"/>
  <c r="F7288" i="2" s="1"/>
  <c r="C7288" i="2"/>
  <c r="E7287" i="2"/>
  <c r="F7287" i="2" s="1"/>
  <c r="C7287" i="2"/>
  <c r="E7286" i="2"/>
  <c r="F7286" i="2" s="1"/>
  <c r="C7286" i="2"/>
  <c r="E7285" i="2"/>
  <c r="F7285" i="2" s="1"/>
  <c r="C7285" i="2"/>
  <c r="E7284" i="2"/>
  <c r="F7284" i="2" s="1"/>
  <c r="C7284" i="2"/>
  <c r="E7283" i="2"/>
  <c r="F7283" i="2" s="1"/>
  <c r="C7283" i="2"/>
  <c r="E7282" i="2"/>
  <c r="F7282" i="2" s="1"/>
  <c r="C7282" i="2"/>
  <c r="E7281" i="2"/>
  <c r="F7281" i="2" s="1"/>
  <c r="C7281" i="2"/>
  <c r="E7280" i="2"/>
  <c r="F7280" i="2" s="1"/>
  <c r="C7280" i="2"/>
  <c r="E7279" i="2"/>
  <c r="F7279" i="2" s="1"/>
  <c r="C7279" i="2"/>
  <c r="E7278" i="2"/>
  <c r="F7278" i="2" s="1"/>
  <c r="C7278" i="2"/>
  <c r="E7277" i="2"/>
  <c r="F7277" i="2" s="1"/>
  <c r="C7277" i="2"/>
  <c r="E7276" i="2"/>
  <c r="F7276" i="2" s="1"/>
  <c r="C7276" i="2"/>
  <c r="E7275" i="2"/>
  <c r="F7275" i="2" s="1"/>
  <c r="C7275" i="2"/>
  <c r="E7274" i="2"/>
  <c r="F7274" i="2" s="1"/>
  <c r="C7274" i="2"/>
  <c r="E7273" i="2"/>
  <c r="F7273" i="2" s="1"/>
  <c r="C7273" i="2"/>
  <c r="E7272" i="2"/>
  <c r="F7272" i="2" s="1"/>
  <c r="C7272" i="2"/>
  <c r="E7271" i="2"/>
  <c r="F7271" i="2" s="1"/>
  <c r="C7271" i="2"/>
  <c r="E7270" i="2"/>
  <c r="F7270" i="2" s="1"/>
  <c r="C7270" i="2"/>
  <c r="E7269" i="2"/>
  <c r="F7269" i="2" s="1"/>
  <c r="C7269" i="2"/>
  <c r="E7268" i="2"/>
  <c r="F7268" i="2" s="1"/>
  <c r="C7268" i="2"/>
  <c r="E7267" i="2"/>
  <c r="F7267" i="2" s="1"/>
  <c r="C7267" i="2"/>
  <c r="E7266" i="2"/>
  <c r="F7266" i="2" s="1"/>
  <c r="C7266" i="2"/>
  <c r="E7265" i="2"/>
  <c r="F7265" i="2" s="1"/>
  <c r="C7265" i="2"/>
  <c r="E7264" i="2"/>
  <c r="F7264" i="2" s="1"/>
  <c r="C7264" i="2"/>
  <c r="E7263" i="2"/>
  <c r="F7263" i="2" s="1"/>
  <c r="C7263" i="2"/>
  <c r="E7262" i="2"/>
  <c r="F7262" i="2" s="1"/>
  <c r="C7262" i="2"/>
  <c r="E7261" i="2"/>
  <c r="F7261" i="2" s="1"/>
  <c r="C7261" i="2"/>
  <c r="E7260" i="2"/>
  <c r="F7260" i="2" s="1"/>
  <c r="C7260" i="2"/>
  <c r="E7259" i="2"/>
  <c r="F7259" i="2" s="1"/>
  <c r="C7259" i="2"/>
  <c r="E7258" i="2"/>
  <c r="F7258" i="2" s="1"/>
  <c r="C7258" i="2"/>
  <c r="E7257" i="2"/>
  <c r="F7257" i="2" s="1"/>
  <c r="C7257" i="2"/>
  <c r="E7256" i="2"/>
  <c r="F7256" i="2" s="1"/>
  <c r="C7256" i="2"/>
  <c r="E7255" i="2"/>
  <c r="F7255" i="2" s="1"/>
  <c r="C7255" i="2"/>
  <c r="E7254" i="2"/>
  <c r="F7254" i="2" s="1"/>
  <c r="C7254" i="2"/>
  <c r="E7253" i="2"/>
  <c r="F7253" i="2" s="1"/>
  <c r="C7253" i="2"/>
  <c r="E7252" i="2"/>
  <c r="F7252" i="2" s="1"/>
  <c r="C7252" i="2"/>
  <c r="E7251" i="2"/>
  <c r="F7251" i="2" s="1"/>
  <c r="C7251" i="2"/>
  <c r="E7250" i="2"/>
  <c r="F7250" i="2" s="1"/>
  <c r="C7250" i="2"/>
  <c r="E7249" i="2"/>
  <c r="F7249" i="2" s="1"/>
  <c r="C7249" i="2"/>
  <c r="E7248" i="2"/>
  <c r="F7248" i="2" s="1"/>
  <c r="C7248" i="2"/>
  <c r="E7247" i="2"/>
  <c r="F7247" i="2" s="1"/>
  <c r="C7247" i="2"/>
  <c r="E7246" i="2"/>
  <c r="F7246" i="2" s="1"/>
  <c r="C7246" i="2"/>
  <c r="E7245" i="2"/>
  <c r="F7245" i="2" s="1"/>
  <c r="C7245" i="2"/>
  <c r="E7244" i="2"/>
  <c r="F7244" i="2" s="1"/>
  <c r="C7244" i="2"/>
  <c r="E7243" i="2"/>
  <c r="F7243" i="2" s="1"/>
  <c r="C7243" i="2"/>
  <c r="E7242" i="2"/>
  <c r="F7242" i="2" s="1"/>
  <c r="C7242" i="2"/>
  <c r="E7241" i="2"/>
  <c r="F7241" i="2" s="1"/>
  <c r="C7241" i="2"/>
  <c r="E7240" i="2"/>
  <c r="F7240" i="2" s="1"/>
  <c r="C7240" i="2"/>
  <c r="E7239" i="2"/>
  <c r="F7239" i="2" s="1"/>
  <c r="C7239" i="2"/>
  <c r="E7238" i="2"/>
  <c r="F7238" i="2" s="1"/>
  <c r="C7238" i="2"/>
  <c r="E7237" i="2"/>
  <c r="F7237" i="2" s="1"/>
  <c r="C7237" i="2"/>
  <c r="E7236" i="2"/>
  <c r="F7236" i="2" s="1"/>
  <c r="C7236" i="2"/>
  <c r="E7235" i="2"/>
  <c r="F7235" i="2" s="1"/>
  <c r="C7235" i="2"/>
  <c r="E7234" i="2"/>
  <c r="F7234" i="2" s="1"/>
  <c r="C7234" i="2"/>
  <c r="E7233" i="2"/>
  <c r="F7233" i="2" s="1"/>
  <c r="C7233" i="2"/>
  <c r="E7232" i="2"/>
  <c r="F7232" i="2" s="1"/>
  <c r="C7232" i="2"/>
  <c r="E7231" i="2"/>
  <c r="F7231" i="2" s="1"/>
  <c r="C7231" i="2"/>
  <c r="E7230" i="2"/>
  <c r="F7230" i="2" s="1"/>
  <c r="C7230" i="2"/>
  <c r="E7229" i="2"/>
  <c r="F7229" i="2" s="1"/>
  <c r="C7229" i="2"/>
  <c r="E7228" i="2"/>
  <c r="F7228" i="2" s="1"/>
  <c r="C7228" i="2"/>
  <c r="E7227" i="2"/>
  <c r="F7227" i="2" s="1"/>
  <c r="C7227" i="2"/>
  <c r="E7226" i="2"/>
  <c r="F7226" i="2" s="1"/>
  <c r="C7226" i="2"/>
  <c r="E7225" i="2"/>
  <c r="F7225" i="2" s="1"/>
  <c r="C7225" i="2"/>
  <c r="E7224" i="2"/>
  <c r="F7224" i="2" s="1"/>
  <c r="C7224" i="2"/>
  <c r="E7223" i="2"/>
  <c r="F7223" i="2" s="1"/>
  <c r="C7223" i="2"/>
  <c r="E7222" i="2"/>
  <c r="F7222" i="2" s="1"/>
  <c r="C7222" i="2"/>
  <c r="E7221" i="2"/>
  <c r="F7221" i="2" s="1"/>
  <c r="C7221" i="2"/>
  <c r="E7220" i="2"/>
  <c r="F7220" i="2" s="1"/>
  <c r="C7220" i="2"/>
  <c r="E7219" i="2"/>
  <c r="F7219" i="2" s="1"/>
  <c r="C7219" i="2"/>
  <c r="E7218" i="2"/>
  <c r="F7218" i="2" s="1"/>
  <c r="C7218" i="2"/>
  <c r="E7217" i="2"/>
  <c r="F7217" i="2" s="1"/>
  <c r="C7217" i="2"/>
  <c r="E7216" i="2"/>
  <c r="F7216" i="2" s="1"/>
  <c r="C7216" i="2"/>
  <c r="E7215" i="2"/>
  <c r="F7215" i="2" s="1"/>
  <c r="C7215" i="2"/>
  <c r="E7214" i="2"/>
  <c r="F7214" i="2" s="1"/>
  <c r="C7214" i="2"/>
  <c r="E7213" i="2"/>
  <c r="F7213" i="2" s="1"/>
  <c r="C7213" i="2"/>
  <c r="E7212" i="2"/>
  <c r="F7212" i="2" s="1"/>
  <c r="C7212" i="2"/>
  <c r="E7211" i="2"/>
  <c r="F7211" i="2" s="1"/>
  <c r="C7211" i="2"/>
  <c r="E7210" i="2"/>
  <c r="F7210" i="2" s="1"/>
  <c r="C7210" i="2"/>
  <c r="E7209" i="2"/>
  <c r="F7209" i="2" s="1"/>
  <c r="C7209" i="2"/>
  <c r="E7208" i="2"/>
  <c r="F7208" i="2" s="1"/>
  <c r="C7208" i="2"/>
  <c r="E7207" i="2"/>
  <c r="F7207" i="2" s="1"/>
  <c r="C7207" i="2"/>
  <c r="E7206" i="2"/>
  <c r="F7206" i="2" s="1"/>
  <c r="C7206" i="2"/>
  <c r="E7205" i="2"/>
  <c r="F7205" i="2" s="1"/>
  <c r="C7205" i="2"/>
  <c r="E7204" i="2"/>
  <c r="F7204" i="2" s="1"/>
  <c r="C7204" i="2"/>
  <c r="E7203" i="2"/>
  <c r="F7203" i="2" s="1"/>
  <c r="C7203" i="2"/>
  <c r="E7202" i="2"/>
  <c r="F7202" i="2" s="1"/>
  <c r="C7202" i="2"/>
  <c r="E7201" i="2"/>
  <c r="F7201" i="2" s="1"/>
  <c r="C7201" i="2"/>
  <c r="E7200" i="2"/>
  <c r="F7200" i="2" s="1"/>
  <c r="C7200" i="2"/>
  <c r="E7199" i="2"/>
  <c r="F7199" i="2" s="1"/>
  <c r="C7199" i="2"/>
  <c r="E7198" i="2"/>
  <c r="F7198" i="2" s="1"/>
  <c r="C7198" i="2"/>
  <c r="E7197" i="2"/>
  <c r="F7197" i="2" s="1"/>
  <c r="C7197" i="2"/>
  <c r="E7196" i="2"/>
  <c r="F7196" i="2" s="1"/>
  <c r="C7196" i="2"/>
  <c r="E7195" i="2"/>
  <c r="F7195" i="2" s="1"/>
  <c r="C7195" i="2"/>
  <c r="E7194" i="2"/>
  <c r="F7194" i="2" s="1"/>
  <c r="C7194" i="2"/>
  <c r="E7193" i="2"/>
  <c r="F7193" i="2" s="1"/>
  <c r="C7193" i="2"/>
  <c r="E7192" i="2"/>
  <c r="F7192" i="2" s="1"/>
  <c r="C7192" i="2"/>
  <c r="E7191" i="2"/>
  <c r="F7191" i="2" s="1"/>
  <c r="C7191" i="2"/>
  <c r="E7190" i="2"/>
  <c r="F7190" i="2" s="1"/>
  <c r="C7190" i="2"/>
  <c r="E7189" i="2"/>
  <c r="F7189" i="2" s="1"/>
  <c r="C7189" i="2"/>
  <c r="E7188" i="2"/>
  <c r="F7188" i="2" s="1"/>
  <c r="C7188" i="2"/>
  <c r="E7187" i="2"/>
  <c r="F7187" i="2" s="1"/>
  <c r="C7187" i="2"/>
  <c r="E7186" i="2"/>
  <c r="F7186" i="2" s="1"/>
  <c r="C7186" i="2"/>
  <c r="E7185" i="2"/>
  <c r="F7185" i="2" s="1"/>
  <c r="C7185" i="2"/>
  <c r="E7184" i="2"/>
  <c r="F7184" i="2" s="1"/>
  <c r="C7184" i="2"/>
  <c r="E7183" i="2"/>
  <c r="F7183" i="2" s="1"/>
  <c r="C7183" i="2"/>
  <c r="E7182" i="2"/>
  <c r="F7182" i="2" s="1"/>
  <c r="C7182" i="2"/>
  <c r="E7181" i="2"/>
  <c r="F7181" i="2" s="1"/>
  <c r="C7181" i="2"/>
  <c r="E7180" i="2"/>
  <c r="F7180" i="2" s="1"/>
  <c r="C7180" i="2"/>
  <c r="E7179" i="2"/>
  <c r="F7179" i="2" s="1"/>
  <c r="C7179" i="2"/>
  <c r="E7178" i="2"/>
  <c r="F7178" i="2" s="1"/>
  <c r="C7178" i="2"/>
  <c r="E7177" i="2"/>
  <c r="F7177" i="2" s="1"/>
  <c r="C7177" i="2"/>
  <c r="E7176" i="2"/>
  <c r="F7176" i="2" s="1"/>
  <c r="C7176" i="2"/>
  <c r="E7175" i="2"/>
  <c r="F7175" i="2" s="1"/>
  <c r="C7175" i="2"/>
  <c r="E7174" i="2"/>
  <c r="F7174" i="2" s="1"/>
  <c r="C7174" i="2"/>
  <c r="E7173" i="2"/>
  <c r="F7173" i="2" s="1"/>
  <c r="C7173" i="2"/>
  <c r="E7172" i="2"/>
  <c r="F7172" i="2" s="1"/>
  <c r="C7172" i="2"/>
  <c r="E7171" i="2"/>
  <c r="F7171" i="2" s="1"/>
  <c r="C7171" i="2"/>
  <c r="E7170" i="2"/>
  <c r="F7170" i="2" s="1"/>
  <c r="C7170" i="2"/>
  <c r="E7169" i="2"/>
  <c r="F7169" i="2" s="1"/>
  <c r="C7169" i="2"/>
  <c r="E7168" i="2"/>
  <c r="F7168" i="2" s="1"/>
  <c r="C7168" i="2"/>
  <c r="E7167" i="2"/>
  <c r="F7167" i="2" s="1"/>
  <c r="C7167" i="2"/>
  <c r="E7166" i="2"/>
  <c r="F7166" i="2" s="1"/>
  <c r="C7166" i="2"/>
  <c r="E7165" i="2"/>
  <c r="F7165" i="2" s="1"/>
  <c r="C7165" i="2"/>
  <c r="E7164" i="2"/>
  <c r="F7164" i="2" s="1"/>
  <c r="C7164" i="2"/>
  <c r="E7163" i="2"/>
  <c r="F7163" i="2" s="1"/>
  <c r="C7163" i="2"/>
  <c r="E7162" i="2"/>
  <c r="F7162" i="2" s="1"/>
  <c r="C7162" i="2"/>
  <c r="E7161" i="2"/>
  <c r="F7161" i="2" s="1"/>
  <c r="C7161" i="2"/>
  <c r="E7160" i="2"/>
  <c r="F7160" i="2" s="1"/>
  <c r="C7160" i="2"/>
  <c r="E7159" i="2"/>
  <c r="F7159" i="2" s="1"/>
  <c r="C7159" i="2"/>
  <c r="E7158" i="2"/>
  <c r="F7158" i="2" s="1"/>
  <c r="C7158" i="2"/>
  <c r="E7157" i="2"/>
  <c r="F7157" i="2" s="1"/>
  <c r="C7157" i="2"/>
  <c r="E7156" i="2"/>
  <c r="F7156" i="2" s="1"/>
  <c r="C7156" i="2"/>
  <c r="E7155" i="2"/>
  <c r="F7155" i="2" s="1"/>
  <c r="C7155" i="2"/>
  <c r="E7154" i="2"/>
  <c r="F7154" i="2" s="1"/>
  <c r="C7154" i="2"/>
  <c r="E7153" i="2"/>
  <c r="F7153" i="2" s="1"/>
  <c r="C7153" i="2"/>
  <c r="E7152" i="2"/>
  <c r="F7152" i="2" s="1"/>
  <c r="C7152" i="2"/>
  <c r="E7151" i="2"/>
  <c r="F7151" i="2" s="1"/>
  <c r="C7151" i="2"/>
  <c r="E7150" i="2"/>
  <c r="F7150" i="2" s="1"/>
  <c r="C7150" i="2"/>
  <c r="E7149" i="2"/>
  <c r="F7149" i="2" s="1"/>
  <c r="C7149" i="2"/>
  <c r="E7148" i="2"/>
  <c r="F7148" i="2" s="1"/>
  <c r="C7148" i="2"/>
  <c r="E7147" i="2"/>
  <c r="F7147" i="2" s="1"/>
  <c r="C7147" i="2"/>
  <c r="E7146" i="2"/>
  <c r="F7146" i="2" s="1"/>
  <c r="C7146" i="2"/>
  <c r="E7145" i="2"/>
  <c r="F7145" i="2" s="1"/>
  <c r="C7145" i="2"/>
  <c r="E7144" i="2"/>
  <c r="F7144" i="2" s="1"/>
  <c r="C7144" i="2"/>
  <c r="E7143" i="2"/>
  <c r="F7143" i="2" s="1"/>
  <c r="C7143" i="2"/>
  <c r="E7142" i="2"/>
  <c r="F7142" i="2" s="1"/>
  <c r="C7142" i="2"/>
  <c r="E7141" i="2"/>
  <c r="F7141" i="2" s="1"/>
  <c r="C7141" i="2"/>
  <c r="E7140" i="2"/>
  <c r="F7140" i="2" s="1"/>
  <c r="C7140" i="2"/>
  <c r="E7139" i="2"/>
  <c r="F7139" i="2" s="1"/>
  <c r="C7139" i="2"/>
  <c r="E7138" i="2"/>
  <c r="F7138" i="2" s="1"/>
  <c r="C7138" i="2"/>
  <c r="E7137" i="2"/>
  <c r="F7137" i="2" s="1"/>
  <c r="C7137" i="2"/>
  <c r="E7136" i="2"/>
  <c r="F7136" i="2" s="1"/>
  <c r="C7136" i="2"/>
  <c r="E7135" i="2"/>
  <c r="F7135" i="2" s="1"/>
  <c r="C7135" i="2"/>
  <c r="E7134" i="2"/>
  <c r="F7134" i="2" s="1"/>
  <c r="C7134" i="2"/>
  <c r="E7133" i="2"/>
  <c r="F7133" i="2" s="1"/>
  <c r="C7133" i="2"/>
  <c r="E7132" i="2"/>
  <c r="F7132" i="2" s="1"/>
  <c r="C7132" i="2"/>
  <c r="E7131" i="2"/>
  <c r="F7131" i="2" s="1"/>
  <c r="C7131" i="2"/>
  <c r="E7130" i="2"/>
  <c r="F7130" i="2" s="1"/>
  <c r="C7130" i="2"/>
  <c r="E7129" i="2"/>
  <c r="F7129" i="2" s="1"/>
  <c r="C7129" i="2"/>
  <c r="E7128" i="2"/>
  <c r="F7128" i="2" s="1"/>
  <c r="C7128" i="2"/>
  <c r="E7127" i="2"/>
  <c r="F7127" i="2" s="1"/>
  <c r="C7127" i="2"/>
  <c r="E7126" i="2"/>
  <c r="F7126" i="2" s="1"/>
  <c r="C7126" i="2"/>
  <c r="E7125" i="2"/>
  <c r="F7125" i="2" s="1"/>
  <c r="C7125" i="2"/>
  <c r="E7124" i="2"/>
  <c r="F7124" i="2" s="1"/>
  <c r="C7124" i="2"/>
  <c r="E7123" i="2"/>
  <c r="F7123" i="2" s="1"/>
  <c r="C7123" i="2"/>
  <c r="E7122" i="2"/>
  <c r="F7122" i="2" s="1"/>
  <c r="C7122" i="2"/>
  <c r="E7121" i="2"/>
  <c r="F7121" i="2" s="1"/>
  <c r="C7121" i="2"/>
  <c r="E7120" i="2"/>
  <c r="F7120" i="2" s="1"/>
  <c r="C7120" i="2"/>
  <c r="E7119" i="2"/>
  <c r="F7119" i="2" s="1"/>
  <c r="C7119" i="2"/>
  <c r="E7118" i="2"/>
  <c r="F7118" i="2" s="1"/>
  <c r="C7118" i="2"/>
  <c r="E7117" i="2"/>
  <c r="F7117" i="2" s="1"/>
  <c r="C7117" i="2"/>
  <c r="E7116" i="2"/>
  <c r="F7116" i="2" s="1"/>
  <c r="C7116" i="2"/>
  <c r="E7115" i="2"/>
  <c r="F7115" i="2" s="1"/>
  <c r="C7115" i="2"/>
  <c r="E7114" i="2"/>
  <c r="F7114" i="2" s="1"/>
  <c r="C7114" i="2"/>
  <c r="E7113" i="2"/>
  <c r="F7113" i="2" s="1"/>
  <c r="C7113" i="2"/>
  <c r="E7112" i="2"/>
  <c r="F7112" i="2" s="1"/>
  <c r="C7112" i="2"/>
  <c r="E7111" i="2"/>
  <c r="F7111" i="2" s="1"/>
  <c r="C7111" i="2"/>
  <c r="E7110" i="2"/>
  <c r="F7110" i="2" s="1"/>
  <c r="C7110" i="2"/>
  <c r="E7109" i="2"/>
  <c r="F7109" i="2" s="1"/>
  <c r="C7109" i="2"/>
  <c r="E7108" i="2"/>
  <c r="F7108" i="2" s="1"/>
  <c r="C7108" i="2"/>
  <c r="E7107" i="2"/>
  <c r="F7107" i="2" s="1"/>
  <c r="C7107" i="2"/>
  <c r="E7106" i="2"/>
  <c r="F7106" i="2" s="1"/>
  <c r="C7106" i="2"/>
  <c r="E7105" i="2"/>
  <c r="F7105" i="2" s="1"/>
  <c r="C7105" i="2"/>
  <c r="E7104" i="2"/>
  <c r="F7104" i="2" s="1"/>
  <c r="C7104" i="2"/>
  <c r="E7103" i="2"/>
  <c r="F7103" i="2" s="1"/>
  <c r="C7103" i="2"/>
  <c r="E7102" i="2"/>
  <c r="F7102" i="2" s="1"/>
  <c r="C7102" i="2"/>
  <c r="E7101" i="2"/>
  <c r="F7101" i="2" s="1"/>
  <c r="C7101" i="2"/>
  <c r="E7100" i="2"/>
  <c r="F7100" i="2" s="1"/>
  <c r="C7100" i="2"/>
  <c r="E7099" i="2"/>
  <c r="F7099" i="2" s="1"/>
  <c r="C7099" i="2"/>
  <c r="E7098" i="2"/>
  <c r="F7098" i="2" s="1"/>
  <c r="C7098" i="2"/>
  <c r="E7097" i="2"/>
  <c r="F7097" i="2" s="1"/>
  <c r="C7097" i="2"/>
  <c r="E7096" i="2"/>
  <c r="F7096" i="2" s="1"/>
  <c r="C7096" i="2"/>
  <c r="E7095" i="2"/>
  <c r="F7095" i="2" s="1"/>
  <c r="C7095" i="2"/>
  <c r="E7094" i="2"/>
  <c r="F7094" i="2" s="1"/>
  <c r="C7094" i="2"/>
  <c r="E7093" i="2"/>
  <c r="F7093" i="2" s="1"/>
  <c r="C7093" i="2"/>
  <c r="E7092" i="2"/>
  <c r="F7092" i="2" s="1"/>
  <c r="C7092" i="2"/>
  <c r="E7091" i="2"/>
  <c r="F7091" i="2" s="1"/>
  <c r="C7091" i="2"/>
  <c r="E7090" i="2"/>
  <c r="F7090" i="2" s="1"/>
  <c r="C7090" i="2"/>
  <c r="E7089" i="2"/>
  <c r="F7089" i="2" s="1"/>
  <c r="C7089" i="2"/>
  <c r="E7088" i="2"/>
  <c r="F7088" i="2" s="1"/>
  <c r="C7088" i="2"/>
  <c r="E7087" i="2"/>
  <c r="F7087" i="2" s="1"/>
  <c r="C7087" i="2"/>
  <c r="E7086" i="2"/>
  <c r="F7086" i="2" s="1"/>
  <c r="C7086" i="2"/>
  <c r="E7085" i="2"/>
  <c r="F7085" i="2" s="1"/>
  <c r="C7085" i="2"/>
  <c r="E7084" i="2"/>
  <c r="F7084" i="2" s="1"/>
  <c r="C7084" i="2"/>
  <c r="E7083" i="2"/>
  <c r="F7083" i="2" s="1"/>
  <c r="C7083" i="2"/>
  <c r="E7082" i="2"/>
  <c r="F7082" i="2" s="1"/>
  <c r="C7082" i="2"/>
  <c r="E7081" i="2"/>
  <c r="F7081" i="2" s="1"/>
  <c r="C7081" i="2"/>
  <c r="E7080" i="2"/>
  <c r="F7080" i="2" s="1"/>
  <c r="C7080" i="2"/>
  <c r="E7079" i="2"/>
  <c r="F7079" i="2" s="1"/>
  <c r="C7079" i="2"/>
  <c r="E7078" i="2"/>
  <c r="F7078" i="2" s="1"/>
  <c r="C7078" i="2"/>
  <c r="E7077" i="2"/>
  <c r="F7077" i="2" s="1"/>
  <c r="C7077" i="2"/>
  <c r="E7076" i="2"/>
  <c r="F7076" i="2" s="1"/>
  <c r="C7076" i="2"/>
  <c r="E7075" i="2"/>
  <c r="F7075" i="2" s="1"/>
  <c r="C7075" i="2"/>
  <c r="E7074" i="2"/>
  <c r="F7074" i="2" s="1"/>
  <c r="C7074" i="2"/>
  <c r="E7073" i="2"/>
  <c r="F7073" i="2" s="1"/>
  <c r="C7073" i="2"/>
  <c r="E7072" i="2"/>
  <c r="F7072" i="2" s="1"/>
  <c r="C7072" i="2"/>
  <c r="E7071" i="2"/>
  <c r="F7071" i="2" s="1"/>
  <c r="C7071" i="2"/>
  <c r="E7070" i="2"/>
  <c r="F7070" i="2" s="1"/>
  <c r="C7070" i="2"/>
  <c r="E7069" i="2"/>
  <c r="F7069" i="2" s="1"/>
  <c r="C7069" i="2"/>
  <c r="E7068" i="2"/>
  <c r="F7068" i="2" s="1"/>
  <c r="C7068" i="2"/>
  <c r="E7067" i="2"/>
  <c r="F7067" i="2" s="1"/>
  <c r="C7067" i="2"/>
  <c r="E7066" i="2"/>
  <c r="F7066" i="2" s="1"/>
  <c r="C7066" i="2"/>
  <c r="E7065" i="2"/>
  <c r="F7065" i="2" s="1"/>
  <c r="C7065" i="2"/>
  <c r="E7064" i="2"/>
  <c r="F7064" i="2" s="1"/>
  <c r="C7064" i="2"/>
  <c r="E7063" i="2"/>
  <c r="F7063" i="2" s="1"/>
  <c r="C7063" i="2"/>
  <c r="E7062" i="2"/>
  <c r="F7062" i="2" s="1"/>
  <c r="C7062" i="2"/>
  <c r="E7061" i="2"/>
  <c r="F7061" i="2" s="1"/>
  <c r="C7061" i="2"/>
  <c r="E7060" i="2"/>
  <c r="F7060" i="2" s="1"/>
  <c r="C7060" i="2"/>
  <c r="E7059" i="2"/>
  <c r="F7059" i="2" s="1"/>
  <c r="C7059" i="2"/>
  <c r="E7058" i="2"/>
  <c r="F7058" i="2" s="1"/>
  <c r="C7058" i="2"/>
  <c r="E7057" i="2"/>
  <c r="F7057" i="2" s="1"/>
  <c r="C7057" i="2"/>
  <c r="E7056" i="2"/>
  <c r="F7056" i="2" s="1"/>
  <c r="C7056" i="2"/>
  <c r="E7055" i="2"/>
  <c r="F7055" i="2" s="1"/>
  <c r="C7055" i="2"/>
  <c r="E7054" i="2"/>
  <c r="F7054" i="2" s="1"/>
  <c r="C7054" i="2"/>
  <c r="E7053" i="2"/>
  <c r="F7053" i="2" s="1"/>
  <c r="C7053" i="2"/>
  <c r="E7052" i="2"/>
  <c r="F7052" i="2" s="1"/>
  <c r="C7052" i="2"/>
  <c r="E7051" i="2"/>
  <c r="F7051" i="2" s="1"/>
  <c r="C7051" i="2"/>
  <c r="E7050" i="2"/>
  <c r="F7050" i="2" s="1"/>
  <c r="C7050" i="2"/>
  <c r="E7049" i="2"/>
  <c r="F7049" i="2" s="1"/>
  <c r="C7049" i="2"/>
  <c r="E7048" i="2"/>
  <c r="F7048" i="2" s="1"/>
  <c r="C7048" i="2"/>
  <c r="E7047" i="2"/>
  <c r="F7047" i="2" s="1"/>
  <c r="C7047" i="2"/>
  <c r="E7046" i="2"/>
  <c r="F7046" i="2" s="1"/>
  <c r="C7046" i="2"/>
  <c r="E7045" i="2"/>
  <c r="F7045" i="2" s="1"/>
  <c r="C7045" i="2"/>
  <c r="E7044" i="2"/>
  <c r="F7044" i="2" s="1"/>
  <c r="C7044" i="2"/>
  <c r="E7043" i="2"/>
  <c r="F7043" i="2" s="1"/>
  <c r="C7043" i="2"/>
  <c r="E7042" i="2"/>
  <c r="F7042" i="2" s="1"/>
  <c r="C7042" i="2"/>
  <c r="E7041" i="2"/>
  <c r="F7041" i="2" s="1"/>
  <c r="C7041" i="2"/>
  <c r="E7040" i="2"/>
  <c r="F7040" i="2" s="1"/>
  <c r="C7040" i="2"/>
  <c r="E7039" i="2"/>
  <c r="F7039" i="2" s="1"/>
  <c r="C7039" i="2"/>
  <c r="E7038" i="2"/>
  <c r="F7038" i="2" s="1"/>
  <c r="C7038" i="2"/>
  <c r="E7037" i="2"/>
  <c r="F7037" i="2" s="1"/>
  <c r="C7037" i="2"/>
  <c r="E7036" i="2"/>
  <c r="F7036" i="2" s="1"/>
  <c r="C7036" i="2"/>
  <c r="E7035" i="2"/>
  <c r="F7035" i="2" s="1"/>
  <c r="C7035" i="2"/>
  <c r="E7034" i="2"/>
  <c r="F7034" i="2" s="1"/>
  <c r="C7034" i="2"/>
  <c r="E7033" i="2"/>
  <c r="F7033" i="2" s="1"/>
  <c r="C7033" i="2"/>
  <c r="E7032" i="2"/>
  <c r="F7032" i="2" s="1"/>
  <c r="C7032" i="2"/>
  <c r="E7031" i="2"/>
  <c r="F7031" i="2" s="1"/>
  <c r="C7031" i="2"/>
  <c r="E7030" i="2"/>
  <c r="F7030" i="2" s="1"/>
  <c r="C7030" i="2"/>
  <c r="E7029" i="2"/>
  <c r="F7029" i="2" s="1"/>
  <c r="C7029" i="2"/>
  <c r="E7028" i="2"/>
  <c r="F7028" i="2" s="1"/>
  <c r="C7028" i="2"/>
  <c r="E7027" i="2"/>
  <c r="F7027" i="2" s="1"/>
  <c r="C7027" i="2"/>
  <c r="E7026" i="2"/>
  <c r="F7026" i="2" s="1"/>
  <c r="C7026" i="2"/>
  <c r="E7025" i="2"/>
  <c r="F7025" i="2" s="1"/>
  <c r="C7025" i="2"/>
  <c r="E7024" i="2"/>
  <c r="F7024" i="2" s="1"/>
  <c r="C7024" i="2"/>
  <c r="E7023" i="2"/>
  <c r="F7023" i="2" s="1"/>
  <c r="C7023" i="2"/>
  <c r="E7022" i="2"/>
  <c r="F7022" i="2" s="1"/>
  <c r="C7022" i="2"/>
  <c r="E7021" i="2"/>
  <c r="F7021" i="2" s="1"/>
  <c r="C7021" i="2"/>
  <c r="E7020" i="2"/>
  <c r="F7020" i="2" s="1"/>
  <c r="C7020" i="2"/>
  <c r="E7019" i="2"/>
  <c r="F7019" i="2" s="1"/>
  <c r="C7019" i="2"/>
  <c r="E7018" i="2"/>
  <c r="F7018" i="2" s="1"/>
  <c r="C7018" i="2"/>
  <c r="E7017" i="2"/>
  <c r="F7017" i="2" s="1"/>
  <c r="C7017" i="2"/>
  <c r="E7016" i="2"/>
  <c r="F7016" i="2" s="1"/>
  <c r="C7016" i="2"/>
  <c r="E7015" i="2"/>
  <c r="F7015" i="2" s="1"/>
  <c r="C7015" i="2"/>
  <c r="E7014" i="2"/>
  <c r="F7014" i="2" s="1"/>
  <c r="C7014" i="2"/>
  <c r="E7013" i="2"/>
  <c r="F7013" i="2" s="1"/>
  <c r="C7013" i="2"/>
  <c r="E7012" i="2"/>
  <c r="F7012" i="2" s="1"/>
  <c r="C7012" i="2"/>
  <c r="E7011" i="2"/>
  <c r="F7011" i="2" s="1"/>
  <c r="C7011" i="2"/>
  <c r="E7010" i="2"/>
  <c r="F7010" i="2" s="1"/>
  <c r="C7010" i="2"/>
  <c r="E7009" i="2"/>
  <c r="F7009" i="2" s="1"/>
  <c r="C7009" i="2"/>
  <c r="E7008" i="2"/>
  <c r="F7008" i="2" s="1"/>
  <c r="C7008" i="2"/>
  <c r="E7007" i="2"/>
  <c r="F7007" i="2" s="1"/>
  <c r="C7007" i="2"/>
  <c r="E7006" i="2"/>
  <c r="F7006" i="2" s="1"/>
  <c r="C7006" i="2"/>
  <c r="E7005" i="2"/>
  <c r="F7005" i="2" s="1"/>
  <c r="C7005" i="2"/>
  <c r="E7004" i="2"/>
  <c r="F7004" i="2" s="1"/>
  <c r="C7004" i="2"/>
  <c r="E7003" i="2"/>
  <c r="F7003" i="2" s="1"/>
  <c r="C7003" i="2"/>
  <c r="E7002" i="2"/>
  <c r="F7002" i="2" s="1"/>
  <c r="C7002" i="2"/>
  <c r="E7001" i="2"/>
  <c r="F7001" i="2" s="1"/>
  <c r="C7001" i="2"/>
  <c r="E7000" i="2"/>
  <c r="F7000" i="2" s="1"/>
  <c r="C7000" i="2"/>
  <c r="E6999" i="2"/>
  <c r="F6999" i="2" s="1"/>
  <c r="C6999" i="2"/>
  <c r="E6998" i="2"/>
  <c r="F6998" i="2" s="1"/>
  <c r="C6998" i="2"/>
  <c r="E6997" i="2"/>
  <c r="F6997" i="2" s="1"/>
  <c r="C6997" i="2"/>
  <c r="E6996" i="2"/>
  <c r="F6996" i="2" s="1"/>
  <c r="C6996" i="2"/>
  <c r="E6995" i="2"/>
  <c r="F6995" i="2" s="1"/>
  <c r="C6995" i="2"/>
  <c r="E6994" i="2"/>
  <c r="F6994" i="2" s="1"/>
  <c r="C6994" i="2"/>
  <c r="E6993" i="2"/>
  <c r="F6993" i="2" s="1"/>
  <c r="C6993" i="2"/>
  <c r="E6992" i="2"/>
  <c r="F6992" i="2" s="1"/>
  <c r="C6992" i="2"/>
  <c r="E6991" i="2"/>
  <c r="F6991" i="2" s="1"/>
  <c r="C6991" i="2"/>
  <c r="E6990" i="2"/>
  <c r="F6990" i="2" s="1"/>
  <c r="C6990" i="2"/>
  <c r="E6989" i="2"/>
  <c r="F6989" i="2" s="1"/>
  <c r="C6989" i="2"/>
  <c r="E6988" i="2"/>
  <c r="F6988" i="2" s="1"/>
  <c r="C6988" i="2"/>
  <c r="E6987" i="2"/>
  <c r="F6987" i="2" s="1"/>
  <c r="C6987" i="2"/>
  <c r="E6986" i="2"/>
  <c r="F6986" i="2" s="1"/>
  <c r="C6986" i="2"/>
  <c r="E6985" i="2"/>
  <c r="F6985" i="2" s="1"/>
  <c r="C6985" i="2"/>
  <c r="E6984" i="2"/>
  <c r="F6984" i="2" s="1"/>
  <c r="C6984" i="2"/>
  <c r="E6983" i="2"/>
  <c r="F6983" i="2" s="1"/>
  <c r="C6983" i="2"/>
  <c r="E6982" i="2"/>
  <c r="F6982" i="2" s="1"/>
  <c r="C6982" i="2"/>
  <c r="E6981" i="2"/>
  <c r="F6981" i="2" s="1"/>
  <c r="C6981" i="2"/>
  <c r="E6980" i="2"/>
  <c r="F6980" i="2" s="1"/>
  <c r="C6980" i="2"/>
  <c r="E6979" i="2"/>
  <c r="F6979" i="2" s="1"/>
  <c r="C6979" i="2"/>
  <c r="E6978" i="2"/>
  <c r="F6978" i="2" s="1"/>
  <c r="C6978" i="2"/>
  <c r="E6977" i="2"/>
  <c r="F6977" i="2" s="1"/>
  <c r="C6977" i="2"/>
  <c r="E6976" i="2"/>
  <c r="F6976" i="2" s="1"/>
  <c r="C6976" i="2"/>
  <c r="E6975" i="2"/>
  <c r="F6975" i="2" s="1"/>
  <c r="C6975" i="2"/>
  <c r="E6974" i="2"/>
  <c r="F6974" i="2" s="1"/>
  <c r="C6974" i="2"/>
  <c r="E6973" i="2"/>
  <c r="F6973" i="2" s="1"/>
  <c r="C6973" i="2"/>
  <c r="E6972" i="2"/>
  <c r="F6972" i="2" s="1"/>
  <c r="C6972" i="2"/>
  <c r="E6971" i="2"/>
  <c r="F6971" i="2" s="1"/>
  <c r="C6971" i="2"/>
  <c r="E6970" i="2"/>
  <c r="F6970" i="2" s="1"/>
  <c r="C6970" i="2"/>
  <c r="E6969" i="2"/>
  <c r="F6969" i="2" s="1"/>
  <c r="C6969" i="2"/>
  <c r="E6968" i="2"/>
  <c r="F6968" i="2" s="1"/>
  <c r="C6968" i="2"/>
  <c r="E6967" i="2"/>
  <c r="F6967" i="2" s="1"/>
  <c r="C6967" i="2"/>
  <c r="E6966" i="2"/>
  <c r="F6966" i="2" s="1"/>
  <c r="C6966" i="2"/>
  <c r="E6965" i="2"/>
  <c r="F6965" i="2" s="1"/>
  <c r="C6965" i="2"/>
  <c r="E6964" i="2"/>
  <c r="F6964" i="2" s="1"/>
  <c r="C6964" i="2"/>
  <c r="E6963" i="2"/>
  <c r="F6963" i="2" s="1"/>
  <c r="C6963" i="2"/>
  <c r="E6962" i="2"/>
  <c r="F6962" i="2" s="1"/>
  <c r="C6962" i="2"/>
  <c r="E6961" i="2"/>
  <c r="F6961" i="2" s="1"/>
  <c r="C6961" i="2"/>
  <c r="E6960" i="2"/>
  <c r="F6960" i="2" s="1"/>
  <c r="C6960" i="2"/>
  <c r="E6959" i="2"/>
  <c r="F6959" i="2" s="1"/>
  <c r="C6959" i="2"/>
  <c r="E6958" i="2"/>
  <c r="F6958" i="2" s="1"/>
  <c r="C6958" i="2"/>
  <c r="E6957" i="2"/>
  <c r="F6957" i="2" s="1"/>
  <c r="C6957" i="2"/>
  <c r="E6956" i="2"/>
  <c r="F6956" i="2" s="1"/>
  <c r="C6956" i="2"/>
  <c r="E6955" i="2"/>
  <c r="F6955" i="2" s="1"/>
  <c r="C6955" i="2"/>
  <c r="E6954" i="2"/>
  <c r="F6954" i="2" s="1"/>
  <c r="C6954" i="2"/>
  <c r="E6953" i="2"/>
  <c r="F6953" i="2" s="1"/>
  <c r="C6953" i="2"/>
  <c r="E6952" i="2"/>
  <c r="F6952" i="2" s="1"/>
  <c r="C6952" i="2"/>
  <c r="E6951" i="2"/>
  <c r="F6951" i="2" s="1"/>
  <c r="C6951" i="2"/>
  <c r="E6950" i="2"/>
  <c r="F6950" i="2" s="1"/>
  <c r="C6950" i="2"/>
  <c r="E6949" i="2"/>
  <c r="F6949" i="2" s="1"/>
  <c r="C6949" i="2"/>
  <c r="E6948" i="2"/>
  <c r="F6948" i="2" s="1"/>
  <c r="C6948" i="2"/>
  <c r="E6947" i="2"/>
  <c r="F6947" i="2" s="1"/>
  <c r="C6947" i="2"/>
  <c r="E6946" i="2"/>
  <c r="F6946" i="2" s="1"/>
  <c r="C6946" i="2"/>
  <c r="E6945" i="2"/>
  <c r="F6945" i="2" s="1"/>
  <c r="C6945" i="2"/>
  <c r="E6944" i="2"/>
  <c r="F6944" i="2" s="1"/>
  <c r="C6944" i="2"/>
  <c r="E6943" i="2"/>
  <c r="F6943" i="2" s="1"/>
  <c r="C6943" i="2"/>
  <c r="E6942" i="2"/>
  <c r="F6942" i="2" s="1"/>
  <c r="C6942" i="2"/>
  <c r="E6941" i="2"/>
  <c r="F6941" i="2" s="1"/>
  <c r="C6941" i="2"/>
  <c r="E6940" i="2"/>
  <c r="F6940" i="2" s="1"/>
  <c r="C6940" i="2"/>
  <c r="E6939" i="2"/>
  <c r="F6939" i="2" s="1"/>
  <c r="C6939" i="2"/>
  <c r="E6938" i="2"/>
  <c r="F6938" i="2" s="1"/>
  <c r="C6938" i="2"/>
  <c r="E6937" i="2"/>
  <c r="F6937" i="2" s="1"/>
  <c r="C6937" i="2"/>
  <c r="E6936" i="2"/>
  <c r="F6936" i="2" s="1"/>
  <c r="C6936" i="2"/>
  <c r="E6935" i="2"/>
  <c r="F6935" i="2" s="1"/>
  <c r="C6935" i="2"/>
  <c r="E6934" i="2"/>
  <c r="F6934" i="2" s="1"/>
  <c r="C6934" i="2"/>
  <c r="E6933" i="2"/>
  <c r="F6933" i="2" s="1"/>
  <c r="C6933" i="2"/>
  <c r="E6932" i="2"/>
  <c r="F6932" i="2" s="1"/>
  <c r="C6932" i="2"/>
  <c r="E6931" i="2"/>
  <c r="F6931" i="2" s="1"/>
  <c r="C6931" i="2"/>
  <c r="E6930" i="2"/>
  <c r="F6930" i="2" s="1"/>
  <c r="C6930" i="2"/>
  <c r="E6929" i="2"/>
  <c r="F6929" i="2" s="1"/>
  <c r="C6929" i="2"/>
  <c r="E6928" i="2"/>
  <c r="F6928" i="2" s="1"/>
  <c r="C6928" i="2"/>
  <c r="E6927" i="2"/>
  <c r="F6927" i="2" s="1"/>
  <c r="C6927" i="2"/>
  <c r="E6926" i="2"/>
  <c r="F6926" i="2" s="1"/>
  <c r="C6926" i="2"/>
  <c r="E6925" i="2"/>
  <c r="F6925" i="2" s="1"/>
  <c r="C6925" i="2"/>
  <c r="E6924" i="2"/>
  <c r="F6924" i="2" s="1"/>
  <c r="C6924" i="2"/>
  <c r="E6923" i="2"/>
  <c r="F6923" i="2" s="1"/>
  <c r="C6923" i="2"/>
  <c r="E6922" i="2"/>
  <c r="F6922" i="2" s="1"/>
  <c r="C6922" i="2"/>
  <c r="E6921" i="2"/>
  <c r="F6921" i="2" s="1"/>
  <c r="C6921" i="2"/>
  <c r="E6920" i="2"/>
  <c r="F6920" i="2" s="1"/>
  <c r="C6920" i="2"/>
  <c r="E6919" i="2"/>
  <c r="F6919" i="2" s="1"/>
  <c r="C6919" i="2"/>
  <c r="E6918" i="2"/>
  <c r="F6918" i="2" s="1"/>
  <c r="C6918" i="2"/>
  <c r="E6917" i="2"/>
  <c r="F6917" i="2" s="1"/>
  <c r="C6917" i="2"/>
  <c r="E6916" i="2"/>
  <c r="F6916" i="2" s="1"/>
  <c r="C6916" i="2"/>
  <c r="E6915" i="2"/>
  <c r="F6915" i="2" s="1"/>
  <c r="C6915" i="2"/>
  <c r="E6914" i="2"/>
  <c r="F6914" i="2" s="1"/>
  <c r="C6914" i="2"/>
  <c r="E6913" i="2"/>
  <c r="F6913" i="2" s="1"/>
  <c r="C6913" i="2"/>
  <c r="E6912" i="2"/>
  <c r="F6912" i="2" s="1"/>
  <c r="C6912" i="2"/>
  <c r="E6911" i="2"/>
  <c r="F6911" i="2" s="1"/>
  <c r="C6911" i="2"/>
  <c r="E6910" i="2"/>
  <c r="F6910" i="2" s="1"/>
  <c r="C6910" i="2"/>
  <c r="E6909" i="2"/>
  <c r="F6909" i="2" s="1"/>
  <c r="C6909" i="2"/>
  <c r="E6908" i="2"/>
  <c r="F6908" i="2" s="1"/>
  <c r="C6908" i="2"/>
  <c r="E6907" i="2"/>
  <c r="F6907" i="2" s="1"/>
  <c r="C6907" i="2"/>
  <c r="E6906" i="2"/>
  <c r="F6906" i="2" s="1"/>
  <c r="C6906" i="2"/>
  <c r="E6905" i="2"/>
  <c r="F6905" i="2" s="1"/>
  <c r="C6905" i="2"/>
  <c r="E6904" i="2"/>
  <c r="F6904" i="2" s="1"/>
  <c r="C6904" i="2"/>
  <c r="E6903" i="2"/>
  <c r="F6903" i="2" s="1"/>
  <c r="C6903" i="2"/>
  <c r="E6902" i="2"/>
  <c r="F6902" i="2" s="1"/>
  <c r="C6902" i="2"/>
  <c r="E6901" i="2"/>
  <c r="F6901" i="2" s="1"/>
  <c r="C6901" i="2"/>
  <c r="E6900" i="2"/>
  <c r="F6900" i="2" s="1"/>
  <c r="C6900" i="2"/>
  <c r="E6899" i="2"/>
  <c r="F6899" i="2" s="1"/>
  <c r="C6899" i="2"/>
  <c r="E6898" i="2"/>
  <c r="F6898" i="2" s="1"/>
  <c r="C6898" i="2"/>
  <c r="E6897" i="2"/>
  <c r="F6897" i="2" s="1"/>
  <c r="C6897" i="2"/>
  <c r="E6896" i="2"/>
  <c r="F6896" i="2" s="1"/>
  <c r="C6896" i="2"/>
  <c r="E6895" i="2"/>
  <c r="F6895" i="2" s="1"/>
  <c r="C6895" i="2"/>
  <c r="E6894" i="2"/>
  <c r="F6894" i="2" s="1"/>
  <c r="C6894" i="2"/>
  <c r="E6893" i="2"/>
  <c r="F6893" i="2" s="1"/>
  <c r="C6893" i="2"/>
  <c r="E6892" i="2"/>
  <c r="F6892" i="2" s="1"/>
  <c r="C6892" i="2"/>
  <c r="E6891" i="2"/>
  <c r="F6891" i="2" s="1"/>
  <c r="C6891" i="2"/>
  <c r="E6890" i="2"/>
  <c r="F6890" i="2" s="1"/>
  <c r="C6890" i="2"/>
  <c r="E6889" i="2"/>
  <c r="F6889" i="2" s="1"/>
  <c r="C6889" i="2"/>
  <c r="E6888" i="2"/>
  <c r="F6888" i="2" s="1"/>
  <c r="C6888" i="2"/>
  <c r="E6887" i="2"/>
  <c r="F6887" i="2" s="1"/>
  <c r="C6887" i="2"/>
  <c r="E6886" i="2"/>
  <c r="F6886" i="2" s="1"/>
  <c r="C6886" i="2"/>
  <c r="E6885" i="2"/>
  <c r="F6885" i="2" s="1"/>
  <c r="C6885" i="2"/>
  <c r="E6884" i="2"/>
  <c r="F6884" i="2" s="1"/>
  <c r="C6884" i="2"/>
  <c r="E6883" i="2"/>
  <c r="F6883" i="2" s="1"/>
  <c r="C6883" i="2"/>
  <c r="E6882" i="2"/>
  <c r="F6882" i="2" s="1"/>
  <c r="C6882" i="2"/>
  <c r="E6881" i="2"/>
  <c r="F6881" i="2" s="1"/>
  <c r="C6881" i="2"/>
  <c r="E6880" i="2"/>
  <c r="F6880" i="2" s="1"/>
  <c r="C6880" i="2"/>
  <c r="E6879" i="2"/>
  <c r="F6879" i="2" s="1"/>
  <c r="C6879" i="2"/>
  <c r="E6878" i="2"/>
  <c r="F6878" i="2" s="1"/>
  <c r="C6878" i="2"/>
  <c r="E6877" i="2"/>
  <c r="F6877" i="2" s="1"/>
  <c r="C6877" i="2"/>
  <c r="E6876" i="2"/>
  <c r="F6876" i="2" s="1"/>
  <c r="C6876" i="2"/>
  <c r="E6875" i="2"/>
  <c r="F6875" i="2" s="1"/>
  <c r="C6875" i="2"/>
  <c r="E6874" i="2"/>
  <c r="F6874" i="2" s="1"/>
  <c r="C6874" i="2"/>
  <c r="E6873" i="2"/>
  <c r="F6873" i="2" s="1"/>
  <c r="C6873" i="2"/>
  <c r="E6872" i="2"/>
  <c r="F6872" i="2" s="1"/>
  <c r="C6872" i="2"/>
  <c r="E6871" i="2"/>
  <c r="F6871" i="2" s="1"/>
  <c r="C6871" i="2"/>
  <c r="E6870" i="2"/>
  <c r="F6870" i="2" s="1"/>
  <c r="C6870" i="2"/>
  <c r="E6869" i="2"/>
  <c r="F6869" i="2" s="1"/>
  <c r="C6869" i="2"/>
  <c r="E6868" i="2"/>
  <c r="F6868" i="2" s="1"/>
  <c r="C6868" i="2"/>
  <c r="E6867" i="2"/>
  <c r="F6867" i="2" s="1"/>
  <c r="C6867" i="2"/>
  <c r="E6866" i="2"/>
  <c r="F6866" i="2" s="1"/>
  <c r="C6866" i="2"/>
  <c r="E6865" i="2"/>
  <c r="F6865" i="2" s="1"/>
  <c r="C6865" i="2"/>
  <c r="E6864" i="2"/>
  <c r="F6864" i="2" s="1"/>
  <c r="C6864" i="2"/>
  <c r="E6863" i="2"/>
  <c r="F6863" i="2" s="1"/>
  <c r="C6863" i="2"/>
  <c r="E6862" i="2"/>
  <c r="F6862" i="2" s="1"/>
  <c r="C6862" i="2"/>
  <c r="E6861" i="2"/>
  <c r="F6861" i="2" s="1"/>
  <c r="C6861" i="2"/>
  <c r="E6860" i="2"/>
  <c r="F6860" i="2" s="1"/>
  <c r="C6860" i="2"/>
  <c r="E6859" i="2"/>
  <c r="F6859" i="2" s="1"/>
  <c r="C6859" i="2"/>
  <c r="E6858" i="2"/>
  <c r="F6858" i="2" s="1"/>
  <c r="C6858" i="2"/>
  <c r="E6857" i="2"/>
  <c r="F6857" i="2" s="1"/>
  <c r="C6857" i="2"/>
  <c r="E6856" i="2"/>
  <c r="F6856" i="2" s="1"/>
  <c r="C6856" i="2"/>
  <c r="E6855" i="2"/>
  <c r="F6855" i="2" s="1"/>
  <c r="C6855" i="2"/>
  <c r="E6854" i="2"/>
  <c r="F6854" i="2" s="1"/>
  <c r="C6854" i="2"/>
  <c r="E6853" i="2"/>
  <c r="F6853" i="2" s="1"/>
  <c r="C6853" i="2"/>
  <c r="E6852" i="2"/>
  <c r="F6852" i="2" s="1"/>
  <c r="C6852" i="2"/>
  <c r="E6851" i="2"/>
  <c r="F6851" i="2" s="1"/>
  <c r="C6851" i="2"/>
  <c r="E6850" i="2"/>
  <c r="F6850" i="2" s="1"/>
  <c r="C6850" i="2"/>
  <c r="E6849" i="2"/>
  <c r="F6849" i="2" s="1"/>
  <c r="C6849" i="2"/>
  <c r="E6848" i="2"/>
  <c r="F6848" i="2" s="1"/>
  <c r="C6848" i="2"/>
  <c r="E6847" i="2"/>
  <c r="F6847" i="2" s="1"/>
  <c r="C6847" i="2"/>
  <c r="E6846" i="2"/>
  <c r="F6846" i="2" s="1"/>
  <c r="C6846" i="2"/>
  <c r="E6845" i="2"/>
  <c r="F6845" i="2" s="1"/>
  <c r="C6845" i="2"/>
  <c r="E6844" i="2"/>
  <c r="F6844" i="2" s="1"/>
  <c r="C6844" i="2"/>
  <c r="E6843" i="2"/>
  <c r="F6843" i="2" s="1"/>
  <c r="C6843" i="2"/>
  <c r="E6842" i="2"/>
  <c r="F6842" i="2" s="1"/>
  <c r="C6842" i="2"/>
  <c r="E6841" i="2"/>
  <c r="F6841" i="2" s="1"/>
  <c r="C6841" i="2"/>
  <c r="E6840" i="2"/>
  <c r="F6840" i="2" s="1"/>
  <c r="C6840" i="2"/>
  <c r="E6839" i="2"/>
  <c r="F6839" i="2" s="1"/>
  <c r="C6839" i="2"/>
  <c r="E6838" i="2"/>
  <c r="F6838" i="2" s="1"/>
  <c r="C6838" i="2"/>
  <c r="E6837" i="2"/>
  <c r="F6837" i="2" s="1"/>
  <c r="C6837" i="2"/>
  <c r="E6836" i="2"/>
  <c r="F6836" i="2" s="1"/>
  <c r="C6836" i="2"/>
  <c r="E6835" i="2"/>
  <c r="F6835" i="2" s="1"/>
  <c r="C6835" i="2"/>
  <c r="E6834" i="2"/>
  <c r="F6834" i="2" s="1"/>
  <c r="C6834" i="2"/>
  <c r="E6833" i="2"/>
  <c r="F6833" i="2" s="1"/>
  <c r="C6833" i="2"/>
  <c r="E6832" i="2"/>
  <c r="F6832" i="2" s="1"/>
  <c r="C6832" i="2"/>
  <c r="E6831" i="2"/>
  <c r="F6831" i="2" s="1"/>
  <c r="C6831" i="2"/>
  <c r="E6830" i="2"/>
  <c r="F6830" i="2" s="1"/>
  <c r="C6830" i="2"/>
  <c r="E6829" i="2"/>
  <c r="F6829" i="2" s="1"/>
  <c r="C6829" i="2"/>
  <c r="E6828" i="2"/>
  <c r="F6828" i="2" s="1"/>
  <c r="C6828" i="2"/>
  <c r="E6827" i="2"/>
  <c r="F6827" i="2" s="1"/>
  <c r="C6827" i="2"/>
  <c r="E6826" i="2"/>
  <c r="F6826" i="2" s="1"/>
  <c r="C6826" i="2"/>
  <c r="E6825" i="2"/>
  <c r="F6825" i="2" s="1"/>
  <c r="C6825" i="2"/>
  <c r="E6824" i="2"/>
  <c r="F6824" i="2" s="1"/>
  <c r="C6824" i="2"/>
  <c r="E6823" i="2"/>
  <c r="F6823" i="2" s="1"/>
  <c r="C6823" i="2"/>
  <c r="E6822" i="2"/>
  <c r="F6822" i="2" s="1"/>
  <c r="C6822" i="2"/>
  <c r="E6821" i="2"/>
  <c r="F6821" i="2" s="1"/>
  <c r="C6821" i="2"/>
  <c r="E6820" i="2"/>
  <c r="F6820" i="2" s="1"/>
  <c r="C6820" i="2"/>
  <c r="E6819" i="2"/>
  <c r="F6819" i="2" s="1"/>
  <c r="C6819" i="2"/>
  <c r="E6818" i="2"/>
  <c r="F6818" i="2" s="1"/>
  <c r="C6818" i="2"/>
  <c r="E6817" i="2"/>
  <c r="F6817" i="2" s="1"/>
  <c r="C6817" i="2"/>
  <c r="E6816" i="2"/>
  <c r="F6816" i="2" s="1"/>
  <c r="C6816" i="2"/>
  <c r="E6815" i="2"/>
  <c r="F6815" i="2" s="1"/>
  <c r="C6815" i="2"/>
  <c r="E6814" i="2"/>
  <c r="F6814" i="2" s="1"/>
  <c r="C6814" i="2"/>
  <c r="E6813" i="2"/>
  <c r="F6813" i="2" s="1"/>
  <c r="C6813" i="2"/>
  <c r="E6812" i="2"/>
  <c r="F6812" i="2" s="1"/>
  <c r="C6812" i="2"/>
  <c r="E6811" i="2"/>
  <c r="F6811" i="2" s="1"/>
  <c r="C6811" i="2"/>
  <c r="E6810" i="2"/>
  <c r="F6810" i="2" s="1"/>
  <c r="C6810" i="2"/>
  <c r="E6809" i="2"/>
  <c r="F6809" i="2" s="1"/>
  <c r="C6809" i="2"/>
  <c r="E6808" i="2"/>
  <c r="F6808" i="2" s="1"/>
  <c r="C6808" i="2"/>
  <c r="E6807" i="2"/>
  <c r="F6807" i="2" s="1"/>
  <c r="C6807" i="2"/>
  <c r="E6806" i="2"/>
  <c r="F6806" i="2" s="1"/>
  <c r="C6806" i="2"/>
  <c r="E6805" i="2"/>
  <c r="F6805" i="2" s="1"/>
  <c r="C6805" i="2"/>
  <c r="E6804" i="2"/>
  <c r="F6804" i="2" s="1"/>
  <c r="C6804" i="2"/>
  <c r="E6803" i="2"/>
  <c r="F6803" i="2" s="1"/>
  <c r="C6803" i="2"/>
  <c r="E6802" i="2"/>
  <c r="F6802" i="2" s="1"/>
  <c r="C6802" i="2"/>
  <c r="E6801" i="2"/>
  <c r="F6801" i="2" s="1"/>
  <c r="C6801" i="2"/>
  <c r="E6800" i="2"/>
  <c r="F6800" i="2" s="1"/>
  <c r="C6800" i="2"/>
  <c r="E6799" i="2"/>
  <c r="F6799" i="2" s="1"/>
  <c r="C6799" i="2"/>
  <c r="E6798" i="2"/>
  <c r="F6798" i="2" s="1"/>
  <c r="C6798" i="2"/>
  <c r="E6797" i="2"/>
  <c r="F6797" i="2" s="1"/>
  <c r="C6797" i="2"/>
  <c r="E6796" i="2"/>
  <c r="F6796" i="2" s="1"/>
  <c r="C6796" i="2"/>
  <c r="E6795" i="2"/>
  <c r="F6795" i="2" s="1"/>
  <c r="C6795" i="2"/>
  <c r="E6794" i="2"/>
  <c r="F6794" i="2" s="1"/>
  <c r="C6794" i="2"/>
  <c r="E6793" i="2"/>
  <c r="F6793" i="2" s="1"/>
  <c r="C6793" i="2"/>
  <c r="E6792" i="2"/>
  <c r="F6792" i="2" s="1"/>
  <c r="C6792" i="2"/>
  <c r="E6791" i="2"/>
  <c r="F6791" i="2" s="1"/>
  <c r="C6791" i="2"/>
  <c r="E6790" i="2"/>
  <c r="F6790" i="2" s="1"/>
  <c r="C6790" i="2"/>
  <c r="E6789" i="2"/>
  <c r="F6789" i="2" s="1"/>
  <c r="C6789" i="2"/>
  <c r="E6788" i="2"/>
  <c r="F6788" i="2" s="1"/>
  <c r="C6788" i="2"/>
  <c r="E6787" i="2"/>
  <c r="F6787" i="2" s="1"/>
  <c r="C6787" i="2"/>
  <c r="E6786" i="2"/>
  <c r="F6786" i="2" s="1"/>
  <c r="C6786" i="2"/>
  <c r="E6785" i="2"/>
  <c r="F6785" i="2" s="1"/>
  <c r="C6785" i="2"/>
  <c r="E6784" i="2"/>
  <c r="F6784" i="2" s="1"/>
  <c r="C6784" i="2"/>
  <c r="E6783" i="2"/>
  <c r="F6783" i="2" s="1"/>
  <c r="C6783" i="2"/>
  <c r="E6782" i="2"/>
  <c r="F6782" i="2" s="1"/>
  <c r="C6782" i="2"/>
  <c r="E6781" i="2"/>
  <c r="F6781" i="2" s="1"/>
  <c r="C6781" i="2"/>
  <c r="E6780" i="2"/>
  <c r="F6780" i="2" s="1"/>
  <c r="C6780" i="2"/>
  <c r="E6779" i="2"/>
  <c r="F6779" i="2" s="1"/>
  <c r="C6779" i="2"/>
  <c r="E6778" i="2"/>
  <c r="F6778" i="2" s="1"/>
  <c r="C6778" i="2"/>
  <c r="E6777" i="2"/>
  <c r="F6777" i="2" s="1"/>
  <c r="C6777" i="2"/>
  <c r="E6776" i="2"/>
  <c r="F6776" i="2" s="1"/>
  <c r="C6776" i="2"/>
  <c r="E6775" i="2"/>
  <c r="F6775" i="2" s="1"/>
  <c r="C6775" i="2"/>
  <c r="E6774" i="2"/>
  <c r="F6774" i="2" s="1"/>
  <c r="C6774" i="2"/>
  <c r="E6773" i="2"/>
  <c r="F6773" i="2" s="1"/>
  <c r="C6773" i="2"/>
  <c r="E6772" i="2"/>
  <c r="F6772" i="2" s="1"/>
  <c r="C6772" i="2"/>
  <c r="E6771" i="2"/>
  <c r="F6771" i="2" s="1"/>
  <c r="C6771" i="2"/>
  <c r="E6770" i="2"/>
  <c r="F6770" i="2" s="1"/>
  <c r="C6770" i="2"/>
  <c r="E6769" i="2"/>
  <c r="F6769" i="2" s="1"/>
  <c r="C6769" i="2"/>
  <c r="E6768" i="2"/>
  <c r="F6768" i="2" s="1"/>
  <c r="C6768" i="2"/>
  <c r="E6767" i="2"/>
  <c r="F6767" i="2" s="1"/>
  <c r="C6767" i="2"/>
  <c r="E6766" i="2"/>
  <c r="F6766" i="2" s="1"/>
  <c r="C6766" i="2"/>
  <c r="E6765" i="2"/>
  <c r="F6765" i="2" s="1"/>
  <c r="C6765" i="2"/>
  <c r="E6764" i="2"/>
  <c r="F6764" i="2" s="1"/>
  <c r="C6764" i="2"/>
  <c r="E6763" i="2"/>
  <c r="F6763" i="2" s="1"/>
  <c r="C6763" i="2"/>
  <c r="E6762" i="2"/>
  <c r="F6762" i="2" s="1"/>
  <c r="C6762" i="2"/>
  <c r="E6761" i="2"/>
  <c r="F6761" i="2" s="1"/>
  <c r="C6761" i="2"/>
  <c r="E6760" i="2"/>
  <c r="F6760" i="2" s="1"/>
  <c r="C6760" i="2"/>
  <c r="E6759" i="2"/>
  <c r="F6759" i="2" s="1"/>
  <c r="C6759" i="2"/>
  <c r="E6758" i="2"/>
  <c r="F6758" i="2" s="1"/>
  <c r="C6758" i="2"/>
  <c r="E6757" i="2"/>
  <c r="F6757" i="2" s="1"/>
  <c r="C6757" i="2"/>
  <c r="E6756" i="2"/>
  <c r="F6756" i="2" s="1"/>
  <c r="C6756" i="2"/>
  <c r="E6755" i="2"/>
  <c r="F6755" i="2" s="1"/>
  <c r="C6755" i="2"/>
  <c r="E6754" i="2"/>
  <c r="F6754" i="2" s="1"/>
  <c r="C6754" i="2"/>
  <c r="E6753" i="2"/>
  <c r="F6753" i="2" s="1"/>
  <c r="C6753" i="2"/>
  <c r="E6752" i="2"/>
  <c r="F6752" i="2" s="1"/>
  <c r="C6752" i="2"/>
  <c r="E6751" i="2"/>
  <c r="F6751" i="2" s="1"/>
  <c r="C6751" i="2"/>
  <c r="E6750" i="2"/>
  <c r="F6750" i="2" s="1"/>
  <c r="C6750" i="2"/>
  <c r="E6749" i="2"/>
  <c r="F6749" i="2" s="1"/>
  <c r="C6749" i="2"/>
  <c r="E6748" i="2"/>
  <c r="F6748" i="2" s="1"/>
  <c r="C6748" i="2"/>
  <c r="E6747" i="2"/>
  <c r="F6747" i="2" s="1"/>
  <c r="C6747" i="2"/>
  <c r="E6746" i="2"/>
  <c r="F6746" i="2" s="1"/>
  <c r="C6746" i="2"/>
  <c r="E6745" i="2"/>
  <c r="F6745" i="2" s="1"/>
  <c r="C6745" i="2"/>
  <c r="E6744" i="2"/>
  <c r="F6744" i="2" s="1"/>
  <c r="C6744" i="2"/>
  <c r="E6743" i="2"/>
  <c r="F6743" i="2" s="1"/>
  <c r="C6743" i="2"/>
  <c r="E6742" i="2"/>
  <c r="F6742" i="2" s="1"/>
  <c r="C6742" i="2"/>
  <c r="E6741" i="2"/>
  <c r="F6741" i="2" s="1"/>
  <c r="C6741" i="2"/>
  <c r="E6740" i="2"/>
  <c r="F6740" i="2" s="1"/>
  <c r="C6740" i="2"/>
  <c r="E6739" i="2"/>
  <c r="F6739" i="2" s="1"/>
  <c r="C6739" i="2"/>
  <c r="E6738" i="2"/>
  <c r="F6738" i="2" s="1"/>
  <c r="C6738" i="2"/>
  <c r="E6737" i="2"/>
  <c r="F6737" i="2" s="1"/>
  <c r="C6737" i="2"/>
  <c r="E6736" i="2"/>
  <c r="F6736" i="2" s="1"/>
  <c r="C6736" i="2"/>
  <c r="E6735" i="2"/>
  <c r="F6735" i="2" s="1"/>
  <c r="C6735" i="2"/>
  <c r="E6734" i="2"/>
  <c r="F6734" i="2" s="1"/>
  <c r="C6734" i="2"/>
  <c r="E6733" i="2"/>
  <c r="F6733" i="2" s="1"/>
  <c r="C6733" i="2"/>
  <c r="E6732" i="2"/>
  <c r="F6732" i="2" s="1"/>
  <c r="C6732" i="2"/>
  <c r="E6731" i="2"/>
  <c r="F6731" i="2" s="1"/>
  <c r="C6731" i="2"/>
  <c r="E6730" i="2"/>
  <c r="F6730" i="2" s="1"/>
  <c r="C6730" i="2"/>
  <c r="E6729" i="2"/>
  <c r="F6729" i="2" s="1"/>
  <c r="C6729" i="2"/>
  <c r="E6728" i="2"/>
  <c r="F6728" i="2" s="1"/>
  <c r="C6728" i="2"/>
  <c r="E6727" i="2"/>
  <c r="F6727" i="2" s="1"/>
  <c r="C6727" i="2"/>
  <c r="E6726" i="2"/>
  <c r="F6726" i="2" s="1"/>
  <c r="C6726" i="2"/>
  <c r="E6725" i="2"/>
  <c r="F6725" i="2" s="1"/>
  <c r="C6725" i="2"/>
  <c r="E6724" i="2"/>
  <c r="F6724" i="2" s="1"/>
  <c r="C6724" i="2"/>
  <c r="E6723" i="2"/>
  <c r="F6723" i="2" s="1"/>
  <c r="C6723" i="2"/>
  <c r="E6722" i="2"/>
  <c r="F6722" i="2" s="1"/>
  <c r="C6722" i="2"/>
  <c r="E6721" i="2"/>
  <c r="F6721" i="2" s="1"/>
  <c r="C6721" i="2"/>
  <c r="E6720" i="2"/>
  <c r="F6720" i="2" s="1"/>
  <c r="C6720" i="2"/>
  <c r="E6719" i="2"/>
  <c r="F6719" i="2" s="1"/>
  <c r="C6719" i="2"/>
  <c r="E6718" i="2"/>
  <c r="F6718" i="2" s="1"/>
  <c r="C6718" i="2"/>
  <c r="E6717" i="2"/>
  <c r="F6717" i="2" s="1"/>
  <c r="C6717" i="2"/>
  <c r="E6716" i="2"/>
  <c r="F6716" i="2" s="1"/>
  <c r="C6716" i="2"/>
  <c r="E6715" i="2"/>
  <c r="F6715" i="2" s="1"/>
  <c r="C6715" i="2"/>
  <c r="E6714" i="2"/>
  <c r="F6714" i="2" s="1"/>
  <c r="C6714" i="2"/>
  <c r="E6713" i="2"/>
  <c r="F6713" i="2" s="1"/>
  <c r="C6713" i="2"/>
  <c r="E6712" i="2"/>
  <c r="F6712" i="2" s="1"/>
  <c r="C6712" i="2"/>
  <c r="E6711" i="2"/>
  <c r="F6711" i="2" s="1"/>
  <c r="C6711" i="2"/>
  <c r="E6710" i="2"/>
  <c r="F6710" i="2" s="1"/>
  <c r="C6710" i="2"/>
  <c r="E6709" i="2"/>
  <c r="F6709" i="2" s="1"/>
  <c r="C6709" i="2"/>
  <c r="E6708" i="2"/>
  <c r="F6708" i="2" s="1"/>
  <c r="C6708" i="2"/>
  <c r="E6707" i="2"/>
  <c r="F6707" i="2" s="1"/>
  <c r="C6707" i="2"/>
  <c r="E6706" i="2"/>
  <c r="F6706" i="2" s="1"/>
  <c r="C6706" i="2"/>
  <c r="E6705" i="2"/>
  <c r="F6705" i="2" s="1"/>
  <c r="C6705" i="2"/>
  <c r="E6704" i="2"/>
  <c r="F6704" i="2" s="1"/>
  <c r="C6704" i="2"/>
  <c r="E6703" i="2"/>
  <c r="F6703" i="2" s="1"/>
  <c r="C6703" i="2"/>
  <c r="E6702" i="2"/>
  <c r="F6702" i="2" s="1"/>
  <c r="C6702" i="2"/>
  <c r="E6701" i="2"/>
  <c r="F6701" i="2" s="1"/>
  <c r="C6701" i="2"/>
  <c r="E6700" i="2"/>
  <c r="F6700" i="2" s="1"/>
  <c r="C6700" i="2"/>
  <c r="E6699" i="2"/>
  <c r="F6699" i="2" s="1"/>
  <c r="C6699" i="2"/>
  <c r="E6698" i="2"/>
  <c r="F6698" i="2" s="1"/>
  <c r="C6698" i="2"/>
  <c r="E6697" i="2"/>
  <c r="F6697" i="2" s="1"/>
  <c r="C6697" i="2"/>
  <c r="E6696" i="2"/>
  <c r="F6696" i="2" s="1"/>
  <c r="C6696" i="2"/>
  <c r="E6695" i="2"/>
  <c r="F6695" i="2" s="1"/>
  <c r="C6695" i="2"/>
  <c r="E6694" i="2"/>
  <c r="F6694" i="2" s="1"/>
  <c r="C6694" i="2"/>
  <c r="E6693" i="2"/>
  <c r="F6693" i="2" s="1"/>
  <c r="C6693" i="2"/>
  <c r="E6692" i="2"/>
  <c r="F6692" i="2" s="1"/>
  <c r="C6692" i="2"/>
  <c r="E6691" i="2"/>
  <c r="F6691" i="2" s="1"/>
  <c r="C6691" i="2"/>
  <c r="E6690" i="2"/>
  <c r="F6690" i="2" s="1"/>
  <c r="C6690" i="2"/>
  <c r="E6689" i="2"/>
  <c r="F6689" i="2" s="1"/>
  <c r="C6689" i="2"/>
  <c r="E6688" i="2"/>
  <c r="F6688" i="2" s="1"/>
  <c r="C6688" i="2"/>
  <c r="E6687" i="2"/>
  <c r="F6687" i="2" s="1"/>
  <c r="C6687" i="2"/>
  <c r="E6686" i="2"/>
  <c r="F6686" i="2" s="1"/>
  <c r="C6686" i="2"/>
  <c r="E6685" i="2"/>
  <c r="F6685" i="2" s="1"/>
  <c r="C6685" i="2"/>
  <c r="E6684" i="2"/>
  <c r="F6684" i="2" s="1"/>
  <c r="C6684" i="2"/>
  <c r="E6683" i="2"/>
  <c r="F6683" i="2" s="1"/>
  <c r="C6683" i="2"/>
  <c r="E6682" i="2"/>
  <c r="F6682" i="2" s="1"/>
  <c r="C6682" i="2"/>
  <c r="E6681" i="2"/>
  <c r="F6681" i="2" s="1"/>
  <c r="C6681" i="2"/>
  <c r="E6680" i="2"/>
  <c r="F6680" i="2" s="1"/>
  <c r="C6680" i="2"/>
  <c r="E6679" i="2"/>
  <c r="F6679" i="2" s="1"/>
  <c r="C6679" i="2"/>
  <c r="E6678" i="2"/>
  <c r="F6678" i="2" s="1"/>
  <c r="C6678" i="2"/>
  <c r="E6677" i="2"/>
  <c r="F6677" i="2" s="1"/>
  <c r="C6677" i="2"/>
  <c r="E6676" i="2"/>
  <c r="F6676" i="2" s="1"/>
  <c r="C6676" i="2"/>
  <c r="E6675" i="2"/>
  <c r="F6675" i="2" s="1"/>
  <c r="C6675" i="2"/>
  <c r="E6674" i="2"/>
  <c r="F6674" i="2" s="1"/>
  <c r="C6674" i="2"/>
  <c r="E6673" i="2"/>
  <c r="F6673" i="2" s="1"/>
  <c r="C6673" i="2"/>
  <c r="E6672" i="2"/>
  <c r="F6672" i="2" s="1"/>
  <c r="C6672" i="2"/>
  <c r="E6671" i="2"/>
  <c r="F6671" i="2" s="1"/>
  <c r="C6671" i="2"/>
  <c r="E6670" i="2"/>
  <c r="F6670" i="2" s="1"/>
  <c r="C6670" i="2"/>
  <c r="E6669" i="2"/>
  <c r="F6669" i="2" s="1"/>
  <c r="C6669" i="2"/>
  <c r="E6668" i="2"/>
  <c r="F6668" i="2" s="1"/>
  <c r="C6668" i="2"/>
  <c r="E6667" i="2"/>
  <c r="F6667" i="2" s="1"/>
  <c r="C6667" i="2"/>
  <c r="E6666" i="2"/>
  <c r="F6666" i="2" s="1"/>
  <c r="C6666" i="2"/>
  <c r="E6665" i="2"/>
  <c r="F6665" i="2" s="1"/>
  <c r="C6665" i="2"/>
  <c r="E6664" i="2"/>
  <c r="F6664" i="2" s="1"/>
  <c r="C6664" i="2"/>
  <c r="E6663" i="2"/>
  <c r="F6663" i="2" s="1"/>
  <c r="C6663" i="2"/>
  <c r="E6662" i="2"/>
  <c r="F6662" i="2" s="1"/>
  <c r="C6662" i="2"/>
  <c r="E6661" i="2"/>
  <c r="F6661" i="2" s="1"/>
  <c r="C6661" i="2"/>
  <c r="E6660" i="2"/>
  <c r="F6660" i="2" s="1"/>
  <c r="C6660" i="2"/>
  <c r="E6659" i="2"/>
  <c r="F6659" i="2" s="1"/>
  <c r="C6659" i="2"/>
  <c r="E6658" i="2"/>
  <c r="F6658" i="2" s="1"/>
  <c r="C6658" i="2"/>
  <c r="E6657" i="2"/>
  <c r="F6657" i="2" s="1"/>
  <c r="C6657" i="2"/>
  <c r="E6656" i="2"/>
  <c r="F6656" i="2" s="1"/>
  <c r="C6656" i="2"/>
  <c r="E6655" i="2"/>
  <c r="F6655" i="2" s="1"/>
  <c r="C6655" i="2"/>
  <c r="E6654" i="2"/>
  <c r="F6654" i="2" s="1"/>
  <c r="C6654" i="2"/>
  <c r="E6653" i="2"/>
  <c r="F6653" i="2" s="1"/>
  <c r="C6653" i="2"/>
  <c r="E6652" i="2"/>
  <c r="F6652" i="2" s="1"/>
  <c r="C6652" i="2"/>
  <c r="E6651" i="2"/>
  <c r="F6651" i="2" s="1"/>
  <c r="C6651" i="2"/>
  <c r="E6650" i="2"/>
  <c r="F6650" i="2" s="1"/>
  <c r="C6650" i="2"/>
  <c r="E6649" i="2"/>
  <c r="F6649" i="2" s="1"/>
  <c r="C6649" i="2"/>
  <c r="E6648" i="2"/>
  <c r="F6648" i="2" s="1"/>
  <c r="C6648" i="2"/>
  <c r="E6647" i="2"/>
  <c r="F6647" i="2" s="1"/>
  <c r="C6647" i="2"/>
  <c r="E6646" i="2"/>
  <c r="F6646" i="2" s="1"/>
  <c r="C6646" i="2"/>
  <c r="E6645" i="2"/>
  <c r="F6645" i="2" s="1"/>
  <c r="C6645" i="2"/>
  <c r="E6644" i="2"/>
  <c r="F6644" i="2" s="1"/>
  <c r="C6644" i="2"/>
  <c r="E6643" i="2"/>
  <c r="F6643" i="2" s="1"/>
  <c r="C6643" i="2"/>
  <c r="E6642" i="2"/>
  <c r="F6642" i="2" s="1"/>
  <c r="C6642" i="2"/>
  <c r="E6641" i="2"/>
  <c r="F6641" i="2" s="1"/>
  <c r="C6641" i="2"/>
  <c r="E6640" i="2"/>
  <c r="F6640" i="2" s="1"/>
  <c r="C6640" i="2"/>
  <c r="E6639" i="2"/>
  <c r="F6639" i="2" s="1"/>
  <c r="C6639" i="2"/>
  <c r="E6638" i="2"/>
  <c r="F6638" i="2" s="1"/>
  <c r="C6638" i="2"/>
  <c r="E6637" i="2"/>
  <c r="F6637" i="2" s="1"/>
  <c r="C6637" i="2"/>
  <c r="E6636" i="2"/>
  <c r="F6636" i="2" s="1"/>
  <c r="C6636" i="2"/>
  <c r="E6635" i="2"/>
  <c r="F6635" i="2" s="1"/>
  <c r="C6635" i="2"/>
  <c r="E6634" i="2"/>
  <c r="F6634" i="2" s="1"/>
  <c r="C6634" i="2"/>
  <c r="E6633" i="2"/>
  <c r="F6633" i="2" s="1"/>
  <c r="C6633" i="2"/>
  <c r="E6632" i="2"/>
  <c r="F6632" i="2" s="1"/>
  <c r="C6632" i="2"/>
  <c r="E6631" i="2"/>
  <c r="F6631" i="2" s="1"/>
  <c r="C6631" i="2"/>
  <c r="E6630" i="2"/>
  <c r="F6630" i="2" s="1"/>
  <c r="C6630" i="2"/>
  <c r="E6629" i="2"/>
  <c r="F6629" i="2" s="1"/>
  <c r="C6629" i="2"/>
  <c r="E6628" i="2"/>
  <c r="F6628" i="2" s="1"/>
  <c r="C6628" i="2"/>
  <c r="E6627" i="2"/>
  <c r="F6627" i="2" s="1"/>
  <c r="C6627" i="2"/>
  <c r="E6626" i="2"/>
  <c r="F6626" i="2" s="1"/>
  <c r="C6626" i="2"/>
  <c r="E6625" i="2"/>
  <c r="F6625" i="2" s="1"/>
  <c r="C6625" i="2"/>
  <c r="E6624" i="2"/>
  <c r="F6624" i="2" s="1"/>
  <c r="C6624" i="2"/>
  <c r="E6623" i="2"/>
  <c r="F6623" i="2" s="1"/>
  <c r="C6623" i="2"/>
  <c r="E6622" i="2"/>
  <c r="F6622" i="2" s="1"/>
  <c r="C6622" i="2"/>
  <c r="E6621" i="2"/>
  <c r="F6621" i="2" s="1"/>
  <c r="C6621" i="2"/>
  <c r="E6620" i="2"/>
  <c r="F6620" i="2" s="1"/>
  <c r="C6620" i="2"/>
  <c r="E6619" i="2"/>
  <c r="F6619" i="2" s="1"/>
  <c r="C6619" i="2"/>
  <c r="E6618" i="2"/>
  <c r="F6618" i="2" s="1"/>
  <c r="C6618" i="2"/>
  <c r="E6617" i="2"/>
  <c r="F6617" i="2" s="1"/>
  <c r="C6617" i="2"/>
  <c r="E6616" i="2"/>
  <c r="F6616" i="2" s="1"/>
  <c r="C6616" i="2"/>
  <c r="E6615" i="2"/>
  <c r="F6615" i="2" s="1"/>
  <c r="C6615" i="2"/>
  <c r="E6614" i="2"/>
  <c r="F6614" i="2" s="1"/>
  <c r="C6614" i="2"/>
  <c r="E6613" i="2"/>
  <c r="F6613" i="2" s="1"/>
  <c r="C6613" i="2"/>
  <c r="E6612" i="2"/>
  <c r="F6612" i="2" s="1"/>
  <c r="C6612" i="2"/>
  <c r="E6611" i="2"/>
  <c r="F6611" i="2" s="1"/>
  <c r="C6611" i="2"/>
  <c r="E6610" i="2"/>
  <c r="F6610" i="2" s="1"/>
  <c r="C6610" i="2"/>
  <c r="E6609" i="2"/>
  <c r="F6609" i="2" s="1"/>
  <c r="C6609" i="2"/>
  <c r="E6608" i="2"/>
  <c r="F6608" i="2" s="1"/>
  <c r="C6608" i="2"/>
  <c r="E6607" i="2"/>
  <c r="F6607" i="2" s="1"/>
  <c r="C6607" i="2"/>
  <c r="E6606" i="2"/>
  <c r="F6606" i="2" s="1"/>
  <c r="C6606" i="2"/>
  <c r="E6605" i="2"/>
  <c r="F6605" i="2" s="1"/>
  <c r="C6605" i="2"/>
  <c r="E6604" i="2"/>
  <c r="F6604" i="2" s="1"/>
  <c r="C6604" i="2"/>
  <c r="E6603" i="2"/>
  <c r="F6603" i="2" s="1"/>
  <c r="C6603" i="2"/>
  <c r="E6602" i="2"/>
  <c r="F6602" i="2" s="1"/>
  <c r="C6602" i="2"/>
  <c r="E6601" i="2"/>
  <c r="F6601" i="2" s="1"/>
  <c r="C6601" i="2"/>
  <c r="E6600" i="2"/>
  <c r="F6600" i="2" s="1"/>
  <c r="C6600" i="2"/>
  <c r="E6599" i="2"/>
  <c r="F6599" i="2" s="1"/>
  <c r="C6599" i="2"/>
  <c r="E6598" i="2"/>
  <c r="F6598" i="2" s="1"/>
  <c r="C6598" i="2"/>
  <c r="E6597" i="2"/>
  <c r="F6597" i="2" s="1"/>
  <c r="C6597" i="2"/>
  <c r="E6596" i="2"/>
  <c r="F6596" i="2" s="1"/>
  <c r="C6596" i="2"/>
  <c r="E6595" i="2"/>
  <c r="F6595" i="2" s="1"/>
  <c r="C6595" i="2"/>
  <c r="E6594" i="2"/>
  <c r="F6594" i="2" s="1"/>
  <c r="C6594" i="2"/>
  <c r="E6593" i="2"/>
  <c r="F6593" i="2" s="1"/>
  <c r="C6593" i="2"/>
  <c r="E6592" i="2"/>
  <c r="F6592" i="2" s="1"/>
  <c r="C6592" i="2"/>
  <c r="E6591" i="2"/>
  <c r="F6591" i="2" s="1"/>
  <c r="C6591" i="2"/>
  <c r="E6590" i="2"/>
  <c r="F6590" i="2" s="1"/>
  <c r="C6590" i="2"/>
  <c r="E6589" i="2"/>
  <c r="F6589" i="2" s="1"/>
  <c r="C6589" i="2"/>
  <c r="E6588" i="2"/>
  <c r="F6588" i="2" s="1"/>
  <c r="C6588" i="2"/>
  <c r="E6587" i="2"/>
  <c r="F6587" i="2" s="1"/>
  <c r="C6587" i="2"/>
  <c r="E6586" i="2"/>
  <c r="F6586" i="2" s="1"/>
  <c r="C6586" i="2"/>
  <c r="E6585" i="2"/>
  <c r="F6585" i="2" s="1"/>
  <c r="C6585" i="2"/>
  <c r="E6584" i="2"/>
  <c r="F6584" i="2" s="1"/>
  <c r="C6584" i="2"/>
  <c r="E6583" i="2"/>
  <c r="F6583" i="2" s="1"/>
  <c r="C6583" i="2"/>
  <c r="E6582" i="2"/>
  <c r="F6582" i="2" s="1"/>
  <c r="C6582" i="2"/>
  <c r="E6581" i="2"/>
  <c r="F6581" i="2" s="1"/>
  <c r="C6581" i="2"/>
  <c r="E6580" i="2"/>
  <c r="F6580" i="2" s="1"/>
  <c r="C6580" i="2"/>
  <c r="E6579" i="2"/>
  <c r="F6579" i="2" s="1"/>
  <c r="C6579" i="2"/>
  <c r="E6578" i="2"/>
  <c r="F6578" i="2" s="1"/>
  <c r="C6578" i="2"/>
  <c r="E6577" i="2"/>
  <c r="F6577" i="2" s="1"/>
  <c r="C6577" i="2"/>
  <c r="E6576" i="2"/>
  <c r="F6576" i="2" s="1"/>
  <c r="C6576" i="2"/>
  <c r="E6575" i="2"/>
  <c r="F6575" i="2" s="1"/>
  <c r="C6575" i="2"/>
  <c r="E6574" i="2"/>
  <c r="F6574" i="2" s="1"/>
  <c r="C6574" i="2"/>
  <c r="E6573" i="2"/>
  <c r="F6573" i="2" s="1"/>
  <c r="C6573" i="2"/>
  <c r="E6572" i="2"/>
  <c r="F6572" i="2" s="1"/>
  <c r="C6572" i="2"/>
  <c r="E6571" i="2"/>
  <c r="F6571" i="2" s="1"/>
  <c r="C6571" i="2"/>
  <c r="E6570" i="2"/>
  <c r="F6570" i="2" s="1"/>
  <c r="C6570" i="2"/>
  <c r="E6569" i="2"/>
  <c r="F6569" i="2" s="1"/>
  <c r="C6569" i="2"/>
  <c r="E6568" i="2"/>
  <c r="F6568" i="2" s="1"/>
  <c r="C6568" i="2"/>
  <c r="E6567" i="2"/>
  <c r="F6567" i="2" s="1"/>
  <c r="C6567" i="2"/>
  <c r="E6566" i="2"/>
  <c r="F6566" i="2" s="1"/>
  <c r="C6566" i="2"/>
  <c r="E6565" i="2"/>
  <c r="F6565" i="2" s="1"/>
  <c r="C6565" i="2"/>
  <c r="E6564" i="2"/>
  <c r="F6564" i="2" s="1"/>
  <c r="C6564" i="2"/>
  <c r="E6563" i="2"/>
  <c r="F6563" i="2" s="1"/>
  <c r="C6563" i="2"/>
  <c r="E6562" i="2"/>
  <c r="F6562" i="2" s="1"/>
  <c r="C6562" i="2"/>
  <c r="E6561" i="2"/>
  <c r="F6561" i="2" s="1"/>
  <c r="C6561" i="2"/>
  <c r="E6560" i="2"/>
  <c r="F6560" i="2" s="1"/>
  <c r="C6560" i="2"/>
  <c r="E6559" i="2"/>
  <c r="F6559" i="2" s="1"/>
  <c r="C6559" i="2"/>
  <c r="E6558" i="2"/>
  <c r="F6558" i="2" s="1"/>
  <c r="C6558" i="2"/>
  <c r="E6557" i="2"/>
  <c r="F6557" i="2" s="1"/>
  <c r="C6557" i="2"/>
  <c r="E6556" i="2"/>
  <c r="F6556" i="2" s="1"/>
  <c r="C6556" i="2"/>
  <c r="E6555" i="2"/>
  <c r="F6555" i="2" s="1"/>
  <c r="C6555" i="2"/>
  <c r="E6554" i="2"/>
  <c r="F6554" i="2" s="1"/>
  <c r="C6554" i="2"/>
  <c r="E6553" i="2"/>
  <c r="F6553" i="2" s="1"/>
  <c r="C6553" i="2"/>
  <c r="E6552" i="2"/>
  <c r="F6552" i="2" s="1"/>
  <c r="C6552" i="2"/>
  <c r="E6551" i="2"/>
  <c r="F6551" i="2" s="1"/>
  <c r="C6551" i="2"/>
  <c r="E6550" i="2"/>
  <c r="F6550" i="2" s="1"/>
  <c r="C6550" i="2"/>
  <c r="E6549" i="2"/>
  <c r="F6549" i="2" s="1"/>
  <c r="C6549" i="2"/>
  <c r="E6548" i="2"/>
  <c r="F6548" i="2" s="1"/>
  <c r="C6548" i="2"/>
  <c r="E6547" i="2"/>
  <c r="F6547" i="2" s="1"/>
  <c r="C6547" i="2"/>
  <c r="E6546" i="2"/>
  <c r="F6546" i="2" s="1"/>
  <c r="C6546" i="2"/>
  <c r="E6545" i="2"/>
  <c r="F6545" i="2" s="1"/>
  <c r="C6545" i="2"/>
  <c r="E6544" i="2"/>
  <c r="F6544" i="2" s="1"/>
  <c r="C6544" i="2"/>
  <c r="E6543" i="2"/>
  <c r="F6543" i="2" s="1"/>
  <c r="C6543" i="2"/>
  <c r="E6542" i="2"/>
  <c r="F6542" i="2" s="1"/>
  <c r="C6542" i="2"/>
  <c r="E6541" i="2"/>
  <c r="F6541" i="2" s="1"/>
  <c r="C6541" i="2"/>
  <c r="E6540" i="2"/>
  <c r="F6540" i="2" s="1"/>
  <c r="C6540" i="2"/>
  <c r="E6539" i="2"/>
  <c r="F6539" i="2" s="1"/>
  <c r="C6539" i="2"/>
  <c r="E6538" i="2"/>
  <c r="F6538" i="2" s="1"/>
  <c r="C6538" i="2"/>
  <c r="E6537" i="2"/>
  <c r="F6537" i="2" s="1"/>
  <c r="C6537" i="2"/>
  <c r="E6536" i="2"/>
  <c r="F6536" i="2" s="1"/>
  <c r="C6536" i="2"/>
  <c r="E6535" i="2"/>
  <c r="F6535" i="2" s="1"/>
  <c r="C6535" i="2"/>
  <c r="E6534" i="2"/>
  <c r="F6534" i="2" s="1"/>
  <c r="C6534" i="2"/>
  <c r="E6533" i="2"/>
  <c r="F6533" i="2" s="1"/>
  <c r="C6533" i="2"/>
  <c r="E6532" i="2"/>
  <c r="F6532" i="2" s="1"/>
  <c r="C6532" i="2"/>
  <c r="E6531" i="2"/>
  <c r="F6531" i="2" s="1"/>
  <c r="C6531" i="2"/>
  <c r="E6530" i="2"/>
  <c r="F6530" i="2" s="1"/>
  <c r="C6530" i="2"/>
  <c r="E6529" i="2"/>
  <c r="F6529" i="2" s="1"/>
  <c r="C6529" i="2"/>
  <c r="E6528" i="2"/>
  <c r="F6528" i="2" s="1"/>
  <c r="C6528" i="2"/>
  <c r="E6527" i="2"/>
  <c r="F6527" i="2" s="1"/>
  <c r="C6527" i="2"/>
  <c r="E6526" i="2"/>
  <c r="F6526" i="2" s="1"/>
  <c r="C6526" i="2"/>
  <c r="E6525" i="2"/>
  <c r="F6525" i="2" s="1"/>
  <c r="C6525" i="2"/>
  <c r="E6524" i="2"/>
  <c r="F6524" i="2" s="1"/>
  <c r="C6524" i="2"/>
  <c r="E6523" i="2"/>
  <c r="F6523" i="2" s="1"/>
  <c r="C6523" i="2"/>
  <c r="E6522" i="2"/>
  <c r="F6522" i="2" s="1"/>
  <c r="C6522" i="2"/>
  <c r="E6521" i="2"/>
  <c r="F6521" i="2" s="1"/>
  <c r="C6521" i="2"/>
  <c r="E6520" i="2"/>
  <c r="F6520" i="2" s="1"/>
  <c r="C6520" i="2"/>
  <c r="E6519" i="2"/>
  <c r="F6519" i="2" s="1"/>
  <c r="C6519" i="2"/>
  <c r="E6518" i="2"/>
  <c r="F6518" i="2" s="1"/>
  <c r="C6518" i="2"/>
  <c r="E6517" i="2"/>
  <c r="F6517" i="2" s="1"/>
  <c r="C6517" i="2"/>
  <c r="E6516" i="2"/>
  <c r="F6516" i="2" s="1"/>
  <c r="C6516" i="2"/>
  <c r="E6515" i="2"/>
  <c r="F6515" i="2" s="1"/>
  <c r="C6515" i="2"/>
  <c r="E6514" i="2"/>
  <c r="F6514" i="2" s="1"/>
  <c r="C6514" i="2"/>
  <c r="E6513" i="2"/>
  <c r="F6513" i="2" s="1"/>
  <c r="C6513" i="2"/>
  <c r="E6512" i="2"/>
  <c r="F6512" i="2" s="1"/>
  <c r="C6512" i="2"/>
  <c r="E6511" i="2"/>
  <c r="F6511" i="2" s="1"/>
  <c r="C6511" i="2"/>
  <c r="E6510" i="2"/>
  <c r="F6510" i="2" s="1"/>
  <c r="C6510" i="2"/>
  <c r="E6509" i="2"/>
  <c r="F6509" i="2" s="1"/>
  <c r="C6509" i="2"/>
  <c r="E6508" i="2"/>
  <c r="F6508" i="2" s="1"/>
  <c r="C6508" i="2"/>
  <c r="E6507" i="2"/>
  <c r="F6507" i="2" s="1"/>
  <c r="C6507" i="2"/>
  <c r="E6506" i="2"/>
  <c r="F6506" i="2" s="1"/>
  <c r="C6506" i="2"/>
  <c r="E6505" i="2"/>
  <c r="F6505" i="2" s="1"/>
  <c r="C6505" i="2"/>
  <c r="E6504" i="2"/>
  <c r="F6504" i="2" s="1"/>
  <c r="C6504" i="2"/>
  <c r="E6503" i="2"/>
  <c r="F6503" i="2" s="1"/>
  <c r="C6503" i="2"/>
  <c r="E6502" i="2"/>
  <c r="F6502" i="2" s="1"/>
  <c r="C6502" i="2"/>
  <c r="E6501" i="2"/>
  <c r="F6501" i="2" s="1"/>
  <c r="C6501" i="2"/>
  <c r="E6500" i="2"/>
  <c r="F6500" i="2" s="1"/>
  <c r="C6500" i="2"/>
  <c r="E6499" i="2"/>
  <c r="F6499" i="2" s="1"/>
  <c r="C6499" i="2"/>
  <c r="E6498" i="2"/>
  <c r="F6498" i="2" s="1"/>
  <c r="C6498" i="2"/>
  <c r="E6497" i="2"/>
  <c r="F6497" i="2" s="1"/>
  <c r="C6497" i="2"/>
  <c r="E6496" i="2"/>
  <c r="F6496" i="2" s="1"/>
  <c r="C6496" i="2"/>
  <c r="E6495" i="2"/>
  <c r="F6495" i="2" s="1"/>
  <c r="C6495" i="2"/>
  <c r="E6494" i="2"/>
  <c r="F6494" i="2" s="1"/>
  <c r="C6494" i="2"/>
  <c r="E6493" i="2"/>
  <c r="F6493" i="2" s="1"/>
  <c r="C6493" i="2"/>
  <c r="E6492" i="2"/>
  <c r="F6492" i="2" s="1"/>
  <c r="C6492" i="2"/>
  <c r="E6491" i="2"/>
  <c r="F6491" i="2" s="1"/>
  <c r="C6491" i="2"/>
  <c r="E6490" i="2"/>
  <c r="F6490" i="2" s="1"/>
  <c r="C6490" i="2"/>
  <c r="E6489" i="2"/>
  <c r="F6489" i="2" s="1"/>
  <c r="C6489" i="2"/>
  <c r="E6488" i="2"/>
  <c r="F6488" i="2" s="1"/>
  <c r="C6488" i="2"/>
  <c r="E6487" i="2"/>
  <c r="F6487" i="2" s="1"/>
  <c r="C6487" i="2"/>
  <c r="E6486" i="2"/>
  <c r="F6486" i="2" s="1"/>
  <c r="C6486" i="2"/>
  <c r="E6485" i="2"/>
  <c r="F6485" i="2" s="1"/>
  <c r="C6485" i="2"/>
  <c r="E6484" i="2"/>
  <c r="F6484" i="2" s="1"/>
  <c r="C6484" i="2"/>
  <c r="E6483" i="2"/>
  <c r="F6483" i="2" s="1"/>
  <c r="C6483" i="2"/>
  <c r="E6482" i="2"/>
  <c r="F6482" i="2" s="1"/>
  <c r="C6482" i="2"/>
  <c r="E6481" i="2"/>
  <c r="F6481" i="2" s="1"/>
  <c r="C6481" i="2"/>
  <c r="E6480" i="2"/>
  <c r="F6480" i="2" s="1"/>
  <c r="C6480" i="2"/>
  <c r="E6479" i="2"/>
  <c r="F6479" i="2" s="1"/>
  <c r="C6479" i="2"/>
  <c r="E6478" i="2"/>
  <c r="F6478" i="2" s="1"/>
  <c r="C6478" i="2"/>
  <c r="E6477" i="2"/>
  <c r="F6477" i="2" s="1"/>
  <c r="C6477" i="2"/>
  <c r="E6476" i="2"/>
  <c r="F6476" i="2" s="1"/>
  <c r="C6476" i="2"/>
  <c r="E6475" i="2"/>
  <c r="F6475" i="2" s="1"/>
  <c r="C6475" i="2"/>
  <c r="E6474" i="2"/>
  <c r="F6474" i="2" s="1"/>
  <c r="C6474" i="2"/>
  <c r="E6473" i="2"/>
  <c r="F6473" i="2" s="1"/>
  <c r="C6473" i="2"/>
  <c r="E6472" i="2"/>
  <c r="F6472" i="2" s="1"/>
  <c r="C6472" i="2"/>
  <c r="E6471" i="2"/>
  <c r="F6471" i="2" s="1"/>
  <c r="C6471" i="2"/>
  <c r="E6470" i="2"/>
  <c r="F6470" i="2" s="1"/>
  <c r="C6470" i="2"/>
  <c r="E6469" i="2"/>
  <c r="F6469" i="2" s="1"/>
  <c r="C6469" i="2"/>
  <c r="E6468" i="2"/>
  <c r="F6468" i="2" s="1"/>
  <c r="C6468" i="2"/>
  <c r="E6467" i="2"/>
  <c r="F6467" i="2" s="1"/>
  <c r="C6467" i="2"/>
  <c r="E6466" i="2"/>
  <c r="F6466" i="2" s="1"/>
  <c r="C6466" i="2"/>
  <c r="E6465" i="2"/>
  <c r="F6465" i="2" s="1"/>
  <c r="C6465" i="2"/>
  <c r="E6464" i="2"/>
  <c r="F6464" i="2" s="1"/>
  <c r="C6464" i="2"/>
  <c r="E6463" i="2"/>
  <c r="F6463" i="2" s="1"/>
  <c r="C6463" i="2"/>
  <c r="E6462" i="2"/>
  <c r="F6462" i="2" s="1"/>
  <c r="C6462" i="2"/>
  <c r="E6461" i="2"/>
  <c r="F6461" i="2" s="1"/>
  <c r="C6461" i="2"/>
  <c r="E6460" i="2"/>
  <c r="F6460" i="2" s="1"/>
  <c r="C6460" i="2"/>
  <c r="E6459" i="2"/>
  <c r="F6459" i="2" s="1"/>
  <c r="C6459" i="2"/>
  <c r="E6458" i="2"/>
  <c r="F6458" i="2" s="1"/>
  <c r="C6458" i="2"/>
  <c r="E6457" i="2"/>
  <c r="F6457" i="2" s="1"/>
  <c r="C6457" i="2"/>
  <c r="E6456" i="2"/>
  <c r="F6456" i="2" s="1"/>
  <c r="C6456" i="2"/>
  <c r="E6455" i="2"/>
  <c r="F6455" i="2" s="1"/>
  <c r="C6455" i="2"/>
  <c r="E6454" i="2"/>
  <c r="F6454" i="2" s="1"/>
  <c r="C6454" i="2"/>
  <c r="E6453" i="2"/>
  <c r="F6453" i="2" s="1"/>
  <c r="C6453" i="2"/>
  <c r="E6452" i="2"/>
  <c r="F6452" i="2" s="1"/>
  <c r="C6452" i="2"/>
  <c r="E6451" i="2"/>
  <c r="F6451" i="2" s="1"/>
  <c r="C6451" i="2"/>
  <c r="E6450" i="2"/>
  <c r="F6450" i="2" s="1"/>
  <c r="C6450" i="2"/>
  <c r="E6449" i="2"/>
  <c r="F6449" i="2" s="1"/>
  <c r="C6449" i="2"/>
  <c r="E6448" i="2"/>
  <c r="F6448" i="2" s="1"/>
  <c r="C6448" i="2"/>
  <c r="E6447" i="2"/>
  <c r="F6447" i="2" s="1"/>
  <c r="C6447" i="2"/>
  <c r="E6446" i="2"/>
  <c r="F6446" i="2" s="1"/>
  <c r="C6446" i="2"/>
  <c r="E6445" i="2"/>
  <c r="F6445" i="2" s="1"/>
  <c r="C6445" i="2"/>
  <c r="E6444" i="2"/>
  <c r="F6444" i="2" s="1"/>
  <c r="C6444" i="2"/>
  <c r="E6443" i="2"/>
  <c r="F6443" i="2" s="1"/>
  <c r="C6443" i="2"/>
  <c r="E6442" i="2"/>
  <c r="F6442" i="2" s="1"/>
  <c r="C6442" i="2"/>
  <c r="E6441" i="2"/>
  <c r="F6441" i="2" s="1"/>
  <c r="C6441" i="2"/>
  <c r="E6440" i="2"/>
  <c r="F6440" i="2" s="1"/>
  <c r="C6440" i="2"/>
  <c r="E6439" i="2"/>
  <c r="F6439" i="2" s="1"/>
  <c r="C6439" i="2"/>
  <c r="E6438" i="2"/>
  <c r="F6438" i="2" s="1"/>
  <c r="C6438" i="2"/>
  <c r="E6437" i="2"/>
  <c r="F6437" i="2" s="1"/>
  <c r="C6437" i="2"/>
  <c r="E6436" i="2"/>
  <c r="F6436" i="2" s="1"/>
  <c r="C6436" i="2"/>
  <c r="E6435" i="2"/>
  <c r="F6435" i="2" s="1"/>
  <c r="C6435" i="2"/>
  <c r="E6434" i="2"/>
  <c r="F6434" i="2" s="1"/>
  <c r="C6434" i="2"/>
  <c r="E6433" i="2"/>
  <c r="F6433" i="2" s="1"/>
  <c r="C6433" i="2"/>
  <c r="E6432" i="2"/>
  <c r="F6432" i="2" s="1"/>
  <c r="C6432" i="2"/>
  <c r="E6431" i="2"/>
  <c r="F6431" i="2" s="1"/>
  <c r="C6431" i="2"/>
  <c r="E6430" i="2"/>
  <c r="F6430" i="2" s="1"/>
  <c r="C6430" i="2"/>
  <c r="E6429" i="2"/>
  <c r="F6429" i="2" s="1"/>
  <c r="C6429" i="2"/>
  <c r="E6428" i="2"/>
  <c r="F6428" i="2" s="1"/>
  <c r="C6428" i="2"/>
  <c r="E6427" i="2"/>
  <c r="F6427" i="2" s="1"/>
  <c r="C6427" i="2"/>
  <c r="E6426" i="2"/>
  <c r="F6426" i="2" s="1"/>
  <c r="C6426" i="2"/>
  <c r="E6425" i="2"/>
  <c r="F6425" i="2" s="1"/>
  <c r="C6425" i="2"/>
  <c r="E6424" i="2"/>
  <c r="F6424" i="2" s="1"/>
  <c r="C6424" i="2"/>
  <c r="E6423" i="2"/>
  <c r="F6423" i="2" s="1"/>
  <c r="C6423" i="2"/>
  <c r="E6422" i="2"/>
  <c r="F6422" i="2" s="1"/>
  <c r="C6422" i="2"/>
  <c r="E6421" i="2"/>
  <c r="F6421" i="2" s="1"/>
  <c r="C6421" i="2"/>
  <c r="E6420" i="2"/>
  <c r="F6420" i="2" s="1"/>
  <c r="C6420" i="2"/>
  <c r="E6419" i="2"/>
  <c r="F6419" i="2" s="1"/>
  <c r="C6419" i="2"/>
  <c r="E6418" i="2"/>
  <c r="F6418" i="2" s="1"/>
  <c r="C6418" i="2"/>
  <c r="E6417" i="2"/>
  <c r="F6417" i="2" s="1"/>
  <c r="C6417" i="2"/>
  <c r="E6416" i="2"/>
  <c r="F6416" i="2" s="1"/>
  <c r="C6416" i="2"/>
  <c r="E6415" i="2"/>
  <c r="F6415" i="2" s="1"/>
  <c r="C6415" i="2"/>
  <c r="E6414" i="2"/>
  <c r="F6414" i="2" s="1"/>
  <c r="C6414" i="2"/>
  <c r="E6413" i="2"/>
  <c r="F6413" i="2" s="1"/>
  <c r="C6413" i="2"/>
  <c r="E6412" i="2"/>
  <c r="F6412" i="2" s="1"/>
  <c r="C6412" i="2"/>
  <c r="E6411" i="2"/>
  <c r="F6411" i="2" s="1"/>
  <c r="C6411" i="2"/>
  <c r="E6410" i="2"/>
  <c r="F6410" i="2" s="1"/>
  <c r="C6410" i="2"/>
  <c r="E6409" i="2"/>
  <c r="F6409" i="2" s="1"/>
  <c r="C6409" i="2"/>
  <c r="E6408" i="2"/>
  <c r="F6408" i="2" s="1"/>
  <c r="C6408" i="2"/>
  <c r="E6407" i="2"/>
  <c r="F6407" i="2" s="1"/>
  <c r="C6407" i="2"/>
  <c r="E6406" i="2"/>
  <c r="F6406" i="2" s="1"/>
  <c r="C6406" i="2"/>
  <c r="E6405" i="2"/>
  <c r="F6405" i="2" s="1"/>
  <c r="C6405" i="2"/>
  <c r="E6404" i="2"/>
  <c r="F6404" i="2" s="1"/>
  <c r="C6404" i="2"/>
  <c r="E6403" i="2"/>
  <c r="F6403" i="2" s="1"/>
  <c r="C6403" i="2"/>
  <c r="E6402" i="2"/>
  <c r="F6402" i="2" s="1"/>
  <c r="C6402" i="2"/>
  <c r="E6401" i="2"/>
  <c r="F6401" i="2" s="1"/>
  <c r="C6401" i="2"/>
  <c r="E6400" i="2"/>
  <c r="F6400" i="2" s="1"/>
  <c r="C6400" i="2"/>
  <c r="E6399" i="2"/>
  <c r="F6399" i="2" s="1"/>
  <c r="C6399" i="2"/>
  <c r="E6398" i="2"/>
  <c r="F6398" i="2" s="1"/>
  <c r="C6398" i="2"/>
  <c r="E6397" i="2"/>
  <c r="F6397" i="2" s="1"/>
  <c r="C6397" i="2"/>
  <c r="E6396" i="2"/>
  <c r="F6396" i="2" s="1"/>
  <c r="C6396" i="2"/>
  <c r="E6395" i="2"/>
  <c r="F6395" i="2" s="1"/>
  <c r="C6395" i="2"/>
  <c r="E6394" i="2"/>
  <c r="F6394" i="2" s="1"/>
  <c r="C6394" i="2"/>
  <c r="E6393" i="2"/>
  <c r="F6393" i="2" s="1"/>
  <c r="C6393" i="2"/>
  <c r="E6392" i="2"/>
  <c r="F6392" i="2" s="1"/>
  <c r="C6392" i="2"/>
  <c r="E6391" i="2"/>
  <c r="F6391" i="2" s="1"/>
  <c r="C6391" i="2"/>
  <c r="E6390" i="2"/>
  <c r="F6390" i="2" s="1"/>
  <c r="C6390" i="2"/>
  <c r="E6389" i="2"/>
  <c r="F6389" i="2" s="1"/>
  <c r="C6389" i="2"/>
  <c r="E6388" i="2"/>
  <c r="F6388" i="2" s="1"/>
  <c r="C6388" i="2"/>
  <c r="E6387" i="2"/>
  <c r="F6387" i="2" s="1"/>
  <c r="C6387" i="2"/>
  <c r="E6386" i="2"/>
  <c r="F6386" i="2" s="1"/>
  <c r="C6386" i="2"/>
  <c r="E6385" i="2"/>
  <c r="F6385" i="2" s="1"/>
  <c r="C6385" i="2"/>
  <c r="E6384" i="2"/>
  <c r="F6384" i="2" s="1"/>
  <c r="C6384" i="2"/>
  <c r="E6383" i="2"/>
  <c r="F6383" i="2" s="1"/>
  <c r="C6383" i="2"/>
  <c r="E6382" i="2"/>
  <c r="F6382" i="2" s="1"/>
  <c r="C6382" i="2"/>
  <c r="E6381" i="2"/>
  <c r="F6381" i="2" s="1"/>
  <c r="C6381" i="2"/>
  <c r="E6380" i="2"/>
  <c r="F6380" i="2" s="1"/>
  <c r="C6380" i="2"/>
  <c r="E6379" i="2"/>
  <c r="F6379" i="2" s="1"/>
  <c r="C6379" i="2"/>
  <c r="E6378" i="2"/>
  <c r="F6378" i="2" s="1"/>
  <c r="C6378" i="2"/>
  <c r="E6377" i="2"/>
  <c r="F6377" i="2" s="1"/>
  <c r="C6377" i="2"/>
  <c r="E6376" i="2"/>
  <c r="F6376" i="2" s="1"/>
  <c r="C6376" i="2"/>
  <c r="E6375" i="2"/>
  <c r="F6375" i="2" s="1"/>
  <c r="C6375" i="2"/>
  <c r="E6374" i="2"/>
  <c r="F6374" i="2" s="1"/>
  <c r="C6374" i="2"/>
  <c r="E6373" i="2"/>
  <c r="F6373" i="2" s="1"/>
  <c r="C6373" i="2"/>
  <c r="E6372" i="2"/>
  <c r="F6372" i="2" s="1"/>
  <c r="C6372" i="2"/>
  <c r="E6371" i="2"/>
  <c r="F6371" i="2" s="1"/>
  <c r="C6371" i="2"/>
  <c r="E6370" i="2"/>
  <c r="F6370" i="2" s="1"/>
  <c r="C6370" i="2"/>
  <c r="E6369" i="2"/>
  <c r="F6369" i="2" s="1"/>
  <c r="C6369" i="2"/>
  <c r="E6368" i="2"/>
  <c r="F6368" i="2" s="1"/>
  <c r="C6368" i="2"/>
  <c r="E6367" i="2"/>
  <c r="F6367" i="2" s="1"/>
  <c r="C6367" i="2"/>
  <c r="E6366" i="2"/>
  <c r="F6366" i="2" s="1"/>
  <c r="C6366" i="2"/>
  <c r="E6365" i="2"/>
  <c r="F6365" i="2" s="1"/>
  <c r="C6365" i="2"/>
  <c r="E6364" i="2"/>
  <c r="F6364" i="2" s="1"/>
  <c r="C6364" i="2"/>
  <c r="E6363" i="2"/>
  <c r="F6363" i="2" s="1"/>
  <c r="C6363" i="2"/>
  <c r="E6362" i="2"/>
  <c r="F6362" i="2" s="1"/>
  <c r="C6362" i="2"/>
  <c r="E6361" i="2"/>
  <c r="F6361" i="2" s="1"/>
  <c r="C6361" i="2"/>
  <c r="E6360" i="2"/>
  <c r="F6360" i="2" s="1"/>
  <c r="C6360" i="2"/>
  <c r="E6359" i="2"/>
  <c r="F6359" i="2" s="1"/>
  <c r="C6359" i="2"/>
  <c r="E6358" i="2"/>
  <c r="F6358" i="2" s="1"/>
  <c r="C6358" i="2"/>
  <c r="E6357" i="2"/>
  <c r="F6357" i="2" s="1"/>
  <c r="C6357" i="2"/>
  <c r="E6356" i="2"/>
  <c r="F6356" i="2" s="1"/>
  <c r="C6356" i="2"/>
  <c r="E6355" i="2"/>
  <c r="F6355" i="2" s="1"/>
  <c r="C6355" i="2"/>
  <c r="E6354" i="2"/>
  <c r="F6354" i="2" s="1"/>
  <c r="C6354" i="2"/>
  <c r="E6353" i="2"/>
  <c r="F6353" i="2" s="1"/>
  <c r="C6353" i="2"/>
  <c r="E6352" i="2"/>
  <c r="F6352" i="2" s="1"/>
  <c r="C6352" i="2"/>
  <c r="E6351" i="2"/>
  <c r="F6351" i="2" s="1"/>
  <c r="C6351" i="2"/>
  <c r="E6350" i="2"/>
  <c r="F6350" i="2" s="1"/>
  <c r="C6350" i="2"/>
  <c r="E6349" i="2"/>
  <c r="F6349" i="2" s="1"/>
  <c r="C6349" i="2"/>
  <c r="E6348" i="2"/>
  <c r="F6348" i="2" s="1"/>
  <c r="C6348" i="2"/>
  <c r="E6347" i="2"/>
  <c r="F6347" i="2" s="1"/>
  <c r="C6347" i="2"/>
  <c r="E6346" i="2"/>
  <c r="F6346" i="2" s="1"/>
  <c r="C6346" i="2"/>
  <c r="E6345" i="2"/>
  <c r="F6345" i="2" s="1"/>
  <c r="C6345" i="2"/>
  <c r="E6344" i="2"/>
  <c r="F6344" i="2" s="1"/>
  <c r="C6344" i="2"/>
  <c r="E6343" i="2"/>
  <c r="F6343" i="2" s="1"/>
  <c r="C6343" i="2"/>
  <c r="E6342" i="2"/>
  <c r="F6342" i="2" s="1"/>
  <c r="C6342" i="2"/>
  <c r="E6341" i="2"/>
  <c r="F6341" i="2" s="1"/>
  <c r="C6341" i="2"/>
  <c r="E6340" i="2"/>
  <c r="F6340" i="2" s="1"/>
  <c r="C6340" i="2"/>
  <c r="E6339" i="2"/>
  <c r="F6339" i="2" s="1"/>
  <c r="C6339" i="2"/>
  <c r="E6338" i="2"/>
  <c r="F6338" i="2" s="1"/>
  <c r="C6338" i="2"/>
  <c r="E6337" i="2"/>
  <c r="F6337" i="2" s="1"/>
  <c r="C6337" i="2"/>
  <c r="E6336" i="2"/>
  <c r="F6336" i="2" s="1"/>
  <c r="C6336" i="2"/>
  <c r="E6335" i="2"/>
  <c r="F6335" i="2" s="1"/>
  <c r="C6335" i="2"/>
  <c r="E6334" i="2"/>
  <c r="F6334" i="2" s="1"/>
  <c r="C6334" i="2"/>
  <c r="E6333" i="2"/>
  <c r="F6333" i="2" s="1"/>
  <c r="C6333" i="2"/>
  <c r="E6332" i="2"/>
  <c r="F6332" i="2" s="1"/>
  <c r="C6332" i="2"/>
  <c r="E6331" i="2"/>
  <c r="F6331" i="2" s="1"/>
  <c r="C6331" i="2"/>
  <c r="E6330" i="2"/>
  <c r="F6330" i="2" s="1"/>
  <c r="C6330" i="2"/>
  <c r="E6329" i="2"/>
  <c r="F6329" i="2" s="1"/>
  <c r="C6329" i="2"/>
  <c r="E6328" i="2"/>
  <c r="F6328" i="2" s="1"/>
  <c r="C6328" i="2"/>
  <c r="E6327" i="2"/>
  <c r="F6327" i="2" s="1"/>
  <c r="C6327" i="2"/>
  <c r="E6326" i="2"/>
  <c r="F6326" i="2" s="1"/>
  <c r="C6326" i="2"/>
  <c r="E6325" i="2"/>
  <c r="F6325" i="2" s="1"/>
  <c r="C6325" i="2"/>
  <c r="E6324" i="2"/>
  <c r="F6324" i="2" s="1"/>
  <c r="C6324" i="2"/>
  <c r="E6323" i="2"/>
  <c r="F6323" i="2" s="1"/>
  <c r="C6323" i="2"/>
  <c r="E6322" i="2"/>
  <c r="F6322" i="2" s="1"/>
  <c r="C6322" i="2"/>
  <c r="E6321" i="2"/>
  <c r="F6321" i="2" s="1"/>
  <c r="C6321" i="2"/>
  <c r="E6320" i="2"/>
  <c r="F6320" i="2" s="1"/>
  <c r="C6320" i="2"/>
  <c r="E6319" i="2"/>
  <c r="F6319" i="2" s="1"/>
  <c r="C6319" i="2"/>
  <c r="E6318" i="2"/>
  <c r="F6318" i="2" s="1"/>
  <c r="C6318" i="2"/>
  <c r="E6317" i="2"/>
  <c r="F6317" i="2" s="1"/>
  <c r="C6317" i="2"/>
  <c r="E6316" i="2"/>
  <c r="F6316" i="2" s="1"/>
  <c r="C6316" i="2"/>
  <c r="E6315" i="2"/>
  <c r="F6315" i="2" s="1"/>
  <c r="C6315" i="2"/>
  <c r="E6314" i="2"/>
  <c r="F6314" i="2" s="1"/>
  <c r="C6314" i="2"/>
  <c r="E6313" i="2"/>
  <c r="F6313" i="2" s="1"/>
  <c r="C6313" i="2"/>
  <c r="E6312" i="2"/>
  <c r="F6312" i="2" s="1"/>
  <c r="C6312" i="2"/>
  <c r="E6311" i="2"/>
  <c r="F6311" i="2" s="1"/>
  <c r="C6311" i="2"/>
  <c r="E6310" i="2"/>
  <c r="F6310" i="2" s="1"/>
  <c r="C6310" i="2"/>
  <c r="E6309" i="2"/>
  <c r="F6309" i="2" s="1"/>
  <c r="C6309" i="2"/>
  <c r="E6308" i="2"/>
  <c r="F6308" i="2" s="1"/>
  <c r="C6308" i="2"/>
  <c r="E6307" i="2"/>
  <c r="F6307" i="2" s="1"/>
  <c r="C6307" i="2"/>
  <c r="E6306" i="2"/>
  <c r="F6306" i="2" s="1"/>
  <c r="C6306" i="2"/>
  <c r="E6305" i="2"/>
  <c r="F6305" i="2" s="1"/>
  <c r="C6305" i="2"/>
  <c r="E6304" i="2"/>
  <c r="F6304" i="2" s="1"/>
  <c r="C6304" i="2"/>
  <c r="E6303" i="2"/>
  <c r="F6303" i="2" s="1"/>
  <c r="C6303" i="2"/>
  <c r="E6302" i="2"/>
  <c r="F6302" i="2" s="1"/>
  <c r="C6302" i="2"/>
  <c r="E6301" i="2"/>
  <c r="F6301" i="2" s="1"/>
  <c r="C6301" i="2"/>
  <c r="E6300" i="2"/>
  <c r="F6300" i="2" s="1"/>
  <c r="C6300" i="2"/>
  <c r="E6299" i="2"/>
  <c r="F6299" i="2" s="1"/>
  <c r="C6299" i="2"/>
  <c r="E6298" i="2"/>
  <c r="F6298" i="2" s="1"/>
  <c r="C6298" i="2"/>
  <c r="E6297" i="2"/>
  <c r="F6297" i="2" s="1"/>
  <c r="C6297" i="2"/>
  <c r="E6296" i="2"/>
  <c r="F6296" i="2" s="1"/>
  <c r="C6296" i="2"/>
  <c r="E6295" i="2"/>
  <c r="F6295" i="2" s="1"/>
  <c r="C6295" i="2"/>
  <c r="E6294" i="2"/>
  <c r="F6294" i="2" s="1"/>
  <c r="C6294" i="2"/>
  <c r="E6293" i="2"/>
  <c r="F6293" i="2" s="1"/>
  <c r="C6293" i="2"/>
  <c r="E6292" i="2"/>
  <c r="F6292" i="2" s="1"/>
  <c r="C6292" i="2"/>
  <c r="E6291" i="2"/>
  <c r="F6291" i="2" s="1"/>
  <c r="C6291" i="2"/>
  <c r="E6290" i="2"/>
  <c r="F6290" i="2" s="1"/>
  <c r="C6290" i="2"/>
  <c r="E6289" i="2"/>
  <c r="F6289" i="2" s="1"/>
  <c r="C6289" i="2"/>
  <c r="E6288" i="2"/>
  <c r="F6288" i="2" s="1"/>
  <c r="C6288" i="2"/>
  <c r="E6287" i="2"/>
  <c r="F6287" i="2" s="1"/>
  <c r="C6287" i="2"/>
  <c r="E6286" i="2"/>
  <c r="F6286" i="2" s="1"/>
  <c r="C6286" i="2"/>
  <c r="E6285" i="2"/>
  <c r="F6285" i="2" s="1"/>
  <c r="C6285" i="2"/>
  <c r="E6284" i="2"/>
  <c r="F6284" i="2" s="1"/>
  <c r="C6284" i="2"/>
  <c r="E6283" i="2"/>
  <c r="F6283" i="2" s="1"/>
  <c r="C6283" i="2"/>
  <c r="E6282" i="2"/>
  <c r="F6282" i="2" s="1"/>
  <c r="C6282" i="2"/>
  <c r="E6281" i="2"/>
  <c r="F6281" i="2" s="1"/>
  <c r="C6281" i="2"/>
  <c r="E6280" i="2"/>
  <c r="F6280" i="2" s="1"/>
  <c r="C6280" i="2"/>
  <c r="E6279" i="2"/>
  <c r="F6279" i="2" s="1"/>
  <c r="C6279" i="2"/>
  <c r="E6278" i="2"/>
  <c r="F6278" i="2" s="1"/>
  <c r="C6278" i="2"/>
  <c r="E6277" i="2"/>
  <c r="F6277" i="2" s="1"/>
  <c r="C6277" i="2"/>
  <c r="E6276" i="2"/>
  <c r="F6276" i="2" s="1"/>
  <c r="C6276" i="2"/>
  <c r="E6275" i="2"/>
  <c r="F6275" i="2" s="1"/>
  <c r="C6275" i="2"/>
  <c r="E6274" i="2"/>
  <c r="F6274" i="2" s="1"/>
  <c r="C6274" i="2"/>
  <c r="E6273" i="2"/>
  <c r="F6273" i="2" s="1"/>
  <c r="C6273" i="2"/>
  <c r="E6272" i="2"/>
  <c r="F6272" i="2" s="1"/>
  <c r="C6272" i="2"/>
  <c r="E6271" i="2"/>
  <c r="F6271" i="2" s="1"/>
  <c r="C6271" i="2"/>
  <c r="E6270" i="2"/>
  <c r="F6270" i="2" s="1"/>
  <c r="C6270" i="2"/>
  <c r="E6269" i="2"/>
  <c r="F6269" i="2" s="1"/>
  <c r="C6269" i="2"/>
  <c r="E6268" i="2"/>
  <c r="F6268" i="2" s="1"/>
  <c r="C6268" i="2"/>
  <c r="E6267" i="2"/>
  <c r="F6267" i="2" s="1"/>
  <c r="C6267" i="2"/>
  <c r="E6266" i="2"/>
  <c r="F6266" i="2" s="1"/>
  <c r="G6266" i="2" s="1"/>
  <c r="D6266" i="2"/>
  <c r="C6266" i="2"/>
  <c r="F6265" i="2"/>
  <c r="E6265" i="2"/>
  <c r="D6265" i="2"/>
  <c r="C6265" i="2"/>
  <c r="G6265" i="2" s="1"/>
  <c r="F6264" i="2"/>
  <c r="G6264" i="2" s="1"/>
  <c r="E6264" i="2"/>
  <c r="D6264" i="2"/>
  <c r="C6264" i="2"/>
  <c r="F6263" i="2"/>
  <c r="E6263" i="2"/>
  <c r="C6263" i="2"/>
  <c r="E6262" i="2"/>
  <c r="F6262" i="2" s="1"/>
  <c r="G6262" i="2" s="1"/>
  <c r="C6262" i="2"/>
  <c r="D6262" i="2" s="1"/>
  <c r="F6261" i="2"/>
  <c r="G6261" i="2" s="1"/>
  <c r="E6261" i="2"/>
  <c r="D6261" i="2"/>
  <c r="C6261" i="2"/>
  <c r="F6260" i="2"/>
  <c r="G6260" i="2" s="1"/>
  <c r="E6260" i="2"/>
  <c r="D6260" i="2"/>
  <c r="C6260" i="2"/>
  <c r="F6259" i="2"/>
  <c r="E6259" i="2"/>
  <c r="C6259" i="2"/>
  <c r="F6258" i="2"/>
  <c r="E6258" i="2"/>
  <c r="C6258" i="2"/>
  <c r="E6257" i="2"/>
  <c r="F6257" i="2" s="1"/>
  <c r="D6257" i="2"/>
  <c r="C6257" i="2"/>
  <c r="E6256" i="2"/>
  <c r="F6256" i="2" s="1"/>
  <c r="C6256" i="2"/>
  <c r="E6255" i="2"/>
  <c r="F6255" i="2" s="1"/>
  <c r="D6255" i="2"/>
  <c r="C6255" i="2"/>
  <c r="G6255" i="2" s="1"/>
  <c r="E6254" i="2"/>
  <c r="F6254" i="2" s="1"/>
  <c r="C6254" i="2"/>
  <c r="F6253" i="2"/>
  <c r="G6253" i="2" s="1"/>
  <c r="E6253" i="2"/>
  <c r="C6253" i="2"/>
  <c r="D6253" i="2" s="1"/>
  <c r="F6252" i="2"/>
  <c r="G6252" i="2" s="1"/>
  <c r="E6252" i="2"/>
  <c r="D6252" i="2"/>
  <c r="C6252" i="2"/>
  <c r="E6251" i="2"/>
  <c r="F6251" i="2" s="1"/>
  <c r="C6251" i="2"/>
  <c r="E6250" i="2"/>
  <c r="F6250" i="2" s="1"/>
  <c r="C6250" i="2"/>
  <c r="E6249" i="2"/>
  <c r="F6249" i="2" s="1"/>
  <c r="C6249" i="2"/>
  <c r="E6248" i="2"/>
  <c r="F6248" i="2" s="1"/>
  <c r="C6248" i="2"/>
  <c r="E6247" i="2"/>
  <c r="F6247" i="2" s="1"/>
  <c r="C6247" i="2"/>
  <c r="E6246" i="2"/>
  <c r="F6246" i="2" s="1"/>
  <c r="C6246" i="2"/>
  <c r="E6245" i="2"/>
  <c r="F6245" i="2" s="1"/>
  <c r="C6245" i="2"/>
  <c r="E6244" i="2"/>
  <c r="F6244" i="2" s="1"/>
  <c r="C6244" i="2"/>
  <c r="E6243" i="2"/>
  <c r="F6243" i="2" s="1"/>
  <c r="C6243" i="2"/>
  <c r="E6242" i="2"/>
  <c r="F6242" i="2" s="1"/>
  <c r="C6242" i="2"/>
  <c r="E6241" i="2"/>
  <c r="F6241" i="2" s="1"/>
  <c r="C6241" i="2"/>
  <c r="E6240" i="2"/>
  <c r="F6240" i="2" s="1"/>
  <c r="C6240" i="2"/>
  <c r="E6239" i="2"/>
  <c r="F6239" i="2" s="1"/>
  <c r="C6239" i="2"/>
  <c r="E6238" i="2"/>
  <c r="F6238" i="2" s="1"/>
  <c r="C6238" i="2"/>
  <c r="E6237" i="2"/>
  <c r="F6237" i="2" s="1"/>
  <c r="C6237" i="2"/>
  <c r="E6236" i="2"/>
  <c r="F6236" i="2" s="1"/>
  <c r="C6236" i="2"/>
  <c r="E6235" i="2"/>
  <c r="F6235" i="2" s="1"/>
  <c r="C6235" i="2"/>
  <c r="E6234" i="2"/>
  <c r="F6234" i="2" s="1"/>
  <c r="C6234" i="2"/>
  <c r="E6233" i="2"/>
  <c r="F6233" i="2" s="1"/>
  <c r="C6233" i="2"/>
  <c r="E6232" i="2"/>
  <c r="F6232" i="2" s="1"/>
  <c r="C6232" i="2"/>
  <c r="E6231" i="2"/>
  <c r="F6231" i="2" s="1"/>
  <c r="C6231" i="2"/>
  <c r="E6230" i="2"/>
  <c r="F6230" i="2" s="1"/>
  <c r="C6230" i="2"/>
  <c r="E6229" i="2"/>
  <c r="F6229" i="2" s="1"/>
  <c r="C6229" i="2"/>
  <c r="E6228" i="2"/>
  <c r="F6228" i="2" s="1"/>
  <c r="C6228" i="2"/>
  <c r="E6227" i="2"/>
  <c r="F6227" i="2" s="1"/>
  <c r="C6227" i="2"/>
  <c r="E6226" i="2"/>
  <c r="F6226" i="2" s="1"/>
  <c r="C6226" i="2"/>
  <c r="E6225" i="2"/>
  <c r="F6225" i="2" s="1"/>
  <c r="C6225" i="2"/>
  <c r="E6224" i="2"/>
  <c r="F6224" i="2" s="1"/>
  <c r="C6224" i="2"/>
  <c r="E6223" i="2"/>
  <c r="F6223" i="2" s="1"/>
  <c r="C6223" i="2"/>
  <c r="E6222" i="2"/>
  <c r="F6222" i="2" s="1"/>
  <c r="C6222" i="2"/>
  <c r="E6221" i="2"/>
  <c r="F6221" i="2" s="1"/>
  <c r="C6221" i="2"/>
  <c r="E6220" i="2"/>
  <c r="F6220" i="2" s="1"/>
  <c r="C6220" i="2"/>
  <c r="E6219" i="2"/>
  <c r="F6219" i="2" s="1"/>
  <c r="C6219" i="2"/>
  <c r="E6218" i="2"/>
  <c r="F6218" i="2" s="1"/>
  <c r="C6218" i="2"/>
  <c r="E6217" i="2"/>
  <c r="F6217" i="2" s="1"/>
  <c r="C6217" i="2"/>
  <c r="E6216" i="2"/>
  <c r="F6216" i="2" s="1"/>
  <c r="C6216" i="2"/>
  <c r="E6215" i="2"/>
  <c r="F6215" i="2" s="1"/>
  <c r="C6215" i="2"/>
  <c r="E6214" i="2"/>
  <c r="F6214" i="2" s="1"/>
  <c r="C6214" i="2"/>
  <c r="E6213" i="2"/>
  <c r="F6213" i="2" s="1"/>
  <c r="C6213" i="2"/>
  <c r="E6212" i="2"/>
  <c r="F6212" i="2" s="1"/>
  <c r="C6212" i="2"/>
  <c r="E6211" i="2"/>
  <c r="F6211" i="2" s="1"/>
  <c r="C6211" i="2"/>
  <c r="E6210" i="2"/>
  <c r="F6210" i="2" s="1"/>
  <c r="C6210" i="2"/>
  <c r="E6209" i="2"/>
  <c r="F6209" i="2" s="1"/>
  <c r="C6209" i="2"/>
  <c r="E6208" i="2"/>
  <c r="F6208" i="2" s="1"/>
  <c r="C6208" i="2"/>
  <c r="E6207" i="2"/>
  <c r="F6207" i="2" s="1"/>
  <c r="C6207" i="2"/>
  <c r="E6206" i="2"/>
  <c r="F6206" i="2" s="1"/>
  <c r="C6206" i="2"/>
  <c r="E6205" i="2"/>
  <c r="F6205" i="2" s="1"/>
  <c r="C6205" i="2"/>
  <c r="E6204" i="2"/>
  <c r="F6204" i="2" s="1"/>
  <c r="C6204" i="2"/>
  <c r="E6203" i="2"/>
  <c r="F6203" i="2" s="1"/>
  <c r="C6203" i="2"/>
  <c r="E6202" i="2"/>
  <c r="F6202" i="2" s="1"/>
  <c r="C6202" i="2"/>
  <c r="E6201" i="2"/>
  <c r="F6201" i="2" s="1"/>
  <c r="C6201" i="2"/>
  <c r="E6200" i="2"/>
  <c r="F6200" i="2" s="1"/>
  <c r="C6200" i="2"/>
  <c r="E6199" i="2"/>
  <c r="F6199" i="2" s="1"/>
  <c r="C6199" i="2"/>
  <c r="E6198" i="2"/>
  <c r="F6198" i="2" s="1"/>
  <c r="C6198" i="2"/>
  <c r="E6197" i="2"/>
  <c r="F6197" i="2" s="1"/>
  <c r="C6197" i="2"/>
  <c r="E6196" i="2"/>
  <c r="F6196" i="2" s="1"/>
  <c r="C6196" i="2"/>
  <c r="E6195" i="2"/>
  <c r="F6195" i="2" s="1"/>
  <c r="C6195" i="2"/>
  <c r="E6194" i="2"/>
  <c r="F6194" i="2" s="1"/>
  <c r="C6194" i="2"/>
  <c r="E6193" i="2"/>
  <c r="F6193" i="2" s="1"/>
  <c r="C6193" i="2"/>
  <c r="E6192" i="2"/>
  <c r="F6192" i="2" s="1"/>
  <c r="C6192" i="2"/>
  <c r="E6191" i="2"/>
  <c r="F6191" i="2" s="1"/>
  <c r="C6191" i="2"/>
  <c r="E6190" i="2"/>
  <c r="F6190" i="2" s="1"/>
  <c r="C6190" i="2"/>
  <c r="E6189" i="2"/>
  <c r="F6189" i="2" s="1"/>
  <c r="C6189" i="2"/>
  <c r="E6188" i="2"/>
  <c r="F6188" i="2" s="1"/>
  <c r="C6188" i="2"/>
  <c r="E6187" i="2"/>
  <c r="F6187" i="2" s="1"/>
  <c r="C6187" i="2"/>
  <c r="E6186" i="2"/>
  <c r="F6186" i="2" s="1"/>
  <c r="C6186" i="2"/>
  <c r="E6185" i="2"/>
  <c r="F6185" i="2" s="1"/>
  <c r="C6185" i="2"/>
  <c r="E6184" i="2"/>
  <c r="F6184" i="2" s="1"/>
  <c r="C6184" i="2"/>
  <c r="E6183" i="2"/>
  <c r="F6183" i="2" s="1"/>
  <c r="C6183" i="2"/>
  <c r="E6182" i="2"/>
  <c r="F6182" i="2" s="1"/>
  <c r="C6182" i="2"/>
  <c r="E6181" i="2"/>
  <c r="F6181" i="2" s="1"/>
  <c r="C6181" i="2"/>
  <c r="E6180" i="2"/>
  <c r="F6180" i="2" s="1"/>
  <c r="C6180" i="2"/>
  <c r="E6179" i="2"/>
  <c r="F6179" i="2" s="1"/>
  <c r="C6179" i="2"/>
  <c r="E6178" i="2"/>
  <c r="F6178" i="2" s="1"/>
  <c r="C6178" i="2"/>
  <c r="E6177" i="2"/>
  <c r="F6177" i="2" s="1"/>
  <c r="C6177" i="2"/>
  <c r="E6176" i="2"/>
  <c r="F6176" i="2" s="1"/>
  <c r="C6176" i="2"/>
  <c r="E6175" i="2"/>
  <c r="F6175" i="2" s="1"/>
  <c r="C6175" i="2"/>
  <c r="E6174" i="2"/>
  <c r="F6174" i="2" s="1"/>
  <c r="C6174" i="2"/>
  <c r="E6173" i="2"/>
  <c r="F6173" i="2" s="1"/>
  <c r="C6173" i="2"/>
  <c r="E6172" i="2"/>
  <c r="F6172" i="2" s="1"/>
  <c r="C6172" i="2"/>
  <c r="E6171" i="2"/>
  <c r="F6171" i="2" s="1"/>
  <c r="C6171" i="2"/>
  <c r="E6170" i="2"/>
  <c r="F6170" i="2" s="1"/>
  <c r="C6170" i="2"/>
  <c r="E6169" i="2"/>
  <c r="F6169" i="2" s="1"/>
  <c r="C6169" i="2"/>
  <c r="E6168" i="2"/>
  <c r="F6168" i="2" s="1"/>
  <c r="C6168" i="2"/>
  <c r="E6167" i="2"/>
  <c r="F6167" i="2" s="1"/>
  <c r="C6167" i="2"/>
  <c r="E6166" i="2"/>
  <c r="F6166" i="2" s="1"/>
  <c r="C6166" i="2"/>
  <c r="E6165" i="2"/>
  <c r="F6165" i="2" s="1"/>
  <c r="C6165" i="2"/>
  <c r="E6164" i="2"/>
  <c r="F6164" i="2" s="1"/>
  <c r="C6164" i="2"/>
  <c r="E6163" i="2"/>
  <c r="F6163" i="2" s="1"/>
  <c r="C6163" i="2"/>
  <c r="E6162" i="2"/>
  <c r="F6162" i="2" s="1"/>
  <c r="C6162" i="2"/>
  <c r="E6161" i="2"/>
  <c r="F6161" i="2" s="1"/>
  <c r="C6161" i="2"/>
  <c r="E6160" i="2"/>
  <c r="F6160" i="2" s="1"/>
  <c r="C6160" i="2"/>
  <c r="E6159" i="2"/>
  <c r="F6159" i="2" s="1"/>
  <c r="C6159" i="2"/>
  <c r="E6158" i="2"/>
  <c r="F6158" i="2" s="1"/>
  <c r="C6158" i="2"/>
  <c r="E6157" i="2"/>
  <c r="F6157" i="2" s="1"/>
  <c r="C6157" i="2"/>
  <c r="E6156" i="2"/>
  <c r="F6156" i="2" s="1"/>
  <c r="C6156" i="2"/>
  <c r="E6155" i="2"/>
  <c r="F6155" i="2" s="1"/>
  <c r="C6155" i="2"/>
  <c r="E6154" i="2"/>
  <c r="F6154" i="2" s="1"/>
  <c r="C6154" i="2"/>
  <c r="E6153" i="2"/>
  <c r="F6153" i="2" s="1"/>
  <c r="C6153" i="2"/>
  <c r="E6152" i="2"/>
  <c r="F6152" i="2" s="1"/>
  <c r="C6152" i="2"/>
  <c r="E6151" i="2"/>
  <c r="F6151" i="2" s="1"/>
  <c r="C6151" i="2"/>
  <c r="E6150" i="2"/>
  <c r="F6150" i="2" s="1"/>
  <c r="C6150" i="2"/>
  <c r="E6149" i="2"/>
  <c r="F6149" i="2" s="1"/>
  <c r="C6149" i="2"/>
  <c r="E6148" i="2"/>
  <c r="F6148" i="2" s="1"/>
  <c r="C6148" i="2"/>
  <c r="E6147" i="2"/>
  <c r="F6147" i="2" s="1"/>
  <c r="C6147" i="2"/>
  <c r="E6146" i="2"/>
  <c r="F6146" i="2" s="1"/>
  <c r="C6146" i="2"/>
  <c r="E6145" i="2"/>
  <c r="F6145" i="2" s="1"/>
  <c r="C6145" i="2"/>
  <c r="E6144" i="2"/>
  <c r="F6144" i="2" s="1"/>
  <c r="C6144" i="2"/>
  <c r="E6143" i="2"/>
  <c r="F6143" i="2" s="1"/>
  <c r="C6143" i="2"/>
  <c r="E6142" i="2"/>
  <c r="F6142" i="2" s="1"/>
  <c r="C6142" i="2"/>
  <c r="E6141" i="2"/>
  <c r="F6141" i="2" s="1"/>
  <c r="C6141" i="2"/>
  <c r="E6140" i="2"/>
  <c r="F6140" i="2" s="1"/>
  <c r="C6140" i="2"/>
  <c r="E6139" i="2"/>
  <c r="F6139" i="2" s="1"/>
  <c r="C6139" i="2"/>
  <c r="E6138" i="2"/>
  <c r="F6138" i="2" s="1"/>
  <c r="C6138" i="2"/>
  <c r="E6137" i="2"/>
  <c r="F6137" i="2" s="1"/>
  <c r="C6137" i="2"/>
  <c r="E6136" i="2"/>
  <c r="F6136" i="2" s="1"/>
  <c r="C6136" i="2"/>
  <c r="E6135" i="2"/>
  <c r="F6135" i="2" s="1"/>
  <c r="C6135" i="2"/>
  <c r="E6134" i="2"/>
  <c r="F6134" i="2" s="1"/>
  <c r="C6134" i="2"/>
  <c r="E6133" i="2"/>
  <c r="F6133" i="2" s="1"/>
  <c r="C6133" i="2"/>
  <c r="E6132" i="2"/>
  <c r="F6132" i="2" s="1"/>
  <c r="C6132" i="2"/>
  <c r="E6131" i="2"/>
  <c r="F6131" i="2" s="1"/>
  <c r="C6131" i="2"/>
  <c r="E6130" i="2"/>
  <c r="F6130" i="2" s="1"/>
  <c r="C6130" i="2"/>
  <c r="E6129" i="2"/>
  <c r="F6129" i="2" s="1"/>
  <c r="C6129" i="2"/>
  <c r="E6128" i="2"/>
  <c r="F6128" i="2" s="1"/>
  <c r="C6128" i="2"/>
  <c r="E6127" i="2"/>
  <c r="F6127" i="2" s="1"/>
  <c r="C6127" i="2"/>
  <c r="E6126" i="2"/>
  <c r="F6126" i="2" s="1"/>
  <c r="C6126" i="2"/>
  <c r="E6125" i="2"/>
  <c r="F6125" i="2" s="1"/>
  <c r="C6125" i="2"/>
  <c r="E6124" i="2"/>
  <c r="F6124" i="2" s="1"/>
  <c r="C6124" i="2"/>
  <c r="E6123" i="2"/>
  <c r="F6123" i="2" s="1"/>
  <c r="C6123" i="2"/>
  <c r="E6122" i="2"/>
  <c r="F6122" i="2" s="1"/>
  <c r="C6122" i="2"/>
  <c r="E6121" i="2"/>
  <c r="F6121" i="2" s="1"/>
  <c r="C6121" i="2"/>
  <c r="E6120" i="2"/>
  <c r="F6120" i="2" s="1"/>
  <c r="C6120" i="2"/>
  <c r="E6119" i="2"/>
  <c r="F6119" i="2" s="1"/>
  <c r="C6119" i="2"/>
  <c r="E6118" i="2"/>
  <c r="F6118" i="2" s="1"/>
  <c r="C6118" i="2"/>
  <c r="E6117" i="2"/>
  <c r="F6117" i="2" s="1"/>
  <c r="C6117" i="2"/>
  <c r="E6116" i="2"/>
  <c r="F6116" i="2" s="1"/>
  <c r="C6116" i="2"/>
  <c r="E6115" i="2"/>
  <c r="F6115" i="2" s="1"/>
  <c r="C6115" i="2"/>
  <c r="E6114" i="2"/>
  <c r="F6114" i="2" s="1"/>
  <c r="C6114" i="2"/>
  <c r="E6113" i="2"/>
  <c r="F6113" i="2" s="1"/>
  <c r="C6113" i="2"/>
  <c r="E6112" i="2"/>
  <c r="F6112" i="2" s="1"/>
  <c r="C6112" i="2"/>
  <c r="E6111" i="2"/>
  <c r="F6111" i="2" s="1"/>
  <c r="C6111" i="2"/>
  <c r="E6110" i="2"/>
  <c r="F6110" i="2" s="1"/>
  <c r="C6110" i="2"/>
  <c r="E6109" i="2"/>
  <c r="F6109" i="2" s="1"/>
  <c r="C6109" i="2"/>
  <c r="E6108" i="2"/>
  <c r="F6108" i="2" s="1"/>
  <c r="C6108" i="2"/>
  <c r="E6107" i="2"/>
  <c r="F6107" i="2" s="1"/>
  <c r="C6107" i="2"/>
  <c r="E6106" i="2"/>
  <c r="F6106" i="2" s="1"/>
  <c r="C6106" i="2"/>
  <c r="E6105" i="2"/>
  <c r="F6105" i="2" s="1"/>
  <c r="C6105" i="2"/>
  <c r="E6104" i="2"/>
  <c r="F6104" i="2" s="1"/>
  <c r="C6104" i="2"/>
  <c r="E6103" i="2"/>
  <c r="F6103" i="2" s="1"/>
  <c r="C6103" i="2"/>
  <c r="E6102" i="2"/>
  <c r="F6102" i="2" s="1"/>
  <c r="C6102" i="2"/>
  <c r="E6101" i="2"/>
  <c r="F6101" i="2" s="1"/>
  <c r="C6101" i="2"/>
  <c r="E6100" i="2"/>
  <c r="F6100" i="2" s="1"/>
  <c r="C6100" i="2"/>
  <c r="E6099" i="2"/>
  <c r="F6099" i="2" s="1"/>
  <c r="C6099" i="2"/>
  <c r="E6098" i="2"/>
  <c r="F6098" i="2" s="1"/>
  <c r="C6098" i="2"/>
  <c r="E6097" i="2"/>
  <c r="F6097" i="2" s="1"/>
  <c r="C6097" i="2"/>
  <c r="E6096" i="2"/>
  <c r="F6096" i="2" s="1"/>
  <c r="C6096" i="2"/>
  <c r="E6095" i="2"/>
  <c r="F6095" i="2" s="1"/>
  <c r="C6095" i="2"/>
  <c r="E6094" i="2"/>
  <c r="F6094" i="2" s="1"/>
  <c r="C6094" i="2"/>
  <c r="E6093" i="2"/>
  <c r="F6093" i="2" s="1"/>
  <c r="C6093" i="2"/>
  <c r="E6092" i="2"/>
  <c r="F6092" i="2" s="1"/>
  <c r="C6092" i="2"/>
  <c r="E6091" i="2"/>
  <c r="F6091" i="2" s="1"/>
  <c r="C6091" i="2"/>
  <c r="E6090" i="2"/>
  <c r="F6090" i="2" s="1"/>
  <c r="C6090" i="2"/>
  <c r="E6089" i="2"/>
  <c r="F6089" i="2" s="1"/>
  <c r="C6089" i="2"/>
  <c r="E6088" i="2"/>
  <c r="F6088" i="2" s="1"/>
  <c r="C6088" i="2"/>
  <c r="E6087" i="2"/>
  <c r="F6087" i="2" s="1"/>
  <c r="C6087" i="2"/>
  <c r="E6086" i="2"/>
  <c r="F6086" i="2" s="1"/>
  <c r="C6086" i="2"/>
  <c r="E6085" i="2"/>
  <c r="F6085" i="2" s="1"/>
  <c r="C6085" i="2"/>
  <c r="E6084" i="2"/>
  <c r="F6084" i="2" s="1"/>
  <c r="C6084" i="2"/>
  <c r="E6083" i="2"/>
  <c r="F6083" i="2" s="1"/>
  <c r="C6083" i="2"/>
  <c r="E6082" i="2"/>
  <c r="F6082" i="2" s="1"/>
  <c r="C6082" i="2"/>
  <c r="E6081" i="2"/>
  <c r="F6081" i="2" s="1"/>
  <c r="C6081" i="2"/>
  <c r="E6080" i="2"/>
  <c r="F6080" i="2" s="1"/>
  <c r="C6080" i="2"/>
  <c r="E6079" i="2"/>
  <c r="F6079" i="2" s="1"/>
  <c r="C6079" i="2"/>
  <c r="E6078" i="2"/>
  <c r="F6078" i="2" s="1"/>
  <c r="C6078" i="2"/>
  <c r="E6077" i="2"/>
  <c r="F6077" i="2" s="1"/>
  <c r="C6077" i="2"/>
  <c r="E6076" i="2"/>
  <c r="F6076" i="2" s="1"/>
  <c r="C6076" i="2"/>
  <c r="E6075" i="2"/>
  <c r="F6075" i="2" s="1"/>
  <c r="C6075" i="2"/>
  <c r="E6074" i="2"/>
  <c r="F6074" i="2" s="1"/>
  <c r="C6074" i="2"/>
  <c r="E6073" i="2"/>
  <c r="F6073" i="2" s="1"/>
  <c r="C6073" i="2"/>
  <c r="E6072" i="2"/>
  <c r="F6072" i="2" s="1"/>
  <c r="C6072" i="2"/>
  <c r="E6071" i="2"/>
  <c r="F6071" i="2" s="1"/>
  <c r="C6071" i="2"/>
  <c r="E6070" i="2"/>
  <c r="F6070" i="2" s="1"/>
  <c r="C6070" i="2"/>
  <c r="E6069" i="2"/>
  <c r="F6069" i="2" s="1"/>
  <c r="C6069" i="2"/>
  <c r="E6068" i="2"/>
  <c r="F6068" i="2" s="1"/>
  <c r="C6068" i="2"/>
  <c r="E6067" i="2"/>
  <c r="F6067" i="2" s="1"/>
  <c r="C6067" i="2"/>
  <c r="E6066" i="2"/>
  <c r="F6066" i="2" s="1"/>
  <c r="C6066" i="2"/>
  <c r="E6065" i="2"/>
  <c r="F6065" i="2" s="1"/>
  <c r="C6065" i="2"/>
  <c r="E6064" i="2"/>
  <c r="F6064" i="2" s="1"/>
  <c r="C6064" i="2"/>
  <c r="E6063" i="2"/>
  <c r="F6063" i="2" s="1"/>
  <c r="C6063" i="2"/>
  <c r="E6062" i="2"/>
  <c r="F6062" i="2" s="1"/>
  <c r="C6062" i="2"/>
  <c r="E6061" i="2"/>
  <c r="F6061" i="2" s="1"/>
  <c r="C6061" i="2"/>
  <c r="E6060" i="2"/>
  <c r="F6060" i="2" s="1"/>
  <c r="C6060" i="2"/>
  <c r="E6059" i="2"/>
  <c r="F6059" i="2" s="1"/>
  <c r="C6059" i="2"/>
  <c r="E6058" i="2"/>
  <c r="F6058" i="2" s="1"/>
  <c r="C6058" i="2"/>
  <c r="E6057" i="2"/>
  <c r="F6057" i="2" s="1"/>
  <c r="C6057" i="2"/>
  <c r="E6056" i="2"/>
  <c r="F6056" i="2" s="1"/>
  <c r="C6056" i="2"/>
  <c r="E6055" i="2"/>
  <c r="F6055" i="2" s="1"/>
  <c r="C6055" i="2"/>
  <c r="E6054" i="2"/>
  <c r="F6054" i="2" s="1"/>
  <c r="C6054" i="2"/>
  <c r="E6053" i="2"/>
  <c r="F6053" i="2" s="1"/>
  <c r="C6053" i="2"/>
  <c r="E6052" i="2"/>
  <c r="F6052" i="2" s="1"/>
  <c r="C6052" i="2"/>
  <c r="E6051" i="2"/>
  <c r="F6051" i="2" s="1"/>
  <c r="C6051" i="2"/>
  <c r="E6050" i="2"/>
  <c r="F6050" i="2" s="1"/>
  <c r="C6050" i="2"/>
  <c r="E6049" i="2"/>
  <c r="F6049" i="2" s="1"/>
  <c r="C6049" i="2"/>
  <c r="E6048" i="2"/>
  <c r="F6048" i="2" s="1"/>
  <c r="C6048" i="2"/>
  <c r="E6047" i="2"/>
  <c r="F6047" i="2" s="1"/>
  <c r="C6047" i="2"/>
  <c r="E6046" i="2"/>
  <c r="F6046" i="2" s="1"/>
  <c r="C6046" i="2"/>
  <c r="E6045" i="2"/>
  <c r="F6045" i="2" s="1"/>
  <c r="C6045" i="2"/>
  <c r="E6044" i="2"/>
  <c r="F6044" i="2" s="1"/>
  <c r="C6044" i="2"/>
  <c r="E6043" i="2"/>
  <c r="F6043" i="2" s="1"/>
  <c r="C6043" i="2"/>
  <c r="E6042" i="2"/>
  <c r="F6042" i="2" s="1"/>
  <c r="C6042" i="2"/>
  <c r="E6041" i="2"/>
  <c r="F6041" i="2" s="1"/>
  <c r="C6041" i="2"/>
  <c r="E6040" i="2"/>
  <c r="F6040" i="2" s="1"/>
  <c r="C6040" i="2"/>
  <c r="E6039" i="2"/>
  <c r="F6039" i="2" s="1"/>
  <c r="C6039" i="2"/>
  <c r="E6038" i="2"/>
  <c r="F6038" i="2" s="1"/>
  <c r="C6038" i="2"/>
  <c r="E6037" i="2"/>
  <c r="F6037" i="2" s="1"/>
  <c r="C6037" i="2"/>
  <c r="E6036" i="2"/>
  <c r="F6036" i="2" s="1"/>
  <c r="C6036" i="2"/>
  <c r="E6035" i="2"/>
  <c r="F6035" i="2" s="1"/>
  <c r="C6035" i="2"/>
  <c r="E6034" i="2"/>
  <c r="F6034" i="2" s="1"/>
  <c r="C6034" i="2"/>
  <c r="E6033" i="2"/>
  <c r="F6033" i="2" s="1"/>
  <c r="C6033" i="2"/>
  <c r="E6032" i="2"/>
  <c r="F6032" i="2" s="1"/>
  <c r="C6032" i="2"/>
  <c r="E6031" i="2"/>
  <c r="F6031" i="2" s="1"/>
  <c r="C6031" i="2"/>
  <c r="E6030" i="2"/>
  <c r="F6030" i="2" s="1"/>
  <c r="C6030" i="2"/>
  <c r="E6029" i="2"/>
  <c r="F6029" i="2" s="1"/>
  <c r="C6029" i="2"/>
  <c r="E6028" i="2"/>
  <c r="F6028" i="2" s="1"/>
  <c r="C6028" i="2"/>
  <c r="E6027" i="2"/>
  <c r="F6027" i="2" s="1"/>
  <c r="C6027" i="2"/>
  <c r="E6026" i="2"/>
  <c r="F6026" i="2" s="1"/>
  <c r="C6026" i="2"/>
  <c r="E6025" i="2"/>
  <c r="F6025" i="2" s="1"/>
  <c r="C6025" i="2"/>
  <c r="E6024" i="2"/>
  <c r="F6024" i="2" s="1"/>
  <c r="C6024" i="2"/>
  <c r="E6023" i="2"/>
  <c r="F6023" i="2" s="1"/>
  <c r="C6023" i="2"/>
  <c r="E6022" i="2"/>
  <c r="F6022" i="2" s="1"/>
  <c r="C6022" i="2"/>
  <c r="E6021" i="2"/>
  <c r="F6021" i="2" s="1"/>
  <c r="C6021" i="2"/>
  <c r="E6020" i="2"/>
  <c r="F6020" i="2" s="1"/>
  <c r="C6020" i="2"/>
  <c r="E6019" i="2"/>
  <c r="F6019" i="2" s="1"/>
  <c r="C6019" i="2"/>
  <c r="E6018" i="2"/>
  <c r="F6018" i="2" s="1"/>
  <c r="C6018" i="2"/>
  <c r="E6017" i="2"/>
  <c r="F6017" i="2" s="1"/>
  <c r="C6017" i="2"/>
  <c r="E6016" i="2"/>
  <c r="F6016" i="2" s="1"/>
  <c r="C6016" i="2"/>
  <c r="E6015" i="2"/>
  <c r="F6015" i="2" s="1"/>
  <c r="C6015" i="2"/>
  <c r="E6014" i="2"/>
  <c r="F6014" i="2" s="1"/>
  <c r="C6014" i="2"/>
  <c r="E6013" i="2"/>
  <c r="F6013" i="2" s="1"/>
  <c r="C6013" i="2"/>
  <c r="E6012" i="2"/>
  <c r="F6012" i="2" s="1"/>
  <c r="C6012" i="2"/>
  <c r="E6011" i="2"/>
  <c r="F6011" i="2" s="1"/>
  <c r="C6011" i="2"/>
  <c r="E6010" i="2"/>
  <c r="F6010" i="2" s="1"/>
  <c r="C6010" i="2"/>
  <c r="E6009" i="2"/>
  <c r="F6009" i="2" s="1"/>
  <c r="C6009" i="2"/>
  <c r="E6008" i="2"/>
  <c r="F6008" i="2" s="1"/>
  <c r="C6008" i="2"/>
  <c r="E6007" i="2"/>
  <c r="F6007" i="2" s="1"/>
  <c r="C6007" i="2"/>
  <c r="E6006" i="2"/>
  <c r="F6006" i="2" s="1"/>
  <c r="C6006" i="2"/>
  <c r="E6005" i="2"/>
  <c r="F6005" i="2" s="1"/>
  <c r="C6005" i="2"/>
  <c r="E6004" i="2"/>
  <c r="F6004" i="2" s="1"/>
  <c r="C6004" i="2"/>
  <c r="E6003" i="2"/>
  <c r="F6003" i="2" s="1"/>
  <c r="C6003" i="2"/>
  <c r="E6002" i="2"/>
  <c r="F6002" i="2" s="1"/>
  <c r="C6002" i="2"/>
  <c r="E6001" i="2"/>
  <c r="F6001" i="2" s="1"/>
  <c r="C6001" i="2"/>
  <c r="E6000" i="2"/>
  <c r="F6000" i="2" s="1"/>
  <c r="C6000" i="2"/>
  <c r="E5999" i="2"/>
  <c r="F5999" i="2" s="1"/>
  <c r="C5999" i="2"/>
  <c r="E5998" i="2"/>
  <c r="F5998" i="2" s="1"/>
  <c r="C5998" i="2"/>
  <c r="E5997" i="2"/>
  <c r="F5997" i="2" s="1"/>
  <c r="C5997" i="2"/>
  <c r="E5996" i="2"/>
  <c r="F5996" i="2" s="1"/>
  <c r="C5996" i="2"/>
  <c r="E5995" i="2"/>
  <c r="F5995" i="2" s="1"/>
  <c r="C5995" i="2"/>
  <c r="E5994" i="2"/>
  <c r="F5994" i="2" s="1"/>
  <c r="C5994" i="2"/>
  <c r="E5993" i="2"/>
  <c r="F5993" i="2" s="1"/>
  <c r="C5993" i="2"/>
  <c r="E5992" i="2"/>
  <c r="F5992" i="2" s="1"/>
  <c r="C5992" i="2"/>
  <c r="E5991" i="2"/>
  <c r="F5991" i="2" s="1"/>
  <c r="C5991" i="2"/>
  <c r="E5990" i="2"/>
  <c r="F5990" i="2" s="1"/>
  <c r="C5990" i="2"/>
  <c r="E5989" i="2"/>
  <c r="F5989" i="2" s="1"/>
  <c r="C5989" i="2"/>
  <c r="E5988" i="2"/>
  <c r="F5988" i="2" s="1"/>
  <c r="C5988" i="2"/>
  <c r="E5987" i="2"/>
  <c r="F5987" i="2" s="1"/>
  <c r="C5987" i="2"/>
  <c r="E5986" i="2"/>
  <c r="F5986" i="2" s="1"/>
  <c r="C5986" i="2"/>
  <c r="E5985" i="2"/>
  <c r="F5985" i="2" s="1"/>
  <c r="C5985" i="2"/>
  <c r="E5984" i="2"/>
  <c r="F5984" i="2" s="1"/>
  <c r="C5984" i="2"/>
  <c r="E5983" i="2"/>
  <c r="F5983" i="2" s="1"/>
  <c r="C5983" i="2"/>
  <c r="E5982" i="2"/>
  <c r="F5982" i="2" s="1"/>
  <c r="C5982" i="2"/>
  <c r="E5981" i="2"/>
  <c r="F5981" i="2" s="1"/>
  <c r="C5981" i="2"/>
  <c r="E5980" i="2"/>
  <c r="F5980" i="2" s="1"/>
  <c r="C5980" i="2"/>
  <c r="E5979" i="2"/>
  <c r="F5979" i="2" s="1"/>
  <c r="C5979" i="2"/>
  <c r="E5978" i="2"/>
  <c r="F5978" i="2" s="1"/>
  <c r="C5978" i="2"/>
  <c r="E5977" i="2"/>
  <c r="F5977" i="2" s="1"/>
  <c r="C5977" i="2"/>
  <c r="E5976" i="2"/>
  <c r="F5976" i="2" s="1"/>
  <c r="C5976" i="2"/>
  <c r="E5975" i="2"/>
  <c r="F5975" i="2" s="1"/>
  <c r="C5975" i="2"/>
  <c r="E5974" i="2"/>
  <c r="F5974" i="2" s="1"/>
  <c r="C5974" i="2"/>
  <c r="E5973" i="2"/>
  <c r="F5973" i="2" s="1"/>
  <c r="C5973" i="2"/>
  <c r="E5972" i="2"/>
  <c r="F5972" i="2" s="1"/>
  <c r="C5972" i="2"/>
  <c r="E5971" i="2"/>
  <c r="F5971" i="2" s="1"/>
  <c r="C5971" i="2"/>
  <c r="E5970" i="2"/>
  <c r="F5970" i="2" s="1"/>
  <c r="C5970" i="2"/>
  <c r="E5969" i="2"/>
  <c r="F5969" i="2" s="1"/>
  <c r="C5969" i="2"/>
  <c r="E5968" i="2"/>
  <c r="F5968" i="2" s="1"/>
  <c r="C5968" i="2"/>
  <c r="E5967" i="2"/>
  <c r="F5967" i="2" s="1"/>
  <c r="C5967" i="2"/>
  <c r="E5966" i="2"/>
  <c r="F5966" i="2" s="1"/>
  <c r="C5966" i="2"/>
  <c r="E5965" i="2"/>
  <c r="F5965" i="2" s="1"/>
  <c r="C5965" i="2"/>
  <c r="E5964" i="2"/>
  <c r="F5964" i="2" s="1"/>
  <c r="C5964" i="2"/>
  <c r="E5963" i="2"/>
  <c r="F5963" i="2" s="1"/>
  <c r="C5963" i="2"/>
  <c r="E5962" i="2"/>
  <c r="F5962" i="2" s="1"/>
  <c r="C5962" i="2"/>
  <c r="E5961" i="2"/>
  <c r="F5961" i="2" s="1"/>
  <c r="C5961" i="2"/>
  <c r="E5960" i="2"/>
  <c r="F5960" i="2" s="1"/>
  <c r="C5960" i="2"/>
  <c r="E5959" i="2"/>
  <c r="F5959" i="2" s="1"/>
  <c r="C5959" i="2"/>
  <c r="E5958" i="2"/>
  <c r="F5958" i="2" s="1"/>
  <c r="C5958" i="2"/>
  <c r="E5957" i="2"/>
  <c r="F5957" i="2" s="1"/>
  <c r="C5957" i="2"/>
  <c r="E5956" i="2"/>
  <c r="F5956" i="2" s="1"/>
  <c r="C5956" i="2"/>
  <c r="E5955" i="2"/>
  <c r="F5955" i="2" s="1"/>
  <c r="C5955" i="2"/>
  <c r="E5954" i="2"/>
  <c r="F5954" i="2" s="1"/>
  <c r="C5954" i="2"/>
  <c r="E5953" i="2"/>
  <c r="F5953" i="2" s="1"/>
  <c r="C5953" i="2"/>
  <c r="E5952" i="2"/>
  <c r="F5952" i="2" s="1"/>
  <c r="C5952" i="2"/>
  <c r="E5951" i="2"/>
  <c r="F5951" i="2" s="1"/>
  <c r="C5951" i="2"/>
  <c r="E5950" i="2"/>
  <c r="F5950" i="2" s="1"/>
  <c r="C5950" i="2"/>
  <c r="E5949" i="2"/>
  <c r="F5949" i="2" s="1"/>
  <c r="C5949" i="2"/>
  <c r="E5948" i="2"/>
  <c r="F5948" i="2" s="1"/>
  <c r="C5948" i="2"/>
  <c r="E5947" i="2"/>
  <c r="F5947" i="2" s="1"/>
  <c r="C5947" i="2"/>
  <c r="E5946" i="2"/>
  <c r="F5946" i="2" s="1"/>
  <c r="C5946" i="2"/>
  <c r="E5945" i="2"/>
  <c r="F5945" i="2" s="1"/>
  <c r="C5945" i="2"/>
  <c r="E5944" i="2"/>
  <c r="F5944" i="2" s="1"/>
  <c r="C5944" i="2"/>
  <c r="E5943" i="2"/>
  <c r="F5943" i="2" s="1"/>
  <c r="C5943" i="2"/>
  <c r="E5942" i="2"/>
  <c r="F5942" i="2" s="1"/>
  <c r="C5942" i="2"/>
  <c r="E5941" i="2"/>
  <c r="F5941" i="2" s="1"/>
  <c r="C5941" i="2"/>
  <c r="E5940" i="2"/>
  <c r="F5940" i="2" s="1"/>
  <c r="C5940" i="2"/>
  <c r="E5939" i="2"/>
  <c r="F5939" i="2" s="1"/>
  <c r="C5939" i="2"/>
  <c r="E5938" i="2"/>
  <c r="F5938" i="2" s="1"/>
  <c r="C5938" i="2"/>
  <c r="E5937" i="2"/>
  <c r="F5937" i="2" s="1"/>
  <c r="C5937" i="2"/>
  <c r="E5936" i="2"/>
  <c r="F5936" i="2" s="1"/>
  <c r="C5936" i="2"/>
  <c r="E5935" i="2"/>
  <c r="F5935" i="2" s="1"/>
  <c r="C5935" i="2"/>
  <c r="E5934" i="2"/>
  <c r="F5934" i="2" s="1"/>
  <c r="C5934" i="2"/>
  <c r="E5933" i="2"/>
  <c r="F5933" i="2" s="1"/>
  <c r="C5933" i="2"/>
  <c r="E5932" i="2"/>
  <c r="F5932" i="2" s="1"/>
  <c r="C5932" i="2"/>
  <c r="E5931" i="2"/>
  <c r="F5931" i="2" s="1"/>
  <c r="C5931" i="2"/>
  <c r="E5930" i="2"/>
  <c r="F5930" i="2" s="1"/>
  <c r="C5930" i="2"/>
  <c r="E5929" i="2"/>
  <c r="F5929" i="2" s="1"/>
  <c r="C5929" i="2"/>
  <c r="E5928" i="2"/>
  <c r="F5928" i="2" s="1"/>
  <c r="C5928" i="2"/>
  <c r="E5927" i="2"/>
  <c r="F5927" i="2" s="1"/>
  <c r="C5927" i="2"/>
  <c r="E5926" i="2"/>
  <c r="F5926" i="2" s="1"/>
  <c r="C5926" i="2"/>
  <c r="E5925" i="2"/>
  <c r="F5925" i="2" s="1"/>
  <c r="C5925" i="2"/>
  <c r="E5924" i="2"/>
  <c r="F5924" i="2" s="1"/>
  <c r="C5924" i="2"/>
  <c r="E5923" i="2"/>
  <c r="F5923" i="2" s="1"/>
  <c r="C5923" i="2"/>
  <c r="E5922" i="2"/>
  <c r="F5922" i="2" s="1"/>
  <c r="C5922" i="2"/>
  <c r="E5921" i="2"/>
  <c r="F5921" i="2" s="1"/>
  <c r="C5921" i="2"/>
  <c r="E5920" i="2"/>
  <c r="F5920" i="2" s="1"/>
  <c r="C5920" i="2"/>
  <c r="E5919" i="2"/>
  <c r="F5919" i="2" s="1"/>
  <c r="C5919" i="2"/>
  <c r="E5918" i="2"/>
  <c r="F5918" i="2" s="1"/>
  <c r="C5918" i="2"/>
  <c r="E5917" i="2"/>
  <c r="F5917" i="2" s="1"/>
  <c r="C5917" i="2"/>
  <c r="E5916" i="2"/>
  <c r="F5916" i="2" s="1"/>
  <c r="C5916" i="2"/>
  <c r="E5915" i="2"/>
  <c r="F5915" i="2" s="1"/>
  <c r="C5915" i="2"/>
  <c r="E5914" i="2"/>
  <c r="F5914" i="2" s="1"/>
  <c r="C5914" i="2"/>
  <c r="E5913" i="2"/>
  <c r="F5913" i="2" s="1"/>
  <c r="C5913" i="2"/>
  <c r="E5912" i="2"/>
  <c r="F5912" i="2" s="1"/>
  <c r="C5912" i="2"/>
  <c r="E5911" i="2"/>
  <c r="F5911" i="2" s="1"/>
  <c r="C5911" i="2"/>
  <c r="E5910" i="2"/>
  <c r="F5910" i="2" s="1"/>
  <c r="C5910" i="2"/>
  <c r="E5909" i="2"/>
  <c r="F5909" i="2" s="1"/>
  <c r="C5909" i="2"/>
  <c r="E5908" i="2"/>
  <c r="F5908" i="2" s="1"/>
  <c r="C5908" i="2"/>
  <c r="E5907" i="2"/>
  <c r="F5907" i="2" s="1"/>
  <c r="C5907" i="2"/>
  <c r="E5906" i="2"/>
  <c r="F5906" i="2" s="1"/>
  <c r="C5906" i="2"/>
  <c r="E5905" i="2"/>
  <c r="F5905" i="2" s="1"/>
  <c r="C5905" i="2"/>
  <c r="E5904" i="2"/>
  <c r="F5904" i="2" s="1"/>
  <c r="C5904" i="2"/>
  <c r="E5903" i="2"/>
  <c r="F5903" i="2" s="1"/>
  <c r="C5903" i="2"/>
  <c r="E5902" i="2"/>
  <c r="F5902" i="2" s="1"/>
  <c r="C5902" i="2"/>
  <c r="E5901" i="2"/>
  <c r="F5901" i="2" s="1"/>
  <c r="C5901" i="2"/>
  <c r="E5900" i="2"/>
  <c r="F5900" i="2" s="1"/>
  <c r="C5900" i="2"/>
  <c r="E5899" i="2"/>
  <c r="F5899" i="2" s="1"/>
  <c r="C5899" i="2"/>
  <c r="E5898" i="2"/>
  <c r="F5898" i="2" s="1"/>
  <c r="C5898" i="2"/>
  <c r="E5897" i="2"/>
  <c r="F5897" i="2" s="1"/>
  <c r="C5897" i="2"/>
  <c r="E5896" i="2"/>
  <c r="F5896" i="2" s="1"/>
  <c r="C5896" i="2"/>
  <c r="E5895" i="2"/>
  <c r="F5895" i="2" s="1"/>
  <c r="C5895" i="2"/>
  <c r="E5894" i="2"/>
  <c r="F5894" i="2" s="1"/>
  <c r="C5894" i="2"/>
  <c r="E5893" i="2"/>
  <c r="F5893" i="2" s="1"/>
  <c r="C5893" i="2"/>
  <c r="E5892" i="2"/>
  <c r="F5892" i="2" s="1"/>
  <c r="C5892" i="2"/>
  <c r="E5891" i="2"/>
  <c r="F5891" i="2" s="1"/>
  <c r="C5891" i="2"/>
  <c r="E5890" i="2"/>
  <c r="F5890" i="2" s="1"/>
  <c r="C5890" i="2"/>
  <c r="E5889" i="2"/>
  <c r="F5889" i="2" s="1"/>
  <c r="C5889" i="2"/>
  <c r="E5888" i="2"/>
  <c r="F5888" i="2" s="1"/>
  <c r="C5888" i="2"/>
  <c r="E5887" i="2"/>
  <c r="F5887" i="2" s="1"/>
  <c r="C5887" i="2"/>
  <c r="E5886" i="2"/>
  <c r="F5886" i="2" s="1"/>
  <c r="C5886" i="2"/>
  <c r="E5885" i="2"/>
  <c r="F5885" i="2" s="1"/>
  <c r="C5885" i="2"/>
  <c r="E5884" i="2"/>
  <c r="F5884" i="2" s="1"/>
  <c r="C5884" i="2"/>
  <c r="E5883" i="2"/>
  <c r="F5883" i="2" s="1"/>
  <c r="C5883" i="2"/>
  <c r="E5882" i="2"/>
  <c r="F5882" i="2" s="1"/>
  <c r="C5882" i="2"/>
  <c r="E5881" i="2"/>
  <c r="F5881" i="2" s="1"/>
  <c r="C5881" i="2"/>
  <c r="E5880" i="2"/>
  <c r="F5880" i="2" s="1"/>
  <c r="C5880" i="2"/>
  <c r="E5879" i="2"/>
  <c r="F5879" i="2" s="1"/>
  <c r="C5879" i="2"/>
  <c r="E5878" i="2"/>
  <c r="F5878" i="2" s="1"/>
  <c r="C5878" i="2"/>
  <c r="E5877" i="2"/>
  <c r="F5877" i="2" s="1"/>
  <c r="C5877" i="2"/>
  <c r="E5876" i="2"/>
  <c r="F5876" i="2" s="1"/>
  <c r="C5876" i="2"/>
  <c r="E5875" i="2"/>
  <c r="F5875" i="2" s="1"/>
  <c r="C5875" i="2"/>
  <c r="E5874" i="2"/>
  <c r="F5874" i="2" s="1"/>
  <c r="C5874" i="2"/>
  <c r="E5873" i="2"/>
  <c r="F5873" i="2" s="1"/>
  <c r="C5873" i="2"/>
  <c r="E5872" i="2"/>
  <c r="F5872" i="2" s="1"/>
  <c r="C5872" i="2"/>
  <c r="E5871" i="2"/>
  <c r="F5871" i="2" s="1"/>
  <c r="C5871" i="2"/>
  <c r="E5870" i="2"/>
  <c r="F5870" i="2" s="1"/>
  <c r="C5870" i="2"/>
  <c r="E5869" i="2"/>
  <c r="F5869" i="2" s="1"/>
  <c r="C5869" i="2"/>
  <c r="E5868" i="2"/>
  <c r="F5868" i="2" s="1"/>
  <c r="C5868" i="2"/>
  <c r="E5867" i="2"/>
  <c r="F5867" i="2" s="1"/>
  <c r="C5867" i="2"/>
  <c r="E5866" i="2"/>
  <c r="F5866" i="2" s="1"/>
  <c r="C5866" i="2"/>
  <c r="E5865" i="2"/>
  <c r="F5865" i="2" s="1"/>
  <c r="C5865" i="2"/>
  <c r="E5864" i="2"/>
  <c r="F5864" i="2" s="1"/>
  <c r="C5864" i="2"/>
  <c r="E5863" i="2"/>
  <c r="F5863" i="2" s="1"/>
  <c r="C5863" i="2"/>
  <c r="E5862" i="2"/>
  <c r="F5862" i="2" s="1"/>
  <c r="C5862" i="2"/>
  <c r="E5861" i="2"/>
  <c r="F5861" i="2" s="1"/>
  <c r="C5861" i="2"/>
  <c r="E5860" i="2"/>
  <c r="F5860" i="2" s="1"/>
  <c r="C5860" i="2"/>
  <c r="E5859" i="2"/>
  <c r="F5859" i="2" s="1"/>
  <c r="C5859" i="2"/>
  <c r="E5858" i="2"/>
  <c r="F5858" i="2" s="1"/>
  <c r="C5858" i="2"/>
  <c r="E5857" i="2"/>
  <c r="F5857" i="2" s="1"/>
  <c r="C5857" i="2"/>
  <c r="E5856" i="2"/>
  <c r="F5856" i="2" s="1"/>
  <c r="C5856" i="2"/>
  <c r="E5855" i="2"/>
  <c r="F5855" i="2" s="1"/>
  <c r="C5855" i="2"/>
  <c r="E5854" i="2"/>
  <c r="F5854" i="2" s="1"/>
  <c r="C5854" i="2"/>
  <c r="E5853" i="2"/>
  <c r="F5853" i="2" s="1"/>
  <c r="C5853" i="2"/>
  <c r="E5852" i="2"/>
  <c r="F5852" i="2" s="1"/>
  <c r="C5852" i="2"/>
  <c r="E5851" i="2"/>
  <c r="F5851" i="2" s="1"/>
  <c r="C5851" i="2"/>
  <c r="E5850" i="2"/>
  <c r="F5850" i="2" s="1"/>
  <c r="C5850" i="2"/>
  <c r="E5849" i="2"/>
  <c r="F5849" i="2" s="1"/>
  <c r="C5849" i="2"/>
  <c r="E5848" i="2"/>
  <c r="F5848" i="2" s="1"/>
  <c r="C5848" i="2"/>
  <c r="E5847" i="2"/>
  <c r="F5847" i="2" s="1"/>
  <c r="C5847" i="2"/>
  <c r="E5846" i="2"/>
  <c r="F5846" i="2" s="1"/>
  <c r="C5846" i="2"/>
  <c r="E5845" i="2"/>
  <c r="F5845" i="2" s="1"/>
  <c r="C5845" i="2"/>
  <c r="E5844" i="2"/>
  <c r="F5844" i="2" s="1"/>
  <c r="C5844" i="2"/>
  <c r="E5843" i="2"/>
  <c r="F5843" i="2" s="1"/>
  <c r="C5843" i="2"/>
  <c r="E5842" i="2"/>
  <c r="F5842" i="2" s="1"/>
  <c r="C5842" i="2"/>
  <c r="E5841" i="2"/>
  <c r="F5841" i="2" s="1"/>
  <c r="C5841" i="2"/>
  <c r="E5840" i="2"/>
  <c r="F5840" i="2" s="1"/>
  <c r="C5840" i="2"/>
  <c r="E5839" i="2"/>
  <c r="F5839" i="2" s="1"/>
  <c r="C5839" i="2"/>
  <c r="E5838" i="2"/>
  <c r="F5838" i="2" s="1"/>
  <c r="C5838" i="2"/>
  <c r="E5837" i="2"/>
  <c r="F5837" i="2" s="1"/>
  <c r="C5837" i="2"/>
  <c r="E5836" i="2"/>
  <c r="F5836" i="2" s="1"/>
  <c r="C5836" i="2"/>
  <c r="E5835" i="2"/>
  <c r="F5835" i="2" s="1"/>
  <c r="C5835" i="2"/>
  <c r="E5834" i="2"/>
  <c r="F5834" i="2" s="1"/>
  <c r="C5834" i="2"/>
  <c r="E5833" i="2"/>
  <c r="F5833" i="2" s="1"/>
  <c r="C5833" i="2"/>
  <c r="E5832" i="2"/>
  <c r="F5832" i="2" s="1"/>
  <c r="C5832" i="2"/>
  <c r="E5831" i="2"/>
  <c r="F5831" i="2" s="1"/>
  <c r="C5831" i="2"/>
  <c r="E5830" i="2"/>
  <c r="F5830" i="2" s="1"/>
  <c r="C5830" i="2"/>
  <c r="E5829" i="2"/>
  <c r="F5829" i="2" s="1"/>
  <c r="C5829" i="2"/>
  <c r="E5828" i="2"/>
  <c r="F5828" i="2" s="1"/>
  <c r="C5828" i="2"/>
  <c r="E5827" i="2"/>
  <c r="F5827" i="2" s="1"/>
  <c r="C5827" i="2"/>
  <c r="E5826" i="2"/>
  <c r="F5826" i="2" s="1"/>
  <c r="C5826" i="2"/>
  <c r="E5825" i="2"/>
  <c r="F5825" i="2" s="1"/>
  <c r="C5825" i="2"/>
  <c r="E5824" i="2"/>
  <c r="F5824" i="2" s="1"/>
  <c r="C5824" i="2"/>
  <c r="E5823" i="2"/>
  <c r="F5823" i="2" s="1"/>
  <c r="C5823" i="2"/>
  <c r="E5822" i="2"/>
  <c r="F5822" i="2" s="1"/>
  <c r="C5822" i="2"/>
  <c r="E5821" i="2"/>
  <c r="F5821" i="2" s="1"/>
  <c r="C5821" i="2"/>
  <c r="E5820" i="2"/>
  <c r="F5820" i="2" s="1"/>
  <c r="C5820" i="2"/>
  <c r="E5819" i="2"/>
  <c r="F5819" i="2" s="1"/>
  <c r="C5819" i="2"/>
  <c r="E5818" i="2"/>
  <c r="F5818" i="2" s="1"/>
  <c r="C5818" i="2"/>
  <c r="E5817" i="2"/>
  <c r="F5817" i="2" s="1"/>
  <c r="C5817" i="2"/>
  <c r="E5816" i="2"/>
  <c r="F5816" i="2" s="1"/>
  <c r="C5816" i="2"/>
  <c r="E5815" i="2"/>
  <c r="F5815" i="2" s="1"/>
  <c r="C5815" i="2"/>
  <c r="E5814" i="2"/>
  <c r="F5814" i="2" s="1"/>
  <c r="C5814" i="2"/>
  <c r="E5813" i="2"/>
  <c r="F5813" i="2" s="1"/>
  <c r="C5813" i="2"/>
  <c r="E5812" i="2"/>
  <c r="F5812" i="2" s="1"/>
  <c r="C5812" i="2"/>
  <c r="E5811" i="2"/>
  <c r="F5811" i="2" s="1"/>
  <c r="C5811" i="2"/>
  <c r="E5810" i="2"/>
  <c r="F5810" i="2" s="1"/>
  <c r="C5810" i="2"/>
  <c r="E5809" i="2"/>
  <c r="F5809" i="2" s="1"/>
  <c r="C5809" i="2"/>
  <c r="E5808" i="2"/>
  <c r="F5808" i="2" s="1"/>
  <c r="C5808" i="2"/>
  <c r="E5807" i="2"/>
  <c r="F5807" i="2" s="1"/>
  <c r="C5807" i="2"/>
  <c r="E5806" i="2"/>
  <c r="F5806" i="2" s="1"/>
  <c r="C5806" i="2"/>
  <c r="E5805" i="2"/>
  <c r="F5805" i="2" s="1"/>
  <c r="C5805" i="2"/>
  <c r="E5804" i="2"/>
  <c r="F5804" i="2" s="1"/>
  <c r="C5804" i="2"/>
  <c r="E5803" i="2"/>
  <c r="F5803" i="2" s="1"/>
  <c r="C5803" i="2"/>
  <c r="E5802" i="2"/>
  <c r="F5802" i="2" s="1"/>
  <c r="C5802" i="2"/>
  <c r="E5801" i="2"/>
  <c r="F5801" i="2" s="1"/>
  <c r="C5801" i="2"/>
  <c r="E5800" i="2"/>
  <c r="F5800" i="2" s="1"/>
  <c r="C5800" i="2"/>
  <c r="E5799" i="2"/>
  <c r="F5799" i="2" s="1"/>
  <c r="C5799" i="2"/>
  <c r="E5798" i="2"/>
  <c r="F5798" i="2" s="1"/>
  <c r="C5798" i="2"/>
  <c r="E5797" i="2"/>
  <c r="F5797" i="2" s="1"/>
  <c r="C5797" i="2"/>
  <c r="E5796" i="2"/>
  <c r="F5796" i="2" s="1"/>
  <c r="C5796" i="2"/>
  <c r="E5795" i="2"/>
  <c r="F5795" i="2" s="1"/>
  <c r="C5795" i="2"/>
  <c r="E5794" i="2"/>
  <c r="F5794" i="2" s="1"/>
  <c r="C5794" i="2"/>
  <c r="E5793" i="2"/>
  <c r="F5793" i="2" s="1"/>
  <c r="C5793" i="2"/>
  <c r="E5792" i="2"/>
  <c r="F5792" i="2" s="1"/>
  <c r="C5792" i="2"/>
  <c r="E5791" i="2"/>
  <c r="F5791" i="2" s="1"/>
  <c r="C5791" i="2"/>
  <c r="E5790" i="2"/>
  <c r="F5790" i="2" s="1"/>
  <c r="C5790" i="2"/>
  <c r="E5789" i="2"/>
  <c r="F5789" i="2" s="1"/>
  <c r="C5789" i="2"/>
  <c r="E5788" i="2"/>
  <c r="F5788" i="2" s="1"/>
  <c r="C5788" i="2"/>
  <c r="E5787" i="2"/>
  <c r="F5787" i="2" s="1"/>
  <c r="C5787" i="2"/>
  <c r="E5786" i="2"/>
  <c r="F5786" i="2" s="1"/>
  <c r="C5786" i="2"/>
  <c r="E5785" i="2"/>
  <c r="F5785" i="2" s="1"/>
  <c r="C5785" i="2"/>
  <c r="E5784" i="2"/>
  <c r="F5784" i="2" s="1"/>
  <c r="C5784" i="2"/>
  <c r="E5783" i="2"/>
  <c r="F5783" i="2" s="1"/>
  <c r="C5783" i="2"/>
  <c r="E5782" i="2"/>
  <c r="F5782" i="2" s="1"/>
  <c r="C5782" i="2"/>
  <c r="E5781" i="2"/>
  <c r="F5781" i="2" s="1"/>
  <c r="C5781" i="2"/>
  <c r="E5780" i="2"/>
  <c r="F5780" i="2" s="1"/>
  <c r="C5780" i="2"/>
  <c r="E5779" i="2"/>
  <c r="F5779" i="2" s="1"/>
  <c r="C5779" i="2"/>
  <c r="E5778" i="2"/>
  <c r="F5778" i="2" s="1"/>
  <c r="C5778" i="2"/>
  <c r="E5777" i="2"/>
  <c r="F5777" i="2" s="1"/>
  <c r="C5777" i="2"/>
  <c r="E5776" i="2"/>
  <c r="F5776" i="2" s="1"/>
  <c r="C5776" i="2"/>
  <c r="E5775" i="2"/>
  <c r="F5775" i="2" s="1"/>
  <c r="C5775" i="2"/>
  <c r="E5774" i="2"/>
  <c r="F5774" i="2" s="1"/>
  <c r="C5774" i="2"/>
  <c r="E5773" i="2"/>
  <c r="F5773" i="2" s="1"/>
  <c r="C5773" i="2"/>
  <c r="E5772" i="2"/>
  <c r="F5772" i="2" s="1"/>
  <c r="C5772" i="2"/>
  <c r="E5771" i="2"/>
  <c r="F5771" i="2" s="1"/>
  <c r="C5771" i="2"/>
  <c r="E5770" i="2"/>
  <c r="F5770" i="2" s="1"/>
  <c r="C5770" i="2"/>
  <c r="E5769" i="2"/>
  <c r="F5769" i="2" s="1"/>
  <c r="C5769" i="2"/>
  <c r="E5768" i="2"/>
  <c r="F5768" i="2" s="1"/>
  <c r="C5768" i="2"/>
  <c r="E5767" i="2"/>
  <c r="F5767" i="2" s="1"/>
  <c r="C5767" i="2"/>
  <c r="E5766" i="2"/>
  <c r="F5766" i="2" s="1"/>
  <c r="C5766" i="2"/>
  <c r="E5765" i="2"/>
  <c r="F5765" i="2" s="1"/>
  <c r="C5765" i="2"/>
  <c r="E5764" i="2"/>
  <c r="F5764" i="2" s="1"/>
  <c r="C5764" i="2"/>
  <c r="E5763" i="2"/>
  <c r="F5763" i="2" s="1"/>
  <c r="C5763" i="2"/>
  <c r="E5762" i="2"/>
  <c r="F5762" i="2" s="1"/>
  <c r="C5762" i="2"/>
  <c r="E5761" i="2"/>
  <c r="F5761" i="2" s="1"/>
  <c r="C5761" i="2"/>
  <c r="E5760" i="2"/>
  <c r="F5760" i="2" s="1"/>
  <c r="C5760" i="2"/>
  <c r="E5759" i="2"/>
  <c r="F5759" i="2" s="1"/>
  <c r="C5759" i="2"/>
  <c r="E5758" i="2"/>
  <c r="F5758" i="2" s="1"/>
  <c r="C5758" i="2"/>
  <c r="E5757" i="2"/>
  <c r="F5757" i="2" s="1"/>
  <c r="C5757" i="2"/>
  <c r="E5756" i="2"/>
  <c r="F5756" i="2" s="1"/>
  <c r="C5756" i="2"/>
  <c r="E5755" i="2"/>
  <c r="F5755" i="2" s="1"/>
  <c r="C5755" i="2"/>
  <c r="E5754" i="2"/>
  <c r="F5754" i="2" s="1"/>
  <c r="C5754" i="2"/>
  <c r="E5753" i="2"/>
  <c r="F5753" i="2" s="1"/>
  <c r="C5753" i="2"/>
  <c r="E5752" i="2"/>
  <c r="F5752" i="2" s="1"/>
  <c r="C5752" i="2"/>
  <c r="E5751" i="2"/>
  <c r="F5751" i="2" s="1"/>
  <c r="C5751" i="2"/>
  <c r="E5750" i="2"/>
  <c r="F5750" i="2" s="1"/>
  <c r="C5750" i="2"/>
  <c r="E5749" i="2"/>
  <c r="F5749" i="2" s="1"/>
  <c r="C5749" i="2"/>
  <c r="E5748" i="2"/>
  <c r="F5748" i="2" s="1"/>
  <c r="C5748" i="2"/>
  <c r="E5747" i="2"/>
  <c r="F5747" i="2" s="1"/>
  <c r="C5747" i="2"/>
  <c r="E5746" i="2"/>
  <c r="F5746" i="2" s="1"/>
  <c r="C5746" i="2"/>
  <c r="E5745" i="2"/>
  <c r="F5745" i="2" s="1"/>
  <c r="C5745" i="2"/>
  <c r="E5744" i="2"/>
  <c r="F5744" i="2" s="1"/>
  <c r="C5744" i="2"/>
  <c r="E5743" i="2"/>
  <c r="F5743" i="2" s="1"/>
  <c r="C5743" i="2"/>
  <c r="E5742" i="2"/>
  <c r="F5742" i="2" s="1"/>
  <c r="C5742" i="2"/>
  <c r="E5741" i="2"/>
  <c r="F5741" i="2" s="1"/>
  <c r="C5741" i="2"/>
  <c r="E5740" i="2"/>
  <c r="F5740" i="2" s="1"/>
  <c r="C5740" i="2"/>
  <c r="E5739" i="2"/>
  <c r="F5739" i="2" s="1"/>
  <c r="C5739" i="2"/>
  <c r="E5738" i="2"/>
  <c r="F5738" i="2" s="1"/>
  <c r="C5738" i="2"/>
  <c r="E5737" i="2"/>
  <c r="F5737" i="2" s="1"/>
  <c r="C5737" i="2"/>
  <c r="E5736" i="2"/>
  <c r="F5736" i="2" s="1"/>
  <c r="C5736" i="2"/>
  <c r="E5735" i="2"/>
  <c r="F5735" i="2" s="1"/>
  <c r="C5735" i="2"/>
  <c r="E5734" i="2"/>
  <c r="F5734" i="2" s="1"/>
  <c r="C5734" i="2"/>
  <c r="E5733" i="2"/>
  <c r="F5733" i="2" s="1"/>
  <c r="C5733" i="2"/>
  <c r="E5732" i="2"/>
  <c r="F5732" i="2" s="1"/>
  <c r="C5732" i="2"/>
  <c r="E5731" i="2"/>
  <c r="F5731" i="2" s="1"/>
  <c r="C5731" i="2"/>
  <c r="E5730" i="2"/>
  <c r="F5730" i="2" s="1"/>
  <c r="C5730" i="2"/>
  <c r="E5729" i="2"/>
  <c r="F5729" i="2" s="1"/>
  <c r="C5729" i="2"/>
  <c r="E5728" i="2"/>
  <c r="F5728" i="2" s="1"/>
  <c r="C5728" i="2"/>
  <c r="E5727" i="2"/>
  <c r="F5727" i="2" s="1"/>
  <c r="C5727" i="2"/>
  <c r="E5726" i="2"/>
  <c r="F5726" i="2" s="1"/>
  <c r="C5726" i="2"/>
  <c r="E5725" i="2"/>
  <c r="F5725" i="2" s="1"/>
  <c r="C5725" i="2"/>
  <c r="E5724" i="2"/>
  <c r="F5724" i="2" s="1"/>
  <c r="C5724" i="2"/>
  <c r="E5723" i="2"/>
  <c r="F5723" i="2" s="1"/>
  <c r="C5723" i="2"/>
  <c r="E5722" i="2"/>
  <c r="F5722" i="2" s="1"/>
  <c r="C5722" i="2"/>
  <c r="E5721" i="2"/>
  <c r="F5721" i="2" s="1"/>
  <c r="C5721" i="2"/>
  <c r="E5720" i="2"/>
  <c r="F5720" i="2" s="1"/>
  <c r="C5720" i="2"/>
  <c r="E5719" i="2"/>
  <c r="F5719" i="2" s="1"/>
  <c r="C5719" i="2"/>
  <c r="E5718" i="2"/>
  <c r="F5718" i="2" s="1"/>
  <c r="C5718" i="2"/>
  <c r="E5717" i="2"/>
  <c r="F5717" i="2" s="1"/>
  <c r="C5717" i="2"/>
  <c r="E5716" i="2"/>
  <c r="F5716" i="2" s="1"/>
  <c r="C5716" i="2"/>
  <c r="E5715" i="2"/>
  <c r="F5715" i="2" s="1"/>
  <c r="C5715" i="2"/>
  <c r="E5714" i="2"/>
  <c r="F5714" i="2" s="1"/>
  <c r="C5714" i="2"/>
  <c r="E5713" i="2"/>
  <c r="F5713" i="2" s="1"/>
  <c r="C5713" i="2"/>
  <c r="E5712" i="2"/>
  <c r="F5712" i="2" s="1"/>
  <c r="C5712" i="2"/>
  <c r="E5711" i="2"/>
  <c r="F5711" i="2" s="1"/>
  <c r="C5711" i="2"/>
  <c r="E5710" i="2"/>
  <c r="F5710" i="2" s="1"/>
  <c r="C5710" i="2"/>
  <c r="E5709" i="2"/>
  <c r="F5709" i="2" s="1"/>
  <c r="C5709" i="2"/>
  <c r="E5708" i="2"/>
  <c r="F5708" i="2" s="1"/>
  <c r="C5708" i="2"/>
  <c r="E5707" i="2"/>
  <c r="F5707" i="2" s="1"/>
  <c r="C5707" i="2"/>
  <c r="E5706" i="2"/>
  <c r="F5706" i="2" s="1"/>
  <c r="C5706" i="2"/>
  <c r="E5705" i="2"/>
  <c r="F5705" i="2" s="1"/>
  <c r="C5705" i="2"/>
  <c r="E5704" i="2"/>
  <c r="F5704" i="2" s="1"/>
  <c r="C5704" i="2"/>
  <c r="E5703" i="2"/>
  <c r="F5703" i="2" s="1"/>
  <c r="C5703" i="2"/>
  <c r="E5702" i="2"/>
  <c r="F5702" i="2" s="1"/>
  <c r="C5702" i="2"/>
  <c r="E5701" i="2"/>
  <c r="F5701" i="2" s="1"/>
  <c r="C5701" i="2"/>
  <c r="E5700" i="2"/>
  <c r="F5700" i="2" s="1"/>
  <c r="C5700" i="2"/>
  <c r="E5699" i="2"/>
  <c r="F5699" i="2" s="1"/>
  <c r="C5699" i="2"/>
  <c r="E5698" i="2"/>
  <c r="F5698" i="2" s="1"/>
  <c r="C5698" i="2"/>
  <c r="E5697" i="2"/>
  <c r="F5697" i="2" s="1"/>
  <c r="C5697" i="2"/>
  <c r="E5696" i="2"/>
  <c r="F5696" i="2" s="1"/>
  <c r="C5696" i="2"/>
  <c r="E5695" i="2"/>
  <c r="F5695" i="2" s="1"/>
  <c r="C5695" i="2"/>
  <c r="E5694" i="2"/>
  <c r="F5694" i="2" s="1"/>
  <c r="C5694" i="2"/>
  <c r="E5693" i="2"/>
  <c r="F5693" i="2" s="1"/>
  <c r="C5693" i="2"/>
  <c r="E5692" i="2"/>
  <c r="F5692" i="2" s="1"/>
  <c r="C5692" i="2"/>
  <c r="E5691" i="2"/>
  <c r="F5691" i="2" s="1"/>
  <c r="C5691" i="2"/>
  <c r="E5690" i="2"/>
  <c r="F5690" i="2" s="1"/>
  <c r="C5690" i="2"/>
  <c r="E5689" i="2"/>
  <c r="F5689" i="2" s="1"/>
  <c r="C5689" i="2"/>
  <c r="E5688" i="2"/>
  <c r="F5688" i="2" s="1"/>
  <c r="C5688" i="2"/>
  <c r="E5687" i="2"/>
  <c r="F5687" i="2" s="1"/>
  <c r="C5687" i="2"/>
  <c r="E5686" i="2"/>
  <c r="F5686" i="2" s="1"/>
  <c r="C5686" i="2"/>
  <c r="E5685" i="2"/>
  <c r="F5685" i="2" s="1"/>
  <c r="C5685" i="2"/>
  <c r="E5684" i="2"/>
  <c r="F5684" i="2" s="1"/>
  <c r="C5684" i="2"/>
  <c r="E5683" i="2"/>
  <c r="F5683" i="2" s="1"/>
  <c r="C5683" i="2"/>
  <c r="E5682" i="2"/>
  <c r="F5682" i="2" s="1"/>
  <c r="C5682" i="2"/>
  <c r="E5681" i="2"/>
  <c r="F5681" i="2" s="1"/>
  <c r="C5681" i="2"/>
  <c r="E5680" i="2"/>
  <c r="F5680" i="2" s="1"/>
  <c r="C5680" i="2"/>
  <c r="E5679" i="2"/>
  <c r="F5679" i="2" s="1"/>
  <c r="C5679" i="2"/>
  <c r="E5678" i="2"/>
  <c r="F5678" i="2" s="1"/>
  <c r="C5678" i="2"/>
  <c r="E5677" i="2"/>
  <c r="F5677" i="2" s="1"/>
  <c r="C5677" i="2"/>
  <c r="E5676" i="2"/>
  <c r="F5676" i="2" s="1"/>
  <c r="C5676" i="2"/>
  <c r="E5675" i="2"/>
  <c r="F5675" i="2" s="1"/>
  <c r="C5675" i="2"/>
  <c r="E5674" i="2"/>
  <c r="F5674" i="2" s="1"/>
  <c r="C5674" i="2"/>
  <c r="E5673" i="2"/>
  <c r="F5673" i="2" s="1"/>
  <c r="C5673" i="2"/>
  <c r="E5672" i="2"/>
  <c r="F5672" i="2" s="1"/>
  <c r="C5672" i="2"/>
  <c r="E5671" i="2"/>
  <c r="F5671" i="2" s="1"/>
  <c r="C5671" i="2"/>
  <c r="E5670" i="2"/>
  <c r="F5670" i="2" s="1"/>
  <c r="C5670" i="2"/>
  <c r="E5669" i="2"/>
  <c r="F5669" i="2" s="1"/>
  <c r="C5669" i="2"/>
  <c r="E5668" i="2"/>
  <c r="F5668" i="2" s="1"/>
  <c r="C5668" i="2"/>
  <c r="E5667" i="2"/>
  <c r="F5667" i="2" s="1"/>
  <c r="C5667" i="2"/>
  <c r="E5666" i="2"/>
  <c r="F5666" i="2" s="1"/>
  <c r="C5666" i="2"/>
  <c r="E5665" i="2"/>
  <c r="F5665" i="2" s="1"/>
  <c r="C5665" i="2"/>
  <c r="E5664" i="2"/>
  <c r="F5664" i="2" s="1"/>
  <c r="C5664" i="2"/>
  <c r="E5663" i="2"/>
  <c r="F5663" i="2" s="1"/>
  <c r="C5663" i="2"/>
  <c r="E5662" i="2"/>
  <c r="F5662" i="2" s="1"/>
  <c r="C5662" i="2"/>
  <c r="E5661" i="2"/>
  <c r="F5661" i="2" s="1"/>
  <c r="C5661" i="2"/>
  <c r="E5660" i="2"/>
  <c r="F5660" i="2" s="1"/>
  <c r="C5660" i="2"/>
  <c r="E5659" i="2"/>
  <c r="F5659" i="2" s="1"/>
  <c r="C5659" i="2"/>
  <c r="E5658" i="2"/>
  <c r="F5658" i="2" s="1"/>
  <c r="C5658" i="2"/>
  <c r="E5657" i="2"/>
  <c r="F5657" i="2" s="1"/>
  <c r="C5657" i="2"/>
  <c r="E5656" i="2"/>
  <c r="F5656" i="2" s="1"/>
  <c r="C5656" i="2"/>
  <c r="E5655" i="2"/>
  <c r="F5655" i="2" s="1"/>
  <c r="C5655" i="2"/>
  <c r="E5654" i="2"/>
  <c r="F5654" i="2" s="1"/>
  <c r="C5654" i="2"/>
  <c r="E5653" i="2"/>
  <c r="F5653" i="2" s="1"/>
  <c r="C5653" i="2"/>
  <c r="E5652" i="2"/>
  <c r="F5652" i="2" s="1"/>
  <c r="C5652" i="2"/>
  <c r="E5651" i="2"/>
  <c r="F5651" i="2" s="1"/>
  <c r="C5651" i="2"/>
  <c r="E5650" i="2"/>
  <c r="F5650" i="2" s="1"/>
  <c r="C5650" i="2"/>
  <c r="E5649" i="2"/>
  <c r="F5649" i="2" s="1"/>
  <c r="C5649" i="2"/>
  <c r="E5648" i="2"/>
  <c r="F5648" i="2" s="1"/>
  <c r="C5648" i="2"/>
  <c r="E5647" i="2"/>
  <c r="F5647" i="2" s="1"/>
  <c r="C5647" i="2"/>
  <c r="E5646" i="2"/>
  <c r="F5646" i="2" s="1"/>
  <c r="C5646" i="2"/>
  <c r="E5645" i="2"/>
  <c r="F5645" i="2" s="1"/>
  <c r="C5645" i="2"/>
  <c r="E5644" i="2"/>
  <c r="F5644" i="2" s="1"/>
  <c r="C5644" i="2"/>
  <c r="E5643" i="2"/>
  <c r="F5643" i="2" s="1"/>
  <c r="C5643" i="2"/>
  <c r="E5642" i="2"/>
  <c r="F5642" i="2" s="1"/>
  <c r="C5642" i="2"/>
  <c r="E5641" i="2"/>
  <c r="F5641" i="2" s="1"/>
  <c r="C5641" i="2"/>
  <c r="E5640" i="2"/>
  <c r="F5640" i="2" s="1"/>
  <c r="C5640" i="2"/>
  <c r="E5639" i="2"/>
  <c r="F5639" i="2" s="1"/>
  <c r="C5639" i="2"/>
  <c r="E5638" i="2"/>
  <c r="F5638" i="2" s="1"/>
  <c r="C5638" i="2"/>
  <c r="E5637" i="2"/>
  <c r="F5637" i="2" s="1"/>
  <c r="C5637" i="2"/>
  <c r="E5636" i="2"/>
  <c r="F5636" i="2" s="1"/>
  <c r="C5636" i="2"/>
  <c r="E5635" i="2"/>
  <c r="F5635" i="2" s="1"/>
  <c r="C5635" i="2"/>
  <c r="F5634" i="2"/>
  <c r="G5634" i="2" s="1"/>
  <c r="E5634" i="2"/>
  <c r="C5634" i="2"/>
  <c r="D5634" i="2" s="1"/>
  <c r="E5633" i="2"/>
  <c r="F5633" i="2" s="1"/>
  <c r="G5633" i="2" s="1"/>
  <c r="C5633" i="2"/>
  <c r="D5633" i="2" s="1"/>
  <c r="E5632" i="2"/>
  <c r="F5632" i="2" s="1"/>
  <c r="G5632" i="2" s="1"/>
  <c r="D5632" i="2"/>
  <c r="C5632" i="2"/>
  <c r="F5631" i="2"/>
  <c r="E5631" i="2"/>
  <c r="C5631" i="2"/>
  <c r="E5630" i="2"/>
  <c r="F5630" i="2" s="1"/>
  <c r="C5630" i="2"/>
  <c r="E5629" i="2"/>
  <c r="F5629" i="2" s="1"/>
  <c r="G5629" i="2" s="1"/>
  <c r="D5629" i="2"/>
  <c r="C5629" i="2"/>
  <c r="F5628" i="2"/>
  <c r="G5628" i="2" s="1"/>
  <c r="E5628" i="2"/>
  <c r="D5628" i="2"/>
  <c r="C5628" i="2"/>
  <c r="E5627" i="2"/>
  <c r="F5627" i="2" s="1"/>
  <c r="G5627" i="2" s="1"/>
  <c r="D5627" i="2"/>
  <c r="C5627" i="2"/>
  <c r="E5626" i="2"/>
  <c r="F5626" i="2" s="1"/>
  <c r="C5626" i="2"/>
  <c r="E5625" i="2"/>
  <c r="F5625" i="2" s="1"/>
  <c r="C5625" i="2"/>
  <c r="E5624" i="2"/>
  <c r="F5624" i="2" s="1"/>
  <c r="C5624" i="2"/>
  <c r="E5623" i="2"/>
  <c r="F5623" i="2" s="1"/>
  <c r="C5623" i="2"/>
  <c r="E5622" i="2"/>
  <c r="F5622" i="2" s="1"/>
  <c r="C5622" i="2"/>
  <c r="E5621" i="2"/>
  <c r="F5621" i="2" s="1"/>
  <c r="C5621" i="2"/>
  <c r="E5620" i="2"/>
  <c r="F5620" i="2" s="1"/>
  <c r="C5620" i="2"/>
  <c r="E5619" i="2"/>
  <c r="F5619" i="2" s="1"/>
  <c r="C5619" i="2"/>
  <c r="E5618" i="2"/>
  <c r="F5618" i="2" s="1"/>
  <c r="C5618" i="2"/>
  <c r="E5617" i="2"/>
  <c r="F5617" i="2" s="1"/>
  <c r="C5617" i="2"/>
  <c r="E5616" i="2"/>
  <c r="F5616" i="2" s="1"/>
  <c r="C5616" i="2"/>
  <c r="E5615" i="2"/>
  <c r="F5615" i="2" s="1"/>
  <c r="C5615" i="2"/>
  <c r="E5614" i="2"/>
  <c r="F5614" i="2" s="1"/>
  <c r="C5614" i="2"/>
  <c r="E5613" i="2"/>
  <c r="F5613" i="2" s="1"/>
  <c r="C5613" i="2"/>
  <c r="E5612" i="2"/>
  <c r="F5612" i="2" s="1"/>
  <c r="C5612" i="2"/>
  <c r="E5611" i="2"/>
  <c r="F5611" i="2" s="1"/>
  <c r="C5611" i="2"/>
  <c r="E5610" i="2"/>
  <c r="F5610" i="2" s="1"/>
  <c r="C5610" i="2"/>
  <c r="E5609" i="2"/>
  <c r="F5609" i="2" s="1"/>
  <c r="C5609" i="2"/>
  <c r="E5608" i="2"/>
  <c r="F5608" i="2" s="1"/>
  <c r="C5608" i="2"/>
  <c r="E5607" i="2"/>
  <c r="F5607" i="2" s="1"/>
  <c r="C5607" i="2"/>
  <c r="E5606" i="2"/>
  <c r="F5606" i="2" s="1"/>
  <c r="C5606" i="2"/>
  <c r="E5605" i="2"/>
  <c r="F5605" i="2" s="1"/>
  <c r="C5605" i="2"/>
  <c r="E5604" i="2"/>
  <c r="F5604" i="2" s="1"/>
  <c r="C5604" i="2"/>
  <c r="E5603" i="2"/>
  <c r="F5603" i="2" s="1"/>
  <c r="C5603" i="2"/>
  <c r="E5602" i="2"/>
  <c r="F5602" i="2" s="1"/>
  <c r="C5602" i="2"/>
  <c r="E5601" i="2"/>
  <c r="F5601" i="2" s="1"/>
  <c r="C5601" i="2"/>
  <c r="E5600" i="2"/>
  <c r="F5600" i="2" s="1"/>
  <c r="C5600" i="2"/>
  <c r="E5599" i="2"/>
  <c r="F5599" i="2" s="1"/>
  <c r="C5599" i="2"/>
  <c r="E5598" i="2"/>
  <c r="F5598" i="2" s="1"/>
  <c r="C5598" i="2"/>
  <c r="E5597" i="2"/>
  <c r="F5597" i="2" s="1"/>
  <c r="C5597" i="2"/>
  <c r="E5596" i="2"/>
  <c r="F5596" i="2" s="1"/>
  <c r="C5596" i="2"/>
  <c r="E5595" i="2"/>
  <c r="F5595" i="2" s="1"/>
  <c r="C5595" i="2"/>
  <c r="E5594" i="2"/>
  <c r="F5594" i="2" s="1"/>
  <c r="C5594" i="2"/>
  <c r="E5593" i="2"/>
  <c r="F5593" i="2" s="1"/>
  <c r="C5593" i="2"/>
  <c r="E5592" i="2"/>
  <c r="F5592" i="2" s="1"/>
  <c r="C5592" i="2"/>
  <c r="E5591" i="2"/>
  <c r="F5591" i="2" s="1"/>
  <c r="C5591" i="2"/>
  <c r="E5590" i="2"/>
  <c r="F5590" i="2" s="1"/>
  <c r="C5590" i="2"/>
  <c r="E5589" i="2"/>
  <c r="F5589" i="2" s="1"/>
  <c r="C5589" i="2"/>
  <c r="E5588" i="2"/>
  <c r="F5588" i="2" s="1"/>
  <c r="C5588" i="2"/>
  <c r="E5587" i="2"/>
  <c r="F5587" i="2" s="1"/>
  <c r="C5587" i="2"/>
  <c r="E5586" i="2"/>
  <c r="F5586" i="2" s="1"/>
  <c r="C5586" i="2"/>
  <c r="E5585" i="2"/>
  <c r="F5585" i="2" s="1"/>
  <c r="C5585" i="2"/>
  <c r="E5584" i="2"/>
  <c r="F5584" i="2" s="1"/>
  <c r="C5584" i="2"/>
  <c r="E5583" i="2"/>
  <c r="F5583" i="2" s="1"/>
  <c r="C5583" i="2"/>
  <c r="E5582" i="2"/>
  <c r="F5582" i="2" s="1"/>
  <c r="C5582" i="2"/>
  <c r="E5581" i="2"/>
  <c r="F5581" i="2" s="1"/>
  <c r="C5581" i="2"/>
  <c r="E5580" i="2"/>
  <c r="F5580" i="2" s="1"/>
  <c r="C5580" i="2"/>
  <c r="E5579" i="2"/>
  <c r="F5579" i="2" s="1"/>
  <c r="C5579" i="2"/>
  <c r="E5578" i="2"/>
  <c r="F5578" i="2" s="1"/>
  <c r="C5578" i="2"/>
  <c r="E5577" i="2"/>
  <c r="F5577" i="2" s="1"/>
  <c r="C5577" i="2"/>
  <c r="E5576" i="2"/>
  <c r="F5576" i="2" s="1"/>
  <c r="C5576" i="2"/>
  <c r="E5575" i="2"/>
  <c r="F5575" i="2" s="1"/>
  <c r="C5575" i="2"/>
  <c r="E5574" i="2"/>
  <c r="F5574" i="2" s="1"/>
  <c r="C5574" i="2"/>
  <c r="E5573" i="2"/>
  <c r="F5573" i="2" s="1"/>
  <c r="C5573" i="2"/>
  <c r="E5572" i="2"/>
  <c r="F5572" i="2" s="1"/>
  <c r="C5572" i="2"/>
  <c r="E5571" i="2"/>
  <c r="F5571" i="2" s="1"/>
  <c r="C5571" i="2"/>
  <c r="E5570" i="2"/>
  <c r="F5570" i="2" s="1"/>
  <c r="C5570" i="2"/>
  <c r="E5569" i="2"/>
  <c r="F5569" i="2" s="1"/>
  <c r="C5569" i="2"/>
  <c r="E5568" i="2"/>
  <c r="F5568" i="2" s="1"/>
  <c r="C5568" i="2"/>
  <c r="E5567" i="2"/>
  <c r="F5567" i="2" s="1"/>
  <c r="C5567" i="2"/>
  <c r="E5566" i="2"/>
  <c r="F5566" i="2" s="1"/>
  <c r="C5566" i="2"/>
  <c r="E5565" i="2"/>
  <c r="F5565" i="2" s="1"/>
  <c r="C5565" i="2"/>
  <c r="E5564" i="2"/>
  <c r="F5564" i="2" s="1"/>
  <c r="C5564" i="2"/>
  <c r="E5563" i="2"/>
  <c r="F5563" i="2" s="1"/>
  <c r="C5563" i="2"/>
  <c r="E5562" i="2"/>
  <c r="F5562" i="2" s="1"/>
  <c r="C5562" i="2"/>
  <c r="E5561" i="2"/>
  <c r="F5561" i="2" s="1"/>
  <c r="C5561" i="2"/>
  <c r="E5560" i="2"/>
  <c r="F5560" i="2" s="1"/>
  <c r="C5560" i="2"/>
  <c r="E5559" i="2"/>
  <c r="F5559" i="2" s="1"/>
  <c r="C5559" i="2"/>
  <c r="E5558" i="2"/>
  <c r="F5558" i="2" s="1"/>
  <c r="C5558" i="2"/>
  <c r="E5557" i="2"/>
  <c r="F5557" i="2" s="1"/>
  <c r="C5557" i="2"/>
  <c r="E5556" i="2"/>
  <c r="F5556" i="2" s="1"/>
  <c r="C5556" i="2"/>
  <c r="E5555" i="2"/>
  <c r="F5555" i="2" s="1"/>
  <c r="C5555" i="2"/>
  <c r="E5554" i="2"/>
  <c r="F5554" i="2" s="1"/>
  <c r="C5554" i="2"/>
  <c r="E5553" i="2"/>
  <c r="F5553" i="2" s="1"/>
  <c r="C5553" i="2"/>
  <c r="E5552" i="2"/>
  <c r="F5552" i="2" s="1"/>
  <c r="C5552" i="2"/>
  <c r="E5551" i="2"/>
  <c r="F5551" i="2" s="1"/>
  <c r="C5551" i="2"/>
  <c r="E5550" i="2"/>
  <c r="F5550" i="2" s="1"/>
  <c r="C5550" i="2"/>
  <c r="E5549" i="2"/>
  <c r="F5549" i="2" s="1"/>
  <c r="C5549" i="2"/>
  <c r="E5548" i="2"/>
  <c r="F5548" i="2" s="1"/>
  <c r="C5548" i="2"/>
  <c r="E5547" i="2"/>
  <c r="F5547" i="2" s="1"/>
  <c r="C5547" i="2"/>
  <c r="E5546" i="2"/>
  <c r="F5546" i="2" s="1"/>
  <c r="C5546" i="2"/>
  <c r="E5545" i="2"/>
  <c r="F5545" i="2" s="1"/>
  <c r="C5545" i="2"/>
  <c r="E5544" i="2"/>
  <c r="F5544" i="2" s="1"/>
  <c r="C5544" i="2"/>
  <c r="E5543" i="2"/>
  <c r="F5543" i="2" s="1"/>
  <c r="C5543" i="2"/>
  <c r="E5542" i="2"/>
  <c r="F5542" i="2" s="1"/>
  <c r="C5542" i="2"/>
  <c r="E5541" i="2"/>
  <c r="F5541" i="2" s="1"/>
  <c r="C5541" i="2"/>
  <c r="E5540" i="2"/>
  <c r="F5540" i="2" s="1"/>
  <c r="C5540" i="2"/>
  <c r="E5539" i="2"/>
  <c r="F5539" i="2" s="1"/>
  <c r="C5539" i="2"/>
  <c r="E5538" i="2"/>
  <c r="F5538" i="2" s="1"/>
  <c r="C5538" i="2"/>
  <c r="E5537" i="2"/>
  <c r="F5537" i="2" s="1"/>
  <c r="C5537" i="2"/>
  <c r="E5536" i="2"/>
  <c r="F5536" i="2" s="1"/>
  <c r="C5536" i="2"/>
  <c r="E5535" i="2"/>
  <c r="F5535" i="2" s="1"/>
  <c r="C5535" i="2"/>
  <c r="E5534" i="2"/>
  <c r="F5534" i="2" s="1"/>
  <c r="C5534" i="2"/>
  <c r="E5533" i="2"/>
  <c r="F5533" i="2" s="1"/>
  <c r="C5533" i="2"/>
  <c r="E5532" i="2"/>
  <c r="F5532" i="2" s="1"/>
  <c r="C5532" i="2"/>
  <c r="E5531" i="2"/>
  <c r="F5531" i="2" s="1"/>
  <c r="C5531" i="2"/>
  <c r="E5530" i="2"/>
  <c r="F5530" i="2" s="1"/>
  <c r="C5530" i="2"/>
  <c r="E5529" i="2"/>
  <c r="F5529" i="2" s="1"/>
  <c r="C5529" i="2"/>
  <c r="E5528" i="2"/>
  <c r="F5528" i="2" s="1"/>
  <c r="C5528" i="2"/>
  <c r="E5527" i="2"/>
  <c r="F5527" i="2" s="1"/>
  <c r="C5527" i="2"/>
  <c r="E5526" i="2"/>
  <c r="F5526" i="2" s="1"/>
  <c r="C5526" i="2"/>
  <c r="E5525" i="2"/>
  <c r="F5525" i="2" s="1"/>
  <c r="C5525" i="2"/>
  <c r="E5524" i="2"/>
  <c r="F5524" i="2" s="1"/>
  <c r="C5524" i="2"/>
  <c r="E5523" i="2"/>
  <c r="F5523" i="2" s="1"/>
  <c r="C5523" i="2"/>
  <c r="E5522" i="2"/>
  <c r="F5522" i="2" s="1"/>
  <c r="C5522" i="2"/>
  <c r="E5521" i="2"/>
  <c r="F5521" i="2" s="1"/>
  <c r="C5521" i="2"/>
  <c r="E5520" i="2"/>
  <c r="F5520" i="2" s="1"/>
  <c r="C5520" i="2"/>
  <c r="E5519" i="2"/>
  <c r="F5519" i="2" s="1"/>
  <c r="C5519" i="2"/>
  <c r="E5518" i="2"/>
  <c r="F5518" i="2" s="1"/>
  <c r="C5518" i="2"/>
  <c r="E5517" i="2"/>
  <c r="F5517" i="2" s="1"/>
  <c r="C5517" i="2"/>
  <c r="E5516" i="2"/>
  <c r="F5516" i="2" s="1"/>
  <c r="C5516" i="2"/>
  <c r="E5515" i="2"/>
  <c r="F5515" i="2" s="1"/>
  <c r="C5515" i="2"/>
  <c r="E5514" i="2"/>
  <c r="F5514" i="2" s="1"/>
  <c r="C5514" i="2"/>
  <c r="E5513" i="2"/>
  <c r="F5513" i="2" s="1"/>
  <c r="C5513" i="2"/>
  <c r="E5512" i="2"/>
  <c r="F5512" i="2" s="1"/>
  <c r="C5512" i="2"/>
  <c r="E5511" i="2"/>
  <c r="F5511" i="2" s="1"/>
  <c r="C5511" i="2"/>
  <c r="E5510" i="2"/>
  <c r="F5510" i="2" s="1"/>
  <c r="C5510" i="2"/>
  <c r="E5509" i="2"/>
  <c r="F5509" i="2" s="1"/>
  <c r="C5509" i="2"/>
  <c r="E5508" i="2"/>
  <c r="F5508" i="2" s="1"/>
  <c r="C5508" i="2"/>
  <c r="E5507" i="2"/>
  <c r="F5507" i="2" s="1"/>
  <c r="C5507" i="2"/>
  <c r="E5506" i="2"/>
  <c r="F5506" i="2" s="1"/>
  <c r="C5506" i="2"/>
  <c r="E5505" i="2"/>
  <c r="F5505" i="2" s="1"/>
  <c r="C5505" i="2"/>
  <c r="E5504" i="2"/>
  <c r="F5504" i="2" s="1"/>
  <c r="C5504" i="2"/>
  <c r="E5503" i="2"/>
  <c r="F5503" i="2" s="1"/>
  <c r="C5503" i="2"/>
  <c r="E5502" i="2"/>
  <c r="F5502" i="2" s="1"/>
  <c r="C5502" i="2"/>
  <c r="E5501" i="2"/>
  <c r="F5501" i="2" s="1"/>
  <c r="C5501" i="2"/>
  <c r="E5500" i="2"/>
  <c r="F5500" i="2" s="1"/>
  <c r="C5500" i="2"/>
  <c r="E5499" i="2"/>
  <c r="F5499" i="2" s="1"/>
  <c r="C5499" i="2"/>
  <c r="E5498" i="2"/>
  <c r="F5498" i="2" s="1"/>
  <c r="C5498" i="2"/>
  <c r="E5497" i="2"/>
  <c r="F5497" i="2" s="1"/>
  <c r="C5497" i="2"/>
  <c r="E5496" i="2"/>
  <c r="F5496" i="2" s="1"/>
  <c r="C5496" i="2"/>
  <c r="E5495" i="2"/>
  <c r="F5495" i="2" s="1"/>
  <c r="C5495" i="2"/>
  <c r="E5494" i="2"/>
  <c r="F5494" i="2" s="1"/>
  <c r="C5494" i="2"/>
  <c r="E5493" i="2"/>
  <c r="F5493" i="2" s="1"/>
  <c r="C5493" i="2"/>
  <c r="E5492" i="2"/>
  <c r="F5492" i="2" s="1"/>
  <c r="C5492" i="2"/>
  <c r="E5491" i="2"/>
  <c r="F5491" i="2" s="1"/>
  <c r="C5491" i="2"/>
  <c r="E5490" i="2"/>
  <c r="F5490" i="2" s="1"/>
  <c r="C5490" i="2"/>
  <c r="E5489" i="2"/>
  <c r="F5489" i="2" s="1"/>
  <c r="C5489" i="2"/>
  <c r="E5488" i="2"/>
  <c r="F5488" i="2" s="1"/>
  <c r="C5488" i="2"/>
  <c r="E5487" i="2"/>
  <c r="F5487" i="2" s="1"/>
  <c r="C5487" i="2"/>
  <c r="E5486" i="2"/>
  <c r="F5486" i="2" s="1"/>
  <c r="C5486" i="2"/>
  <c r="E5485" i="2"/>
  <c r="F5485" i="2" s="1"/>
  <c r="C5485" i="2"/>
  <c r="E5484" i="2"/>
  <c r="F5484" i="2" s="1"/>
  <c r="C5484" i="2"/>
  <c r="E5483" i="2"/>
  <c r="F5483" i="2" s="1"/>
  <c r="C5483" i="2"/>
  <c r="E5482" i="2"/>
  <c r="F5482" i="2" s="1"/>
  <c r="C5482" i="2"/>
  <c r="E5481" i="2"/>
  <c r="F5481" i="2" s="1"/>
  <c r="C5481" i="2"/>
  <c r="E5480" i="2"/>
  <c r="F5480" i="2" s="1"/>
  <c r="C5480" i="2"/>
  <c r="E5479" i="2"/>
  <c r="F5479" i="2" s="1"/>
  <c r="C5479" i="2"/>
  <c r="E5478" i="2"/>
  <c r="F5478" i="2" s="1"/>
  <c r="C5478" i="2"/>
  <c r="E5477" i="2"/>
  <c r="F5477" i="2" s="1"/>
  <c r="C5477" i="2"/>
  <c r="E5476" i="2"/>
  <c r="F5476" i="2" s="1"/>
  <c r="C5476" i="2"/>
  <c r="E5475" i="2"/>
  <c r="F5475" i="2" s="1"/>
  <c r="C5475" i="2"/>
  <c r="E5474" i="2"/>
  <c r="F5474" i="2" s="1"/>
  <c r="C5474" i="2"/>
  <c r="E5473" i="2"/>
  <c r="F5473" i="2" s="1"/>
  <c r="C5473" i="2"/>
  <c r="E5472" i="2"/>
  <c r="F5472" i="2" s="1"/>
  <c r="C5472" i="2"/>
  <c r="E5471" i="2"/>
  <c r="F5471" i="2" s="1"/>
  <c r="C5471" i="2"/>
  <c r="E5470" i="2"/>
  <c r="F5470" i="2" s="1"/>
  <c r="C5470" i="2"/>
  <c r="E5469" i="2"/>
  <c r="F5469" i="2" s="1"/>
  <c r="C5469" i="2"/>
  <c r="E5468" i="2"/>
  <c r="F5468" i="2" s="1"/>
  <c r="C5468" i="2"/>
  <c r="E5467" i="2"/>
  <c r="F5467" i="2" s="1"/>
  <c r="C5467" i="2"/>
  <c r="E5466" i="2"/>
  <c r="F5466" i="2" s="1"/>
  <c r="C5466" i="2"/>
  <c r="E5465" i="2"/>
  <c r="F5465" i="2" s="1"/>
  <c r="C5465" i="2"/>
  <c r="E5464" i="2"/>
  <c r="F5464" i="2" s="1"/>
  <c r="C5464" i="2"/>
  <c r="E5463" i="2"/>
  <c r="F5463" i="2" s="1"/>
  <c r="C5463" i="2"/>
  <c r="E5462" i="2"/>
  <c r="F5462" i="2" s="1"/>
  <c r="C5462" i="2"/>
  <c r="E5461" i="2"/>
  <c r="F5461" i="2" s="1"/>
  <c r="C5461" i="2"/>
  <c r="E5460" i="2"/>
  <c r="F5460" i="2" s="1"/>
  <c r="C5460" i="2"/>
  <c r="E5459" i="2"/>
  <c r="F5459" i="2" s="1"/>
  <c r="C5459" i="2"/>
  <c r="E5458" i="2"/>
  <c r="F5458" i="2" s="1"/>
  <c r="C5458" i="2"/>
  <c r="E5457" i="2"/>
  <c r="F5457" i="2" s="1"/>
  <c r="C5457" i="2"/>
  <c r="E5456" i="2"/>
  <c r="F5456" i="2" s="1"/>
  <c r="C5456" i="2"/>
  <c r="E5455" i="2"/>
  <c r="F5455" i="2" s="1"/>
  <c r="C5455" i="2"/>
  <c r="E5454" i="2"/>
  <c r="F5454" i="2" s="1"/>
  <c r="C5454" i="2"/>
  <c r="E5453" i="2"/>
  <c r="F5453" i="2" s="1"/>
  <c r="C5453" i="2"/>
  <c r="E5452" i="2"/>
  <c r="F5452" i="2" s="1"/>
  <c r="C5452" i="2"/>
  <c r="E5451" i="2"/>
  <c r="F5451" i="2" s="1"/>
  <c r="C5451" i="2"/>
  <c r="E5450" i="2"/>
  <c r="F5450" i="2" s="1"/>
  <c r="C5450" i="2"/>
  <c r="E5449" i="2"/>
  <c r="F5449" i="2" s="1"/>
  <c r="C5449" i="2"/>
  <c r="E5448" i="2"/>
  <c r="F5448" i="2" s="1"/>
  <c r="C5448" i="2"/>
  <c r="E5447" i="2"/>
  <c r="F5447" i="2" s="1"/>
  <c r="C5447" i="2"/>
  <c r="E5446" i="2"/>
  <c r="F5446" i="2" s="1"/>
  <c r="C5446" i="2"/>
  <c r="E5445" i="2"/>
  <c r="F5445" i="2" s="1"/>
  <c r="C5445" i="2"/>
  <c r="E5444" i="2"/>
  <c r="F5444" i="2" s="1"/>
  <c r="C5444" i="2"/>
  <c r="E5443" i="2"/>
  <c r="F5443" i="2" s="1"/>
  <c r="C5443" i="2"/>
  <c r="E5442" i="2"/>
  <c r="F5442" i="2" s="1"/>
  <c r="C5442" i="2"/>
  <c r="E5441" i="2"/>
  <c r="F5441" i="2" s="1"/>
  <c r="C5441" i="2"/>
  <c r="E5440" i="2"/>
  <c r="F5440" i="2" s="1"/>
  <c r="C5440" i="2"/>
  <c r="E5439" i="2"/>
  <c r="F5439" i="2" s="1"/>
  <c r="C5439" i="2"/>
  <c r="E5438" i="2"/>
  <c r="F5438" i="2" s="1"/>
  <c r="C5438" i="2"/>
  <c r="E5437" i="2"/>
  <c r="F5437" i="2" s="1"/>
  <c r="C5437" i="2"/>
  <c r="E5436" i="2"/>
  <c r="F5436" i="2" s="1"/>
  <c r="C5436" i="2"/>
  <c r="E5435" i="2"/>
  <c r="F5435" i="2" s="1"/>
  <c r="C5435" i="2"/>
  <c r="E5434" i="2"/>
  <c r="F5434" i="2" s="1"/>
  <c r="C5434" i="2"/>
  <c r="E5433" i="2"/>
  <c r="F5433" i="2" s="1"/>
  <c r="C5433" i="2"/>
  <c r="E5432" i="2"/>
  <c r="F5432" i="2" s="1"/>
  <c r="C5432" i="2"/>
  <c r="E5431" i="2"/>
  <c r="F5431" i="2" s="1"/>
  <c r="C5431" i="2"/>
  <c r="E5430" i="2"/>
  <c r="F5430" i="2" s="1"/>
  <c r="C5430" i="2"/>
  <c r="E5429" i="2"/>
  <c r="F5429" i="2" s="1"/>
  <c r="C5429" i="2"/>
  <c r="E5428" i="2"/>
  <c r="F5428" i="2" s="1"/>
  <c r="C5428" i="2"/>
  <c r="E5427" i="2"/>
  <c r="F5427" i="2" s="1"/>
  <c r="C5427" i="2"/>
  <c r="E5426" i="2"/>
  <c r="F5426" i="2" s="1"/>
  <c r="C5426" i="2"/>
  <c r="E5425" i="2"/>
  <c r="F5425" i="2" s="1"/>
  <c r="C5425" i="2"/>
  <c r="E5424" i="2"/>
  <c r="F5424" i="2" s="1"/>
  <c r="C5424" i="2"/>
  <c r="E5423" i="2"/>
  <c r="F5423" i="2" s="1"/>
  <c r="C5423" i="2"/>
  <c r="E5422" i="2"/>
  <c r="F5422" i="2" s="1"/>
  <c r="C5422" i="2"/>
  <c r="E5421" i="2"/>
  <c r="F5421" i="2" s="1"/>
  <c r="C5421" i="2"/>
  <c r="E5420" i="2"/>
  <c r="F5420" i="2" s="1"/>
  <c r="C5420" i="2"/>
  <c r="E5419" i="2"/>
  <c r="F5419" i="2" s="1"/>
  <c r="C5419" i="2"/>
  <c r="E5418" i="2"/>
  <c r="F5418" i="2" s="1"/>
  <c r="C5418" i="2"/>
  <c r="E5417" i="2"/>
  <c r="F5417" i="2" s="1"/>
  <c r="C5417" i="2"/>
  <c r="E5416" i="2"/>
  <c r="F5416" i="2" s="1"/>
  <c r="C5416" i="2"/>
  <c r="E5415" i="2"/>
  <c r="F5415" i="2" s="1"/>
  <c r="C5415" i="2"/>
  <c r="E5414" i="2"/>
  <c r="F5414" i="2" s="1"/>
  <c r="C5414" i="2"/>
  <c r="E5413" i="2"/>
  <c r="F5413" i="2" s="1"/>
  <c r="C5413" i="2"/>
  <c r="E5412" i="2"/>
  <c r="F5412" i="2" s="1"/>
  <c r="C5412" i="2"/>
  <c r="E5411" i="2"/>
  <c r="F5411" i="2" s="1"/>
  <c r="C5411" i="2"/>
  <c r="E5410" i="2"/>
  <c r="F5410" i="2" s="1"/>
  <c r="C5410" i="2"/>
  <c r="E5409" i="2"/>
  <c r="F5409" i="2" s="1"/>
  <c r="C5409" i="2"/>
  <c r="E5408" i="2"/>
  <c r="F5408" i="2" s="1"/>
  <c r="C5408" i="2"/>
  <c r="E5407" i="2"/>
  <c r="F5407" i="2" s="1"/>
  <c r="C5407" i="2"/>
  <c r="E5406" i="2"/>
  <c r="F5406" i="2" s="1"/>
  <c r="C5406" i="2"/>
  <c r="E5405" i="2"/>
  <c r="F5405" i="2" s="1"/>
  <c r="C5405" i="2"/>
  <c r="E5404" i="2"/>
  <c r="F5404" i="2" s="1"/>
  <c r="C5404" i="2"/>
  <c r="E5403" i="2"/>
  <c r="F5403" i="2" s="1"/>
  <c r="C5403" i="2"/>
  <c r="E5402" i="2"/>
  <c r="F5402" i="2" s="1"/>
  <c r="C5402" i="2"/>
  <c r="E5401" i="2"/>
  <c r="F5401" i="2" s="1"/>
  <c r="C5401" i="2"/>
  <c r="E5400" i="2"/>
  <c r="F5400" i="2" s="1"/>
  <c r="C5400" i="2"/>
  <c r="E5399" i="2"/>
  <c r="F5399" i="2" s="1"/>
  <c r="C5399" i="2"/>
  <c r="E5398" i="2"/>
  <c r="F5398" i="2" s="1"/>
  <c r="C5398" i="2"/>
  <c r="E5397" i="2"/>
  <c r="F5397" i="2" s="1"/>
  <c r="C5397" i="2"/>
  <c r="E5396" i="2"/>
  <c r="F5396" i="2" s="1"/>
  <c r="C5396" i="2"/>
  <c r="E5395" i="2"/>
  <c r="F5395" i="2" s="1"/>
  <c r="C5395" i="2"/>
  <c r="E5394" i="2"/>
  <c r="F5394" i="2" s="1"/>
  <c r="C5394" i="2"/>
  <c r="E5393" i="2"/>
  <c r="F5393" i="2" s="1"/>
  <c r="C5393" i="2"/>
  <c r="E5392" i="2"/>
  <c r="F5392" i="2" s="1"/>
  <c r="C5392" i="2"/>
  <c r="E5391" i="2"/>
  <c r="F5391" i="2" s="1"/>
  <c r="C5391" i="2"/>
  <c r="E5390" i="2"/>
  <c r="F5390" i="2" s="1"/>
  <c r="C5390" i="2"/>
  <c r="E5389" i="2"/>
  <c r="F5389" i="2" s="1"/>
  <c r="C5389" i="2"/>
  <c r="E5388" i="2"/>
  <c r="F5388" i="2" s="1"/>
  <c r="C5388" i="2"/>
  <c r="E5387" i="2"/>
  <c r="F5387" i="2" s="1"/>
  <c r="C5387" i="2"/>
  <c r="E5386" i="2"/>
  <c r="F5386" i="2" s="1"/>
  <c r="C5386" i="2"/>
  <c r="E5385" i="2"/>
  <c r="F5385" i="2" s="1"/>
  <c r="C5385" i="2"/>
  <c r="E5384" i="2"/>
  <c r="F5384" i="2" s="1"/>
  <c r="C5384" i="2"/>
  <c r="E5383" i="2"/>
  <c r="F5383" i="2" s="1"/>
  <c r="C5383" i="2"/>
  <c r="E5382" i="2"/>
  <c r="F5382" i="2" s="1"/>
  <c r="C5382" i="2"/>
  <c r="E5381" i="2"/>
  <c r="F5381" i="2" s="1"/>
  <c r="C5381" i="2"/>
  <c r="E5380" i="2"/>
  <c r="F5380" i="2" s="1"/>
  <c r="C5380" i="2"/>
  <c r="E5379" i="2"/>
  <c r="F5379" i="2" s="1"/>
  <c r="C5379" i="2"/>
  <c r="E5378" i="2"/>
  <c r="F5378" i="2" s="1"/>
  <c r="C5378" i="2"/>
  <c r="E5377" i="2"/>
  <c r="F5377" i="2" s="1"/>
  <c r="C5377" i="2"/>
  <c r="E5376" i="2"/>
  <c r="F5376" i="2" s="1"/>
  <c r="C5376" i="2"/>
  <c r="E5375" i="2"/>
  <c r="F5375" i="2" s="1"/>
  <c r="C5375" i="2"/>
  <c r="E5374" i="2"/>
  <c r="F5374" i="2" s="1"/>
  <c r="C5374" i="2"/>
  <c r="E5373" i="2"/>
  <c r="F5373" i="2" s="1"/>
  <c r="C5373" i="2"/>
  <c r="E5372" i="2"/>
  <c r="F5372" i="2" s="1"/>
  <c r="C5372" i="2"/>
  <c r="E5371" i="2"/>
  <c r="F5371" i="2" s="1"/>
  <c r="C5371" i="2"/>
  <c r="E5370" i="2"/>
  <c r="F5370" i="2" s="1"/>
  <c r="C5370" i="2"/>
  <c r="E5369" i="2"/>
  <c r="F5369" i="2" s="1"/>
  <c r="C5369" i="2"/>
  <c r="E5368" i="2"/>
  <c r="F5368" i="2" s="1"/>
  <c r="C5368" i="2"/>
  <c r="E5367" i="2"/>
  <c r="F5367" i="2" s="1"/>
  <c r="C5367" i="2"/>
  <c r="E5366" i="2"/>
  <c r="F5366" i="2" s="1"/>
  <c r="C5366" i="2"/>
  <c r="E5365" i="2"/>
  <c r="F5365" i="2" s="1"/>
  <c r="C5365" i="2"/>
  <c r="E5364" i="2"/>
  <c r="F5364" i="2" s="1"/>
  <c r="C5364" i="2"/>
  <c r="E5363" i="2"/>
  <c r="F5363" i="2" s="1"/>
  <c r="C5363" i="2"/>
  <c r="E5362" i="2"/>
  <c r="F5362" i="2" s="1"/>
  <c r="C5362" i="2"/>
  <c r="E5361" i="2"/>
  <c r="F5361" i="2" s="1"/>
  <c r="C5361" i="2"/>
  <c r="E5360" i="2"/>
  <c r="F5360" i="2" s="1"/>
  <c r="C5360" i="2"/>
  <c r="E5359" i="2"/>
  <c r="F5359" i="2" s="1"/>
  <c r="C5359" i="2"/>
  <c r="E5358" i="2"/>
  <c r="F5358" i="2" s="1"/>
  <c r="C5358" i="2"/>
  <c r="E5357" i="2"/>
  <c r="F5357" i="2" s="1"/>
  <c r="C5357" i="2"/>
  <c r="E5356" i="2"/>
  <c r="F5356" i="2" s="1"/>
  <c r="C5356" i="2"/>
  <c r="E5355" i="2"/>
  <c r="F5355" i="2" s="1"/>
  <c r="C5355" i="2"/>
  <c r="E5354" i="2"/>
  <c r="F5354" i="2" s="1"/>
  <c r="C5354" i="2"/>
  <c r="E5353" i="2"/>
  <c r="F5353" i="2" s="1"/>
  <c r="C5353" i="2"/>
  <c r="E5352" i="2"/>
  <c r="F5352" i="2" s="1"/>
  <c r="C5352" i="2"/>
  <c r="E5351" i="2"/>
  <c r="F5351" i="2" s="1"/>
  <c r="C5351" i="2"/>
  <c r="E5350" i="2"/>
  <c r="F5350" i="2" s="1"/>
  <c r="C5350" i="2"/>
  <c r="E5349" i="2"/>
  <c r="F5349" i="2" s="1"/>
  <c r="C5349" i="2"/>
  <c r="E5348" i="2"/>
  <c r="F5348" i="2" s="1"/>
  <c r="C5348" i="2"/>
  <c r="E5347" i="2"/>
  <c r="F5347" i="2" s="1"/>
  <c r="C5347" i="2"/>
  <c r="E5346" i="2"/>
  <c r="F5346" i="2" s="1"/>
  <c r="C5346" i="2"/>
  <c r="E5345" i="2"/>
  <c r="F5345" i="2" s="1"/>
  <c r="C5345" i="2"/>
  <c r="E5344" i="2"/>
  <c r="F5344" i="2" s="1"/>
  <c r="C5344" i="2"/>
  <c r="E5343" i="2"/>
  <c r="F5343" i="2" s="1"/>
  <c r="C5343" i="2"/>
  <c r="E5342" i="2"/>
  <c r="F5342" i="2" s="1"/>
  <c r="C5342" i="2"/>
  <c r="E5341" i="2"/>
  <c r="F5341" i="2" s="1"/>
  <c r="C5341" i="2"/>
  <c r="E5340" i="2"/>
  <c r="F5340" i="2" s="1"/>
  <c r="C5340" i="2"/>
  <c r="E5339" i="2"/>
  <c r="F5339" i="2" s="1"/>
  <c r="C5339" i="2"/>
  <c r="E5338" i="2"/>
  <c r="F5338" i="2" s="1"/>
  <c r="C5338" i="2"/>
  <c r="E5337" i="2"/>
  <c r="F5337" i="2" s="1"/>
  <c r="C5337" i="2"/>
  <c r="E5336" i="2"/>
  <c r="F5336" i="2" s="1"/>
  <c r="C5336" i="2"/>
  <c r="E5335" i="2"/>
  <c r="F5335" i="2" s="1"/>
  <c r="C5335" i="2"/>
  <c r="E5334" i="2"/>
  <c r="F5334" i="2" s="1"/>
  <c r="C5334" i="2"/>
  <c r="E5333" i="2"/>
  <c r="F5333" i="2" s="1"/>
  <c r="C5333" i="2"/>
  <c r="E5332" i="2"/>
  <c r="F5332" i="2" s="1"/>
  <c r="C5332" i="2"/>
  <c r="E5331" i="2"/>
  <c r="F5331" i="2" s="1"/>
  <c r="C5331" i="2"/>
  <c r="E5330" i="2"/>
  <c r="F5330" i="2" s="1"/>
  <c r="C5330" i="2"/>
  <c r="E5329" i="2"/>
  <c r="F5329" i="2" s="1"/>
  <c r="C5329" i="2"/>
  <c r="E5328" i="2"/>
  <c r="F5328" i="2" s="1"/>
  <c r="C5328" i="2"/>
  <c r="E5327" i="2"/>
  <c r="F5327" i="2" s="1"/>
  <c r="C5327" i="2"/>
  <c r="E5326" i="2"/>
  <c r="F5326" i="2" s="1"/>
  <c r="C5326" i="2"/>
  <c r="E5325" i="2"/>
  <c r="F5325" i="2" s="1"/>
  <c r="C5325" i="2"/>
  <c r="E5324" i="2"/>
  <c r="F5324" i="2" s="1"/>
  <c r="C5324" i="2"/>
  <c r="E5323" i="2"/>
  <c r="F5323" i="2" s="1"/>
  <c r="C5323" i="2"/>
  <c r="E5322" i="2"/>
  <c r="F5322" i="2" s="1"/>
  <c r="C5322" i="2"/>
  <c r="E5321" i="2"/>
  <c r="F5321" i="2" s="1"/>
  <c r="C5321" i="2"/>
  <c r="E5320" i="2"/>
  <c r="F5320" i="2" s="1"/>
  <c r="C5320" i="2"/>
  <c r="E5319" i="2"/>
  <c r="F5319" i="2" s="1"/>
  <c r="C5319" i="2"/>
  <c r="E5318" i="2"/>
  <c r="F5318" i="2" s="1"/>
  <c r="C5318" i="2"/>
  <c r="E5317" i="2"/>
  <c r="F5317" i="2" s="1"/>
  <c r="C5317" i="2"/>
  <c r="E5316" i="2"/>
  <c r="F5316" i="2" s="1"/>
  <c r="C5316" i="2"/>
  <c r="E5315" i="2"/>
  <c r="F5315" i="2" s="1"/>
  <c r="C5315" i="2"/>
  <c r="E5314" i="2"/>
  <c r="F5314" i="2" s="1"/>
  <c r="C5314" i="2"/>
  <c r="E5313" i="2"/>
  <c r="F5313" i="2" s="1"/>
  <c r="C5313" i="2"/>
  <c r="E5312" i="2"/>
  <c r="F5312" i="2" s="1"/>
  <c r="C5312" i="2"/>
  <c r="E5311" i="2"/>
  <c r="F5311" i="2" s="1"/>
  <c r="C5311" i="2"/>
  <c r="E5310" i="2"/>
  <c r="F5310" i="2" s="1"/>
  <c r="C5310" i="2"/>
  <c r="E5309" i="2"/>
  <c r="F5309" i="2" s="1"/>
  <c r="C5309" i="2"/>
  <c r="E5308" i="2"/>
  <c r="F5308" i="2" s="1"/>
  <c r="C5308" i="2"/>
  <c r="E5307" i="2"/>
  <c r="F5307" i="2" s="1"/>
  <c r="C5307" i="2"/>
  <c r="E5306" i="2"/>
  <c r="F5306" i="2" s="1"/>
  <c r="C5306" i="2"/>
  <c r="E5305" i="2"/>
  <c r="F5305" i="2" s="1"/>
  <c r="C5305" i="2"/>
  <c r="E5304" i="2"/>
  <c r="F5304" i="2" s="1"/>
  <c r="C5304" i="2"/>
  <c r="E5303" i="2"/>
  <c r="F5303" i="2" s="1"/>
  <c r="C5303" i="2"/>
  <c r="E5302" i="2"/>
  <c r="F5302" i="2" s="1"/>
  <c r="C5302" i="2"/>
  <c r="E5301" i="2"/>
  <c r="F5301" i="2" s="1"/>
  <c r="C5301" i="2"/>
  <c r="E5300" i="2"/>
  <c r="F5300" i="2" s="1"/>
  <c r="C5300" i="2"/>
  <c r="E5299" i="2"/>
  <c r="F5299" i="2" s="1"/>
  <c r="C5299" i="2"/>
  <c r="E5298" i="2"/>
  <c r="F5298" i="2" s="1"/>
  <c r="C5298" i="2"/>
  <c r="E5297" i="2"/>
  <c r="F5297" i="2" s="1"/>
  <c r="C5297" i="2"/>
  <c r="E5296" i="2"/>
  <c r="F5296" i="2" s="1"/>
  <c r="C5296" i="2"/>
  <c r="E5295" i="2"/>
  <c r="F5295" i="2" s="1"/>
  <c r="C5295" i="2"/>
  <c r="E5294" i="2"/>
  <c r="F5294" i="2" s="1"/>
  <c r="C5294" i="2"/>
  <c r="E5293" i="2"/>
  <c r="F5293" i="2" s="1"/>
  <c r="C5293" i="2"/>
  <c r="E5292" i="2"/>
  <c r="F5292" i="2" s="1"/>
  <c r="C5292" i="2"/>
  <c r="E5291" i="2"/>
  <c r="F5291" i="2" s="1"/>
  <c r="C5291" i="2"/>
  <c r="E5290" i="2"/>
  <c r="F5290" i="2" s="1"/>
  <c r="C5290" i="2"/>
  <c r="E5289" i="2"/>
  <c r="F5289" i="2" s="1"/>
  <c r="C5289" i="2"/>
  <c r="E5288" i="2"/>
  <c r="F5288" i="2" s="1"/>
  <c r="C5288" i="2"/>
  <c r="E5287" i="2"/>
  <c r="F5287" i="2" s="1"/>
  <c r="C5287" i="2"/>
  <c r="E5286" i="2"/>
  <c r="F5286" i="2" s="1"/>
  <c r="C5286" i="2"/>
  <c r="E5285" i="2"/>
  <c r="F5285" i="2" s="1"/>
  <c r="C5285" i="2"/>
  <c r="E5284" i="2"/>
  <c r="F5284" i="2" s="1"/>
  <c r="C5284" i="2"/>
  <c r="E5283" i="2"/>
  <c r="F5283" i="2" s="1"/>
  <c r="C5283" i="2"/>
  <c r="E5282" i="2"/>
  <c r="F5282" i="2" s="1"/>
  <c r="C5282" i="2"/>
  <c r="E5281" i="2"/>
  <c r="F5281" i="2" s="1"/>
  <c r="C5281" i="2"/>
  <c r="E5280" i="2"/>
  <c r="F5280" i="2" s="1"/>
  <c r="C5280" i="2"/>
  <c r="E5279" i="2"/>
  <c r="F5279" i="2" s="1"/>
  <c r="C5279" i="2"/>
  <c r="E5278" i="2"/>
  <c r="F5278" i="2" s="1"/>
  <c r="C5278" i="2"/>
  <c r="E5277" i="2"/>
  <c r="F5277" i="2" s="1"/>
  <c r="C5277" i="2"/>
  <c r="E5276" i="2"/>
  <c r="F5276" i="2" s="1"/>
  <c r="C5276" i="2"/>
  <c r="E5275" i="2"/>
  <c r="F5275" i="2" s="1"/>
  <c r="C5275" i="2"/>
  <c r="E5274" i="2"/>
  <c r="F5274" i="2" s="1"/>
  <c r="C5274" i="2"/>
  <c r="E5273" i="2"/>
  <c r="F5273" i="2" s="1"/>
  <c r="C5273" i="2"/>
  <c r="E5272" i="2"/>
  <c r="F5272" i="2" s="1"/>
  <c r="C5272" i="2"/>
  <c r="E5271" i="2"/>
  <c r="F5271" i="2" s="1"/>
  <c r="C5271" i="2"/>
  <c r="E5270" i="2"/>
  <c r="F5270" i="2" s="1"/>
  <c r="C5270" i="2"/>
  <c r="E5269" i="2"/>
  <c r="F5269" i="2" s="1"/>
  <c r="C5269" i="2"/>
  <c r="E5268" i="2"/>
  <c r="F5268" i="2" s="1"/>
  <c r="C5268" i="2"/>
  <c r="E5267" i="2"/>
  <c r="F5267" i="2" s="1"/>
  <c r="C5267" i="2"/>
  <c r="E5266" i="2"/>
  <c r="F5266" i="2" s="1"/>
  <c r="C5266" i="2"/>
  <c r="E5265" i="2"/>
  <c r="F5265" i="2" s="1"/>
  <c r="C5265" i="2"/>
  <c r="E5264" i="2"/>
  <c r="F5264" i="2" s="1"/>
  <c r="C5264" i="2"/>
  <c r="E5263" i="2"/>
  <c r="F5263" i="2" s="1"/>
  <c r="C5263" i="2"/>
  <c r="E5262" i="2"/>
  <c r="F5262" i="2" s="1"/>
  <c r="C5262" i="2"/>
  <c r="E5261" i="2"/>
  <c r="F5261" i="2" s="1"/>
  <c r="C5261" i="2"/>
  <c r="E5260" i="2"/>
  <c r="F5260" i="2" s="1"/>
  <c r="C5260" i="2"/>
  <c r="E5259" i="2"/>
  <c r="F5259" i="2" s="1"/>
  <c r="C5259" i="2"/>
  <c r="E5258" i="2"/>
  <c r="F5258" i="2" s="1"/>
  <c r="C5258" i="2"/>
  <c r="E5257" i="2"/>
  <c r="F5257" i="2" s="1"/>
  <c r="C5257" i="2"/>
  <c r="E5256" i="2"/>
  <c r="F5256" i="2" s="1"/>
  <c r="C5256" i="2"/>
  <c r="E5255" i="2"/>
  <c r="F5255" i="2" s="1"/>
  <c r="C5255" i="2"/>
  <c r="E5254" i="2"/>
  <c r="F5254" i="2" s="1"/>
  <c r="C5254" i="2"/>
  <c r="E5253" i="2"/>
  <c r="F5253" i="2" s="1"/>
  <c r="C5253" i="2"/>
  <c r="E5252" i="2"/>
  <c r="F5252" i="2" s="1"/>
  <c r="C5252" i="2"/>
  <c r="E5251" i="2"/>
  <c r="F5251" i="2" s="1"/>
  <c r="C5251" i="2"/>
  <c r="E5250" i="2"/>
  <c r="F5250" i="2" s="1"/>
  <c r="C5250" i="2"/>
  <c r="E5249" i="2"/>
  <c r="F5249" i="2" s="1"/>
  <c r="C5249" i="2"/>
  <c r="E5248" i="2"/>
  <c r="F5248" i="2" s="1"/>
  <c r="C5248" i="2"/>
  <c r="E5247" i="2"/>
  <c r="F5247" i="2" s="1"/>
  <c r="C5247" i="2"/>
  <c r="E5246" i="2"/>
  <c r="F5246" i="2" s="1"/>
  <c r="C5246" i="2"/>
  <c r="E5245" i="2"/>
  <c r="F5245" i="2" s="1"/>
  <c r="C5245" i="2"/>
  <c r="E5244" i="2"/>
  <c r="F5244" i="2" s="1"/>
  <c r="C5244" i="2"/>
  <c r="E5243" i="2"/>
  <c r="F5243" i="2" s="1"/>
  <c r="C5243" i="2"/>
  <c r="E5242" i="2"/>
  <c r="F5242" i="2" s="1"/>
  <c r="C5242" i="2"/>
  <c r="E5241" i="2"/>
  <c r="F5241" i="2" s="1"/>
  <c r="C5241" i="2"/>
  <c r="E5240" i="2"/>
  <c r="F5240" i="2" s="1"/>
  <c r="C5240" i="2"/>
  <c r="E5239" i="2"/>
  <c r="F5239" i="2" s="1"/>
  <c r="C5239" i="2"/>
  <c r="E5238" i="2"/>
  <c r="F5238" i="2" s="1"/>
  <c r="C5238" i="2"/>
  <c r="E5237" i="2"/>
  <c r="F5237" i="2" s="1"/>
  <c r="C5237" i="2"/>
  <c r="E5236" i="2"/>
  <c r="F5236" i="2" s="1"/>
  <c r="C5236" i="2"/>
  <c r="E5235" i="2"/>
  <c r="F5235" i="2" s="1"/>
  <c r="C5235" i="2"/>
  <c r="E5234" i="2"/>
  <c r="F5234" i="2" s="1"/>
  <c r="C5234" i="2"/>
  <c r="E5233" i="2"/>
  <c r="F5233" i="2" s="1"/>
  <c r="C5233" i="2"/>
  <c r="E5232" i="2"/>
  <c r="F5232" i="2" s="1"/>
  <c r="C5232" i="2"/>
  <c r="E5231" i="2"/>
  <c r="F5231" i="2" s="1"/>
  <c r="C5231" i="2"/>
  <c r="E5230" i="2"/>
  <c r="F5230" i="2" s="1"/>
  <c r="C5230" i="2"/>
  <c r="E5229" i="2"/>
  <c r="F5229" i="2" s="1"/>
  <c r="C5229" i="2"/>
  <c r="E5228" i="2"/>
  <c r="F5228" i="2" s="1"/>
  <c r="C5228" i="2"/>
  <c r="E5227" i="2"/>
  <c r="F5227" i="2" s="1"/>
  <c r="C5227" i="2"/>
  <c r="E5226" i="2"/>
  <c r="F5226" i="2" s="1"/>
  <c r="C5226" i="2"/>
  <c r="E5225" i="2"/>
  <c r="F5225" i="2" s="1"/>
  <c r="C5225" i="2"/>
  <c r="E5224" i="2"/>
  <c r="F5224" i="2" s="1"/>
  <c r="C5224" i="2"/>
  <c r="E5223" i="2"/>
  <c r="F5223" i="2" s="1"/>
  <c r="C5223" i="2"/>
  <c r="E5222" i="2"/>
  <c r="F5222" i="2" s="1"/>
  <c r="C5222" i="2"/>
  <c r="E5221" i="2"/>
  <c r="F5221" i="2" s="1"/>
  <c r="C5221" i="2"/>
  <c r="E5220" i="2"/>
  <c r="F5220" i="2" s="1"/>
  <c r="C5220" i="2"/>
  <c r="E5219" i="2"/>
  <c r="F5219" i="2" s="1"/>
  <c r="C5219" i="2"/>
  <c r="E5218" i="2"/>
  <c r="F5218" i="2" s="1"/>
  <c r="C5218" i="2"/>
  <c r="E5217" i="2"/>
  <c r="F5217" i="2" s="1"/>
  <c r="C5217" i="2"/>
  <c r="E5216" i="2"/>
  <c r="F5216" i="2" s="1"/>
  <c r="C5216" i="2"/>
  <c r="E5215" i="2"/>
  <c r="F5215" i="2" s="1"/>
  <c r="C5215" i="2"/>
  <c r="E5214" i="2"/>
  <c r="F5214" i="2" s="1"/>
  <c r="C5214" i="2"/>
  <c r="E5213" i="2"/>
  <c r="F5213" i="2" s="1"/>
  <c r="C5213" i="2"/>
  <c r="E5212" i="2"/>
  <c r="F5212" i="2" s="1"/>
  <c r="C5212" i="2"/>
  <c r="E5211" i="2"/>
  <c r="F5211" i="2" s="1"/>
  <c r="C5211" i="2"/>
  <c r="E5210" i="2"/>
  <c r="F5210" i="2" s="1"/>
  <c r="C5210" i="2"/>
  <c r="E5209" i="2"/>
  <c r="F5209" i="2" s="1"/>
  <c r="C5209" i="2"/>
  <c r="E5208" i="2"/>
  <c r="F5208" i="2" s="1"/>
  <c r="C5208" i="2"/>
  <c r="E5207" i="2"/>
  <c r="F5207" i="2" s="1"/>
  <c r="C5207" i="2"/>
  <c r="E5206" i="2"/>
  <c r="F5206" i="2" s="1"/>
  <c r="C5206" i="2"/>
  <c r="E5205" i="2"/>
  <c r="F5205" i="2" s="1"/>
  <c r="C5205" i="2"/>
  <c r="E5204" i="2"/>
  <c r="F5204" i="2" s="1"/>
  <c r="C5204" i="2"/>
  <c r="E5203" i="2"/>
  <c r="F5203" i="2" s="1"/>
  <c r="C5203" i="2"/>
  <c r="E5202" i="2"/>
  <c r="F5202" i="2" s="1"/>
  <c r="C5202" i="2"/>
  <c r="E5201" i="2"/>
  <c r="F5201" i="2" s="1"/>
  <c r="C5201" i="2"/>
  <c r="E5200" i="2"/>
  <c r="F5200" i="2" s="1"/>
  <c r="C5200" i="2"/>
  <c r="E5199" i="2"/>
  <c r="F5199" i="2" s="1"/>
  <c r="C5199" i="2"/>
  <c r="E5198" i="2"/>
  <c r="F5198" i="2" s="1"/>
  <c r="C5198" i="2"/>
  <c r="E5197" i="2"/>
  <c r="F5197" i="2" s="1"/>
  <c r="C5197" i="2"/>
  <c r="E5196" i="2"/>
  <c r="F5196" i="2" s="1"/>
  <c r="C5196" i="2"/>
  <c r="E5195" i="2"/>
  <c r="F5195" i="2" s="1"/>
  <c r="C5195" i="2"/>
  <c r="E5194" i="2"/>
  <c r="F5194" i="2" s="1"/>
  <c r="C5194" i="2"/>
  <c r="E5193" i="2"/>
  <c r="F5193" i="2" s="1"/>
  <c r="C5193" i="2"/>
  <c r="E5192" i="2"/>
  <c r="F5192" i="2" s="1"/>
  <c r="C5192" i="2"/>
  <c r="E5191" i="2"/>
  <c r="F5191" i="2" s="1"/>
  <c r="C5191" i="2"/>
  <c r="E5190" i="2"/>
  <c r="F5190" i="2" s="1"/>
  <c r="C5190" i="2"/>
  <c r="E5189" i="2"/>
  <c r="F5189" i="2" s="1"/>
  <c r="C5189" i="2"/>
  <c r="E5188" i="2"/>
  <c r="F5188" i="2" s="1"/>
  <c r="C5188" i="2"/>
  <c r="E5187" i="2"/>
  <c r="F5187" i="2" s="1"/>
  <c r="C5187" i="2"/>
  <c r="E5186" i="2"/>
  <c r="F5186" i="2" s="1"/>
  <c r="C5186" i="2"/>
  <c r="E5185" i="2"/>
  <c r="F5185" i="2" s="1"/>
  <c r="C5185" i="2"/>
  <c r="E5184" i="2"/>
  <c r="F5184" i="2" s="1"/>
  <c r="C5184" i="2"/>
  <c r="E5183" i="2"/>
  <c r="F5183" i="2" s="1"/>
  <c r="C5183" i="2"/>
  <c r="E5182" i="2"/>
  <c r="F5182" i="2" s="1"/>
  <c r="C5182" i="2"/>
  <c r="E5181" i="2"/>
  <c r="F5181" i="2" s="1"/>
  <c r="C5181" i="2"/>
  <c r="E5180" i="2"/>
  <c r="F5180" i="2" s="1"/>
  <c r="C5180" i="2"/>
  <c r="E5179" i="2"/>
  <c r="F5179" i="2" s="1"/>
  <c r="C5179" i="2"/>
  <c r="E5178" i="2"/>
  <c r="F5178" i="2" s="1"/>
  <c r="C5178" i="2"/>
  <c r="E5177" i="2"/>
  <c r="F5177" i="2" s="1"/>
  <c r="C5177" i="2"/>
  <c r="E5176" i="2"/>
  <c r="F5176" i="2" s="1"/>
  <c r="C5176" i="2"/>
  <c r="E5175" i="2"/>
  <c r="F5175" i="2" s="1"/>
  <c r="C5175" i="2"/>
  <c r="E5174" i="2"/>
  <c r="F5174" i="2" s="1"/>
  <c r="C5174" i="2"/>
  <c r="E5173" i="2"/>
  <c r="F5173" i="2" s="1"/>
  <c r="C5173" i="2"/>
  <c r="E5172" i="2"/>
  <c r="F5172" i="2" s="1"/>
  <c r="C5172" i="2"/>
  <c r="E5171" i="2"/>
  <c r="F5171" i="2" s="1"/>
  <c r="C5171" i="2"/>
  <c r="E5170" i="2"/>
  <c r="F5170" i="2" s="1"/>
  <c r="C5170" i="2"/>
  <c r="E5169" i="2"/>
  <c r="F5169" i="2" s="1"/>
  <c r="C5169" i="2"/>
  <c r="E5168" i="2"/>
  <c r="F5168" i="2" s="1"/>
  <c r="C5168" i="2"/>
  <c r="E5167" i="2"/>
  <c r="F5167" i="2" s="1"/>
  <c r="C5167" i="2"/>
  <c r="E5166" i="2"/>
  <c r="F5166" i="2" s="1"/>
  <c r="C5166" i="2"/>
  <c r="E5165" i="2"/>
  <c r="F5165" i="2" s="1"/>
  <c r="C5165" i="2"/>
  <c r="E5164" i="2"/>
  <c r="F5164" i="2" s="1"/>
  <c r="C5164" i="2"/>
  <c r="E5163" i="2"/>
  <c r="F5163" i="2" s="1"/>
  <c r="C5163" i="2"/>
  <c r="E5162" i="2"/>
  <c r="F5162" i="2" s="1"/>
  <c r="C5162" i="2"/>
  <c r="E5161" i="2"/>
  <c r="F5161" i="2" s="1"/>
  <c r="C5161" i="2"/>
  <c r="E5160" i="2"/>
  <c r="F5160" i="2" s="1"/>
  <c r="C5160" i="2"/>
  <c r="E5159" i="2"/>
  <c r="F5159" i="2" s="1"/>
  <c r="C5159" i="2"/>
  <c r="E5158" i="2"/>
  <c r="F5158" i="2" s="1"/>
  <c r="C5158" i="2"/>
  <c r="E5157" i="2"/>
  <c r="F5157" i="2" s="1"/>
  <c r="C5157" i="2"/>
  <c r="E5156" i="2"/>
  <c r="F5156" i="2" s="1"/>
  <c r="C5156" i="2"/>
  <c r="E5155" i="2"/>
  <c r="F5155" i="2" s="1"/>
  <c r="C5155" i="2"/>
  <c r="E5154" i="2"/>
  <c r="F5154" i="2" s="1"/>
  <c r="C5154" i="2"/>
  <c r="E5153" i="2"/>
  <c r="F5153" i="2" s="1"/>
  <c r="C5153" i="2"/>
  <c r="E5152" i="2"/>
  <c r="F5152" i="2" s="1"/>
  <c r="C5152" i="2"/>
  <c r="E5151" i="2"/>
  <c r="F5151" i="2" s="1"/>
  <c r="C5151" i="2"/>
  <c r="E5150" i="2"/>
  <c r="F5150" i="2" s="1"/>
  <c r="C5150" i="2"/>
  <c r="E5149" i="2"/>
  <c r="F5149" i="2" s="1"/>
  <c r="C5149" i="2"/>
  <c r="E5148" i="2"/>
  <c r="F5148" i="2" s="1"/>
  <c r="C5148" i="2"/>
  <c r="E5147" i="2"/>
  <c r="F5147" i="2" s="1"/>
  <c r="C5147" i="2"/>
  <c r="E5146" i="2"/>
  <c r="F5146" i="2" s="1"/>
  <c r="C5146" i="2"/>
  <c r="E5145" i="2"/>
  <c r="F5145" i="2" s="1"/>
  <c r="C5145" i="2"/>
  <c r="E5144" i="2"/>
  <c r="F5144" i="2" s="1"/>
  <c r="C5144" i="2"/>
  <c r="E5143" i="2"/>
  <c r="F5143" i="2" s="1"/>
  <c r="C5143" i="2"/>
  <c r="E5142" i="2"/>
  <c r="F5142" i="2" s="1"/>
  <c r="C5142" i="2"/>
  <c r="E5141" i="2"/>
  <c r="F5141" i="2" s="1"/>
  <c r="C5141" i="2"/>
  <c r="E5140" i="2"/>
  <c r="F5140" i="2" s="1"/>
  <c r="C5140" i="2"/>
  <c r="E5139" i="2"/>
  <c r="F5139" i="2" s="1"/>
  <c r="C5139" i="2"/>
  <c r="E5138" i="2"/>
  <c r="F5138" i="2" s="1"/>
  <c r="C5138" i="2"/>
  <c r="E5137" i="2"/>
  <c r="F5137" i="2" s="1"/>
  <c r="C5137" i="2"/>
  <c r="E5136" i="2"/>
  <c r="F5136" i="2" s="1"/>
  <c r="C5136" i="2"/>
  <c r="E5135" i="2"/>
  <c r="F5135" i="2" s="1"/>
  <c r="C5135" i="2"/>
  <c r="E5134" i="2"/>
  <c r="F5134" i="2" s="1"/>
  <c r="C5134" i="2"/>
  <c r="E5133" i="2"/>
  <c r="F5133" i="2" s="1"/>
  <c r="C5133" i="2"/>
  <c r="E5132" i="2"/>
  <c r="F5132" i="2" s="1"/>
  <c r="C5132" i="2"/>
  <c r="E5131" i="2"/>
  <c r="F5131" i="2" s="1"/>
  <c r="C5131" i="2"/>
  <c r="E5130" i="2"/>
  <c r="F5130" i="2" s="1"/>
  <c r="C5130" i="2"/>
  <c r="E5129" i="2"/>
  <c r="F5129" i="2" s="1"/>
  <c r="C5129" i="2"/>
  <c r="E5128" i="2"/>
  <c r="F5128" i="2" s="1"/>
  <c r="C5128" i="2"/>
  <c r="E5127" i="2"/>
  <c r="F5127" i="2" s="1"/>
  <c r="C5127" i="2"/>
  <c r="E5126" i="2"/>
  <c r="F5126" i="2" s="1"/>
  <c r="C5126" i="2"/>
  <c r="E5125" i="2"/>
  <c r="F5125" i="2" s="1"/>
  <c r="C5125" i="2"/>
  <c r="E5124" i="2"/>
  <c r="F5124" i="2" s="1"/>
  <c r="C5124" i="2"/>
  <c r="E5123" i="2"/>
  <c r="F5123" i="2" s="1"/>
  <c r="C5123" i="2"/>
  <c r="E5122" i="2"/>
  <c r="F5122" i="2" s="1"/>
  <c r="C5122" i="2"/>
  <c r="E5121" i="2"/>
  <c r="F5121" i="2" s="1"/>
  <c r="C5121" i="2"/>
  <c r="E5120" i="2"/>
  <c r="F5120" i="2" s="1"/>
  <c r="C5120" i="2"/>
  <c r="E5119" i="2"/>
  <c r="F5119" i="2" s="1"/>
  <c r="C5119" i="2"/>
  <c r="E5118" i="2"/>
  <c r="F5118" i="2" s="1"/>
  <c r="C5118" i="2"/>
  <c r="E5117" i="2"/>
  <c r="F5117" i="2" s="1"/>
  <c r="C5117" i="2"/>
  <c r="E5116" i="2"/>
  <c r="F5116" i="2" s="1"/>
  <c r="C5116" i="2"/>
  <c r="E5115" i="2"/>
  <c r="F5115" i="2" s="1"/>
  <c r="C5115" i="2"/>
  <c r="E5114" i="2"/>
  <c r="F5114" i="2" s="1"/>
  <c r="C5114" i="2"/>
  <c r="E5113" i="2"/>
  <c r="F5113" i="2" s="1"/>
  <c r="C5113" i="2"/>
  <c r="E5112" i="2"/>
  <c r="F5112" i="2" s="1"/>
  <c r="C5112" i="2"/>
  <c r="E5111" i="2"/>
  <c r="F5111" i="2" s="1"/>
  <c r="C5111" i="2"/>
  <c r="E5110" i="2"/>
  <c r="F5110" i="2" s="1"/>
  <c r="C5110" i="2"/>
  <c r="E5109" i="2"/>
  <c r="F5109" i="2" s="1"/>
  <c r="C5109" i="2"/>
  <c r="E5108" i="2"/>
  <c r="F5108" i="2" s="1"/>
  <c r="C5108" i="2"/>
  <c r="E5107" i="2"/>
  <c r="F5107" i="2" s="1"/>
  <c r="C5107" i="2"/>
  <c r="E5106" i="2"/>
  <c r="F5106" i="2" s="1"/>
  <c r="C5106" i="2"/>
  <c r="E5105" i="2"/>
  <c r="F5105" i="2" s="1"/>
  <c r="C5105" i="2"/>
  <c r="E5104" i="2"/>
  <c r="F5104" i="2" s="1"/>
  <c r="C5104" i="2"/>
  <c r="E5103" i="2"/>
  <c r="F5103" i="2" s="1"/>
  <c r="C5103" i="2"/>
  <c r="E5102" i="2"/>
  <c r="F5102" i="2" s="1"/>
  <c r="C5102" i="2"/>
  <c r="E5101" i="2"/>
  <c r="F5101" i="2" s="1"/>
  <c r="C5101" i="2"/>
  <c r="E5100" i="2"/>
  <c r="F5100" i="2" s="1"/>
  <c r="C5100" i="2"/>
  <c r="E5099" i="2"/>
  <c r="F5099" i="2" s="1"/>
  <c r="C5099" i="2"/>
  <c r="E5098" i="2"/>
  <c r="F5098" i="2" s="1"/>
  <c r="C5098" i="2"/>
  <c r="E5097" i="2"/>
  <c r="F5097" i="2" s="1"/>
  <c r="C5097" i="2"/>
  <c r="E5096" i="2"/>
  <c r="F5096" i="2" s="1"/>
  <c r="C5096" i="2"/>
  <c r="E5095" i="2"/>
  <c r="F5095" i="2" s="1"/>
  <c r="C5095" i="2"/>
  <c r="E5094" i="2"/>
  <c r="F5094" i="2" s="1"/>
  <c r="C5094" i="2"/>
  <c r="E5093" i="2"/>
  <c r="F5093" i="2" s="1"/>
  <c r="C5093" i="2"/>
  <c r="E5092" i="2"/>
  <c r="F5092" i="2" s="1"/>
  <c r="C5092" i="2"/>
  <c r="E5091" i="2"/>
  <c r="F5091" i="2" s="1"/>
  <c r="C5091" i="2"/>
  <c r="E5090" i="2"/>
  <c r="F5090" i="2" s="1"/>
  <c r="C5090" i="2"/>
  <c r="E5089" i="2"/>
  <c r="F5089" i="2" s="1"/>
  <c r="C5089" i="2"/>
  <c r="E5088" i="2"/>
  <c r="F5088" i="2" s="1"/>
  <c r="C5088" i="2"/>
  <c r="E5087" i="2"/>
  <c r="F5087" i="2" s="1"/>
  <c r="C5087" i="2"/>
  <c r="E5086" i="2"/>
  <c r="F5086" i="2" s="1"/>
  <c r="C5086" i="2"/>
  <c r="E5085" i="2"/>
  <c r="F5085" i="2" s="1"/>
  <c r="C5085" i="2"/>
  <c r="E5084" i="2"/>
  <c r="F5084" i="2" s="1"/>
  <c r="C5084" i="2"/>
  <c r="E5083" i="2"/>
  <c r="F5083" i="2" s="1"/>
  <c r="C5083" i="2"/>
  <c r="E5082" i="2"/>
  <c r="F5082" i="2" s="1"/>
  <c r="C5082" i="2"/>
  <c r="E5081" i="2"/>
  <c r="F5081" i="2" s="1"/>
  <c r="C5081" i="2"/>
  <c r="E5080" i="2"/>
  <c r="F5080" i="2" s="1"/>
  <c r="C5080" i="2"/>
  <c r="E5079" i="2"/>
  <c r="F5079" i="2" s="1"/>
  <c r="C5079" i="2"/>
  <c r="E5078" i="2"/>
  <c r="F5078" i="2" s="1"/>
  <c r="C5078" i="2"/>
  <c r="E5077" i="2"/>
  <c r="F5077" i="2" s="1"/>
  <c r="C5077" i="2"/>
  <c r="E5076" i="2"/>
  <c r="F5076" i="2" s="1"/>
  <c r="C5076" i="2"/>
  <c r="E5075" i="2"/>
  <c r="F5075" i="2" s="1"/>
  <c r="C5075" i="2"/>
  <c r="E5074" i="2"/>
  <c r="F5074" i="2" s="1"/>
  <c r="C5074" i="2"/>
  <c r="E5073" i="2"/>
  <c r="F5073" i="2" s="1"/>
  <c r="C5073" i="2"/>
  <c r="E5072" i="2"/>
  <c r="F5072" i="2" s="1"/>
  <c r="C5072" i="2"/>
  <c r="E5071" i="2"/>
  <c r="F5071" i="2" s="1"/>
  <c r="C5071" i="2"/>
  <c r="E5070" i="2"/>
  <c r="F5070" i="2" s="1"/>
  <c r="C5070" i="2"/>
  <c r="E5069" i="2"/>
  <c r="F5069" i="2" s="1"/>
  <c r="C5069" i="2"/>
  <c r="E5068" i="2"/>
  <c r="F5068" i="2" s="1"/>
  <c r="C5068" i="2"/>
  <c r="E5067" i="2"/>
  <c r="F5067" i="2" s="1"/>
  <c r="C5067" i="2"/>
  <c r="E5066" i="2"/>
  <c r="F5066" i="2" s="1"/>
  <c r="C5066" i="2"/>
  <c r="E5065" i="2"/>
  <c r="F5065" i="2" s="1"/>
  <c r="C5065" i="2"/>
  <c r="E5064" i="2"/>
  <c r="F5064" i="2" s="1"/>
  <c r="C5064" i="2"/>
  <c r="E5063" i="2"/>
  <c r="F5063" i="2" s="1"/>
  <c r="C5063" i="2"/>
  <c r="E5062" i="2"/>
  <c r="F5062" i="2" s="1"/>
  <c r="C5062" i="2"/>
  <c r="E5061" i="2"/>
  <c r="F5061" i="2" s="1"/>
  <c r="C5061" i="2"/>
  <c r="E5060" i="2"/>
  <c r="F5060" i="2" s="1"/>
  <c r="C5060" i="2"/>
  <c r="E5059" i="2"/>
  <c r="F5059" i="2" s="1"/>
  <c r="C5059" i="2"/>
  <c r="E5058" i="2"/>
  <c r="F5058" i="2" s="1"/>
  <c r="C5058" i="2"/>
  <c r="E5057" i="2"/>
  <c r="F5057" i="2" s="1"/>
  <c r="C5057" i="2"/>
  <c r="E5056" i="2"/>
  <c r="F5056" i="2" s="1"/>
  <c r="C5056" i="2"/>
  <c r="E5055" i="2"/>
  <c r="F5055" i="2" s="1"/>
  <c r="C5055" i="2"/>
  <c r="E5054" i="2"/>
  <c r="F5054" i="2" s="1"/>
  <c r="C5054" i="2"/>
  <c r="E5053" i="2"/>
  <c r="F5053" i="2" s="1"/>
  <c r="C5053" i="2"/>
  <c r="E5052" i="2"/>
  <c r="F5052" i="2" s="1"/>
  <c r="C5052" i="2"/>
  <c r="E5051" i="2"/>
  <c r="F5051" i="2" s="1"/>
  <c r="C5051" i="2"/>
  <c r="E5050" i="2"/>
  <c r="F5050" i="2" s="1"/>
  <c r="C5050" i="2"/>
  <c r="E5049" i="2"/>
  <c r="F5049" i="2" s="1"/>
  <c r="C5049" i="2"/>
  <c r="E5048" i="2"/>
  <c r="F5048" i="2" s="1"/>
  <c r="C5048" i="2"/>
  <c r="E5047" i="2"/>
  <c r="F5047" i="2" s="1"/>
  <c r="C5047" i="2"/>
  <c r="E5046" i="2"/>
  <c r="F5046" i="2" s="1"/>
  <c r="C5046" i="2"/>
  <c r="E5045" i="2"/>
  <c r="F5045" i="2" s="1"/>
  <c r="C5045" i="2"/>
  <c r="E5044" i="2"/>
  <c r="F5044" i="2" s="1"/>
  <c r="C5044" i="2"/>
  <c r="E5043" i="2"/>
  <c r="F5043" i="2" s="1"/>
  <c r="C5043" i="2"/>
  <c r="E5042" i="2"/>
  <c r="F5042" i="2" s="1"/>
  <c r="C5042" i="2"/>
  <c r="E5041" i="2"/>
  <c r="F5041" i="2" s="1"/>
  <c r="C5041" i="2"/>
  <c r="E5040" i="2"/>
  <c r="F5040" i="2" s="1"/>
  <c r="C5040" i="2"/>
  <c r="E5039" i="2"/>
  <c r="F5039" i="2" s="1"/>
  <c r="C5039" i="2"/>
  <c r="E5038" i="2"/>
  <c r="F5038" i="2" s="1"/>
  <c r="C5038" i="2"/>
  <c r="E5037" i="2"/>
  <c r="F5037" i="2" s="1"/>
  <c r="C5037" i="2"/>
  <c r="E5036" i="2"/>
  <c r="F5036" i="2" s="1"/>
  <c r="C5036" i="2"/>
  <c r="E5035" i="2"/>
  <c r="F5035" i="2" s="1"/>
  <c r="C5035" i="2"/>
  <c r="E5034" i="2"/>
  <c r="F5034" i="2" s="1"/>
  <c r="C5034" i="2"/>
  <c r="E5033" i="2"/>
  <c r="F5033" i="2" s="1"/>
  <c r="C5033" i="2"/>
  <c r="E5032" i="2"/>
  <c r="F5032" i="2" s="1"/>
  <c r="C5032" i="2"/>
  <c r="E5031" i="2"/>
  <c r="F5031" i="2" s="1"/>
  <c r="C5031" i="2"/>
  <c r="E5030" i="2"/>
  <c r="F5030" i="2" s="1"/>
  <c r="C5030" i="2"/>
  <c r="E5029" i="2"/>
  <c r="F5029" i="2" s="1"/>
  <c r="C5029" i="2"/>
  <c r="E5028" i="2"/>
  <c r="F5028" i="2" s="1"/>
  <c r="C5028" i="2"/>
  <c r="E5027" i="2"/>
  <c r="F5027" i="2" s="1"/>
  <c r="C5027" i="2"/>
  <c r="E5026" i="2"/>
  <c r="F5026" i="2" s="1"/>
  <c r="C5026" i="2"/>
  <c r="E5025" i="2"/>
  <c r="F5025" i="2" s="1"/>
  <c r="C5025" i="2"/>
  <c r="E5024" i="2"/>
  <c r="F5024" i="2" s="1"/>
  <c r="C5024" i="2"/>
  <c r="E5023" i="2"/>
  <c r="F5023" i="2" s="1"/>
  <c r="C5023" i="2"/>
  <c r="E5022" i="2"/>
  <c r="F5022" i="2" s="1"/>
  <c r="C5022" i="2"/>
  <c r="E5021" i="2"/>
  <c r="F5021" i="2" s="1"/>
  <c r="C5021" i="2"/>
  <c r="E5020" i="2"/>
  <c r="F5020" i="2" s="1"/>
  <c r="C5020" i="2"/>
  <c r="E5019" i="2"/>
  <c r="F5019" i="2" s="1"/>
  <c r="C5019" i="2"/>
  <c r="E5018" i="2"/>
  <c r="F5018" i="2" s="1"/>
  <c r="C5018" i="2"/>
  <c r="E5017" i="2"/>
  <c r="F5017" i="2" s="1"/>
  <c r="C5017" i="2"/>
  <c r="E5016" i="2"/>
  <c r="F5016" i="2" s="1"/>
  <c r="C5016" i="2"/>
  <c r="E5015" i="2"/>
  <c r="F5015" i="2" s="1"/>
  <c r="C5015" i="2"/>
  <c r="E5014" i="2"/>
  <c r="F5014" i="2" s="1"/>
  <c r="C5014" i="2"/>
  <c r="E5013" i="2"/>
  <c r="F5013" i="2" s="1"/>
  <c r="C5013" i="2"/>
  <c r="E5012" i="2"/>
  <c r="F5012" i="2" s="1"/>
  <c r="C5012" i="2"/>
  <c r="E5011" i="2"/>
  <c r="F5011" i="2" s="1"/>
  <c r="C5011" i="2"/>
  <c r="E5010" i="2"/>
  <c r="F5010" i="2" s="1"/>
  <c r="C5010" i="2"/>
  <c r="E5009" i="2"/>
  <c r="F5009" i="2" s="1"/>
  <c r="C5009" i="2"/>
  <c r="E5008" i="2"/>
  <c r="F5008" i="2" s="1"/>
  <c r="C5008" i="2"/>
  <c r="E5007" i="2"/>
  <c r="F5007" i="2" s="1"/>
  <c r="C5007" i="2"/>
  <c r="E5006" i="2"/>
  <c r="F5006" i="2" s="1"/>
  <c r="C5006" i="2"/>
  <c r="E5005" i="2"/>
  <c r="F5005" i="2" s="1"/>
  <c r="C5005" i="2"/>
  <c r="E5004" i="2"/>
  <c r="F5004" i="2" s="1"/>
  <c r="C5004" i="2"/>
  <c r="E5003" i="2"/>
  <c r="F5003" i="2" s="1"/>
  <c r="C5003" i="2"/>
  <c r="E5002" i="2"/>
  <c r="F5002" i="2" s="1"/>
  <c r="C5002" i="2"/>
  <c r="E5001" i="2"/>
  <c r="F5001" i="2" s="1"/>
  <c r="C5001" i="2"/>
  <c r="E5000" i="2"/>
  <c r="F5000" i="2" s="1"/>
  <c r="C5000" i="2"/>
  <c r="E4999" i="2"/>
  <c r="F4999" i="2" s="1"/>
  <c r="C4999" i="2"/>
  <c r="E4998" i="2"/>
  <c r="F4998" i="2" s="1"/>
  <c r="C4998" i="2"/>
  <c r="E4997" i="2"/>
  <c r="F4997" i="2" s="1"/>
  <c r="C4997" i="2"/>
  <c r="E4996" i="2"/>
  <c r="F4996" i="2" s="1"/>
  <c r="C4996" i="2"/>
  <c r="E4995" i="2"/>
  <c r="F4995" i="2" s="1"/>
  <c r="C4995" i="2"/>
  <c r="E4994" i="2"/>
  <c r="F4994" i="2" s="1"/>
  <c r="C4994" i="2"/>
  <c r="E4993" i="2"/>
  <c r="F4993" i="2" s="1"/>
  <c r="C4993" i="2"/>
  <c r="E4992" i="2"/>
  <c r="F4992" i="2" s="1"/>
  <c r="C4992" i="2"/>
  <c r="E4991" i="2"/>
  <c r="F4991" i="2" s="1"/>
  <c r="C4991" i="2"/>
  <c r="E4990" i="2"/>
  <c r="F4990" i="2" s="1"/>
  <c r="C4990" i="2"/>
  <c r="E4989" i="2"/>
  <c r="F4989" i="2" s="1"/>
  <c r="C4989" i="2"/>
  <c r="E4988" i="2"/>
  <c r="F4988" i="2" s="1"/>
  <c r="C4988" i="2"/>
  <c r="E4987" i="2"/>
  <c r="F4987" i="2" s="1"/>
  <c r="C4987" i="2"/>
  <c r="E4986" i="2"/>
  <c r="F4986" i="2" s="1"/>
  <c r="C4986" i="2"/>
  <c r="E4985" i="2"/>
  <c r="F4985" i="2" s="1"/>
  <c r="C4985" i="2"/>
  <c r="E4984" i="2"/>
  <c r="F4984" i="2" s="1"/>
  <c r="C4984" i="2"/>
  <c r="E4983" i="2"/>
  <c r="F4983" i="2" s="1"/>
  <c r="C4983" i="2"/>
  <c r="E4982" i="2"/>
  <c r="F4982" i="2" s="1"/>
  <c r="C4982" i="2"/>
  <c r="E4981" i="2"/>
  <c r="F4981" i="2" s="1"/>
  <c r="C4981" i="2"/>
  <c r="E4980" i="2"/>
  <c r="F4980" i="2" s="1"/>
  <c r="C4980" i="2"/>
  <c r="E4979" i="2"/>
  <c r="F4979" i="2" s="1"/>
  <c r="C4979" i="2"/>
  <c r="E4978" i="2"/>
  <c r="F4978" i="2" s="1"/>
  <c r="C4978" i="2"/>
  <c r="E4977" i="2"/>
  <c r="F4977" i="2" s="1"/>
  <c r="C4977" i="2"/>
  <c r="E4976" i="2"/>
  <c r="F4976" i="2" s="1"/>
  <c r="C4976" i="2"/>
  <c r="E4975" i="2"/>
  <c r="F4975" i="2" s="1"/>
  <c r="C4975" i="2"/>
  <c r="E4974" i="2"/>
  <c r="F4974" i="2" s="1"/>
  <c r="C4974" i="2"/>
  <c r="E4973" i="2"/>
  <c r="F4973" i="2" s="1"/>
  <c r="C4973" i="2"/>
  <c r="E4972" i="2"/>
  <c r="F4972" i="2" s="1"/>
  <c r="C4972" i="2"/>
  <c r="E4971" i="2"/>
  <c r="F4971" i="2" s="1"/>
  <c r="C4971" i="2"/>
  <c r="E4970" i="2"/>
  <c r="F4970" i="2" s="1"/>
  <c r="C4970" i="2"/>
  <c r="E4969" i="2"/>
  <c r="F4969" i="2" s="1"/>
  <c r="C4969" i="2"/>
  <c r="E4968" i="2"/>
  <c r="F4968" i="2" s="1"/>
  <c r="C4968" i="2"/>
  <c r="E4967" i="2"/>
  <c r="F4967" i="2" s="1"/>
  <c r="C4967" i="2"/>
  <c r="E4966" i="2"/>
  <c r="F4966" i="2" s="1"/>
  <c r="C4966" i="2"/>
  <c r="E4965" i="2"/>
  <c r="F4965" i="2" s="1"/>
  <c r="C4965" i="2"/>
  <c r="E4964" i="2"/>
  <c r="F4964" i="2" s="1"/>
  <c r="C4964" i="2"/>
  <c r="E4963" i="2"/>
  <c r="F4963" i="2" s="1"/>
  <c r="C4963" i="2"/>
  <c r="E4962" i="2"/>
  <c r="F4962" i="2" s="1"/>
  <c r="C4962" i="2"/>
  <c r="E4961" i="2"/>
  <c r="F4961" i="2" s="1"/>
  <c r="C4961" i="2"/>
  <c r="E4960" i="2"/>
  <c r="F4960" i="2" s="1"/>
  <c r="C4960" i="2"/>
  <c r="E4959" i="2"/>
  <c r="F4959" i="2" s="1"/>
  <c r="C4959" i="2"/>
  <c r="E4958" i="2"/>
  <c r="F4958" i="2" s="1"/>
  <c r="C4958" i="2"/>
  <c r="E4957" i="2"/>
  <c r="F4957" i="2" s="1"/>
  <c r="C4957" i="2"/>
  <c r="E4956" i="2"/>
  <c r="F4956" i="2" s="1"/>
  <c r="C4956" i="2"/>
  <c r="E4955" i="2"/>
  <c r="F4955" i="2" s="1"/>
  <c r="C4955" i="2"/>
  <c r="E4954" i="2"/>
  <c r="F4954" i="2" s="1"/>
  <c r="C4954" i="2"/>
  <c r="E4953" i="2"/>
  <c r="F4953" i="2" s="1"/>
  <c r="C4953" i="2"/>
  <c r="E4952" i="2"/>
  <c r="F4952" i="2" s="1"/>
  <c r="C4952" i="2"/>
  <c r="E4951" i="2"/>
  <c r="F4951" i="2" s="1"/>
  <c r="C4951" i="2"/>
  <c r="E4950" i="2"/>
  <c r="F4950" i="2" s="1"/>
  <c r="C4950" i="2"/>
  <c r="E4949" i="2"/>
  <c r="F4949" i="2" s="1"/>
  <c r="C4949" i="2"/>
  <c r="E4948" i="2"/>
  <c r="F4948" i="2" s="1"/>
  <c r="C4948" i="2"/>
  <c r="E4947" i="2"/>
  <c r="F4947" i="2" s="1"/>
  <c r="C4947" i="2"/>
  <c r="E4946" i="2"/>
  <c r="F4946" i="2" s="1"/>
  <c r="C4946" i="2"/>
  <c r="E4945" i="2"/>
  <c r="F4945" i="2" s="1"/>
  <c r="C4945" i="2"/>
  <c r="E4944" i="2"/>
  <c r="F4944" i="2" s="1"/>
  <c r="C4944" i="2"/>
  <c r="E4943" i="2"/>
  <c r="F4943" i="2" s="1"/>
  <c r="C4943" i="2"/>
  <c r="E4942" i="2"/>
  <c r="F4942" i="2" s="1"/>
  <c r="C4942" i="2"/>
  <c r="E4941" i="2"/>
  <c r="F4941" i="2" s="1"/>
  <c r="C4941" i="2"/>
  <c r="E4940" i="2"/>
  <c r="F4940" i="2" s="1"/>
  <c r="C4940" i="2"/>
  <c r="E4939" i="2"/>
  <c r="F4939" i="2" s="1"/>
  <c r="C4939" i="2"/>
  <c r="E4938" i="2"/>
  <c r="F4938" i="2" s="1"/>
  <c r="C4938" i="2"/>
  <c r="E4937" i="2"/>
  <c r="F4937" i="2" s="1"/>
  <c r="C4937" i="2"/>
  <c r="E4936" i="2"/>
  <c r="F4936" i="2" s="1"/>
  <c r="C4936" i="2"/>
  <c r="E4935" i="2"/>
  <c r="F4935" i="2" s="1"/>
  <c r="C4935" i="2"/>
  <c r="E4934" i="2"/>
  <c r="F4934" i="2" s="1"/>
  <c r="C4934" i="2"/>
  <c r="E4933" i="2"/>
  <c r="F4933" i="2" s="1"/>
  <c r="C4933" i="2"/>
  <c r="E4932" i="2"/>
  <c r="F4932" i="2" s="1"/>
  <c r="C4932" i="2"/>
  <c r="E4931" i="2"/>
  <c r="F4931" i="2" s="1"/>
  <c r="C4931" i="2"/>
  <c r="E4930" i="2"/>
  <c r="F4930" i="2" s="1"/>
  <c r="C4930" i="2"/>
  <c r="E4929" i="2"/>
  <c r="F4929" i="2" s="1"/>
  <c r="C4929" i="2"/>
  <c r="E4928" i="2"/>
  <c r="F4928" i="2" s="1"/>
  <c r="C4928" i="2"/>
  <c r="E4927" i="2"/>
  <c r="F4927" i="2" s="1"/>
  <c r="C4927" i="2"/>
  <c r="E4926" i="2"/>
  <c r="F4926" i="2" s="1"/>
  <c r="C4926" i="2"/>
  <c r="E4925" i="2"/>
  <c r="F4925" i="2" s="1"/>
  <c r="C4925" i="2"/>
  <c r="E4924" i="2"/>
  <c r="F4924" i="2" s="1"/>
  <c r="C4924" i="2"/>
  <c r="E4923" i="2"/>
  <c r="F4923" i="2" s="1"/>
  <c r="C4923" i="2"/>
  <c r="E4922" i="2"/>
  <c r="F4922" i="2" s="1"/>
  <c r="C4922" i="2"/>
  <c r="E4921" i="2"/>
  <c r="F4921" i="2" s="1"/>
  <c r="C4921" i="2"/>
  <c r="E4920" i="2"/>
  <c r="F4920" i="2" s="1"/>
  <c r="C4920" i="2"/>
  <c r="E4919" i="2"/>
  <c r="F4919" i="2" s="1"/>
  <c r="C4919" i="2"/>
  <c r="E4918" i="2"/>
  <c r="F4918" i="2" s="1"/>
  <c r="C4918" i="2"/>
  <c r="E4917" i="2"/>
  <c r="F4917" i="2" s="1"/>
  <c r="C4917" i="2"/>
  <c r="E4916" i="2"/>
  <c r="F4916" i="2" s="1"/>
  <c r="C4916" i="2"/>
  <c r="E4915" i="2"/>
  <c r="F4915" i="2" s="1"/>
  <c r="C4915" i="2"/>
  <c r="E4914" i="2"/>
  <c r="F4914" i="2" s="1"/>
  <c r="C4914" i="2"/>
  <c r="E4913" i="2"/>
  <c r="F4913" i="2" s="1"/>
  <c r="C4913" i="2"/>
  <c r="E4912" i="2"/>
  <c r="F4912" i="2" s="1"/>
  <c r="C4912" i="2"/>
  <c r="E4911" i="2"/>
  <c r="F4911" i="2" s="1"/>
  <c r="C4911" i="2"/>
  <c r="E4910" i="2"/>
  <c r="F4910" i="2" s="1"/>
  <c r="C4910" i="2"/>
  <c r="E4909" i="2"/>
  <c r="F4909" i="2" s="1"/>
  <c r="C4909" i="2"/>
  <c r="E4908" i="2"/>
  <c r="F4908" i="2" s="1"/>
  <c r="C4908" i="2"/>
  <c r="E4907" i="2"/>
  <c r="F4907" i="2" s="1"/>
  <c r="C4907" i="2"/>
  <c r="E4906" i="2"/>
  <c r="F4906" i="2" s="1"/>
  <c r="C4906" i="2"/>
  <c r="E4905" i="2"/>
  <c r="F4905" i="2" s="1"/>
  <c r="C4905" i="2"/>
  <c r="E4904" i="2"/>
  <c r="F4904" i="2" s="1"/>
  <c r="C4904" i="2"/>
  <c r="E4903" i="2"/>
  <c r="F4903" i="2" s="1"/>
  <c r="C4903" i="2"/>
  <c r="E4902" i="2"/>
  <c r="F4902" i="2" s="1"/>
  <c r="C4902" i="2"/>
  <c r="E4901" i="2"/>
  <c r="F4901" i="2" s="1"/>
  <c r="C4901" i="2"/>
  <c r="E4900" i="2"/>
  <c r="F4900" i="2" s="1"/>
  <c r="C4900" i="2"/>
  <c r="E4899" i="2"/>
  <c r="F4899" i="2" s="1"/>
  <c r="C4899" i="2"/>
  <c r="E4898" i="2"/>
  <c r="F4898" i="2" s="1"/>
  <c r="C4898" i="2"/>
  <c r="E4897" i="2"/>
  <c r="F4897" i="2" s="1"/>
  <c r="C4897" i="2"/>
  <c r="E4896" i="2"/>
  <c r="F4896" i="2" s="1"/>
  <c r="C4896" i="2"/>
  <c r="E4895" i="2"/>
  <c r="F4895" i="2" s="1"/>
  <c r="C4895" i="2"/>
  <c r="E4894" i="2"/>
  <c r="F4894" i="2" s="1"/>
  <c r="C4894" i="2"/>
  <c r="E4893" i="2"/>
  <c r="F4893" i="2" s="1"/>
  <c r="C4893" i="2"/>
  <c r="E4892" i="2"/>
  <c r="F4892" i="2" s="1"/>
  <c r="C4892" i="2"/>
  <c r="E4891" i="2"/>
  <c r="F4891" i="2" s="1"/>
  <c r="C4891" i="2"/>
  <c r="E4890" i="2"/>
  <c r="F4890" i="2" s="1"/>
  <c r="C4890" i="2"/>
  <c r="E4889" i="2"/>
  <c r="F4889" i="2" s="1"/>
  <c r="C4889" i="2"/>
  <c r="E4888" i="2"/>
  <c r="F4888" i="2" s="1"/>
  <c r="C4888" i="2"/>
  <c r="E4887" i="2"/>
  <c r="F4887" i="2" s="1"/>
  <c r="C4887" i="2"/>
  <c r="E4886" i="2"/>
  <c r="F4886" i="2" s="1"/>
  <c r="C4886" i="2"/>
  <c r="E4885" i="2"/>
  <c r="F4885" i="2" s="1"/>
  <c r="C4885" i="2"/>
  <c r="E4884" i="2"/>
  <c r="F4884" i="2" s="1"/>
  <c r="C4884" i="2"/>
  <c r="E4883" i="2"/>
  <c r="F4883" i="2" s="1"/>
  <c r="C4883" i="2"/>
  <c r="E4882" i="2"/>
  <c r="F4882" i="2" s="1"/>
  <c r="C4882" i="2"/>
  <c r="E4881" i="2"/>
  <c r="F4881" i="2" s="1"/>
  <c r="C4881" i="2"/>
  <c r="E4880" i="2"/>
  <c r="F4880" i="2" s="1"/>
  <c r="C4880" i="2"/>
  <c r="E4879" i="2"/>
  <c r="F4879" i="2" s="1"/>
  <c r="C4879" i="2"/>
  <c r="E4878" i="2"/>
  <c r="F4878" i="2" s="1"/>
  <c r="C4878" i="2"/>
  <c r="E4877" i="2"/>
  <c r="F4877" i="2" s="1"/>
  <c r="C4877" i="2"/>
  <c r="E4876" i="2"/>
  <c r="F4876" i="2" s="1"/>
  <c r="C4876" i="2"/>
  <c r="E4875" i="2"/>
  <c r="F4875" i="2" s="1"/>
  <c r="C4875" i="2"/>
  <c r="E4874" i="2"/>
  <c r="F4874" i="2" s="1"/>
  <c r="C4874" i="2"/>
  <c r="E4873" i="2"/>
  <c r="F4873" i="2" s="1"/>
  <c r="C4873" i="2"/>
  <c r="E4872" i="2"/>
  <c r="F4872" i="2" s="1"/>
  <c r="C4872" i="2"/>
  <c r="E4871" i="2"/>
  <c r="F4871" i="2" s="1"/>
  <c r="C4871" i="2"/>
  <c r="E4870" i="2"/>
  <c r="F4870" i="2" s="1"/>
  <c r="C4870" i="2"/>
  <c r="E4869" i="2"/>
  <c r="F4869" i="2" s="1"/>
  <c r="C4869" i="2"/>
  <c r="E4868" i="2"/>
  <c r="F4868" i="2" s="1"/>
  <c r="C4868" i="2"/>
  <c r="E4867" i="2"/>
  <c r="F4867" i="2" s="1"/>
  <c r="C4867" i="2"/>
  <c r="E4866" i="2"/>
  <c r="F4866" i="2" s="1"/>
  <c r="C4866" i="2"/>
  <c r="E4865" i="2"/>
  <c r="F4865" i="2" s="1"/>
  <c r="C4865" i="2"/>
  <c r="E4864" i="2"/>
  <c r="F4864" i="2" s="1"/>
  <c r="C4864" i="2"/>
  <c r="E4863" i="2"/>
  <c r="F4863" i="2" s="1"/>
  <c r="C4863" i="2"/>
  <c r="E4862" i="2"/>
  <c r="F4862" i="2" s="1"/>
  <c r="C4862" i="2"/>
  <c r="E4861" i="2"/>
  <c r="F4861" i="2" s="1"/>
  <c r="C4861" i="2"/>
  <c r="E4860" i="2"/>
  <c r="F4860" i="2" s="1"/>
  <c r="C4860" i="2"/>
  <c r="E4859" i="2"/>
  <c r="F4859" i="2" s="1"/>
  <c r="C4859" i="2"/>
  <c r="E4858" i="2"/>
  <c r="F4858" i="2" s="1"/>
  <c r="C4858" i="2"/>
  <c r="E4857" i="2"/>
  <c r="F4857" i="2" s="1"/>
  <c r="C4857" i="2"/>
  <c r="E4856" i="2"/>
  <c r="F4856" i="2" s="1"/>
  <c r="C4856" i="2"/>
  <c r="E4855" i="2"/>
  <c r="F4855" i="2" s="1"/>
  <c r="C4855" i="2"/>
  <c r="E4854" i="2"/>
  <c r="F4854" i="2" s="1"/>
  <c r="C4854" i="2"/>
  <c r="E4853" i="2"/>
  <c r="F4853" i="2" s="1"/>
  <c r="C4853" i="2"/>
  <c r="E4852" i="2"/>
  <c r="F4852" i="2" s="1"/>
  <c r="C4852" i="2"/>
  <c r="E4851" i="2"/>
  <c r="F4851" i="2" s="1"/>
  <c r="C4851" i="2"/>
  <c r="E4850" i="2"/>
  <c r="F4850" i="2" s="1"/>
  <c r="C4850" i="2"/>
  <c r="E4849" i="2"/>
  <c r="F4849" i="2" s="1"/>
  <c r="C4849" i="2"/>
  <c r="E4848" i="2"/>
  <c r="F4848" i="2" s="1"/>
  <c r="C4848" i="2"/>
  <c r="E4847" i="2"/>
  <c r="F4847" i="2" s="1"/>
  <c r="C4847" i="2"/>
  <c r="E4846" i="2"/>
  <c r="F4846" i="2" s="1"/>
  <c r="C4846" i="2"/>
  <c r="E4845" i="2"/>
  <c r="F4845" i="2" s="1"/>
  <c r="C4845" i="2"/>
  <c r="E4844" i="2"/>
  <c r="F4844" i="2" s="1"/>
  <c r="C4844" i="2"/>
  <c r="E4843" i="2"/>
  <c r="F4843" i="2" s="1"/>
  <c r="C4843" i="2"/>
  <c r="E4842" i="2"/>
  <c r="F4842" i="2" s="1"/>
  <c r="C4842" i="2"/>
  <c r="E4841" i="2"/>
  <c r="F4841" i="2" s="1"/>
  <c r="C4841" i="2"/>
  <c r="E4840" i="2"/>
  <c r="F4840" i="2" s="1"/>
  <c r="C4840" i="2"/>
  <c r="E4839" i="2"/>
  <c r="F4839" i="2" s="1"/>
  <c r="C4839" i="2"/>
  <c r="E4838" i="2"/>
  <c r="F4838" i="2" s="1"/>
  <c r="C4838" i="2"/>
  <c r="E4837" i="2"/>
  <c r="F4837" i="2" s="1"/>
  <c r="C4837" i="2"/>
  <c r="E4836" i="2"/>
  <c r="F4836" i="2" s="1"/>
  <c r="C4836" i="2"/>
  <c r="E4835" i="2"/>
  <c r="F4835" i="2" s="1"/>
  <c r="C4835" i="2"/>
  <c r="E4834" i="2"/>
  <c r="F4834" i="2" s="1"/>
  <c r="C4834" i="2"/>
  <c r="E4833" i="2"/>
  <c r="F4833" i="2" s="1"/>
  <c r="C4833" i="2"/>
  <c r="E4832" i="2"/>
  <c r="F4832" i="2" s="1"/>
  <c r="C4832" i="2"/>
  <c r="E4831" i="2"/>
  <c r="F4831" i="2" s="1"/>
  <c r="C4831" i="2"/>
  <c r="E4830" i="2"/>
  <c r="F4830" i="2" s="1"/>
  <c r="C4830" i="2"/>
  <c r="E4829" i="2"/>
  <c r="F4829" i="2" s="1"/>
  <c r="C4829" i="2"/>
  <c r="E4828" i="2"/>
  <c r="F4828" i="2" s="1"/>
  <c r="C4828" i="2"/>
  <c r="E4827" i="2"/>
  <c r="F4827" i="2" s="1"/>
  <c r="C4827" i="2"/>
  <c r="E4826" i="2"/>
  <c r="F4826" i="2" s="1"/>
  <c r="C4826" i="2"/>
  <c r="E4825" i="2"/>
  <c r="F4825" i="2" s="1"/>
  <c r="C4825" i="2"/>
  <c r="E4824" i="2"/>
  <c r="F4824" i="2" s="1"/>
  <c r="C4824" i="2"/>
  <c r="E4823" i="2"/>
  <c r="F4823" i="2" s="1"/>
  <c r="C4823" i="2"/>
  <c r="E4822" i="2"/>
  <c r="F4822" i="2" s="1"/>
  <c r="C4822" i="2"/>
  <c r="E4821" i="2"/>
  <c r="F4821" i="2" s="1"/>
  <c r="C4821" i="2"/>
  <c r="E4820" i="2"/>
  <c r="F4820" i="2" s="1"/>
  <c r="C4820" i="2"/>
  <c r="E4819" i="2"/>
  <c r="F4819" i="2" s="1"/>
  <c r="C4819" i="2"/>
  <c r="E4818" i="2"/>
  <c r="F4818" i="2" s="1"/>
  <c r="C4818" i="2"/>
  <c r="E4817" i="2"/>
  <c r="F4817" i="2" s="1"/>
  <c r="C4817" i="2"/>
  <c r="E4816" i="2"/>
  <c r="F4816" i="2" s="1"/>
  <c r="C4816" i="2"/>
  <c r="E4815" i="2"/>
  <c r="F4815" i="2" s="1"/>
  <c r="C4815" i="2"/>
  <c r="E4814" i="2"/>
  <c r="F4814" i="2" s="1"/>
  <c r="C4814" i="2"/>
  <c r="E4813" i="2"/>
  <c r="F4813" i="2" s="1"/>
  <c r="C4813" i="2"/>
  <c r="E4812" i="2"/>
  <c r="F4812" i="2" s="1"/>
  <c r="C4812" i="2"/>
  <c r="E4811" i="2"/>
  <c r="F4811" i="2" s="1"/>
  <c r="C4811" i="2"/>
  <c r="E4810" i="2"/>
  <c r="F4810" i="2" s="1"/>
  <c r="C4810" i="2"/>
  <c r="E4809" i="2"/>
  <c r="F4809" i="2" s="1"/>
  <c r="C4809" i="2"/>
  <c r="E4808" i="2"/>
  <c r="F4808" i="2" s="1"/>
  <c r="C4808" i="2"/>
  <c r="E4807" i="2"/>
  <c r="F4807" i="2" s="1"/>
  <c r="C4807" i="2"/>
  <c r="E4806" i="2"/>
  <c r="F4806" i="2" s="1"/>
  <c r="C4806" i="2"/>
  <c r="E4805" i="2"/>
  <c r="F4805" i="2" s="1"/>
  <c r="C4805" i="2"/>
  <c r="E4804" i="2"/>
  <c r="F4804" i="2" s="1"/>
  <c r="C4804" i="2"/>
  <c r="E4803" i="2"/>
  <c r="F4803" i="2" s="1"/>
  <c r="C4803" i="2"/>
  <c r="E4802" i="2"/>
  <c r="F4802" i="2" s="1"/>
  <c r="C4802" i="2"/>
  <c r="E4801" i="2"/>
  <c r="F4801" i="2" s="1"/>
  <c r="C4801" i="2"/>
  <c r="E4800" i="2"/>
  <c r="F4800" i="2" s="1"/>
  <c r="C4800" i="2"/>
  <c r="E4799" i="2"/>
  <c r="F4799" i="2" s="1"/>
  <c r="C4799" i="2"/>
  <c r="E4798" i="2"/>
  <c r="F4798" i="2" s="1"/>
  <c r="C4798" i="2"/>
  <c r="E4797" i="2"/>
  <c r="F4797" i="2" s="1"/>
  <c r="C4797" i="2"/>
  <c r="E4796" i="2"/>
  <c r="F4796" i="2" s="1"/>
  <c r="C4796" i="2"/>
  <c r="E4795" i="2"/>
  <c r="F4795" i="2" s="1"/>
  <c r="C4795" i="2"/>
  <c r="E4794" i="2"/>
  <c r="F4794" i="2" s="1"/>
  <c r="C4794" i="2"/>
  <c r="E4793" i="2"/>
  <c r="F4793" i="2" s="1"/>
  <c r="C4793" i="2"/>
  <c r="E4792" i="2"/>
  <c r="F4792" i="2" s="1"/>
  <c r="C4792" i="2"/>
  <c r="E4791" i="2"/>
  <c r="F4791" i="2" s="1"/>
  <c r="C4791" i="2"/>
  <c r="E4790" i="2"/>
  <c r="F4790" i="2" s="1"/>
  <c r="C4790" i="2"/>
  <c r="E4789" i="2"/>
  <c r="F4789" i="2" s="1"/>
  <c r="C4789" i="2"/>
  <c r="E4788" i="2"/>
  <c r="F4788" i="2" s="1"/>
  <c r="C4788" i="2"/>
  <c r="E4787" i="2"/>
  <c r="F4787" i="2" s="1"/>
  <c r="C4787" i="2"/>
  <c r="E4786" i="2"/>
  <c r="F4786" i="2" s="1"/>
  <c r="C4786" i="2"/>
  <c r="E4785" i="2"/>
  <c r="F4785" i="2" s="1"/>
  <c r="C4785" i="2"/>
  <c r="E4784" i="2"/>
  <c r="F4784" i="2" s="1"/>
  <c r="C4784" i="2"/>
  <c r="E4783" i="2"/>
  <c r="F4783" i="2" s="1"/>
  <c r="C4783" i="2"/>
  <c r="E4782" i="2"/>
  <c r="F4782" i="2" s="1"/>
  <c r="C4782" i="2"/>
  <c r="E4781" i="2"/>
  <c r="F4781" i="2" s="1"/>
  <c r="C4781" i="2"/>
  <c r="E4780" i="2"/>
  <c r="F4780" i="2" s="1"/>
  <c r="C4780" i="2"/>
  <c r="E4779" i="2"/>
  <c r="F4779" i="2" s="1"/>
  <c r="C4779" i="2"/>
  <c r="E4778" i="2"/>
  <c r="F4778" i="2" s="1"/>
  <c r="C4778" i="2"/>
  <c r="E4777" i="2"/>
  <c r="F4777" i="2" s="1"/>
  <c r="C4777" i="2"/>
  <c r="E4776" i="2"/>
  <c r="F4776" i="2" s="1"/>
  <c r="C4776" i="2"/>
  <c r="E4775" i="2"/>
  <c r="F4775" i="2" s="1"/>
  <c r="C4775" i="2"/>
  <c r="E4774" i="2"/>
  <c r="F4774" i="2" s="1"/>
  <c r="C4774" i="2"/>
  <c r="E4773" i="2"/>
  <c r="F4773" i="2" s="1"/>
  <c r="C4773" i="2"/>
  <c r="E4772" i="2"/>
  <c r="F4772" i="2" s="1"/>
  <c r="C4772" i="2"/>
  <c r="E4771" i="2"/>
  <c r="F4771" i="2" s="1"/>
  <c r="C4771" i="2"/>
  <c r="E4770" i="2"/>
  <c r="F4770" i="2" s="1"/>
  <c r="C4770" i="2"/>
  <c r="E4769" i="2"/>
  <c r="F4769" i="2" s="1"/>
  <c r="C4769" i="2"/>
  <c r="E4768" i="2"/>
  <c r="F4768" i="2" s="1"/>
  <c r="C4768" i="2"/>
  <c r="E4767" i="2"/>
  <c r="F4767" i="2" s="1"/>
  <c r="C4767" i="2"/>
  <c r="E4766" i="2"/>
  <c r="F4766" i="2" s="1"/>
  <c r="C4766" i="2"/>
  <c r="E4765" i="2"/>
  <c r="F4765" i="2" s="1"/>
  <c r="C4765" i="2"/>
  <c r="E4764" i="2"/>
  <c r="F4764" i="2" s="1"/>
  <c r="C4764" i="2"/>
  <c r="E4763" i="2"/>
  <c r="F4763" i="2" s="1"/>
  <c r="C4763" i="2"/>
  <c r="E4762" i="2"/>
  <c r="F4762" i="2" s="1"/>
  <c r="C4762" i="2"/>
  <c r="E4761" i="2"/>
  <c r="F4761" i="2" s="1"/>
  <c r="C4761" i="2"/>
  <c r="E4760" i="2"/>
  <c r="F4760" i="2" s="1"/>
  <c r="C4760" i="2"/>
  <c r="E4759" i="2"/>
  <c r="F4759" i="2" s="1"/>
  <c r="C4759" i="2"/>
  <c r="E4758" i="2"/>
  <c r="F4758" i="2" s="1"/>
  <c r="C4758" i="2"/>
  <c r="E4757" i="2"/>
  <c r="F4757" i="2" s="1"/>
  <c r="C4757" i="2"/>
  <c r="E4756" i="2"/>
  <c r="F4756" i="2" s="1"/>
  <c r="C4756" i="2"/>
  <c r="E4755" i="2"/>
  <c r="F4755" i="2" s="1"/>
  <c r="C4755" i="2"/>
  <c r="E4754" i="2"/>
  <c r="F4754" i="2" s="1"/>
  <c r="C4754" i="2"/>
  <c r="E4753" i="2"/>
  <c r="F4753" i="2" s="1"/>
  <c r="C4753" i="2"/>
  <c r="E4752" i="2"/>
  <c r="F4752" i="2" s="1"/>
  <c r="C4752" i="2"/>
  <c r="E4751" i="2"/>
  <c r="F4751" i="2" s="1"/>
  <c r="C4751" i="2"/>
  <c r="E4750" i="2"/>
  <c r="F4750" i="2" s="1"/>
  <c r="C4750" i="2"/>
  <c r="E4749" i="2"/>
  <c r="F4749" i="2" s="1"/>
  <c r="C4749" i="2"/>
  <c r="E4748" i="2"/>
  <c r="F4748" i="2" s="1"/>
  <c r="C4748" i="2"/>
  <c r="E4747" i="2"/>
  <c r="F4747" i="2" s="1"/>
  <c r="C4747" i="2"/>
  <c r="E4746" i="2"/>
  <c r="F4746" i="2" s="1"/>
  <c r="C4746" i="2"/>
  <c r="E4745" i="2"/>
  <c r="F4745" i="2" s="1"/>
  <c r="C4745" i="2"/>
  <c r="E4744" i="2"/>
  <c r="F4744" i="2" s="1"/>
  <c r="C4744" i="2"/>
  <c r="E4743" i="2"/>
  <c r="F4743" i="2" s="1"/>
  <c r="C4743" i="2"/>
  <c r="E4742" i="2"/>
  <c r="F4742" i="2" s="1"/>
  <c r="C4742" i="2"/>
  <c r="E4741" i="2"/>
  <c r="F4741" i="2" s="1"/>
  <c r="C4741" i="2"/>
  <c r="E4740" i="2"/>
  <c r="F4740" i="2" s="1"/>
  <c r="C4740" i="2"/>
  <c r="E4739" i="2"/>
  <c r="F4739" i="2" s="1"/>
  <c r="C4739" i="2"/>
  <c r="E4738" i="2"/>
  <c r="F4738" i="2" s="1"/>
  <c r="C4738" i="2"/>
  <c r="E4737" i="2"/>
  <c r="F4737" i="2" s="1"/>
  <c r="C4737" i="2"/>
  <c r="E4736" i="2"/>
  <c r="F4736" i="2" s="1"/>
  <c r="C4736" i="2"/>
  <c r="E4735" i="2"/>
  <c r="F4735" i="2" s="1"/>
  <c r="C4735" i="2"/>
  <c r="E4734" i="2"/>
  <c r="F4734" i="2" s="1"/>
  <c r="C4734" i="2"/>
  <c r="E4733" i="2"/>
  <c r="F4733" i="2" s="1"/>
  <c r="C4733" i="2"/>
  <c r="E4732" i="2"/>
  <c r="F4732" i="2" s="1"/>
  <c r="C4732" i="2"/>
  <c r="E4731" i="2"/>
  <c r="F4731" i="2" s="1"/>
  <c r="C4731" i="2"/>
  <c r="E4730" i="2"/>
  <c r="F4730" i="2" s="1"/>
  <c r="C4730" i="2"/>
  <c r="E4729" i="2"/>
  <c r="F4729" i="2" s="1"/>
  <c r="C4729" i="2"/>
  <c r="E4728" i="2"/>
  <c r="F4728" i="2" s="1"/>
  <c r="C4728" i="2"/>
  <c r="E4727" i="2"/>
  <c r="F4727" i="2" s="1"/>
  <c r="C4727" i="2"/>
  <c r="E4726" i="2"/>
  <c r="F4726" i="2" s="1"/>
  <c r="C4726" i="2"/>
  <c r="E4725" i="2"/>
  <c r="F4725" i="2" s="1"/>
  <c r="C4725" i="2"/>
  <c r="E4724" i="2"/>
  <c r="F4724" i="2" s="1"/>
  <c r="C4724" i="2"/>
  <c r="E4723" i="2"/>
  <c r="F4723" i="2" s="1"/>
  <c r="C4723" i="2"/>
  <c r="E4722" i="2"/>
  <c r="F4722" i="2" s="1"/>
  <c r="C4722" i="2"/>
  <c r="E4721" i="2"/>
  <c r="F4721" i="2" s="1"/>
  <c r="C4721" i="2"/>
  <c r="E4720" i="2"/>
  <c r="F4720" i="2" s="1"/>
  <c r="C4720" i="2"/>
  <c r="E4719" i="2"/>
  <c r="F4719" i="2" s="1"/>
  <c r="C4719" i="2"/>
  <c r="E4718" i="2"/>
  <c r="F4718" i="2" s="1"/>
  <c r="C4718" i="2"/>
  <c r="E4717" i="2"/>
  <c r="F4717" i="2" s="1"/>
  <c r="C4717" i="2"/>
  <c r="E4716" i="2"/>
  <c r="F4716" i="2" s="1"/>
  <c r="C4716" i="2"/>
  <c r="E4715" i="2"/>
  <c r="F4715" i="2" s="1"/>
  <c r="C4715" i="2"/>
  <c r="E4714" i="2"/>
  <c r="F4714" i="2" s="1"/>
  <c r="C4714" i="2"/>
  <c r="E4713" i="2"/>
  <c r="F4713" i="2" s="1"/>
  <c r="C4713" i="2"/>
  <c r="E4712" i="2"/>
  <c r="F4712" i="2" s="1"/>
  <c r="C4712" i="2"/>
  <c r="E4711" i="2"/>
  <c r="F4711" i="2" s="1"/>
  <c r="C4711" i="2"/>
  <c r="E4710" i="2"/>
  <c r="F4710" i="2" s="1"/>
  <c r="C4710" i="2"/>
  <c r="E4709" i="2"/>
  <c r="F4709" i="2" s="1"/>
  <c r="C4709" i="2"/>
  <c r="E4708" i="2"/>
  <c r="F4708" i="2" s="1"/>
  <c r="C4708" i="2"/>
  <c r="E4707" i="2"/>
  <c r="F4707" i="2" s="1"/>
  <c r="C4707" i="2"/>
  <c r="E4706" i="2"/>
  <c r="F4706" i="2" s="1"/>
  <c r="C4706" i="2"/>
  <c r="E4705" i="2"/>
  <c r="F4705" i="2" s="1"/>
  <c r="C4705" i="2"/>
  <c r="E4704" i="2"/>
  <c r="F4704" i="2" s="1"/>
  <c r="C4704" i="2"/>
  <c r="E4703" i="2"/>
  <c r="F4703" i="2" s="1"/>
  <c r="C4703" i="2"/>
  <c r="E4702" i="2"/>
  <c r="F4702" i="2" s="1"/>
  <c r="C4702" i="2"/>
  <c r="E4701" i="2"/>
  <c r="F4701" i="2" s="1"/>
  <c r="C4701" i="2"/>
  <c r="E4700" i="2"/>
  <c r="F4700" i="2" s="1"/>
  <c r="C4700" i="2"/>
  <c r="E4699" i="2"/>
  <c r="F4699" i="2" s="1"/>
  <c r="C4699" i="2"/>
  <c r="E4698" i="2"/>
  <c r="F4698" i="2" s="1"/>
  <c r="C4698" i="2"/>
  <c r="E4697" i="2"/>
  <c r="F4697" i="2" s="1"/>
  <c r="C4697" i="2"/>
  <c r="E4696" i="2"/>
  <c r="F4696" i="2" s="1"/>
  <c r="C4696" i="2"/>
  <c r="E4695" i="2"/>
  <c r="F4695" i="2" s="1"/>
  <c r="C4695" i="2"/>
  <c r="E4694" i="2"/>
  <c r="F4694" i="2" s="1"/>
  <c r="C4694" i="2"/>
  <c r="E4693" i="2"/>
  <c r="F4693" i="2" s="1"/>
  <c r="C4693" i="2"/>
  <c r="E4692" i="2"/>
  <c r="F4692" i="2" s="1"/>
  <c r="C4692" i="2"/>
  <c r="E4691" i="2"/>
  <c r="F4691" i="2" s="1"/>
  <c r="C4691" i="2"/>
  <c r="E4690" i="2"/>
  <c r="F4690" i="2" s="1"/>
  <c r="C4690" i="2"/>
  <c r="E4689" i="2"/>
  <c r="F4689" i="2" s="1"/>
  <c r="C4689" i="2"/>
  <c r="E4688" i="2"/>
  <c r="F4688" i="2" s="1"/>
  <c r="C4688" i="2"/>
  <c r="E4687" i="2"/>
  <c r="F4687" i="2" s="1"/>
  <c r="C4687" i="2"/>
  <c r="E4686" i="2"/>
  <c r="F4686" i="2" s="1"/>
  <c r="C4686" i="2"/>
  <c r="E4685" i="2"/>
  <c r="F4685" i="2" s="1"/>
  <c r="C4685" i="2"/>
  <c r="E4684" i="2"/>
  <c r="F4684" i="2" s="1"/>
  <c r="C4684" i="2"/>
  <c r="E4683" i="2"/>
  <c r="F4683" i="2" s="1"/>
  <c r="C4683" i="2"/>
  <c r="E4682" i="2"/>
  <c r="F4682" i="2" s="1"/>
  <c r="C4682" i="2"/>
  <c r="E4681" i="2"/>
  <c r="F4681" i="2" s="1"/>
  <c r="C4681" i="2"/>
  <c r="E4680" i="2"/>
  <c r="F4680" i="2" s="1"/>
  <c r="C4680" i="2"/>
  <c r="E4679" i="2"/>
  <c r="F4679" i="2" s="1"/>
  <c r="C4679" i="2"/>
  <c r="E4678" i="2"/>
  <c r="F4678" i="2" s="1"/>
  <c r="C4678" i="2"/>
  <c r="E4677" i="2"/>
  <c r="F4677" i="2" s="1"/>
  <c r="C4677" i="2"/>
  <c r="E4676" i="2"/>
  <c r="F4676" i="2" s="1"/>
  <c r="C4676" i="2"/>
  <c r="E4675" i="2"/>
  <c r="F4675" i="2" s="1"/>
  <c r="C4675" i="2"/>
  <c r="E4674" i="2"/>
  <c r="F4674" i="2" s="1"/>
  <c r="C4674" i="2"/>
  <c r="E4673" i="2"/>
  <c r="F4673" i="2" s="1"/>
  <c r="C4673" i="2"/>
  <c r="E4672" i="2"/>
  <c r="F4672" i="2" s="1"/>
  <c r="C4672" i="2"/>
  <c r="E4671" i="2"/>
  <c r="F4671" i="2" s="1"/>
  <c r="C4671" i="2"/>
  <c r="E4670" i="2"/>
  <c r="F4670" i="2" s="1"/>
  <c r="C4670" i="2"/>
  <c r="E4669" i="2"/>
  <c r="F4669" i="2" s="1"/>
  <c r="C4669" i="2"/>
  <c r="E4668" i="2"/>
  <c r="F4668" i="2" s="1"/>
  <c r="C4668" i="2"/>
  <c r="E4667" i="2"/>
  <c r="F4667" i="2" s="1"/>
  <c r="C4667" i="2"/>
  <c r="E4666" i="2"/>
  <c r="F4666" i="2" s="1"/>
  <c r="C4666" i="2"/>
  <c r="E4665" i="2"/>
  <c r="F4665" i="2" s="1"/>
  <c r="C4665" i="2"/>
  <c r="E4664" i="2"/>
  <c r="F4664" i="2" s="1"/>
  <c r="C4664" i="2"/>
  <c r="E4663" i="2"/>
  <c r="F4663" i="2" s="1"/>
  <c r="C4663" i="2"/>
  <c r="E4662" i="2"/>
  <c r="F4662" i="2" s="1"/>
  <c r="C4662" i="2"/>
  <c r="E4661" i="2"/>
  <c r="F4661" i="2" s="1"/>
  <c r="C4661" i="2"/>
  <c r="E4660" i="2"/>
  <c r="F4660" i="2" s="1"/>
  <c r="C4660" i="2"/>
  <c r="E4659" i="2"/>
  <c r="F4659" i="2" s="1"/>
  <c r="C4659" i="2"/>
  <c r="E4658" i="2"/>
  <c r="F4658" i="2" s="1"/>
  <c r="C4658" i="2"/>
  <c r="E4657" i="2"/>
  <c r="F4657" i="2" s="1"/>
  <c r="C4657" i="2"/>
  <c r="E4656" i="2"/>
  <c r="F4656" i="2" s="1"/>
  <c r="C4656" i="2"/>
  <c r="E4655" i="2"/>
  <c r="F4655" i="2" s="1"/>
  <c r="C4655" i="2"/>
  <c r="E4654" i="2"/>
  <c r="F4654" i="2" s="1"/>
  <c r="C4654" i="2"/>
  <c r="E4653" i="2"/>
  <c r="F4653" i="2" s="1"/>
  <c r="C4653" i="2"/>
  <c r="E4652" i="2"/>
  <c r="F4652" i="2" s="1"/>
  <c r="C4652" i="2"/>
  <c r="E4651" i="2"/>
  <c r="F4651" i="2" s="1"/>
  <c r="C4651" i="2"/>
  <c r="E4650" i="2"/>
  <c r="F4650" i="2" s="1"/>
  <c r="C4650" i="2"/>
  <c r="E4649" i="2"/>
  <c r="F4649" i="2" s="1"/>
  <c r="C4649" i="2"/>
  <c r="E4648" i="2"/>
  <c r="F4648" i="2" s="1"/>
  <c r="C4648" i="2"/>
  <c r="E4647" i="2"/>
  <c r="F4647" i="2" s="1"/>
  <c r="C4647" i="2"/>
  <c r="E4646" i="2"/>
  <c r="F4646" i="2" s="1"/>
  <c r="C4646" i="2"/>
  <c r="E4645" i="2"/>
  <c r="F4645" i="2" s="1"/>
  <c r="C4645" i="2"/>
  <c r="E4644" i="2"/>
  <c r="F4644" i="2" s="1"/>
  <c r="C4644" i="2"/>
  <c r="E4643" i="2"/>
  <c r="F4643" i="2" s="1"/>
  <c r="C4643" i="2"/>
  <c r="E4642" i="2"/>
  <c r="F4642" i="2" s="1"/>
  <c r="C4642" i="2"/>
  <c r="E4641" i="2"/>
  <c r="F4641" i="2" s="1"/>
  <c r="C4641" i="2"/>
  <c r="E4640" i="2"/>
  <c r="F4640" i="2" s="1"/>
  <c r="C4640" i="2"/>
  <c r="E4639" i="2"/>
  <c r="F4639" i="2" s="1"/>
  <c r="C4639" i="2"/>
  <c r="E4638" i="2"/>
  <c r="F4638" i="2" s="1"/>
  <c r="C4638" i="2"/>
  <c r="E4637" i="2"/>
  <c r="F4637" i="2" s="1"/>
  <c r="C4637" i="2"/>
  <c r="E4636" i="2"/>
  <c r="F4636" i="2" s="1"/>
  <c r="C4636" i="2"/>
  <c r="E4635" i="2"/>
  <c r="F4635" i="2" s="1"/>
  <c r="C4635" i="2"/>
  <c r="E4634" i="2"/>
  <c r="F4634" i="2" s="1"/>
  <c r="C4634" i="2"/>
  <c r="E4633" i="2"/>
  <c r="F4633" i="2" s="1"/>
  <c r="C4633" i="2"/>
  <c r="E4632" i="2"/>
  <c r="F4632" i="2" s="1"/>
  <c r="C4632" i="2"/>
  <c r="E4631" i="2"/>
  <c r="F4631" i="2" s="1"/>
  <c r="C4631" i="2"/>
  <c r="E4630" i="2"/>
  <c r="F4630" i="2" s="1"/>
  <c r="C4630" i="2"/>
  <c r="E4629" i="2"/>
  <c r="F4629" i="2" s="1"/>
  <c r="C4629" i="2"/>
  <c r="E4628" i="2"/>
  <c r="F4628" i="2" s="1"/>
  <c r="C4628" i="2"/>
  <c r="E4627" i="2"/>
  <c r="F4627" i="2" s="1"/>
  <c r="C4627" i="2"/>
  <c r="E4626" i="2"/>
  <c r="F4626" i="2" s="1"/>
  <c r="C4626" i="2"/>
  <c r="E4625" i="2"/>
  <c r="F4625" i="2" s="1"/>
  <c r="C4625" i="2"/>
  <c r="E4624" i="2"/>
  <c r="F4624" i="2" s="1"/>
  <c r="C4624" i="2"/>
  <c r="E4623" i="2"/>
  <c r="F4623" i="2" s="1"/>
  <c r="C4623" i="2"/>
  <c r="E4622" i="2"/>
  <c r="F4622" i="2" s="1"/>
  <c r="C4622" i="2"/>
  <c r="E4621" i="2"/>
  <c r="F4621" i="2" s="1"/>
  <c r="C4621" i="2"/>
  <c r="E4620" i="2"/>
  <c r="F4620" i="2" s="1"/>
  <c r="C4620" i="2"/>
  <c r="E4619" i="2"/>
  <c r="F4619" i="2" s="1"/>
  <c r="C4619" i="2"/>
  <c r="E4618" i="2"/>
  <c r="F4618" i="2" s="1"/>
  <c r="C4618" i="2"/>
  <c r="E4617" i="2"/>
  <c r="F4617" i="2" s="1"/>
  <c r="C4617" i="2"/>
  <c r="E4616" i="2"/>
  <c r="F4616" i="2" s="1"/>
  <c r="C4616" i="2"/>
  <c r="E4615" i="2"/>
  <c r="F4615" i="2" s="1"/>
  <c r="C4615" i="2"/>
  <c r="E4614" i="2"/>
  <c r="F4614" i="2" s="1"/>
  <c r="C4614" i="2"/>
  <c r="E4613" i="2"/>
  <c r="F4613" i="2" s="1"/>
  <c r="C4613" i="2"/>
  <c r="E4612" i="2"/>
  <c r="F4612" i="2" s="1"/>
  <c r="C4612" i="2"/>
  <c r="E4611" i="2"/>
  <c r="F4611" i="2" s="1"/>
  <c r="C4611" i="2"/>
  <c r="E4610" i="2"/>
  <c r="F4610" i="2" s="1"/>
  <c r="C4610" i="2"/>
  <c r="E4609" i="2"/>
  <c r="F4609" i="2" s="1"/>
  <c r="C4609" i="2"/>
  <c r="E4608" i="2"/>
  <c r="F4608" i="2" s="1"/>
  <c r="C4608" i="2"/>
  <c r="E4607" i="2"/>
  <c r="F4607" i="2" s="1"/>
  <c r="C4607" i="2"/>
  <c r="E4606" i="2"/>
  <c r="F4606" i="2" s="1"/>
  <c r="C4606" i="2"/>
  <c r="E4605" i="2"/>
  <c r="F4605" i="2" s="1"/>
  <c r="C4605" i="2"/>
  <c r="E4604" i="2"/>
  <c r="F4604" i="2" s="1"/>
  <c r="C4604" i="2"/>
  <c r="E4603" i="2"/>
  <c r="F4603" i="2" s="1"/>
  <c r="C4603" i="2"/>
  <c r="E4602" i="2"/>
  <c r="F4602" i="2" s="1"/>
  <c r="C4602" i="2"/>
  <c r="E4601" i="2"/>
  <c r="F4601" i="2" s="1"/>
  <c r="C4601" i="2"/>
  <c r="E4600" i="2"/>
  <c r="F4600" i="2" s="1"/>
  <c r="C4600" i="2"/>
  <c r="E4599" i="2"/>
  <c r="F4599" i="2" s="1"/>
  <c r="C4599" i="2"/>
  <c r="E4598" i="2"/>
  <c r="F4598" i="2" s="1"/>
  <c r="C4598" i="2"/>
  <c r="E4597" i="2"/>
  <c r="F4597" i="2" s="1"/>
  <c r="C4597" i="2"/>
  <c r="E4596" i="2"/>
  <c r="F4596" i="2" s="1"/>
  <c r="C4596" i="2"/>
  <c r="E4595" i="2"/>
  <c r="F4595" i="2" s="1"/>
  <c r="C4595" i="2"/>
  <c r="E4594" i="2"/>
  <c r="F4594" i="2" s="1"/>
  <c r="C4594" i="2"/>
  <c r="E4593" i="2"/>
  <c r="F4593" i="2" s="1"/>
  <c r="C4593" i="2"/>
  <c r="E4592" i="2"/>
  <c r="F4592" i="2" s="1"/>
  <c r="C4592" i="2"/>
  <c r="E4591" i="2"/>
  <c r="F4591" i="2" s="1"/>
  <c r="C4591" i="2"/>
  <c r="E4590" i="2"/>
  <c r="F4590" i="2" s="1"/>
  <c r="C4590" i="2"/>
  <c r="E4589" i="2"/>
  <c r="F4589" i="2" s="1"/>
  <c r="C4589" i="2"/>
  <c r="E4588" i="2"/>
  <c r="F4588" i="2" s="1"/>
  <c r="C4588" i="2"/>
  <c r="E4587" i="2"/>
  <c r="F4587" i="2" s="1"/>
  <c r="C4587" i="2"/>
  <c r="E4586" i="2"/>
  <c r="F4586" i="2" s="1"/>
  <c r="C4586" i="2"/>
  <c r="E4585" i="2"/>
  <c r="F4585" i="2" s="1"/>
  <c r="C4585" i="2"/>
  <c r="E4584" i="2"/>
  <c r="F4584" i="2" s="1"/>
  <c r="C4584" i="2"/>
  <c r="E4583" i="2"/>
  <c r="F4583" i="2" s="1"/>
  <c r="C4583" i="2"/>
  <c r="E4582" i="2"/>
  <c r="F4582" i="2" s="1"/>
  <c r="C4582" i="2"/>
  <c r="E4581" i="2"/>
  <c r="F4581" i="2" s="1"/>
  <c r="C4581" i="2"/>
  <c r="E4580" i="2"/>
  <c r="F4580" i="2" s="1"/>
  <c r="C4580" i="2"/>
  <c r="E4579" i="2"/>
  <c r="F4579" i="2" s="1"/>
  <c r="C4579" i="2"/>
  <c r="E4578" i="2"/>
  <c r="F4578" i="2" s="1"/>
  <c r="C4578" i="2"/>
  <c r="E4577" i="2"/>
  <c r="F4577" i="2" s="1"/>
  <c r="C4577" i="2"/>
  <c r="E4576" i="2"/>
  <c r="F4576" i="2" s="1"/>
  <c r="C4576" i="2"/>
  <c r="E4575" i="2"/>
  <c r="F4575" i="2" s="1"/>
  <c r="C4575" i="2"/>
  <c r="E4574" i="2"/>
  <c r="F4574" i="2" s="1"/>
  <c r="C4574" i="2"/>
  <c r="E4573" i="2"/>
  <c r="F4573" i="2" s="1"/>
  <c r="C4573" i="2"/>
  <c r="E4572" i="2"/>
  <c r="F4572" i="2" s="1"/>
  <c r="C4572" i="2"/>
  <c r="E4571" i="2"/>
  <c r="F4571" i="2" s="1"/>
  <c r="C4571" i="2"/>
  <c r="E4570" i="2"/>
  <c r="F4570" i="2" s="1"/>
  <c r="C4570" i="2"/>
  <c r="E4569" i="2"/>
  <c r="F4569" i="2" s="1"/>
  <c r="C4569" i="2"/>
  <c r="E4568" i="2"/>
  <c r="F4568" i="2" s="1"/>
  <c r="C4568" i="2"/>
  <c r="E4567" i="2"/>
  <c r="F4567" i="2" s="1"/>
  <c r="C4567" i="2"/>
  <c r="E4566" i="2"/>
  <c r="F4566" i="2" s="1"/>
  <c r="C4566" i="2"/>
  <c r="E4565" i="2"/>
  <c r="F4565" i="2" s="1"/>
  <c r="C4565" i="2"/>
  <c r="E4564" i="2"/>
  <c r="F4564" i="2" s="1"/>
  <c r="C4564" i="2"/>
  <c r="E4563" i="2"/>
  <c r="F4563" i="2" s="1"/>
  <c r="C4563" i="2"/>
  <c r="E4562" i="2"/>
  <c r="F4562" i="2" s="1"/>
  <c r="C4562" i="2"/>
  <c r="E4561" i="2"/>
  <c r="F4561" i="2" s="1"/>
  <c r="C4561" i="2"/>
  <c r="E4560" i="2"/>
  <c r="F4560" i="2" s="1"/>
  <c r="C4560" i="2"/>
  <c r="E4559" i="2"/>
  <c r="F4559" i="2" s="1"/>
  <c r="C4559" i="2"/>
  <c r="E4558" i="2"/>
  <c r="F4558" i="2" s="1"/>
  <c r="C4558" i="2"/>
  <c r="E4557" i="2"/>
  <c r="F4557" i="2" s="1"/>
  <c r="C4557" i="2"/>
  <c r="E4556" i="2"/>
  <c r="F4556" i="2" s="1"/>
  <c r="C4556" i="2"/>
  <c r="E4555" i="2"/>
  <c r="F4555" i="2" s="1"/>
  <c r="C4555" i="2"/>
  <c r="E4554" i="2"/>
  <c r="F4554" i="2" s="1"/>
  <c r="C4554" i="2"/>
  <c r="E4553" i="2"/>
  <c r="F4553" i="2" s="1"/>
  <c r="C4553" i="2"/>
  <c r="E4552" i="2"/>
  <c r="F4552" i="2" s="1"/>
  <c r="C4552" i="2"/>
  <c r="E4551" i="2"/>
  <c r="F4551" i="2" s="1"/>
  <c r="C4551" i="2"/>
  <c r="E4550" i="2"/>
  <c r="F4550" i="2" s="1"/>
  <c r="C4550" i="2"/>
  <c r="E4549" i="2"/>
  <c r="F4549" i="2" s="1"/>
  <c r="C4549" i="2"/>
  <c r="E4548" i="2"/>
  <c r="F4548" i="2" s="1"/>
  <c r="C4548" i="2"/>
  <c r="E4547" i="2"/>
  <c r="F4547" i="2" s="1"/>
  <c r="C4547" i="2"/>
  <c r="E4546" i="2"/>
  <c r="F4546" i="2" s="1"/>
  <c r="C4546" i="2"/>
  <c r="E4545" i="2"/>
  <c r="F4545" i="2" s="1"/>
  <c r="C4545" i="2"/>
  <c r="E4544" i="2"/>
  <c r="F4544" i="2" s="1"/>
  <c r="C4544" i="2"/>
  <c r="E4543" i="2"/>
  <c r="F4543" i="2" s="1"/>
  <c r="C4543" i="2"/>
  <c r="E4542" i="2"/>
  <c r="F4542" i="2" s="1"/>
  <c r="C4542" i="2"/>
  <c r="E4541" i="2"/>
  <c r="F4541" i="2" s="1"/>
  <c r="C4541" i="2"/>
  <c r="E4540" i="2"/>
  <c r="F4540" i="2" s="1"/>
  <c r="C4540" i="2"/>
  <c r="E4539" i="2"/>
  <c r="F4539" i="2" s="1"/>
  <c r="C4539" i="2"/>
  <c r="E4538" i="2"/>
  <c r="F4538" i="2" s="1"/>
  <c r="C4538" i="2"/>
  <c r="E4537" i="2"/>
  <c r="F4537" i="2" s="1"/>
  <c r="C4537" i="2"/>
  <c r="E4536" i="2"/>
  <c r="F4536" i="2" s="1"/>
  <c r="C4536" i="2"/>
  <c r="E4535" i="2"/>
  <c r="F4535" i="2" s="1"/>
  <c r="C4535" i="2"/>
  <c r="E4534" i="2"/>
  <c r="F4534" i="2" s="1"/>
  <c r="C4534" i="2"/>
  <c r="E4533" i="2"/>
  <c r="F4533" i="2" s="1"/>
  <c r="C4533" i="2"/>
  <c r="E4532" i="2"/>
  <c r="F4532" i="2" s="1"/>
  <c r="C4532" i="2"/>
  <c r="E4531" i="2"/>
  <c r="F4531" i="2" s="1"/>
  <c r="C4531" i="2"/>
  <c r="E4530" i="2"/>
  <c r="F4530" i="2" s="1"/>
  <c r="C4530" i="2"/>
  <c r="E4529" i="2"/>
  <c r="F4529" i="2" s="1"/>
  <c r="C4529" i="2"/>
  <c r="E4528" i="2"/>
  <c r="F4528" i="2" s="1"/>
  <c r="C4528" i="2"/>
  <c r="E4527" i="2"/>
  <c r="F4527" i="2" s="1"/>
  <c r="C4527" i="2"/>
  <c r="E4526" i="2"/>
  <c r="F4526" i="2" s="1"/>
  <c r="C4526" i="2"/>
  <c r="E4525" i="2"/>
  <c r="F4525" i="2" s="1"/>
  <c r="C4525" i="2"/>
  <c r="E4524" i="2"/>
  <c r="F4524" i="2" s="1"/>
  <c r="C4524" i="2"/>
  <c r="E4523" i="2"/>
  <c r="F4523" i="2" s="1"/>
  <c r="C4523" i="2"/>
  <c r="E4522" i="2"/>
  <c r="F4522" i="2" s="1"/>
  <c r="C4522" i="2"/>
  <c r="E4521" i="2"/>
  <c r="F4521" i="2" s="1"/>
  <c r="C4521" i="2"/>
  <c r="E4520" i="2"/>
  <c r="F4520" i="2" s="1"/>
  <c r="C4520" i="2"/>
  <c r="E4519" i="2"/>
  <c r="F4519" i="2" s="1"/>
  <c r="C4519" i="2"/>
  <c r="E4518" i="2"/>
  <c r="F4518" i="2" s="1"/>
  <c r="C4518" i="2"/>
  <c r="E4517" i="2"/>
  <c r="F4517" i="2" s="1"/>
  <c r="C4517" i="2"/>
  <c r="E4516" i="2"/>
  <c r="F4516" i="2" s="1"/>
  <c r="C4516" i="2"/>
  <c r="E4515" i="2"/>
  <c r="F4515" i="2" s="1"/>
  <c r="C4515" i="2"/>
  <c r="E4514" i="2"/>
  <c r="F4514" i="2" s="1"/>
  <c r="C4514" i="2"/>
  <c r="E4513" i="2"/>
  <c r="F4513" i="2" s="1"/>
  <c r="C4513" i="2"/>
  <c r="E4512" i="2"/>
  <c r="F4512" i="2" s="1"/>
  <c r="C4512" i="2"/>
  <c r="E4511" i="2"/>
  <c r="F4511" i="2" s="1"/>
  <c r="C4511" i="2"/>
  <c r="E4510" i="2"/>
  <c r="F4510" i="2" s="1"/>
  <c r="C4510" i="2"/>
  <c r="E4509" i="2"/>
  <c r="F4509" i="2" s="1"/>
  <c r="C4509" i="2"/>
  <c r="E4508" i="2"/>
  <c r="F4508" i="2" s="1"/>
  <c r="C4508" i="2"/>
  <c r="E4507" i="2"/>
  <c r="F4507" i="2" s="1"/>
  <c r="C4507" i="2"/>
  <c r="E4506" i="2"/>
  <c r="F4506" i="2" s="1"/>
  <c r="C4506" i="2"/>
  <c r="E4505" i="2"/>
  <c r="F4505" i="2" s="1"/>
  <c r="C4505" i="2"/>
  <c r="E4504" i="2"/>
  <c r="F4504" i="2" s="1"/>
  <c r="C4504" i="2"/>
  <c r="E4503" i="2"/>
  <c r="F4503" i="2" s="1"/>
  <c r="C4503" i="2"/>
  <c r="E4502" i="2"/>
  <c r="F4502" i="2" s="1"/>
  <c r="C4502" i="2"/>
  <c r="E4501" i="2"/>
  <c r="F4501" i="2" s="1"/>
  <c r="C4501" i="2"/>
  <c r="E4500" i="2"/>
  <c r="F4500" i="2" s="1"/>
  <c r="C4500" i="2"/>
  <c r="E4499" i="2"/>
  <c r="F4499" i="2" s="1"/>
  <c r="C4499" i="2"/>
  <c r="E4498" i="2"/>
  <c r="F4498" i="2" s="1"/>
  <c r="C4498" i="2"/>
  <c r="E4497" i="2"/>
  <c r="F4497" i="2" s="1"/>
  <c r="C4497" i="2"/>
  <c r="E4496" i="2"/>
  <c r="F4496" i="2" s="1"/>
  <c r="C4496" i="2"/>
  <c r="E4495" i="2"/>
  <c r="F4495" i="2" s="1"/>
  <c r="C4495" i="2"/>
  <c r="E4494" i="2"/>
  <c r="F4494" i="2" s="1"/>
  <c r="C4494" i="2"/>
  <c r="E4493" i="2"/>
  <c r="F4493" i="2" s="1"/>
  <c r="C4493" i="2"/>
  <c r="E4492" i="2"/>
  <c r="F4492" i="2" s="1"/>
  <c r="C4492" i="2"/>
  <c r="E4491" i="2"/>
  <c r="F4491" i="2" s="1"/>
  <c r="C4491" i="2"/>
  <c r="E4490" i="2"/>
  <c r="F4490" i="2" s="1"/>
  <c r="C4490" i="2"/>
  <c r="E4489" i="2"/>
  <c r="F4489" i="2" s="1"/>
  <c r="C4489" i="2"/>
  <c r="E4488" i="2"/>
  <c r="F4488" i="2" s="1"/>
  <c r="C4488" i="2"/>
  <c r="E4487" i="2"/>
  <c r="F4487" i="2" s="1"/>
  <c r="C4487" i="2"/>
  <c r="E4486" i="2"/>
  <c r="F4486" i="2" s="1"/>
  <c r="C4486" i="2"/>
  <c r="E4485" i="2"/>
  <c r="F4485" i="2" s="1"/>
  <c r="C4485" i="2"/>
  <c r="E4484" i="2"/>
  <c r="F4484" i="2" s="1"/>
  <c r="C4484" i="2"/>
  <c r="E4483" i="2"/>
  <c r="F4483" i="2" s="1"/>
  <c r="C4483" i="2"/>
  <c r="E4482" i="2"/>
  <c r="F4482" i="2" s="1"/>
  <c r="C4482" i="2"/>
  <c r="E4481" i="2"/>
  <c r="F4481" i="2" s="1"/>
  <c r="C4481" i="2"/>
  <c r="E4480" i="2"/>
  <c r="F4480" i="2" s="1"/>
  <c r="C4480" i="2"/>
  <c r="E4479" i="2"/>
  <c r="F4479" i="2" s="1"/>
  <c r="C4479" i="2"/>
  <c r="E4478" i="2"/>
  <c r="F4478" i="2" s="1"/>
  <c r="C4478" i="2"/>
  <c r="E4477" i="2"/>
  <c r="F4477" i="2" s="1"/>
  <c r="C4477" i="2"/>
  <c r="E4476" i="2"/>
  <c r="F4476" i="2" s="1"/>
  <c r="C4476" i="2"/>
  <c r="E4475" i="2"/>
  <c r="F4475" i="2" s="1"/>
  <c r="C4475" i="2"/>
  <c r="E4474" i="2"/>
  <c r="F4474" i="2" s="1"/>
  <c r="C4474" i="2"/>
  <c r="E4473" i="2"/>
  <c r="F4473" i="2" s="1"/>
  <c r="C4473" i="2"/>
  <c r="E4472" i="2"/>
  <c r="F4472" i="2" s="1"/>
  <c r="C4472" i="2"/>
  <c r="E4471" i="2"/>
  <c r="F4471" i="2" s="1"/>
  <c r="C4471" i="2"/>
  <c r="E4470" i="2"/>
  <c r="F4470" i="2" s="1"/>
  <c r="C4470" i="2"/>
  <c r="E4469" i="2"/>
  <c r="F4469" i="2" s="1"/>
  <c r="C4469" i="2"/>
  <c r="E4468" i="2"/>
  <c r="F4468" i="2" s="1"/>
  <c r="C4468" i="2"/>
  <c r="E4467" i="2"/>
  <c r="F4467" i="2" s="1"/>
  <c r="C4467" i="2"/>
  <c r="E4466" i="2"/>
  <c r="F4466" i="2" s="1"/>
  <c r="C4466" i="2"/>
  <c r="E4465" i="2"/>
  <c r="F4465" i="2" s="1"/>
  <c r="C4465" i="2"/>
  <c r="E4464" i="2"/>
  <c r="F4464" i="2" s="1"/>
  <c r="C4464" i="2"/>
  <c r="F4463" i="2"/>
  <c r="G4463" i="2" s="1"/>
  <c r="E4463" i="2"/>
  <c r="C4463" i="2"/>
  <c r="D4463" i="2" s="1"/>
  <c r="F4462" i="2"/>
  <c r="G4462" i="2" s="1"/>
  <c r="E4462" i="2"/>
  <c r="D4462" i="2"/>
  <c r="C4462" i="2"/>
  <c r="F4461" i="2"/>
  <c r="E4461" i="2"/>
  <c r="C4461" i="2"/>
  <c r="F4460" i="2"/>
  <c r="G4460" i="2" s="1"/>
  <c r="E4460" i="2"/>
  <c r="C4460" i="2"/>
  <c r="D4460" i="2" s="1"/>
  <c r="E4459" i="2"/>
  <c r="F4459" i="2" s="1"/>
  <c r="G4459" i="2" s="1"/>
  <c r="C4459" i="2"/>
  <c r="D4459" i="2" s="1"/>
  <c r="F4458" i="2"/>
  <c r="E4458" i="2"/>
  <c r="C4458" i="2"/>
  <c r="E4457" i="2"/>
  <c r="F4457" i="2" s="1"/>
  <c r="C4457" i="2"/>
  <c r="E4456" i="2"/>
  <c r="F4456" i="2" s="1"/>
  <c r="G4456" i="2" s="1"/>
  <c r="C4456" i="2"/>
  <c r="D4456" i="2" s="1"/>
  <c r="E4455" i="2"/>
  <c r="F4455" i="2" s="1"/>
  <c r="G4455" i="2" s="1"/>
  <c r="D4455" i="2"/>
  <c r="C4455" i="2"/>
  <c r="E4454" i="2"/>
  <c r="F4454" i="2" s="1"/>
  <c r="D4454" i="2"/>
  <c r="C4454" i="2"/>
  <c r="G4454" i="2" s="1"/>
  <c r="F4453" i="2"/>
  <c r="E4453" i="2"/>
  <c r="D4453" i="2"/>
  <c r="C4453" i="2"/>
  <c r="G4453" i="2" s="1"/>
  <c r="F4452" i="2"/>
  <c r="E4452" i="2"/>
  <c r="C4452" i="2"/>
  <c r="F4451" i="2"/>
  <c r="G4451" i="2" s="1"/>
  <c r="E4451" i="2"/>
  <c r="C4451" i="2"/>
  <c r="D4451" i="2" s="1"/>
  <c r="E4450" i="2"/>
  <c r="F4450" i="2" s="1"/>
  <c r="G4450" i="2" s="1"/>
  <c r="D4450" i="2"/>
  <c r="C4450" i="2"/>
  <c r="F4449" i="2"/>
  <c r="G4449" i="2" s="1"/>
  <c r="E4449" i="2"/>
  <c r="D4449" i="2"/>
  <c r="C4449" i="2"/>
  <c r="E4448" i="2"/>
  <c r="F4448" i="2" s="1"/>
  <c r="G4448" i="2" s="1"/>
  <c r="D4448" i="2"/>
  <c r="C4448" i="2"/>
  <c r="F4447" i="2"/>
  <c r="G4447" i="2" s="1"/>
  <c r="E4447" i="2"/>
  <c r="C4447" i="2"/>
  <c r="D4447" i="2" s="1"/>
  <c r="F4446" i="2"/>
  <c r="E4446" i="2"/>
  <c r="C4446" i="2"/>
  <c r="F4445" i="2"/>
  <c r="G4445" i="2" s="1"/>
  <c r="E4445" i="2"/>
  <c r="D4445" i="2"/>
  <c r="C4445" i="2"/>
  <c r="F4444" i="2"/>
  <c r="E4444" i="2"/>
  <c r="D4444" i="2"/>
  <c r="C4444" i="2"/>
  <c r="G4444" i="2" s="1"/>
  <c r="F4443" i="2"/>
  <c r="G4443" i="2" s="1"/>
  <c r="E4443" i="2"/>
  <c r="C4443" i="2"/>
  <c r="D4443" i="2" s="1"/>
  <c r="E4442" i="2"/>
  <c r="F4442" i="2" s="1"/>
  <c r="C4442" i="2"/>
  <c r="F4441" i="2"/>
  <c r="G4441" i="2" s="1"/>
  <c r="E4441" i="2"/>
  <c r="C4441" i="2"/>
  <c r="D4441" i="2" s="1"/>
  <c r="E4440" i="2"/>
  <c r="F4440" i="2" s="1"/>
  <c r="C4440" i="2"/>
  <c r="F4439" i="2"/>
  <c r="G4439" i="2" s="1"/>
  <c r="E4439" i="2"/>
  <c r="C4439" i="2"/>
  <c r="D4439" i="2" s="1"/>
  <c r="E4438" i="2"/>
  <c r="F4438" i="2" s="1"/>
  <c r="D4438" i="2"/>
  <c r="C4438" i="2"/>
  <c r="G4438" i="2" s="1"/>
  <c r="F4437" i="2"/>
  <c r="G4437" i="2" s="1"/>
  <c r="E4437" i="2"/>
  <c r="D4437" i="2"/>
  <c r="C4437" i="2"/>
  <c r="E4436" i="2"/>
  <c r="F4436" i="2" s="1"/>
  <c r="D4436" i="2"/>
  <c r="C4436" i="2"/>
  <c r="G4436" i="2" s="1"/>
  <c r="F4435" i="2"/>
  <c r="G4435" i="2" s="1"/>
  <c r="E4435" i="2"/>
  <c r="C4435" i="2"/>
  <c r="D4435" i="2" s="1"/>
  <c r="E4434" i="2"/>
  <c r="F4434" i="2" s="1"/>
  <c r="G4434" i="2" s="1"/>
  <c r="D4434" i="2"/>
  <c r="C4434" i="2"/>
  <c r="F4433" i="2"/>
  <c r="G4433" i="2" s="1"/>
  <c r="E4433" i="2"/>
  <c r="C4433" i="2"/>
  <c r="D4433" i="2" s="1"/>
  <c r="E4432" i="2"/>
  <c r="F4432" i="2" s="1"/>
  <c r="C4432" i="2"/>
  <c r="E4431" i="2"/>
  <c r="F4431" i="2" s="1"/>
  <c r="C4431" i="2"/>
  <c r="E4430" i="2"/>
  <c r="F4430" i="2" s="1"/>
  <c r="C4430" i="2"/>
  <c r="F4429" i="2"/>
  <c r="G4429" i="2" s="1"/>
  <c r="E4429" i="2"/>
  <c r="D4429" i="2"/>
  <c r="C4429" i="2"/>
  <c r="E4428" i="2"/>
  <c r="F4428" i="2" s="1"/>
  <c r="G4428" i="2" s="1"/>
  <c r="D4428" i="2"/>
  <c r="C4428" i="2"/>
  <c r="E4427" i="2"/>
  <c r="F4427" i="2" s="1"/>
  <c r="G4427" i="2" s="1"/>
  <c r="D4427" i="2"/>
  <c r="C4427" i="2"/>
  <c r="E4426" i="2"/>
  <c r="F4426" i="2" s="1"/>
  <c r="C4426" i="2"/>
  <c r="F4425" i="2"/>
  <c r="E4425" i="2"/>
  <c r="C4425" i="2"/>
  <c r="F4424" i="2"/>
  <c r="E4424" i="2"/>
  <c r="D4424" i="2"/>
  <c r="C4424" i="2"/>
  <c r="G4424" i="2" s="1"/>
  <c r="E4423" i="2"/>
  <c r="F4423" i="2" s="1"/>
  <c r="C4423" i="2"/>
  <c r="E4422" i="2"/>
  <c r="F4422" i="2" s="1"/>
  <c r="C4422" i="2"/>
  <c r="E4421" i="2"/>
  <c r="F4421" i="2" s="1"/>
  <c r="G4421" i="2" s="1"/>
  <c r="D4421" i="2"/>
  <c r="C4421" i="2"/>
  <c r="F4420" i="2"/>
  <c r="G4420" i="2" s="1"/>
  <c r="E4420" i="2"/>
  <c r="D4420" i="2"/>
  <c r="C4420" i="2"/>
  <c r="E4419" i="2"/>
  <c r="F4419" i="2" s="1"/>
  <c r="C4419" i="2"/>
  <c r="F4418" i="2"/>
  <c r="G4418" i="2" s="1"/>
  <c r="E4418" i="2"/>
  <c r="D4418" i="2"/>
  <c r="C4418" i="2"/>
  <c r="E4417" i="2"/>
  <c r="F4417" i="2" s="1"/>
  <c r="D4417" i="2"/>
  <c r="C4417" i="2"/>
  <c r="G4417" i="2" s="1"/>
  <c r="F4416" i="2"/>
  <c r="E4416" i="2"/>
  <c r="C4416" i="2"/>
  <c r="E4415" i="2"/>
  <c r="F4415" i="2" s="1"/>
  <c r="D4415" i="2"/>
  <c r="C4415" i="2"/>
  <c r="G4415" i="2" s="1"/>
  <c r="F4414" i="2"/>
  <c r="G4414" i="2" s="1"/>
  <c r="E4414" i="2"/>
  <c r="D4414" i="2"/>
  <c r="C4414" i="2"/>
  <c r="E4413" i="2"/>
  <c r="F4413" i="2" s="1"/>
  <c r="C4413" i="2"/>
  <c r="F4412" i="2"/>
  <c r="G4412" i="2" s="1"/>
  <c r="E4412" i="2"/>
  <c r="D4412" i="2"/>
  <c r="C4412" i="2"/>
  <c r="F4411" i="2"/>
  <c r="E4411" i="2"/>
  <c r="C4411" i="2"/>
  <c r="F4410" i="2"/>
  <c r="E4410" i="2"/>
  <c r="D4410" i="2"/>
  <c r="C4410" i="2"/>
  <c r="G4410" i="2" s="1"/>
  <c r="F4409" i="2"/>
  <c r="G4409" i="2" s="1"/>
  <c r="E4409" i="2"/>
  <c r="C4409" i="2"/>
  <c r="D4409" i="2" s="1"/>
  <c r="E4408" i="2"/>
  <c r="F4408" i="2" s="1"/>
  <c r="C4408" i="2"/>
  <c r="E4407" i="2"/>
  <c r="F4407" i="2" s="1"/>
  <c r="G4407" i="2" s="1"/>
  <c r="D4407" i="2"/>
  <c r="C4407" i="2"/>
  <c r="F4406" i="2"/>
  <c r="G4406" i="2" s="1"/>
  <c r="E4406" i="2"/>
  <c r="D4406" i="2"/>
  <c r="C4406" i="2"/>
  <c r="E4405" i="2"/>
  <c r="F4405" i="2" s="1"/>
  <c r="D4405" i="2"/>
  <c r="C4405" i="2"/>
  <c r="G4405" i="2" s="1"/>
  <c r="F4404" i="2"/>
  <c r="G4404" i="2" s="1"/>
  <c r="E4404" i="2"/>
  <c r="C4404" i="2"/>
  <c r="D4404" i="2" s="1"/>
  <c r="F4403" i="2"/>
  <c r="E4403" i="2"/>
  <c r="C4403" i="2"/>
  <c r="E4402" i="2"/>
  <c r="F4402" i="2" s="1"/>
  <c r="G4402" i="2" s="1"/>
  <c r="D4402" i="2"/>
  <c r="C4402" i="2"/>
  <c r="E4401" i="2"/>
  <c r="F4401" i="2" s="1"/>
  <c r="G4401" i="2" s="1"/>
  <c r="D4401" i="2"/>
  <c r="C4401" i="2"/>
  <c r="E4400" i="2"/>
  <c r="F4400" i="2" s="1"/>
  <c r="C4400" i="2"/>
  <c r="E4399" i="2"/>
  <c r="F4399" i="2" s="1"/>
  <c r="G4399" i="2" s="1"/>
  <c r="C4399" i="2"/>
  <c r="D4399" i="2" s="1"/>
  <c r="F4398" i="2"/>
  <c r="G4398" i="2" s="1"/>
  <c r="E4398" i="2"/>
  <c r="D4398" i="2"/>
  <c r="C4398" i="2"/>
  <c r="F4397" i="2"/>
  <c r="E4397" i="2"/>
  <c r="C4397" i="2"/>
  <c r="F4396" i="2"/>
  <c r="G4396" i="2" s="1"/>
  <c r="E4396" i="2"/>
  <c r="D4396" i="2"/>
  <c r="C4396" i="2"/>
  <c r="E4395" i="2"/>
  <c r="F4395" i="2" s="1"/>
  <c r="G4395" i="2" s="1"/>
  <c r="D4395" i="2"/>
  <c r="C4395" i="2"/>
  <c r="E4394" i="2"/>
  <c r="F4394" i="2" s="1"/>
  <c r="D4394" i="2"/>
  <c r="C4394" i="2"/>
  <c r="G4394" i="2" s="1"/>
  <c r="E4393" i="2"/>
  <c r="F4393" i="2" s="1"/>
  <c r="G4393" i="2" s="1"/>
  <c r="D4393" i="2"/>
  <c r="C4393" i="2"/>
  <c r="F4392" i="2"/>
  <c r="G4392" i="2" s="1"/>
  <c r="E4392" i="2"/>
  <c r="C4392" i="2"/>
  <c r="D4392" i="2" s="1"/>
  <c r="F4391" i="2"/>
  <c r="E4391" i="2"/>
  <c r="C4391" i="2"/>
  <c r="F4390" i="2"/>
  <c r="G4390" i="2" s="1"/>
  <c r="E4390" i="2"/>
  <c r="D4390" i="2"/>
  <c r="C4390" i="2"/>
  <c r="E4389" i="2"/>
  <c r="F4389" i="2" s="1"/>
  <c r="C4389" i="2"/>
  <c r="E4388" i="2"/>
  <c r="F4388" i="2" s="1"/>
  <c r="C4388" i="2"/>
  <c r="E4387" i="2"/>
  <c r="F4387" i="2" s="1"/>
  <c r="C4387" i="2"/>
  <c r="E4386" i="2"/>
  <c r="F4386" i="2" s="1"/>
  <c r="C4386" i="2"/>
  <c r="E4385" i="2"/>
  <c r="F4385" i="2" s="1"/>
  <c r="G4385" i="2" s="1"/>
  <c r="D4385" i="2"/>
  <c r="C4385" i="2"/>
  <c r="F4384" i="2"/>
  <c r="G4384" i="2" s="1"/>
  <c r="E4384" i="2"/>
  <c r="D4384" i="2"/>
  <c r="C4384" i="2"/>
  <c r="F4383" i="2"/>
  <c r="E4383" i="2"/>
  <c r="D4383" i="2"/>
  <c r="C4383" i="2"/>
  <c r="G4383" i="2" s="1"/>
  <c r="F4382" i="2"/>
  <c r="E4382" i="2"/>
  <c r="D4382" i="2"/>
  <c r="C4382" i="2"/>
  <c r="G4382" i="2" s="1"/>
  <c r="E4381" i="2"/>
  <c r="F4381" i="2" s="1"/>
  <c r="G4381" i="2" s="1"/>
  <c r="D4381" i="2"/>
  <c r="C4381" i="2"/>
  <c r="E4380" i="2"/>
  <c r="F4380" i="2" s="1"/>
  <c r="D4380" i="2"/>
  <c r="C4380" i="2"/>
  <c r="G4380" i="2" s="1"/>
  <c r="E4379" i="2"/>
  <c r="F4379" i="2" s="1"/>
  <c r="C4379" i="2"/>
  <c r="E4378" i="2"/>
  <c r="F4378" i="2" s="1"/>
  <c r="C4378" i="2"/>
  <c r="F4377" i="2"/>
  <c r="G4377" i="2" s="1"/>
  <c r="E4377" i="2"/>
  <c r="D4377" i="2"/>
  <c r="C4377" i="2"/>
  <c r="E4376" i="2"/>
  <c r="F4376" i="2" s="1"/>
  <c r="C4376" i="2"/>
  <c r="E4375" i="2"/>
  <c r="F4375" i="2" s="1"/>
  <c r="C4375" i="2"/>
  <c r="E4374" i="2"/>
  <c r="F4374" i="2" s="1"/>
  <c r="C4374" i="2"/>
  <c r="E4373" i="2"/>
  <c r="F4373" i="2" s="1"/>
  <c r="C4373" i="2"/>
  <c r="E4372" i="2"/>
  <c r="F4372" i="2" s="1"/>
  <c r="C4372" i="2"/>
  <c r="E4371" i="2"/>
  <c r="F4371" i="2" s="1"/>
  <c r="C4371" i="2"/>
  <c r="E4370" i="2"/>
  <c r="F4370" i="2" s="1"/>
  <c r="C4370" i="2"/>
  <c r="E4369" i="2"/>
  <c r="F4369" i="2" s="1"/>
  <c r="C4369" i="2"/>
  <c r="E4368" i="2"/>
  <c r="F4368" i="2" s="1"/>
  <c r="C4368" i="2"/>
  <c r="E4367" i="2"/>
  <c r="F4367" i="2" s="1"/>
  <c r="C4367" i="2"/>
  <c r="E4366" i="2"/>
  <c r="F4366" i="2" s="1"/>
  <c r="C4366" i="2"/>
  <c r="E4365" i="2"/>
  <c r="F4365" i="2" s="1"/>
  <c r="C4365" i="2"/>
  <c r="E4364" i="2"/>
  <c r="F4364" i="2" s="1"/>
  <c r="C4364" i="2"/>
  <c r="E4363" i="2"/>
  <c r="F4363" i="2" s="1"/>
  <c r="C4363" i="2"/>
  <c r="E4362" i="2"/>
  <c r="F4362" i="2" s="1"/>
  <c r="C4362" i="2"/>
  <c r="E4361" i="2"/>
  <c r="F4361" i="2" s="1"/>
  <c r="C4361" i="2"/>
  <c r="E4360" i="2"/>
  <c r="F4360" i="2" s="1"/>
  <c r="C4360" i="2"/>
  <c r="E4359" i="2"/>
  <c r="F4359" i="2" s="1"/>
  <c r="C4359" i="2"/>
  <c r="E4358" i="2"/>
  <c r="F4358" i="2" s="1"/>
  <c r="C4358" i="2"/>
  <c r="E4357" i="2"/>
  <c r="F4357" i="2" s="1"/>
  <c r="C4357" i="2"/>
  <c r="E4356" i="2"/>
  <c r="F4356" i="2" s="1"/>
  <c r="C4356" i="2"/>
  <c r="E4355" i="2"/>
  <c r="F4355" i="2" s="1"/>
  <c r="C4355" i="2"/>
  <c r="E4354" i="2"/>
  <c r="F4354" i="2" s="1"/>
  <c r="C4354" i="2"/>
  <c r="E4353" i="2"/>
  <c r="F4353" i="2" s="1"/>
  <c r="C4353" i="2"/>
  <c r="E4352" i="2"/>
  <c r="F4352" i="2" s="1"/>
  <c r="C4352" i="2"/>
  <c r="E4351" i="2"/>
  <c r="F4351" i="2" s="1"/>
  <c r="C4351" i="2"/>
  <c r="E4350" i="2"/>
  <c r="F4350" i="2" s="1"/>
  <c r="C4350" i="2"/>
  <c r="E4349" i="2"/>
  <c r="F4349" i="2" s="1"/>
  <c r="C4349" i="2"/>
  <c r="E4348" i="2"/>
  <c r="F4348" i="2" s="1"/>
  <c r="C4348" i="2"/>
  <c r="E4347" i="2"/>
  <c r="F4347" i="2" s="1"/>
  <c r="C4347" i="2"/>
  <c r="E4346" i="2"/>
  <c r="F4346" i="2" s="1"/>
  <c r="C4346" i="2"/>
  <c r="E4345" i="2"/>
  <c r="F4345" i="2" s="1"/>
  <c r="C4345" i="2"/>
  <c r="E4344" i="2"/>
  <c r="F4344" i="2" s="1"/>
  <c r="C4344" i="2"/>
  <c r="E4343" i="2"/>
  <c r="F4343" i="2" s="1"/>
  <c r="C4343" i="2"/>
  <c r="E4342" i="2"/>
  <c r="F4342" i="2" s="1"/>
  <c r="C4342" i="2"/>
  <c r="E4341" i="2"/>
  <c r="F4341" i="2" s="1"/>
  <c r="C4341" i="2"/>
  <c r="E4340" i="2"/>
  <c r="F4340" i="2" s="1"/>
  <c r="C4340" i="2"/>
  <c r="E4339" i="2"/>
  <c r="F4339" i="2" s="1"/>
  <c r="C4339" i="2"/>
  <c r="E4338" i="2"/>
  <c r="F4338" i="2" s="1"/>
  <c r="C4338" i="2"/>
  <c r="E4337" i="2"/>
  <c r="F4337" i="2" s="1"/>
  <c r="C4337" i="2"/>
  <c r="E4336" i="2"/>
  <c r="F4336" i="2" s="1"/>
  <c r="C4336" i="2"/>
  <c r="E4335" i="2"/>
  <c r="F4335" i="2" s="1"/>
  <c r="C4335" i="2"/>
  <c r="E4334" i="2"/>
  <c r="F4334" i="2" s="1"/>
  <c r="C4334" i="2"/>
  <c r="E4333" i="2"/>
  <c r="F4333" i="2" s="1"/>
  <c r="C4333" i="2"/>
  <c r="E4332" i="2"/>
  <c r="F4332" i="2" s="1"/>
  <c r="C4332" i="2"/>
  <c r="E4331" i="2"/>
  <c r="F4331" i="2" s="1"/>
  <c r="C4331" i="2"/>
  <c r="E4330" i="2"/>
  <c r="F4330" i="2" s="1"/>
  <c r="C4330" i="2"/>
  <c r="E4329" i="2"/>
  <c r="F4329" i="2" s="1"/>
  <c r="C4329" i="2"/>
  <c r="E4328" i="2"/>
  <c r="F4328" i="2" s="1"/>
  <c r="C4328" i="2"/>
  <c r="E4327" i="2"/>
  <c r="F4327" i="2" s="1"/>
  <c r="C4327" i="2"/>
  <c r="E4326" i="2"/>
  <c r="F4326" i="2" s="1"/>
  <c r="C4326" i="2"/>
  <c r="E4325" i="2"/>
  <c r="F4325" i="2" s="1"/>
  <c r="C4325" i="2"/>
  <c r="E4324" i="2"/>
  <c r="F4324" i="2" s="1"/>
  <c r="C4324" i="2"/>
  <c r="E4323" i="2"/>
  <c r="F4323" i="2" s="1"/>
  <c r="C4323" i="2"/>
  <c r="E4322" i="2"/>
  <c r="F4322" i="2" s="1"/>
  <c r="C4322" i="2"/>
  <c r="E4321" i="2"/>
  <c r="F4321" i="2" s="1"/>
  <c r="C4321" i="2"/>
  <c r="E4320" i="2"/>
  <c r="F4320" i="2" s="1"/>
  <c r="C4320" i="2"/>
  <c r="E4319" i="2"/>
  <c r="F4319" i="2" s="1"/>
  <c r="C4319" i="2"/>
  <c r="E4318" i="2"/>
  <c r="F4318" i="2" s="1"/>
  <c r="C4318" i="2"/>
  <c r="E4317" i="2"/>
  <c r="F4317" i="2" s="1"/>
  <c r="C4317" i="2"/>
  <c r="E4316" i="2"/>
  <c r="F4316" i="2" s="1"/>
  <c r="C4316" i="2"/>
  <c r="E4315" i="2"/>
  <c r="F4315" i="2" s="1"/>
  <c r="C4315" i="2"/>
  <c r="E4314" i="2"/>
  <c r="F4314" i="2" s="1"/>
  <c r="C4314" i="2"/>
  <c r="E4313" i="2"/>
  <c r="F4313" i="2" s="1"/>
  <c r="C4313" i="2"/>
  <c r="E4312" i="2"/>
  <c r="F4312" i="2" s="1"/>
  <c r="C4312" i="2"/>
  <c r="E4311" i="2"/>
  <c r="F4311" i="2" s="1"/>
  <c r="C4311" i="2"/>
  <c r="E4310" i="2"/>
  <c r="F4310" i="2" s="1"/>
  <c r="C4310" i="2"/>
  <c r="E4309" i="2"/>
  <c r="F4309" i="2" s="1"/>
  <c r="C4309" i="2"/>
  <c r="E4308" i="2"/>
  <c r="F4308" i="2" s="1"/>
  <c r="C4308" i="2"/>
  <c r="E4307" i="2"/>
  <c r="F4307" i="2" s="1"/>
  <c r="C4307" i="2"/>
  <c r="E4306" i="2"/>
  <c r="F4306" i="2" s="1"/>
  <c r="C4306" i="2"/>
  <c r="E4305" i="2"/>
  <c r="F4305" i="2" s="1"/>
  <c r="C4305" i="2"/>
  <c r="E4304" i="2"/>
  <c r="F4304" i="2" s="1"/>
  <c r="C4304" i="2"/>
  <c r="E4303" i="2"/>
  <c r="F4303" i="2" s="1"/>
  <c r="C4303" i="2"/>
  <c r="E4302" i="2"/>
  <c r="F4302" i="2" s="1"/>
  <c r="C4302" i="2"/>
  <c r="E4301" i="2"/>
  <c r="F4301" i="2" s="1"/>
  <c r="C4301" i="2"/>
  <c r="E4300" i="2"/>
  <c r="F4300" i="2" s="1"/>
  <c r="C4300" i="2"/>
  <c r="E4299" i="2"/>
  <c r="F4299" i="2" s="1"/>
  <c r="C4299" i="2"/>
  <c r="E4298" i="2"/>
  <c r="F4298" i="2" s="1"/>
  <c r="C4298" i="2"/>
  <c r="E4297" i="2"/>
  <c r="F4297" i="2" s="1"/>
  <c r="C4297" i="2"/>
  <c r="E4296" i="2"/>
  <c r="F4296" i="2" s="1"/>
  <c r="C4296" i="2"/>
  <c r="E4295" i="2"/>
  <c r="F4295" i="2" s="1"/>
  <c r="C4295" i="2"/>
  <c r="E4294" i="2"/>
  <c r="F4294" i="2" s="1"/>
  <c r="C4294" i="2"/>
  <c r="E4293" i="2"/>
  <c r="F4293" i="2" s="1"/>
  <c r="C4293" i="2"/>
  <c r="E4292" i="2"/>
  <c r="F4292" i="2" s="1"/>
  <c r="C4292" i="2"/>
  <c r="E4291" i="2"/>
  <c r="F4291" i="2" s="1"/>
  <c r="C4291" i="2"/>
  <c r="E4290" i="2"/>
  <c r="F4290" i="2" s="1"/>
  <c r="C4290" i="2"/>
  <c r="E4289" i="2"/>
  <c r="F4289" i="2" s="1"/>
  <c r="C4289" i="2"/>
  <c r="E4288" i="2"/>
  <c r="F4288" i="2" s="1"/>
  <c r="C4288" i="2"/>
  <c r="E4287" i="2"/>
  <c r="F4287" i="2" s="1"/>
  <c r="C4287" i="2"/>
  <c r="E4286" i="2"/>
  <c r="F4286" i="2" s="1"/>
  <c r="C4286" i="2"/>
  <c r="E4285" i="2"/>
  <c r="F4285" i="2" s="1"/>
  <c r="C4285" i="2"/>
  <c r="E4284" i="2"/>
  <c r="F4284" i="2" s="1"/>
  <c r="C4284" i="2"/>
  <c r="E4283" i="2"/>
  <c r="F4283" i="2" s="1"/>
  <c r="C4283" i="2"/>
  <c r="E4282" i="2"/>
  <c r="F4282" i="2" s="1"/>
  <c r="C4282" i="2"/>
  <c r="E4281" i="2"/>
  <c r="F4281" i="2" s="1"/>
  <c r="C4281" i="2"/>
  <c r="E4280" i="2"/>
  <c r="F4280" i="2" s="1"/>
  <c r="C4280" i="2"/>
  <c r="E4279" i="2"/>
  <c r="F4279" i="2" s="1"/>
  <c r="C4279" i="2"/>
  <c r="E4278" i="2"/>
  <c r="F4278" i="2" s="1"/>
  <c r="C4278" i="2"/>
  <c r="E4277" i="2"/>
  <c r="F4277" i="2" s="1"/>
  <c r="C4277" i="2"/>
  <c r="E4276" i="2"/>
  <c r="F4276" i="2" s="1"/>
  <c r="C4276" i="2"/>
  <c r="E4275" i="2"/>
  <c r="F4275" i="2" s="1"/>
  <c r="C4275" i="2"/>
  <c r="E4274" i="2"/>
  <c r="F4274" i="2" s="1"/>
  <c r="C4274" i="2"/>
  <c r="E4273" i="2"/>
  <c r="F4273" i="2" s="1"/>
  <c r="C4273" i="2"/>
  <c r="E4272" i="2"/>
  <c r="F4272" i="2" s="1"/>
  <c r="C4272" i="2"/>
  <c r="E4271" i="2"/>
  <c r="F4271" i="2" s="1"/>
  <c r="C4271" i="2"/>
  <c r="E4270" i="2"/>
  <c r="F4270" i="2" s="1"/>
  <c r="C4270" i="2"/>
  <c r="E4269" i="2"/>
  <c r="F4269" i="2" s="1"/>
  <c r="C4269" i="2"/>
  <c r="E4268" i="2"/>
  <c r="F4268" i="2" s="1"/>
  <c r="C4268" i="2"/>
  <c r="E4267" i="2"/>
  <c r="F4267" i="2" s="1"/>
  <c r="C4267" i="2"/>
  <c r="E4266" i="2"/>
  <c r="F4266" i="2" s="1"/>
  <c r="C4266" i="2"/>
  <c r="E4265" i="2"/>
  <c r="F4265" i="2" s="1"/>
  <c r="C4265" i="2"/>
  <c r="E4264" i="2"/>
  <c r="F4264" i="2" s="1"/>
  <c r="C4264" i="2"/>
  <c r="E4263" i="2"/>
  <c r="F4263" i="2" s="1"/>
  <c r="C4263" i="2"/>
  <c r="E4262" i="2"/>
  <c r="F4262" i="2" s="1"/>
  <c r="C4262" i="2"/>
  <c r="E4261" i="2"/>
  <c r="F4261" i="2" s="1"/>
  <c r="C4261" i="2"/>
  <c r="E4260" i="2"/>
  <c r="F4260" i="2" s="1"/>
  <c r="C4260" i="2"/>
  <c r="E4259" i="2"/>
  <c r="F4259" i="2" s="1"/>
  <c r="C4259" i="2"/>
  <c r="E4258" i="2"/>
  <c r="F4258" i="2" s="1"/>
  <c r="C4258" i="2"/>
  <c r="E4257" i="2"/>
  <c r="F4257" i="2" s="1"/>
  <c r="C4257" i="2"/>
  <c r="E4256" i="2"/>
  <c r="F4256" i="2" s="1"/>
  <c r="C4256" i="2"/>
  <c r="E4255" i="2"/>
  <c r="F4255" i="2" s="1"/>
  <c r="C4255" i="2"/>
  <c r="E4254" i="2"/>
  <c r="F4254" i="2" s="1"/>
  <c r="C4254" i="2"/>
  <c r="E4253" i="2"/>
  <c r="F4253" i="2" s="1"/>
  <c r="C4253" i="2"/>
  <c r="E4252" i="2"/>
  <c r="F4252" i="2" s="1"/>
  <c r="C4252" i="2"/>
  <c r="E4251" i="2"/>
  <c r="F4251" i="2" s="1"/>
  <c r="C4251" i="2"/>
  <c r="E4250" i="2"/>
  <c r="F4250" i="2" s="1"/>
  <c r="C4250" i="2"/>
  <c r="E4249" i="2"/>
  <c r="F4249" i="2" s="1"/>
  <c r="C4249" i="2"/>
  <c r="E4248" i="2"/>
  <c r="F4248" i="2" s="1"/>
  <c r="C4248" i="2"/>
  <c r="E4247" i="2"/>
  <c r="F4247" i="2" s="1"/>
  <c r="C4247" i="2"/>
  <c r="E4246" i="2"/>
  <c r="F4246" i="2" s="1"/>
  <c r="C4246" i="2"/>
  <c r="E4245" i="2"/>
  <c r="F4245" i="2" s="1"/>
  <c r="C4245" i="2"/>
  <c r="E4244" i="2"/>
  <c r="F4244" i="2" s="1"/>
  <c r="C4244" i="2"/>
  <c r="E4243" i="2"/>
  <c r="F4243" i="2" s="1"/>
  <c r="C4243" i="2"/>
  <c r="E4242" i="2"/>
  <c r="F4242" i="2" s="1"/>
  <c r="C4242" i="2"/>
  <c r="E4241" i="2"/>
  <c r="F4241" i="2" s="1"/>
  <c r="C4241" i="2"/>
  <c r="E4240" i="2"/>
  <c r="F4240" i="2" s="1"/>
  <c r="C4240" i="2"/>
  <c r="E4239" i="2"/>
  <c r="F4239" i="2" s="1"/>
  <c r="C4239" i="2"/>
  <c r="E4238" i="2"/>
  <c r="F4238" i="2" s="1"/>
  <c r="C4238" i="2"/>
  <c r="E4237" i="2"/>
  <c r="F4237" i="2" s="1"/>
  <c r="C4237" i="2"/>
  <c r="E4236" i="2"/>
  <c r="F4236" i="2" s="1"/>
  <c r="C4236" i="2"/>
  <c r="E4235" i="2"/>
  <c r="F4235" i="2" s="1"/>
  <c r="C4235" i="2"/>
  <c r="E4234" i="2"/>
  <c r="F4234" i="2" s="1"/>
  <c r="C4234" i="2"/>
  <c r="E4233" i="2"/>
  <c r="F4233" i="2" s="1"/>
  <c r="C4233" i="2"/>
  <c r="E4232" i="2"/>
  <c r="F4232" i="2" s="1"/>
  <c r="C4232" i="2"/>
  <c r="E4231" i="2"/>
  <c r="F4231" i="2" s="1"/>
  <c r="C4231" i="2"/>
  <c r="E4230" i="2"/>
  <c r="F4230" i="2" s="1"/>
  <c r="C4230" i="2"/>
  <c r="E4229" i="2"/>
  <c r="F4229" i="2" s="1"/>
  <c r="C4229" i="2"/>
  <c r="E4228" i="2"/>
  <c r="F4228" i="2" s="1"/>
  <c r="C4228" i="2"/>
  <c r="E4227" i="2"/>
  <c r="F4227" i="2" s="1"/>
  <c r="C4227" i="2"/>
  <c r="E4226" i="2"/>
  <c r="F4226" i="2" s="1"/>
  <c r="C4226" i="2"/>
  <c r="E4225" i="2"/>
  <c r="F4225" i="2" s="1"/>
  <c r="C4225" i="2"/>
  <c r="E4224" i="2"/>
  <c r="F4224" i="2" s="1"/>
  <c r="C4224" i="2"/>
  <c r="E4223" i="2"/>
  <c r="F4223" i="2" s="1"/>
  <c r="C4223" i="2"/>
  <c r="E4222" i="2"/>
  <c r="F4222" i="2" s="1"/>
  <c r="C4222" i="2"/>
  <c r="E4221" i="2"/>
  <c r="F4221" i="2" s="1"/>
  <c r="C4221" i="2"/>
  <c r="E4220" i="2"/>
  <c r="F4220" i="2" s="1"/>
  <c r="C4220" i="2"/>
  <c r="E4219" i="2"/>
  <c r="F4219" i="2" s="1"/>
  <c r="C4219" i="2"/>
  <c r="E4218" i="2"/>
  <c r="F4218" i="2" s="1"/>
  <c r="C4218" i="2"/>
  <c r="E4217" i="2"/>
  <c r="F4217" i="2" s="1"/>
  <c r="C4217" i="2"/>
  <c r="E4216" i="2"/>
  <c r="F4216" i="2" s="1"/>
  <c r="C4216" i="2"/>
  <c r="E4215" i="2"/>
  <c r="F4215" i="2" s="1"/>
  <c r="C4215" i="2"/>
  <c r="E4214" i="2"/>
  <c r="F4214" i="2" s="1"/>
  <c r="C4214" i="2"/>
  <c r="E4213" i="2"/>
  <c r="F4213" i="2" s="1"/>
  <c r="C4213" i="2"/>
  <c r="E4212" i="2"/>
  <c r="F4212" i="2" s="1"/>
  <c r="C4212" i="2"/>
  <c r="E4211" i="2"/>
  <c r="F4211" i="2" s="1"/>
  <c r="C4211" i="2"/>
  <c r="E4210" i="2"/>
  <c r="F4210" i="2" s="1"/>
  <c r="C4210" i="2"/>
  <c r="E4209" i="2"/>
  <c r="F4209" i="2" s="1"/>
  <c r="C4209" i="2"/>
  <c r="E4208" i="2"/>
  <c r="F4208" i="2" s="1"/>
  <c r="C4208" i="2"/>
  <c r="E4207" i="2"/>
  <c r="F4207" i="2" s="1"/>
  <c r="C4207" i="2"/>
  <c r="E4206" i="2"/>
  <c r="F4206" i="2" s="1"/>
  <c r="C4206" i="2"/>
  <c r="E4205" i="2"/>
  <c r="F4205" i="2" s="1"/>
  <c r="C4205" i="2"/>
  <c r="E4204" i="2"/>
  <c r="F4204" i="2" s="1"/>
  <c r="C4204" i="2"/>
  <c r="E4203" i="2"/>
  <c r="F4203" i="2" s="1"/>
  <c r="C4203" i="2"/>
  <c r="E4202" i="2"/>
  <c r="F4202" i="2" s="1"/>
  <c r="C4202" i="2"/>
  <c r="E4201" i="2"/>
  <c r="F4201" i="2" s="1"/>
  <c r="C4201" i="2"/>
  <c r="E4200" i="2"/>
  <c r="F4200" i="2" s="1"/>
  <c r="C4200" i="2"/>
  <c r="E4199" i="2"/>
  <c r="F4199" i="2" s="1"/>
  <c r="C4199" i="2"/>
  <c r="E4198" i="2"/>
  <c r="F4198" i="2" s="1"/>
  <c r="C4198" i="2"/>
  <c r="E4197" i="2"/>
  <c r="F4197" i="2" s="1"/>
  <c r="C4197" i="2"/>
  <c r="E4196" i="2"/>
  <c r="F4196" i="2" s="1"/>
  <c r="C4196" i="2"/>
  <c r="E4195" i="2"/>
  <c r="F4195" i="2" s="1"/>
  <c r="C4195" i="2"/>
  <c r="E4194" i="2"/>
  <c r="F4194" i="2" s="1"/>
  <c r="C4194" i="2"/>
  <c r="E4193" i="2"/>
  <c r="F4193" i="2" s="1"/>
  <c r="C4193" i="2"/>
  <c r="E4192" i="2"/>
  <c r="F4192" i="2" s="1"/>
  <c r="C4192" i="2"/>
  <c r="E4191" i="2"/>
  <c r="F4191" i="2" s="1"/>
  <c r="C4191" i="2"/>
  <c r="E4190" i="2"/>
  <c r="F4190" i="2" s="1"/>
  <c r="C4190" i="2"/>
  <c r="E4189" i="2"/>
  <c r="F4189" i="2" s="1"/>
  <c r="C4189" i="2"/>
  <c r="E4188" i="2"/>
  <c r="F4188" i="2" s="1"/>
  <c r="C4188" i="2"/>
  <c r="E4187" i="2"/>
  <c r="F4187" i="2" s="1"/>
  <c r="C4187" i="2"/>
  <c r="E4186" i="2"/>
  <c r="F4186" i="2" s="1"/>
  <c r="C4186" i="2"/>
  <c r="E4185" i="2"/>
  <c r="F4185" i="2" s="1"/>
  <c r="C4185" i="2"/>
  <c r="E4184" i="2"/>
  <c r="F4184" i="2" s="1"/>
  <c r="C4184" i="2"/>
  <c r="E4183" i="2"/>
  <c r="F4183" i="2" s="1"/>
  <c r="C4183" i="2"/>
  <c r="E4182" i="2"/>
  <c r="F4182" i="2" s="1"/>
  <c r="C4182" i="2"/>
  <c r="E4181" i="2"/>
  <c r="F4181" i="2" s="1"/>
  <c r="C4181" i="2"/>
  <c r="E4180" i="2"/>
  <c r="F4180" i="2" s="1"/>
  <c r="C4180" i="2"/>
  <c r="E4179" i="2"/>
  <c r="F4179" i="2" s="1"/>
  <c r="C4179" i="2"/>
  <c r="E4178" i="2"/>
  <c r="F4178" i="2" s="1"/>
  <c r="C4178" i="2"/>
  <c r="E4177" i="2"/>
  <c r="F4177" i="2" s="1"/>
  <c r="C4177" i="2"/>
  <c r="E4176" i="2"/>
  <c r="F4176" i="2" s="1"/>
  <c r="C4176" i="2"/>
  <c r="E4175" i="2"/>
  <c r="F4175" i="2" s="1"/>
  <c r="C4175" i="2"/>
  <c r="E4174" i="2"/>
  <c r="F4174" i="2" s="1"/>
  <c r="C4174" i="2"/>
  <c r="E4173" i="2"/>
  <c r="F4173" i="2" s="1"/>
  <c r="C4173" i="2"/>
  <c r="E4172" i="2"/>
  <c r="F4172" i="2" s="1"/>
  <c r="C4172" i="2"/>
  <c r="E4171" i="2"/>
  <c r="F4171" i="2" s="1"/>
  <c r="C4171" i="2"/>
  <c r="E4170" i="2"/>
  <c r="F4170" i="2" s="1"/>
  <c r="C4170" i="2"/>
  <c r="E4169" i="2"/>
  <c r="F4169" i="2" s="1"/>
  <c r="C4169" i="2"/>
  <c r="E4168" i="2"/>
  <c r="F4168" i="2" s="1"/>
  <c r="C4168" i="2"/>
  <c r="E4167" i="2"/>
  <c r="F4167" i="2" s="1"/>
  <c r="C4167" i="2"/>
  <c r="E4166" i="2"/>
  <c r="F4166" i="2" s="1"/>
  <c r="C4166" i="2"/>
  <c r="E4165" i="2"/>
  <c r="F4165" i="2" s="1"/>
  <c r="C4165" i="2"/>
  <c r="E4164" i="2"/>
  <c r="F4164" i="2" s="1"/>
  <c r="C4164" i="2"/>
  <c r="E4163" i="2"/>
  <c r="F4163" i="2" s="1"/>
  <c r="C4163" i="2"/>
  <c r="E4162" i="2"/>
  <c r="F4162" i="2" s="1"/>
  <c r="C4162" i="2"/>
  <c r="E4161" i="2"/>
  <c r="F4161" i="2" s="1"/>
  <c r="C4161" i="2"/>
  <c r="E4160" i="2"/>
  <c r="F4160" i="2" s="1"/>
  <c r="C4160" i="2"/>
  <c r="E4159" i="2"/>
  <c r="F4159" i="2" s="1"/>
  <c r="C4159" i="2"/>
  <c r="E4158" i="2"/>
  <c r="F4158" i="2" s="1"/>
  <c r="C4158" i="2"/>
  <c r="E4157" i="2"/>
  <c r="F4157" i="2" s="1"/>
  <c r="C4157" i="2"/>
  <c r="E4156" i="2"/>
  <c r="F4156" i="2" s="1"/>
  <c r="C4156" i="2"/>
  <c r="E4155" i="2"/>
  <c r="F4155" i="2" s="1"/>
  <c r="C4155" i="2"/>
  <c r="E4154" i="2"/>
  <c r="F4154" i="2" s="1"/>
  <c r="C4154" i="2"/>
  <c r="E4153" i="2"/>
  <c r="F4153" i="2" s="1"/>
  <c r="C4153" i="2"/>
  <c r="E4152" i="2"/>
  <c r="F4152" i="2" s="1"/>
  <c r="C4152" i="2"/>
  <c r="E4151" i="2"/>
  <c r="F4151" i="2" s="1"/>
  <c r="C4151" i="2"/>
  <c r="E4150" i="2"/>
  <c r="F4150" i="2" s="1"/>
  <c r="C4150" i="2"/>
  <c r="E4149" i="2"/>
  <c r="F4149" i="2" s="1"/>
  <c r="C4149" i="2"/>
  <c r="E4148" i="2"/>
  <c r="F4148" i="2" s="1"/>
  <c r="C4148" i="2"/>
  <c r="E4147" i="2"/>
  <c r="F4147" i="2" s="1"/>
  <c r="C4147" i="2"/>
  <c r="E4146" i="2"/>
  <c r="F4146" i="2" s="1"/>
  <c r="C4146" i="2"/>
  <c r="E4145" i="2"/>
  <c r="F4145" i="2" s="1"/>
  <c r="C4145" i="2"/>
  <c r="E4144" i="2"/>
  <c r="F4144" i="2" s="1"/>
  <c r="C4144" i="2"/>
  <c r="E4143" i="2"/>
  <c r="F4143" i="2" s="1"/>
  <c r="C4143" i="2"/>
  <c r="E4142" i="2"/>
  <c r="F4142" i="2" s="1"/>
  <c r="C4142" i="2"/>
  <c r="E4141" i="2"/>
  <c r="F4141" i="2" s="1"/>
  <c r="C4141" i="2"/>
  <c r="E4140" i="2"/>
  <c r="F4140" i="2" s="1"/>
  <c r="C4140" i="2"/>
  <c r="E4139" i="2"/>
  <c r="F4139" i="2" s="1"/>
  <c r="C4139" i="2"/>
  <c r="E4138" i="2"/>
  <c r="F4138" i="2" s="1"/>
  <c r="C4138" i="2"/>
  <c r="E4137" i="2"/>
  <c r="F4137" i="2" s="1"/>
  <c r="C4137" i="2"/>
  <c r="E4136" i="2"/>
  <c r="F4136" i="2" s="1"/>
  <c r="C4136" i="2"/>
  <c r="E4135" i="2"/>
  <c r="F4135" i="2" s="1"/>
  <c r="C4135" i="2"/>
  <c r="E4134" i="2"/>
  <c r="F4134" i="2" s="1"/>
  <c r="C4134" i="2"/>
  <c r="E4133" i="2"/>
  <c r="F4133" i="2" s="1"/>
  <c r="C4133" i="2"/>
  <c r="E4132" i="2"/>
  <c r="F4132" i="2" s="1"/>
  <c r="C4132" i="2"/>
  <c r="E4131" i="2"/>
  <c r="F4131" i="2" s="1"/>
  <c r="C4131" i="2"/>
  <c r="E4130" i="2"/>
  <c r="F4130" i="2" s="1"/>
  <c r="C4130" i="2"/>
  <c r="E4129" i="2"/>
  <c r="F4129" i="2" s="1"/>
  <c r="C4129" i="2"/>
  <c r="E4128" i="2"/>
  <c r="F4128" i="2" s="1"/>
  <c r="C4128" i="2"/>
  <c r="E4127" i="2"/>
  <c r="F4127" i="2" s="1"/>
  <c r="C4127" i="2"/>
  <c r="E4126" i="2"/>
  <c r="F4126" i="2" s="1"/>
  <c r="C4126" i="2"/>
  <c r="E4125" i="2"/>
  <c r="F4125" i="2" s="1"/>
  <c r="C4125" i="2"/>
  <c r="E4124" i="2"/>
  <c r="F4124" i="2" s="1"/>
  <c r="C4124" i="2"/>
  <c r="E4123" i="2"/>
  <c r="F4123" i="2" s="1"/>
  <c r="C4123" i="2"/>
  <c r="E4122" i="2"/>
  <c r="F4122" i="2" s="1"/>
  <c r="C4122" i="2"/>
  <c r="E4121" i="2"/>
  <c r="F4121" i="2" s="1"/>
  <c r="C4121" i="2"/>
  <c r="E4120" i="2"/>
  <c r="F4120" i="2" s="1"/>
  <c r="C4120" i="2"/>
  <c r="E4119" i="2"/>
  <c r="F4119" i="2" s="1"/>
  <c r="C4119" i="2"/>
  <c r="E4118" i="2"/>
  <c r="F4118" i="2" s="1"/>
  <c r="C4118" i="2"/>
  <c r="E4117" i="2"/>
  <c r="F4117" i="2" s="1"/>
  <c r="C4117" i="2"/>
  <c r="E4116" i="2"/>
  <c r="F4116" i="2" s="1"/>
  <c r="C4116" i="2"/>
  <c r="E4115" i="2"/>
  <c r="F4115" i="2" s="1"/>
  <c r="C4115" i="2"/>
  <c r="E4114" i="2"/>
  <c r="F4114" i="2" s="1"/>
  <c r="C4114" i="2"/>
  <c r="E4113" i="2"/>
  <c r="F4113" i="2" s="1"/>
  <c r="C4113" i="2"/>
  <c r="E4112" i="2"/>
  <c r="F4112" i="2" s="1"/>
  <c r="C4112" i="2"/>
  <c r="E4111" i="2"/>
  <c r="F4111" i="2" s="1"/>
  <c r="C4111" i="2"/>
  <c r="E4110" i="2"/>
  <c r="F4110" i="2" s="1"/>
  <c r="C4110" i="2"/>
  <c r="E4109" i="2"/>
  <c r="F4109" i="2" s="1"/>
  <c r="C4109" i="2"/>
  <c r="E4108" i="2"/>
  <c r="F4108" i="2" s="1"/>
  <c r="C4108" i="2"/>
  <c r="E4107" i="2"/>
  <c r="F4107" i="2" s="1"/>
  <c r="C4107" i="2"/>
  <c r="E4106" i="2"/>
  <c r="F4106" i="2" s="1"/>
  <c r="C4106" i="2"/>
  <c r="E4105" i="2"/>
  <c r="F4105" i="2" s="1"/>
  <c r="C4105" i="2"/>
  <c r="E4104" i="2"/>
  <c r="F4104" i="2" s="1"/>
  <c r="C4104" i="2"/>
  <c r="E4103" i="2"/>
  <c r="F4103" i="2" s="1"/>
  <c r="C4103" i="2"/>
  <c r="E4102" i="2"/>
  <c r="F4102" i="2" s="1"/>
  <c r="C4102" i="2"/>
  <c r="E4101" i="2"/>
  <c r="F4101" i="2" s="1"/>
  <c r="C4101" i="2"/>
  <c r="E4100" i="2"/>
  <c r="F4100" i="2" s="1"/>
  <c r="C4100" i="2"/>
  <c r="E4099" i="2"/>
  <c r="F4099" i="2" s="1"/>
  <c r="C4099" i="2"/>
  <c r="E4098" i="2"/>
  <c r="F4098" i="2" s="1"/>
  <c r="C4098" i="2"/>
  <c r="E4097" i="2"/>
  <c r="F4097" i="2" s="1"/>
  <c r="C4097" i="2"/>
  <c r="E4096" i="2"/>
  <c r="F4096" i="2" s="1"/>
  <c r="C4096" i="2"/>
  <c r="E4095" i="2"/>
  <c r="F4095" i="2" s="1"/>
  <c r="C4095" i="2"/>
  <c r="E4094" i="2"/>
  <c r="F4094" i="2" s="1"/>
  <c r="C4094" i="2"/>
  <c r="E4093" i="2"/>
  <c r="F4093" i="2" s="1"/>
  <c r="C4093" i="2"/>
  <c r="E4092" i="2"/>
  <c r="F4092" i="2" s="1"/>
  <c r="C4092" i="2"/>
  <c r="E4091" i="2"/>
  <c r="F4091" i="2" s="1"/>
  <c r="C4091" i="2"/>
  <c r="E4090" i="2"/>
  <c r="F4090" i="2" s="1"/>
  <c r="C4090" i="2"/>
  <c r="E4089" i="2"/>
  <c r="F4089" i="2" s="1"/>
  <c r="C4089" i="2"/>
  <c r="E4088" i="2"/>
  <c r="F4088" i="2" s="1"/>
  <c r="C4088" i="2"/>
  <c r="E4087" i="2"/>
  <c r="F4087" i="2" s="1"/>
  <c r="C4087" i="2"/>
  <c r="E4086" i="2"/>
  <c r="F4086" i="2" s="1"/>
  <c r="C4086" i="2"/>
  <c r="E4085" i="2"/>
  <c r="F4085" i="2" s="1"/>
  <c r="C4085" i="2"/>
  <c r="E4084" i="2"/>
  <c r="F4084" i="2" s="1"/>
  <c r="C4084" i="2"/>
  <c r="E4083" i="2"/>
  <c r="F4083" i="2" s="1"/>
  <c r="C4083" i="2"/>
  <c r="E4082" i="2"/>
  <c r="F4082" i="2" s="1"/>
  <c r="C4082" i="2"/>
  <c r="E4081" i="2"/>
  <c r="F4081" i="2" s="1"/>
  <c r="C4081" i="2"/>
  <c r="E4080" i="2"/>
  <c r="F4080" i="2" s="1"/>
  <c r="C4080" i="2"/>
  <c r="E4079" i="2"/>
  <c r="F4079" i="2" s="1"/>
  <c r="C4079" i="2"/>
  <c r="E4078" i="2"/>
  <c r="F4078" i="2" s="1"/>
  <c r="C4078" i="2"/>
  <c r="E4077" i="2"/>
  <c r="F4077" i="2" s="1"/>
  <c r="C4077" i="2"/>
  <c r="E4076" i="2"/>
  <c r="F4076" i="2" s="1"/>
  <c r="C4076" i="2"/>
  <c r="E4075" i="2"/>
  <c r="F4075" i="2" s="1"/>
  <c r="C4075" i="2"/>
  <c r="E4074" i="2"/>
  <c r="F4074" i="2" s="1"/>
  <c r="C4074" i="2"/>
  <c r="E4073" i="2"/>
  <c r="F4073" i="2" s="1"/>
  <c r="C4073" i="2"/>
  <c r="E4072" i="2"/>
  <c r="F4072" i="2" s="1"/>
  <c r="C4072" i="2"/>
  <c r="E4071" i="2"/>
  <c r="F4071" i="2" s="1"/>
  <c r="C4071" i="2"/>
  <c r="E4070" i="2"/>
  <c r="F4070" i="2" s="1"/>
  <c r="C4070" i="2"/>
  <c r="E4069" i="2"/>
  <c r="F4069" i="2" s="1"/>
  <c r="C4069" i="2"/>
  <c r="E4068" i="2"/>
  <c r="F4068" i="2" s="1"/>
  <c r="C4068" i="2"/>
  <c r="E4067" i="2"/>
  <c r="F4067" i="2" s="1"/>
  <c r="C4067" i="2"/>
  <c r="E4066" i="2"/>
  <c r="F4066" i="2" s="1"/>
  <c r="C4066" i="2"/>
  <c r="E4065" i="2"/>
  <c r="F4065" i="2" s="1"/>
  <c r="C4065" i="2"/>
  <c r="E4064" i="2"/>
  <c r="F4064" i="2" s="1"/>
  <c r="C4064" i="2"/>
  <c r="E4063" i="2"/>
  <c r="F4063" i="2" s="1"/>
  <c r="C4063" i="2"/>
  <c r="E4062" i="2"/>
  <c r="F4062" i="2" s="1"/>
  <c r="C4062" i="2"/>
  <c r="E4061" i="2"/>
  <c r="F4061" i="2" s="1"/>
  <c r="C4061" i="2"/>
  <c r="E4060" i="2"/>
  <c r="F4060" i="2" s="1"/>
  <c r="C4060" i="2"/>
  <c r="E4059" i="2"/>
  <c r="F4059" i="2" s="1"/>
  <c r="C4059" i="2"/>
  <c r="E4058" i="2"/>
  <c r="F4058" i="2" s="1"/>
  <c r="C4058" i="2"/>
  <c r="E4057" i="2"/>
  <c r="F4057" i="2" s="1"/>
  <c r="C4057" i="2"/>
  <c r="E4056" i="2"/>
  <c r="F4056" i="2" s="1"/>
  <c r="C4056" i="2"/>
  <c r="E4055" i="2"/>
  <c r="F4055" i="2" s="1"/>
  <c r="C4055" i="2"/>
  <c r="E4054" i="2"/>
  <c r="F4054" i="2" s="1"/>
  <c r="C4054" i="2"/>
  <c r="E4053" i="2"/>
  <c r="F4053" i="2" s="1"/>
  <c r="C4053" i="2"/>
  <c r="E4052" i="2"/>
  <c r="F4052" i="2" s="1"/>
  <c r="C4052" i="2"/>
  <c r="E4051" i="2"/>
  <c r="F4051" i="2" s="1"/>
  <c r="C4051" i="2"/>
  <c r="E4050" i="2"/>
  <c r="F4050" i="2" s="1"/>
  <c r="C4050" i="2"/>
  <c r="E4049" i="2"/>
  <c r="F4049" i="2" s="1"/>
  <c r="C4049" i="2"/>
  <c r="E4048" i="2"/>
  <c r="F4048" i="2" s="1"/>
  <c r="C4048" i="2"/>
  <c r="E4047" i="2"/>
  <c r="F4047" i="2" s="1"/>
  <c r="C4047" i="2"/>
  <c r="E4046" i="2"/>
  <c r="F4046" i="2" s="1"/>
  <c r="C4046" i="2"/>
  <c r="E4045" i="2"/>
  <c r="F4045" i="2" s="1"/>
  <c r="C4045" i="2"/>
  <c r="E4044" i="2"/>
  <c r="F4044" i="2" s="1"/>
  <c r="C4044" i="2"/>
  <c r="E4043" i="2"/>
  <c r="F4043" i="2" s="1"/>
  <c r="C4043" i="2"/>
  <c r="E4042" i="2"/>
  <c r="F4042" i="2" s="1"/>
  <c r="C4042" i="2"/>
  <c r="E4041" i="2"/>
  <c r="F4041" i="2" s="1"/>
  <c r="C4041" i="2"/>
  <c r="E4040" i="2"/>
  <c r="F4040" i="2" s="1"/>
  <c r="C4040" i="2"/>
  <c r="E4039" i="2"/>
  <c r="F4039" i="2" s="1"/>
  <c r="C4039" i="2"/>
  <c r="E4038" i="2"/>
  <c r="F4038" i="2" s="1"/>
  <c r="C4038" i="2"/>
  <c r="E4037" i="2"/>
  <c r="F4037" i="2" s="1"/>
  <c r="C4037" i="2"/>
  <c r="E4036" i="2"/>
  <c r="F4036" i="2" s="1"/>
  <c r="C4036" i="2"/>
  <c r="E4035" i="2"/>
  <c r="F4035" i="2" s="1"/>
  <c r="C4035" i="2"/>
  <c r="E4034" i="2"/>
  <c r="F4034" i="2" s="1"/>
  <c r="C4034" i="2"/>
  <c r="E4033" i="2"/>
  <c r="F4033" i="2" s="1"/>
  <c r="C4033" i="2"/>
  <c r="E4032" i="2"/>
  <c r="F4032" i="2" s="1"/>
  <c r="C4032" i="2"/>
  <c r="E4031" i="2"/>
  <c r="F4031" i="2" s="1"/>
  <c r="C4031" i="2"/>
  <c r="E4030" i="2"/>
  <c r="F4030" i="2" s="1"/>
  <c r="C4030" i="2"/>
  <c r="E4029" i="2"/>
  <c r="F4029" i="2" s="1"/>
  <c r="C4029" i="2"/>
  <c r="E4028" i="2"/>
  <c r="F4028" i="2" s="1"/>
  <c r="C4028" i="2"/>
  <c r="E4027" i="2"/>
  <c r="F4027" i="2" s="1"/>
  <c r="C4027" i="2"/>
  <c r="E4026" i="2"/>
  <c r="F4026" i="2" s="1"/>
  <c r="C4026" i="2"/>
  <c r="E4025" i="2"/>
  <c r="F4025" i="2" s="1"/>
  <c r="C4025" i="2"/>
  <c r="E4024" i="2"/>
  <c r="F4024" i="2" s="1"/>
  <c r="C4024" i="2"/>
  <c r="E4023" i="2"/>
  <c r="F4023" i="2" s="1"/>
  <c r="C4023" i="2"/>
  <c r="E4022" i="2"/>
  <c r="F4022" i="2" s="1"/>
  <c r="C4022" i="2"/>
  <c r="E4021" i="2"/>
  <c r="F4021" i="2" s="1"/>
  <c r="C4021" i="2"/>
  <c r="E4020" i="2"/>
  <c r="F4020" i="2" s="1"/>
  <c r="C4020" i="2"/>
  <c r="E4019" i="2"/>
  <c r="F4019" i="2" s="1"/>
  <c r="C4019" i="2"/>
  <c r="E4018" i="2"/>
  <c r="F4018" i="2" s="1"/>
  <c r="C4018" i="2"/>
  <c r="E4017" i="2"/>
  <c r="F4017" i="2" s="1"/>
  <c r="C4017" i="2"/>
  <c r="E4016" i="2"/>
  <c r="F4016" i="2" s="1"/>
  <c r="C4016" i="2"/>
  <c r="E4015" i="2"/>
  <c r="F4015" i="2" s="1"/>
  <c r="C4015" i="2"/>
  <c r="E4014" i="2"/>
  <c r="F4014" i="2" s="1"/>
  <c r="C4014" i="2"/>
  <c r="E4013" i="2"/>
  <c r="F4013" i="2" s="1"/>
  <c r="C4013" i="2"/>
  <c r="E4012" i="2"/>
  <c r="F4012" i="2" s="1"/>
  <c r="C4012" i="2"/>
  <c r="E4011" i="2"/>
  <c r="F4011" i="2" s="1"/>
  <c r="C4011" i="2"/>
  <c r="E4010" i="2"/>
  <c r="F4010" i="2" s="1"/>
  <c r="C4010" i="2"/>
  <c r="E4009" i="2"/>
  <c r="F4009" i="2" s="1"/>
  <c r="C4009" i="2"/>
  <c r="E4008" i="2"/>
  <c r="F4008" i="2" s="1"/>
  <c r="C4008" i="2"/>
  <c r="E4007" i="2"/>
  <c r="F4007" i="2" s="1"/>
  <c r="C4007" i="2"/>
  <c r="E4006" i="2"/>
  <c r="F4006" i="2" s="1"/>
  <c r="C4006" i="2"/>
  <c r="E4005" i="2"/>
  <c r="F4005" i="2" s="1"/>
  <c r="C4005" i="2"/>
  <c r="E4004" i="2"/>
  <c r="F4004" i="2" s="1"/>
  <c r="C4004" i="2"/>
  <c r="E4003" i="2"/>
  <c r="F4003" i="2" s="1"/>
  <c r="C4003" i="2"/>
  <c r="E4002" i="2"/>
  <c r="F4002" i="2" s="1"/>
  <c r="C4002" i="2"/>
  <c r="E4001" i="2"/>
  <c r="F4001" i="2" s="1"/>
  <c r="C4001" i="2"/>
  <c r="E4000" i="2"/>
  <c r="F4000" i="2" s="1"/>
  <c r="C4000" i="2"/>
  <c r="E3999" i="2"/>
  <c r="F3999" i="2" s="1"/>
  <c r="C3999" i="2"/>
  <c r="E3998" i="2"/>
  <c r="F3998" i="2" s="1"/>
  <c r="C3998" i="2"/>
  <c r="E3997" i="2"/>
  <c r="F3997" i="2" s="1"/>
  <c r="C3997" i="2"/>
  <c r="E3996" i="2"/>
  <c r="F3996" i="2" s="1"/>
  <c r="C3996" i="2"/>
  <c r="E3995" i="2"/>
  <c r="F3995" i="2" s="1"/>
  <c r="C3995" i="2"/>
  <c r="E3994" i="2"/>
  <c r="F3994" i="2" s="1"/>
  <c r="C3994" i="2"/>
  <c r="E3993" i="2"/>
  <c r="F3993" i="2" s="1"/>
  <c r="C3993" i="2"/>
  <c r="E3992" i="2"/>
  <c r="F3992" i="2" s="1"/>
  <c r="C3992" i="2"/>
  <c r="E3991" i="2"/>
  <c r="F3991" i="2" s="1"/>
  <c r="C3991" i="2"/>
  <c r="E3990" i="2"/>
  <c r="F3990" i="2" s="1"/>
  <c r="C3990" i="2"/>
  <c r="E3989" i="2"/>
  <c r="F3989" i="2" s="1"/>
  <c r="C3989" i="2"/>
  <c r="E3988" i="2"/>
  <c r="F3988" i="2" s="1"/>
  <c r="C3988" i="2"/>
  <c r="E3987" i="2"/>
  <c r="F3987" i="2" s="1"/>
  <c r="C3987" i="2"/>
  <c r="E3986" i="2"/>
  <c r="F3986" i="2" s="1"/>
  <c r="C3986" i="2"/>
  <c r="E3985" i="2"/>
  <c r="F3985" i="2" s="1"/>
  <c r="C3985" i="2"/>
  <c r="E3984" i="2"/>
  <c r="F3984" i="2" s="1"/>
  <c r="C3984" i="2"/>
  <c r="E3983" i="2"/>
  <c r="F3983" i="2" s="1"/>
  <c r="C3983" i="2"/>
  <c r="E3982" i="2"/>
  <c r="F3982" i="2" s="1"/>
  <c r="C3982" i="2"/>
  <c r="E3981" i="2"/>
  <c r="F3981" i="2" s="1"/>
  <c r="C3981" i="2"/>
  <c r="E3980" i="2"/>
  <c r="F3980" i="2" s="1"/>
  <c r="C3980" i="2"/>
  <c r="E3979" i="2"/>
  <c r="F3979" i="2" s="1"/>
  <c r="C3979" i="2"/>
  <c r="E3978" i="2"/>
  <c r="F3978" i="2" s="1"/>
  <c r="C3978" i="2"/>
  <c r="E3977" i="2"/>
  <c r="F3977" i="2" s="1"/>
  <c r="C3977" i="2"/>
  <c r="E3976" i="2"/>
  <c r="F3976" i="2" s="1"/>
  <c r="C3976" i="2"/>
  <c r="E3975" i="2"/>
  <c r="F3975" i="2" s="1"/>
  <c r="C3975" i="2"/>
  <c r="E3974" i="2"/>
  <c r="F3974" i="2" s="1"/>
  <c r="C3974" i="2"/>
  <c r="E3973" i="2"/>
  <c r="F3973" i="2" s="1"/>
  <c r="C3973" i="2"/>
  <c r="E3972" i="2"/>
  <c r="F3972" i="2" s="1"/>
  <c r="C3972" i="2"/>
  <c r="E3971" i="2"/>
  <c r="F3971" i="2" s="1"/>
  <c r="C3971" i="2"/>
  <c r="E3970" i="2"/>
  <c r="F3970" i="2" s="1"/>
  <c r="C3970" i="2"/>
  <c r="E3969" i="2"/>
  <c r="F3969" i="2" s="1"/>
  <c r="C3969" i="2"/>
  <c r="E3968" i="2"/>
  <c r="F3968" i="2" s="1"/>
  <c r="C3968" i="2"/>
  <c r="E3967" i="2"/>
  <c r="F3967" i="2" s="1"/>
  <c r="C3967" i="2"/>
  <c r="E3966" i="2"/>
  <c r="F3966" i="2" s="1"/>
  <c r="C3966" i="2"/>
  <c r="E3965" i="2"/>
  <c r="F3965" i="2" s="1"/>
  <c r="C3965" i="2"/>
  <c r="E3964" i="2"/>
  <c r="F3964" i="2" s="1"/>
  <c r="C3964" i="2"/>
  <c r="E3963" i="2"/>
  <c r="F3963" i="2" s="1"/>
  <c r="C3963" i="2"/>
  <c r="E3962" i="2"/>
  <c r="F3962" i="2" s="1"/>
  <c r="C3962" i="2"/>
  <c r="E3961" i="2"/>
  <c r="F3961" i="2" s="1"/>
  <c r="C3961" i="2"/>
  <c r="E3960" i="2"/>
  <c r="F3960" i="2" s="1"/>
  <c r="C3960" i="2"/>
  <c r="E3959" i="2"/>
  <c r="F3959" i="2" s="1"/>
  <c r="C3959" i="2"/>
  <c r="E3958" i="2"/>
  <c r="F3958" i="2" s="1"/>
  <c r="C3958" i="2"/>
  <c r="E3957" i="2"/>
  <c r="F3957" i="2" s="1"/>
  <c r="C3957" i="2"/>
  <c r="E3956" i="2"/>
  <c r="F3956" i="2" s="1"/>
  <c r="C3956" i="2"/>
  <c r="E3955" i="2"/>
  <c r="F3955" i="2" s="1"/>
  <c r="C3955" i="2"/>
  <c r="E3954" i="2"/>
  <c r="F3954" i="2" s="1"/>
  <c r="C3954" i="2"/>
  <c r="E3953" i="2"/>
  <c r="F3953" i="2" s="1"/>
  <c r="C3953" i="2"/>
  <c r="E3952" i="2"/>
  <c r="F3952" i="2" s="1"/>
  <c r="C3952" i="2"/>
  <c r="E3951" i="2"/>
  <c r="F3951" i="2" s="1"/>
  <c r="C3951" i="2"/>
  <c r="E3950" i="2"/>
  <c r="F3950" i="2" s="1"/>
  <c r="C3950" i="2"/>
  <c r="E3949" i="2"/>
  <c r="F3949" i="2" s="1"/>
  <c r="C3949" i="2"/>
  <c r="E3948" i="2"/>
  <c r="F3948" i="2" s="1"/>
  <c r="C3948" i="2"/>
  <c r="E3947" i="2"/>
  <c r="F3947" i="2" s="1"/>
  <c r="C3947" i="2"/>
  <c r="E3946" i="2"/>
  <c r="F3946" i="2" s="1"/>
  <c r="C3946" i="2"/>
  <c r="E3945" i="2"/>
  <c r="F3945" i="2" s="1"/>
  <c r="C3945" i="2"/>
  <c r="E3944" i="2"/>
  <c r="F3944" i="2" s="1"/>
  <c r="C3944" i="2"/>
  <c r="E3943" i="2"/>
  <c r="F3943" i="2" s="1"/>
  <c r="C3943" i="2"/>
  <c r="E3942" i="2"/>
  <c r="F3942" i="2" s="1"/>
  <c r="C3942" i="2"/>
  <c r="E3941" i="2"/>
  <c r="F3941" i="2" s="1"/>
  <c r="C3941" i="2"/>
  <c r="E3940" i="2"/>
  <c r="F3940" i="2" s="1"/>
  <c r="C3940" i="2"/>
  <c r="E3939" i="2"/>
  <c r="F3939" i="2" s="1"/>
  <c r="C3939" i="2"/>
  <c r="E3938" i="2"/>
  <c r="F3938" i="2" s="1"/>
  <c r="C3938" i="2"/>
  <c r="E3937" i="2"/>
  <c r="F3937" i="2" s="1"/>
  <c r="C3937" i="2"/>
  <c r="E3936" i="2"/>
  <c r="F3936" i="2" s="1"/>
  <c r="C3936" i="2"/>
  <c r="E3935" i="2"/>
  <c r="F3935" i="2" s="1"/>
  <c r="C3935" i="2"/>
  <c r="E3934" i="2"/>
  <c r="F3934" i="2" s="1"/>
  <c r="C3934" i="2"/>
  <c r="E3933" i="2"/>
  <c r="F3933" i="2" s="1"/>
  <c r="C3933" i="2"/>
  <c r="E3932" i="2"/>
  <c r="F3932" i="2" s="1"/>
  <c r="C3932" i="2"/>
  <c r="E3931" i="2"/>
  <c r="F3931" i="2" s="1"/>
  <c r="C3931" i="2"/>
  <c r="E3930" i="2"/>
  <c r="F3930" i="2" s="1"/>
  <c r="C3930" i="2"/>
  <c r="E3929" i="2"/>
  <c r="F3929" i="2" s="1"/>
  <c r="C3929" i="2"/>
  <c r="E3928" i="2"/>
  <c r="F3928" i="2" s="1"/>
  <c r="C3928" i="2"/>
  <c r="E3927" i="2"/>
  <c r="F3927" i="2" s="1"/>
  <c r="C3927" i="2"/>
  <c r="E3926" i="2"/>
  <c r="F3926" i="2" s="1"/>
  <c r="C3926" i="2"/>
  <c r="E3925" i="2"/>
  <c r="F3925" i="2" s="1"/>
  <c r="C3925" i="2"/>
  <c r="E3924" i="2"/>
  <c r="F3924" i="2" s="1"/>
  <c r="C3924" i="2"/>
  <c r="E3923" i="2"/>
  <c r="F3923" i="2" s="1"/>
  <c r="C3923" i="2"/>
  <c r="E3922" i="2"/>
  <c r="F3922" i="2" s="1"/>
  <c r="C3922" i="2"/>
  <c r="E3921" i="2"/>
  <c r="F3921" i="2" s="1"/>
  <c r="C3921" i="2"/>
  <c r="E3920" i="2"/>
  <c r="F3920" i="2" s="1"/>
  <c r="C3920" i="2"/>
  <c r="E3919" i="2"/>
  <c r="F3919" i="2" s="1"/>
  <c r="C3919" i="2"/>
  <c r="E3918" i="2"/>
  <c r="F3918" i="2" s="1"/>
  <c r="C3918" i="2"/>
  <c r="E3917" i="2"/>
  <c r="F3917" i="2" s="1"/>
  <c r="C3917" i="2"/>
  <c r="E3916" i="2"/>
  <c r="F3916" i="2" s="1"/>
  <c r="C3916" i="2"/>
  <c r="E3915" i="2"/>
  <c r="F3915" i="2" s="1"/>
  <c r="C3915" i="2"/>
  <c r="E3914" i="2"/>
  <c r="F3914" i="2" s="1"/>
  <c r="C3914" i="2"/>
  <c r="E3913" i="2"/>
  <c r="F3913" i="2" s="1"/>
  <c r="C3913" i="2"/>
  <c r="E3912" i="2"/>
  <c r="F3912" i="2" s="1"/>
  <c r="C3912" i="2"/>
  <c r="E3911" i="2"/>
  <c r="F3911" i="2" s="1"/>
  <c r="C3911" i="2"/>
  <c r="E3910" i="2"/>
  <c r="F3910" i="2" s="1"/>
  <c r="C3910" i="2"/>
  <c r="E3909" i="2"/>
  <c r="F3909" i="2" s="1"/>
  <c r="C3909" i="2"/>
  <c r="E3908" i="2"/>
  <c r="F3908" i="2" s="1"/>
  <c r="C3908" i="2"/>
  <c r="E3907" i="2"/>
  <c r="F3907" i="2" s="1"/>
  <c r="C3907" i="2"/>
  <c r="E3906" i="2"/>
  <c r="F3906" i="2" s="1"/>
  <c r="C3906" i="2"/>
  <c r="E3905" i="2"/>
  <c r="F3905" i="2" s="1"/>
  <c r="C3905" i="2"/>
  <c r="E3904" i="2"/>
  <c r="F3904" i="2" s="1"/>
  <c r="C3904" i="2"/>
  <c r="E3903" i="2"/>
  <c r="F3903" i="2" s="1"/>
  <c r="C3903" i="2"/>
  <c r="E3902" i="2"/>
  <c r="F3902" i="2" s="1"/>
  <c r="C3902" i="2"/>
  <c r="E3901" i="2"/>
  <c r="F3901" i="2" s="1"/>
  <c r="C3901" i="2"/>
  <c r="E3900" i="2"/>
  <c r="F3900" i="2" s="1"/>
  <c r="C3900" i="2"/>
  <c r="E3899" i="2"/>
  <c r="F3899" i="2" s="1"/>
  <c r="C3899" i="2"/>
  <c r="E3898" i="2"/>
  <c r="F3898" i="2" s="1"/>
  <c r="C3898" i="2"/>
  <c r="E3897" i="2"/>
  <c r="F3897" i="2" s="1"/>
  <c r="C3897" i="2"/>
  <c r="E3896" i="2"/>
  <c r="F3896" i="2" s="1"/>
  <c r="C3896" i="2"/>
  <c r="E3895" i="2"/>
  <c r="F3895" i="2" s="1"/>
  <c r="C3895" i="2"/>
  <c r="E3894" i="2"/>
  <c r="F3894" i="2" s="1"/>
  <c r="C3894" i="2"/>
  <c r="E3893" i="2"/>
  <c r="F3893" i="2" s="1"/>
  <c r="C3893" i="2"/>
  <c r="E3892" i="2"/>
  <c r="F3892" i="2" s="1"/>
  <c r="C3892" i="2"/>
  <c r="E3891" i="2"/>
  <c r="F3891" i="2" s="1"/>
  <c r="C3891" i="2"/>
  <c r="E3890" i="2"/>
  <c r="F3890" i="2" s="1"/>
  <c r="C3890" i="2"/>
  <c r="E3889" i="2"/>
  <c r="F3889" i="2" s="1"/>
  <c r="C3889" i="2"/>
  <c r="E3888" i="2"/>
  <c r="F3888" i="2" s="1"/>
  <c r="C3888" i="2"/>
  <c r="E3887" i="2"/>
  <c r="F3887" i="2" s="1"/>
  <c r="C3887" i="2"/>
  <c r="E3886" i="2"/>
  <c r="F3886" i="2" s="1"/>
  <c r="C3886" i="2"/>
  <c r="E3885" i="2"/>
  <c r="F3885" i="2" s="1"/>
  <c r="C3885" i="2"/>
  <c r="E3884" i="2"/>
  <c r="F3884" i="2" s="1"/>
  <c r="C3884" i="2"/>
  <c r="E3883" i="2"/>
  <c r="F3883" i="2" s="1"/>
  <c r="C3883" i="2"/>
  <c r="E3882" i="2"/>
  <c r="F3882" i="2" s="1"/>
  <c r="C3882" i="2"/>
  <c r="E3881" i="2"/>
  <c r="F3881" i="2" s="1"/>
  <c r="C3881" i="2"/>
  <c r="E3880" i="2"/>
  <c r="F3880" i="2" s="1"/>
  <c r="C3880" i="2"/>
  <c r="E3879" i="2"/>
  <c r="F3879" i="2" s="1"/>
  <c r="C3879" i="2"/>
  <c r="E3878" i="2"/>
  <c r="F3878" i="2" s="1"/>
  <c r="C3878" i="2"/>
  <c r="E3877" i="2"/>
  <c r="F3877" i="2" s="1"/>
  <c r="C3877" i="2"/>
  <c r="E3876" i="2"/>
  <c r="F3876" i="2" s="1"/>
  <c r="C3876" i="2"/>
  <c r="E3875" i="2"/>
  <c r="F3875" i="2" s="1"/>
  <c r="C3875" i="2"/>
  <c r="E3874" i="2"/>
  <c r="F3874" i="2" s="1"/>
  <c r="C3874" i="2"/>
  <c r="E3873" i="2"/>
  <c r="F3873" i="2" s="1"/>
  <c r="C3873" i="2"/>
  <c r="E3872" i="2"/>
  <c r="F3872" i="2" s="1"/>
  <c r="C3872" i="2"/>
  <c r="E3871" i="2"/>
  <c r="F3871" i="2" s="1"/>
  <c r="C3871" i="2"/>
  <c r="E3870" i="2"/>
  <c r="F3870" i="2" s="1"/>
  <c r="C3870" i="2"/>
  <c r="E3869" i="2"/>
  <c r="F3869" i="2" s="1"/>
  <c r="C3869" i="2"/>
  <c r="E3868" i="2"/>
  <c r="F3868" i="2" s="1"/>
  <c r="C3868" i="2"/>
  <c r="E3867" i="2"/>
  <c r="F3867" i="2" s="1"/>
  <c r="C3867" i="2"/>
  <c r="E3866" i="2"/>
  <c r="F3866" i="2" s="1"/>
  <c r="C3866" i="2"/>
  <c r="E3865" i="2"/>
  <c r="F3865" i="2" s="1"/>
  <c r="C3865" i="2"/>
  <c r="E3864" i="2"/>
  <c r="F3864" i="2" s="1"/>
  <c r="C3864" i="2"/>
  <c r="E3863" i="2"/>
  <c r="F3863" i="2" s="1"/>
  <c r="C3863" i="2"/>
  <c r="E3862" i="2"/>
  <c r="F3862" i="2" s="1"/>
  <c r="C3862" i="2"/>
  <c r="E3861" i="2"/>
  <c r="F3861" i="2" s="1"/>
  <c r="C3861" i="2"/>
  <c r="E3860" i="2"/>
  <c r="F3860" i="2" s="1"/>
  <c r="C3860" i="2"/>
  <c r="E3859" i="2"/>
  <c r="F3859" i="2" s="1"/>
  <c r="C3859" i="2"/>
  <c r="E3858" i="2"/>
  <c r="F3858" i="2" s="1"/>
  <c r="C3858" i="2"/>
  <c r="E3857" i="2"/>
  <c r="F3857" i="2" s="1"/>
  <c r="C3857" i="2"/>
  <c r="E3856" i="2"/>
  <c r="F3856" i="2" s="1"/>
  <c r="C3856" i="2"/>
  <c r="E3855" i="2"/>
  <c r="F3855" i="2" s="1"/>
  <c r="C3855" i="2"/>
  <c r="E3854" i="2"/>
  <c r="F3854" i="2" s="1"/>
  <c r="C3854" i="2"/>
  <c r="E3853" i="2"/>
  <c r="F3853" i="2" s="1"/>
  <c r="C3853" i="2"/>
  <c r="E3852" i="2"/>
  <c r="F3852" i="2" s="1"/>
  <c r="C3852" i="2"/>
  <c r="E3851" i="2"/>
  <c r="F3851" i="2" s="1"/>
  <c r="C3851" i="2"/>
  <c r="E3850" i="2"/>
  <c r="F3850" i="2" s="1"/>
  <c r="C3850" i="2"/>
  <c r="E3849" i="2"/>
  <c r="F3849" i="2" s="1"/>
  <c r="C3849" i="2"/>
  <c r="E3848" i="2"/>
  <c r="F3848" i="2" s="1"/>
  <c r="C3848" i="2"/>
  <c r="E3847" i="2"/>
  <c r="F3847" i="2" s="1"/>
  <c r="C3847" i="2"/>
  <c r="E3846" i="2"/>
  <c r="F3846" i="2" s="1"/>
  <c r="C3846" i="2"/>
  <c r="E3845" i="2"/>
  <c r="F3845" i="2" s="1"/>
  <c r="C3845" i="2"/>
  <c r="E3844" i="2"/>
  <c r="F3844" i="2" s="1"/>
  <c r="C3844" i="2"/>
  <c r="E3843" i="2"/>
  <c r="F3843" i="2" s="1"/>
  <c r="C3843" i="2"/>
  <c r="E3842" i="2"/>
  <c r="F3842" i="2" s="1"/>
  <c r="C3842" i="2"/>
  <c r="E3841" i="2"/>
  <c r="F3841" i="2" s="1"/>
  <c r="C3841" i="2"/>
  <c r="E3840" i="2"/>
  <c r="F3840" i="2" s="1"/>
  <c r="C3840" i="2"/>
  <c r="E3839" i="2"/>
  <c r="F3839" i="2" s="1"/>
  <c r="C3839" i="2"/>
  <c r="E3838" i="2"/>
  <c r="F3838" i="2" s="1"/>
  <c r="C3838" i="2"/>
  <c r="E3837" i="2"/>
  <c r="F3837" i="2" s="1"/>
  <c r="C3837" i="2"/>
  <c r="E3836" i="2"/>
  <c r="F3836" i="2" s="1"/>
  <c r="C3836" i="2"/>
  <c r="E3835" i="2"/>
  <c r="F3835" i="2" s="1"/>
  <c r="C3835" i="2"/>
  <c r="E3834" i="2"/>
  <c r="F3834" i="2" s="1"/>
  <c r="C3834" i="2"/>
  <c r="E3833" i="2"/>
  <c r="F3833" i="2" s="1"/>
  <c r="C3833" i="2"/>
  <c r="E3832" i="2"/>
  <c r="F3832" i="2" s="1"/>
  <c r="C3832" i="2"/>
  <c r="E3831" i="2"/>
  <c r="F3831" i="2" s="1"/>
  <c r="C3831" i="2"/>
  <c r="E3830" i="2"/>
  <c r="F3830" i="2" s="1"/>
  <c r="C3830" i="2"/>
  <c r="E3829" i="2"/>
  <c r="F3829" i="2" s="1"/>
  <c r="C3829" i="2"/>
  <c r="E3828" i="2"/>
  <c r="F3828" i="2" s="1"/>
  <c r="C3828" i="2"/>
  <c r="E3827" i="2"/>
  <c r="F3827" i="2" s="1"/>
  <c r="C3827" i="2"/>
  <c r="E3826" i="2"/>
  <c r="F3826" i="2" s="1"/>
  <c r="C3826" i="2"/>
  <c r="E3825" i="2"/>
  <c r="F3825" i="2" s="1"/>
  <c r="C3825" i="2"/>
  <c r="E3824" i="2"/>
  <c r="F3824" i="2" s="1"/>
  <c r="C3824" i="2"/>
  <c r="E3823" i="2"/>
  <c r="F3823" i="2" s="1"/>
  <c r="C3823" i="2"/>
  <c r="E3822" i="2"/>
  <c r="F3822" i="2" s="1"/>
  <c r="C3822" i="2"/>
  <c r="E3821" i="2"/>
  <c r="F3821" i="2" s="1"/>
  <c r="C3821" i="2"/>
  <c r="E3820" i="2"/>
  <c r="F3820" i="2" s="1"/>
  <c r="C3820" i="2"/>
  <c r="E3819" i="2"/>
  <c r="F3819" i="2" s="1"/>
  <c r="C3819" i="2"/>
  <c r="E3818" i="2"/>
  <c r="F3818" i="2" s="1"/>
  <c r="C3818" i="2"/>
  <c r="E3817" i="2"/>
  <c r="F3817" i="2" s="1"/>
  <c r="C3817" i="2"/>
  <c r="E3816" i="2"/>
  <c r="F3816" i="2" s="1"/>
  <c r="C3816" i="2"/>
  <c r="E3815" i="2"/>
  <c r="F3815" i="2" s="1"/>
  <c r="C3815" i="2"/>
  <c r="E3814" i="2"/>
  <c r="F3814" i="2" s="1"/>
  <c r="C3814" i="2"/>
  <c r="E3813" i="2"/>
  <c r="F3813" i="2" s="1"/>
  <c r="C3813" i="2"/>
  <c r="E3812" i="2"/>
  <c r="F3812" i="2" s="1"/>
  <c r="C3812" i="2"/>
  <c r="E3811" i="2"/>
  <c r="F3811" i="2" s="1"/>
  <c r="C3811" i="2"/>
  <c r="E3810" i="2"/>
  <c r="F3810" i="2" s="1"/>
  <c r="C3810" i="2"/>
  <c r="E3809" i="2"/>
  <c r="F3809" i="2" s="1"/>
  <c r="C3809" i="2"/>
  <c r="E3808" i="2"/>
  <c r="F3808" i="2" s="1"/>
  <c r="C3808" i="2"/>
  <c r="E3807" i="2"/>
  <c r="F3807" i="2" s="1"/>
  <c r="C3807" i="2"/>
  <c r="E3806" i="2"/>
  <c r="F3806" i="2" s="1"/>
  <c r="C3806" i="2"/>
  <c r="E3805" i="2"/>
  <c r="F3805" i="2" s="1"/>
  <c r="C3805" i="2"/>
  <c r="E3804" i="2"/>
  <c r="F3804" i="2" s="1"/>
  <c r="C3804" i="2"/>
  <c r="E3803" i="2"/>
  <c r="F3803" i="2" s="1"/>
  <c r="C3803" i="2"/>
  <c r="E3802" i="2"/>
  <c r="F3802" i="2" s="1"/>
  <c r="C3802" i="2"/>
  <c r="E3801" i="2"/>
  <c r="F3801" i="2" s="1"/>
  <c r="C3801" i="2"/>
  <c r="E3800" i="2"/>
  <c r="F3800" i="2" s="1"/>
  <c r="C3800" i="2"/>
  <c r="E3799" i="2"/>
  <c r="F3799" i="2" s="1"/>
  <c r="C3799" i="2"/>
  <c r="E3798" i="2"/>
  <c r="F3798" i="2" s="1"/>
  <c r="C3798" i="2"/>
  <c r="E3797" i="2"/>
  <c r="F3797" i="2" s="1"/>
  <c r="C3797" i="2"/>
  <c r="E3796" i="2"/>
  <c r="F3796" i="2" s="1"/>
  <c r="C3796" i="2"/>
  <c r="E3795" i="2"/>
  <c r="F3795" i="2" s="1"/>
  <c r="C3795" i="2"/>
  <c r="E3794" i="2"/>
  <c r="F3794" i="2" s="1"/>
  <c r="C3794" i="2"/>
  <c r="E3793" i="2"/>
  <c r="F3793" i="2" s="1"/>
  <c r="C3793" i="2"/>
  <c r="E3792" i="2"/>
  <c r="F3792" i="2" s="1"/>
  <c r="C3792" i="2"/>
  <c r="E3791" i="2"/>
  <c r="F3791" i="2" s="1"/>
  <c r="C3791" i="2"/>
  <c r="E3790" i="2"/>
  <c r="F3790" i="2" s="1"/>
  <c r="C3790" i="2"/>
  <c r="E3789" i="2"/>
  <c r="F3789" i="2" s="1"/>
  <c r="C3789" i="2"/>
  <c r="E3788" i="2"/>
  <c r="F3788" i="2" s="1"/>
  <c r="C3788" i="2"/>
  <c r="E3787" i="2"/>
  <c r="F3787" i="2" s="1"/>
  <c r="C3787" i="2"/>
  <c r="E3786" i="2"/>
  <c r="F3786" i="2" s="1"/>
  <c r="C3786" i="2"/>
  <c r="E3785" i="2"/>
  <c r="F3785" i="2" s="1"/>
  <c r="C3785" i="2"/>
  <c r="E3784" i="2"/>
  <c r="F3784" i="2" s="1"/>
  <c r="C3784" i="2"/>
  <c r="E3783" i="2"/>
  <c r="F3783" i="2" s="1"/>
  <c r="C3783" i="2"/>
  <c r="E3782" i="2"/>
  <c r="F3782" i="2" s="1"/>
  <c r="C3782" i="2"/>
  <c r="E3781" i="2"/>
  <c r="F3781" i="2" s="1"/>
  <c r="C3781" i="2"/>
  <c r="E3780" i="2"/>
  <c r="F3780" i="2" s="1"/>
  <c r="C3780" i="2"/>
  <c r="E3779" i="2"/>
  <c r="F3779" i="2" s="1"/>
  <c r="C3779" i="2"/>
  <c r="E3778" i="2"/>
  <c r="F3778" i="2" s="1"/>
  <c r="C3778" i="2"/>
  <c r="E3777" i="2"/>
  <c r="F3777" i="2" s="1"/>
  <c r="C3777" i="2"/>
  <c r="E3776" i="2"/>
  <c r="F3776" i="2" s="1"/>
  <c r="C3776" i="2"/>
  <c r="E3775" i="2"/>
  <c r="F3775" i="2" s="1"/>
  <c r="C3775" i="2"/>
  <c r="E3774" i="2"/>
  <c r="F3774" i="2" s="1"/>
  <c r="C3774" i="2"/>
  <c r="E3773" i="2"/>
  <c r="F3773" i="2" s="1"/>
  <c r="G3773" i="2" s="1"/>
  <c r="D3773" i="2"/>
  <c r="C3773" i="2"/>
  <c r="E3772" i="2"/>
  <c r="F3772" i="2" s="1"/>
  <c r="G3772" i="2" s="1"/>
  <c r="C3772" i="2"/>
  <c r="D3772" i="2" s="1"/>
  <c r="E3771" i="2"/>
  <c r="F3771" i="2" s="1"/>
  <c r="G3771" i="2" s="1"/>
  <c r="D3771" i="2"/>
  <c r="C3771" i="2"/>
  <c r="E3770" i="2"/>
  <c r="F3770" i="2" s="1"/>
  <c r="D3770" i="2"/>
  <c r="C3770" i="2"/>
  <c r="G3770" i="2" s="1"/>
  <c r="E3769" i="2"/>
  <c r="F3769" i="2" s="1"/>
  <c r="C3769" i="2"/>
  <c r="F3768" i="2"/>
  <c r="E3768" i="2"/>
  <c r="C3768" i="2"/>
  <c r="F3767" i="2"/>
  <c r="G3767" i="2" s="1"/>
  <c r="E3767" i="2"/>
  <c r="C3767" i="2"/>
  <c r="D3767" i="2" s="1"/>
  <c r="E3766" i="2"/>
  <c r="F3766" i="2" s="1"/>
  <c r="C3766" i="2"/>
  <c r="F3765" i="2"/>
  <c r="G3765" i="2" s="1"/>
  <c r="E3765" i="2"/>
  <c r="C3765" i="2"/>
  <c r="D3765" i="2" s="1"/>
  <c r="E3764" i="2"/>
  <c r="F3764" i="2" s="1"/>
  <c r="C3764" i="2"/>
  <c r="F3763" i="2"/>
  <c r="G3763" i="2" s="1"/>
  <c r="E3763" i="2"/>
  <c r="D3763" i="2"/>
  <c r="C3763" i="2"/>
  <c r="E3762" i="2"/>
  <c r="F3762" i="2" s="1"/>
  <c r="D3762" i="2"/>
  <c r="C3762" i="2"/>
  <c r="G3762" i="2" s="1"/>
  <c r="F3761" i="2"/>
  <c r="G3761" i="2" s="1"/>
  <c r="E3761" i="2"/>
  <c r="D3761" i="2"/>
  <c r="C3761" i="2"/>
  <c r="E3760" i="2"/>
  <c r="F3760" i="2" s="1"/>
  <c r="C3760" i="2"/>
  <c r="E3759" i="2"/>
  <c r="F3759" i="2" s="1"/>
  <c r="G3759" i="2" s="1"/>
  <c r="C3759" i="2"/>
  <c r="D3759" i="2" s="1"/>
  <c r="F3758" i="2"/>
  <c r="E3758" i="2"/>
  <c r="C3758" i="2"/>
  <c r="E3757" i="2"/>
  <c r="F3757" i="2" s="1"/>
  <c r="C3757" i="2"/>
  <c r="F3756" i="2"/>
  <c r="E3756" i="2"/>
  <c r="D3756" i="2"/>
  <c r="C3756" i="2"/>
  <c r="G3756" i="2" s="1"/>
  <c r="F3755" i="2"/>
  <c r="E3755" i="2"/>
  <c r="C3755" i="2"/>
  <c r="F3754" i="2"/>
  <c r="E3754" i="2"/>
  <c r="C3754" i="2"/>
  <c r="F3753" i="2"/>
  <c r="E3753" i="2"/>
  <c r="D3753" i="2"/>
  <c r="C3753" i="2"/>
  <c r="G3753" i="2" s="1"/>
  <c r="F3752" i="2"/>
  <c r="G3752" i="2" s="1"/>
  <c r="E3752" i="2"/>
  <c r="D3752" i="2"/>
  <c r="C3752" i="2"/>
  <c r="E3751" i="2"/>
  <c r="F3751" i="2" s="1"/>
  <c r="C3751" i="2"/>
  <c r="E3750" i="2"/>
  <c r="F3750" i="2" s="1"/>
  <c r="C3750" i="2"/>
  <c r="E3749" i="2"/>
  <c r="F3749" i="2" s="1"/>
  <c r="C3749" i="2"/>
  <c r="E3748" i="2"/>
  <c r="F3748" i="2" s="1"/>
  <c r="C3748" i="2"/>
  <c r="E3747" i="2"/>
  <c r="F3747" i="2" s="1"/>
  <c r="C3747" i="2"/>
  <c r="E3746" i="2"/>
  <c r="F3746" i="2" s="1"/>
  <c r="C3746" i="2"/>
  <c r="E3745" i="2"/>
  <c r="F3745" i="2" s="1"/>
  <c r="C3745" i="2"/>
  <c r="E3744" i="2"/>
  <c r="F3744" i="2" s="1"/>
  <c r="C3744" i="2"/>
  <c r="E3743" i="2"/>
  <c r="F3743" i="2" s="1"/>
  <c r="C3743" i="2"/>
  <c r="E3742" i="2"/>
  <c r="F3742" i="2" s="1"/>
  <c r="C3742" i="2"/>
  <c r="E3741" i="2"/>
  <c r="F3741" i="2" s="1"/>
  <c r="C3741" i="2"/>
  <c r="E3740" i="2"/>
  <c r="F3740" i="2" s="1"/>
  <c r="C3740" i="2"/>
  <c r="E3739" i="2"/>
  <c r="F3739" i="2" s="1"/>
  <c r="C3739" i="2"/>
  <c r="E3738" i="2"/>
  <c r="F3738" i="2" s="1"/>
  <c r="C3738" i="2"/>
  <c r="E3737" i="2"/>
  <c r="F3737" i="2" s="1"/>
  <c r="C3737" i="2"/>
  <c r="E3736" i="2"/>
  <c r="F3736" i="2" s="1"/>
  <c r="C3736" i="2"/>
  <c r="E3735" i="2"/>
  <c r="F3735" i="2" s="1"/>
  <c r="C3735" i="2"/>
  <c r="E3734" i="2"/>
  <c r="F3734" i="2" s="1"/>
  <c r="C3734" i="2"/>
  <c r="E3733" i="2"/>
  <c r="F3733" i="2" s="1"/>
  <c r="C3733" i="2"/>
  <c r="E3732" i="2"/>
  <c r="F3732" i="2" s="1"/>
  <c r="C3732" i="2"/>
  <c r="E3731" i="2"/>
  <c r="F3731" i="2" s="1"/>
  <c r="C3731" i="2"/>
  <c r="E3730" i="2"/>
  <c r="F3730" i="2" s="1"/>
  <c r="C3730" i="2"/>
  <c r="E3729" i="2"/>
  <c r="F3729" i="2" s="1"/>
  <c r="C3729" i="2"/>
  <c r="E3728" i="2"/>
  <c r="F3728" i="2" s="1"/>
  <c r="C3728" i="2"/>
  <c r="E3727" i="2"/>
  <c r="F3727" i="2" s="1"/>
  <c r="C3727" i="2"/>
  <c r="E3726" i="2"/>
  <c r="F3726" i="2" s="1"/>
  <c r="C3726" i="2"/>
  <c r="E3725" i="2"/>
  <c r="F3725" i="2" s="1"/>
  <c r="C3725" i="2"/>
  <c r="E3724" i="2"/>
  <c r="F3724" i="2" s="1"/>
  <c r="C3724" i="2"/>
  <c r="E3723" i="2"/>
  <c r="F3723" i="2" s="1"/>
  <c r="C3723" i="2"/>
  <c r="E3722" i="2"/>
  <c r="F3722" i="2" s="1"/>
  <c r="C3722" i="2"/>
  <c r="E3721" i="2"/>
  <c r="F3721" i="2" s="1"/>
  <c r="C3721" i="2"/>
  <c r="E3720" i="2"/>
  <c r="F3720" i="2" s="1"/>
  <c r="C3720" i="2"/>
  <c r="E3719" i="2"/>
  <c r="F3719" i="2" s="1"/>
  <c r="C3719" i="2"/>
  <c r="E3718" i="2"/>
  <c r="F3718" i="2" s="1"/>
  <c r="C3718" i="2"/>
  <c r="E3717" i="2"/>
  <c r="F3717" i="2" s="1"/>
  <c r="C3717" i="2"/>
  <c r="E3716" i="2"/>
  <c r="F3716" i="2" s="1"/>
  <c r="C3716" i="2"/>
  <c r="E3715" i="2"/>
  <c r="F3715" i="2" s="1"/>
  <c r="C3715" i="2"/>
  <c r="E3714" i="2"/>
  <c r="F3714" i="2" s="1"/>
  <c r="C3714" i="2"/>
  <c r="E3713" i="2"/>
  <c r="F3713" i="2" s="1"/>
  <c r="C3713" i="2"/>
  <c r="E3712" i="2"/>
  <c r="F3712" i="2" s="1"/>
  <c r="C3712" i="2"/>
  <c r="E3711" i="2"/>
  <c r="F3711" i="2" s="1"/>
  <c r="C3711" i="2"/>
  <c r="E3710" i="2"/>
  <c r="F3710" i="2" s="1"/>
  <c r="C3710" i="2"/>
  <c r="E3709" i="2"/>
  <c r="F3709" i="2" s="1"/>
  <c r="C3709" i="2"/>
  <c r="E3708" i="2"/>
  <c r="F3708" i="2" s="1"/>
  <c r="C3708" i="2"/>
  <c r="E3707" i="2"/>
  <c r="F3707" i="2" s="1"/>
  <c r="C3707" i="2"/>
  <c r="E3706" i="2"/>
  <c r="F3706" i="2" s="1"/>
  <c r="C3706" i="2"/>
  <c r="E3705" i="2"/>
  <c r="F3705" i="2" s="1"/>
  <c r="C3705" i="2"/>
  <c r="E3704" i="2"/>
  <c r="F3704" i="2" s="1"/>
  <c r="C3704" i="2"/>
  <c r="E3703" i="2"/>
  <c r="F3703" i="2" s="1"/>
  <c r="C3703" i="2"/>
  <c r="E3702" i="2"/>
  <c r="F3702" i="2" s="1"/>
  <c r="C3702" i="2"/>
  <c r="E3701" i="2"/>
  <c r="F3701" i="2" s="1"/>
  <c r="C3701" i="2"/>
  <c r="E3700" i="2"/>
  <c r="F3700" i="2" s="1"/>
  <c r="C3700" i="2"/>
  <c r="E3699" i="2"/>
  <c r="F3699" i="2" s="1"/>
  <c r="C3699" i="2"/>
  <c r="E3698" i="2"/>
  <c r="F3698" i="2" s="1"/>
  <c r="C3698" i="2"/>
  <c r="E3697" i="2"/>
  <c r="F3697" i="2" s="1"/>
  <c r="C3697" i="2"/>
  <c r="E3696" i="2"/>
  <c r="F3696" i="2" s="1"/>
  <c r="C3696" i="2"/>
  <c r="E3695" i="2"/>
  <c r="F3695" i="2" s="1"/>
  <c r="C3695" i="2"/>
  <c r="E3694" i="2"/>
  <c r="F3694" i="2" s="1"/>
  <c r="C3694" i="2"/>
  <c r="E3693" i="2"/>
  <c r="F3693" i="2" s="1"/>
  <c r="C3693" i="2"/>
  <c r="E3692" i="2"/>
  <c r="F3692" i="2" s="1"/>
  <c r="C3692" i="2"/>
  <c r="E3691" i="2"/>
  <c r="F3691" i="2" s="1"/>
  <c r="C3691" i="2"/>
  <c r="E3690" i="2"/>
  <c r="F3690" i="2" s="1"/>
  <c r="C3690" i="2"/>
  <c r="E3689" i="2"/>
  <c r="F3689" i="2" s="1"/>
  <c r="C3689" i="2"/>
  <c r="E3688" i="2"/>
  <c r="F3688" i="2" s="1"/>
  <c r="C3688" i="2"/>
  <c r="E3687" i="2"/>
  <c r="F3687" i="2" s="1"/>
  <c r="C3687" i="2"/>
  <c r="E3686" i="2"/>
  <c r="F3686" i="2" s="1"/>
  <c r="C3686" i="2"/>
  <c r="E3685" i="2"/>
  <c r="F3685" i="2" s="1"/>
  <c r="C3685" i="2"/>
  <c r="E3684" i="2"/>
  <c r="F3684" i="2" s="1"/>
  <c r="C3684" i="2"/>
  <c r="E3683" i="2"/>
  <c r="F3683" i="2" s="1"/>
  <c r="C3683" i="2"/>
  <c r="E3682" i="2"/>
  <c r="F3682" i="2" s="1"/>
  <c r="C3682" i="2"/>
  <c r="E3681" i="2"/>
  <c r="F3681" i="2" s="1"/>
  <c r="C3681" i="2"/>
  <c r="E3680" i="2"/>
  <c r="F3680" i="2" s="1"/>
  <c r="C3680" i="2"/>
  <c r="E3679" i="2"/>
  <c r="F3679" i="2" s="1"/>
  <c r="C3679" i="2"/>
  <c r="E3678" i="2"/>
  <c r="F3678" i="2" s="1"/>
  <c r="C3678" i="2"/>
  <c r="E3677" i="2"/>
  <c r="F3677" i="2" s="1"/>
  <c r="C3677" i="2"/>
  <c r="E3676" i="2"/>
  <c r="F3676" i="2" s="1"/>
  <c r="C3676" i="2"/>
  <c r="E3675" i="2"/>
  <c r="F3675" i="2" s="1"/>
  <c r="C3675" i="2"/>
  <c r="E3674" i="2"/>
  <c r="F3674" i="2" s="1"/>
  <c r="C3674" i="2"/>
  <c r="E3673" i="2"/>
  <c r="F3673" i="2" s="1"/>
  <c r="C3673" i="2"/>
  <c r="E3672" i="2"/>
  <c r="F3672" i="2" s="1"/>
  <c r="C3672" i="2"/>
  <c r="E3671" i="2"/>
  <c r="F3671" i="2" s="1"/>
  <c r="C3671" i="2"/>
  <c r="E3670" i="2"/>
  <c r="F3670" i="2" s="1"/>
  <c r="C3670" i="2"/>
  <c r="E3669" i="2"/>
  <c r="F3669" i="2" s="1"/>
  <c r="C3669" i="2"/>
  <c r="E3668" i="2"/>
  <c r="F3668" i="2" s="1"/>
  <c r="C3668" i="2"/>
  <c r="E3667" i="2"/>
  <c r="F3667" i="2" s="1"/>
  <c r="C3667" i="2"/>
  <c r="E3666" i="2"/>
  <c r="F3666" i="2" s="1"/>
  <c r="C3666" i="2"/>
  <c r="E3665" i="2"/>
  <c r="F3665" i="2" s="1"/>
  <c r="C3665" i="2"/>
  <c r="E3664" i="2"/>
  <c r="F3664" i="2" s="1"/>
  <c r="C3664" i="2"/>
  <c r="E3663" i="2"/>
  <c r="F3663" i="2" s="1"/>
  <c r="C3663" i="2"/>
  <c r="E3662" i="2"/>
  <c r="F3662" i="2" s="1"/>
  <c r="C3662" i="2"/>
  <c r="E3661" i="2"/>
  <c r="F3661" i="2" s="1"/>
  <c r="C3661" i="2"/>
  <c r="E3660" i="2"/>
  <c r="F3660" i="2" s="1"/>
  <c r="C3660" i="2"/>
  <c r="E3659" i="2"/>
  <c r="F3659" i="2" s="1"/>
  <c r="C3659" i="2"/>
  <c r="E3658" i="2"/>
  <c r="F3658" i="2" s="1"/>
  <c r="C3658" i="2"/>
  <c r="E3657" i="2"/>
  <c r="F3657" i="2" s="1"/>
  <c r="C3657" i="2"/>
  <c r="E3656" i="2"/>
  <c r="F3656" i="2" s="1"/>
  <c r="C3656" i="2"/>
  <c r="E3655" i="2"/>
  <c r="F3655" i="2" s="1"/>
  <c r="C3655" i="2"/>
  <c r="E3654" i="2"/>
  <c r="F3654" i="2" s="1"/>
  <c r="C3654" i="2"/>
  <c r="E3653" i="2"/>
  <c r="F3653" i="2" s="1"/>
  <c r="C3653" i="2"/>
  <c r="E3652" i="2"/>
  <c r="F3652" i="2" s="1"/>
  <c r="C3652" i="2"/>
  <c r="E3651" i="2"/>
  <c r="F3651" i="2" s="1"/>
  <c r="C3651" i="2"/>
  <c r="E3650" i="2"/>
  <c r="F3650" i="2" s="1"/>
  <c r="C3650" i="2"/>
  <c r="E3649" i="2"/>
  <c r="F3649" i="2" s="1"/>
  <c r="C3649" i="2"/>
  <c r="E3648" i="2"/>
  <c r="F3648" i="2" s="1"/>
  <c r="C3648" i="2"/>
  <c r="E3647" i="2"/>
  <c r="F3647" i="2" s="1"/>
  <c r="C3647" i="2"/>
  <c r="E3646" i="2"/>
  <c r="F3646" i="2" s="1"/>
  <c r="C3646" i="2"/>
  <c r="E3645" i="2"/>
  <c r="F3645" i="2" s="1"/>
  <c r="C3645" i="2"/>
  <c r="E3644" i="2"/>
  <c r="F3644" i="2" s="1"/>
  <c r="C3644" i="2"/>
  <c r="E3643" i="2"/>
  <c r="F3643" i="2" s="1"/>
  <c r="C3643" i="2"/>
  <c r="E3642" i="2"/>
  <c r="F3642" i="2" s="1"/>
  <c r="C3642" i="2"/>
  <c r="E3641" i="2"/>
  <c r="F3641" i="2" s="1"/>
  <c r="C3641" i="2"/>
  <c r="E3640" i="2"/>
  <c r="F3640" i="2" s="1"/>
  <c r="C3640" i="2"/>
  <c r="E3639" i="2"/>
  <c r="F3639" i="2" s="1"/>
  <c r="C3639" i="2"/>
  <c r="E3638" i="2"/>
  <c r="F3638" i="2" s="1"/>
  <c r="C3638" i="2"/>
  <c r="E3637" i="2"/>
  <c r="F3637" i="2" s="1"/>
  <c r="C3637" i="2"/>
  <c r="E3636" i="2"/>
  <c r="F3636" i="2" s="1"/>
  <c r="C3636" i="2"/>
  <c r="E3635" i="2"/>
  <c r="F3635" i="2" s="1"/>
  <c r="C3635" i="2"/>
  <c r="E3634" i="2"/>
  <c r="F3634" i="2" s="1"/>
  <c r="C3634" i="2"/>
  <c r="E3633" i="2"/>
  <c r="F3633" i="2" s="1"/>
  <c r="C3633" i="2"/>
  <c r="E3632" i="2"/>
  <c r="F3632" i="2" s="1"/>
  <c r="C3632" i="2"/>
  <c r="E3631" i="2"/>
  <c r="F3631" i="2" s="1"/>
  <c r="C3631" i="2"/>
  <c r="E3630" i="2"/>
  <c r="F3630" i="2" s="1"/>
  <c r="C3630" i="2"/>
  <c r="E3629" i="2"/>
  <c r="F3629" i="2" s="1"/>
  <c r="C3629" i="2"/>
  <c r="E3628" i="2"/>
  <c r="F3628" i="2" s="1"/>
  <c r="C3628" i="2"/>
  <c r="E3627" i="2"/>
  <c r="F3627" i="2" s="1"/>
  <c r="C3627" i="2"/>
  <c r="E3626" i="2"/>
  <c r="F3626" i="2" s="1"/>
  <c r="C3626" i="2"/>
  <c r="E3625" i="2"/>
  <c r="F3625" i="2" s="1"/>
  <c r="C3625" i="2"/>
  <c r="E3624" i="2"/>
  <c r="F3624" i="2" s="1"/>
  <c r="C3624" i="2"/>
  <c r="E3623" i="2"/>
  <c r="F3623" i="2" s="1"/>
  <c r="C3623" i="2"/>
  <c r="E3622" i="2"/>
  <c r="F3622" i="2" s="1"/>
  <c r="C3622" i="2"/>
  <c r="E3621" i="2"/>
  <c r="F3621" i="2" s="1"/>
  <c r="C3621" i="2"/>
  <c r="E3620" i="2"/>
  <c r="F3620" i="2" s="1"/>
  <c r="C3620" i="2"/>
  <c r="E3619" i="2"/>
  <c r="F3619" i="2" s="1"/>
  <c r="C3619" i="2"/>
  <c r="E3618" i="2"/>
  <c r="F3618" i="2" s="1"/>
  <c r="C3618" i="2"/>
  <c r="E3617" i="2"/>
  <c r="F3617" i="2" s="1"/>
  <c r="C3617" i="2"/>
  <c r="E3616" i="2"/>
  <c r="F3616" i="2" s="1"/>
  <c r="C3616" i="2"/>
  <c r="E3615" i="2"/>
  <c r="F3615" i="2" s="1"/>
  <c r="C3615" i="2"/>
  <c r="E3614" i="2"/>
  <c r="F3614" i="2" s="1"/>
  <c r="C3614" i="2"/>
  <c r="E3613" i="2"/>
  <c r="F3613" i="2" s="1"/>
  <c r="C3613" i="2"/>
  <c r="E3612" i="2"/>
  <c r="F3612" i="2" s="1"/>
  <c r="C3612" i="2"/>
  <c r="E3611" i="2"/>
  <c r="F3611" i="2" s="1"/>
  <c r="C3611" i="2"/>
  <c r="E3610" i="2"/>
  <c r="F3610" i="2" s="1"/>
  <c r="C3610" i="2"/>
  <c r="E3609" i="2"/>
  <c r="F3609" i="2" s="1"/>
  <c r="C3609" i="2"/>
  <c r="E3608" i="2"/>
  <c r="F3608" i="2" s="1"/>
  <c r="C3608" i="2"/>
  <c r="E3607" i="2"/>
  <c r="F3607" i="2" s="1"/>
  <c r="C3607" i="2"/>
  <c r="E3606" i="2"/>
  <c r="F3606" i="2" s="1"/>
  <c r="C3606" i="2"/>
  <c r="E3605" i="2"/>
  <c r="F3605" i="2" s="1"/>
  <c r="C3605" i="2"/>
  <c r="E3604" i="2"/>
  <c r="F3604" i="2" s="1"/>
  <c r="C3604" i="2"/>
  <c r="E3603" i="2"/>
  <c r="F3603" i="2" s="1"/>
  <c r="C3603" i="2"/>
  <c r="E3602" i="2"/>
  <c r="F3602" i="2" s="1"/>
  <c r="C3602" i="2"/>
  <c r="E3601" i="2"/>
  <c r="F3601" i="2" s="1"/>
  <c r="C3601" i="2"/>
  <c r="E3600" i="2"/>
  <c r="F3600" i="2" s="1"/>
  <c r="C3600" i="2"/>
  <c r="E3599" i="2"/>
  <c r="F3599" i="2" s="1"/>
  <c r="C3599" i="2"/>
  <c r="E3598" i="2"/>
  <c r="F3598" i="2" s="1"/>
  <c r="C3598" i="2"/>
  <c r="E3597" i="2"/>
  <c r="F3597" i="2" s="1"/>
  <c r="C3597" i="2"/>
  <c r="E3596" i="2"/>
  <c r="F3596" i="2" s="1"/>
  <c r="C3596" i="2"/>
  <c r="E3595" i="2"/>
  <c r="F3595" i="2" s="1"/>
  <c r="C3595" i="2"/>
  <c r="E3594" i="2"/>
  <c r="F3594" i="2" s="1"/>
  <c r="C3594" i="2"/>
  <c r="E3593" i="2"/>
  <c r="F3593" i="2" s="1"/>
  <c r="C3593" i="2"/>
  <c r="E3592" i="2"/>
  <c r="F3592" i="2" s="1"/>
  <c r="C3592" i="2"/>
  <c r="E3591" i="2"/>
  <c r="F3591" i="2" s="1"/>
  <c r="C3591" i="2"/>
  <c r="E3590" i="2"/>
  <c r="F3590" i="2" s="1"/>
  <c r="C3590" i="2"/>
  <c r="E3589" i="2"/>
  <c r="F3589" i="2" s="1"/>
  <c r="C3589" i="2"/>
  <c r="E3588" i="2"/>
  <c r="F3588" i="2" s="1"/>
  <c r="C3588" i="2"/>
  <c r="E3587" i="2"/>
  <c r="F3587" i="2" s="1"/>
  <c r="C3587" i="2"/>
  <c r="E3586" i="2"/>
  <c r="F3586" i="2" s="1"/>
  <c r="C3586" i="2"/>
  <c r="E3585" i="2"/>
  <c r="F3585" i="2" s="1"/>
  <c r="C3585" i="2"/>
  <c r="E3584" i="2"/>
  <c r="F3584" i="2" s="1"/>
  <c r="C3584" i="2"/>
  <c r="E3583" i="2"/>
  <c r="F3583" i="2" s="1"/>
  <c r="C3583" i="2"/>
  <c r="E3582" i="2"/>
  <c r="F3582" i="2" s="1"/>
  <c r="C3582" i="2"/>
  <c r="E3581" i="2"/>
  <c r="F3581" i="2" s="1"/>
  <c r="C3581" i="2"/>
  <c r="E3580" i="2"/>
  <c r="F3580" i="2" s="1"/>
  <c r="C3580" i="2"/>
  <c r="E3579" i="2"/>
  <c r="F3579" i="2" s="1"/>
  <c r="C3579" i="2"/>
  <c r="E3578" i="2"/>
  <c r="F3578" i="2" s="1"/>
  <c r="C3578" i="2"/>
  <c r="E3577" i="2"/>
  <c r="F3577" i="2" s="1"/>
  <c r="C3577" i="2"/>
  <c r="E3576" i="2"/>
  <c r="F3576" i="2" s="1"/>
  <c r="C3576" i="2"/>
  <c r="E3575" i="2"/>
  <c r="F3575" i="2" s="1"/>
  <c r="C3575" i="2"/>
  <c r="E3574" i="2"/>
  <c r="F3574" i="2" s="1"/>
  <c r="C3574" i="2"/>
  <c r="E3573" i="2"/>
  <c r="F3573" i="2" s="1"/>
  <c r="C3573" i="2"/>
  <c r="E3572" i="2"/>
  <c r="F3572" i="2" s="1"/>
  <c r="C3572" i="2"/>
  <c r="E3571" i="2"/>
  <c r="F3571" i="2" s="1"/>
  <c r="C3571" i="2"/>
  <c r="E3570" i="2"/>
  <c r="F3570" i="2" s="1"/>
  <c r="C3570" i="2"/>
  <c r="E3569" i="2"/>
  <c r="F3569" i="2" s="1"/>
  <c r="C3569" i="2"/>
  <c r="E3568" i="2"/>
  <c r="F3568" i="2" s="1"/>
  <c r="C3568" i="2"/>
  <c r="E3567" i="2"/>
  <c r="F3567" i="2" s="1"/>
  <c r="C3567" i="2"/>
  <c r="E3566" i="2"/>
  <c r="F3566" i="2" s="1"/>
  <c r="C3566" i="2"/>
  <c r="E3565" i="2"/>
  <c r="F3565" i="2" s="1"/>
  <c r="C3565" i="2"/>
  <c r="E3564" i="2"/>
  <c r="F3564" i="2" s="1"/>
  <c r="C3564" i="2"/>
  <c r="E3563" i="2"/>
  <c r="F3563" i="2" s="1"/>
  <c r="C3563" i="2"/>
  <c r="E3562" i="2"/>
  <c r="F3562" i="2" s="1"/>
  <c r="C3562" i="2"/>
  <c r="E3561" i="2"/>
  <c r="F3561" i="2" s="1"/>
  <c r="C3561" i="2"/>
  <c r="E3560" i="2"/>
  <c r="F3560" i="2" s="1"/>
  <c r="C3560" i="2"/>
  <c r="E3559" i="2"/>
  <c r="F3559" i="2" s="1"/>
  <c r="C3559" i="2"/>
  <c r="E3558" i="2"/>
  <c r="F3558" i="2" s="1"/>
  <c r="C3558" i="2"/>
  <c r="E3557" i="2"/>
  <c r="F3557" i="2" s="1"/>
  <c r="C3557" i="2"/>
  <c r="E3556" i="2"/>
  <c r="F3556" i="2" s="1"/>
  <c r="C3556" i="2"/>
  <c r="E3555" i="2"/>
  <c r="F3555" i="2" s="1"/>
  <c r="C3555" i="2"/>
  <c r="E3554" i="2"/>
  <c r="F3554" i="2" s="1"/>
  <c r="C3554" i="2"/>
  <c r="E3553" i="2"/>
  <c r="F3553" i="2" s="1"/>
  <c r="C3553" i="2"/>
  <c r="E3552" i="2"/>
  <c r="F3552" i="2" s="1"/>
  <c r="C3552" i="2"/>
  <c r="E3551" i="2"/>
  <c r="F3551" i="2" s="1"/>
  <c r="C3551" i="2"/>
  <c r="E3550" i="2"/>
  <c r="F3550" i="2" s="1"/>
  <c r="C3550" i="2"/>
  <c r="E3549" i="2"/>
  <c r="F3549" i="2" s="1"/>
  <c r="C3549" i="2"/>
  <c r="E3548" i="2"/>
  <c r="F3548" i="2" s="1"/>
  <c r="C3548" i="2"/>
  <c r="E3547" i="2"/>
  <c r="F3547" i="2" s="1"/>
  <c r="C3547" i="2"/>
  <c r="E3546" i="2"/>
  <c r="F3546" i="2" s="1"/>
  <c r="C3546" i="2"/>
  <c r="E3545" i="2"/>
  <c r="F3545" i="2" s="1"/>
  <c r="C3545" i="2"/>
  <c r="E3544" i="2"/>
  <c r="F3544" i="2" s="1"/>
  <c r="C3544" i="2"/>
  <c r="E3543" i="2"/>
  <c r="F3543" i="2" s="1"/>
  <c r="C3543" i="2"/>
  <c r="E3542" i="2"/>
  <c r="F3542" i="2" s="1"/>
  <c r="C3542" i="2"/>
  <c r="E3541" i="2"/>
  <c r="F3541" i="2" s="1"/>
  <c r="C3541" i="2"/>
  <c r="E3540" i="2"/>
  <c r="F3540" i="2" s="1"/>
  <c r="C3540" i="2"/>
  <c r="E3539" i="2"/>
  <c r="F3539" i="2" s="1"/>
  <c r="C3539" i="2"/>
  <c r="E3538" i="2"/>
  <c r="F3538" i="2" s="1"/>
  <c r="C3538" i="2"/>
  <c r="E3537" i="2"/>
  <c r="F3537" i="2" s="1"/>
  <c r="C3537" i="2"/>
  <c r="E3536" i="2"/>
  <c r="F3536" i="2" s="1"/>
  <c r="C3536" i="2"/>
  <c r="E3535" i="2"/>
  <c r="F3535" i="2" s="1"/>
  <c r="C3535" i="2"/>
  <c r="E3534" i="2"/>
  <c r="F3534" i="2" s="1"/>
  <c r="C3534" i="2"/>
  <c r="E3533" i="2"/>
  <c r="F3533" i="2" s="1"/>
  <c r="C3533" i="2"/>
  <c r="E3532" i="2"/>
  <c r="F3532" i="2" s="1"/>
  <c r="C3532" i="2"/>
  <c r="E3531" i="2"/>
  <c r="F3531" i="2" s="1"/>
  <c r="C3531" i="2"/>
  <c r="E3530" i="2"/>
  <c r="F3530" i="2" s="1"/>
  <c r="C3530" i="2"/>
  <c r="E3529" i="2"/>
  <c r="F3529" i="2" s="1"/>
  <c r="C3529" i="2"/>
  <c r="E3528" i="2"/>
  <c r="F3528" i="2" s="1"/>
  <c r="C3528" i="2"/>
  <c r="E3527" i="2"/>
  <c r="F3527" i="2" s="1"/>
  <c r="C3527" i="2"/>
  <c r="E3526" i="2"/>
  <c r="F3526" i="2" s="1"/>
  <c r="C3526" i="2"/>
  <c r="E3525" i="2"/>
  <c r="F3525" i="2" s="1"/>
  <c r="C3525" i="2"/>
  <c r="E3524" i="2"/>
  <c r="F3524" i="2" s="1"/>
  <c r="C3524" i="2"/>
  <c r="E3523" i="2"/>
  <c r="F3523" i="2" s="1"/>
  <c r="C3523" i="2"/>
  <c r="E3522" i="2"/>
  <c r="F3522" i="2" s="1"/>
  <c r="C3522" i="2"/>
  <c r="E3521" i="2"/>
  <c r="F3521" i="2" s="1"/>
  <c r="C3521" i="2"/>
  <c r="E3520" i="2"/>
  <c r="F3520" i="2" s="1"/>
  <c r="C3520" i="2"/>
  <c r="E3519" i="2"/>
  <c r="F3519" i="2" s="1"/>
  <c r="C3519" i="2"/>
  <c r="E3518" i="2"/>
  <c r="F3518" i="2" s="1"/>
  <c r="C3518" i="2"/>
  <c r="E3517" i="2"/>
  <c r="F3517" i="2" s="1"/>
  <c r="C3517" i="2"/>
  <c r="E3516" i="2"/>
  <c r="F3516" i="2" s="1"/>
  <c r="C3516" i="2"/>
  <c r="E3515" i="2"/>
  <c r="F3515" i="2" s="1"/>
  <c r="C3515" i="2"/>
  <c r="E3514" i="2"/>
  <c r="F3514" i="2" s="1"/>
  <c r="C3514" i="2"/>
  <c r="E3513" i="2"/>
  <c r="F3513" i="2" s="1"/>
  <c r="C3513" i="2"/>
  <c r="E3512" i="2"/>
  <c r="F3512" i="2" s="1"/>
  <c r="C3512" i="2"/>
  <c r="E3511" i="2"/>
  <c r="F3511" i="2" s="1"/>
  <c r="C3511" i="2"/>
  <c r="E3510" i="2"/>
  <c r="F3510" i="2" s="1"/>
  <c r="C3510" i="2"/>
  <c r="E3509" i="2"/>
  <c r="F3509" i="2" s="1"/>
  <c r="C3509" i="2"/>
  <c r="E3508" i="2"/>
  <c r="F3508" i="2" s="1"/>
  <c r="C3508" i="2"/>
  <c r="E3507" i="2"/>
  <c r="F3507" i="2" s="1"/>
  <c r="C3507" i="2"/>
  <c r="E3506" i="2"/>
  <c r="F3506" i="2" s="1"/>
  <c r="C3506" i="2"/>
  <c r="E3505" i="2"/>
  <c r="F3505" i="2" s="1"/>
  <c r="C3505" i="2"/>
  <c r="E3504" i="2"/>
  <c r="F3504" i="2" s="1"/>
  <c r="C3504" i="2"/>
  <c r="E3503" i="2"/>
  <c r="F3503" i="2" s="1"/>
  <c r="C3503" i="2"/>
  <c r="E3502" i="2"/>
  <c r="F3502" i="2" s="1"/>
  <c r="C3502" i="2"/>
  <c r="E3501" i="2"/>
  <c r="F3501" i="2" s="1"/>
  <c r="C3501" i="2"/>
  <c r="E3500" i="2"/>
  <c r="F3500" i="2" s="1"/>
  <c r="C3500" i="2"/>
  <c r="E3499" i="2"/>
  <c r="F3499" i="2" s="1"/>
  <c r="C3499" i="2"/>
  <c r="E3498" i="2"/>
  <c r="F3498" i="2" s="1"/>
  <c r="C3498" i="2"/>
  <c r="E3497" i="2"/>
  <c r="F3497" i="2" s="1"/>
  <c r="C3497" i="2"/>
  <c r="E3496" i="2"/>
  <c r="F3496" i="2" s="1"/>
  <c r="C3496" i="2"/>
  <c r="E3495" i="2"/>
  <c r="F3495" i="2" s="1"/>
  <c r="C3495" i="2"/>
  <c r="E3494" i="2"/>
  <c r="F3494" i="2" s="1"/>
  <c r="C3494" i="2"/>
  <c r="E3493" i="2"/>
  <c r="F3493" i="2" s="1"/>
  <c r="C3493" i="2"/>
  <c r="E3492" i="2"/>
  <c r="F3492" i="2" s="1"/>
  <c r="C3492" i="2"/>
  <c r="E3491" i="2"/>
  <c r="F3491" i="2" s="1"/>
  <c r="C3491" i="2"/>
  <c r="E3490" i="2"/>
  <c r="F3490" i="2" s="1"/>
  <c r="C3490" i="2"/>
  <c r="E3489" i="2"/>
  <c r="F3489" i="2" s="1"/>
  <c r="C3489" i="2"/>
  <c r="E3488" i="2"/>
  <c r="F3488" i="2" s="1"/>
  <c r="C3488" i="2"/>
  <c r="E3487" i="2"/>
  <c r="F3487" i="2" s="1"/>
  <c r="C3487" i="2"/>
  <c r="E3486" i="2"/>
  <c r="F3486" i="2" s="1"/>
  <c r="C3486" i="2"/>
  <c r="E3485" i="2"/>
  <c r="F3485" i="2" s="1"/>
  <c r="C3485" i="2"/>
  <c r="E3484" i="2"/>
  <c r="F3484" i="2" s="1"/>
  <c r="C3484" i="2"/>
  <c r="E3483" i="2"/>
  <c r="F3483" i="2" s="1"/>
  <c r="C3483" i="2"/>
  <c r="E3482" i="2"/>
  <c r="F3482" i="2" s="1"/>
  <c r="C3482" i="2"/>
  <c r="E3481" i="2"/>
  <c r="F3481" i="2" s="1"/>
  <c r="C3481" i="2"/>
  <c r="E3480" i="2"/>
  <c r="F3480" i="2" s="1"/>
  <c r="C3480" i="2"/>
  <c r="E3479" i="2"/>
  <c r="F3479" i="2" s="1"/>
  <c r="C3479" i="2"/>
  <c r="E3478" i="2"/>
  <c r="F3478" i="2" s="1"/>
  <c r="C3478" i="2"/>
  <c r="E3477" i="2"/>
  <c r="F3477" i="2" s="1"/>
  <c r="C3477" i="2"/>
  <c r="E3476" i="2"/>
  <c r="F3476" i="2" s="1"/>
  <c r="C3476" i="2"/>
  <c r="E3475" i="2"/>
  <c r="F3475" i="2" s="1"/>
  <c r="C3475" i="2"/>
  <c r="E3474" i="2"/>
  <c r="F3474" i="2" s="1"/>
  <c r="C3474" i="2"/>
  <c r="E3473" i="2"/>
  <c r="F3473" i="2" s="1"/>
  <c r="C3473" i="2"/>
  <c r="E3472" i="2"/>
  <c r="F3472" i="2" s="1"/>
  <c r="C3472" i="2"/>
  <c r="E3471" i="2"/>
  <c r="F3471" i="2" s="1"/>
  <c r="C3471" i="2"/>
  <c r="E3470" i="2"/>
  <c r="F3470" i="2" s="1"/>
  <c r="C3470" i="2"/>
  <c r="E3469" i="2"/>
  <c r="F3469" i="2" s="1"/>
  <c r="C3469" i="2"/>
  <c r="E3468" i="2"/>
  <c r="F3468" i="2" s="1"/>
  <c r="C3468" i="2"/>
  <c r="E3467" i="2"/>
  <c r="F3467" i="2" s="1"/>
  <c r="C3467" i="2"/>
  <c r="E3466" i="2"/>
  <c r="F3466" i="2" s="1"/>
  <c r="C3466" i="2"/>
  <c r="E3465" i="2"/>
  <c r="F3465" i="2" s="1"/>
  <c r="C3465" i="2"/>
  <c r="E3464" i="2"/>
  <c r="F3464" i="2" s="1"/>
  <c r="C3464" i="2"/>
  <c r="E3463" i="2"/>
  <c r="F3463" i="2" s="1"/>
  <c r="C3463" i="2"/>
  <c r="E3462" i="2"/>
  <c r="F3462" i="2" s="1"/>
  <c r="C3462" i="2"/>
  <c r="E3461" i="2"/>
  <c r="F3461" i="2" s="1"/>
  <c r="C3461" i="2"/>
  <c r="E3460" i="2"/>
  <c r="F3460" i="2" s="1"/>
  <c r="C3460" i="2"/>
  <c r="E3459" i="2"/>
  <c r="F3459" i="2" s="1"/>
  <c r="C3459" i="2"/>
  <c r="E3458" i="2"/>
  <c r="F3458" i="2" s="1"/>
  <c r="C3458" i="2"/>
  <c r="E3457" i="2"/>
  <c r="F3457" i="2" s="1"/>
  <c r="C3457" i="2"/>
  <c r="E3456" i="2"/>
  <c r="F3456" i="2" s="1"/>
  <c r="C3456" i="2"/>
  <c r="E3455" i="2"/>
  <c r="F3455" i="2" s="1"/>
  <c r="C3455" i="2"/>
  <c r="E3454" i="2"/>
  <c r="F3454" i="2" s="1"/>
  <c r="C3454" i="2"/>
  <c r="E3453" i="2"/>
  <c r="F3453" i="2" s="1"/>
  <c r="C3453" i="2"/>
  <c r="E3452" i="2"/>
  <c r="F3452" i="2" s="1"/>
  <c r="C3452" i="2"/>
  <c r="E3451" i="2"/>
  <c r="F3451" i="2" s="1"/>
  <c r="C3451" i="2"/>
  <c r="E3450" i="2"/>
  <c r="F3450" i="2" s="1"/>
  <c r="C3450" i="2"/>
  <c r="E3449" i="2"/>
  <c r="F3449" i="2" s="1"/>
  <c r="C3449" i="2"/>
  <c r="E3448" i="2"/>
  <c r="F3448" i="2" s="1"/>
  <c r="C3448" i="2"/>
  <c r="E3447" i="2"/>
  <c r="F3447" i="2" s="1"/>
  <c r="C3447" i="2"/>
  <c r="E3446" i="2"/>
  <c r="F3446" i="2" s="1"/>
  <c r="C3446" i="2"/>
  <c r="E3445" i="2"/>
  <c r="F3445" i="2" s="1"/>
  <c r="C3445" i="2"/>
  <c r="E3444" i="2"/>
  <c r="F3444" i="2" s="1"/>
  <c r="C3444" i="2"/>
  <c r="E3443" i="2"/>
  <c r="F3443" i="2" s="1"/>
  <c r="C3443" i="2"/>
  <c r="E3442" i="2"/>
  <c r="F3442" i="2" s="1"/>
  <c r="C3442" i="2"/>
  <c r="E3441" i="2"/>
  <c r="F3441" i="2" s="1"/>
  <c r="C3441" i="2"/>
  <c r="E3440" i="2"/>
  <c r="F3440" i="2" s="1"/>
  <c r="C3440" i="2"/>
  <c r="E3439" i="2"/>
  <c r="F3439" i="2" s="1"/>
  <c r="C3439" i="2"/>
  <c r="E3438" i="2"/>
  <c r="F3438" i="2" s="1"/>
  <c r="C3438" i="2"/>
  <c r="E3437" i="2"/>
  <c r="F3437" i="2" s="1"/>
  <c r="C3437" i="2"/>
  <c r="E3436" i="2"/>
  <c r="F3436" i="2" s="1"/>
  <c r="C3436" i="2"/>
  <c r="E3435" i="2"/>
  <c r="F3435" i="2" s="1"/>
  <c r="C3435" i="2"/>
  <c r="E3434" i="2"/>
  <c r="F3434" i="2" s="1"/>
  <c r="C3434" i="2"/>
  <c r="E3433" i="2"/>
  <c r="F3433" i="2" s="1"/>
  <c r="C3433" i="2"/>
  <c r="E3432" i="2"/>
  <c r="F3432" i="2" s="1"/>
  <c r="C3432" i="2"/>
  <c r="E3431" i="2"/>
  <c r="F3431" i="2" s="1"/>
  <c r="C3431" i="2"/>
  <c r="E3430" i="2"/>
  <c r="F3430" i="2" s="1"/>
  <c r="C3430" i="2"/>
  <c r="E3429" i="2"/>
  <c r="F3429" i="2" s="1"/>
  <c r="C3429" i="2"/>
  <c r="E3428" i="2"/>
  <c r="F3428" i="2" s="1"/>
  <c r="C3428" i="2"/>
  <c r="E3427" i="2"/>
  <c r="F3427" i="2" s="1"/>
  <c r="C3427" i="2"/>
  <c r="E3426" i="2"/>
  <c r="F3426" i="2" s="1"/>
  <c r="C3426" i="2"/>
  <c r="E3425" i="2"/>
  <c r="F3425" i="2" s="1"/>
  <c r="C3425" i="2"/>
  <c r="E3424" i="2"/>
  <c r="F3424" i="2" s="1"/>
  <c r="C3424" i="2"/>
  <c r="E3423" i="2"/>
  <c r="F3423" i="2" s="1"/>
  <c r="C3423" i="2"/>
  <c r="E3422" i="2"/>
  <c r="F3422" i="2" s="1"/>
  <c r="C3422" i="2"/>
  <c r="E3421" i="2"/>
  <c r="F3421" i="2" s="1"/>
  <c r="C3421" i="2"/>
  <c r="E3420" i="2"/>
  <c r="F3420" i="2" s="1"/>
  <c r="C3420" i="2"/>
  <c r="E3419" i="2"/>
  <c r="F3419" i="2" s="1"/>
  <c r="C3419" i="2"/>
  <c r="E3418" i="2"/>
  <c r="F3418" i="2" s="1"/>
  <c r="C3418" i="2"/>
  <c r="E3417" i="2"/>
  <c r="F3417" i="2" s="1"/>
  <c r="C3417" i="2"/>
  <c r="E3416" i="2"/>
  <c r="F3416" i="2" s="1"/>
  <c r="C3416" i="2"/>
  <c r="E3415" i="2"/>
  <c r="F3415" i="2" s="1"/>
  <c r="C3415" i="2"/>
  <c r="E3414" i="2"/>
  <c r="F3414" i="2" s="1"/>
  <c r="C3414" i="2"/>
  <c r="E3413" i="2"/>
  <c r="F3413" i="2" s="1"/>
  <c r="C3413" i="2"/>
  <c r="E3412" i="2"/>
  <c r="F3412" i="2" s="1"/>
  <c r="C3412" i="2"/>
  <c r="E3411" i="2"/>
  <c r="F3411" i="2" s="1"/>
  <c r="C3411" i="2"/>
  <c r="E3410" i="2"/>
  <c r="F3410" i="2" s="1"/>
  <c r="C3410" i="2"/>
  <c r="E3409" i="2"/>
  <c r="F3409" i="2" s="1"/>
  <c r="C3409" i="2"/>
  <c r="E3408" i="2"/>
  <c r="F3408" i="2" s="1"/>
  <c r="C3408" i="2"/>
  <c r="E3407" i="2"/>
  <c r="F3407" i="2" s="1"/>
  <c r="C3407" i="2"/>
  <c r="E3406" i="2"/>
  <c r="F3406" i="2" s="1"/>
  <c r="C3406" i="2"/>
  <c r="E3405" i="2"/>
  <c r="F3405" i="2" s="1"/>
  <c r="C3405" i="2"/>
  <c r="E3404" i="2"/>
  <c r="F3404" i="2" s="1"/>
  <c r="C3404" i="2"/>
  <c r="E3403" i="2"/>
  <c r="F3403" i="2" s="1"/>
  <c r="C3403" i="2"/>
  <c r="E3402" i="2"/>
  <c r="F3402" i="2" s="1"/>
  <c r="C3402" i="2"/>
  <c r="E3401" i="2"/>
  <c r="F3401" i="2" s="1"/>
  <c r="C3401" i="2"/>
  <c r="E3400" i="2"/>
  <c r="F3400" i="2" s="1"/>
  <c r="C3400" i="2"/>
  <c r="E3399" i="2"/>
  <c r="F3399" i="2" s="1"/>
  <c r="C3399" i="2"/>
  <c r="E3398" i="2"/>
  <c r="F3398" i="2" s="1"/>
  <c r="C3398" i="2"/>
  <c r="E3397" i="2"/>
  <c r="F3397" i="2" s="1"/>
  <c r="C3397" i="2"/>
  <c r="E3396" i="2"/>
  <c r="F3396" i="2" s="1"/>
  <c r="C3396" i="2"/>
  <c r="E3395" i="2"/>
  <c r="F3395" i="2" s="1"/>
  <c r="C3395" i="2"/>
  <c r="E3394" i="2"/>
  <c r="F3394" i="2" s="1"/>
  <c r="C3394" i="2"/>
  <c r="E3393" i="2"/>
  <c r="F3393" i="2" s="1"/>
  <c r="C3393" i="2"/>
  <c r="E3392" i="2"/>
  <c r="F3392" i="2" s="1"/>
  <c r="C3392" i="2"/>
  <c r="E3391" i="2"/>
  <c r="F3391" i="2" s="1"/>
  <c r="C3391" i="2"/>
  <c r="E3390" i="2"/>
  <c r="F3390" i="2" s="1"/>
  <c r="C3390" i="2"/>
  <c r="E3389" i="2"/>
  <c r="F3389" i="2" s="1"/>
  <c r="C3389" i="2"/>
  <c r="E3388" i="2"/>
  <c r="F3388" i="2" s="1"/>
  <c r="C3388" i="2"/>
  <c r="E3387" i="2"/>
  <c r="F3387" i="2" s="1"/>
  <c r="C3387" i="2"/>
  <c r="E3386" i="2"/>
  <c r="F3386" i="2" s="1"/>
  <c r="C3386" i="2"/>
  <c r="E3385" i="2"/>
  <c r="F3385" i="2" s="1"/>
  <c r="C3385" i="2"/>
  <c r="E3384" i="2"/>
  <c r="F3384" i="2" s="1"/>
  <c r="C3384" i="2"/>
  <c r="E3383" i="2"/>
  <c r="F3383" i="2" s="1"/>
  <c r="C3383" i="2"/>
  <c r="E3382" i="2"/>
  <c r="F3382" i="2" s="1"/>
  <c r="C3382" i="2"/>
  <c r="E3381" i="2"/>
  <c r="F3381" i="2" s="1"/>
  <c r="C3381" i="2"/>
  <c r="E3380" i="2"/>
  <c r="F3380" i="2" s="1"/>
  <c r="C3380" i="2"/>
  <c r="E3379" i="2"/>
  <c r="F3379" i="2" s="1"/>
  <c r="C3379" i="2"/>
  <c r="E3378" i="2"/>
  <c r="F3378" i="2" s="1"/>
  <c r="C3378" i="2"/>
  <c r="E3377" i="2"/>
  <c r="F3377" i="2" s="1"/>
  <c r="C3377" i="2"/>
  <c r="E3376" i="2"/>
  <c r="F3376" i="2" s="1"/>
  <c r="C3376" i="2"/>
  <c r="E3375" i="2"/>
  <c r="F3375" i="2" s="1"/>
  <c r="C3375" i="2"/>
  <c r="E3374" i="2"/>
  <c r="F3374" i="2" s="1"/>
  <c r="C3374" i="2"/>
  <c r="E3373" i="2"/>
  <c r="F3373" i="2" s="1"/>
  <c r="C3373" i="2"/>
  <c r="E3372" i="2"/>
  <c r="F3372" i="2" s="1"/>
  <c r="C3372" i="2"/>
  <c r="E3371" i="2"/>
  <c r="F3371" i="2" s="1"/>
  <c r="C3371" i="2"/>
  <c r="E3370" i="2"/>
  <c r="F3370" i="2" s="1"/>
  <c r="C3370" i="2"/>
  <c r="E3369" i="2"/>
  <c r="F3369" i="2" s="1"/>
  <c r="C3369" i="2"/>
  <c r="E3368" i="2"/>
  <c r="F3368" i="2" s="1"/>
  <c r="C3368" i="2"/>
  <c r="E3367" i="2"/>
  <c r="F3367" i="2" s="1"/>
  <c r="C3367" i="2"/>
  <c r="E3366" i="2"/>
  <c r="F3366" i="2" s="1"/>
  <c r="C3366" i="2"/>
  <c r="E3365" i="2"/>
  <c r="F3365" i="2" s="1"/>
  <c r="C3365" i="2"/>
  <c r="E3364" i="2"/>
  <c r="F3364" i="2" s="1"/>
  <c r="C3364" i="2"/>
  <c r="E3363" i="2"/>
  <c r="F3363" i="2" s="1"/>
  <c r="C3363" i="2"/>
  <c r="E3362" i="2"/>
  <c r="F3362" i="2" s="1"/>
  <c r="C3362" i="2"/>
  <c r="E3361" i="2"/>
  <c r="F3361" i="2" s="1"/>
  <c r="C3361" i="2"/>
  <c r="E3360" i="2"/>
  <c r="F3360" i="2" s="1"/>
  <c r="C3360" i="2"/>
  <c r="E3359" i="2"/>
  <c r="F3359" i="2" s="1"/>
  <c r="C3359" i="2"/>
  <c r="E3358" i="2"/>
  <c r="F3358" i="2" s="1"/>
  <c r="C3358" i="2"/>
  <c r="E3357" i="2"/>
  <c r="F3357" i="2" s="1"/>
  <c r="C3357" i="2"/>
  <c r="E3356" i="2"/>
  <c r="F3356" i="2" s="1"/>
  <c r="C3356" i="2"/>
  <c r="E3355" i="2"/>
  <c r="F3355" i="2" s="1"/>
  <c r="C3355" i="2"/>
  <c r="E3354" i="2"/>
  <c r="F3354" i="2" s="1"/>
  <c r="C3354" i="2"/>
  <c r="E3353" i="2"/>
  <c r="F3353" i="2" s="1"/>
  <c r="C3353" i="2"/>
  <c r="E3352" i="2"/>
  <c r="F3352" i="2" s="1"/>
  <c r="C3352" i="2"/>
  <c r="E3351" i="2"/>
  <c r="F3351" i="2" s="1"/>
  <c r="C3351" i="2"/>
  <c r="E3350" i="2"/>
  <c r="F3350" i="2" s="1"/>
  <c r="C3350" i="2"/>
  <c r="E3349" i="2"/>
  <c r="F3349" i="2" s="1"/>
  <c r="C3349" i="2"/>
  <c r="E3348" i="2"/>
  <c r="F3348" i="2" s="1"/>
  <c r="C3348" i="2"/>
  <c r="E3347" i="2"/>
  <c r="F3347" i="2" s="1"/>
  <c r="C3347" i="2"/>
  <c r="E3346" i="2"/>
  <c r="F3346" i="2" s="1"/>
  <c r="C3346" i="2"/>
  <c r="E3345" i="2"/>
  <c r="F3345" i="2" s="1"/>
  <c r="C3345" i="2"/>
  <c r="E3344" i="2"/>
  <c r="F3344" i="2" s="1"/>
  <c r="C3344" i="2"/>
  <c r="E3343" i="2"/>
  <c r="F3343" i="2" s="1"/>
  <c r="C3343" i="2"/>
  <c r="E3342" i="2"/>
  <c r="F3342" i="2" s="1"/>
  <c r="C3342" i="2"/>
  <c r="E3341" i="2"/>
  <c r="F3341" i="2" s="1"/>
  <c r="C3341" i="2"/>
  <c r="E3340" i="2"/>
  <c r="F3340" i="2" s="1"/>
  <c r="C3340" i="2"/>
  <c r="E3339" i="2"/>
  <c r="F3339" i="2" s="1"/>
  <c r="C3339" i="2"/>
  <c r="E3338" i="2"/>
  <c r="F3338" i="2" s="1"/>
  <c r="C3338" i="2"/>
  <c r="E3337" i="2"/>
  <c r="F3337" i="2" s="1"/>
  <c r="C3337" i="2"/>
  <c r="E3336" i="2"/>
  <c r="F3336" i="2" s="1"/>
  <c r="C3336" i="2"/>
  <c r="E3335" i="2"/>
  <c r="F3335" i="2" s="1"/>
  <c r="C3335" i="2"/>
  <c r="E3334" i="2"/>
  <c r="F3334" i="2" s="1"/>
  <c r="C3334" i="2"/>
  <c r="E3333" i="2"/>
  <c r="F3333" i="2" s="1"/>
  <c r="C3333" i="2"/>
  <c r="E3332" i="2"/>
  <c r="F3332" i="2" s="1"/>
  <c r="C3332" i="2"/>
  <c r="E3331" i="2"/>
  <c r="F3331" i="2" s="1"/>
  <c r="C3331" i="2"/>
  <c r="E3330" i="2"/>
  <c r="F3330" i="2" s="1"/>
  <c r="C3330" i="2"/>
  <c r="E3329" i="2"/>
  <c r="F3329" i="2" s="1"/>
  <c r="C3329" i="2"/>
  <c r="E3328" i="2"/>
  <c r="F3328" i="2" s="1"/>
  <c r="C3328" i="2"/>
  <c r="E3327" i="2"/>
  <c r="F3327" i="2" s="1"/>
  <c r="C3327" i="2"/>
  <c r="E3326" i="2"/>
  <c r="F3326" i="2" s="1"/>
  <c r="C3326" i="2"/>
  <c r="E3325" i="2"/>
  <c r="F3325" i="2" s="1"/>
  <c r="C3325" i="2"/>
  <c r="E3324" i="2"/>
  <c r="F3324" i="2" s="1"/>
  <c r="C3324" i="2"/>
  <c r="E3323" i="2"/>
  <c r="F3323" i="2" s="1"/>
  <c r="C3323" i="2"/>
  <c r="E3322" i="2"/>
  <c r="F3322" i="2" s="1"/>
  <c r="C3322" i="2"/>
  <c r="E3321" i="2"/>
  <c r="F3321" i="2" s="1"/>
  <c r="C3321" i="2"/>
  <c r="E3320" i="2"/>
  <c r="F3320" i="2" s="1"/>
  <c r="C3320" i="2"/>
  <c r="E3319" i="2"/>
  <c r="F3319" i="2" s="1"/>
  <c r="C3319" i="2"/>
  <c r="E3318" i="2"/>
  <c r="F3318" i="2" s="1"/>
  <c r="C3318" i="2"/>
  <c r="E3317" i="2"/>
  <c r="F3317" i="2" s="1"/>
  <c r="C3317" i="2"/>
  <c r="E3316" i="2"/>
  <c r="F3316" i="2" s="1"/>
  <c r="C3316" i="2"/>
  <c r="E3315" i="2"/>
  <c r="F3315" i="2" s="1"/>
  <c r="C3315" i="2"/>
  <c r="E3314" i="2"/>
  <c r="F3314" i="2" s="1"/>
  <c r="C3314" i="2"/>
  <c r="E3313" i="2"/>
  <c r="F3313" i="2" s="1"/>
  <c r="C3313" i="2"/>
  <c r="E3312" i="2"/>
  <c r="F3312" i="2" s="1"/>
  <c r="C3312" i="2"/>
  <c r="E3311" i="2"/>
  <c r="F3311" i="2" s="1"/>
  <c r="C3311" i="2"/>
  <c r="E3310" i="2"/>
  <c r="F3310" i="2" s="1"/>
  <c r="C3310" i="2"/>
  <c r="E3309" i="2"/>
  <c r="F3309" i="2" s="1"/>
  <c r="C3309" i="2"/>
  <c r="E3308" i="2"/>
  <c r="F3308" i="2" s="1"/>
  <c r="C3308" i="2"/>
  <c r="E3307" i="2"/>
  <c r="F3307" i="2" s="1"/>
  <c r="C3307" i="2"/>
  <c r="E3306" i="2"/>
  <c r="F3306" i="2" s="1"/>
  <c r="C3306" i="2"/>
  <c r="E3305" i="2"/>
  <c r="F3305" i="2" s="1"/>
  <c r="C3305" i="2"/>
  <c r="E3304" i="2"/>
  <c r="F3304" i="2" s="1"/>
  <c r="C3304" i="2"/>
  <c r="E3303" i="2"/>
  <c r="F3303" i="2" s="1"/>
  <c r="C3303" i="2"/>
  <c r="E3302" i="2"/>
  <c r="F3302" i="2" s="1"/>
  <c r="C3302" i="2"/>
  <c r="E3301" i="2"/>
  <c r="F3301" i="2" s="1"/>
  <c r="C3301" i="2"/>
  <c r="E3300" i="2"/>
  <c r="F3300" i="2" s="1"/>
  <c r="C3300" i="2"/>
  <c r="E3299" i="2"/>
  <c r="F3299" i="2" s="1"/>
  <c r="C3299" i="2"/>
  <c r="E3298" i="2"/>
  <c r="F3298" i="2" s="1"/>
  <c r="C3298" i="2"/>
  <c r="E3297" i="2"/>
  <c r="F3297" i="2" s="1"/>
  <c r="C3297" i="2"/>
  <c r="E3296" i="2"/>
  <c r="F3296" i="2" s="1"/>
  <c r="C3296" i="2"/>
  <c r="E3295" i="2"/>
  <c r="F3295" i="2" s="1"/>
  <c r="C3295" i="2"/>
  <c r="E3294" i="2"/>
  <c r="F3294" i="2" s="1"/>
  <c r="C3294" i="2"/>
  <c r="E3293" i="2"/>
  <c r="F3293" i="2" s="1"/>
  <c r="C3293" i="2"/>
  <c r="E3292" i="2"/>
  <c r="F3292" i="2" s="1"/>
  <c r="C3292" i="2"/>
  <c r="E3291" i="2"/>
  <c r="F3291" i="2" s="1"/>
  <c r="C3291" i="2"/>
  <c r="E3290" i="2"/>
  <c r="F3290" i="2" s="1"/>
  <c r="C3290" i="2"/>
  <c r="E3289" i="2"/>
  <c r="F3289" i="2" s="1"/>
  <c r="C3289" i="2"/>
  <c r="E3288" i="2"/>
  <c r="F3288" i="2" s="1"/>
  <c r="C3288" i="2"/>
  <c r="E3287" i="2"/>
  <c r="F3287" i="2" s="1"/>
  <c r="C3287" i="2"/>
  <c r="E3286" i="2"/>
  <c r="F3286" i="2" s="1"/>
  <c r="C3286" i="2"/>
  <c r="E3285" i="2"/>
  <c r="F3285" i="2" s="1"/>
  <c r="C3285" i="2"/>
  <c r="E3284" i="2"/>
  <c r="F3284" i="2" s="1"/>
  <c r="C3284" i="2"/>
  <c r="E3283" i="2"/>
  <c r="F3283" i="2" s="1"/>
  <c r="C3283" i="2"/>
  <c r="E3282" i="2"/>
  <c r="F3282" i="2" s="1"/>
  <c r="C3282" i="2"/>
  <c r="E3281" i="2"/>
  <c r="F3281" i="2" s="1"/>
  <c r="C3281" i="2"/>
  <c r="E3280" i="2"/>
  <c r="F3280" i="2" s="1"/>
  <c r="C3280" i="2"/>
  <c r="E3279" i="2"/>
  <c r="F3279" i="2" s="1"/>
  <c r="C3279" i="2"/>
  <c r="E3278" i="2"/>
  <c r="F3278" i="2" s="1"/>
  <c r="C3278" i="2"/>
  <c r="E3277" i="2"/>
  <c r="F3277" i="2" s="1"/>
  <c r="C3277" i="2"/>
  <c r="E3276" i="2"/>
  <c r="F3276" i="2" s="1"/>
  <c r="C3276" i="2"/>
  <c r="E3275" i="2"/>
  <c r="F3275" i="2" s="1"/>
  <c r="C3275" i="2"/>
  <c r="E3274" i="2"/>
  <c r="F3274" i="2" s="1"/>
  <c r="C3274" i="2"/>
  <c r="E3273" i="2"/>
  <c r="F3273" i="2" s="1"/>
  <c r="C3273" i="2"/>
  <c r="E3272" i="2"/>
  <c r="F3272" i="2" s="1"/>
  <c r="C3272" i="2"/>
  <c r="E3271" i="2"/>
  <c r="F3271" i="2" s="1"/>
  <c r="C3271" i="2"/>
  <c r="E3270" i="2"/>
  <c r="F3270" i="2" s="1"/>
  <c r="C3270" i="2"/>
  <c r="E3269" i="2"/>
  <c r="F3269" i="2" s="1"/>
  <c r="C3269" i="2"/>
  <c r="E3268" i="2"/>
  <c r="F3268" i="2" s="1"/>
  <c r="C3268" i="2"/>
  <c r="E3267" i="2"/>
  <c r="F3267" i="2" s="1"/>
  <c r="C3267" i="2"/>
  <c r="E3266" i="2"/>
  <c r="F3266" i="2" s="1"/>
  <c r="C3266" i="2"/>
  <c r="E3265" i="2"/>
  <c r="F3265" i="2" s="1"/>
  <c r="C3265" i="2"/>
  <c r="E3264" i="2"/>
  <c r="F3264" i="2" s="1"/>
  <c r="C3264" i="2"/>
  <c r="E3263" i="2"/>
  <c r="F3263" i="2" s="1"/>
  <c r="C3263" i="2"/>
  <c r="E3262" i="2"/>
  <c r="F3262" i="2" s="1"/>
  <c r="C3262" i="2"/>
  <c r="E3261" i="2"/>
  <c r="F3261" i="2" s="1"/>
  <c r="C3261" i="2"/>
  <c r="E3260" i="2"/>
  <c r="F3260" i="2" s="1"/>
  <c r="C3260" i="2"/>
  <c r="E3259" i="2"/>
  <c r="F3259" i="2" s="1"/>
  <c r="C3259" i="2"/>
  <c r="E3258" i="2"/>
  <c r="F3258" i="2" s="1"/>
  <c r="C3258" i="2"/>
  <c r="E3257" i="2"/>
  <c r="F3257" i="2" s="1"/>
  <c r="C3257" i="2"/>
  <c r="E3256" i="2"/>
  <c r="F3256" i="2" s="1"/>
  <c r="C3256" i="2"/>
  <c r="E3255" i="2"/>
  <c r="F3255" i="2" s="1"/>
  <c r="C3255" i="2"/>
  <c r="E3254" i="2"/>
  <c r="F3254" i="2" s="1"/>
  <c r="C3254" i="2"/>
  <c r="E3253" i="2"/>
  <c r="F3253" i="2" s="1"/>
  <c r="C3253" i="2"/>
  <c r="E3252" i="2"/>
  <c r="F3252" i="2" s="1"/>
  <c r="C3252" i="2"/>
  <c r="E3251" i="2"/>
  <c r="F3251" i="2" s="1"/>
  <c r="C3251" i="2"/>
  <c r="E3250" i="2"/>
  <c r="F3250" i="2" s="1"/>
  <c r="C3250" i="2"/>
  <c r="E3249" i="2"/>
  <c r="F3249" i="2" s="1"/>
  <c r="C3249" i="2"/>
  <c r="E3248" i="2"/>
  <c r="F3248" i="2" s="1"/>
  <c r="C3248" i="2"/>
  <c r="E3247" i="2"/>
  <c r="F3247" i="2" s="1"/>
  <c r="C3247" i="2"/>
  <c r="E3246" i="2"/>
  <c r="F3246" i="2" s="1"/>
  <c r="C3246" i="2"/>
  <c r="E3245" i="2"/>
  <c r="F3245" i="2" s="1"/>
  <c r="C3245" i="2"/>
  <c r="E3244" i="2"/>
  <c r="F3244" i="2" s="1"/>
  <c r="C3244" i="2"/>
  <c r="E3243" i="2"/>
  <c r="F3243" i="2" s="1"/>
  <c r="C3243" i="2"/>
  <c r="E3242" i="2"/>
  <c r="F3242" i="2" s="1"/>
  <c r="C3242" i="2"/>
  <c r="E3241" i="2"/>
  <c r="F3241" i="2" s="1"/>
  <c r="C3241" i="2"/>
  <c r="E3240" i="2"/>
  <c r="F3240" i="2" s="1"/>
  <c r="C3240" i="2"/>
  <c r="E3239" i="2"/>
  <c r="F3239" i="2" s="1"/>
  <c r="C3239" i="2"/>
  <c r="E3238" i="2"/>
  <c r="F3238" i="2" s="1"/>
  <c r="C3238" i="2"/>
  <c r="E3237" i="2"/>
  <c r="F3237" i="2" s="1"/>
  <c r="C3237" i="2"/>
  <c r="E3236" i="2"/>
  <c r="F3236" i="2" s="1"/>
  <c r="C3236" i="2"/>
  <c r="E3235" i="2"/>
  <c r="F3235" i="2" s="1"/>
  <c r="C3235" i="2"/>
  <c r="E3234" i="2"/>
  <c r="F3234" i="2" s="1"/>
  <c r="C3234" i="2"/>
  <c r="E3233" i="2"/>
  <c r="F3233" i="2" s="1"/>
  <c r="C3233" i="2"/>
  <c r="E3232" i="2"/>
  <c r="F3232" i="2" s="1"/>
  <c r="C3232" i="2"/>
  <c r="E3231" i="2"/>
  <c r="F3231" i="2" s="1"/>
  <c r="C3231" i="2"/>
  <c r="E3230" i="2"/>
  <c r="F3230" i="2" s="1"/>
  <c r="C3230" i="2"/>
  <c r="E3229" i="2"/>
  <c r="F3229" i="2" s="1"/>
  <c r="C3229" i="2"/>
  <c r="E3228" i="2"/>
  <c r="F3228" i="2" s="1"/>
  <c r="C3228" i="2"/>
  <c r="E3227" i="2"/>
  <c r="F3227" i="2" s="1"/>
  <c r="C3227" i="2"/>
  <c r="E3226" i="2"/>
  <c r="F3226" i="2" s="1"/>
  <c r="C3226" i="2"/>
  <c r="E3225" i="2"/>
  <c r="F3225" i="2" s="1"/>
  <c r="C3225" i="2"/>
  <c r="E3224" i="2"/>
  <c r="F3224" i="2" s="1"/>
  <c r="C3224" i="2"/>
  <c r="E3223" i="2"/>
  <c r="F3223" i="2" s="1"/>
  <c r="C3223" i="2"/>
  <c r="E3222" i="2"/>
  <c r="F3222" i="2" s="1"/>
  <c r="C3222" i="2"/>
  <c r="E3221" i="2"/>
  <c r="F3221" i="2" s="1"/>
  <c r="C3221" i="2"/>
  <c r="E3220" i="2"/>
  <c r="F3220" i="2" s="1"/>
  <c r="C3220" i="2"/>
  <c r="E3219" i="2"/>
  <c r="F3219" i="2" s="1"/>
  <c r="C3219" i="2"/>
  <c r="E3218" i="2"/>
  <c r="F3218" i="2" s="1"/>
  <c r="C3218" i="2"/>
  <c r="E3217" i="2"/>
  <c r="F3217" i="2" s="1"/>
  <c r="C3217" i="2"/>
  <c r="E3216" i="2"/>
  <c r="F3216" i="2" s="1"/>
  <c r="C3216" i="2"/>
  <c r="E3215" i="2"/>
  <c r="F3215" i="2" s="1"/>
  <c r="C3215" i="2"/>
  <c r="E3214" i="2"/>
  <c r="F3214" i="2" s="1"/>
  <c r="C3214" i="2"/>
  <c r="E3213" i="2"/>
  <c r="F3213" i="2" s="1"/>
  <c r="C3213" i="2"/>
  <c r="E3212" i="2"/>
  <c r="F3212" i="2" s="1"/>
  <c r="C3212" i="2"/>
  <c r="E3211" i="2"/>
  <c r="F3211" i="2" s="1"/>
  <c r="C3211" i="2"/>
  <c r="E3210" i="2"/>
  <c r="F3210" i="2" s="1"/>
  <c r="C3210" i="2"/>
  <c r="E3209" i="2"/>
  <c r="F3209" i="2" s="1"/>
  <c r="C3209" i="2"/>
  <c r="E3208" i="2"/>
  <c r="F3208" i="2" s="1"/>
  <c r="C3208" i="2"/>
  <c r="E3207" i="2"/>
  <c r="F3207" i="2" s="1"/>
  <c r="C3207" i="2"/>
  <c r="E3206" i="2"/>
  <c r="F3206" i="2" s="1"/>
  <c r="C3206" i="2"/>
  <c r="E3205" i="2"/>
  <c r="F3205" i="2" s="1"/>
  <c r="C3205" i="2"/>
  <c r="E3204" i="2"/>
  <c r="F3204" i="2" s="1"/>
  <c r="C3204" i="2"/>
  <c r="E3203" i="2"/>
  <c r="F3203" i="2" s="1"/>
  <c r="C3203" i="2"/>
  <c r="E3202" i="2"/>
  <c r="F3202" i="2" s="1"/>
  <c r="C3202" i="2"/>
  <c r="E3201" i="2"/>
  <c r="F3201" i="2" s="1"/>
  <c r="C3201" i="2"/>
  <c r="E3200" i="2"/>
  <c r="F3200" i="2" s="1"/>
  <c r="C3200" i="2"/>
  <c r="E3199" i="2"/>
  <c r="F3199" i="2" s="1"/>
  <c r="C3199" i="2"/>
  <c r="E3198" i="2"/>
  <c r="F3198" i="2" s="1"/>
  <c r="C3198" i="2"/>
  <c r="E3197" i="2"/>
  <c r="F3197" i="2" s="1"/>
  <c r="C3197" i="2"/>
  <c r="E3196" i="2"/>
  <c r="F3196" i="2" s="1"/>
  <c r="C3196" i="2"/>
  <c r="E3195" i="2"/>
  <c r="F3195" i="2" s="1"/>
  <c r="C3195" i="2"/>
  <c r="E3194" i="2"/>
  <c r="F3194" i="2" s="1"/>
  <c r="C3194" i="2"/>
  <c r="E3193" i="2"/>
  <c r="F3193" i="2" s="1"/>
  <c r="C3193" i="2"/>
  <c r="E3192" i="2"/>
  <c r="F3192" i="2" s="1"/>
  <c r="C3192" i="2"/>
  <c r="E3191" i="2"/>
  <c r="F3191" i="2" s="1"/>
  <c r="C3191" i="2"/>
  <c r="E3190" i="2"/>
  <c r="F3190" i="2" s="1"/>
  <c r="C3190" i="2"/>
  <c r="E3189" i="2"/>
  <c r="F3189" i="2" s="1"/>
  <c r="C3189" i="2"/>
  <c r="E3188" i="2"/>
  <c r="F3188" i="2" s="1"/>
  <c r="C3188" i="2"/>
  <c r="E3187" i="2"/>
  <c r="F3187" i="2" s="1"/>
  <c r="C3187" i="2"/>
  <c r="E3186" i="2"/>
  <c r="F3186" i="2" s="1"/>
  <c r="C3186" i="2"/>
  <c r="E3185" i="2"/>
  <c r="F3185" i="2" s="1"/>
  <c r="C3185" i="2"/>
  <c r="E3184" i="2"/>
  <c r="F3184" i="2" s="1"/>
  <c r="C3184" i="2"/>
  <c r="E3183" i="2"/>
  <c r="F3183" i="2" s="1"/>
  <c r="C3183" i="2"/>
  <c r="E3182" i="2"/>
  <c r="F3182" i="2" s="1"/>
  <c r="C3182" i="2"/>
  <c r="E3181" i="2"/>
  <c r="F3181" i="2" s="1"/>
  <c r="C3181" i="2"/>
  <c r="E3180" i="2"/>
  <c r="F3180" i="2" s="1"/>
  <c r="C3180" i="2"/>
  <c r="E3179" i="2"/>
  <c r="F3179" i="2" s="1"/>
  <c r="C3179" i="2"/>
  <c r="E3178" i="2"/>
  <c r="F3178" i="2" s="1"/>
  <c r="C3178" i="2"/>
  <c r="E3177" i="2"/>
  <c r="F3177" i="2" s="1"/>
  <c r="C3177" i="2"/>
  <c r="E3176" i="2"/>
  <c r="F3176" i="2" s="1"/>
  <c r="C3176" i="2"/>
  <c r="E3175" i="2"/>
  <c r="F3175" i="2" s="1"/>
  <c r="C3175" i="2"/>
  <c r="E3174" i="2"/>
  <c r="F3174" i="2" s="1"/>
  <c r="C3174" i="2"/>
  <c r="E3173" i="2"/>
  <c r="F3173" i="2" s="1"/>
  <c r="C3173" i="2"/>
  <c r="E3172" i="2"/>
  <c r="F3172" i="2" s="1"/>
  <c r="C3172" i="2"/>
  <c r="E3171" i="2"/>
  <c r="F3171" i="2" s="1"/>
  <c r="C3171" i="2"/>
  <c r="E3170" i="2"/>
  <c r="F3170" i="2" s="1"/>
  <c r="C3170" i="2"/>
  <c r="E3169" i="2"/>
  <c r="F3169" i="2" s="1"/>
  <c r="C3169" i="2"/>
  <c r="E3168" i="2"/>
  <c r="F3168" i="2" s="1"/>
  <c r="C3168" i="2"/>
  <c r="E3167" i="2"/>
  <c r="F3167" i="2" s="1"/>
  <c r="C3167" i="2"/>
  <c r="E3166" i="2"/>
  <c r="F3166" i="2" s="1"/>
  <c r="C3166" i="2"/>
  <c r="E3165" i="2"/>
  <c r="F3165" i="2" s="1"/>
  <c r="C3165" i="2"/>
  <c r="E3164" i="2"/>
  <c r="F3164" i="2" s="1"/>
  <c r="C3164" i="2"/>
  <c r="E3163" i="2"/>
  <c r="F3163" i="2" s="1"/>
  <c r="C3163" i="2"/>
  <c r="E3162" i="2"/>
  <c r="F3162" i="2" s="1"/>
  <c r="C3162" i="2"/>
  <c r="E3161" i="2"/>
  <c r="F3161" i="2" s="1"/>
  <c r="C3161" i="2"/>
  <c r="E3160" i="2"/>
  <c r="F3160" i="2" s="1"/>
  <c r="C3160" i="2"/>
  <c r="E3159" i="2"/>
  <c r="F3159" i="2" s="1"/>
  <c r="C3159" i="2"/>
  <c r="E3158" i="2"/>
  <c r="F3158" i="2" s="1"/>
  <c r="C3158" i="2"/>
  <c r="E3157" i="2"/>
  <c r="F3157" i="2" s="1"/>
  <c r="C3157" i="2"/>
  <c r="E3156" i="2"/>
  <c r="F3156" i="2" s="1"/>
  <c r="C3156" i="2"/>
  <c r="E3155" i="2"/>
  <c r="F3155" i="2" s="1"/>
  <c r="C3155" i="2"/>
  <c r="E3154" i="2"/>
  <c r="F3154" i="2" s="1"/>
  <c r="C3154" i="2"/>
  <c r="E3153" i="2"/>
  <c r="F3153" i="2" s="1"/>
  <c r="C3153" i="2"/>
  <c r="E3152" i="2"/>
  <c r="F3152" i="2" s="1"/>
  <c r="C3152" i="2"/>
  <c r="E3151" i="2"/>
  <c r="F3151" i="2" s="1"/>
  <c r="C3151" i="2"/>
  <c r="E3150" i="2"/>
  <c r="F3150" i="2" s="1"/>
  <c r="C3150" i="2"/>
  <c r="E3149" i="2"/>
  <c r="F3149" i="2" s="1"/>
  <c r="C3149" i="2"/>
  <c r="E3148" i="2"/>
  <c r="F3148" i="2" s="1"/>
  <c r="C3148" i="2"/>
  <c r="E3147" i="2"/>
  <c r="F3147" i="2" s="1"/>
  <c r="C3147" i="2"/>
  <c r="E3146" i="2"/>
  <c r="F3146" i="2" s="1"/>
  <c r="C3146" i="2"/>
  <c r="E3145" i="2"/>
  <c r="F3145" i="2" s="1"/>
  <c r="C3145" i="2"/>
  <c r="E3144" i="2"/>
  <c r="F3144" i="2" s="1"/>
  <c r="C3144" i="2"/>
  <c r="E3143" i="2"/>
  <c r="F3143" i="2" s="1"/>
  <c r="C3143" i="2"/>
  <c r="E3142" i="2"/>
  <c r="F3142" i="2" s="1"/>
  <c r="C3142" i="2"/>
  <c r="E3141" i="2"/>
  <c r="F3141" i="2" s="1"/>
  <c r="C3141" i="2"/>
  <c r="E3140" i="2"/>
  <c r="F3140" i="2" s="1"/>
  <c r="C3140" i="2"/>
  <c r="E3139" i="2"/>
  <c r="F3139" i="2" s="1"/>
  <c r="C3139" i="2"/>
  <c r="E3138" i="2"/>
  <c r="F3138" i="2" s="1"/>
  <c r="C3138" i="2"/>
  <c r="E3137" i="2"/>
  <c r="F3137" i="2" s="1"/>
  <c r="C3137" i="2"/>
  <c r="E3136" i="2"/>
  <c r="F3136" i="2" s="1"/>
  <c r="C3136" i="2"/>
  <c r="E3135" i="2"/>
  <c r="F3135" i="2" s="1"/>
  <c r="C3135" i="2"/>
  <c r="E3134" i="2"/>
  <c r="F3134" i="2" s="1"/>
  <c r="C3134" i="2"/>
  <c r="E3133" i="2"/>
  <c r="F3133" i="2" s="1"/>
  <c r="C3133" i="2"/>
  <c r="E3132" i="2"/>
  <c r="F3132" i="2" s="1"/>
  <c r="C3132" i="2"/>
  <c r="E3131" i="2"/>
  <c r="F3131" i="2" s="1"/>
  <c r="C3131" i="2"/>
  <c r="E3130" i="2"/>
  <c r="F3130" i="2" s="1"/>
  <c r="C3130" i="2"/>
  <c r="E3129" i="2"/>
  <c r="F3129" i="2" s="1"/>
  <c r="C3129" i="2"/>
  <c r="E3128" i="2"/>
  <c r="F3128" i="2" s="1"/>
  <c r="C3128" i="2"/>
  <c r="E3127" i="2"/>
  <c r="F3127" i="2" s="1"/>
  <c r="C3127" i="2"/>
  <c r="E3126" i="2"/>
  <c r="F3126" i="2" s="1"/>
  <c r="C3126" i="2"/>
  <c r="E3125" i="2"/>
  <c r="F3125" i="2" s="1"/>
  <c r="C3125" i="2"/>
  <c r="E3124" i="2"/>
  <c r="F3124" i="2" s="1"/>
  <c r="C3124" i="2"/>
  <c r="E3123" i="2"/>
  <c r="F3123" i="2" s="1"/>
  <c r="C3123" i="2"/>
  <c r="E3122" i="2"/>
  <c r="F3122" i="2" s="1"/>
  <c r="C3122" i="2"/>
  <c r="E3121" i="2"/>
  <c r="F3121" i="2" s="1"/>
  <c r="C3121" i="2"/>
  <c r="E3120" i="2"/>
  <c r="F3120" i="2" s="1"/>
  <c r="C3120" i="2"/>
  <c r="E3119" i="2"/>
  <c r="F3119" i="2" s="1"/>
  <c r="C3119" i="2"/>
  <c r="E3118" i="2"/>
  <c r="F3118" i="2" s="1"/>
  <c r="C3118" i="2"/>
  <c r="E3117" i="2"/>
  <c r="F3117" i="2" s="1"/>
  <c r="C3117" i="2"/>
  <c r="E3116" i="2"/>
  <c r="F3116" i="2" s="1"/>
  <c r="C3116" i="2"/>
  <c r="E3115" i="2"/>
  <c r="F3115" i="2" s="1"/>
  <c r="C3115" i="2"/>
  <c r="E3114" i="2"/>
  <c r="F3114" i="2" s="1"/>
  <c r="C3114" i="2"/>
  <c r="E3113" i="2"/>
  <c r="F3113" i="2" s="1"/>
  <c r="C3113" i="2"/>
  <c r="E3112" i="2"/>
  <c r="F3112" i="2" s="1"/>
  <c r="C3112" i="2"/>
  <c r="E3111" i="2"/>
  <c r="F3111" i="2" s="1"/>
  <c r="C3111" i="2"/>
  <c r="E3110" i="2"/>
  <c r="F3110" i="2" s="1"/>
  <c r="C3110" i="2"/>
  <c r="E3109" i="2"/>
  <c r="F3109" i="2" s="1"/>
  <c r="C3109" i="2"/>
  <c r="E3108" i="2"/>
  <c r="F3108" i="2" s="1"/>
  <c r="C3108" i="2"/>
  <c r="E3107" i="2"/>
  <c r="F3107" i="2" s="1"/>
  <c r="C3107" i="2"/>
  <c r="E3106" i="2"/>
  <c r="F3106" i="2" s="1"/>
  <c r="C3106" i="2"/>
  <c r="E3105" i="2"/>
  <c r="F3105" i="2" s="1"/>
  <c r="C3105" i="2"/>
  <c r="E3104" i="2"/>
  <c r="F3104" i="2" s="1"/>
  <c r="C3104" i="2"/>
  <c r="E3103" i="2"/>
  <c r="F3103" i="2" s="1"/>
  <c r="C3103" i="2"/>
  <c r="E3102" i="2"/>
  <c r="F3102" i="2" s="1"/>
  <c r="C3102" i="2"/>
  <c r="E3101" i="2"/>
  <c r="F3101" i="2" s="1"/>
  <c r="C3101" i="2"/>
  <c r="E3100" i="2"/>
  <c r="F3100" i="2" s="1"/>
  <c r="C3100" i="2"/>
  <c r="E3099" i="2"/>
  <c r="F3099" i="2" s="1"/>
  <c r="C3099" i="2"/>
  <c r="E3098" i="2"/>
  <c r="F3098" i="2" s="1"/>
  <c r="C3098" i="2"/>
  <c r="E3097" i="2"/>
  <c r="F3097" i="2" s="1"/>
  <c r="C3097" i="2"/>
  <c r="E3096" i="2"/>
  <c r="F3096" i="2" s="1"/>
  <c r="C3096" i="2"/>
  <c r="E3095" i="2"/>
  <c r="F3095" i="2" s="1"/>
  <c r="C3095" i="2"/>
  <c r="E3094" i="2"/>
  <c r="F3094" i="2" s="1"/>
  <c r="C3094" i="2"/>
  <c r="E3093" i="2"/>
  <c r="F3093" i="2" s="1"/>
  <c r="C3093" i="2"/>
  <c r="E3092" i="2"/>
  <c r="F3092" i="2" s="1"/>
  <c r="C3092" i="2"/>
  <c r="E3091" i="2"/>
  <c r="F3091" i="2" s="1"/>
  <c r="C3091" i="2"/>
  <c r="E3090" i="2"/>
  <c r="F3090" i="2" s="1"/>
  <c r="C3090" i="2"/>
  <c r="E3089" i="2"/>
  <c r="F3089" i="2" s="1"/>
  <c r="C3089" i="2"/>
  <c r="E3088" i="2"/>
  <c r="F3088" i="2" s="1"/>
  <c r="C3088" i="2"/>
  <c r="E3087" i="2"/>
  <c r="F3087" i="2" s="1"/>
  <c r="C3087" i="2"/>
  <c r="E3086" i="2"/>
  <c r="F3086" i="2" s="1"/>
  <c r="C3086" i="2"/>
  <c r="E3085" i="2"/>
  <c r="F3085" i="2" s="1"/>
  <c r="C3085" i="2"/>
  <c r="E3084" i="2"/>
  <c r="F3084" i="2" s="1"/>
  <c r="C3084" i="2"/>
  <c r="E3083" i="2"/>
  <c r="F3083" i="2" s="1"/>
  <c r="C3083" i="2"/>
  <c r="E3082" i="2"/>
  <c r="F3082" i="2" s="1"/>
  <c r="C3082" i="2"/>
  <c r="E3081" i="2"/>
  <c r="F3081" i="2" s="1"/>
  <c r="C3081" i="2"/>
  <c r="E3080" i="2"/>
  <c r="F3080" i="2" s="1"/>
  <c r="C3080" i="2"/>
  <c r="E3079" i="2"/>
  <c r="F3079" i="2" s="1"/>
  <c r="C3079" i="2"/>
  <c r="E3078" i="2"/>
  <c r="F3078" i="2" s="1"/>
  <c r="C3078" i="2"/>
  <c r="E3077" i="2"/>
  <c r="F3077" i="2" s="1"/>
  <c r="C3077" i="2"/>
  <c r="E3076" i="2"/>
  <c r="F3076" i="2" s="1"/>
  <c r="C3076" i="2"/>
  <c r="E3075" i="2"/>
  <c r="F3075" i="2" s="1"/>
  <c r="C3075" i="2"/>
  <c r="E3074" i="2"/>
  <c r="F3074" i="2" s="1"/>
  <c r="C3074" i="2"/>
  <c r="E3073" i="2"/>
  <c r="F3073" i="2" s="1"/>
  <c r="C3073" i="2"/>
  <c r="E3072" i="2"/>
  <c r="F3072" i="2" s="1"/>
  <c r="C3072" i="2"/>
  <c r="E3071" i="2"/>
  <c r="F3071" i="2" s="1"/>
  <c r="C3071" i="2"/>
  <c r="E3070" i="2"/>
  <c r="F3070" i="2" s="1"/>
  <c r="C3070" i="2"/>
  <c r="E3069" i="2"/>
  <c r="F3069" i="2" s="1"/>
  <c r="C3069" i="2"/>
  <c r="E3068" i="2"/>
  <c r="F3068" i="2" s="1"/>
  <c r="C3068" i="2"/>
  <c r="E3067" i="2"/>
  <c r="F3067" i="2" s="1"/>
  <c r="C3067" i="2"/>
  <c r="E3066" i="2"/>
  <c r="F3066" i="2" s="1"/>
  <c r="C3066" i="2"/>
  <c r="E3065" i="2"/>
  <c r="F3065" i="2" s="1"/>
  <c r="C3065" i="2"/>
  <c r="E3064" i="2"/>
  <c r="F3064" i="2" s="1"/>
  <c r="C3064" i="2"/>
  <c r="E3063" i="2"/>
  <c r="F3063" i="2" s="1"/>
  <c r="C3063" i="2"/>
  <c r="E3062" i="2"/>
  <c r="F3062" i="2" s="1"/>
  <c r="C3062" i="2"/>
  <c r="E3061" i="2"/>
  <c r="F3061" i="2" s="1"/>
  <c r="C3061" i="2"/>
  <c r="E3060" i="2"/>
  <c r="F3060" i="2" s="1"/>
  <c r="C3060" i="2"/>
  <c r="E3059" i="2"/>
  <c r="F3059" i="2" s="1"/>
  <c r="C3059" i="2"/>
  <c r="E3058" i="2"/>
  <c r="F3058" i="2" s="1"/>
  <c r="C3058" i="2"/>
  <c r="E3057" i="2"/>
  <c r="F3057" i="2" s="1"/>
  <c r="C3057" i="2"/>
  <c r="E3056" i="2"/>
  <c r="F3056" i="2" s="1"/>
  <c r="C3056" i="2"/>
  <c r="E3055" i="2"/>
  <c r="F3055" i="2" s="1"/>
  <c r="C3055" i="2"/>
  <c r="E3054" i="2"/>
  <c r="F3054" i="2" s="1"/>
  <c r="C3054" i="2"/>
  <c r="E3053" i="2"/>
  <c r="F3053" i="2" s="1"/>
  <c r="C3053" i="2"/>
  <c r="E3052" i="2"/>
  <c r="F3052" i="2" s="1"/>
  <c r="C3052" i="2"/>
  <c r="E3051" i="2"/>
  <c r="F3051" i="2" s="1"/>
  <c r="C3051" i="2"/>
  <c r="E3050" i="2"/>
  <c r="F3050" i="2" s="1"/>
  <c r="C3050" i="2"/>
  <c r="E3049" i="2"/>
  <c r="F3049" i="2" s="1"/>
  <c r="C3049" i="2"/>
  <c r="E3048" i="2"/>
  <c r="F3048" i="2" s="1"/>
  <c r="C3048" i="2"/>
  <c r="E3047" i="2"/>
  <c r="F3047" i="2" s="1"/>
  <c r="C3047" i="2"/>
  <c r="E3046" i="2"/>
  <c r="F3046" i="2" s="1"/>
  <c r="C3046" i="2"/>
  <c r="E3045" i="2"/>
  <c r="F3045" i="2" s="1"/>
  <c r="C3045" i="2"/>
  <c r="E3044" i="2"/>
  <c r="F3044" i="2" s="1"/>
  <c r="C3044" i="2"/>
  <c r="E3043" i="2"/>
  <c r="F3043" i="2" s="1"/>
  <c r="C3043" i="2"/>
  <c r="E3042" i="2"/>
  <c r="F3042" i="2" s="1"/>
  <c r="C3042" i="2"/>
  <c r="E3041" i="2"/>
  <c r="F3041" i="2" s="1"/>
  <c r="C3041" i="2"/>
  <c r="E3040" i="2"/>
  <c r="F3040" i="2" s="1"/>
  <c r="C3040" i="2"/>
  <c r="E3039" i="2"/>
  <c r="F3039" i="2" s="1"/>
  <c r="C3039" i="2"/>
  <c r="E3038" i="2"/>
  <c r="F3038" i="2" s="1"/>
  <c r="C3038" i="2"/>
  <c r="E3037" i="2"/>
  <c r="F3037" i="2" s="1"/>
  <c r="C3037" i="2"/>
  <c r="E3036" i="2"/>
  <c r="F3036" i="2" s="1"/>
  <c r="C3036" i="2"/>
  <c r="E3035" i="2"/>
  <c r="F3035" i="2" s="1"/>
  <c r="C3035" i="2"/>
  <c r="E3034" i="2"/>
  <c r="F3034" i="2" s="1"/>
  <c r="C3034" i="2"/>
  <c r="E3033" i="2"/>
  <c r="F3033" i="2" s="1"/>
  <c r="C3033" i="2"/>
  <c r="E3032" i="2"/>
  <c r="F3032" i="2" s="1"/>
  <c r="C3032" i="2"/>
  <c r="E3031" i="2"/>
  <c r="F3031" i="2" s="1"/>
  <c r="C3031" i="2"/>
  <c r="E3030" i="2"/>
  <c r="F3030" i="2" s="1"/>
  <c r="C3030" i="2"/>
  <c r="E3029" i="2"/>
  <c r="F3029" i="2" s="1"/>
  <c r="C3029" i="2"/>
  <c r="E3028" i="2"/>
  <c r="F3028" i="2" s="1"/>
  <c r="C3028" i="2"/>
  <c r="E3027" i="2"/>
  <c r="F3027" i="2" s="1"/>
  <c r="C3027" i="2"/>
  <c r="E3026" i="2"/>
  <c r="F3026" i="2" s="1"/>
  <c r="C3026" i="2"/>
  <c r="E3025" i="2"/>
  <c r="F3025" i="2" s="1"/>
  <c r="C3025" i="2"/>
  <c r="E3024" i="2"/>
  <c r="F3024" i="2" s="1"/>
  <c r="C3024" i="2"/>
  <c r="E3023" i="2"/>
  <c r="F3023" i="2" s="1"/>
  <c r="C3023" i="2"/>
  <c r="E3022" i="2"/>
  <c r="F3022" i="2" s="1"/>
  <c r="C3022" i="2"/>
  <c r="E3021" i="2"/>
  <c r="F3021" i="2" s="1"/>
  <c r="C3021" i="2"/>
  <c r="E3020" i="2"/>
  <c r="F3020" i="2" s="1"/>
  <c r="C3020" i="2"/>
  <c r="E3019" i="2"/>
  <c r="F3019" i="2" s="1"/>
  <c r="C3019" i="2"/>
  <c r="E3018" i="2"/>
  <c r="F3018" i="2" s="1"/>
  <c r="C3018" i="2"/>
  <c r="E3017" i="2"/>
  <c r="F3017" i="2" s="1"/>
  <c r="C3017" i="2"/>
  <c r="E3016" i="2"/>
  <c r="F3016" i="2" s="1"/>
  <c r="C3016" i="2"/>
  <c r="E3015" i="2"/>
  <c r="F3015" i="2" s="1"/>
  <c r="C3015" i="2"/>
  <c r="E3014" i="2"/>
  <c r="F3014" i="2" s="1"/>
  <c r="C3014" i="2"/>
  <c r="E3013" i="2"/>
  <c r="F3013" i="2" s="1"/>
  <c r="C3013" i="2"/>
  <c r="E3012" i="2"/>
  <c r="F3012" i="2" s="1"/>
  <c r="C3012" i="2"/>
  <c r="E3011" i="2"/>
  <c r="F3011" i="2" s="1"/>
  <c r="C3011" i="2"/>
  <c r="E3010" i="2"/>
  <c r="F3010" i="2" s="1"/>
  <c r="C3010" i="2"/>
  <c r="E3009" i="2"/>
  <c r="F3009" i="2" s="1"/>
  <c r="C3009" i="2"/>
  <c r="E3008" i="2"/>
  <c r="F3008" i="2" s="1"/>
  <c r="C3008" i="2"/>
  <c r="E3007" i="2"/>
  <c r="F3007" i="2" s="1"/>
  <c r="C3007" i="2"/>
  <c r="E3006" i="2"/>
  <c r="F3006" i="2" s="1"/>
  <c r="C3006" i="2"/>
  <c r="E3005" i="2"/>
  <c r="F3005" i="2" s="1"/>
  <c r="C3005" i="2"/>
  <c r="E3004" i="2"/>
  <c r="F3004" i="2" s="1"/>
  <c r="C3004" i="2"/>
  <c r="E3003" i="2"/>
  <c r="F3003" i="2" s="1"/>
  <c r="C3003" i="2"/>
  <c r="E3002" i="2"/>
  <c r="F3002" i="2" s="1"/>
  <c r="C3002" i="2"/>
  <c r="E3001" i="2"/>
  <c r="F3001" i="2" s="1"/>
  <c r="C3001" i="2"/>
  <c r="E3000" i="2"/>
  <c r="F3000" i="2" s="1"/>
  <c r="C3000" i="2"/>
  <c r="E2999" i="2"/>
  <c r="F2999" i="2" s="1"/>
  <c r="C2999" i="2"/>
  <c r="E2998" i="2"/>
  <c r="F2998" i="2" s="1"/>
  <c r="C2998" i="2"/>
  <c r="E2997" i="2"/>
  <c r="F2997" i="2" s="1"/>
  <c r="C2997" i="2"/>
  <c r="E2996" i="2"/>
  <c r="F2996" i="2" s="1"/>
  <c r="C2996" i="2"/>
  <c r="E2995" i="2"/>
  <c r="F2995" i="2" s="1"/>
  <c r="C2995" i="2"/>
  <c r="E2994" i="2"/>
  <c r="F2994" i="2" s="1"/>
  <c r="C2994" i="2"/>
  <c r="E2993" i="2"/>
  <c r="F2993" i="2" s="1"/>
  <c r="C2993" i="2"/>
  <c r="E2992" i="2"/>
  <c r="F2992" i="2" s="1"/>
  <c r="C2992" i="2"/>
  <c r="E2991" i="2"/>
  <c r="F2991" i="2" s="1"/>
  <c r="C2991" i="2"/>
  <c r="E2990" i="2"/>
  <c r="F2990" i="2" s="1"/>
  <c r="C2990" i="2"/>
  <c r="E2989" i="2"/>
  <c r="F2989" i="2" s="1"/>
  <c r="C2989" i="2"/>
  <c r="E2988" i="2"/>
  <c r="F2988" i="2" s="1"/>
  <c r="C2988" i="2"/>
  <c r="E2987" i="2"/>
  <c r="F2987" i="2" s="1"/>
  <c r="C2987" i="2"/>
  <c r="E2986" i="2"/>
  <c r="F2986" i="2" s="1"/>
  <c r="C2986" i="2"/>
  <c r="E2985" i="2"/>
  <c r="F2985" i="2" s="1"/>
  <c r="C2985" i="2"/>
  <c r="E2984" i="2"/>
  <c r="F2984" i="2" s="1"/>
  <c r="C2984" i="2"/>
  <c r="E2983" i="2"/>
  <c r="F2983" i="2" s="1"/>
  <c r="C2983" i="2"/>
  <c r="E2982" i="2"/>
  <c r="F2982" i="2" s="1"/>
  <c r="C2982" i="2"/>
  <c r="E2981" i="2"/>
  <c r="F2981" i="2" s="1"/>
  <c r="C2981" i="2"/>
  <c r="E2980" i="2"/>
  <c r="F2980" i="2" s="1"/>
  <c r="C2980" i="2"/>
  <c r="E2979" i="2"/>
  <c r="F2979" i="2" s="1"/>
  <c r="C2979" i="2"/>
  <c r="E2978" i="2"/>
  <c r="F2978" i="2" s="1"/>
  <c r="C2978" i="2"/>
  <c r="E2977" i="2"/>
  <c r="F2977" i="2" s="1"/>
  <c r="C2977" i="2"/>
  <c r="E2976" i="2"/>
  <c r="F2976" i="2" s="1"/>
  <c r="C2976" i="2"/>
  <c r="E2975" i="2"/>
  <c r="F2975" i="2" s="1"/>
  <c r="C2975" i="2"/>
  <c r="E2974" i="2"/>
  <c r="F2974" i="2" s="1"/>
  <c r="C2974" i="2"/>
  <c r="E2973" i="2"/>
  <c r="F2973" i="2" s="1"/>
  <c r="C2973" i="2"/>
  <c r="E2972" i="2"/>
  <c r="F2972" i="2" s="1"/>
  <c r="C2972" i="2"/>
  <c r="E2971" i="2"/>
  <c r="F2971" i="2" s="1"/>
  <c r="C2971" i="2"/>
  <c r="E2970" i="2"/>
  <c r="F2970" i="2" s="1"/>
  <c r="C2970" i="2"/>
  <c r="E2969" i="2"/>
  <c r="F2969" i="2" s="1"/>
  <c r="C2969" i="2"/>
  <c r="E2968" i="2"/>
  <c r="F2968" i="2" s="1"/>
  <c r="C2968" i="2"/>
  <c r="E2967" i="2"/>
  <c r="F2967" i="2" s="1"/>
  <c r="C2967" i="2"/>
  <c r="E2966" i="2"/>
  <c r="F2966" i="2" s="1"/>
  <c r="C2966" i="2"/>
  <c r="E2965" i="2"/>
  <c r="F2965" i="2" s="1"/>
  <c r="C2965" i="2"/>
  <c r="E2964" i="2"/>
  <c r="F2964" i="2" s="1"/>
  <c r="C2964" i="2"/>
  <c r="E2963" i="2"/>
  <c r="F2963" i="2" s="1"/>
  <c r="C2963" i="2"/>
  <c r="E2962" i="2"/>
  <c r="F2962" i="2" s="1"/>
  <c r="C2962" i="2"/>
  <c r="E2961" i="2"/>
  <c r="F2961" i="2" s="1"/>
  <c r="C2961" i="2"/>
  <c r="E2960" i="2"/>
  <c r="F2960" i="2" s="1"/>
  <c r="C2960" i="2"/>
  <c r="E2959" i="2"/>
  <c r="F2959" i="2" s="1"/>
  <c r="C2959" i="2"/>
  <c r="E2958" i="2"/>
  <c r="F2958" i="2" s="1"/>
  <c r="C2958" i="2"/>
  <c r="E2957" i="2"/>
  <c r="F2957" i="2" s="1"/>
  <c r="C2957" i="2"/>
  <c r="E2956" i="2"/>
  <c r="F2956" i="2" s="1"/>
  <c r="C2956" i="2"/>
  <c r="E2955" i="2"/>
  <c r="F2955" i="2" s="1"/>
  <c r="C2955" i="2"/>
  <c r="E2954" i="2"/>
  <c r="F2954" i="2" s="1"/>
  <c r="C2954" i="2"/>
  <c r="E2953" i="2"/>
  <c r="F2953" i="2" s="1"/>
  <c r="C2953" i="2"/>
  <c r="E2952" i="2"/>
  <c r="F2952" i="2" s="1"/>
  <c r="C2952" i="2"/>
  <c r="E2951" i="2"/>
  <c r="F2951" i="2" s="1"/>
  <c r="C2951" i="2"/>
  <c r="E2950" i="2"/>
  <c r="F2950" i="2" s="1"/>
  <c r="C2950" i="2"/>
  <c r="E2949" i="2"/>
  <c r="F2949" i="2" s="1"/>
  <c r="C2949" i="2"/>
  <c r="E2948" i="2"/>
  <c r="F2948" i="2" s="1"/>
  <c r="C2948" i="2"/>
  <c r="E2947" i="2"/>
  <c r="F2947" i="2" s="1"/>
  <c r="C2947" i="2"/>
  <c r="E2946" i="2"/>
  <c r="F2946" i="2" s="1"/>
  <c r="C2946" i="2"/>
  <c r="E2945" i="2"/>
  <c r="F2945" i="2" s="1"/>
  <c r="C2945" i="2"/>
  <c r="E2944" i="2"/>
  <c r="F2944" i="2" s="1"/>
  <c r="C2944" i="2"/>
  <c r="E2943" i="2"/>
  <c r="F2943" i="2" s="1"/>
  <c r="C2943" i="2"/>
  <c r="E2942" i="2"/>
  <c r="F2942" i="2" s="1"/>
  <c r="C2942" i="2"/>
  <c r="E2941" i="2"/>
  <c r="F2941" i="2" s="1"/>
  <c r="C2941" i="2"/>
  <c r="E2940" i="2"/>
  <c r="F2940" i="2" s="1"/>
  <c r="C2940" i="2"/>
  <c r="E2939" i="2"/>
  <c r="F2939" i="2" s="1"/>
  <c r="C2939" i="2"/>
  <c r="E2938" i="2"/>
  <c r="F2938" i="2" s="1"/>
  <c r="C2938" i="2"/>
  <c r="E2937" i="2"/>
  <c r="F2937" i="2" s="1"/>
  <c r="C2937" i="2"/>
  <c r="E2936" i="2"/>
  <c r="F2936" i="2" s="1"/>
  <c r="C2936" i="2"/>
  <c r="E2935" i="2"/>
  <c r="F2935" i="2" s="1"/>
  <c r="C2935" i="2"/>
  <c r="E2934" i="2"/>
  <c r="F2934" i="2" s="1"/>
  <c r="C2934" i="2"/>
  <c r="E2933" i="2"/>
  <c r="F2933" i="2" s="1"/>
  <c r="C2933" i="2"/>
  <c r="E2932" i="2"/>
  <c r="F2932" i="2" s="1"/>
  <c r="C2932" i="2"/>
  <c r="E2931" i="2"/>
  <c r="F2931" i="2" s="1"/>
  <c r="C2931" i="2"/>
  <c r="E2930" i="2"/>
  <c r="F2930" i="2" s="1"/>
  <c r="C2930" i="2"/>
  <c r="E2929" i="2"/>
  <c r="F2929" i="2" s="1"/>
  <c r="C2929" i="2"/>
  <c r="E2928" i="2"/>
  <c r="F2928" i="2" s="1"/>
  <c r="C2928" i="2"/>
  <c r="E2927" i="2"/>
  <c r="F2927" i="2" s="1"/>
  <c r="C2927" i="2"/>
  <c r="E2926" i="2"/>
  <c r="F2926" i="2" s="1"/>
  <c r="C2926" i="2"/>
  <c r="E2925" i="2"/>
  <c r="F2925" i="2" s="1"/>
  <c r="C2925" i="2"/>
  <c r="E2924" i="2"/>
  <c r="F2924" i="2" s="1"/>
  <c r="C2924" i="2"/>
  <c r="E2923" i="2"/>
  <c r="F2923" i="2" s="1"/>
  <c r="C2923" i="2"/>
  <c r="E2922" i="2"/>
  <c r="F2922" i="2" s="1"/>
  <c r="C2922" i="2"/>
  <c r="E2921" i="2"/>
  <c r="F2921" i="2" s="1"/>
  <c r="C2921" i="2"/>
  <c r="E2920" i="2"/>
  <c r="F2920" i="2" s="1"/>
  <c r="C2920" i="2"/>
  <c r="E2919" i="2"/>
  <c r="F2919" i="2" s="1"/>
  <c r="C2919" i="2"/>
  <c r="E2918" i="2"/>
  <c r="F2918" i="2" s="1"/>
  <c r="C2918" i="2"/>
  <c r="E2917" i="2"/>
  <c r="F2917" i="2" s="1"/>
  <c r="C2917" i="2"/>
  <c r="E2916" i="2"/>
  <c r="F2916" i="2" s="1"/>
  <c r="C2916" i="2"/>
  <c r="E2915" i="2"/>
  <c r="F2915" i="2" s="1"/>
  <c r="C2915" i="2"/>
  <c r="E2914" i="2"/>
  <c r="F2914" i="2" s="1"/>
  <c r="C2914" i="2"/>
  <c r="E2913" i="2"/>
  <c r="F2913" i="2" s="1"/>
  <c r="C2913" i="2"/>
  <c r="E2912" i="2"/>
  <c r="F2912" i="2" s="1"/>
  <c r="C2912" i="2"/>
  <c r="E2911" i="2"/>
  <c r="F2911" i="2" s="1"/>
  <c r="C2911" i="2"/>
  <c r="E2910" i="2"/>
  <c r="F2910" i="2" s="1"/>
  <c r="C2910" i="2"/>
  <c r="E2909" i="2"/>
  <c r="F2909" i="2" s="1"/>
  <c r="C2909" i="2"/>
  <c r="E2908" i="2"/>
  <c r="F2908" i="2" s="1"/>
  <c r="C2908" i="2"/>
  <c r="E2907" i="2"/>
  <c r="F2907" i="2" s="1"/>
  <c r="C2907" i="2"/>
  <c r="E2906" i="2"/>
  <c r="F2906" i="2" s="1"/>
  <c r="C2906" i="2"/>
  <c r="E2905" i="2"/>
  <c r="F2905" i="2" s="1"/>
  <c r="C2905" i="2"/>
  <c r="E2904" i="2"/>
  <c r="F2904" i="2" s="1"/>
  <c r="C2904" i="2"/>
  <c r="E2903" i="2"/>
  <c r="F2903" i="2" s="1"/>
  <c r="C2903" i="2"/>
  <c r="E2902" i="2"/>
  <c r="F2902" i="2" s="1"/>
  <c r="C2902" i="2"/>
  <c r="E2901" i="2"/>
  <c r="F2901" i="2" s="1"/>
  <c r="C2901" i="2"/>
  <c r="E2900" i="2"/>
  <c r="F2900" i="2" s="1"/>
  <c r="C2900" i="2"/>
  <c r="E2899" i="2"/>
  <c r="F2899" i="2" s="1"/>
  <c r="C2899" i="2"/>
  <c r="E2898" i="2"/>
  <c r="F2898" i="2" s="1"/>
  <c r="C2898" i="2"/>
  <c r="E2897" i="2"/>
  <c r="F2897" i="2" s="1"/>
  <c r="C2897" i="2"/>
  <c r="E2896" i="2"/>
  <c r="F2896" i="2" s="1"/>
  <c r="C2896" i="2"/>
  <c r="E2895" i="2"/>
  <c r="F2895" i="2" s="1"/>
  <c r="C2895" i="2"/>
  <c r="E2894" i="2"/>
  <c r="F2894" i="2" s="1"/>
  <c r="C2894" i="2"/>
  <c r="E2893" i="2"/>
  <c r="F2893" i="2" s="1"/>
  <c r="C2893" i="2"/>
  <c r="E2892" i="2"/>
  <c r="F2892" i="2" s="1"/>
  <c r="C2892" i="2"/>
  <c r="E2891" i="2"/>
  <c r="F2891" i="2" s="1"/>
  <c r="C2891" i="2"/>
  <c r="E2890" i="2"/>
  <c r="F2890" i="2" s="1"/>
  <c r="C2890" i="2"/>
  <c r="E2889" i="2"/>
  <c r="F2889" i="2" s="1"/>
  <c r="C2889" i="2"/>
  <c r="E2888" i="2"/>
  <c r="F2888" i="2" s="1"/>
  <c r="C2888" i="2"/>
  <c r="E2887" i="2"/>
  <c r="F2887" i="2" s="1"/>
  <c r="C2887" i="2"/>
  <c r="E2886" i="2"/>
  <c r="F2886" i="2" s="1"/>
  <c r="C2886" i="2"/>
  <c r="E2885" i="2"/>
  <c r="F2885" i="2" s="1"/>
  <c r="C2885" i="2"/>
  <c r="E2884" i="2"/>
  <c r="F2884" i="2" s="1"/>
  <c r="C2884" i="2"/>
  <c r="E2883" i="2"/>
  <c r="F2883" i="2" s="1"/>
  <c r="C2883" i="2"/>
  <c r="E2882" i="2"/>
  <c r="F2882" i="2" s="1"/>
  <c r="C2882" i="2"/>
  <c r="E2881" i="2"/>
  <c r="F2881" i="2" s="1"/>
  <c r="C2881" i="2"/>
  <c r="E2880" i="2"/>
  <c r="F2880" i="2" s="1"/>
  <c r="C2880" i="2"/>
  <c r="E2879" i="2"/>
  <c r="F2879" i="2" s="1"/>
  <c r="C2879" i="2"/>
  <c r="E2878" i="2"/>
  <c r="F2878" i="2" s="1"/>
  <c r="C2878" i="2"/>
  <c r="E2877" i="2"/>
  <c r="F2877" i="2" s="1"/>
  <c r="C2877" i="2"/>
  <c r="E2876" i="2"/>
  <c r="F2876" i="2" s="1"/>
  <c r="C2876" i="2"/>
  <c r="E2875" i="2"/>
  <c r="F2875" i="2" s="1"/>
  <c r="C2875" i="2"/>
  <c r="E2874" i="2"/>
  <c r="F2874" i="2" s="1"/>
  <c r="C2874" i="2"/>
  <c r="E2873" i="2"/>
  <c r="F2873" i="2" s="1"/>
  <c r="C2873" i="2"/>
  <c r="F2872" i="2"/>
  <c r="E2872" i="2"/>
  <c r="D2872" i="2"/>
  <c r="C2872" i="2"/>
  <c r="G2872" i="2" s="1"/>
  <c r="F2871" i="2"/>
  <c r="G2871" i="2" s="1"/>
  <c r="E2871" i="2"/>
  <c r="D2871" i="2"/>
  <c r="C2871" i="2"/>
  <c r="E2870" i="2"/>
  <c r="F2870" i="2" s="1"/>
  <c r="C2870" i="2"/>
  <c r="E2869" i="2"/>
  <c r="F2869" i="2" s="1"/>
  <c r="C2869" i="2"/>
  <c r="E2868" i="2"/>
  <c r="F2868" i="2" s="1"/>
  <c r="C2868" i="2"/>
  <c r="E2867" i="2"/>
  <c r="F2867" i="2" s="1"/>
  <c r="C2867" i="2"/>
  <c r="E2866" i="2"/>
  <c r="F2866" i="2" s="1"/>
  <c r="C2866" i="2"/>
  <c r="E2865" i="2"/>
  <c r="F2865" i="2" s="1"/>
  <c r="C2865" i="2"/>
  <c r="E2864" i="2"/>
  <c r="F2864" i="2" s="1"/>
  <c r="C2864" i="2"/>
  <c r="F2863" i="2"/>
  <c r="E2863" i="2"/>
  <c r="D2863" i="2"/>
  <c r="C2863" i="2"/>
  <c r="G2863" i="2" s="1"/>
  <c r="F2862" i="2"/>
  <c r="G2862" i="2" s="1"/>
  <c r="E2862" i="2"/>
  <c r="D2862" i="2"/>
  <c r="C2862" i="2"/>
  <c r="F2861" i="2"/>
  <c r="E2861" i="2"/>
  <c r="C2861" i="2"/>
  <c r="E2860" i="2"/>
  <c r="F2860" i="2" s="1"/>
  <c r="C2860" i="2"/>
  <c r="E2859" i="2"/>
  <c r="F2859" i="2" s="1"/>
  <c r="C2859" i="2"/>
  <c r="E2858" i="2"/>
  <c r="F2858" i="2" s="1"/>
  <c r="G2858" i="2" s="1"/>
  <c r="D2858" i="2"/>
  <c r="C2858" i="2"/>
  <c r="F2857" i="2"/>
  <c r="E2857" i="2"/>
  <c r="D2857" i="2"/>
  <c r="C2857" i="2"/>
  <c r="G2857" i="2" s="1"/>
  <c r="E2856" i="2"/>
  <c r="F2856" i="2" s="1"/>
  <c r="C2856" i="2"/>
  <c r="E2855" i="2"/>
  <c r="F2855" i="2" s="1"/>
  <c r="G2855" i="2" s="1"/>
  <c r="D2855" i="2"/>
  <c r="C2855" i="2"/>
  <c r="F2854" i="2"/>
  <c r="G2854" i="2" s="1"/>
  <c r="E2854" i="2"/>
  <c r="D2854" i="2"/>
  <c r="C2854" i="2"/>
  <c r="E2853" i="2"/>
  <c r="F2853" i="2" s="1"/>
  <c r="C2853" i="2"/>
  <c r="F2852" i="2"/>
  <c r="E2852" i="2"/>
  <c r="D2852" i="2"/>
  <c r="C2852" i="2"/>
  <c r="G2852" i="2" s="1"/>
  <c r="E2851" i="2"/>
  <c r="F2851" i="2" s="1"/>
  <c r="C2851" i="2"/>
  <c r="E2850" i="2"/>
  <c r="F2850" i="2" s="1"/>
  <c r="G2850" i="2" s="1"/>
  <c r="C2850" i="2"/>
  <c r="D2850" i="2" s="1"/>
  <c r="F2849" i="2"/>
  <c r="G2849" i="2" s="1"/>
  <c r="E2849" i="2"/>
  <c r="D2849" i="2"/>
  <c r="C2849" i="2"/>
  <c r="F2848" i="2"/>
  <c r="E2848" i="2"/>
  <c r="C2848" i="2"/>
  <c r="E2847" i="2"/>
  <c r="F2847" i="2" s="1"/>
  <c r="G2847" i="2" s="1"/>
  <c r="D2847" i="2"/>
  <c r="C2847" i="2"/>
  <c r="E2846" i="2"/>
  <c r="F2846" i="2" s="1"/>
  <c r="D2846" i="2"/>
  <c r="C2846" i="2"/>
  <c r="G2846" i="2" s="1"/>
  <c r="E2845" i="2"/>
  <c r="F2845" i="2" s="1"/>
  <c r="D2845" i="2"/>
  <c r="C2845" i="2"/>
  <c r="G2845" i="2" s="1"/>
  <c r="E2844" i="2"/>
  <c r="F2844" i="2" s="1"/>
  <c r="G2844" i="2" s="1"/>
  <c r="D2844" i="2"/>
  <c r="C2844" i="2"/>
  <c r="E2843" i="2"/>
  <c r="F2843" i="2" s="1"/>
  <c r="G2843" i="2" s="1"/>
  <c r="D2843" i="2"/>
  <c r="C2843" i="2"/>
  <c r="F2842" i="2"/>
  <c r="E2842" i="2"/>
  <c r="C2842" i="2"/>
  <c r="F2841" i="2"/>
  <c r="E2841" i="2"/>
  <c r="C2841" i="2"/>
  <c r="E2840" i="2"/>
  <c r="F2840" i="2" s="1"/>
  <c r="G2840" i="2" s="1"/>
  <c r="C2840" i="2"/>
  <c r="D2840" i="2" s="1"/>
  <c r="E2839" i="2"/>
  <c r="F2839" i="2" s="1"/>
  <c r="C2839" i="2"/>
  <c r="E2838" i="2"/>
  <c r="F2838" i="2" s="1"/>
  <c r="G2838" i="2" s="1"/>
  <c r="D2838" i="2"/>
  <c r="C2838" i="2"/>
  <c r="E2837" i="2"/>
  <c r="F2837" i="2" s="1"/>
  <c r="C2837" i="2"/>
  <c r="E2836" i="2"/>
  <c r="F2836" i="2" s="1"/>
  <c r="C2836" i="2"/>
  <c r="E2835" i="2"/>
  <c r="F2835" i="2" s="1"/>
  <c r="G2835" i="2" s="1"/>
  <c r="D2835" i="2"/>
  <c r="C2835" i="2"/>
  <c r="F2834" i="2"/>
  <c r="G2834" i="2" s="1"/>
  <c r="E2834" i="2"/>
  <c r="C2834" i="2"/>
  <c r="D2834" i="2" s="1"/>
  <c r="E2833" i="2"/>
  <c r="F2833" i="2" s="1"/>
  <c r="C2833" i="2"/>
  <c r="E2832" i="2"/>
  <c r="F2832" i="2" s="1"/>
  <c r="D2832" i="2"/>
  <c r="C2832" i="2"/>
  <c r="G2832" i="2" s="1"/>
  <c r="F2831" i="2"/>
  <c r="E2831" i="2"/>
  <c r="C2831" i="2"/>
  <c r="E2830" i="2"/>
  <c r="F2830" i="2" s="1"/>
  <c r="G2830" i="2" s="1"/>
  <c r="C2830" i="2"/>
  <c r="D2830" i="2" s="1"/>
  <c r="F2829" i="2"/>
  <c r="G2829" i="2" s="1"/>
  <c r="E2829" i="2"/>
  <c r="D2829" i="2"/>
  <c r="C2829" i="2"/>
  <c r="F2828" i="2"/>
  <c r="G2828" i="2" s="1"/>
  <c r="E2828" i="2"/>
  <c r="C2828" i="2"/>
  <c r="D2828" i="2" s="1"/>
  <c r="E2827" i="2"/>
  <c r="F2827" i="2" s="1"/>
  <c r="D2827" i="2"/>
  <c r="C2827" i="2"/>
  <c r="G2827" i="2" s="1"/>
  <c r="F2826" i="2"/>
  <c r="G2826" i="2" s="1"/>
  <c r="E2826" i="2"/>
  <c r="D2826" i="2"/>
  <c r="C2826" i="2"/>
  <c r="E2825" i="2"/>
  <c r="F2825" i="2" s="1"/>
  <c r="G2825" i="2" s="1"/>
  <c r="C2825" i="2"/>
  <c r="D2825" i="2" s="1"/>
  <c r="F2824" i="2"/>
  <c r="E2824" i="2"/>
  <c r="D2824" i="2"/>
  <c r="C2824" i="2"/>
  <c r="G2824" i="2" s="1"/>
  <c r="F2823" i="2"/>
  <c r="E2823" i="2"/>
  <c r="C2823" i="2"/>
  <c r="E2822" i="2"/>
  <c r="F2822" i="2" s="1"/>
  <c r="C2822" i="2"/>
  <c r="F2821" i="2"/>
  <c r="G2821" i="2" s="1"/>
  <c r="E2821" i="2"/>
  <c r="C2821" i="2"/>
  <c r="D2821" i="2" s="1"/>
  <c r="E2820" i="2"/>
  <c r="F2820" i="2" s="1"/>
  <c r="C2820" i="2"/>
  <c r="F2819" i="2"/>
  <c r="E2819" i="2"/>
  <c r="D2819" i="2"/>
  <c r="C2819" i="2"/>
  <c r="G2819" i="2" s="1"/>
  <c r="F2818" i="2"/>
  <c r="E2818" i="2"/>
  <c r="C2818" i="2"/>
  <c r="F2817" i="2"/>
  <c r="E2817" i="2"/>
  <c r="C2817" i="2"/>
  <c r="G2816" i="2"/>
  <c r="F2816" i="2"/>
  <c r="E2816" i="2"/>
  <c r="D2816" i="2"/>
  <c r="C2816" i="2"/>
  <c r="E2815" i="2"/>
  <c r="F2815" i="2" s="1"/>
  <c r="G2815" i="2" s="1"/>
  <c r="D2815" i="2"/>
  <c r="C2815" i="2"/>
  <c r="E2814" i="2"/>
  <c r="F2814" i="2" s="1"/>
  <c r="G2814" i="2" s="1"/>
  <c r="D2814" i="2"/>
  <c r="C2814" i="2"/>
  <c r="F2813" i="2"/>
  <c r="G2813" i="2" s="1"/>
  <c r="E2813" i="2"/>
  <c r="D2813" i="2"/>
  <c r="C2813" i="2"/>
  <c r="E2812" i="2"/>
  <c r="F2812" i="2" s="1"/>
  <c r="C2812" i="2"/>
  <c r="E2811" i="2"/>
  <c r="F2811" i="2" s="1"/>
  <c r="C2811" i="2"/>
  <c r="F2810" i="2"/>
  <c r="G2810" i="2" s="1"/>
  <c r="E2810" i="2"/>
  <c r="D2810" i="2"/>
  <c r="C2810" i="2"/>
  <c r="F2809" i="2"/>
  <c r="G2809" i="2" s="1"/>
  <c r="E2809" i="2"/>
  <c r="C2809" i="2"/>
  <c r="D2809" i="2" s="1"/>
  <c r="E2808" i="2"/>
  <c r="F2808" i="2" s="1"/>
  <c r="G2808" i="2" s="1"/>
  <c r="D2808" i="2"/>
  <c r="C2808" i="2"/>
  <c r="E2807" i="2"/>
  <c r="F2807" i="2" s="1"/>
  <c r="D2807" i="2"/>
  <c r="C2807" i="2"/>
  <c r="G2807" i="2" s="1"/>
  <c r="F2806" i="2"/>
  <c r="G2806" i="2" s="1"/>
  <c r="E2806" i="2"/>
  <c r="D2806" i="2"/>
  <c r="C2806" i="2"/>
  <c r="F2805" i="2"/>
  <c r="G2805" i="2" s="1"/>
  <c r="E2805" i="2"/>
  <c r="D2805" i="2"/>
  <c r="C2805" i="2"/>
  <c r="F2804" i="2"/>
  <c r="E2804" i="2"/>
  <c r="C2804" i="2"/>
  <c r="E2803" i="2"/>
  <c r="F2803" i="2" s="1"/>
  <c r="D2803" i="2"/>
  <c r="C2803" i="2"/>
  <c r="G2803" i="2" s="1"/>
  <c r="E2802" i="2"/>
  <c r="F2802" i="2" s="1"/>
  <c r="C2802" i="2"/>
  <c r="E2801" i="2"/>
  <c r="F2801" i="2" s="1"/>
  <c r="G2801" i="2" s="1"/>
  <c r="D2801" i="2"/>
  <c r="C2801" i="2"/>
  <c r="E2800" i="2"/>
  <c r="F2800" i="2" s="1"/>
  <c r="G2800" i="2" s="1"/>
  <c r="D2800" i="2"/>
  <c r="C2800" i="2"/>
  <c r="E2799" i="2"/>
  <c r="F2799" i="2" s="1"/>
  <c r="G2799" i="2" s="1"/>
  <c r="D2799" i="2"/>
  <c r="C2799" i="2"/>
  <c r="E2798" i="2"/>
  <c r="F2798" i="2" s="1"/>
  <c r="C2798" i="2"/>
  <c r="F2797" i="2"/>
  <c r="E2797" i="2"/>
  <c r="D2797" i="2"/>
  <c r="C2797" i="2"/>
  <c r="G2797" i="2" s="1"/>
  <c r="E2796" i="2"/>
  <c r="F2796" i="2" s="1"/>
  <c r="C2796" i="2"/>
  <c r="E2795" i="2"/>
  <c r="F2795" i="2" s="1"/>
  <c r="C2795" i="2"/>
  <c r="F2794" i="2"/>
  <c r="E2794" i="2"/>
  <c r="C2794" i="2"/>
  <c r="E2793" i="2"/>
  <c r="F2793" i="2" s="1"/>
  <c r="D2793" i="2"/>
  <c r="C2793" i="2"/>
  <c r="G2793" i="2" s="1"/>
  <c r="E2792" i="2"/>
  <c r="F2792" i="2" s="1"/>
  <c r="C2792" i="2"/>
  <c r="E2791" i="2"/>
  <c r="F2791" i="2" s="1"/>
  <c r="G2791" i="2" s="1"/>
  <c r="D2791" i="2"/>
  <c r="C2791" i="2"/>
  <c r="F2790" i="2"/>
  <c r="E2790" i="2"/>
  <c r="C2790" i="2"/>
  <c r="E2789" i="2"/>
  <c r="F2789" i="2" s="1"/>
  <c r="G2789" i="2" s="1"/>
  <c r="D2789" i="2"/>
  <c r="C2789" i="2"/>
  <c r="F2788" i="2"/>
  <c r="E2788" i="2"/>
  <c r="C2788" i="2"/>
  <c r="F2787" i="2"/>
  <c r="E2787" i="2"/>
  <c r="D2787" i="2"/>
  <c r="C2787" i="2"/>
  <c r="G2787" i="2" s="1"/>
  <c r="F2786" i="2"/>
  <c r="E2786" i="2"/>
  <c r="D2786" i="2"/>
  <c r="C2786" i="2"/>
  <c r="G2786" i="2" s="1"/>
  <c r="F2785" i="2"/>
  <c r="E2785" i="2"/>
  <c r="C2785" i="2"/>
  <c r="E2784" i="2"/>
  <c r="F2784" i="2" s="1"/>
  <c r="D2784" i="2"/>
  <c r="C2784" i="2"/>
  <c r="G2784" i="2" s="1"/>
  <c r="F2783" i="2"/>
  <c r="G2783" i="2" s="1"/>
  <c r="E2783" i="2"/>
  <c r="D2783" i="2"/>
  <c r="C2783" i="2"/>
  <c r="F2782" i="2"/>
  <c r="G2782" i="2" s="1"/>
  <c r="E2782" i="2"/>
  <c r="D2782" i="2"/>
  <c r="C2782" i="2"/>
  <c r="E2781" i="2"/>
  <c r="F2781" i="2" s="1"/>
  <c r="G2781" i="2" s="1"/>
  <c r="C2781" i="2"/>
  <c r="D2781" i="2" s="1"/>
  <c r="F2780" i="2"/>
  <c r="G2780" i="2" s="1"/>
  <c r="E2780" i="2"/>
  <c r="C2780" i="2"/>
  <c r="D2780" i="2" s="1"/>
  <c r="F2779" i="2"/>
  <c r="E2779" i="2"/>
  <c r="C2779" i="2"/>
  <c r="E2778" i="2"/>
  <c r="F2778" i="2" s="1"/>
  <c r="G2778" i="2" s="1"/>
  <c r="D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D2774" i="2"/>
  <c r="C2774" i="2"/>
  <c r="G2774" i="2" s="1"/>
  <c r="E2773" i="2"/>
  <c r="F2773" i="2" s="1"/>
  <c r="G2773" i="2" s="1"/>
  <c r="C2773" i="2"/>
  <c r="D2773" i="2" s="1"/>
  <c r="F2772" i="2"/>
  <c r="G2772" i="2" s="1"/>
  <c r="E2772" i="2"/>
  <c r="D2772" i="2"/>
  <c r="C2772" i="2"/>
  <c r="E2771" i="2"/>
  <c r="F2771" i="2" s="1"/>
  <c r="G2771" i="2" s="1"/>
  <c r="D2771" i="2"/>
  <c r="C2771" i="2"/>
  <c r="E2770" i="2"/>
  <c r="F2770" i="2" s="1"/>
  <c r="C2770" i="2"/>
  <c r="E2769" i="2"/>
  <c r="F2769" i="2" s="1"/>
  <c r="C2769" i="2"/>
  <c r="F2768" i="2"/>
  <c r="G2768" i="2" s="1"/>
  <c r="E2768" i="2"/>
  <c r="D2768" i="2"/>
  <c r="C2768" i="2"/>
  <c r="E2767" i="2"/>
  <c r="F2767" i="2" s="1"/>
  <c r="G2767" i="2" s="1"/>
  <c r="C2767" i="2"/>
  <c r="D2767" i="2" s="1"/>
  <c r="F2766" i="2"/>
  <c r="G2766" i="2" s="1"/>
  <c r="E2766" i="2"/>
  <c r="D2766" i="2"/>
  <c r="C2766" i="2"/>
  <c r="F2765" i="2"/>
  <c r="E2765" i="2"/>
  <c r="D2765" i="2"/>
  <c r="C2765" i="2"/>
  <c r="G2765" i="2" s="1"/>
  <c r="E2764" i="2"/>
  <c r="F2764" i="2" s="1"/>
  <c r="C2764" i="2"/>
  <c r="E2763" i="2"/>
  <c r="F2763" i="2" s="1"/>
  <c r="D2763" i="2"/>
  <c r="C2763" i="2"/>
  <c r="G2763" i="2" s="1"/>
  <c r="E2762" i="2"/>
  <c r="F2762" i="2" s="1"/>
  <c r="D2762" i="2"/>
  <c r="C2762" i="2"/>
  <c r="G2762" i="2" s="1"/>
  <c r="E2761" i="2"/>
  <c r="F2761" i="2" s="1"/>
  <c r="C2761" i="2"/>
  <c r="F2760" i="2"/>
  <c r="G2760" i="2" s="1"/>
  <c r="E2760" i="2"/>
  <c r="D2760" i="2"/>
  <c r="C2760" i="2"/>
  <c r="F2759" i="2"/>
  <c r="G2759" i="2" s="1"/>
  <c r="E2759" i="2"/>
  <c r="D2759" i="2"/>
  <c r="C2759" i="2"/>
  <c r="F2758" i="2"/>
  <c r="E2758" i="2"/>
  <c r="C2758" i="2"/>
  <c r="F2757" i="2"/>
  <c r="E2757" i="2"/>
  <c r="C2757" i="2"/>
  <c r="E2756" i="2"/>
  <c r="F2756" i="2" s="1"/>
  <c r="C2756" i="2"/>
  <c r="E2755" i="2"/>
  <c r="F2755" i="2" s="1"/>
  <c r="G2755" i="2" s="1"/>
  <c r="D2755" i="2"/>
  <c r="C2755" i="2"/>
  <c r="E2754" i="2"/>
  <c r="F2754" i="2" s="1"/>
  <c r="C2754" i="2"/>
  <c r="E2753" i="2"/>
  <c r="F2753" i="2" s="1"/>
  <c r="C2753" i="2"/>
  <c r="E2752" i="2"/>
  <c r="F2752" i="2" s="1"/>
  <c r="D2752" i="2"/>
  <c r="C2752" i="2"/>
  <c r="G2752" i="2" s="1"/>
  <c r="F2751" i="2"/>
  <c r="E2751" i="2"/>
  <c r="D2751" i="2"/>
  <c r="C2751" i="2"/>
  <c r="G2751" i="2" s="1"/>
  <c r="F2750" i="2"/>
  <c r="G2750" i="2" s="1"/>
  <c r="E2750" i="2"/>
  <c r="C2750" i="2"/>
  <c r="D2750" i="2" s="1"/>
  <c r="F2749" i="2"/>
  <c r="E2749" i="2"/>
  <c r="D2749" i="2"/>
  <c r="C2749" i="2"/>
  <c r="G2749" i="2" s="1"/>
  <c r="E2748" i="2"/>
  <c r="F2748" i="2" s="1"/>
  <c r="G2748" i="2" s="1"/>
  <c r="C2748" i="2"/>
  <c r="D2748" i="2" s="1"/>
  <c r="F2747" i="2"/>
  <c r="E2747" i="2"/>
  <c r="D2747" i="2"/>
  <c r="C2747" i="2"/>
  <c r="G2747" i="2" s="1"/>
  <c r="E2746" i="2"/>
  <c r="F2746" i="2" s="1"/>
  <c r="G2746" i="2" s="1"/>
  <c r="C2746" i="2"/>
  <c r="D2746" i="2" s="1"/>
  <c r="E2745" i="2"/>
  <c r="F2745" i="2" s="1"/>
  <c r="G2745" i="2" s="1"/>
  <c r="C2745" i="2"/>
  <c r="D2745" i="2" s="1"/>
  <c r="F2744" i="2"/>
  <c r="G2744" i="2" s="1"/>
  <c r="E2744" i="2"/>
  <c r="D2744" i="2"/>
  <c r="C2744" i="2"/>
  <c r="E2743" i="2"/>
  <c r="F2743" i="2" s="1"/>
  <c r="G2743" i="2" s="1"/>
  <c r="D2743" i="2"/>
  <c r="C2743" i="2"/>
  <c r="E2742" i="2"/>
  <c r="F2742" i="2" s="1"/>
  <c r="G2742" i="2" s="1"/>
  <c r="C2742" i="2"/>
  <c r="D2742" i="2" s="1"/>
  <c r="F2741" i="2"/>
  <c r="G2741" i="2" s="1"/>
  <c r="E2741" i="2"/>
  <c r="D2741" i="2"/>
  <c r="C2741" i="2"/>
  <c r="E2740" i="2"/>
  <c r="F2740" i="2" s="1"/>
  <c r="G2740" i="2" s="1"/>
  <c r="D2740" i="2"/>
  <c r="C2740" i="2"/>
  <c r="E2739" i="2"/>
  <c r="F2739" i="2" s="1"/>
  <c r="C2739" i="2"/>
  <c r="E2738" i="2"/>
  <c r="F2738" i="2" s="1"/>
  <c r="G2738" i="2" s="1"/>
  <c r="D2738" i="2"/>
  <c r="C2738" i="2"/>
  <c r="E2737" i="2"/>
  <c r="F2737" i="2" s="1"/>
  <c r="C2737" i="2"/>
  <c r="E2736" i="2"/>
  <c r="F2736" i="2" s="1"/>
  <c r="G2736" i="2" s="1"/>
  <c r="D2736" i="2"/>
  <c r="C2736" i="2"/>
  <c r="E2735" i="2"/>
  <c r="F2735" i="2" s="1"/>
  <c r="C2735" i="2"/>
  <c r="E2734" i="2"/>
  <c r="F2734" i="2" s="1"/>
  <c r="G2734" i="2" s="1"/>
  <c r="D2734" i="2"/>
  <c r="C2734" i="2"/>
  <c r="F2733" i="2"/>
  <c r="E2733" i="2"/>
  <c r="C2733" i="2"/>
  <c r="E2732" i="2"/>
  <c r="F2732" i="2" s="1"/>
  <c r="G2732" i="2" s="1"/>
  <c r="D2732" i="2"/>
  <c r="C2732" i="2"/>
  <c r="E2731" i="2"/>
  <c r="F2731" i="2" s="1"/>
  <c r="D2731" i="2"/>
  <c r="C2731" i="2"/>
  <c r="G2731" i="2" s="1"/>
  <c r="F2730" i="2"/>
  <c r="G2730" i="2" s="1"/>
  <c r="E2730" i="2"/>
  <c r="D2730" i="2"/>
  <c r="C2730" i="2"/>
  <c r="E2729" i="2"/>
  <c r="F2729" i="2" s="1"/>
  <c r="G2729" i="2" s="1"/>
  <c r="D2729" i="2"/>
  <c r="C2729" i="2"/>
  <c r="F2728" i="2"/>
  <c r="G2728" i="2" s="1"/>
  <c r="E2728" i="2"/>
  <c r="D2728" i="2"/>
  <c r="C2728" i="2"/>
  <c r="F2727" i="2"/>
  <c r="E2727" i="2"/>
  <c r="D2727" i="2"/>
  <c r="C2727" i="2"/>
  <c r="G2727" i="2" s="1"/>
  <c r="E2726" i="2"/>
  <c r="F2726" i="2" s="1"/>
  <c r="D2726" i="2"/>
  <c r="C2726" i="2"/>
  <c r="G2726" i="2" s="1"/>
  <c r="E2725" i="2"/>
  <c r="F2725" i="2" s="1"/>
  <c r="G2725" i="2" s="1"/>
  <c r="D2725" i="2"/>
  <c r="C2725" i="2"/>
  <c r="F2724" i="2"/>
  <c r="E2724" i="2"/>
  <c r="C2724" i="2"/>
  <c r="E2723" i="2"/>
  <c r="F2723" i="2" s="1"/>
  <c r="G2723" i="2" s="1"/>
  <c r="D2723" i="2"/>
  <c r="C2723" i="2"/>
  <c r="F2722" i="2"/>
  <c r="E2722" i="2"/>
  <c r="D2722" i="2"/>
  <c r="C2722" i="2"/>
  <c r="G2722" i="2" s="1"/>
  <c r="F2721" i="2"/>
  <c r="G2721" i="2" s="1"/>
  <c r="E2721" i="2"/>
  <c r="D2721" i="2"/>
  <c r="C2721" i="2"/>
  <c r="F2720" i="2"/>
  <c r="G2720" i="2" s="1"/>
  <c r="E2720" i="2"/>
  <c r="C2720" i="2"/>
  <c r="D2720" i="2" s="1"/>
  <c r="E2719" i="2"/>
  <c r="F2719" i="2" s="1"/>
  <c r="D2719" i="2"/>
  <c r="C2719" i="2"/>
  <c r="G2719" i="2" s="1"/>
  <c r="E2718" i="2"/>
  <c r="F2718" i="2" s="1"/>
  <c r="G2718" i="2" s="1"/>
  <c r="D2718" i="2"/>
  <c r="C2718" i="2"/>
  <c r="E2717" i="2"/>
  <c r="F2717" i="2" s="1"/>
  <c r="C2717" i="2"/>
  <c r="E2716" i="2"/>
  <c r="F2716" i="2" s="1"/>
  <c r="G2716" i="2" s="1"/>
  <c r="D2716" i="2"/>
  <c r="C2716" i="2"/>
  <c r="E2715" i="2"/>
  <c r="F2715" i="2" s="1"/>
  <c r="G2715" i="2" s="1"/>
  <c r="D2715" i="2"/>
  <c r="C2715" i="2"/>
  <c r="F2714" i="2"/>
  <c r="G2714" i="2" s="1"/>
  <c r="E2714" i="2"/>
  <c r="D2714" i="2"/>
  <c r="C2714" i="2"/>
  <c r="E2713" i="2"/>
  <c r="F2713" i="2" s="1"/>
  <c r="G2713" i="2" s="1"/>
  <c r="D2713" i="2"/>
  <c r="C2713" i="2"/>
  <c r="G2712" i="2"/>
  <c r="F2712" i="2"/>
  <c r="E2712" i="2"/>
  <c r="D2712" i="2"/>
  <c r="C2712" i="2"/>
  <c r="F2711" i="2"/>
  <c r="E2711" i="2"/>
  <c r="C2711" i="2"/>
  <c r="E2710" i="2"/>
  <c r="F2710" i="2" s="1"/>
  <c r="C2710" i="2"/>
  <c r="E2709" i="2"/>
  <c r="F2709" i="2" s="1"/>
  <c r="G2709" i="2" s="1"/>
  <c r="D2709" i="2"/>
  <c r="C2709" i="2"/>
  <c r="E2708" i="2"/>
  <c r="F2708" i="2" s="1"/>
  <c r="G2708" i="2" s="1"/>
  <c r="D2708" i="2"/>
  <c r="C2708" i="2"/>
  <c r="E2707" i="2"/>
  <c r="F2707" i="2" s="1"/>
  <c r="D2707" i="2"/>
  <c r="C2707" i="2"/>
  <c r="G2707" i="2" s="1"/>
  <c r="E2706" i="2"/>
  <c r="F2706" i="2" s="1"/>
  <c r="C2706" i="2"/>
  <c r="E2705" i="2"/>
  <c r="F2705" i="2" s="1"/>
  <c r="G2705" i="2" s="1"/>
  <c r="D2705" i="2"/>
  <c r="C2705" i="2"/>
  <c r="F2704" i="2"/>
  <c r="E2704" i="2"/>
  <c r="C2704" i="2"/>
  <c r="F2703" i="2"/>
  <c r="G2703" i="2" s="1"/>
  <c r="E2703" i="2"/>
  <c r="C2703" i="2"/>
  <c r="D2703" i="2" s="1"/>
  <c r="E2702" i="2"/>
  <c r="F2702" i="2" s="1"/>
  <c r="G2702" i="2" s="1"/>
  <c r="C2702" i="2"/>
  <c r="D2702" i="2" s="1"/>
  <c r="F2701" i="2"/>
  <c r="G2701" i="2" s="1"/>
  <c r="E2701" i="2"/>
  <c r="C2701" i="2"/>
  <c r="D2701" i="2" s="1"/>
  <c r="E2700" i="2"/>
  <c r="F2700" i="2" s="1"/>
  <c r="C2700" i="2"/>
  <c r="E2699" i="2"/>
  <c r="F2699" i="2" s="1"/>
  <c r="D2699" i="2"/>
  <c r="C2699" i="2"/>
  <c r="G2699" i="2" s="1"/>
  <c r="E2698" i="2"/>
  <c r="F2698" i="2" s="1"/>
  <c r="G2698" i="2" s="1"/>
  <c r="D2698" i="2"/>
  <c r="C2698" i="2"/>
  <c r="F2697" i="2"/>
  <c r="G2697" i="2" s="1"/>
  <c r="E2697" i="2"/>
  <c r="D2697" i="2"/>
  <c r="C2697" i="2"/>
  <c r="E2696" i="2"/>
  <c r="F2696" i="2" s="1"/>
  <c r="G2696" i="2" s="1"/>
  <c r="D2696" i="2"/>
  <c r="C2696" i="2"/>
  <c r="G2695" i="2"/>
  <c r="F2695" i="2"/>
  <c r="E2695" i="2"/>
  <c r="D2695" i="2"/>
  <c r="C2695" i="2"/>
  <c r="E2694" i="2"/>
  <c r="F2694" i="2" s="1"/>
  <c r="G2694" i="2" s="1"/>
  <c r="C2694" i="2"/>
  <c r="D2694" i="2" s="1"/>
  <c r="F2693" i="2"/>
  <c r="G2693" i="2" s="1"/>
  <c r="E2693" i="2"/>
  <c r="D2693" i="2"/>
  <c r="C2693" i="2"/>
  <c r="E2692" i="2"/>
  <c r="F2692" i="2" s="1"/>
  <c r="G2692" i="2" s="1"/>
  <c r="D2692" i="2"/>
  <c r="C2692" i="2"/>
  <c r="E2691" i="2"/>
  <c r="F2691" i="2" s="1"/>
  <c r="C2691" i="2"/>
  <c r="F2690" i="2"/>
  <c r="E2690" i="2"/>
  <c r="C2690" i="2"/>
  <c r="F2689" i="2"/>
  <c r="G2689" i="2" s="1"/>
  <c r="E2689" i="2"/>
  <c r="D2689" i="2"/>
  <c r="C2689" i="2"/>
  <c r="E2688" i="2"/>
  <c r="F2688" i="2" s="1"/>
  <c r="C2688" i="2"/>
  <c r="E2687" i="2"/>
  <c r="F2687" i="2" s="1"/>
  <c r="G2687" i="2" s="1"/>
  <c r="D2687" i="2"/>
  <c r="C2687" i="2"/>
  <c r="F2686" i="2"/>
  <c r="E2686" i="2"/>
  <c r="C2686" i="2"/>
  <c r="F2685" i="2"/>
  <c r="G2685" i="2" s="1"/>
  <c r="E2685" i="2"/>
  <c r="D2685" i="2"/>
  <c r="C2685" i="2"/>
  <c r="E2684" i="2"/>
  <c r="F2684" i="2" s="1"/>
  <c r="C2684" i="2"/>
  <c r="F2683" i="2"/>
  <c r="G2683" i="2" s="1"/>
  <c r="E2683" i="2"/>
  <c r="D2683" i="2"/>
  <c r="C2683" i="2"/>
  <c r="E2682" i="2"/>
  <c r="F2682" i="2" s="1"/>
  <c r="C2682" i="2"/>
  <c r="F2681" i="2"/>
  <c r="G2681" i="2" s="1"/>
  <c r="E2681" i="2"/>
  <c r="C2681" i="2"/>
  <c r="D2681" i="2" s="1"/>
  <c r="F2680" i="2"/>
  <c r="E2680" i="2"/>
  <c r="D2680" i="2"/>
  <c r="C2680" i="2"/>
  <c r="G2680" i="2" s="1"/>
  <c r="F2679" i="2"/>
  <c r="E2679" i="2"/>
  <c r="C2679" i="2"/>
  <c r="E2678" i="2"/>
  <c r="F2678" i="2" s="1"/>
  <c r="D2678" i="2"/>
  <c r="C2678" i="2"/>
  <c r="G2678" i="2" s="1"/>
  <c r="E2677" i="2"/>
  <c r="F2677" i="2" s="1"/>
  <c r="D2677" i="2"/>
  <c r="C2677" i="2"/>
  <c r="G2677" i="2" s="1"/>
  <c r="E2676" i="2"/>
  <c r="F2676" i="2" s="1"/>
  <c r="D2676" i="2"/>
  <c r="C2676" i="2"/>
  <c r="G2676" i="2" s="1"/>
  <c r="E2675" i="2"/>
  <c r="F2675" i="2" s="1"/>
  <c r="C2675" i="2"/>
  <c r="F2674" i="2"/>
  <c r="E2674" i="2"/>
  <c r="D2674" i="2"/>
  <c r="C2674" i="2"/>
  <c r="G2674" i="2" s="1"/>
  <c r="E2673" i="2"/>
  <c r="F2673" i="2" s="1"/>
  <c r="C2673" i="2"/>
  <c r="G2672" i="2"/>
  <c r="F2672" i="2"/>
  <c r="E2672" i="2"/>
  <c r="D2672" i="2"/>
  <c r="C2672" i="2"/>
  <c r="E2671" i="2"/>
  <c r="F2671" i="2" s="1"/>
  <c r="G2671" i="2" s="1"/>
  <c r="C2671" i="2"/>
  <c r="D2671" i="2" s="1"/>
  <c r="E2670" i="2"/>
  <c r="F2670" i="2" s="1"/>
  <c r="C2670" i="2"/>
  <c r="F2669" i="2"/>
  <c r="G2669" i="2" s="1"/>
  <c r="E2669" i="2"/>
  <c r="D2669" i="2"/>
  <c r="C2669" i="2"/>
  <c r="E2668" i="2"/>
  <c r="F2668" i="2" s="1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E2663" i="2"/>
  <c r="F2663" i="2" s="1"/>
  <c r="G2663" i="2" s="1"/>
  <c r="D2663" i="2"/>
  <c r="C2663" i="2"/>
  <c r="E2662" i="2"/>
  <c r="F2662" i="2" s="1"/>
  <c r="C2662" i="2"/>
  <c r="F2661" i="2"/>
  <c r="E2661" i="2"/>
  <c r="C2661" i="2"/>
  <c r="E2660" i="2"/>
  <c r="F2660" i="2" s="1"/>
  <c r="G2660" i="2" s="1"/>
  <c r="D2660" i="2"/>
  <c r="C2660" i="2"/>
  <c r="F2659" i="2"/>
  <c r="G2659" i="2" s="1"/>
  <c r="E2659" i="2"/>
  <c r="C2659" i="2"/>
  <c r="D2659" i="2" s="1"/>
  <c r="E2658" i="2"/>
  <c r="F2658" i="2" s="1"/>
  <c r="G2658" i="2" s="1"/>
  <c r="D2658" i="2"/>
  <c r="C2658" i="2"/>
  <c r="F2657" i="2"/>
  <c r="G2657" i="2" s="1"/>
  <c r="E2657" i="2"/>
  <c r="D2657" i="2"/>
  <c r="C2657" i="2"/>
  <c r="F2656" i="2"/>
  <c r="G2656" i="2" s="1"/>
  <c r="E2656" i="2"/>
  <c r="D2656" i="2"/>
  <c r="C2656" i="2"/>
  <c r="E2655" i="2"/>
  <c r="F2655" i="2" s="1"/>
  <c r="D2655" i="2"/>
  <c r="C2655" i="2"/>
  <c r="G2655" i="2" s="1"/>
  <c r="E2654" i="2"/>
  <c r="F2654" i="2" s="1"/>
  <c r="C2654" i="2"/>
  <c r="E2653" i="2"/>
  <c r="F2653" i="2" s="1"/>
  <c r="D2653" i="2"/>
  <c r="C2653" i="2"/>
  <c r="G2653" i="2" s="1"/>
  <c r="E2652" i="2"/>
  <c r="F2652" i="2" s="1"/>
  <c r="G2652" i="2" s="1"/>
  <c r="D2652" i="2"/>
  <c r="C2652" i="2"/>
  <c r="E2651" i="2"/>
  <c r="F2651" i="2" s="1"/>
  <c r="G2651" i="2" s="1"/>
  <c r="D2651" i="2"/>
  <c r="C2651" i="2"/>
  <c r="E2650" i="2"/>
  <c r="F2650" i="2" s="1"/>
  <c r="G2650" i="2" s="1"/>
  <c r="D2650" i="2"/>
  <c r="C2650" i="2"/>
  <c r="E2649" i="2"/>
  <c r="F2649" i="2" s="1"/>
  <c r="G2649" i="2" s="1"/>
  <c r="D2649" i="2"/>
  <c r="C2649" i="2"/>
  <c r="E2648" i="2"/>
  <c r="F2648" i="2" s="1"/>
  <c r="G2648" i="2" s="1"/>
  <c r="D2648" i="2"/>
  <c r="C2648" i="2"/>
  <c r="E2647" i="2"/>
  <c r="F2647" i="2" s="1"/>
  <c r="C2647" i="2"/>
  <c r="E2646" i="2"/>
  <c r="F2646" i="2" s="1"/>
  <c r="C2646" i="2"/>
  <c r="E2645" i="2"/>
  <c r="F2645" i="2" s="1"/>
  <c r="D2645" i="2"/>
  <c r="C2645" i="2"/>
  <c r="G2645" i="2" s="1"/>
  <c r="E2644" i="2"/>
  <c r="F2644" i="2" s="1"/>
  <c r="C2644" i="2"/>
  <c r="F2643" i="2"/>
  <c r="G2643" i="2" s="1"/>
  <c r="E2643" i="2"/>
  <c r="D2643" i="2"/>
  <c r="C2643" i="2"/>
  <c r="G2642" i="2"/>
  <c r="F2642" i="2"/>
  <c r="E2642" i="2"/>
  <c r="D2642" i="2"/>
  <c r="C2642" i="2"/>
  <c r="F2641" i="2"/>
  <c r="E2641" i="2"/>
  <c r="C2641" i="2"/>
  <c r="F2640" i="2"/>
  <c r="E2640" i="2"/>
  <c r="C2640" i="2"/>
  <c r="E2639" i="2"/>
  <c r="F2639" i="2" s="1"/>
  <c r="C2639" i="2"/>
  <c r="E2638" i="2"/>
  <c r="F2638" i="2" s="1"/>
  <c r="G2638" i="2" s="1"/>
  <c r="D2638" i="2"/>
  <c r="C2638" i="2"/>
  <c r="F2637" i="2"/>
  <c r="E2637" i="2"/>
  <c r="C2637" i="2"/>
  <c r="E2636" i="2"/>
  <c r="F2636" i="2" s="1"/>
  <c r="G2636" i="2" s="1"/>
  <c r="D2636" i="2"/>
  <c r="C2636" i="2"/>
  <c r="E2635" i="2"/>
  <c r="F2635" i="2" s="1"/>
  <c r="D2635" i="2"/>
  <c r="C2635" i="2"/>
  <c r="G2635" i="2" s="1"/>
  <c r="E2634" i="2"/>
  <c r="F2634" i="2" s="1"/>
  <c r="C2634" i="2"/>
  <c r="E2633" i="2"/>
  <c r="F2633" i="2" s="1"/>
  <c r="C2633" i="2"/>
  <c r="F2632" i="2"/>
  <c r="G2632" i="2" s="1"/>
  <c r="E2632" i="2"/>
  <c r="D2632" i="2"/>
  <c r="C2632" i="2"/>
  <c r="E2631" i="2"/>
  <c r="F2631" i="2" s="1"/>
  <c r="C2631" i="2"/>
  <c r="F2630" i="2"/>
  <c r="G2630" i="2" s="1"/>
  <c r="E2630" i="2"/>
  <c r="D2630" i="2"/>
  <c r="C2630" i="2"/>
  <c r="F2629" i="2"/>
  <c r="G2629" i="2" s="1"/>
  <c r="E2629" i="2"/>
  <c r="D2629" i="2"/>
  <c r="C2629" i="2"/>
  <c r="E2628" i="2"/>
  <c r="F2628" i="2" s="1"/>
  <c r="G2628" i="2" s="1"/>
  <c r="D2628" i="2"/>
  <c r="C2628" i="2"/>
  <c r="E2627" i="2"/>
  <c r="F2627" i="2" s="1"/>
  <c r="D2627" i="2"/>
  <c r="C2627" i="2"/>
  <c r="G2627" i="2" s="1"/>
  <c r="E2626" i="2"/>
  <c r="F2626" i="2" s="1"/>
  <c r="C2626" i="2"/>
  <c r="F2625" i="2"/>
  <c r="E2625" i="2"/>
  <c r="C2625" i="2"/>
  <c r="F2624" i="2"/>
  <c r="E2624" i="2"/>
  <c r="C2624" i="2"/>
  <c r="E2623" i="2"/>
  <c r="F2623" i="2" s="1"/>
  <c r="G2623" i="2" s="1"/>
  <c r="D2623" i="2"/>
  <c r="C2623" i="2"/>
  <c r="E2622" i="2"/>
  <c r="F2622" i="2" s="1"/>
  <c r="G2622" i="2" s="1"/>
  <c r="D2622" i="2"/>
  <c r="C2622" i="2"/>
  <c r="E2621" i="2"/>
  <c r="F2621" i="2" s="1"/>
  <c r="C2621" i="2"/>
  <c r="E2620" i="2"/>
  <c r="F2620" i="2" s="1"/>
  <c r="G2620" i="2" s="1"/>
  <c r="D2620" i="2"/>
  <c r="C2620" i="2"/>
  <c r="F2619" i="2"/>
  <c r="E2619" i="2"/>
  <c r="D2619" i="2"/>
  <c r="C2619" i="2"/>
  <c r="G2619" i="2" s="1"/>
  <c r="F2618" i="2"/>
  <c r="E2618" i="2"/>
  <c r="C2618" i="2"/>
  <c r="F2617" i="2"/>
  <c r="E2617" i="2"/>
  <c r="C2617" i="2"/>
  <c r="E2616" i="2"/>
  <c r="F2616" i="2" s="1"/>
  <c r="C2616" i="2"/>
  <c r="E2615" i="2"/>
  <c r="F2615" i="2" s="1"/>
  <c r="G2615" i="2" s="1"/>
  <c r="D2615" i="2"/>
  <c r="C2615" i="2"/>
  <c r="E2614" i="2"/>
  <c r="F2614" i="2" s="1"/>
  <c r="G2614" i="2" s="1"/>
  <c r="C2614" i="2"/>
  <c r="D2614" i="2" s="1"/>
  <c r="E2613" i="2"/>
  <c r="F2613" i="2" s="1"/>
  <c r="C2613" i="2"/>
  <c r="E2612" i="2"/>
  <c r="F2612" i="2" s="1"/>
  <c r="G2612" i="2" s="1"/>
  <c r="C2612" i="2"/>
  <c r="D2612" i="2" s="1"/>
  <c r="F2611" i="2"/>
  <c r="G2611" i="2" s="1"/>
  <c r="E2611" i="2"/>
  <c r="D2611" i="2"/>
  <c r="C2611" i="2"/>
  <c r="E2610" i="2"/>
  <c r="F2610" i="2" s="1"/>
  <c r="G2610" i="2" s="1"/>
  <c r="D2610" i="2"/>
  <c r="C2610" i="2"/>
  <c r="F2609" i="2"/>
  <c r="G2609" i="2" s="1"/>
  <c r="E2609" i="2"/>
  <c r="D2609" i="2"/>
  <c r="C2609" i="2"/>
  <c r="E2608" i="2"/>
  <c r="F2608" i="2" s="1"/>
  <c r="G2608" i="2" s="1"/>
  <c r="C2608" i="2"/>
  <c r="D2608" i="2" s="1"/>
  <c r="F2607" i="2"/>
  <c r="G2607" i="2" s="1"/>
  <c r="E2607" i="2"/>
  <c r="C2607" i="2"/>
  <c r="D2607" i="2" s="1"/>
  <c r="E2606" i="2"/>
  <c r="F2606" i="2" s="1"/>
  <c r="C2606" i="2"/>
  <c r="F2605" i="2"/>
  <c r="E2605" i="2"/>
  <c r="D2605" i="2"/>
  <c r="C2605" i="2"/>
  <c r="G2605" i="2" s="1"/>
  <c r="F2604" i="2"/>
  <c r="E2604" i="2"/>
  <c r="C2604" i="2"/>
  <c r="E2603" i="2"/>
  <c r="F2603" i="2" s="1"/>
  <c r="G2603" i="2" s="1"/>
  <c r="D2603" i="2"/>
  <c r="C2603" i="2"/>
  <c r="F2602" i="2"/>
  <c r="G2602" i="2" s="1"/>
  <c r="E2602" i="2"/>
  <c r="D2602" i="2"/>
  <c r="C2602" i="2"/>
  <c r="F2601" i="2"/>
  <c r="G2601" i="2" s="1"/>
  <c r="E2601" i="2"/>
  <c r="C2601" i="2"/>
  <c r="D2601" i="2" s="1"/>
  <c r="E2600" i="2"/>
  <c r="F2600" i="2" s="1"/>
  <c r="C2600" i="2"/>
  <c r="E2599" i="2"/>
  <c r="F2599" i="2" s="1"/>
  <c r="D2599" i="2"/>
  <c r="C2599" i="2"/>
  <c r="G2599" i="2" s="1"/>
  <c r="E2598" i="2"/>
  <c r="F2598" i="2" s="1"/>
  <c r="G2598" i="2" s="1"/>
  <c r="D2598" i="2"/>
  <c r="C2598" i="2"/>
  <c r="F2597" i="2"/>
  <c r="G2597" i="2" s="1"/>
  <c r="E2597" i="2"/>
  <c r="C2597" i="2"/>
  <c r="D2597" i="2" s="1"/>
  <c r="F2596" i="2"/>
  <c r="G2596" i="2" s="1"/>
  <c r="E2596" i="2"/>
  <c r="C2596" i="2"/>
  <c r="D2596" i="2" s="1"/>
  <c r="F2595" i="2"/>
  <c r="G2595" i="2" s="1"/>
  <c r="E2595" i="2"/>
  <c r="C2595" i="2"/>
  <c r="D2595" i="2" s="1"/>
  <c r="E2594" i="2"/>
  <c r="F2594" i="2" s="1"/>
  <c r="G2594" i="2" s="1"/>
  <c r="C2594" i="2"/>
  <c r="D2594" i="2" s="1"/>
  <c r="E2593" i="2"/>
  <c r="F2593" i="2" s="1"/>
  <c r="G2593" i="2" s="1"/>
  <c r="C2593" i="2"/>
  <c r="D2593" i="2" s="1"/>
  <c r="F2592" i="2"/>
  <c r="G2592" i="2" s="1"/>
  <c r="E2592" i="2"/>
  <c r="D2592" i="2"/>
  <c r="C2592" i="2"/>
  <c r="F2591" i="2"/>
  <c r="E2591" i="2"/>
  <c r="D2591" i="2"/>
  <c r="C2591" i="2"/>
  <c r="G2591" i="2" s="1"/>
  <c r="F2590" i="2"/>
  <c r="E2590" i="2"/>
  <c r="C2590" i="2"/>
  <c r="F2589" i="2"/>
  <c r="E2589" i="2"/>
  <c r="C2589" i="2"/>
  <c r="F2588" i="2"/>
  <c r="E2588" i="2"/>
  <c r="C2588" i="2"/>
  <c r="E2587" i="2"/>
  <c r="F2587" i="2" s="1"/>
  <c r="G2587" i="2" s="1"/>
  <c r="D2587" i="2"/>
  <c r="C2587" i="2"/>
  <c r="F2586" i="2"/>
  <c r="E2586" i="2"/>
  <c r="C2586" i="2"/>
  <c r="F2585" i="2"/>
  <c r="G2585" i="2" s="1"/>
  <c r="E2585" i="2"/>
  <c r="D2585" i="2"/>
  <c r="C2585" i="2"/>
  <c r="E2584" i="2"/>
  <c r="F2584" i="2" s="1"/>
  <c r="G2584" i="2" s="1"/>
  <c r="D2584" i="2"/>
  <c r="C2584" i="2"/>
  <c r="F2583" i="2"/>
  <c r="E2583" i="2"/>
  <c r="C2583" i="2"/>
  <c r="F2582" i="2"/>
  <c r="E2582" i="2"/>
  <c r="C2582" i="2"/>
  <c r="F2581" i="2"/>
  <c r="E2581" i="2"/>
  <c r="C2581" i="2"/>
  <c r="E2580" i="2"/>
  <c r="F2580" i="2" s="1"/>
  <c r="G2580" i="2" s="1"/>
  <c r="D2580" i="2"/>
  <c r="C2580" i="2"/>
  <c r="E2579" i="2"/>
  <c r="F2579" i="2" s="1"/>
  <c r="C2579" i="2"/>
  <c r="F2578" i="2"/>
  <c r="G2578" i="2" s="1"/>
  <c r="E2578" i="2"/>
  <c r="D2578" i="2"/>
  <c r="C2578" i="2"/>
  <c r="E2577" i="2"/>
  <c r="F2577" i="2" s="1"/>
  <c r="G2577" i="2" s="1"/>
  <c r="D2577" i="2"/>
  <c r="C2577" i="2"/>
  <c r="F2576" i="2"/>
  <c r="G2576" i="2" s="1"/>
  <c r="E2576" i="2"/>
  <c r="C2576" i="2"/>
  <c r="D2576" i="2" s="1"/>
  <c r="E2575" i="2"/>
  <c r="F2575" i="2" s="1"/>
  <c r="G2575" i="2" s="1"/>
  <c r="D2575" i="2"/>
  <c r="C2575" i="2"/>
  <c r="F2574" i="2"/>
  <c r="E2574" i="2"/>
  <c r="C2574" i="2"/>
  <c r="E2573" i="2"/>
  <c r="F2573" i="2" s="1"/>
  <c r="G2573" i="2" s="1"/>
  <c r="D2573" i="2"/>
  <c r="C2573" i="2"/>
  <c r="F2572" i="2"/>
  <c r="G2572" i="2" s="1"/>
  <c r="E2572" i="2"/>
  <c r="D2572" i="2"/>
  <c r="C2572" i="2"/>
  <c r="E2571" i="2"/>
  <c r="F2571" i="2" s="1"/>
  <c r="G2571" i="2" s="1"/>
  <c r="D2571" i="2"/>
  <c r="C2571" i="2"/>
  <c r="F2570" i="2"/>
  <c r="E2570" i="2"/>
  <c r="D2570" i="2"/>
  <c r="C2570" i="2"/>
  <c r="G2570" i="2" s="1"/>
  <c r="E2569" i="2"/>
  <c r="F2569" i="2" s="1"/>
  <c r="C2569" i="2"/>
  <c r="F2568" i="2"/>
  <c r="E2568" i="2"/>
  <c r="C2568" i="2"/>
  <c r="E2567" i="2"/>
  <c r="F2567" i="2" s="1"/>
  <c r="G2567" i="2" s="1"/>
  <c r="D2567" i="2"/>
  <c r="C2567" i="2"/>
  <c r="F2566" i="2"/>
  <c r="E2566" i="2"/>
  <c r="D2566" i="2"/>
  <c r="C2566" i="2"/>
  <c r="G2566" i="2" s="1"/>
  <c r="F2565" i="2"/>
  <c r="G2565" i="2" s="1"/>
  <c r="E2565" i="2"/>
  <c r="D2565" i="2"/>
  <c r="C2565" i="2"/>
  <c r="E2564" i="2"/>
  <c r="F2564" i="2" s="1"/>
  <c r="C2564" i="2"/>
  <c r="E2563" i="2"/>
  <c r="F2563" i="2" s="1"/>
  <c r="G2563" i="2" s="1"/>
  <c r="D2563" i="2"/>
  <c r="C2563" i="2"/>
  <c r="G2562" i="2"/>
  <c r="F2562" i="2"/>
  <c r="E2562" i="2"/>
  <c r="D2562" i="2"/>
  <c r="C2562" i="2"/>
  <c r="E2561" i="2"/>
  <c r="F2561" i="2" s="1"/>
  <c r="G2561" i="2" s="1"/>
  <c r="D2561" i="2"/>
  <c r="C2561" i="2"/>
  <c r="E2560" i="2"/>
  <c r="F2560" i="2" s="1"/>
  <c r="C2560" i="2"/>
  <c r="E2559" i="2"/>
  <c r="F2559" i="2" s="1"/>
  <c r="G2559" i="2" s="1"/>
  <c r="D2559" i="2"/>
  <c r="C2559" i="2"/>
  <c r="E2558" i="2"/>
  <c r="F2558" i="2" s="1"/>
  <c r="C2558" i="2"/>
  <c r="E2557" i="2"/>
  <c r="F2557" i="2" s="1"/>
  <c r="C2557" i="2"/>
  <c r="F2556" i="2"/>
  <c r="E2556" i="2"/>
  <c r="C2556" i="2"/>
  <c r="F2555" i="2"/>
  <c r="E2555" i="2"/>
  <c r="C2555" i="2"/>
  <c r="E2554" i="2"/>
  <c r="F2554" i="2" s="1"/>
  <c r="C2554" i="2"/>
  <c r="E2553" i="2"/>
  <c r="F2553" i="2" s="1"/>
  <c r="C2553" i="2"/>
  <c r="F2552" i="2"/>
  <c r="G2552" i="2" s="1"/>
  <c r="E2552" i="2"/>
  <c r="D2552" i="2"/>
  <c r="C2552" i="2"/>
  <c r="F2551" i="2"/>
  <c r="G2551" i="2" s="1"/>
  <c r="E2551" i="2"/>
  <c r="C2551" i="2"/>
  <c r="D2551" i="2" s="1"/>
  <c r="E2550" i="2"/>
  <c r="F2550" i="2" s="1"/>
  <c r="G2550" i="2" s="1"/>
  <c r="C2550" i="2"/>
  <c r="D2550" i="2" s="1"/>
  <c r="F2549" i="2"/>
  <c r="E2549" i="2"/>
  <c r="C2549" i="2"/>
  <c r="F2548" i="2"/>
  <c r="E2548" i="2"/>
  <c r="C2548" i="2"/>
  <c r="F2547" i="2"/>
  <c r="E2547" i="2"/>
  <c r="C2547" i="2"/>
  <c r="E2546" i="2"/>
  <c r="F2546" i="2" s="1"/>
  <c r="G2546" i="2" s="1"/>
  <c r="D2546" i="2"/>
  <c r="C2546" i="2"/>
  <c r="E2545" i="2"/>
  <c r="F2545" i="2" s="1"/>
  <c r="C2545" i="2"/>
  <c r="E2544" i="2"/>
  <c r="F2544" i="2" s="1"/>
  <c r="G2544" i="2" s="1"/>
  <c r="D2544" i="2"/>
  <c r="C2544" i="2"/>
  <c r="E2543" i="2"/>
  <c r="F2543" i="2" s="1"/>
  <c r="C2543" i="2"/>
  <c r="F2542" i="2"/>
  <c r="E2542" i="2"/>
  <c r="C2542" i="2"/>
  <c r="F2541" i="2"/>
  <c r="E2541" i="2"/>
  <c r="D2541" i="2"/>
  <c r="C2541" i="2"/>
  <c r="G2541" i="2" s="1"/>
  <c r="F2540" i="2"/>
  <c r="G2540" i="2" s="1"/>
  <c r="E2540" i="2"/>
  <c r="C2540" i="2"/>
  <c r="D2540" i="2" s="1"/>
  <c r="F2539" i="2"/>
  <c r="E2539" i="2"/>
  <c r="C2539" i="2"/>
  <c r="F2538" i="2"/>
  <c r="G2538" i="2" s="1"/>
  <c r="E2538" i="2"/>
  <c r="D2538" i="2"/>
  <c r="C2538" i="2"/>
  <c r="F2537" i="2"/>
  <c r="E2537" i="2"/>
  <c r="C2537" i="2"/>
  <c r="F2536" i="2"/>
  <c r="E2536" i="2"/>
  <c r="C2536" i="2"/>
  <c r="F2535" i="2"/>
  <c r="G2535" i="2" s="1"/>
  <c r="E2535" i="2"/>
  <c r="D2535" i="2"/>
  <c r="C2535" i="2"/>
  <c r="F2534" i="2"/>
  <c r="E2534" i="2"/>
  <c r="C2534" i="2"/>
  <c r="E2533" i="2"/>
  <c r="F2533" i="2" s="1"/>
  <c r="G2533" i="2" s="1"/>
  <c r="D2533" i="2"/>
  <c r="C2533" i="2"/>
  <c r="E2532" i="2"/>
  <c r="F2532" i="2" s="1"/>
  <c r="C2532" i="2"/>
  <c r="F2531" i="2"/>
  <c r="E2531" i="2"/>
  <c r="C2531" i="2"/>
  <c r="E2530" i="2"/>
  <c r="F2530" i="2" s="1"/>
  <c r="C2530" i="2"/>
  <c r="F2529" i="2"/>
  <c r="G2529" i="2" s="1"/>
  <c r="E2529" i="2"/>
  <c r="C2529" i="2"/>
  <c r="D2529" i="2" s="1"/>
  <c r="E2528" i="2"/>
  <c r="F2528" i="2" s="1"/>
  <c r="G2528" i="2" s="1"/>
  <c r="C2528" i="2"/>
  <c r="D2528" i="2" s="1"/>
  <c r="F2527" i="2"/>
  <c r="E2527" i="2"/>
  <c r="C2527" i="2"/>
  <c r="E2526" i="2"/>
  <c r="F2526" i="2" s="1"/>
  <c r="G2526" i="2" s="1"/>
  <c r="D2526" i="2"/>
  <c r="C2526" i="2"/>
  <c r="E2525" i="2"/>
  <c r="F2525" i="2" s="1"/>
  <c r="D2525" i="2"/>
  <c r="C2525" i="2"/>
  <c r="G2525" i="2" s="1"/>
  <c r="F2524" i="2"/>
  <c r="G2524" i="2" s="1"/>
  <c r="E2524" i="2"/>
  <c r="D2524" i="2"/>
  <c r="C2524" i="2"/>
  <c r="E2523" i="2"/>
  <c r="F2523" i="2" s="1"/>
  <c r="G2523" i="2" s="1"/>
  <c r="D2523" i="2"/>
  <c r="C2523" i="2"/>
  <c r="F2522" i="2"/>
  <c r="G2522" i="2" s="1"/>
  <c r="E2522" i="2"/>
  <c r="C2522" i="2"/>
  <c r="D2522" i="2" s="1"/>
  <c r="G2521" i="2"/>
  <c r="F2521" i="2"/>
  <c r="E2521" i="2"/>
  <c r="D2521" i="2"/>
  <c r="C2521" i="2"/>
  <c r="F2520" i="2"/>
  <c r="E2520" i="2"/>
  <c r="D2520" i="2"/>
  <c r="C2520" i="2"/>
  <c r="G2520" i="2" s="1"/>
  <c r="F2519" i="2"/>
  <c r="G2519" i="2" s="1"/>
  <c r="E2519" i="2"/>
  <c r="D2519" i="2"/>
  <c r="C2519" i="2"/>
  <c r="E2518" i="2"/>
  <c r="F2518" i="2" s="1"/>
  <c r="D2518" i="2"/>
  <c r="C2518" i="2"/>
  <c r="G2518" i="2" s="1"/>
  <c r="F2517" i="2"/>
  <c r="E2517" i="2"/>
  <c r="C2517" i="2"/>
  <c r="E2516" i="2"/>
  <c r="F2516" i="2" s="1"/>
  <c r="G2516" i="2" s="1"/>
  <c r="D2516" i="2"/>
  <c r="C2516" i="2"/>
  <c r="F2515" i="2"/>
  <c r="E2515" i="2"/>
  <c r="D2515" i="2"/>
  <c r="C2515" i="2"/>
  <c r="G2515" i="2" s="1"/>
  <c r="F2514" i="2"/>
  <c r="G2514" i="2" s="1"/>
  <c r="E2514" i="2"/>
  <c r="C2514" i="2"/>
  <c r="D2514" i="2" s="1"/>
  <c r="F2513" i="2"/>
  <c r="E2513" i="2"/>
  <c r="C2513" i="2"/>
  <c r="F2512" i="2"/>
  <c r="E2512" i="2"/>
  <c r="C2512" i="2"/>
  <c r="E2511" i="2"/>
  <c r="F2511" i="2" s="1"/>
  <c r="D2511" i="2"/>
  <c r="C2511" i="2"/>
  <c r="G2511" i="2" s="1"/>
  <c r="E2510" i="2"/>
  <c r="F2510" i="2" s="1"/>
  <c r="C2510" i="2"/>
  <c r="E2509" i="2"/>
  <c r="F2509" i="2" s="1"/>
  <c r="C2509" i="2"/>
  <c r="E2508" i="2"/>
  <c r="F2508" i="2" s="1"/>
  <c r="G2508" i="2" s="1"/>
  <c r="C2508" i="2"/>
  <c r="D2508" i="2" s="1"/>
  <c r="E2507" i="2"/>
  <c r="F2507" i="2" s="1"/>
  <c r="C2507" i="2"/>
  <c r="F2506" i="2"/>
  <c r="G2506" i="2" s="1"/>
  <c r="E2506" i="2"/>
  <c r="C2506" i="2"/>
  <c r="D2506" i="2" s="1"/>
  <c r="F2505" i="2"/>
  <c r="E2505" i="2"/>
  <c r="C2505" i="2"/>
  <c r="F2504" i="2"/>
  <c r="E2504" i="2"/>
  <c r="D2504" i="2"/>
  <c r="C2504" i="2"/>
  <c r="G2504" i="2" s="1"/>
  <c r="F2503" i="2"/>
  <c r="G2503" i="2" s="1"/>
  <c r="E2503" i="2"/>
  <c r="C2503" i="2"/>
  <c r="D2503" i="2" s="1"/>
  <c r="E2502" i="2"/>
  <c r="F2502" i="2" s="1"/>
  <c r="G2502" i="2" s="1"/>
  <c r="D2502" i="2"/>
  <c r="C2502" i="2"/>
  <c r="E2501" i="2"/>
  <c r="F2501" i="2" s="1"/>
  <c r="C2501" i="2"/>
  <c r="E2500" i="2"/>
  <c r="F2500" i="2" s="1"/>
  <c r="C2500" i="2"/>
  <c r="E2499" i="2"/>
  <c r="F2499" i="2" s="1"/>
  <c r="C2499" i="2"/>
  <c r="E2498" i="2"/>
  <c r="F2498" i="2" s="1"/>
  <c r="C2498" i="2"/>
  <c r="E2497" i="2"/>
  <c r="F2497" i="2" s="1"/>
  <c r="C2497" i="2"/>
  <c r="E2496" i="2"/>
  <c r="F2496" i="2" s="1"/>
  <c r="C2496" i="2"/>
  <c r="E2495" i="2"/>
  <c r="F2495" i="2" s="1"/>
  <c r="C2495" i="2"/>
  <c r="E2494" i="2"/>
  <c r="F2494" i="2" s="1"/>
  <c r="C2494" i="2"/>
  <c r="E2493" i="2"/>
  <c r="F2493" i="2" s="1"/>
  <c r="C2493" i="2"/>
  <c r="E2492" i="2"/>
  <c r="F2492" i="2" s="1"/>
  <c r="C2492" i="2"/>
  <c r="E2491" i="2"/>
  <c r="F2491" i="2" s="1"/>
  <c r="C2491" i="2"/>
  <c r="E2490" i="2"/>
  <c r="F2490" i="2" s="1"/>
  <c r="C2490" i="2"/>
  <c r="E2489" i="2"/>
  <c r="F2489" i="2" s="1"/>
  <c r="C2489" i="2"/>
  <c r="E2488" i="2"/>
  <c r="F2488" i="2" s="1"/>
  <c r="C2488" i="2"/>
  <c r="E2487" i="2"/>
  <c r="F2487" i="2" s="1"/>
  <c r="C2487" i="2"/>
  <c r="E2486" i="2"/>
  <c r="F2486" i="2" s="1"/>
  <c r="C2486" i="2"/>
  <c r="E2485" i="2"/>
  <c r="F2485" i="2" s="1"/>
  <c r="C2485" i="2"/>
  <c r="E2484" i="2"/>
  <c r="F2484" i="2" s="1"/>
  <c r="C2484" i="2"/>
  <c r="E2483" i="2"/>
  <c r="F2483" i="2" s="1"/>
  <c r="C2483" i="2"/>
  <c r="E2482" i="2"/>
  <c r="F2482" i="2" s="1"/>
  <c r="C2482" i="2"/>
  <c r="E2481" i="2"/>
  <c r="F2481" i="2" s="1"/>
  <c r="C2481" i="2"/>
  <c r="E2480" i="2"/>
  <c r="F2480" i="2" s="1"/>
  <c r="C2480" i="2"/>
  <c r="E2479" i="2"/>
  <c r="F2479" i="2" s="1"/>
  <c r="C2479" i="2"/>
  <c r="E2478" i="2"/>
  <c r="F2478" i="2" s="1"/>
  <c r="C2478" i="2"/>
  <c r="E2477" i="2"/>
  <c r="F2477" i="2" s="1"/>
  <c r="C2477" i="2"/>
  <c r="E2476" i="2"/>
  <c r="F2476" i="2" s="1"/>
  <c r="C2476" i="2"/>
  <c r="E2475" i="2"/>
  <c r="F2475" i="2" s="1"/>
  <c r="C2475" i="2"/>
  <c r="E2474" i="2"/>
  <c r="F2474" i="2" s="1"/>
  <c r="C2474" i="2"/>
  <c r="E2473" i="2"/>
  <c r="F2473" i="2" s="1"/>
  <c r="C2473" i="2"/>
  <c r="E2472" i="2"/>
  <c r="F2472" i="2" s="1"/>
  <c r="C2472" i="2"/>
  <c r="E2471" i="2"/>
  <c r="F2471" i="2" s="1"/>
  <c r="C2471" i="2"/>
  <c r="E2470" i="2"/>
  <c r="F2470" i="2" s="1"/>
  <c r="C2470" i="2"/>
  <c r="E2469" i="2"/>
  <c r="F2469" i="2" s="1"/>
  <c r="C2469" i="2"/>
  <c r="E2468" i="2"/>
  <c r="F2468" i="2" s="1"/>
  <c r="C2468" i="2"/>
  <c r="E2467" i="2"/>
  <c r="F2467" i="2" s="1"/>
  <c r="C2467" i="2"/>
  <c r="E2466" i="2"/>
  <c r="F2466" i="2" s="1"/>
  <c r="C2466" i="2"/>
  <c r="E2465" i="2"/>
  <c r="F2465" i="2" s="1"/>
  <c r="C2465" i="2"/>
  <c r="E2464" i="2"/>
  <c r="F2464" i="2" s="1"/>
  <c r="C2464" i="2"/>
  <c r="E2463" i="2"/>
  <c r="F2463" i="2" s="1"/>
  <c r="C2463" i="2"/>
  <c r="E2462" i="2"/>
  <c r="F2462" i="2" s="1"/>
  <c r="C2462" i="2"/>
  <c r="E2461" i="2"/>
  <c r="F2461" i="2" s="1"/>
  <c r="C2461" i="2"/>
  <c r="E2460" i="2"/>
  <c r="F2460" i="2" s="1"/>
  <c r="C2460" i="2"/>
  <c r="E2459" i="2"/>
  <c r="F2459" i="2" s="1"/>
  <c r="C2459" i="2"/>
  <c r="E2458" i="2"/>
  <c r="F2458" i="2" s="1"/>
  <c r="C2458" i="2"/>
  <c r="E2457" i="2"/>
  <c r="F2457" i="2" s="1"/>
  <c r="C2457" i="2"/>
  <c r="E2456" i="2"/>
  <c r="F2456" i="2" s="1"/>
  <c r="C2456" i="2"/>
  <c r="E2455" i="2"/>
  <c r="F2455" i="2" s="1"/>
  <c r="C2455" i="2"/>
  <c r="E2454" i="2"/>
  <c r="F2454" i="2" s="1"/>
  <c r="C2454" i="2"/>
  <c r="E2453" i="2"/>
  <c r="F2453" i="2" s="1"/>
  <c r="C2453" i="2"/>
  <c r="E2452" i="2"/>
  <c r="F2452" i="2" s="1"/>
  <c r="C2452" i="2"/>
  <c r="E2451" i="2"/>
  <c r="F2451" i="2" s="1"/>
  <c r="C2451" i="2"/>
  <c r="E2450" i="2"/>
  <c r="F2450" i="2" s="1"/>
  <c r="C2450" i="2"/>
  <c r="E2449" i="2"/>
  <c r="F2449" i="2" s="1"/>
  <c r="C2449" i="2"/>
  <c r="E2448" i="2"/>
  <c r="F2448" i="2" s="1"/>
  <c r="C2448" i="2"/>
  <c r="E2447" i="2"/>
  <c r="F2447" i="2" s="1"/>
  <c r="C2447" i="2"/>
  <c r="E2446" i="2"/>
  <c r="F2446" i="2" s="1"/>
  <c r="C2446" i="2"/>
  <c r="E2445" i="2"/>
  <c r="F2445" i="2" s="1"/>
  <c r="C2445" i="2"/>
  <c r="E2444" i="2"/>
  <c r="F2444" i="2" s="1"/>
  <c r="C2444" i="2"/>
  <c r="E2443" i="2"/>
  <c r="F2443" i="2" s="1"/>
  <c r="C2443" i="2"/>
  <c r="E2442" i="2"/>
  <c r="F2442" i="2" s="1"/>
  <c r="C2442" i="2"/>
  <c r="E2441" i="2"/>
  <c r="F2441" i="2" s="1"/>
  <c r="C2441" i="2"/>
  <c r="E2440" i="2"/>
  <c r="F2440" i="2" s="1"/>
  <c r="C2440" i="2"/>
  <c r="E2439" i="2"/>
  <c r="F2439" i="2" s="1"/>
  <c r="C2439" i="2"/>
  <c r="E2438" i="2"/>
  <c r="F2438" i="2" s="1"/>
  <c r="C2438" i="2"/>
  <c r="E2437" i="2"/>
  <c r="F2437" i="2" s="1"/>
  <c r="C2437" i="2"/>
  <c r="E2436" i="2"/>
  <c r="F2436" i="2" s="1"/>
  <c r="C2436" i="2"/>
  <c r="E2435" i="2"/>
  <c r="F2435" i="2" s="1"/>
  <c r="C2435" i="2"/>
  <c r="E2434" i="2"/>
  <c r="F2434" i="2" s="1"/>
  <c r="C2434" i="2"/>
  <c r="E2433" i="2"/>
  <c r="F2433" i="2" s="1"/>
  <c r="C2433" i="2"/>
  <c r="E2432" i="2"/>
  <c r="F2432" i="2" s="1"/>
  <c r="C2432" i="2"/>
  <c r="E2431" i="2"/>
  <c r="F2431" i="2" s="1"/>
  <c r="C2431" i="2"/>
  <c r="E2430" i="2"/>
  <c r="F2430" i="2" s="1"/>
  <c r="C2430" i="2"/>
  <c r="E2429" i="2"/>
  <c r="F2429" i="2" s="1"/>
  <c r="C2429" i="2"/>
  <c r="E2428" i="2"/>
  <c r="F2428" i="2" s="1"/>
  <c r="C2428" i="2"/>
  <c r="E2427" i="2"/>
  <c r="F2427" i="2" s="1"/>
  <c r="C2427" i="2"/>
  <c r="E2426" i="2"/>
  <c r="F2426" i="2" s="1"/>
  <c r="C2426" i="2"/>
  <c r="E2425" i="2"/>
  <c r="F2425" i="2" s="1"/>
  <c r="C2425" i="2"/>
  <c r="E2424" i="2"/>
  <c r="F2424" i="2" s="1"/>
  <c r="C2424" i="2"/>
  <c r="E2423" i="2"/>
  <c r="F2423" i="2" s="1"/>
  <c r="C2423" i="2"/>
  <c r="E2422" i="2"/>
  <c r="F2422" i="2" s="1"/>
  <c r="C2422" i="2"/>
  <c r="E2421" i="2"/>
  <c r="F2421" i="2" s="1"/>
  <c r="C2421" i="2"/>
  <c r="E2420" i="2"/>
  <c r="F2420" i="2" s="1"/>
  <c r="C2420" i="2"/>
  <c r="E2419" i="2"/>
  <c r="F2419" i="2" s="1"/>
  <c r="C2419" i="2"/>
  <c r="E2418" i="2"/>
  <c r="F2418" i="2" s="1"/>
  <c r="C2418" i="2"/>
  <c r="E2417" i="2"/>
  <c r="F2417" i="2" s="1"/>
  <c r="C2417" i="2"/>
  <c r="E2416" i="2"/>
  <c r="F2416" i="2" s="1"/>
  <c r="C2416" i="2"/>
  <c r="E2415" i="2"/>
  <c r="F2415" i="2" s="1"/>
  <c r="C2415" i="2"/>
  <c r="E2414" i="2"/>
  <c r="F2414" i="2" s="1"/>
  <c r="C2414" i="2"/>
  <c r="E2413" i="2"/>
  <c r="F2413" i="2" s="1"/>
  <c r="C2413" i="2"/>
  <c r="E2412" i="2"/>
  <c r="F2412" i="2" s="1"/>
  <c r="C2412" i="2"/>
  <c r="E2411" i="2"/>
  <c r="F2411" i="2" s="1"/>
  <c r="C2411" i="2"/>
  <c r="E2410" i="2"/>
  <c r="F2410" i="2" s="1"/>
  <c r="C2410" i="2"/>
  <c r="E2409" i="2"/>
  <c r="F2409" i="2" s="1"/>
  <c r="C2409" i="2"/>
  <c r="E2408" i="2"/>
  <c r="F2408" i="2" s="1"/>
  <c r="C2408" i="2"/>
  <c r="E2407" i="2"/>
  <c r="F2407" i="2" s="1"/>
  <c r="C2407" i="2"/>
  <c r="E2406" i="2"/>
  <c r="F2406" i="2" s="1"/>
  <c r="C2406" i="2"/>
  <c r="E2405" i="2"/>
  <c r="F2405" i="2" s="1"/>
  <c r="C2405" i="2"/>
  <c r="E2404" i="2"/>
  <c r="F2404" i="2" s="1"/>
  <c r="C2404" i="2"/>
  <c r="E2403" i="2"/>
  <c r="F2403" i="2" s="1"/>
  <c r="C2403" i="2"/>
  <c r="E2402" i="2"/>
  <c r="F2402" i="2" s="1"/>
  <c r="C2402" i="2"/>
  <c r="E2401" i="2"/>
  <c r="F2401" i="2" s="1"/>
  <c r="C2401" i="2"/>
  <c r="E2400" i="2"/>
  <c r="F2400" i="2" s="1"/>
  <c r="C2400" i="2"/>
  <c r="E2399" i="2"/>
  <c r="F2399" i="2" s="1"/>
  <c r="C2399" i="2"/>
  <c r="E2398" i="2"/>
  <c r="F2398" i="2" s="1"/>
  <c r="C2398" i="2"/>
  <c r="E2397" i="2"/>
  <c r="F2397" i="2" s="1"/>
  <c r="C2397" i="2"/>
  <c r="E2396" i="2"/>
  <c r="F2396" i="2" s="1"/>
  <c r="C2396" i="2"/>
  <c r="E2395" i="2"/>
  <c r="F2395" i="2" s="1"/>
  <c r="C2395" i="2"/>
  <c r="E2394" i="2"/>
  <c r="F2394" i="2" s="1"/>
  <c r="C2394" i="2"/>
  <c r="E2393" i="2"/>
  <c r="F2393" i="2" s="1"/>
  <c r="C2393" i="2"/>
  <c r="E2392" i="2"/>
  <c r="F2392" i="2" s="1"/>
  <c r="C2392" i="2"/>
  <c r="E2391" i="2"/>
  <c r="F2391" i="2" s="1"/>
  <c r="C2391" i="2"/>
  <c r="E2390" i="2"/>
  <c r="F2390" i="2" s="1"/>
  <c r="C2390" i="2"/>
  <c r="E2389" i="2"/>
  <c r="F2389" i="2" s="1"/>
  <c r="C2389" i="2"/>
  <c r="E2388" i="2"/>
  <c r="F2388" i="2" s="1"/>
  <c r="C2388" i="2"/>
  <c r="E2387" i="2"/>
  <c r="F2387" i="2" s="1"/>
  <c r="C2387" i="2"/>
  <c r="E2386" i="2"/>
  <c r="F2386" i="2" s="1"/>
  <c r="C2386" i="2"/>
  <c r="E2385" i="2"/>
  <c r="F2385" i="2" s="1"/>
  <c r="C2385" i="2"/>
  <c r="E2384" i="2"/>
  <c r="F2384" i="2" s="1"/>
  <c r="C2384" i="2"/>
  <c r="E2383" i="2"/>
  <c r="F2383" i="2" s="1"/>
  <c r="C2383" i="2"/>
  <c r="E2382" i="2"/>
  <c r="F2382" i="2" s="1"/>
  <c r="C2382" i="2"/>
  <c r="E2381" i="2"/>
  <c r="F2381" i="2" s="1"/>
  <c r="C2381" i="2"/>
  <c r="E2380" i="2"/>
  <c r="F2380" i="2" s="1"/>
  <c r="C2380" i="2"/>
  <c r="E2379" i="2"/>
  <c r="F2379" i="2" s="1"/>
  <c r="C2379" i="2"/>
  <c r="E2378" i="2"/>
  <c r="F2378" i="2" s="1"/>
  <c r="C2378" i="2"/>
  <c r="E2377" i="2"/>
  <c r="F2377" i="2" s="1"/>
  <c r="C2377" i="2"/>
  <c r="E2376" i="2"/>
  <c r="F2376" i="2" s="1"/>
  <c r="C2376" i="2"/>
  <c r="E2375" i="2"/>
  <c r="F2375" i="2" s="1"/>
  <c r="C2375" i="2"/>
  <c r="E2374" i="2"/>
  <c r="F2374" i="2" s="1"/>
  <c r="C2374" i="2"/>
  <c r="E2373" i="2"/>
  <c r="F2373" i="2" s="1"/>
  <c r="C2373" i="2"/>
  <c r="E2372" i="2"/>
  <c r="F2372" i="2" s="1"/>
  <c r="C2372" i="2"/>
  <c r="E2371" i="2"/>
  <c r="F2371" i="2" s="1"/>
  <c r="C2371" i="2"/>
  <c r="E2370" i="2"/>
  <c r="F2370" i="2" s="1"/>
  <c r="C2370" i="2"/>
  <c r="E2369" i="2"/>
  <c r="F2369" i="2" s="1"/>
  <c r="C2369" i="2"/>
  <c r="E2368" i="2"/>
  <c r="F2368" i="2" s="1"/>
  <c r="C2368" i="2"/>
  <c r="E2367" i="2"/>
  <c r="F2367" i="2" s="1"/>
  <c r="C2367" i="2"/>
  <c r="E2366" i="2"/>
  <c r="F2366" i="2" s="1"/>
  <c r="C2366" i="2"/>
  <c r="E2365" i="2"/>
  <c r="F2365" i="2" s="1"/>
  <c r="C2365" i="2"/>
  <c r="E2364" i="2"/>
  <c r="F2364" i="2" s="1"/>
  <c r="C2364" i="2"/>
  <c r="E2363" i="2"/>
  <c r="F2363" i="2" s="1"/>
  <c r="C2363" i="2"/>
  <c r="E2362" i="2"/>
  <c r="F2362" i="2" s="1"/>
  <c r="C2362" i="2"/>
  <c r="E2361" i="2"/>
  <c r="F2361" i="2" s="1"/>
  <c r="C2361" i="2"/>
  <c r="E2360" i="2"/>
  <c r="F2360" i="2" s="1"/>
  <c r="C2360" i="2"/>
  <c r="E2359" i="2"/>
  <c r="F2359" i="2" s="1"/>
  <c r="C2359" i="2"/>
  <c r="E2358" i="2"/>
  <c r="F2358" i="2" s="1"/>
  <c r="C2358" i="2"/>
  <c r="E2357" i="2"/>
  <c r="F2357" i="2" s="1"/>
  <c r="C2357" i="2"/>
  <c r="E2356" i="2"/>
  <c r="F2356" i="2" s="1"/>
  <c r="C2356" i="2"/>
  <c r="E2355" i="2"/>
  <c r="F2355" i="2" s="1"/>
  <c r="C2355" i="2"/>
  <c r="E2354" i="2"/>
  <c r="F2354" i="2" s="1"/>
  <c r="C2354" i="2"/>
  <c r="E2353" i="2"/>
  <c r="F2353" i="2" s="1"/>
  <c r="C2353" i="2"/>
  <c r="E2352" i="2"/>
  <c r="F2352" i="2" s="1"/>
  <c r="C2352" i="2"/>
  <c r="E2351" i="2"/>
  <c r="F2351" i="2" s="1"/>
  <c r="C2351" i="2"/>
  <c r="E2350" i="2"/>
  <c r="F2350" i="2" s="1"/>
  <c r="C2350" i="2"/>
  <c r="E2349" i="2"/>
  <c r="F2349" i="2" s="1"/>
  <c r="C2349" i="2"/>
  <c r="E2348" i="2"/>
  <c r="F2348" i="2" s="1"/>
  <c r="C2348" i="2"/>
  <c r="E2347" i="2"/>
  <c r="F2347" i="2" s="1"/>
  <c r="C2347" i="2"/>
  <c r="E2346" i="2"/>
  <c r="F2346" i="2" s="1"/>
  <c r="C2346" i="2"/>
  <c r="E2345" i="2"/>
  <c r="F2345" i="2" s="1"/>
  <c r="C2345" i="2"/>
  <c r="E2344" i="2"/>
  <c r="F2344" i="2" s="1"/>
  <c r="C2344" i="2"/>
  <c r="E2343" i="2"/>
  <c r="F2343" i="2" s="1"/>
  <c r="C2343" i="2"/>
  <c r="E2342" i="2"/>
  <c r="F2342" i="2" s="1"/>
  <c r="C2342" i="2"/>
  <c r="E2341" i="2"/>
  <c r="F2341" i="2" s="1"/>
  <c r="C2341" i="2"/>
  <c r="E2340" i="2"/>
  <c r="F2340" i="2" s="1"/>
  <c r="C2340" i="2"/>
  <c r="E2339" i="2"/>
  <c r="F2339" i="2" s="1"/>
  <c r="C2339" i="2"/>
  <c r="E2338" i="2"/>
  <c r="F2338" i="2" s="1"/>
  <c r="C2338" i="2"/>
  <c r="E2337" i="2"/>
  <c r="F2337" i="2" s="1"/>
  <c r="C2337" i="2"/>
  <c r="E2336" i="2"/>
  <c r="F2336" i="2" s="1"/>
  <c r="C2336" i="2"/>
  <c r="E2335" i="2"/>
  <c r="F2335" i="2" s="1"/>
  <c r="C2335" i="2"/>
  <c r="E2334" i="2"/>
  <c r="F2334" i="2" s="1"/>
  <c r="C2334" i="2"/>
  <c r="E2333" i="2"/>
  <c r="F2333" i="2" s="1"/>
  <c r="C2333" i="2"/>
  <c r="E2332" i="2"/>
  <c r="F2332" i="2" s="1"/>
  <c r="C2332" i="2"/>
  <c r="E2331" i="2"/>
  <c r="F2331" i="2" s="1"/>
  <c r="C2331" i="2"/>
  <c r="E2330" i="2"/>
  <c r="F2330" i="2" s="1"/>
  <c r="C2330" i="2"/>
  <c r="E2329" i="2"/>
  <c r="F2329" i="2" s="1"/>
  <c r="C2329" i="2"/>
  <c r="E2328" i="2"/>
  <c r="F2328" i="2" s="1"/>
  <c r="C2328" i="2"/>
  <c r="E2327" i="2"/>
  <c r="F2327" i="2" s="1"/>
  <c r="C2327" i="2"/>
  <c r="E2326" i="2"/>
  <c r="F2326" i="2" s="1"/>
  <c r="C2326" i="2"/>
  <c r="E2325" i="2"/>
  <c r="F2325" i="2" s="1"/>
  <c r="C2325" i="2"/>
  <c r="E2324" i="2"/>
  <c r="F2324" i="2" s="1"/>
  <c r="C2324" i="2"/>
  <c r="E2323" i="2"/>
  <c r="F2323" i="2" s="1"/>
  <c r="C2323" i="2"/>
  <c r="E2322" i="2"/>
  <c r="F2322" i="2" s="1"/>
  <c r="C2322" i="2"/>
  <c r="E2321" i="2"/>
  <c r="F2321" i="2" s="1"/>
  <c r="C2321" i="2"/>
  <c r="E2320" i="2"/>
  <c r="F2320" i="2" s="1"/>
  <c r="C2320" i="2"/>
  <c r="E2319" i="2"/>
  <c r="F2319" i="2" s="1"/>
  <c r="C2319" i="2"/>
  <c r="E2318" i="2"/>
  <c r="F2318" i="2" s="1"/>
  <c r="C2318" i="2"/>
  <c r="E2317" i="2"/>
  <c r="F2317" i="2" s="1"/>
  <c r="C2317" i="2"/>
  <c r="E2316" i="2"/>
  <c r="F2316" i="2" s="1"/>
  <c r="C2316" i="2"/>
  <c r="E2315" i="2"/>
  <c r="F2315" i="2" s="1"/>
  <c r="C2315" i="2"/>
  <c r="E2314" i="2"/>
  <c r="F2314" i="2" s="1"/>
  <c r="C2314" i="2"/>
  <c r="E2313" i="2"/>
  <c r="F2313" i="2" s="1"/>
  <c r="C2313" i="2"/>
  <c r="E2312" i="2"/>
  <c r="F2312" i="2" s="1"/>
  <c r="C2312" i="2"/>
  <c r="E2311" i="2"/>
  <c r="F2311" i="2" s="1"/>
  <c r="C2311" i="2"/>
  <c r="E2310" i="2"/>
  <c r="F2310" i="2" s="1"/>
  <c r="C2310" i="2"/>
  <c r="E2309" i="2"/>
  <c r="F2309" i="2" s="1"/>
  <c r="C2309" i="2"/>
  <c r="E2308" i="2"/>
  <c r="F2308" i="2" s="1"/>
  <c r="C2308" i="2"/>
  <c r="E2307" i="2"/>
  <c r="F2307" i="2" s="1"/>
  <c r="C2307" i="2"/>
  <c r="E2306" i="2"/>
  <c r="F2306" i="2" s="1"/>
  <c r="C2306" i="2"/>
  <c r="E2305" i="2"/>
  <c r="F2305" i="2" s="1"/>
  <c r="C2305" i="2"/>
  <c r="E2304" i="2"/>
  <c r="F2304" i="2" s="1"/>
  <c r="C2304" i="2"/>
  <c r="E2303" i="2"/>
  <c r="F2303" i="2" s="1"/>
  <c r="C2303" i="2"/>
  <c r="E2302" i="2"/>
  <c r="F2302" i="2" s="1"/>
  <c r="C2302" i="2"/>
  <c r="E2301" i="2"/>
  <c r="F2301" i="2" s="1"/>
  <c r="C2301" i="2"/>
  <c r="E2300" i="2"/>
  <c r="F2300" i="2" s="1"/>
  <c r="C2300" i="2"/>
  <c r="E2299" i="2"/>
  <c r="F2299" i="2" s="1"/>
  <c r="C2299" i="2"/>
  <c r="E2298" i="2"/>
  <c r="F2298" i="2" s="1"/>
  <c r="C2298" i="2"/>
  <c r="E2297" i="2"/>
  <c r="F2297" i="2" s="1"/>
  <c r="C2297" i="2"/>
  <c r="E2296" i="2"/>
  <c r="F2296" i="2" s="1"/>
  <c r="C2296" i="2"/>
  <c r="E2295" i="2"/>
  <c r="F2295" i="2" s="1"/>
  <c r="C2295" i="2"/>
  <c r="E2294" i="2"/>
  <c r="F2294" i="2" s="1"/>
  <c r="C2294" i="2"/>
  <c r="E2293" i="2"/>
  <c r="F2293" i="2" s="1"/>
  <c r="C2293" i="2"/>
  <c r="E2292" i="2"/>
  <c r="F2292" i="2" s="1"/>
  <c r="C2292" i="2"/>
  <c r="E2291" i="2"/>
  <c r="F2291" i="2" s="1"/>
  <c r="C2291" i="2"/>
  <c r="E2290" i="2"/>
  <c r="F2290" i="2" s="1"/>
  <c r="C2290" i="2"/>
  <c r="E2289" i="2"/>
  <c r="F2289" i="2" s="1"/>
  <c r="C2289" i="2"/>
  <c r="E2288" i="2"/>
  <c r="F2288" i="2" s="1"/>
  <c r="C2288" i="2"/>
  <c r="E2287" i="2"/>
  <c r="F2287" i="2" s="1"/>
  <c r="C2287" i="2"/>
  <c r="E2286" i="2"/>
  <c r="F2286" i="2" s="1"/>
  <c r="C2286" i="2"/>
  <c r="E2285" i="2"/>
  <c r="F2285" i="2" s="1"/>
  <c r="C2285" i="2"/>
  <c r="E2284" i="2"/>
  <c r="F2284" i="2" s="1"/>
  <c r="C2284" i="2"/>
  <c r="E2283" i="2"/>
  <c r="F2283" i="2" s="1"/>
  <c r="C2283" i="2"/>
  <c r="E2282" i="2"/>
  <c r="F2282" i="2" s="1"/>
  <c r="C2282" i="2"/>
  <c r="E2281" i="2"/>
  <c r="F2281" i="2" s="1"/>
  <c r="C2281" i="2"/>
  <c r="E2280" i="2"/>
  <c r="F2280" i="2" s="1"/>
  <c r="C2280" i="2"/>
  <c r="E2279" i="2"/>
  <c r="F2279" i="2" s="1"/>
  <c r="C2279" i="2"/>
  <c r="E2278" i="2"/>
  <c r="F2278" i="2" s="1"/>
  <c r="C2278" i="2"/>
  <c r="E2277" i="2"/>
  <c r="F2277" i="2" s="1"/>
  <c r="C2277" i="2"/>
  <c r="E2276" i="2"/>
  <c r="F2276" i="2" s="1"/>
  <c r="C2276" i="2"/>
  <c r="E2275" i="2"/>
  <c r="F2275" i="2" s="1"/>
  <c r="C2275" i="2"/>
  <c r="E2274" i="2"/>
  <c r="F2274" i="2" s="1"/>
  <c r="C2274" i="2"/>
  <c r="E2273" i="2"/>
  <c r="F2273" i="2" s="1"/>
  <c r="C2273" i="2"/>
  <c r="E2272" i="2"/>
  <c r="F2272" i="2" s="1"/>
  <c r="C2272" i="2"/>
  <c r="E2271" i="2"/>
  <c r="F2271" i="2" s="1"/>
  <c r="C2271" i="2"/>
  <c r="E2270" i="2"/>
  <c r="F2270" i="2" s="1"/>
  <c r="C2270" i="2"/>
  <c r="E2269" i="2"/>
  <c r="F2269" i="2" s="1"/>
  <c r="C2269" i="2"/>
  <c r="E2268" i="2"/>
  <c r="F2268" i="2" s="1"/>
  <c r="C2268" i="2"/>
  <c r="E2267" i="2"/>
  <c r="F2267" i="2" s="1"/>
  <c r="C2267" i="2"/>
  <c r="E2266" i="2"/>
  <c r="F2266" i="2" s="1"/>
  <c r="C2266" i="2"/>
  <c r="E2265" i="2"/>
  <c r="F2265" i="2" s="1"/>
  <c r="C2265" i="2"/>
  <c r="E2264" i="2"/>
  <c r="F2264" i="2" s="1"/>
  <c r="C2264" i="2"/>
  <c r="E2263" i="2"/>
  <c r="F2263" i="2" s="1"/>
  <c r="C2263" i="2"/>
  <c r="E2262" i="2"/>
  <c r="F2262" i="2" s="1"/>
  <c r="C2262" i="2"/>
  <c r="E2261" i="2"/>
  <c r="F2261" i="2" s="1"/>
  <c r="C2261" i="2"/>
  <c r="E2260" i="2"/>
  <c r="F2260" i="2" s="1"/>
  <c r="C2260" i="2"/>
  <c r="E2259" i="2"/>
  <c r="F2259" i="2" s="1"/>
  <c r="C2259" i="2"/>
  <c r="E2258" i="2"/>
  <c r="F2258" i="2" s="1"/>
  <c r="C2258" i="2"/>
  <c r="E2257" i="2"/>
  <c r="F2257" i="2" s="1"/>
  <c r="C2257" i="2"/>
  <c r="E2256" i="2"/>
  <c r="F2256" i="2" s="1"/>
  <c r="C2256" i="2"/>
  <c r="E2255" i="2"/>
  <c r="F2255" i="2" s="1"/>
  <c r="C2255" i="2"/>
  <c r="E2254" i="2"/>
  <c r="F2254" i="2" s="1"/>
  <c r="C2254" i="2"/>
  <c r="E2253" i="2"/>
  <c r="F2253" i="2" s="1"/>
  <c r="C2253" i="2"/>
  <c r="E2252" i="2"/>
  <c r="F2252" i="2" s="1"/>
  <c r="C2252" i="2"/>
  <c r="E2251" i="2"/>
  <c r="F2251" i="2" s="1"/>
  <c r="C2251" i="2"/>
  <c r="E2250" i="2"/>
  <c r="F2250" i="2" s="1"/>
  <c r="C2250" i="2"/>
  <c r="E2249" i="2"/>
  <c r="F2249" i="2" s="1"/>
  <c r="C2249" i="2"/>
  <c r="E2248" i="2"/>
  <c r="F2248" i="2" s="1"/>
  <c r="C2248" i="2"/>
  <c r="E2247" i="2"/>
  <c r="F2247" i="2" s="1"/>
  <c r="C2247" i="2"/>
  <c r="E2246" i="2"/>
  <c r="F2246" i="2" s="1"/>
  <c r="C2246" i="2"/>
  <c r="E2245" i="2"/>
  <c r="F2245" i="2" s="1"/>
  <c r="C2245" i="2"/>
  <c r="E2244" i="2"/>
  <c r="F2244" i="2" s="1"/>
  <c r="C2244" i="2"/>
  <c r="E2243" i="2"/>
  <c r="F2243" i="2" s="1"/>
  <c r="C2243" i="2"/>
  <c r="E2242" i="2"/>
  <c r="F2242" i="2" s="1"/>
  <c r="C2242" i="2"/>
  <c r="E2241" i="2"/>
  <c r="F2241" i="2" s="1"/>
  <c r="C2241" i="2"/>
  <c r="E2240" i="2"/>
  <c r="F2240" i="2" s="1"/>
  <c r="C2240" i="2"/>
  <c r="E2239" i="2"/>
  <c r="F2239" i="2" s="1"/>
  <c r="C2239" i="2"/>
  <c r="E2238" i="2"/>
  <c r="F2238" i="2" s="1"/>
  <c r="C2238" i="2"/>
  <c r="E2237" i="2"/>
  <c r="F2237" i="2" s="1"/>
  <c r="C2237" i="2"/>
  <c r="E2236" i="2"/>
  <c r="F2236" i="2" s="1"/>
  <c r="C2236" i="2"/>
  <c r="E2235" i="2"/>
  <c r="F2235" i="2" s="1"/>
  <c r="C2235" i="2"/>
  <c r="E2234" i="2"/>
  <c r="F2234" i="2" s="1"/>
  <c r="C2234" i="2"/>
  <c r="E2233" i="2"/>
  <c r="F2233" i="2" s="1"/>
  <c r="C2233" i="2"/>
  <c r="E2232" i="2"/>
  <c r="F2232" i="2" s="1"/>
  <c r="C2232" i="2"/>
  <c r="E2231" i="2"/>
  <c r="F2231" i="2" s="1"/>
  <c r="C2231" i="2"/>
  <c r="E2230" i="2"/>
  <c r="F2230" i="2" s="1"/>
  <c r="C2230" i="2"/>
  <c r="E2229" i="2"/>
  <c r="F2229" i="2" s="1"/>
  <c r="C2229" i="2"/>
  <c r="E2228" i="2"/>
  <c r="F2228" i="2" s="1"/>
  <c r="C2228" i="2"/>
  <c r="E2227" i="2"/>
  <c r="F2227" i="2" s="1"/>
  <c r="C2227" i="2"/>
  <c r="E2226" i="2"/>
  <c r="F2226" i="2" s="1"/>
  <c r="C2226" i="2"/>
  <c r="E2225" i="2"/>
  <c r="F2225" i="2" s="1"/>
  <c r="C2225" i="2"/>
  <c r="E2224" i="2"/>
  <c r="F2224" i="2" s="1"/>
  <c r="C2224" i="2"/>
  <c r="E2223" i="2"/>
  <c r="F2223" i="2" s="1"/>
  <c r="C2223" i="2"/>
  <c r="E2222" i="2"/>
  <c r="F2222" i="2" s="1"/>
  <c r="C2222" i="2"/>
  <c r="E2221" i="2"/>
  <c r="F2221" i="2" s="1"/>
  <c r="C2221" i="2"/>
  <c r="E2220" i="2"/>
  <c r="F2220" i="2" s="1"/>
  <c r="C2220" i="2"/>
  <c r="E2219" i="2"/>
  <c r="F2219" i="2" s="1"/>
  <c r="C2219" i="2"/>
  <c r="E2218" i="2"/>
  <c r="F2218" i="2" s="1"/>
  <c r="C2218" i="2"/>
  <c r="E2217" i="2"/>
  <c r="F2217" i="2" s="1"/>
  <c r="C2217" i="2"/>
  <c r="E2216" i="2"/>
  <c r="F2216" i="2" s="1"/>
  <c r="C2216" i="2"/>
  <c r="E2215" i="2"/>
  <c r="F2215" i="2" s="1"/>
  <c r="C2215" i="2"/>
  <c r="E2214" i="2"/>
  <c r="F2214" i="2" s="1"/>
  <c r="C2214" i="2"/>
  <c r="E2213" i="2"/>
  <c r="F2213" i="2" s="1"/>
  <c r="C2213" i="2"/>
  <c r="E2212" i="2"/>
  <c r="F2212" i="2" s="1"/>
  <c r="C2212" i="2"/>
  <c r="E2211" i="2"/>
  <c r="F2211" i="2" s="1"/>
  <c r="C2211" i="2"/>
  <c r="E2210" i="2"/>
  <c r="F2210" i="2" s="1"/>
  <c r="C2210" i="2"/>
  <c r="E2209" i="2"/>
  <c r="F2209" i="2" s="1"/>
  <c r="C2209" i="2"/>
  <c r="E2208" i="2"/>
  <c r="F2208" i="2" s="1"/>
  <c r="C2208" i="2"/>
  <c r="E2207" i="2"/>
  <c r="F2207" i="2" s="1"/>
  <c r="C2207" i="2"/>
  <c r="E2206" i="2"/>
  <c r="F2206" i="2" s="1"/>
  <c r="C2206" i="2"/>
  <c r="E2205" i="2"/>
  <c r="F2205" i="2" s="1"/>
  <c r="C2205" i="2"/>
  <c r="E2204" i="2"/>
  <c r="F2204" i="2" s="1"/>
  <c r="C2204" i="2"/>
  <c r="E2203" i="2"/>
  <c r="F2203" i="2" s="1"/>
  <c r="C2203" i="2"/>
  <c r="E2202" i="2"/>
  <c r="F2202" i="2" s="1"/>
  <c r="C2202" i="2"/>
  <c r="E2201" i="2"/>
  <c r="F2201" i="2" s="1"/>
  <c r="C2201" i="2"/>
  <c r="E2200" i="2"/>
  <c r="F2200" i="2" s="1"/>
  <c r="C2200" i="2"/>
  <c r="E2199" i="2"/>
  <c r="F2199" i="2" s="1"/>
  <c r="C2199" i="2"/>
  <c r="E2198" i="2"/>
  <c r="F2198" i="2" s="1"/>
  <c r="C2198" i="2"/>
  <c r="E2197" i="2"/>
  <c r="F2197" i="2" s="1"/>
  <c r="C2197" i="2"/>
  <c r="E2196" i="2"/>
  <c r="F2196" i="2" s="1"/>
  <c r="C2196" i="2"/>
  <c r="E2195" i="2"/>
  <c r="F2195" i="2" s="1"/>
  <c r="C2195" i="2"/>
  <c r="E2194" i="2"/>
  <c r="F2194" i="2" s="1"/>
  <c r="C2194" i="2"/>
  <c r="E2193" i="2"/>
  <c r="F2193" i="2" s="1"/>
  <c r="C2193" i="2"/>
  <c r="E2192" i="2"/>
  <c r="F2192" i="2" s="1"/>
  <c r="C2192" i="2"/>
  <c r="E2191" i="2"/>
  <c r="F2191" i="2" s="1"/>
  <c r="C2191" i="2"/>
  <c r="E2190" i="2"/>
  <c r="F2190" i="2" s="1"/>
  <c r="C2190" i="2"/>
  <c r="E2189" i="2"/>
  <c r="F2189" i="2" s="1"/>
  <c r="C2189" i="2"/>
  <c r="E2188" i="2"/>
  <c r="F2188" i="2" s="1"/>
  <c r="G2188" i="2" s="1"/>
  <c r="C2188" i="2"/>
  <c r="D2188" i="2" s="1"/>
  <c r="E2187" i="2"/>
  <c r="F2187" i="2" s="1"/>
  <c r="G2187" i="2" s="1"/>
  <c r="D2187" i="2"/>
  <c r="C2187" i="2"/>
  <c r="F2186" i="2"/>
  <c r="E2186" i="2"/>
  <c r="D2186" i="2"/>
  <c r="C2186" i="2"/>
  <c r="G2186" i="2" s="1"/>
  <c r="F2185" i="2"/>
  <c r="G2185" i="2" s="1"/>
  <c r="E2185" i="2"/>
  <c r="D2185" i="2"/>
  <c r="C2185" i="2"/>
  <c r="F2184" i="2"/>
  <c r="G2184" i="2" s="1"/>
  <c r="E2184" i="2"/>
  <c r="C2184" i="2"/>
  <c r="D2184" i="2" s="1"/>
  <c r="E2183" i="2"/>
  <c r="F2183" i="2" s="1"/>
  <c r="C2183" i="2"/>
  <c r="F2182" i="2"/>
  <c r="G2182" i="2" s="1"/>
  <c r="E2182" i="2"/>
  <c r="C2182" i="2"/>
  <c r="D2182" i="2" s="1"/>
  <c r="F2181" i="2"/>
  <c r="G2181" i="2" s="1"/>
  <c r="E2181" i="2"/>
  <c r="D2181" i="2"/>
  <c r="C2181" i="2"/>
  <c r="E2180" i="2"/>
  <c r="F2180" i="2" s="1"/>
  <c r="G2180" i="2" s="1"/>
  <c r="D2180" i="2"/>
  <c r="C2180" i="2"/>
  <c r="E2179" i="2"/>
  <c r="F2179" i="2" s="1"/>
  <c r="C2179" i="2"/>
  <c r="F2178" i="2"/>
  <c r="G2178" i="2" s="1"/>
  <c r="E2178" i="2"/>
  <c r="C2178" i="2"/>
  <c r="D2178" i="2" s="1"/>
  <c r="F2177" i="2"/>
  <c r="G2177" i="2" s="1"/>
  <c r="E2177" i="2"/>
  <c r="D2177" i="2"/>
  <c r="C2177" i="2"/>
  <c r="E2176" i="2"/>
  <c r="F2176" i="2" s="1"/>
  <c r="G2176" i="2" s="1"/>
  <c r="D2176" i="2"/>
  <c r="C2176" i="2"/>
  <c r="E2175" i="2"/>
  <c r="F2175" i="2" s="1"/>
  <c r="G2175" i="2" s="1"/>
  <c r="D2175" i="2"/>
  <c r="C2175" i="2"/>
  <c r="F2174" i="2"/>
  <c r="G2174" i="2" s="1"/>
  <c r="E2174" i="2"/>
  <c r="D2174" i="2"/>
  <c r="C2174" i="2"/>
  <c r="E2173" i="2"/>
  <c r="F2173" i="2" s="1"/>
  <c r="C2173" i="2"/>
  <c r="F2172" i="2"/>
  <c r="E2172" i="2"/>
  <c r="D2172" i="2"/>
  <c r="C2172" i="2"/>
  <c r="G2172" i="2" s="1"/>
  <c r="F2171" i="2"/>
  <c r="G2171" i="2" s="1"/>
  <c r="E2171" i="2"/>
  <c r="D2171" i="2"/>
  <c r="C2171" i="2"/>
  <c r="F2170" i="2"/>
  <c r="E2170" i="2"/>
  <c r="C2170" i="2"/>
  <c r="E2169" i="2"/>
  <c r="F2169" i="2" s="1"/>
  <c r="C2169" i="2"/>
  <c r="E2168" i="2"/>
  <c r="F2168" i="2" s="1"/>
  <c r="G2168" i="2" s="1"/>
  <c r="D2168" i="2"/>
  <c r="C2168" i="2"/>
  <c r="E2167" i="2"/>
  <c r="F2167" i="2" s="1"/>
  <c r="G2167" i="2" s="1"/>
  <c r="D2167" i="2"/>
  <c r="C2167" i="2"/>
  <c r="E2166" i="2"/>
  <c r="F2166" i="2" s="1"/>
  <c r="G2166" i="2" s="1"/>
  <c r="C2166" i="2"/>
  <c r="D2166" i="2" s="1"/>
  <c r="F2165" i="2"/>
  <c r="G2165" i="2" s="1"/>
  <c r="E2165" i="2"/>
  <c r="D2165" i="2"/>
  <c r="C2165" i="2"/>
  <c r="F2164" i="2"/>
  <c r="G2164" i="2" s="1"/>
  <c r="E2164" i="2"/>
  <c r="D2164" i="2"/>
  <c r="C2164" i="2"/>
  <c r="E2163" i="2"/>
  <c r="F2163" i="2" s="1"/>
  <c r="G2163" i="2" s="1"/>
  <c r="D2163" i="2"/>
  <c r="C2163" i="2"/>
  <c r="E2162" i="2"/>
  <c r="F2162" i="2" s="1"/>
  <c r="C2162" i="2"/>
  <c r="E2161" i="2"/>
  <c r="F2161" i="2" s="1"/>
  <c r="D2161" i="2"/>
  <c r="C2161" i="2"/>
  <c r="G2161" i="2" s="1"/>
  <c r="E2160" i="2"/>
  <c r="F2160" i="2" s="1"/>
  <c r="C2160" i="2"/>
  <c r="F2159" i="2"/>
  <c r="E2159" i="2"/>
  <c r="C2159" i="2"/>
  <c r="F2158" i="2"/>
  <c r="G2158" i="2" s="1"/>
  <c r="E2158" i="2"/>
  <c r="D2158" i="2"/>
  <c r="C2158" i="2"/>
  <c r="F2157" i="2"/>
  <c r="E2157" i="2"/>
  <c r="D2157" i="2"/>
  <c r="C2157" i="2"/>
  <c r="G2157" i="2" s="1"/>
  <c r="E2156" i="2"/>
  <c r="F2156" i="2" s="1"/>
  <c r="G2156" i="2" s="1"/>
  <c r="C2156" i="2"/>
  <c r="D2156" i="2" s="1"/>
  <c r="F2155" i="2"/>
  <c r="E2155" i="2"/>
  <c r="C2155" i="2"/>
  <c r="F2154" i="2"/>
  <c r="G2154" i="2" s="1"/>
  <c r="E2154" i="2"/>
  <c r="D2154" i="2"/>
  <c r="C2154" i="2"/>
  <c r="F2153" i="2"/>
  <c r="E2153" i="2"/>
  <c r="D2153" i="2"/>
  <c r="C2153" i="2"/>
  <c r="G2153" i="2" s="1"/>
  <c r="E2152" i="2"/>
  <c r="F2152" i="2" s="1"/>
  <c r="G2152" i="2" s="1"/>
  <c r="D2152" i="2"/>
  <c r="C2152" i="2"/>
  <c r="F2151" i="2"/>
  <c r="E2151" i="2"/>
  <c r="D2151" i="2"/>
  <c r="C2151" i="2"/>
  <c r="G2151" i="2" s="1"/>
  <c r="F2150" i="2"/>
  <c r="G2150" i="2" s="1"/>
  <c r="E2150" i="2"/>
  <c r="D2150" i="2"/>
  <c r="C2150" i="2"/>
  <c r="E2149" i="2"/>
  <c r="F2149" i="2" s="1"/>
  <c r="G2149" i="2" s="1"/>
  <c r="D2149" i="2"/>
  <c r="C2149" i="2"/>
  <c r="E2148" i="2"/>
  <c r="F2148" i="2" s="1"/>
  <c r="G2148" i="2" s="1"/>
  <c r="C2148" i="2"/>
  <c r="D2148" i="2" s="1"/>
  <c r="E2147" i="2"/>
  <c r="F2147" i="2" s="1"/>
  <c r="G2147" i="2" s="1"/>
  <c r="C2147" i="2"/>
  <c r="D2147" i="2" s="1"/>
  <c r="E2146" i="2"/>
  <c r="F2146" i="2" s="1"/>
  <c r="D2146" i="2"/>
  <c r="C2146" i="2"/>
  <c r="G2146" i="2" s="1"/>
  <c r="E2145" i="2"/>
  <c r="F2145" i="2" s="1"/>
  <c r="G2145" i="2" s="1"/>
  <c r="C2145" i="2"/>
  <c r="D2145" i="2" s="1"/>
  <c r="F2144" i="2"/>
  <c r="G2144" i="2" s="1"/>
  <c r="E2144" i="2"/>
  <c r="D2144" i="2"/>
  <c r="C2144" i="2"/>
  <c r="E2143" i="2"/>
  <c r="F2143" i="2" s="1"/>
  <c r="G2143" i="2" s="1"/>
  <c r="D2143" i="2"/>
  <c r="C2143" i="2"/>
  <c r="E2142" i="2"/>
  <c r="F2142" i="2" s="1"/>
  <c r="C2142" i="2"/>
  <c r="F2141" i="2"/>
  <c r="G2141" i="2" s="1"/>
  <c r="E2141" i="2"/>
  <c r="C2141" i="2"/>
  <c r="D2141" i="2" s="1"/>
  <c r="E2140" i="2"/>
  <c r="F2140" i="2" s="1"/>
  <c r="G2140" i="2" s="1"/>
  <c r="D2140" i="2"/>
  <c r="C2140" i="2"/>
  <c r="F2139" i="2"/>
  <c r="E2139" i="2"/>
  <c r="C2139" i="2"/>
  <c r="E2138" i="2"/>
  <c r="F2138" i="2" s="1"/>
  <c r="C2138" i="2"/>
  <c r="E2137" i="2"/>
  <c r="F2137" i="2" s="1"/>
  <c r="G2137" i="2" s="1"/>
  <c r="C2137" i="2"/>
  <c r="D2137" i="2" s="1"/>
  <c r="E2136" i="2"/>
  <c r="F2136" i="2" s="1"/>
  <c r="G2136" i="2" s="1"/>
  <c r="C2136" i="2"/>
  <c r="D2136" i="2" s="1"/>
  <c r="F2135" i="2"/>
  <c r="G2135" i="2" s="1"/>
  <c r="E2135" i="2"/>
  <c r="D2135" i="2"/>
  <c r="C2135" i="2"/>
  <c r="E2134" i="2"/>
  <c r="F2134" i="2" s="1"/>
  <c r="G2134" i="2" s="1"/>
  <c r="D2134" i="2"/>
  <c r="C2134" i="2"/>
  <c r="F2133" i="2"/>
  <c r="G2133" i="2" s="1"/>
  <c r="E2133" i="2"/>
  <c r="D2133" i="2"/>
  <c r="C2133" i="2"/>
  <c r="F2132" i="2"/>
  <c r="E2132" i="2"/>
  <c r="C2132" i="2"/>
  <c r="F2131" i="2"/>
  <c r="E2131" i="2"/>
  <c r="D2131" i="2"/>
  <c r="C2131" i="2"/>
  <c r="G2131" i="2" s="1"/>
  <c r="E2130" i="2"/>
  <c r="F2130" i="2" s="1"/>
  <c r="G2130" i="2" s="1"/>
  <c r="C2130" i="2"/>
  <c r="D2130" i="2" s="1"/>
  <c r="F2129" i="2"/>
  <c r="E2129" i="2"/>
  <c r="C2129" i="2"/>
  <c r="E2128" i="2"/>
  <c r="F2128" i="2" s="1"/>
  <c r="D2128" i="2"/>
  <c r="C2128" i="2"/>
  <c r="G2128" i="2" s="1"/>
  <c r="E2127" i="2"/>
  <c r="F2127" i="2" s="1"/>
  <c r="G2127" i="2" s="1"/>
  <c r="D2127" i="2"/>
  <c r="C2127" i="2"/>
  <c r="F2126" i="2"/>
  <c r="E2126" i="2"/>
  <c r="C2126" i="2"/>
  <c r="F2125" i="2"/>
  <c r="G2125" i="2" s="1"/>
  <c r="E2125" i="2"/>
  <c r="D2125" i="2"/>
  <c r="C2125" i="2"/>
  <c r="F2124" i="2"/>
  <c r="E2124" i="2"/>
  <c r="C2124" i="2"/>
  <c r="E2123" i="2"/>
  <c r="F2123" i="2" s="1"/>
  <c r="G2123" i="2" s="1"/>
  <c r="D2123" i="2"/>
  <c r="C2123" i="2"/>
  <c r="E2122" i="2"/>
  <c r="F2122" i="2" s="1"/>
  <c r="G2122" i="2" s="1"/>
  <c r="D2122" i="2"/>
  <c r="C2122" i="2"/>
  <c r="F2121" i="2"/>
  <c r="E2121" i="2"/>
  <c r="D2121" i="2"/>
  <c r="C2121" i="2"/>
  <c r="G2121" i="2" s="1"/>
  <c r="F2120" i="2"/>
  <c r="E2120" i="2"/>
  <c r="C2120" i="2"/>
  <c r="F2119" i="2"/>
  <c r="E2119" i="2"/>
  <c r="D2119" i="2"/>
  <c r="C2119" i="2"/>
  <c r="G2119" i="2" s="1"/>
  <c r="F2118" i="2"/>
  <c r="G2118" i="2" s="1"/>
  <c r="E2118" i="2"/>
  <c r="C2118" i="2"/>
  <c r="D2118" i="2" s="1"/>
  <c r="E2117" i="2"/>
  <c r="F2117" i="2" s="1"/>
  <c r="G2117" i="2" s="1"/>
  <c r="C2117" i="2"/>
  <c r="D2117" i="2" s="1"/>
  <c r="E2116" i="2"/>
  <c r="F2116" i="2" s="1"/>
  <c r="G2116" i="2" s="1"/>
  <c r="D2116" i="2"/>
  <c r="C2116" i="2"/>
  <c r="F2115" i="2"/>
  <c r="G2115" i="2" s="1"/>
  <c r="E2115" i="2"/>
  <c r="D2115" i="2"/>
  <c r="C2115" i="2"/>
  <c r="F2114" i="2"/>
  <c r="G2114" i="2" s="1"/>
  <c r="E2114" i="2"/>
  <c r="D2114" i="2"/>
  <c r="C2114" i="2"/>
  <c r="E2113" i="2"/>
  <c r="F2113" i="2" s="1"/>
  <c r="D2113" i="2"/>
  <c r="C2113" i="2"/>
  <c r="G2113" i="2" s="1"/>
  <c r="E2112" i="2"/>
  <c r="F2112" i="2" s="1"/>
  <c r="C2112" i="2"/>
  <c r="F2111" i="2"/>
  <c r="G2111" i="2" s="1"/>
  <c r="E2111" i="2"/>
  <c r="D2111" i="2"/>
  <c r="C2111" i="2"/>
  <c r="F2110" i="2"/>
  <c r="E2110" i="2"/>
  <c r="C2110" i="2"/>
  <c r="E2109" i="2"/>
  <c r="F2109" i="2" s="1"/>
  <c r="G2109" i="2" s="1"/>
  <c r="D2109" i="2"/>
  <c r="C2109" i="2"/>
  <c r="E2108" i="2"/>
  <c r="F2108" i="2" s="1"/>
  <c r="C2108" i="2"/>
  <c r="E2107" i="2"/>
  <c r="F2107" i="2" s="1"/>
  <c r="G2107" i="2" s="1"/>
  <c r="D2107" i="2"/>
  <c r="C2107" i="2"/>
  <c r="E2106" i="2"/>
  <c r="F2106" i="2" s="1"/>
  <c r="D2106" i="2"/>
  <c r="C2106" i="2"/>
  <c r="G2106" i="2" s="1"/>
  <c r="F2105" i="2"/>
  <c r="E2105" i="2"/>
  <c r="C2105" i="2"/>
  <c r="F2104" i="2"/>
  <c r="E2104" i="2"/>
  <c r="C2104" i="2"/>
  <c r="E2103" i="2"/>
  <c r="F2103" i="2" s="1"/>
  <c r="G2103" i="2" s="1"/>
  <c r="D2103" i="2"/>
  <c r="C2103" i="2"/>
  <c r="E2102" i="2"/>
  <c r="F2102" i="2" s="1"/>
  <c r="G2102" i="2" s="1"/>
  <c r="C2102" i="2"/>
  <c r="D2102" i="2" s="1"/>
  <c r="E2101" i="2"/>
  <c r="F2101" i="2" s="1"/>
  <c r="G2101" i="2" s="1"/>
  <c r="C2101" i="2"/>
  <c r="D2101" i="2" s="1"/>
  <c r="F2100" i="2"/>
  <c r="G2100" i="2" s="1"/>
  <c r="E2100" i="2"/>
  <c r="D2100" i="2"/>
  <c r="C2100" i="2"/>
  <c r="F2099" i="2"/>
  <c r="G2099" i="2" s="1"/>
  <c r="E2099" i="2"/>
  <c r="C2099" i="2"/>
  <c r="D2099" i="2" s="1"/>
  <c r="F2098" i="2"/>
  <c r="E2098" i="2"/>
  <c r="C2098" i="2"/>
  <c r="F2097" i="2"/>
  <c r="G2097" i="2" s="1"/>
  <c r="E2097" i="2"/>
  <c r="C2097" i="2"/>
  <c r="D2097" i="2" s="1"/>
  <c r="E2096" i="2"/>
  <c r="F2096" i="2" s="1"/>
  <c r="C2096" i="2"/>
  <c r="F2095" i="2"/>
  <c r="E2095" i="2"/>
  <c r="C2095" i="2"/>
  <c r="E2094" i="2"/>
  <c r="F2094" i="2" s="1"/>
  <c r="C2094" i="2"/>
  <c r="E2093" i="2"/>
  <c r="F2093" i="2" s="1"/>
  <c r="G2093" i="2" s="1"/>
  <c r="D2093" i="2"/>
  <c r="C2093" i="2"/>
  <c r="E2092" i="2"/>
  <c r="F2092" i="2" s="1"/>
  <c r="G2092" i="2" s="1"/>
  <c r="D2092" i="2"/>
  <c r="C2092" i="2"/>
  <c r="E2091" i="2"/>
  <c r="F2091" i="2" s="1"/>
  <c r="C2091" i="2"/>
  <c r="F2090" i="2"/>
  <c r="E2090" i="2"/>
  <c r="D2090" i="2"/>
  <c r="C2090" i="2"/>
  <c r="G2090" i="2" s="1"/>
  <c r="F2089" i="2"/>
  <c r="E2089" i="2"/>
  <c r="D2089" i="2"/>
  <c r="C2089" i="2"/>
  <c r="G2089" i="2" s="1"/>
  <c r="E2088" i="2"/>
  <c r="F2088" i="2" s="1"/>
  <c r="G2088" i="2" s="1"/>
  <c r="D2088" i="2"/>
  <c r="C2088" i="2"/>
  <c r="F2087" i="2"/>
  <c r="E2087" i="2"/>
  <c r="C2087" i="2"/>
  <c r="F2086" i="2"/>
  <c r="G2086" i="2" s="1"/>
  <c r="E2086" i="2"/>
  <c r="D2086" i="2"/>
  <c r="C2086" i="2"/>
  <c r="E2085" i="2"/>
  <c r="F2085" i="2" s="1"/>
  <c r="D2085" i="2"/>
  <c r="C2085" i="2"/>
  <c r="G2085" i="2" s="1"/>
  <c r="E2084" i="2"/>
  <c r="F2084" i="2" s="1"/>
  <c r="C2084" i="2"/>
  <c r="E2083" i="2"/>
  <c r="F2083" i="2" s="1"/>
  <c r="D2083" i="2"/>
  <c r="C2083" i="2"/>
  <c r="G2083" i="2" s="1"/>
  <c r="E2082" i="2"/>
  <c r="F2082" i="2" s="1"/>
  <c r="D2082" i="2"/>
  <c r="C2082" i="2"/>
  <c r="G2082" i="2" s="1"/>
  <c r="F2081" i="2"/>
  <c r="E2081" i="2"/>
  <c r="C2081" i="2"/>
  <c r="F2080" i="2"/>
  <c r="G2080" i="2" s="1"/>
  <c r="E2080" i="2"/>
  <c r="C2080" i="2"/>
  <c r="D2080" i="2" s="1"/>
  <c r="E2079" i="2"/>
  <c r="F2079" i="2" s="1"/>
  <c r="D2079" i="2"/>
  <c r="C2079" i="2"/>
  <c r="G2079" i="2" s="1"/>
  <c r="E2078" i="2"/>
  <c r="F2078" i="2" s="1"/>
  <c r="G2078" i="2" s="1"/>
  <c r="D2078" i="2"/>
  <c r="C2078" i="2"/>
  <c r="F2077" i="2"/>
  <c r="G2077" i="2" s="1"/>
  <c r="E2077" i="2"/>
  <c r="C2077" i="2"/>
  <c r="D2077" i="2" s="1"/>
  <c r="E2076" i="2"/>
  <c r="F2076" i="2" s="1"/>
  <c r="C2076" i="2"/>
  <c r="F2075" i="2"/>
  <c r="E2075" i="2"/>
  <c r="C2075" i="2"/>
  <c r="E2074" i="2"/>
  <c r="F2074" i="2" s="1"/>
  <c r="G2074" i="2" s="1"/>
  <c r="C2074" i="2"/>
  <c r="D2074" i="2" s="1"/>
  <c r="F2073" i="2"/>
  <c r="E2073" i="2"/>
  <c r="C2073" i="2"/>
  <c r="F2072" i="2"/>
  <c r="E2072" i="2"/>
  <c r="C2072" i="2"/>
  <c r="F2071" i="2"/>
  <c r="E2071" i="2"/>
  <c r="C2071" i="2"/>
  <c r="E2070" i="2"/>
  <c r="F2070" i="2" s="1"/>
  <c r="G2070" i="2" s="1"/>
  <c r="D2070" i="2"/>
  <c r="C2070" i="2"/>
  <c r="F2069" i="2"/>
  <c r="E2069" i="2"/>
  <c r="C2069" i="2"/>
  <c r="F2068" i="2"/>
  <c r="G2068" i="2" s="1"/>
  <c r="E2068" i="2"/>
  <c r="D2068" i="2"/>
  <c r="C2068" i="2"/>
  <c r="E2067" i="2"/>
  <c r="F2067" i="2" s="1"/>
  <c r="C2067" i="2"/>
  <c r="F2066" i="2"/>
  <c r="G2066" i="2" s="1"/>
  <c r="E2066" i="2"/>
  <c r="D2066" i="2"/>
  <c r="C2066" i="2"/>
  <c r="E2065" i="2"/>
  <c r="F2065" i="2" s="1"/>
  <c r="C2065" i="2"/>
  <c r="E2064" i="2"/>
  <c r="F2064" i="2" s="1"/>
  <c r="G2064" i="2" s="1"/>
  <c r="D2064" i="2"/>
  <c r="C2064" i="2"/>
  <c r="E2063" i="2"/>
  <c r="F2063" i="2" s="1"/>
  <c r="G2063" i="2" s="1"/>
  <c r="D2063" i="2"/>
  <c r="C2063" i="2"/>
  <c r="F2062" i="2"/>
  <c r="E2062" i="2"/>
  <c r="C2062" i="2"/>
  <c r="E2061" i="2"/>
  <c r="F2061" i="2" s="1"/>
  <c r="C2061" i="2"/>
  <c r="F2060" i="2"/>
  <c r="G2060" i="2" s="1"/>
  <c r="E2060" i="2"/>
  <c r="D2060" i="2"/>
  <c r="C2060" i="2"/>
  <c r="E2059" i="2"/>
  <c r="F2059" i="2" s="1"/>
  <c r="G2059" i="2" s="1"/>
  <c r="D2059" i="2"/>
  <c r="C2059" i="2"/>
  <c r="E2058" i="2"/>
  <c r="F2058" i="2" s="1"/>
  <c r="G2058" i="2" s="1"/>
  <c r="D2058" i="2"/>
  <c r="C2058" i="2"/>
  <c r="F2057" i="2"/>
  <c r="G2057" i="2" s="1"/>
  <c r="E2057" i="2"/>
  <c r="D2057" i="2"/>
  <c r="C2057" i="2"/>
  <c r="E2056" i="2"/>
  <c r="F2056" i="2" s="1"/>
  <c r="C2056" i="2"/>
  <c r="E2055" i="2"/>
  <c r="F2055" i="2" s="1"/>
  <c r="C2055" i="2"/>
  <c r="F2054" i="2"/>
  <c r="G2054" i="2" s="1"/>
  <c r="E2054" i="2"/>
  <c r="C2054" i="2"/>
  <c r="D2054" i="2" s="1"/>
  <c r="E2053" i="2"/>
  <c r="F2053" i="2" s="1"/>
  <c r="D2053" i="2"/>
  <c r="C2053" i="2"/>
  <c r="G2053" i="2" s="1"/>
  <c r="F2052" i="2"/>
  <c r="E2052" i="2"/>
  <c r="C2052" i="2"/>
  <c r="F2051" i="2"/>
  <c r="E2051" i="2"/>
  <c r="C2051" i="2"/>
  <c r="F2050" i="2"/>
  <c r="E2050" i="2"/>
  <c r="C2050" i="2"/>
  <c r="E2049" i="2"/>
  <c r="F2049" i="2" s="1"/>
  <c r="G2049" i="2" s="1"/>
  <c r="D2049" i="2"/>
  <c r="C2049" i="2"/>
  <c r="E2048" i="2"/>
  <c r="F2048" i="2" s="1"/>
  <c r="G2048" i="2" s="1"/>
  <c r="D2048" i="2"/>
  <c r="C2048" i="2"/>
  <c r="E2047" i="2"/>
  <c r="F2047" i="2" s="1"/>
  <c r="D2047" i="2"/>
  <c r="C2047" i="2"/>
  <c r="G2047" i="2" s="1"/>
  <c r="E2046" i="2"/>
  <c r="F2046" i="2" s="1"/>
  <c r="C2046" i="2"/>
  <c r="F2045" i="2"/>
  <c r="G2045" i="2" s="1"/>
  <c r="E2045" i="2"/>
  <c r="D2045" i="2"/>
  <c r="C2045" i="2"/>
  <c r="F2044" i="2"/>
  <c r="E2044" i="2"/>
  <c r="C2044" i="2"/>
  <c r="E2043" i="2"/>
  <c r="F2043" i="2" s="1"/>
  <c r="C2043" i="2"/>
  <c r="E2042" i="2"/>
  <c r="F2042" i="2" s="1"/>
  <c r="G2042" i="2" s="1"/>
  <c r="C2042" i="2"/>
  <c r="D2042" i="2" s="1"/>
  <c r="E2041" i="2"/>
  <c r="F2041" i="2" s="1"/>
  <c r="G2041" i="2" s="1"/>
  <c r="D2041" i="2"/>
  <c r="C2041" i="2"/>
  <c r="F2040" i="2"/>
  <c r="G2040" i="2" s="1"/>
  <c r="E2040" i="2"/>
  <c r="D2040" i="2"/>
  <c r="C2040" i="2"/>
  <c r="F2039" i="2"/>
  <c r="E2039" i="2"/>
  <c r="C2039" i="2"/>
  <c r="F2038" i="2"/>
  <c r="E2038" i="2"/>
  <c r="C2038" i="2"/>
  <c r="F2037" i="2"/>
  <c r="G2037" i="2" s="1"/>
  <c r="E2037" i="2"/>
  <c r="C2037" i="2"/>
  <c r="D2037" i="2" s="1"/>
  <c r="F2036" i="2"/>
  <c r="G2036" i="2" s="1"/>
  <c r="E2036" i="2"/>
  <c r="D2036" i="2"/>
  <c r="C2036" i="2"/>
  <c r="F2035" i="2"/>
  <c r="G2035" i="2" s="1"/>
  <c r="E2035" i="2"/>
  <c r="D2035" i="2"/>
  <c r="C2035" i="2"/>
  <c r="F2034" i="2"/>
  <c r="G2034" i="2" s="1"/>
  <c r="E2034" i="2"/>
  <c r="D2034" i="2"/>
  <c r="C2034" i="2"/>
  <c r="E2033" i="2"/>
  <c r="F2033" i="2" s="1"/>
  <c r="C2033" i="2"/>
  <c r="F2032" i="2"/>
  <c r="E2032" i="2"/>
  <c r="C2032" i="2"/>
  <c r="F2031" i="2"/>
  <c r="G2031" i="2" s="1"/>
  <c r="E2031" i="2"/>
  <c r="C2031" i="2"/>
  <c r="D2031" i="2" s="1"/>
  <c r="F2030" i="2"/>
  <c r="E2030" i="2"/>
  <c r="D2030" i="2"/>
  <c r="C2030" i="2"/>
  <c r="G2030" i="2" s="1"/>
  <c r="E2029" i="2"/>
  <c r="F2029" i="2" s="1"/>
  <c r="G2029" i="2" s="1"/>
  <c r="D2029" i="2"/>
  <c r="C2029" i="2"/>
  <c r="E2028" i="2"/>
  <c r="F2028" i="2" s="1"/>
  <c r="G2028" i="2" s="1"/>
  <c r="D2028" i="2"/>
  <c r="C2028" i="2"/>
  <c r="E2027" i="2"/>
  <c r="F2027" i="2" s="1"/>
  <c r="G2027" i="2" s="1"/>
  <c r="C2027" i="2"/>
  <c r="D2027" i="2" s="1"/>
  <c r="F2026" i="2"/>
  <c r="E2026" i="2"/>
  <c r="D2026" i="2"/>
  <c r="C2026" i="2"/>
  <c r="G2026" i="2" s="1"/>
  <c r="F2025" i="2"/>
  <c r="G2025" i="2" s="1"/>
  <c r="E2025" i="2"/>
  <c r="D2025" i="2"/>
  <c r="C2025" i="2"/>
  <c r="E2024" i="2"/>
  <c r="F2024" i="2" s="1"/>
  <c r="C2024" i="2"/>
  <c r="E2023" i="2"/>
  <c r="F2023" i="2" s="1"/>
  <c r="C2023" i="2"/>
  <c r="E2022" i="2"/>
  <c r="F2022" i="2" s="1"/>
  <c r="C2022" i="2"/>
  <c r="E2021" i="2"/>
  <c r="F2021" i="2" s="1"/>
  <c r="G2021" i="2" s="1"/>
  <c r="D2021" i="2"/>
  <c r="C2021" i="2"/>
  <c r="F2020" i="2"/>
  <c r="G2020" i="2" s="1"/>
  <c r="E2020" i="2"/>
  <c r="C2020" i="2"/>
  <c r="D2020" i="2" s="1"/>
  <c r="G2019" i="2"/>
  <c r="F2019" i="2"/>
  <c r="E2019" i="2"/>
  <c r="D2019" i="2"/>
  <c r="C2019" i="2"/>
  <c r="F2018" i="2"/>
  <c r="E2018" i="2"/>
  <c r="C2018" i="2"/>
  <c r="F2017" i="2"/>
  <c r="G2017" i="2" s="1"/>
  <c r="E2017" i="2"/>
  <c r="C2017" i="2"/>
  <c r="D2017" i="2" s="1"/>
  <c r="E2016" i="2"/>
  <c r="F2016" i="2" s="1"/>
  <c r="G2016" i="2" s="1"/>
  <c r="C2016" i="2"/>
  <c r="D2016" i="2" s="1"/>
  <c r="F2015" i="2"/>
  <c r="G2015" i="2" s="1"/>
  <c r="E2015" i="2"/>
  <c r="D2015" i="2"/>
  <c r="C2015" i="2"/>
  <c r="F2014" i="2"/>
  <c r="G2014" i="2" s="1"/>
  <c r="E2014" i="2"/>
  <c r="C2014" i="2"/>
  <c r="D2014" i="2" s="1"/>
  <c r="E2013" i="2"/>
  <c r="F2013" i="2" s="1"/>
  <c r="C2013" i="2"/>
  <c r="E2012" i="2"/>
  <c r="F2012" i="2" s="1"/>
  <c r="C2012" i="2"/>
  <c r="F2011" i="2"/>
  <c r="G2011" i="2" s="1"/>
  <c r="E2011" i="2"/>
  <c r="D2011" i="2"/>
  <c r="C2011" i="2"/>
  <c r="F2010" i="2"/>
  <c r="E2010" i="2"/>
  <c r="C2010" i="2"/>
  <c r="F2009" i="2"/>
  <c r="E2009" i="2"/>
  <c r="C2009" i="2"/>
  <c r="E2008" i="2"/>
  <c r="F2008" i="2" s="1"/>
  <c r="G2008" i="2" s="1"/>
  <c r="C2008" i="2"/>
  <c r="D2008" i="2" s="1"/>
  <c r="E2007" i="2"/>
  <c r="F2007" i="2" s="1"/>
  <c r="C2007" i="2"/>
  <c r="F2006" i="2"/>
  <c r="G2006" i="2" s="1"/>
  <c r="E2006" i="2"/>
  <c r="C2006" i="2"/>
  <c r="D2006" i="2" s="1"/>
  <c r="F2005" i="2"/>
  <c r="G2005" i="2" s="1"/>
  <c r="E2005" i="2"/>
  <c r="D2005" i="2"/>
  <c r="C2005" i="2"/>
  <c r="E2004" i="2"/>
  <c r="F2004" i="2" s="1"/>
  <c r="G2004" i="2" s="1"/>
  <c r="D2004" i="2"/>
  <c r="C2004" i="2"/>
  <c r="F2003" i="2"/>
  <c r="E2003" i="2"/>
  <c r="C2003" i="2"/>
  <c r="E2002" i="2"/>
  <c r="F2002" i="2" s="1"/>
  <c r="C2002" i="2"/>
  <c r="F2001" i="2"/>
  <c r="E2001" i="2"/>
  <c r="C2001" i="2"/>
  <c r="F2000" i="2"/>
  <c r="G2000" i="2" s="1"/>
  <c r="E2000" i="2"/>
  <c r="D2000" i="2"/>
  <c r="C2000" i="2"/>
  <c r="E1999" i="2"/>
  <c r="F1999" i="2" s="1"/>
  <c r="G1999" i="2" s="1"/>
  <c r="C1999" i="2"/>
  <c r="D1999" i="2" s="1"/>
  <c r="E1998" i="2"/>
  <c r="F1998" i="2" s="1"/>
  <c r="C1998" i="2"/>
  <c r="F1997" i="2"/>
  <c r="E1997" i="2"/>
  <c r="C1997" i="2"/>
  <c r="F1996" i="2"/>
  <c r="E1996" i="2"/>
  <c r="C1996" i="2"/>
  <c r="E1995" i="2"/>
  <c r="F1995" i="2" s="1"/>
  <c r="D1995" i="2"/>
  <c r="C1995" i="2"/>
  <c r="G1995" i="2" s="1"/>
  <c r="E1994" i="2"/>
  <c r="F1994" i="2" s="1"/>
  <c r="C1994" i="2"/>
  <c r="E1993" i="2"/>
  <c r="F1993" i="2" s="1"/>
  <c r="G1993" i="2" s="1"/>
  <c r="C1993" i="2"/>
  <c r="D1993" i="2" s="1"/>
  <c r="F1992" i="2"/>
  <c r="E1992" i="2"/>
  <c r="C1992" i="2"/>
  <c r="F1991" i="2"/>
  <c r="G1991" i="2" s="1"/>
  <c r="E1991" i="2"/>
  <c r="D1991" i="2"/>
  <c r="C1991" i="2"/>
  <c r="E1990" i="2"/>
  <c r="F1990" i="2" s="1"/>
  <c r="G1990" i="2" s="1"/>
  <c r="C1990" i="2"/>
  <c r="D1990" i="2" s="1"/>
  <c r="E1989" i="2"/>
  <c r="F1989" i="2" s="1"/>
  <c r="G1989" i="2" s="1"/>
  <c r="C1989" i="2"/>
  <c r="D1989" i="2" s="1"/>
  <c r="F1988" i="2"/>
  <c r="G1988" i="2" s="1"/>
  <c r="E1988" i="2"/>
  <c r="C1988" i="2"/>
  <c r="D1988" i="2" s="1"/>
  <c r="F1987" i="2"/>
  <c r="G1987" i="2" s="1"/>
  <c r="E1987" i="2"/>
  <c r="D1987" i="2"/>
  <c r="C1987" i="2"/>
  <c r="E1986" i="2"/>
  <c r="F1986" i="2" s="1"/>
  <c r="G1986" i="2" s="1"/>
  <c r="D1986" i="2"/>
  <c r="C1986" i="2"/>
  <c r="F1985" i="2"/>
  <c r="E1985" i="2"/>
  <c r="C1985" i="2"/>
  <c r="E1984" i="2"/>
  <c r="F1984" i="2" s="1"/>
  <c r="D1984" i="2"/>
  <c r="C1984" i="2"/>
  <c r="G1984" i="2" s="1"/>
  <c r="E1983" i="2"/>
  <c r="F1983" i="2" s="1"/>
  <c r="D1983" i="2"/>
  <c r="C1983" i="2"/>
  <c r="G1983" i="2" s="1"/>
  <c r="F1982" i="2"/>
  <c r="G1982" i="2" s="1"/>
  <c r="E1982" i="2"/>
  <c r="C1982" i="2"/>
  <c r="D1982" i="2" s="1"/>
  <c r="F1981" i="2"/>
  <c r="G1981" i="2" s="1"/>
  <c r="E1981" i="2"/>
  <c r="D1981" i="2"/>
  <c r="C1981" i="2"/>
  <c r="E1980" i="2"/>
  <c r="F1980" i="2" s="1"/>
  <c r="C1980" i="2"/>
  <c r="F1979" i="2"/>
  <c r="G1979" i="2" s="1"/>
  <c r="E1979" i="2"/>
  <c r="D1979" i="2"/>
  <c r="C1979" i="2"/>
  <c r="E1978" i="2"/>
  <c r="F1978" i="2" s="1"/>
  <c r="C1978" i="2"/>
  <c r="F1977" i="2"/>
  <c r="E1977" i="2"/>
  <c r="D1977" i="2"/>
  <c r="C1977" i="2"/>
  <c r="G1977" i="2" s="1"/>
  <c r="F1976" i="2"/>
  <c r="E1976" i="2"/>
  <c r="C1976" i="2"/>
  <c r="F1975" i="2"/>
  <c r="E1975" i="2"/>
  <c r="C1975" i="2"/>
  <c r="F1974" i="2"/>
  <c r="E1974" i="2"/>
  <c r="C1974" i="2"/>
  <c r="E1973" i="2"/>
  <c r="F1973" i="2" s="1"/>
  <c r="C1973" i="2"/>
  <c r="F1972" i="2"/>
  <c r="E1972" i="2"/>
  <c r="C1972" i="2"/>
  <c r="F1971" i="2"/>
  <c r="E1971" i="2"/>
  <c r="D1971" i="2"/>
  <c r="C1971" i="2"/>
  <c r="G1971" i="2" s="1"/>
  <c r="F1970" i="2"/>
  <c r="E1970" i="2"/>
  <c r="C1970" i="2"/>
  <c r="E1969" i="2"/>
  <c r="F1969" i="2" s="1"/>
  <c r="C1969" i="2"/>
  <c r="F1968" i="2"/>
  <c r="E1968" i="2"/>
  <c r="C1968" i="2"/>
  <c r="F1967" i="2"/>
  <c r="E1967" i="2"/>
  <c r="C1967" i="2"/>
  <c r="E1966" i="2"/>
  <c r="F1966" i="2" s="1"/>
  <c r="D1966" i="2"/>
  <c r="C1966" i="2"/>
  <c r="G1966" i="2" s="1"/>
  <c r="E1965" i="2"/>
  <c r="F1965" i="2" s="1"/>
  <c r="G1965" i="2" s="1"/>
  <c r="D1965" i="2"/>
  <c r="C1965" i="2"/>
  <c r="F1964" i="2"/>
  <c r="G1964" i="2" s="1"/>
  <c r="E1964" i="2"/>
  <c r="D1964" i="2"/>
  <c r="C1964" i="2"/>
  <c r="E1963" i="2"/>
  <c r="F1963" i="2" s="1"/>
  <c r="C1963" i="2"/>
  <c r="F1962" i="2"/>
  <c r="E1962" i="2"/>
  <c r="C1962" i="2"/>
  <c r="F1961" i="2"/>
  <c r="G1961" i="2" s="1"/>
  <c r="E1961" i="2"/>
  <c r="D1961" i="2"/>
  <c r="C1961" i="2"/>
  <c r="E1960" i="2"/>
  <c r="F1960" i="2" s="1"/>
  <c r="G1960" i="2" s="1"/>
  <c r="C1960" i="2"/>
  <c r="D1960" i="2" s="1"/>
  <c r="F1959" i="2"/>
  <c r="G1959" i="2" s="1"/>
  <c r="E1959" i="2"/>
  <c r="D1959" i="2"/>
  <c r="C1959" i="2"/>
  <c r="F1958" i="2"/>
  <c r="E1958" i="2"/>
  <c r="C1958" i="2"/>
  <c r="E1957" i="2"/>
  <c r="F1957" i="2" s="1"/>
  <c r="G1957" i="2" s="1"/>
  <c r="D1957" i="2"/>
  <c r="C1957" i="2"/>
  <c r="F1956" i="2"/>
  <c r="G1956" i="2" s="1"/>
  <c r="E1956" i="2"/>
  <c r="D1956" i="2"/>
  <c r="C1956" i="2"/>
  <c r="F1955" i="2"/>
  <c r="G1955" i="2" s="1"/>
  <c r="E1955" i="2"/>
  <c r="D1955" i="2"/>
  <c r="C1955" i="2"/>
  <c r="E1954" i="2"/>
  <c r="F1954" i="2" s="1"/>
  <c r="C1954" i="2"/>
  <c r="F1953" i="2"/>
  <c r="E1953" i="2"/>
  <c r="D1953" i="2"/>
  <c r="C1953" i="2"/>
  <c r="G1953" i="2" s="1"/>
  <c r="F1952" i="2"/>
  <c r="G1952" i="2" s="1"/>
  <c r="E1952" i="2"/>
  <c r="D1952" i="2"/>
  <c r="C1952" i="2"/>
  <c r="F1951" i="2"/>
  <c r="E1951" i="2"/>
  <c r="D1951" i="2"/>
  <c r="C1951" i="2"/>
  <c r="G1951" i="2" s="1"/>
  <c r="E1950" i="2"/>
  <c r="F1950" i="2" s="1"/>
  <c r="D1950" i="2"/>
  <c r="C1950" i="2"/>
  <c r="G1950" i="2" s="1"/>
  <c r="F1949" i="2"/>
  <c r="E1949" i="2"/>
  <c r="C1949" i="2"/>
  <c r="E1948" i="2"/>
  <c r="F1948" i="2" s="1"/>
  <c r="G1948" i="2" s="1"/>
  <c r="D1948" i="2"/>
  <c r="C1948" i="2"/>
  <c r="E1947" i="2"/>
  <c r="F1947" i="2" s="1"/>
  <c r="G1947" i="2" s="1"/>
  <c r="D1947" i="2"/>
  <c r="C1947" i="2"/>
  <c r="E1946" i="2"/>
  <c r="F1946" i="2" s="1"/>
  <c r="D1946" i="2"/>
  <c r="C1946" i="2"/>
  <c r="G1946" i="2" s="1"/>
  <c r="F1945" i="2"/>
  <c r="E1945" i="2"/>
  <c r="D1945" i="2"/>
  <c r="C1945" i="2"/>
  <c r="G1945" i="2" s="1"/>
  <c r="E1944" i="2"/>
  <c r="F1944" i="2" s="1"/>
  <c r="C1944" i="2"/>
  <c r="G1943" i="2"/>
  <c r="F1943" i="2"/>
  <c r="E1943" i="2"/>
  <c r="D1943" i="2"/>
  <c r="C1943" i="2"/>
  <c r="F1942" i="2"/>
  <c r="E1942" i="2"/>
  <c r="C1942" i="2"/>
  <c r="E1941" i="2"/>
  <c r="F1941" i="2" s="1"/>
  <c r="C1941" i="2"/>
  <c r="F1940" i="2"/>
  <c r="E1940" i="2"/>
  <c r="D1940" i="2"/>
  <c r="C1940" i="2"/>
  <c r="G1940" i="2" s="1"/>
  <c r="F1939" i="2"/>
  <c r="G1939" i="2" s="1"/>
  <c r="E1939" i="2"/>
  <c r="D1939" i="2"/>
  <c r="C1939" i="2"/>
  <c r="E1938" i="2"/>
  <c r="F1938" i="2" s="1"/>
  <c r="D1938" i="2"/>
  <c r="C1938" i="2"/>
  <c r="G1938" i="2" s="1"/>
  <c r="E1937" i="2"/>
  <c r="F1937" i="2" s="1"/>
  <c r="C1937" i="2"/>
  <c r="E1936" i="2"/>
  <c r="F1936" i="2" s="1"/>
  <c r="G1936" i="2" s="1"/>
  <c r="D1936" i="2"/>
  <c r="C1936" i="2"/>
  <c r="F1935" i="2"/>
  <c r="E1935" i="2"/>
  <c r="D1935" i="2"/>
  <c r="C1935" i="2"/>
  <c r="G1935" i="2" s="1"/>
  <c r="F1934" i="2"/>
  <c r="G1934" i="2" s="1"/>
  <c r="E1934" i="2"/>
  <c r="C1934" i="2"/>
  <c r="D1934" i="2" s="1"/>
  <c r="F1933" i="2"/>
  <c r="E1933" i="2"/>
  <c r="D1933" i="2"/>
  <c r="C1933" i="2"/>
  <c r="G1933" i="2" s="1"/>
  <c r="E1932" i="2"/>
  <c r="F1932" i="2" s="1"/>
  <c r="D1932" i="2"/>
  <c r="C1932" i="2"/>
  <c r="G1932" i="2" s="1"/>
  <c r="E1931" i="2"/>
  <c r="F1931" i="2" s="1"/>
  <c r="G1931" i="2" s="1"/>
  <c r="C1931" i="2"/>
  <c r="D1931" i="2" s="1"/>
  <c r="F1930" i="2"/>
  <c r="G1930" i="2" s="1"/>
  <c r="E1930" i="2"/>
  <c r="D1930" i="2"/>
  <c r="C1930" i="2"/>
  <c r="F1929" i="2"/>
  <c r="E1929" i="2"/>
  <c r="C1929" i="2"/>
  <c r="E1928" i="2"/>
  <c r="F1928" i="2" s="1"/>
  <c r="G1928" i="2" s="1"/>
  <c r="D1928" i="2"/>
  <c r="C1928" i="2"/>
  <c r="F1927" i="2"/>
  <c r="E1927" i="2"/>
  <c r="C1927" i="2"/>
  <c r="E1926" i="2"/>
  <c r="F1926" i="2" s="1"/>
  <c r="C1926" i="2"/>
  <c r="E1925" i="2"/>
  <c r="F1925" i="2" s="1"/>
  <c r="G1925" i="2" s="1"/>
  <c r="C1925" i="2"/>
  <c r="D1925" i="2" s="1"/>
  <c r="E1924" i="2"/>
  <c r="F1924" i="2" s="1"/>
  <c r="G1924" i="2" s="1"/>
  <c r="D1924" i="2"/>
  <c r="C1924" i="2"/>
  <c r="E1923" i="2"/>
  <c r="F1923" i="2" s="1"/>
  <c r="G1923" i="2" s="1"/>
  <c r="D1923" i="2"/>
  <c r="C1923" i="2"/>
  <c r="E1922" i="2"/>
  <c r="F1922" i="2" s="1"/>
  <c r="G1922" i="2" s="1"/>
  <c r="C1922" i="2"/>
  <c r="D1922" i="2" s="1"/>
  <c r="E1921" i="2"/>
  <c r="F1921" i="2" s="1"/>
  <c r="G1921" i="2" s="1"/>
  <c r="C1921" i="2"/>
  <c r="D1921" i="2" s="1"/>
  <c r="E1920" i="2"/>
  <c r="F1920" i="2" s="1"/>
  <c r="C1920" i="2"/>
  <c r="E1919" i="2"/>
  <c r="F1919" i="2" s="1"/>
  <c r="C1919" i="2"/>
  <c r="F1918" i="2"/>
  <c r="E1918" i="2"/>
  <c r="D1918" i="2"/>
  <c r="C1918" i="2"/>
  <c r="G1918" i="2" s="1"/>
  <c r="F1917" i="2"/>
  <c r="E1917" i="2"/>
  <c r="C1917" i="2"/>
  <c r="F1916" i="2"/>
  <c r="G1916" i="2" s="1"/>
  <c r="E1916" i="2"/>
  <c r="D1916" i="2"/>
  <c r="C1916" i="2"/>
  <c r="F1915" i="2"/>
  <c r="G1915" i="2" s="1"/>
  <c r="E1915" i="2"/>
  <c r="D1915" i="2"/>
  <c r="C1915" i="2"/>
  <c r="E1914" i="2"/>
  <c r="F1914" i="2" s="1"/>
  <c r="G1914" i="2" s="1"/>
  <c r="D1914" i="2"/>
  <c r="C1914" i="2"/>
  <c r="E1913" i="2"/>
  <c r="F1913" i="2" s="1"/>
  <c r="G1913" i="2" s="1"/>
  <c r="D1913" i="2"/>
  <c r="C1913" i="2"/>
  <c r="F1912" i="2"/>
  <c r="G1912" i="2" s="1"/>
  <c r="E1912" i="2"/>
  <c r="D1912" i="2"/>
  <c r="C1912" i="2"/>
  <c r="E1911" i="2"/>
  <c r="F1911" i="2" s="1"/>
  <c r="C1911" i="2"/>
  <c r="F1910" i="2"/>
  <c r="G1910" i="2" s="1"/>
  <c r="E1910" i="2"/>
  <c r="D1910" i="2"/>
  <c r="C1910" i="2"/>
  <c r="E1909" i="2"/>
  <c r="F1909" i="2" s="1"/>
  <c r="G1909" i="2" s="1"/>
  <c r="D1909" i="2"/>
  <c r="C1909" i="2"/>
  <c r="E1908" i="2"/>
  <c r="F1908" i="2" s="1"/>
  <c r="C1908" i="2"/>
  <c r="F1907" i="2"/>
  <c r="G1907" i="2" s="1"/>
  <c r="E1907" i="2"/>
  <c r="D1907" i="2"/>
  <c r="C1907" i="2"/>
  <c r="F1906" i="2"/>
  <c r="E1906" i="2"/>
  <c r="C1906" i="2"/>
  <c r="F1905" i="2"/>
  <c r="G1905" i="2" s="1"/>
  <c r="E1905" i="2"/>
  <c r="D1905" i="2"/>
  <c r="C1905" i="2"/>
  <c r="E1904" i="2"/>
  <c r="F1904" i="2" s="1"/>
  <c r="C1904" i="2"/>
  <c r="E1903" i="2"/>
  <c r="F1903" i="2" s="1"/>
  <c r="C1903" i="2"/>
  <c r="F1902" i="2"/>
  <c r="G1902" i="2" s="1"/>
  <c r="E1902" i="2"/>
  <c r="D1902" i="2"/>
  <c r="C1902" i="2"/>
  <c r="E1901" i="2"/>
  <c r="F1901" i="2" s="1"/>
  <c r="G1901" i="2" s="1"/>
  <c r="C1901" i="2"/>
  <c r="D1901" i="2" s="1"/>
  <c r="E1900" i="2"/>
  <c r="F1900" i="2" s="1"/>
  <c r="C1900" i="2"/>
  <c r="F1899" i="2"/>
  <c r="G1899" i="2" s="1"/>
  <c r="E1899" i="2"/>
  <c r="D1899" i="2"/>
  <c r="C1899" i="2"/>
  <c r="E1898" i="2"/>
  <c r="F1898" i="2" s="1"/>
  <c r="C1898" i="2"/>
  <c r="F1897" i="2"/>
  <c r="E1897" i="2"/>
  <c r="D1897" i="2"/>
  <c r="C1897" i="2"/>
  <c r="G1897" i="2" s="1"/>
  <c r="E1896" i="2"/>
  <c r="F1896" i="2" s="1"/>
  <c r="G1896" i="2" s="1"/>
  <c r="D1896" i="2"/>
  <c r="C1896" i="2"/>
  <c r="F1895" i="2"/>
  <c r="G1895" i="2" s="1"/>
  <c r="E1895" i="2"/>
  <c r="D1895" i="2"/>
  <c r="C1895" i="2"/>
  <c r="F1894" i="2"/>
  <c r="G1894" i="2" s="1"/>
  <c r="E1894" i="2"/>
  <c r="D1894" i="2"/>
  <c r="C1894" i="2"/>
  <c r="F1893" i="2"/>
  <c r="E1893" i="2"/>
  <c r="C1893" i="2"/>
  <c r="F1892" i="2"/>
  <c r="G1892" i="2" s="1"/>
  <c r="E1892" i="2"/>
  <c r="D1892" i="2"/>
  <c r="C1892" i="2"/>
  <c r="F1891" i="2"/>
  <c r="G1891" i="2" s="1"/>
  <c r="E1891" i="2"/>
  <c r="C1891" i="2"/>
  <c r="D1891" i="2" s="1"/>
  <c r="F1890" i="2"/>
  <c r="G1890" i="2" s="1"/>
  <c r="E1890" i="2"/>
  <c r="D1890" i="2"/>
  <c r="C1890" i="2"/>
  <c r="E1889" i="2"/>
  <c r="F1889" i="2" s="1"/>
  <c r="C1889" i="2"/>
  <c r="F1888" i="2"/>
  <c r="E1888" i="2"/>
  <c r="C1888" i="2"/>
  <c r="E1887" i="2"/>
  <c r="F1887" i="2" s="1"/>
  <c r="G1887" i="2" s="1"/>
  <c r="D1887" i="2"/>
  <c r="C1887" i="2"/>
  <c r="F1886" i="2"/>
  <c r="G1886" i="2" s="1"/>
  <c r="E1886" i="2"/>
  <c r="D1886" i="2"/>
  <c r="C1886" i="2"/>
  <c r="F1885" i="2"/>
  <c r="G1885" i="2" s="1"/>
  <c r="E1885" i="2"/>
  <c r="D1885" i="2"/>
  <c r="C1885" i="2"/>
  <c r="E1884" i="2"/>
  <c r="F1884" i="2" s="1"/>
  <c r="D1884" i="2"/>
  <c r="C1884" i="2"/>
  <c r="G1884" i="2" s="1"/>
  <c r="F1883" i="2"/>
  <c r="E1883" i="2"/>
  <c r="C1883" i="2"/>
  <c r="F1882" i="2"/>
  <c r="E1882" i="2"/>
  <c r="D1882" i="2"/>
  <c r="C1882" i="2"/>
  <c r="G1882" i="2" s="1"/>
  <c r="E1881" i="2"/>
  <c r="F1881" i="2" s="1"/>
  <c r="D1881" i="2"/>
  <c r="C1881" i="2"/>
  <c r="G1881" i="2" s="1"/>
  <c r="E1880" i="2"/>
  <c r="F1880" i="2" s="1"/>
  <c r="G1880" i="2" s="1"/>
  <c r="C1880" i="2"/>
  <c r="D1880" i="2" s="1"/>
  <c r="F1879" i="2"/>
  <c r="G1879" i="2" s="1"/>
  <c r="E1879" i="2"/>
  <c r="D1879" i="2"/>
  <c r="C1879" i="2"/>
  <c r="F1878" i="2"/>
  <c r="E1878" i="2"/>
  <c r="C1878" i="2"/>
  <c r="E1877" i="2"/>
  <c r="F1877" i="2" s="1"/>
  <c r="C1877" i="2"/>
  <c r="E1876" i="2"/>
  <c r="F1876" i="2" s="1"/>
  <c r="C1876" i="2"/>
  <c r="E1875" i="2"/>
  <c r="F1875" i="2" s="1"/>
  <c r="C1875" i="2"/>
  <c r="E1874" i="2"/>
  <c r="F1874" i="2" s="1"/>
  <c r="C1874" i="2"/>
  <c r="E1873" i="2"/>
  <c r="F1873" i="2" s="1"/>
  <c r="C1873" i="2"/>
  <c r="E1872" i="2"/>
  <c r="F1872" i="2" s="1"/>
  <c r="C1872" i="2"/>
  <c r="E1871" i="2"/>
  <c r="F1871" i="2" s="1"/>
  <c r="C1871" i="2"/>
  <c r="E1870" i="2"/>
  <c r="F1870" i="2" s="1"/>
  <c r="C1870" i="2"/>
  <c r="E1869" i="2"/>
  <c r="F1869" i="2" s="1"/>
  <c r="C1869" i="2"/>
  <c r="E1868" i="2"/>
  <c r="F1868" i="2" s="1"/>
  <c r="C1868" i="2"/>
  <c r="E1867" i="2"/>
  <c r="F1867" i="2" s="1"/>
  <c r="C1867" i="2"/>
  <c r="E1866" i="2"/>
  <c r="F1866" i="2" s="1"/>
  <c r="C1866" i="2"/>
  <c r="E1865" i="2"/>
  <c r="F1865" i="2" s="1"/>
  <c r="C1865" i="2"/>
  <c r="E1864" i="2"/>
  <c r="F1864" i="2" s="1"/>
  <c r="C1864" i="2"/>
  <c r="E1863" i="2"/>
  <c r="F1863" i="2" s="1"/>
  <c r="C1863" i="2"/>
  <c r="E1862" i="2"/>
  <c r="F1862" i="2" s="1"/>
  <c r="C1862" i="2"/>
  <c r="E1861" i="2"/>
  <c r="F1861" i="2" s="1"/>
  <c r="C1861" i="2"/>
  <c r="E1860" i="2"/>
  <c r="F1860" i="2" s="1"/>
  <c r="C1860" i="2"/>
  <c r="E1859" i="2"/>
  <c r="F1859" i="2" s="1"/>
  <c r="C1859" i="2"/>
  <c r="E1858" i="2"/>
  <c r="F1858" i="2" s="1"/>
  <c r="C1858" i="2"/>
  <c r="E1857" i="2"/>
  <c r="F1857" i="2" s="1"/>
  <c r="C1857" i="2"/>
  <c r="E1856" i="2"/>
  <c r="F1856" i="2" s="1"/>
  <c r="C1856" i="2"/>
  <c r="E1855" i="2"/>
  <c r="F1855" i="2" s="1"/>
  <c r="C1855" i="2"/>
  <c r="E1854" i="2"/>
  <c r="F1854" i="2" s="1"/>
  <c r="C1854" i="2"/>
  <c r="E1853" i="2"/>
  <c r="F1853" i="2" s="1"/>
  <c r="C1853" i="2"/>
  <c r="E1852" i="2"/>
  <c r="F1852" i="2" s="1"/>
  <c r="C1852" i="2"/>
  <c r="E1851" i="2"/>
  <c r="F1851" i="2" s="1"/>
  <c r="C1851" i="2"/>
  <c r="E1850" i="2"/>
  <c r="F1850" i="2" s="1"/>
  <c r="C1850" i="2"/>
  <c r="E1849" i="2"/>
  <c r="F1849" i="2" s="1"/>
  <c r="C1849" i="2"/>
  <c r="E1848" i="2"/>
  <c r="F1848" i="2" s="1"/>
  <c r="C1848" i="2"/>
  <c r="E1847" i="2"/>
  <c r="F1847" i="2" s="1"/>
  <c r="C1847" i="2"/>
  <c r="E1846" i="2"/>
  <c r="F1846" i="2" s="1"/>
  <c r="C1846" i="2"/>
  <c r="E1845" i="2"/>
  <c r="F1845" i="2" s="1"/>
  <c r="C1845" i="2"/>
  <c r="E1844" i="2"/>
  <c r="F1844" i="2" s="1"/>
  <c r="C1844" i="2"/>
  <c r="E1843" i="2"/>
  <c r="F1843" i="2" s="1"/>
  <c r="C1843" i="2"/>
  <c r="E1842" i="2"/>
  <c r="F1842" i="2" s="1"/>
  <c r="C1842" i="2"/>
  <c r="E1841" i="2"/>
  <c r="F1841" i="2" s="1"/>
  <c r="C1841" i="2"/>
  <c r="E1840" i="2"/>
  <c r="F1840" i="2" s="1"/>
  <c r="C1840" i="2"/>
  <c r="E1839" i="2"/>
  <c r="F1839" i="2" s="1"/>
  <c r="C1839" i="2"/>
  <c r="E1838" i="2"/>
  <c r="F1838" i="2" s="1"/>
  <c r="C1838" i="2"/>
  <c r="E1837" i="2"/>
  <c r="F1837" i="2" s="1"/>
  <c r="C1837" i="2"/>
  <c r="E1836" i="2"/>
  <c r="F1836" i="2" s="1"/>
  <c r="C1836" i="2"/>
  <c r="E1835" i="2"/>
  <c r="F1835" i="2" s="1"/>
  <c r="C1835" i="2"/>
  <c r="E1834" i="2"/>
  <c r="F1834" i="2" s="1"/>
  <c r="C1834" i="2"/>
  <c r="E1833" i="2"/>
  <c r="F1833" i="2" s="1"/>
  <c r="C1833" i="2"/>
  <c r="E1832" i="2"/>
  <c r="F1832" i="2" s="1"/>
  <c r="C1832" i="2"/>
  <c r="E1831" i="2"/>
  <c r="F1831" i="2" s="1"/>
  <c r="C1831" i="2"/>
  <c r="E1830" i="2"/>
  <c r="F1830" i="2" s="1"/>
  <c r="C1830" i="2"/>
  <c r="E1829" i="2"/>
  <c r="F1829" i="2" s="1"/>
  <c r="C1829" i="2"/>
  <c r="E1828" i="2"/>
  <c r="F1828" i="2" s="1"/>
  <c r="C1828" i="2"/>
  <c r="E1827" i="2"/>
  <c r="F1827" i="2" s="1"/>
  <c r="C1827" i="2"/>
  <c r="E1826" i="2"/>
  <c r="F1826" i="2" s="1"/>
  <c r="C1826" i="2"/>
  <c r="E1825" i="2"/>
  <c r="F1825" i="2" s="1"/>
  <c r="C1825" i="2"/>
  <c r="E1824" i="2"/>
  <c r="F1824" i="2" s="1"/>
  <c r="C1824" i="2"/>
  <c r="E1823" i="2"/>
  <c r="F1823" i="2" s="1"/>
  <c r="C1823" i="2"/>
  <c r="E1822" i="2"/>
  <c r="F1822" i="2" s="1"/>
  <c r="C1822" i="2"/>
  <c r="E1821" i="2"/>
  <c r="F1821" i="2" s="1"/>
  <c r="C1821" i="2"/>
  <c r="E1820" i="2"/>
  <c r="F1820" i="2" s="1"/>
  <c r="C1820" i="2"/>
  <c r="E1819" i="2"/>
  <c r="F1819" i="2" s="1"/>
  <c r="C1819" i="2"/>
  <c r="E1818" i="2"/>
  <c r="F1818" i="2" s="1"/>
  <c r="C1818" i="2"/>
  <c r="E1817" i="2"/>
  <c r="F1817" i="2" s="1"/>
  <c r="C1817" i="2"/>
  <c r="E1816" i="2"/>
  <c r="F1816" i="2" s="1"/>
  <c r="C1816" i="2"/>
  <c r="E1815" i="2"/>
  <c r="F1815" i="2" s="1"/>
  <c r="C1815" i="2"/>
  <c r="E1814" i="2"/>
  <c r="F1814" i="2" s="1"/>
  <c r="C1814" i="2"/>
  <c r="E1813" i="2"/>
  <c r="F1813" i="2" s="1"/>
  <c r="C1813" i="2"/>
  <c r="E1812" i="2"/>
  <c r="F1812" i="2" s="1"/>
  <c r="C1812" i="2"/>
  <c r="E1811" i="2"/>
  <c r="F1811" i="2" s="1"/>
  <c r="C1811" i="2"/>
  <c r="E1810" i="2"/>
  <c r="F1810" i="2" s="1"/>
  <c r="C1810" i="2"/>
  <c r="E1809" i="2"/>
  <c r="F1809" i="2" s="1"/>
  <c r="C1809" i="2"/>
  <c r="E1808" i="2"/>
  <c r="F1808" i="2" s="1"/>
  <c r="C1808" i="2"/>
  <c r="E1807" i="2"/>
  <c r="F1807" i="2" s="1"/>
  <c r="C1807" i="2"/>
  <c r="E1806" i="2"/>
  <c r="F1806" i="2" s="1"/>
  <c r="C1806" i="2"/>
  <c r="E1805" i="2"/>
  <c r="F1805" i="2" s="1"/>
  <c r="C1805" i="2"/>
  <c r="E1804" i="2"/>
  <c r="F1804" i="2" s="1"/>
  <c r="C1804" i="2"/>
  <c r="E1803" i="2"/>
  <c r="F1803" i="2" s="1"/>
  <c r="C1803" i="2"/>
  <c r="E1802" i="2"/>
  <c r="F1802" i="2" s="1"/>
  <c r="C1802" i="2"/>
  <c r="E1801" i="2"/>
  <c r="F1801" i="2" s="1"/>
  <c r="C1801" i="2"/>
  <c r="E1800" i="2"/>
  <c r="F1800" i="2" s="1"/>
  <c r="C1800" i="2"/>
  <c r="E1799" i="2"/>
  <c r="F1799" i="2" s="1"/>
  <c r="C1799" i="2"/>
  <c r="E1798" i="2"/>
  <c r="F1798" i="2" s="1"/>
  <c r="C1798" i="2"/>
  <c r="E1797" i="2"/>
  <c r="F1797" i="2" s="1"/>
  <c r="C1797" i="2"/>
  <c r="E1796" i="2"/>
  <c r="F1796" i="2" s="1"/>
  <c r="C1796" i="2"/>
  <c r="E1795" i="2"/>
  <c r="F1795" i="2" s="1"/>
  <c r="C1795" i="2"/>
  <c r="E1794" i="2"/>
  <c r="F1794" i="2" s="1"/>
  <c r="C1794" i="2"/>
  <c r="E1793" i="2"/>
  <c r="F1793" i="2" s="1"/>
  <c r="C1793" i="2"/>
  <c r="E1792" i="2"/>
  <c r="F1792" i="2" s="1"/>
  <c r="C1792" i="2"/>
  <c r="E1791" i="2"/>
  <c r="F1791" i="2" s="1"/>
  <c r="C1791" i="2"/>
  <c r="E1790" i="2"/>
  <c r="F1790" i="2" s="1"/>
  <c r="C1790" i="2"/>
  <c r="E1789" i="2"/>
  <c r="F1789" i="2" s="1"/>
  <c r="C1789" i="2"/>
  <c r="E1788" i="2"/>
  <c r="F1788" i="2" s="1"/>
  <c r="C1788" i="2"/>
  <c r="E1787" i="2"/>
  <c r="F1787" i="2" s="1"/>
  <c r="C1787" i="2"/>
  <c r="E1786" i="2"/>
  <c r="F1786" i="2" s="1"/>
  <c r="C1786" i="2"/>
  <c r="E1785" i="2"/>
  <c r="F1785" i="2" s="1"/>
  <c r="C1785" i="2"/>
  <c r="E1784" i="2"/>
  <c r="F1784" i="2" s="1"/>
  <c r="C1784" i="2"/>
  <c r="E1783" i="2"/>
  <c r="F1783" i="2" s="1"/>
  <c r="C1783" i="2"/>
  <c r="E1782" i="2"/>
  <c r="F1782" i="2" s="1"/>
  <c r="C1782" i="2"/>
  <c r="E1781" i="2"/>
  <c r="F1781" i="2" s="1"/>
  <c r="C1781" i="2"/>
  <c r="E1780" i="2"/>
  <c r="F1780" i="2" s="1"/>
  <c r="C1780" i="2"/>
  <c r="E1779" i="2"/>
  <c r="F1779" i="2" s="1"/>
  <c r="C1779" i="2"/>
  <c r="E1778" i="2"/>
  <c r="F1778" i="2" s="1"/>
  <c r="C1778" i="2"/>
  <c r="E1777" i="2"/>
  <c r="F1777" i="2" s="1"/>
  <c r="C1777" i="2"/>
  <c r="E1776" i="2"/>
  <c r="F1776" i="2" s="1"/>
  <c r="C1776" i="2"/>
  <c r="E1775" i="2"/>
  <c r="F1775" i="2" s="1"/>
  <c r="C1775" i="2"/>
  <c r="E1774" i="2"/>
  <c r="F1774" i="2" s="1"/>
  <c r="C1774" i="2"/>
  <c r="E1773" i="2"/>
  <c r="F1773" i="2" s="1"/>
  <c r="C1773" i="2"/>
  <c r="E1772" i="2"/>
  <c r="F1772" i="2" s="1"/>
  <c r="C1772" i="2"/>
  <c r="E1771" i="2"/>
  <c r="F1771" i="2" s="1"/>
  <c r="C1771" i="2"/>
  <c r="E1770" i="2"/>
  <c r="F1770" i="2" s="1"/>
  <c r="C1770" i="2"/>
  <c r="E1769" i="2"/>
  <c r="F1769" i="2" s="1"/>
  <c r="C1769" i="2"/>
  <c r="E1768" i="2"/>
  <c r="F1768" i="2" s="1"/>
  <c r="C1768" i="2"/>
  <c r="E1767" i="2"/>
  <c r="F1767" i="2" s="1"/>
  <c r="C1767" i="2"/>
  <c r="E1766" i="2"/>
  <c r="F1766" i="2" s="1"/>
  <c r="C1766" i="2"/>
  <c r="E1765" i="2"/>
  <c r="F1765" i="2" s="1"/>
  <c r="C1765" i="2"/>
  <c r="E1764" i="2"/>
  <c r="F1764" i="2" s="1"/>
  <c r="C1764" i="2"/>
  <c r="E1763" i="2"/>
  <c r="F1763" i="2" s="1"/>
  <c r="C1763" i="2"/>
  <c r="E1762" i="2"/>
  <c r="F1762" i="2" s="1"/>
  <c r="C1762" i="2"/>
  <c r="E1761" i="2"/>
  <c r="F1761" i="2" s="1"/>
  <c r="C1761" i="2"/>
  <c r="E1760" i="2"/>
  <c r="F1760" i="2" s="1"/>
  <c r="C1760" i="2"/>
  <c r="E1759" i="2"/>
  <c r="F1759" i="2" s="1"/>
  <c r="C1759" i="2"/>
  <c r="E1758" i="2"/>
  <c r="F1758" i="2" s="1"/>
  <c r="C1758" i="2"/>
  <c r="E1757" i="2"/>
  <c r="F1757" i="2" s="1"/>
  <c r="C1757" i="2"/>
  <c r="E1756" i="2"/>
  <c r="F1756" i="2" s="1"/>
  <c r="C1756" i="2"/>
  <c r="E1755" i="2"/>
  <c r="F1755" i="2" s="1"/>
  <c r="C1755" i="2"/>
  <c r="E1754" i="2"/>
  <c r="F1754" i="2" s="1"/>
  <c r="C1754" i="2"/>
  <c r="E1753" i="2"/>
  <c r="F1753" i="2" s="1"/>
  <c r="C1753" i="2"/>
  <c r="E1752" i="2"/>
  <c r="F1752" i="2" s="1"/>
  <c r="C1752" i="2"/>
  <c r="E1751" i="2"/>
  <c r="F1751" i="2" s="1"/>
  <c r="C1751" i="2"/>
  <c r="E1750" i="2"/>
  <c r="F1750" i="2" s="1"/>
  <c r="C1750" i="2"/>
  <c r="E1749" i="2"/>
  <c r="F1749" i="2" s="1"/>
  <c r="C1749" i="2"/>
  <c r="E1748" i="2"/>
  <c r="F1748" i="2" s="1"/>
  <c r="C1748" i="2"/>
  <c r="E1747" i="2"/>
  <c r="F1747" i="2" s="1"/>
  <c r="C1747" i="2"/>
  <c r="E1746" i="2"/>
  <c r="F1746" i="2" s="1"/>
  <c r="C1746" i="2"/>
  <c r="E1745" i="2"/>
  <c r="F1745" i="2" s="1"/>
  <c r="C1745" i="2"/>
  <c r="E1744" i="2"/>
  <c r="F1744" i="2" s="1"/>
  <c r="C1744" i="2"/>
  <c r="E1743" i="2"/>
  <c r="F1743" i="2" s="1"/>
  <c r="C1743" i="2"/>
  <c r="E1742" i="2"/>
  <c r="F1742" i="2" s="1"/>
  <c r="C1742" i="2"/>
  <c r="E1741" i="2"/>
  <c r="F1741" i="2" s="1"/>
  <c r="C1741" i="2"/>
  <c r="E1740" i="2"/>
  <c r="F1740" i="2" s="1"/>
  <c r="C1740" i="2"/>
  <c r="E1739" i="2"/>
  <c r="F1739" i="2" s="1"/>
  <c r="C1739" i="2"/>
  <c r="E1738" i="2"/>
  <c r="F1738" i="2" s="1"/>
  <c r="C1738" i="2"/>
  <c r="E1737" i="2"/>
  <c r="F1737" i="2" s="1"/>
  <c r="C1737" i="2"/>
  <c r="E1736" i="2"/>
  <c r="F1736" i="2" s="1"/>
  <c r="C1736" i="2"/>
  <c r="E1735" i="2"/>
  <c r="F1735" i="2" s="1"/>
  <c r="C1735" i="2"/>
  <c r="E1734" i="2"/>
  <c r="F1734" i="2" s="1"/>
  <c r="C1734" i="2"/>
  <c r="E1733" i="2"/>
  <c r="F1733" i="2" s="1"/>
  <c r="C1733" i="2"/>
  <c r="E1732" i="2"/>
  <c r="F1732" i="2" s="1"/>
  <c r="C1732" i="2"/>
  <c r="E1731" i="2"/>
  <c r="F1731" i="2" s="1"/>
  <c r="C1731" i="2"/>
  <c r="E1730" i="2"/>
  <c r="F1730" i="2" s="1"/>
  <c r="C1730" i="2"/>
  <c r="E1729" i="2"/>
  <c r="F1729" i="2" s="1"/>
  <c r="C1729" i="2"/>
  <c r="E1728" i="2"/>
  <c r="F1728" i="2" s="1"/>
  <c r="C1728" i="2"/>
  <c r="E1727" i="2"/>
  <c r="F1727" i="2" s="1"/>
  <c r="C1727" i="2"/>
  <c r="E1726" i="2"/>
  <c r="F1726" i="2" s="1"/>
  <c r="C1726" i="2"/>
  <c r="E1725" i="2"/>
  <c r="F1725" i="2" s="1"/>
  <c r="C1725" i="2"/>
  <c r="E1724" i="2"/>
  <c r="F1724" i="2" s="1"/>
  <c r="C1724" i="2"/>
  <c r="E1723" i="2"/>
  <c r="F1723" i="2" s="1"/>
  <c r="C1723" i="2"/>
  <c r="E1722" i="2"/>
  <c r="F1722" i="2" s="1"/>
  <c r="C1722" i="2"/>
  <c r="E1721" i="2"/>
  <c r="F1721" i="2" s="1"/>
  <c r="C1721" i="2"/>
  <c r="E1720" i="2"/>
  <c r="F1720" i="2" s="1"/>
  <c r="C1720" i="2"/>
  <c r="E1719" i="2"/>
  <c r="F1719" i="2" s="1"/>
  <c r="C1719" i="2"/>
  <c r="E1718" i="2"/>
  <c r="F1718" i="2" s="1"/>
  <c r="C1718" i="2"/>
  <c r="E1717" i="2"/>
  <c r="F1717" i="2" s="1"/>
  <c r="C1717" i="2"/>
  <c r="E1716" i="2"/>
  <c r="F1716" i="2" s="1"/>
  <c r="C1716" i="2"/>
  <c r="E1715" i="2"/>
  <c r="F1715" i="2" s="1"/>
  <c r="C1715" i="2"/>
  <c r="E1714" i="2"/>
  <c r="F1714" i="2" s="1"/>
  <c r="C1714" i="2"/>
  <c r="E1713" i="2"/>
  <c r="F1713" i="2" s="1"/>
  <c r="C1713" i="2"/>
  <c r="E1712" i="2"/>
  <c r="F1712" i="2" s="1"/>
  <c r="C1712" i="2"/>
  <c r="E1711" i="2"/>
  <c r="F1711" i="2" s="1"/>
  <c r="C1711" i="2"/>
  <c r="E1710" i="2"/>
  <c r="F1710" i="2" s="1"/>
  <c r="C1710" i="2"/>
  <c r="E1709" i="2"/>
  <c r="F1709" i="2" s="1"/>
  <c r="C1709" i="2"/>
  <c r="E1708" i="2"/>
  <c r="F1708" i="2" s="1"/>
  <c r="C1708" i="2"/>
  <c r="E1707" i="2"/>
  <c r="F1707" i="2" s="1"/>
  <c r="C1707" i="2"/>
  <c r="E1706" i="2"/>
  <c r="F1706" i="2" s="1"/>
  <c r="C1706" i="2"/>
  <c r="E1705" i="2"/>
  <c r="F1705" i="2" s="1"/>
  <c r="C1705" i="2"/>
  <c r="E1704" i="2"/>
  <c r="F1704" i="2" s="1"/>
  <c r="C1704" i="2"/>
  <c r="E1703" i="2"/>
  <c r="F1703" i="2" s="1"/>
  <c r="C1703" i="2"/>
  <c r="E1702" i="2"/>
  <c r="F1702" i="2" s="1"/>
  <c r="C1702" i="2"/>
  <c r="E1701" i="2"/>
  <c r="F1701" i="2" s="1"/>
  <c r="C1701" i="2"/>
  <c r="E1700" i="2"/>
  <c r="F1700" i="2" s="1"/>
  <c r="C1700" i="2"/>
  <c r="E1699" i="2"/>
  <c r="F1699" i="2" s="1"/>
  <c r="C1699" i="2"/>
  <c r="E1698" i="2"/>
  <c r="F1698" i="2" s="1"/>
  <c r="C1698" i="2"/>
  <c r="E1697" i="2"/>
  <c r="F1697" i="2" s="1"/>
  <c r="C1697" i="2"/>
  <c r="E1696" i="2"/>
  <c r="F1696" i="2" s="1"/>
  <c r="C1696" i="2"/>
  <c r="E1695" i="2"/>
  <c r="F1695" i="2" s="1"/>
  <c r="C1695" i="2"/>
  <c r="E1694" i="2"/>
  <c r="F1694" i="2" s="1"/>
  <c r="C1694" i="2"/>
  <c r="E1693" i="2"/>
  <c r="F1693" i="2" s="1"/>
  <c r="C1693" i="2"/>
  <c r="E1692" i="2"/>
  <c r="F1692" i="2" s="1"/>
  <c r="C1692" i="2"/>
  <c r="E1691" i="2"/>
  <c r="F1691" i="2" s="1"/>
  <c r="C1691" i="2"/>
  <c r="E1690" i="2"/>
  <c r="F1690" i="2" s="1"/>
  <c r="C1690" i="2"/>
  <c r="E1689" i="2"/>
  <c r="F1689" i="2" s="1"/>
  <c r="C1689" i="2"/>
  <c r="E1688" i="2"/>
  <c r="F1688" i="2" s="1"/>
  <c r="C1688" i="2"/>
  <c r="E1687" i="2"/>
  <c r="F1687" i="2" s="1"/>
  <c r="C1687" i="2"/>
  <c r="E1686" i="2"/>
  <c r="F1686" i="2" s="1"/>
  <c r="C1686" i="2"/>
  <c r="E1685" i="2"/>
  <c r="F1685" i="2" s="1"/>
  <c r="C1685" i="2"/>
  <c r="E1684" i="2"/>
  <c r="F1684" i="2" s="1"/>
  <c r="C1684" i="2"/>
  <c r="E1683" i="2"/>
  <c r="F1683" i="2" s="1"/>
  <c r="C1683" i="2"/>
  <c r="E1682" i="2"/>
  <c r="F1682" i="2" s="1"/>
  <c r="C1682" i="2"/>
  <c r="E1681" i="2"/>
  <c r="F1681" i="2" s="1"/>
  <c r="C1681" i="2"/>
  <c r="E1680" i="2"/>
  <c r="F1680" i="2" s="1"/>
  <c r="C1680" i="2"/>
  <c r="E1679" i="2"/>
  <c r="F1679" i="2" s="1"/>
  <c r="C1679" i="2"/>
  <c r="E1678" i="2"/>
  <c r="F1678" i="2" s="1"/>
  <c r="C1678" i="2"/>
  <c r="E1677" i="2"/>
  <c r="F1677" i="2" s="1"/>
  <c r="C1677" i="2"/>
  <c r="E1676" i="2"/>
  <c r="F1676" i="2" s="1"/>
  <c r="C1676" i="2"/>
  <c r="E1675" i="2"/>
  <c r="F1675" i="2" s="1"/>
  <c r="C1675" i="2"/>
  <c r="E1674" i="2"/>
  <c r="F1674" i="2" s="1"/>
  <c r="C1674" i="2"/>
  <c r="E1673" i="2"/>
  <c r="F1673" i="2" s="1"/>
  <c r="C1673" i="2"/>
  <c r="E1672" i="2"/>
  <c r="F1672" i="2" s="1"/>
  <c r="C1672" i="2"/>
  <c r="E1671" i="2"/>
  <c r="F1671" i="2" s="1"/>
  <c r="C1671" i="2"/>
  <c r="E1670" i="2"/>
  <c r="F1670" i="2" s="1"/>
  <c r="C1670" i="2"/>
  <c r="E1669" i="2"/>
  <c r="F1669" i="2" s="1"/>
  <c r="C1669" i="2"/>
  <c r="E1668" i="2"/>
  <c r="F1668" i="2" s="1"/>
  <c r="C1668" i="2"/>
  <c r="E1667" i="2"/>
  <c r="F1667" i="2" s="1"/>
  <c r="C1667" i="2"/>
  <c r="E1666" i="2"/>
  <c r="F1666" i="2" s="1"/>
  <c r="C1666" i="2"/>
  <c r="E1665" i="2"/>
  <c r="F1665" i="2" s="1"/>
  <c r="C1665" i="2"/>
  <c r="E1664" i="2"/>
  <c r="F1664" i="2" s="1"/>
  <c r="C1664" i="2"/>
  <c r="E1663" i="2"/>
  <c r="F1663" i="2" s="1"/>
  <c r="C1663" i="2"/>
  <c r="E1662" i="2"/>
  <c r="F1662" i="2" s="1"/>
  <c r="C1662" i="2"/>
  <c r="E1661" i="2"/>
  <c r="F1661" i="2" s="1"/>
  <c r="C1661" i="2"/>
  <c r="E1660" i="2"/>
  <c r="F1660" i="2" s="1"/>
  <c r="C1660" i="2"/>
  <c r="E1659" i="2"/>
  <c r="F1659" i="2" s="1"/>
  <c r="C1659" i="2"/>
  <c r="E1658" i="2"/>
  <c r="F1658" i="2" s="1"/>
  <c r="C1658" i="2"/>
  <c r="E1657" i="2"/>
  <c r="F1657" i="2" s="1"/>
  <c r="C1657" i="2"/>
  <c r="E1656" i="2"/>
  <c r="F1656" i="2" s="1"/>
  <c r="C1656" i="2"/>
  <c r="E1655" i="2"/>
  <c r="F1655" i="2" s="1"/>
  <c r="C1655" i="2"/>
  <c r="E1654" i="2"/>
  <c r="F1654" i="2" s="1"/>
  <c r="C1654" i="2"/>
  <c r="E1653" i="2"/>
  <c r="F1653" i="2" s="1"/>
  <c r="C1653" i="2"/>
  <c r="E1652" i="2"/>
  <c r="F1652" i="2" s="1"/>
  <c r="C1652" i="2"/>
  <c r="E1651" i="2"/>
  <c r="F1651" i="2" s="1"/>
  <c r="C1651" i="2"/>
  <c r="E1650" i="2"/>
  <c r="F1650" i="2" s="1"/>
  <c r="C1650" i="2"/>
  <c r="E1649" i="2"/>
  <c r="F1649" i="2" s="1"/>
  <c r="C1649" i="2"/>
  <c r="E1648" i="2"/>
  <c r="F1648" i="2" s="1"/>
  <c r="C1648" i="2"/>
  <c r="E1647" i="2"/>
  <c r="F1647" i="2" s="1"/>
  <c r="C1647" i="2"/>
  <c r="E1646" i="2"/>
  <c r="F1646" i="2" s="1"/>
  <c r="C1646" i="2"/>
  <c r="E1645" i="2"/>
  <c r="F1645" i="2" s="1"/>
  <c r="C1645" i="2"/>
  <c r="E1644" i="2"/>
  <c r="F1644" i="2" s="1"/>
  <c r="C1644" i="2"/>
  <c r="E1643" i="2"/>
  <c r="F1643" i="2" s="1"/>
  <c r="C1643" i="2"/>
  <c r="E1642" i="2"/>
  <c r="F1642" i="2" s="1"/>
  <c r="C1642" i="2"/>
  <c r="E1641" i="2"/>
  <c r="F1641" i="2" s="1"/>
  <c r="C1641" i="2"/>
  <c r="E1640" i="2"/>
  <c r="F1640" i="2" s="1"/>
  <c r="C1640" i="2"/>
  <c r="E1639" i="2"/>
  <c r="F1639" i="2" s="1"/>
  <c r="C1639" i="2"/>
  <c r="E1638" i="2"/>
  <c r="F1638" i="2" s="1"/>
  <c r="C1638" i="2"/>
  <c r="E1637" i="2"/>
  <c r="F1637" i="2" s="1"/>
  <c r="C1637" i="2"/>
  <c r="E1636" i="2"/>
  <c r="F1636" i="2" s="1"/>
  <c r="C1636" i="2"/>
  <c r="E1635" i="2"/>
  <c r="F1635" i="2" s="1"/>
  <c r="C1635" i="2"/>
  <c r="E1634" i="2"/>
  <c r="F1634" i="2" s="1"/>
  <c r="C1634" i="2"/>
  <c r="E1633" i="2"/>
  <c r="F1633" i="2" s="1"/>
  <c r="C1633" i="2"/>
  <c r="E1632" i="2"/>
  <c r="F1632" i="2" s="1"/>
  <c r="C1632" i="2"/>
  <c r="E1631" i="2"/>
  <c r="F1631" i="2" s="1"/>
  <c r="C1631" i="2"/>
  <c r="E1630" i="2"/>
  <c r="F1630" i="2" s="1"/>
  <c r="C1630" i="2"/>
  <c r="E1629" i="2"/>
  <c r="F1629" i="2" s="1"/>
  <c r="C1629" i="2"/>
  <c r="E1628" i="2"/>
  <c r="F1628" i="2" s="1"/>
  <c r="C1628" i="2"/>
  <c r="E1627" i="2"/>
  <c r="F1627" i="2" s="1"/>
  <c r="C1627" i="2"/>
  <c r="E1626" i="2"/>
  <c r="F1626" i="2" s="1"/>
  <c r="C1626" i="2"/>
  <c r="E1625" i="2"/>
  <c r="F1625" i="2" s="1"/>
  <c r="C1625" i="2"/>
  <c r="E1624" i="2"/>
  <c r="F1624" i="2" s="1"/>
  <c r="C1624" i="2"/>
  <c r="E1623" i="2"/>
  <c r="F1623" i="2" s="1"/>
  <c r="C1623" i="2"/>
  <c r="E1622" i="2"/>
  <c r="F1622" i="2" s="1"/>
  <c r="C1622" i="2"/>
  <c r="E1621" i="2"/>
  <c r="F1621" i="2" s="1"/>
  <c r="C1621" i="2"/>
  <c r="E1620" i="2"/>
  <c r="F1620" i="2" s="1"/>
  <c r="C1620" i="2"/>
  <c r="E1619" i="2"/>
  <c r="F1619" i="2" s="1"/>
  <c r="C1619" i="2"/>
  <c r="E1618" i="2"/>
  <c r="F1618" i="2" s="1"/>
  <c r="C1618" i="2"/>
  <c r="E1617" i="2"/>
  <c r="F1617" i="2" s="1"/>
  <c r="C1617" i="2"/>
  <c r="E1616" i="2"/>
  <c r="F1616" i="2" s="1"/>
  <c r="C1616" i="2"/>
  <c r="E1615" i="2"/>
  <c r="F1615" i="2" s="1"/>
  <c r="C1615" i="2"/>
  <c r="E1614" i="2"/>
  <c r="F1614" i="2" s="1"/>
  <c r="C1614" i="2"/>
  <c r="E1613" i="2"/>
  <c r="F1613" i="2" s="1"/>
  <c r="C1613" i="2"/>
  <c r="E1612" i="2"/>
  <c r="F1612" i="2" s="1"/>
  <c r="C1612" i="2"/>
  <c r="E1611" i="2"/>
  <c r="F1611" i="2" s="1"/>
  <c r="C1611" i="2"/>
  <c r="E1610" i="2"/>
  <c r="F1610" i="2" s="1"/>
  <c r="C1610" i="2"/>
  <c r="E1609" i="2"/>
  <c r="F1609" i="2" s="1"/>
  <c r="C1609" i="2"/>
  <c r="E1608" i="2"/>
  <c r="F1608" i="2" s="1"/>
  <c r="C1608" i="2"/>
  <c r="E1607" i="2"/>
  <c r="F1607" i="2" s="1"/>
  <c r="C1607" i="2"/>
  <c r="E1606" i="2"/>
  <c r="F1606" i="2" s="1"/>
  <c r="C1606" i="2"/>
  <c r="E1605" i="2"/>
  <c r="F1605" i="2" s="1"/>
  <c r="C1605" i="2"/>
  <c r="E1604" i="2"/>
  <c r="F1604" i="2" s="1"/>
  <c r="C1604" i="2"/>
  <c r="E1603" i="2"/>
  <c r="F1603" i="2" s="1"/>
  <c r="C1603" i="2"/>
  <c r="E1602" i="2"/>
  <c r="F1602" i="2" s="1"/>
  <c r="C1602" i="2"/>
  <c r="E1601" i="2"/>
  <c r="F1601" i="2" s="1"/>
  <c r="C1601" i="2"/>
  <c r="E1600" i="2"/>
  <c r="F1600" i="2" s="1"/>
  <c r="C1600" i="2"/>
  <c r="E1599" i="2"/>
  <c r="F1599" i="2" s="1"/>
  <c r="C1599" i="2"/>
  <c r="E1598" i="2"/>
  <c r="F1598" i="2" s="1"/>
  <c r="C1598" i="2"/>
  <c r="E1597" i="2"/>
  <c r="F1597" i="2" s="1"/>
  <c r="C1597" i="2"/>
  <c r="E1596" i="2"/>
  <c r="F1596" i="2" s="1"/>
  <c r="C1596" i="2"/>
  <c r="E1595" i="2"/>
  <c r="F1595" i="2" s="1"/>
  <c r="C1595" i="2"/>
  <c r="E1594" i="2"/>
  <c r="F1594" i="2" s="1"/>
  <c r="C1594" i="2"/>
  <c r="E1593" i="2"/>
  <c r="F1593" i="2" s="1"/>
  <c r="C1593" i="2"/>
  <c r="E1592" i="2"/>
  <c r="F1592" i="2" s="1"/>
  <c r="C1592" i="2"/>
  <c r="E1591" i="2"/>
  <c r="F1591" i="2" s="1"/>
  <c r="C1591" i="2"/>
  <c r="E1590" i="2"/>
  <c r="F1590" i="2" s="1"/>
  <c r="C1590" i="2"/>
  <c r="E1589" i="2"/>
  <c r="F1589" i="2" s="1"/>
  <c r="C1589" i="2"/>
  <c r="E1588" i="2"/>
  <c r="F1588" i="2" s="1"/>
  <c r="C1588" i="2"/>
  <c r="E1587" i="2"/>
  <c r="F1587" i="2" s="1"/>
  <c r="C1587" i="2"/>
  <c r="E1586" i="2"/>
  <c r="F1586" i="2" s="1"/>
  <c r="C1586" i="2"/>
  <c r="E1585" i="2"/>
  <c r="F1585" i="2" s="1"/>
  <c r="C1585" i="2"/>
  <c r="E1584" i="2"/>
  <c r="F1584" i="2" s="1"/>
  <c r="C1584" i="2"/>
  <c r="E1583" i="2"/>
  <c r="F1583" i="2" s="1"/>
  <c r="C1583" i="2"/>
  <c r="E1582" i="2"/>
  <c r="F1582" i="2" s="1"/>
  <c r="C1582" i="2"/>
  <c r="E1581" i="2"/>
  <c r="F1581" i="2" s="1"/>
  <c r="C1581" i="2"/>
  <c r="E1580" i="2"/>
  <c r="F1580" i="2" s="1"/>
  <c r="C1580" i="2"/>
  <c r="E1579" i="2"/>
  <c r="F1579" i="2" s="1"/>
  <c r="C1579" i="2"/>
  <c r="E1578" i="2"/>
  <c r="F1578" i="2" s="1"/>
  <c r="C1578" i="2"/>
  <c r="E1577" i="2"/>
  <c r="F1577" i="2" s="1"/>
  <c r="C1577" i="2"/>
  <c r="E1576" i="2"/>
  <c r="F1576" i="2" s="1"/>
  <c r="C1576" i="2"/>
  <c r="E1575" i="2"/>
  <c r="F1575" i="2" s="1"/>
  <c r="C1575" i="2"/>
  <c r="E1574" i="2"/>
  <c r="F1574" i="2" s="1"/>
  <c r="C1574" i="2"/>
  <c r="E1573" i="2"/>
  <c r="F1573" i="2" s="1"/>
  <c r="C1573" i="2"/>
  <c r="E1572" i="2"/>
  <c r="F1572" i="2" s="1"/>
  <c r="C1572" i="2"/>
  <c r="E1571" i="2"/>
  <c r="F1571" i="2" s="1"/>
  <c r="C1571" i="2"/>
  <c r="E1570" i="2"/>
  <c r="F1570" i="2" s="1"/>
  <c r="C1570" i="2"/>
  <c r="E1569" i="2"/>
  <c r="F1569" i="2" s="1"/>
  <c r="C1569" i="2"/>
  <c r="E1568" i="2"/>
  <c r="F1568" i="2" s="1"/>
  <c r="C1568" i="2"/>
  <c r="E1567" i="2"/>
  <c r="F1567" i="2" s="1"/>
  <c r="C1567" i="2"/>
  <c r="E1566" i="2"/>
  <c r="F1566" i="2" s="1"/>
  <c r="C1566" i="2"/>
  <c r="E1565" i="2"/>
  <c r="F1565" i="2" s="1"/>
  <c r="C1565" i="2"/>
  <c r="E1564" i="2"/>
  <c r="F1564" i="2" s="1"/>
  <c r="C1564" i="2"/>
  <c r="E1563" i="2"/>
  <c r="F1563" i="2" s="1"/>
  <c r="C1563" i="2"/>
  <c r="E1562" i="2"/>
  <c r="F1562" i="2" s="1"/>
  <c r="C1562" i="2"/>
  <c r="E1561" i="2"/>
  <c r="F1561" i="2" s="1"/>
  <c r="C1561" i="2"/>
  <c r="E1560" i="2"/>
  <c r="F1560" i="2" s="1"/>
  <c r="C1560" i="2"/>
  <c r="E1559" i="2"/>
  <c r="F1559" i="2" s="1"/>
  <c r="C1559" i="2"/>
  <c r="E1558" i="2"/>
  <c r="F1558" i="2" s="1"/>
  <c r="C1558" i="2"/>
  <c r="E1557" i="2"/>
  <c r="F1557" i="2" s="1"/>
  <c r="C1557" i="2"/>
  <c r="E1556" i="2"/>
  <c r="F1556" i="2" s="1"/>
  <c r="C1556" i="2"/>
  <c r="E1555" i="2"/>
  <c r="F1555" i="2" s="1"/>
  <c r="C1555" i="2"/>
  <c r="E1554" i="2"/>
  <c r="F1554" i="2" s="1"/>
  <c r="C1554" i="2"/>
  <c r="E1553" i="2"/>
  <c r="F1553" i="2" s="1"/>
  <c r="C1553" i="2"/>
  <c r="E1552" i="2"/>
  <c r="F1552" i="2" s="1"/>
  <c r="C1552" i="2"/>
  <c r="E1551" i="2"/>
  <c r="F1551" i="2" s="1"/>
  <c r="C1551" i="2"/>
  <c r="E1550" i="2"/>
  <c r="F1550" i="2" s="1"/>
  <c r="C1550" i="2"/>
  <c r="E1549" i="2"/>
  <c r="F1549" i="2" s="1"/>
  <c r="C1549" i="2"/>
  <c r="E1548" i="2"/>
  <c r="F1548" i="2" s="1"/>
  <c r="C1548" i="2"/>
  <c r="E1547" i="2"/>
  <c r="F1547" i="2" s="1"/>
  <c r="C1547" i="2"/>
  <c r="E1546" i="2"/>
  <c r="F1546" i="2" s="1"/>
  <c r="C1546" i="2"/>
  <c r="E1545" i="2"/>
  <c r="F1545" i="2" s="1"/>
  <c r="C1545" i="2"/>
  <c r="E1544" i="2"/>
  <c r="F1544" i="2" s="1"/>
  <c r="C1544" i="2"/>
  <c r="E1543" i="2"/>
  <c r="F1543" i="2" s="1"/>
  <c r="C1543" i="2"/>
  <c r="E1542" i="2"/>
  <c r="F1542" i="2" s="1"/>
  <c r="C1542" i="2"/>
  <c r="E1541" i="2"/>
  <c r="F1541" i="2" s="1"/>
  <c r="C1541" i="2"/>
  <c r="E1540" i="2"/>
  <c r="F1540" i="2" s="1"/>
  <c r="C1540" i="2"/>
  <c r="E1539" i="2"/>
  <c r="F1539" i="2" s="1"/>
  <c r="C1539" i="2"/>
  <c r="E1538" i="2"/>
  <c r="F1538" i="2" s="1"/>
  <c r="C1538" i="2"/>
  <c r="E1537" i="2"/>
  <c r="F1537" i="2" s="1"/>
  <c r="C1537" i="2"/>
  <c r="E1536" i="2"/>
  <c r="F1536" i="2" s="1"/>
  <c r="C1536" i="2"/>
  <c r="E1535" i="2"/>
  <c r="F1535" i="2" s="1"/>
  <c r="C1535" i="2"/>
  <c r="E1534" i="2"/>
  <c r="F1534" i="2" s="1"/>
  <c r="C1534" i="2"/>
  <c r="E1533" i="2"/>
  <c r="F1533" i="2" s="1"/>
  <c r="C1533" i="2"/>
  <c r="E1532" i="2"/>
  <c r="F1532" i="2" s="1"/>
  <c r="C1532" i="2"/>
  <c r="E1531" i="2"/>
  <c r="F1531" i="2" s="1"/>
  <c r="C1531" i="2"/>
  <c r="E1530" i="2"/>
  <c r="F1530" i="2" s="1"/>
  <c r="C1530" i="2"/>
  <c r="E1529" i="2"/>
  <c r="F1529" i="2" s="1"/>
  <c r="C1529" i="2"/>
  <c r="E1528" i="2"/>
  <c r="F1528" i="2" s="1"/>
  <c r="C1528" i="2"/>
  <c r="E1527" i="2"/>
  <c r="F1527" i="2" s="1"/>
  <c r="C1527" i="2"/>
  <c r="E1526" i="2"/>
  <c r="F1526" i="2" s="1"/>
  <c r="C1526" i="2"/>
  <c r="E1525" i="2"/>
  <c r="F1525" i="2" s="1"/>
  <c r="C1525" i="2"/>
  <c r="E1524" i="2"/>
  <c r="F1524" i="2" s="1"/>
  <c r="C1524" i="2"/>
  <c r="E1523" i="2"/>
  <c r="F1523" i="2" s="1"/>
  <c r="C1523" i="2"/>
  <c r="E1522" i="2"/>
  <c r="F1522" i="2" s="1"/>
  <c r="C1522" i="2"/>
  <c r="E1521" i="2"/>
  <c r="F1521" i="2" s="1"/>
  <c r="C1521" i="2"/>
  <c r="E1520" i="2"/>
  <c r="F1520" i="2" s="1"/>
  <c r="C1520" i="2"/>
  <c r="E1519" i="2"/>
  <c r="F1519" i="2" s="1"/>
  <c r="C1519" i="2"/>
  <c r="E1518" i="2"/>
  <c r="F1518" i="2" s="1"/>
  <c r="C1518" i="2"/>
  <c r="E1517" i="2"/>
  <c r="F1517" i="2" s="1"/>
  <c r="C1517" i="2"/>
  <c r="E1516" i="2"/>
  <c r="F1516" i="2" s="1"/>
  <c r="C1516" i="2"/>
  <c r="E1515" i="2"/>
  <c r="F1515" i="2" s="1"/>
  <c r="C1515" i="2"/>
  <c r="E1514" i="2"/>
  <c r="F1514" i="2" s="1"/>
  <c r="C1514" i="2"/>
  <c r="E1513" i="2"/>
  <c r="F1513" i="2" s="1"/>
  <c r="C1513" i="2"/>
  <c r="E1512" i="2"/>
  <c r="F1512" i="2" s="1"/>
  <c r="C1512" i="2"/>
  <c r="E1511" i="2"/>
  <c r="F1511" i="2" s="1"/>
  <c r="C1511" i="2"/>
  <c r="E1510" i="2"/>
  <c r="F1510" i="2" s="1"/>
  <c r="C1510" i="2"/>
  <c r="E1509" i="2"/>
  <c r="F1509" i="2" s="1"/>
  <c r="C1509" i="2"/>
  <c r="E1508" i="2"/>
  <c r="F1508" i="2" s="1"/>
  <c r="C1508" i="2"/>
  <c r="E1507" i="2"/>
  <c r="F1507" i="2" s="1"/>
  <c r="C1507" i="2"/>
  <c r="E1506" i="2"/>
  <c r="F1506" i="2" s="1"/>
  <c r="C1506" i="2"/>
  <c r="E1505" i="2"/>
  <c r="F1505" i="2" s="1"/>
  <c r="C1505" i="2"/>
  <c r="E1504" i="2"/>
  <c r="F1504" i="2" s="1"/>
  <c r="C1504" i="2"/>
  <c r="E1503" i="2"/>
  <c r="F1503" i="2" s="1"/>
  <c r="C1503" i="2"/>
  <c r="E1502" i="2"/>
  <c r="F1502" i="2" s="1"/>
  <c r="C1502" i="2"/>
  <c r="E1501" i="2"/>
  <c r="F1501" i="2" s="1"/>
  <c r="C1501" i="2"/>
  <c r="E1500" i="2"/>
  <c r="F1500" i="2" s="1"/>
  <c r="C1500" i="2"/>
  <c r="E1499" i="2"/>
  <c r="F1499" i="2" s="1"/>
  <c r="C1499" i="2"/>
  <c r="E1498" i="2"/>
  <c r="F1498" i="2" s="1"/>
  <c r="C1498" i="2"/>
  <c r="E1497" i="2"/>
  <c r="F1497" i="2" s="1"/>
  <c r="C1497" i="2"/>
  <c r="E1496" i="2"/>
  <c r="F1496" i="2" s="1"/>
  <c r="C1496" i="2"/>
  <c r="E1495" i="2"/>
  <c r="F1495" i="2" s="1"/>
  <c r="C1495" i="2"/>
  <c r="E1494" i="2"/>
  <c r="F1494" i="2" s="1"/>
  <c r="C1494" i="2"/>
  <c r="E1493" i="2"/>
  <c r="F1493" i="2" s="1"/>
  <c r="C1493" i="2"/>
  <c r="E1492" i="2"/>
  <c r="F1492" i="2" s="1"/>
  <c r="C1492" i="2"/>
  <c r="E1491" i="2"/>
  <c r="F1491" i="2" s="1"/>
  <c r="C1491" i="2"/>
  <c r="E1490" i="2"/>
  <c r="F1490" i="2" s="1"/>
  <c r="C1490" i="2"/>
  <c r="E1489" i="2"/>
  <c r="F1489" i="2" s="1"/>
  <c r="C1489" i="2"/>
  <c r="E1488" i="2"/>
  <c r="F1488" i="2" s="1"/>
  <c r="C1488" i="2"/>
  <c r="E1487" i="2"/>
  <c r="F1487" i="2" s="1"/>
  <c r="C1487" i="2"/>
  <c r="E1486" i="2"/>
  <c r="F1486" i="2" s="1"/>
  <c r="C1486" i="2"/>
  <c r="E1485" i="2"/>
  <c r="F1485" i="2" s="1"/>
  <c r="C1485" i="2"/>
  <c r="E1484" i="2"/>
  <c r="F1484" i="2" s="1"/>
  <c r="C1484" i="2"/>
  <c r="E1483" i="2"/>
  <c r="F1483" i="2" s="1"/>
  <c r="C1483" i="2"/>
  <c r="E1482" i="2"/>
  <c r="F1482" i="2" s="1"/>
  <c r="C1482" i="2"/>
  <c r="E1481" i="2"/>
  <c r="F1481" i="2" s="1"/>
  <c r="C1481" i="2"/>
  <c r="E1480" i="2"/>
  <c r="F1480" i="2" s="1"/>
  <c r="C1480" i="2"/>
  <c r="E1479" i="2"/>
  <c r="F1479" i="2" s="1"/>
  <c r="C1479" i="2"/>
  <c r="E1478" i="2"/>
  <c r="F1478" i="2" s="1"/>
  <c r="C1478" i="2"/>
  <c r="E1477" i="2"/>
  <c r="F1477" i="2" s="1"/>
  <c r="C1477" i="2"/>
  <c r="E1476" i="2"/>
  <c r="F1476" i="2" s="1"/>
  <c r="C1476" i="2"/>
  <c r="E1475" i="2"/>
  <c r="F1475" i="2" s="1"/>
  <c r="C1475" i="2"/>
  <c r="E1474" i="2"/>
  <c r="F1474" i="2" s="1"/>
  <c r="C1474" i="2"/>
  <c r="E1473" i="2"/>
  <c r="F1473" i="2" s="1"/>
  <c r="C1473" i="2"/>
  <c r="E1472" i="2"/>
  <c r="F1472" i="2" s="1"/>
  <c r="C1472" i="2"/>
  <c r="E1471" i="2"/>
  <c r="F1471" i="2" s="1"/>
  <c r="C1471" i="2"/>
  <c r="E1470" i="2"/>
  <c r="F1470" i="2" s="1"/>
  <c r="C1470" i="2"/>
  <c r="E1469" i="2"/>
  <c r="F1469" i="2" s="1"/>
  <c r="C1469" i="2"/>
  <c r="E1468" i="2"/>
  <c r="F1468" i="2" s="1"/>
  <c r="C1468" i="2"/>
  <c r="E1467" i="2"/>
  <c r="F1467" i="2" s="1"/>
  <c r="C1467" i="2"/>
  <c r="E1466" i="2"/>
  <c r="F1466" i="2" s="1"/>
  <c r="C1466" i="2"/>
  <c r="E1465" i="2"/>
  <c r="F1465" i="2" s="1"/>
  <c r="C1465" i="2"/>
  <c r="E1464" i="2"/>
  <c r="F1464" i="2" s="1"/>
  <c r="C1464" i="2"/>
  <c r="E1463" i="2"/>
  <c r="F1463" i="2" s="1"/>
  <c r="C1463" i="2"/>
  <c r="E1462" i="2"/>
  <c r="F1462" i="2" s="1"/>
  <c r="C1462" i="2"/>
  <c r="E1461" i="2"/>
  <c r="F1461" i="2" s="1"/>
  <c r="C1461" i="2"/>
  <c r="E1460" i="2"/>
  <c r="F1460" i="2" s="1"/>
  <c r="C1460" i="2"/>
  <c r="E1459" i="2"/>
  <c r="F1459" i="2" s="1"/>
  <c r="C1459" i="2"/>
  <c r="E1458" i="2"/>
  <c r="F1458" i="2" s="1"/>
  <c r="C1458" i="2"/>
  <c r="E1457" i="2"/>
  <c r="F1457" i="2" s="1"/>
  <c r="C1457" i="2"/>
  <c r="E1456" i="2"/>
  <c r="F1456" i="2" s="1"/>
  <c r="C1456" i="2"/>
  <c r="E1455" i="2"/>
  <c r="F1455" i="2" s="1"/>
  <c r="C1455" i="2"/>
  <c r="E1454" i="2"/>
  <c r="F1454" i="2" s="1"/>
  <c r="C1454" i="2"/>
  <c r="E1453" i="2"/>
  <c r="F1453" i="2" s="1"/>
  <c r="C1453" i="2"/>
  <c r="E1452" i="2"/>
  <c r="F1452" i="2" s="1"/>
  <c r="C1452" i="2"/>
  <c r="E1451" i="2"/>
  <c r="F1451" i="2" s="1"/>
  <c r="C1451" i="2"/>
  <c r="E1450" i="2"/>
  <c r="F1450" i="2" s="1"/>
  <c r="C1450" i="2"/>
  <c r="E1449" i="2"/>
  <c r="F1449" i="2" s="1"/>
  <c r="C1449" i="2"/>
  <c r="E1448" i="2"/>
  <c r="F1448" i="2" s="1"/>
  <c r="C1448" i="2"/>
  <c r="E1447" i="2"/>
  <c r="F1447" i="2" s="1"/>
  <c r="C1447" i="2"/>
  <c r="E1446" i="2"/>
  <c r="F1446" i="2" s="1"/>
  <c r="C1446" i="2"/>
  <c r="E1445" i="2"/>
  <c r="F1445" i="2" s="1"/>
  <c r="C1445" i="2"/>
  <c r="E1444" i="2"/>
  <c r="F1444" i="2" s="1"/>
  <c r="C1444" i="2"/>
  <c r="E1443" i="2"/>
  <c r="F1443" i="2" s="1"/>
  <c r="C1443" i="2"/>
  <c r="E1442" i="2"/>
  <c r="F1442" i="2" s="1"/>
  <c r="C1442" i="2"/>
  <c r="E1441" i="2"/>
  <c r="F1441" i="2" s="1"/>
  <c r="C1441" i="2"/>
  <c r="E1440" i="2"/>
  <c r="F1440" i="2" s="1"/>
  <c r="C1440" i="2"/>
  <c r="E1439" i="2"/>
  <c r="F1439" i="2" s="1"/>
  <c r="C1439" i="2"/>
  <c r="E1438" i="2"/>
  <c r="F1438" i="2" s="1"/>
  <c r="C1438" i="2"/>
  <c r="E1437" i="2"/>
  <c r="F1437" i="2" s="1"/>
  <c r="C1437" i="2"/>
  <c r="E1436" i="2"/>
  <c r="F1436" i="2" s="1"/>
  <c r="C1436" i="2"/>
  <c r="E1435" i="2"/>
  <c r="F1435" i="2" s="1"/>
  <c r="C1435" i="2"/>
  <c r="E1434" i="2"/>
  <c r="F1434" i="2" s="1"/>
  <c r="C1434" i="2"/>
  <c r="E1433" i="2"/>
  <c r="F1433" i="2" s="1"/>
  <c r="C1433" i="2"/>
  <c r="E1432" i="2"/>
  <c r="F1432" i="2" s="1"/>
  <c r="C1432" i="2"/>
  <c r="E1431" i="2"/>
  <c r="F1431" i="2" s="1"/>
  <c r="C1431" i="2"/>
  <c r="E1430" i="2"/>
  <c r="F1430" i="2" s="1"/>
  <c r="C1430" i="2"/>
  <c r="E1429" i="2"/>
  <c r="F1429" i="2" s="1"/>
  <c r="C1429" i="2"/>
  <c r="E1428" i="2"/>
  <c r="F1428" i="2" s="1"/>
  <c r="C1428" i="2"/>
  <c r="E1427" i="2"/>
  <c r="F1427" i="2" s="1"/>
  <c r="C1427" i="2"/>
  <c r="E1426" i="2"/>
  <c r="F1426" i="2" s="1"/>
  <c r="C1426" i="2"/>
  <c r="E1425" i="2"/>
  <c r="F1425" i="2" s="1"/>
  <c r="C1425" i="2"/>
  <c r="E1424" i="2"/>
  <c r="F1424" i="2" s="1"/>
  <c r="C1424" i="2"/>
  <c r="E1423" i="2"/>
  <c r="F1423" i="2" s="1"/>
  <c r="C1423" i="2"/>
  <c r="E1422" i="2"/>
  <c r="F1422" i="2" s="1"/>
  <c r="C1422" i="2"/>
  <c r="E1421" i="2"/>
  <c r="F1421" i="2" s="1"/>
  <c r="C1421" i="2"/>
  <c r="E1420" i="2"/>
  <c r="F1420" i="2" s="1"/>
  <c r="C1420" i="2"/>
  <c r="E1419" i="2"/>
  <c r="F1419" i="2" s="1"/>
  <c r="C1419" i="2"/>
  <c r="E1418" i="2"/>
  <c r="F1418" i="2" s="1"/>
  <c r="C1418" i="2"/>
  <c r="E1417" i="2"/>
  <c r="F1417" i="2" s="1"/>
  <c r="C1417" i="2"/>
  <c r="E1416" i="2"/>
  <c r="F1416" i="2" s="1"/>
  <c r="C1416" i="2"/>
  <c r="E1415" i="2"/>
  <c r="F1415" i="2" s="1"/>
  <c r="C1415" i="2"/>
  <c r="E1414" i="2"/>
  <c r="F1414" i="2" s="1"/>
  <c r="C1414" i="2"/>
  <c r="E1413" i="2"/>
  <c r="F1413" i="2" s="1"/>
  <c r="C1413" i="2"/>
  <c r="E1412" i="2"/>
  <c r="F1412" i="2" s="1"/>
  <c r="C1412" i="2"/>
  <c r="E1411" i="2"/>
  <c r="F1411" i="2" s="1"/>
  <c r="C1411" i="2"/>
  <c r="E1410" i="2"/>
  <c r="F1410" i="2" s="1"/>
  <c r="C1410" i="2"/>
  <c r="E1409" i="2"/>
  <c r="F1409" i="2" s="1"/>
  <c r="C1409" i="2"/>
  <c r="E1408" i="2"/>
  <c r="F1408" i="2" s="1"/>
  <c r="C1408" i="2"/>
  <c r="E1407" i="2"/>
  <c r="F1407" i="2" s="1"/>
  <c r="C1407" i="2"/>
  <c r="E1406" i="2"/>
  <c r="F1406" i="2" s="1"/>
  <c r="C1406" i="2"/>
  <c r="E1405" i="2"/>
  <c r="F1405" i="2" s="1"/>
  <c r="C1405" i="2"/>
  <c r="E1404" i="2"/>
  <c r="F1404" i="2" s="1"/>
  <c r="C1404" i="2"/>
  <c r="E1403" i="2"/>
  <c r="F1403" i="2" s="1"/>
  <c r="C1403" i="2"/>
  <c r="E1402" i="2"/>
  <c r="F1402" i="2" s="1"/>
  <c r="C1402" i="2"/>
  <c r="E1401" i="2"/>
  <c r="F1401" i="2" s="1"/>
  <c r="C1401" i="2"/>
  <c r="E1400" i="2"/>
  <c r="F1400" i="2" s="1"/>
  <c r="C1400" i="2"/>
  <c r="E1399" i="2"/>
  <c r="F1399" i="2" s="1"/>
  <c r="C1399" i="2"/>
  <c r="E1398" i="2"/>
  <c r="F1398" i="2" s="1"/>
  <c r="C1398" i="2"/>
  <c r="E1397" i="2"/>
  <c r="F1397" i="2" s="1"/>
  <c r="C1397" i="2"/>
  <c r="E1396" i="2"/>
  <c r="F1396" i="2" s="1"/>
  <c r="C1396" i="2"/>
  <c r="E1395" i="2"/>
  <c r="F1395" i="2" s="1"/>
  <c r="C1395" i="2"/>
  <c r="E1394" i="2"/>
  <c r="F1394" i="2" s="1"/>
  <c r="C1394" i="2"/>
  <c r="E1393" i="2"/>
  <c r="F1393" i="2" s="1"/>
  <c r="C1393" i="2"/>
  <c r="E1392" i="2"/>
  <c r="F1392" i="2" s="1"/>
  <c r="C1392" i="2"/>
  <c r="E1391" i="2"/>
  <c r="F1391" i="2" s="1"/>
  <c r="C1391" i="2"/>
  <c r="E1390" i="2"/>
  <c r="F1390" i="2" s="1"/>
  <c r="C1390" i="2"/>
  <c r="E1389" i="2"/>
  <c r="F1389" i="2" s="1"/>
  <c r="C1389" i="2"/>
  <c r="E1388" i="2"/>
  <c r="F1388" i="2" s="1"/>
  <c r="C1388" i="2"/>
  <c r="E1387" i="2"/>
  <c r="F1387" i="2" s="1"/>
  <c r="C1387" i="2"/>
  <c r="E1386" i="2"/>
  <c r="F1386" i="2" s="1"/>
  <c r="C1386" i="2"/>
  <c r="E1385" i="2"/>
  <c r="F1385" i="2" s="1"/>
  <c r="C1385" i="2"/>
  <c r="E1384" i="2"/>
  <c r="F1384" i="2" s="1"/>
  <c r="C1384" i="2"/>
  <c r="E1383" i="2"/>
  <c r="F1383" i="2" s="1"/>
  <c r="C1383" i="2"/>
  <c r="E1382" i="2"/>
  <c r="F1382" i="2" s="1"/>
  <c r="C1382" i="2"/>
  <c r="E1381" i="2"/>
  <c r="F1381" i="2" s="1"/>
  <c r="C1381" i="2"/>
  <c r="E1380" i="2"/>
  <c r="F1380" i="2" s="1"/>
  <c r="C1380" i="2"/>
  <c r="E1379" i="2"/>
  <c r="F1379" i="2" s="1"/>
  <c r="C1379" i="2"/>
  <c r="E1378" i="2"/>
  <c r="F1378" i="2" s="1"/>
  <c r="C1378" i="2"/>
  <c r="E1377" i="2"/>
  <c r="F1377" i="2" s="1"/>
  <c r="C1377" i="2"/>
  <c r="E1376" i="2"/>
  <c r="F1376" i="2" s="1"/>
  <c r="C1376" i="2"/>
  <c r="E1375" i="2"/>
  <c r="F1375" i="2" s="1"/>
  <c r="C1375" i="2"/>
  <c r="E1374" i="2"/>
  <c r="F1374" i="2" s="1"/>
  <c r="C1374" i="2"/>
  <c r="E1373" i="2"/>
  <c r="F1373" i="2" s="1"/>
  <c r="C1373" i="2"/>
  <c r="E1372" i="2"/>
  <c r="F1372" i="2" s="1"/>
  <c r="C1372" i="2"/>
  <c r="E1371" i="2"/>
  <c r="F1371" i="2" s="1"/>
  <c r="C1371" i="2"/>
  <c r="E1370" i="2"/>
  <c r="F1370" i="2" s="1"/>
  <c r="C1370" i="2"/>
  <c r="E1369" i="2"/>
  <c r="F1369" i="2" s="1"/>
  <c r="C1369" i="2"/>
  <c r="E1368" i="2"/>
  <c r="F1368" i="2" s="1"/>
  <c r="C1368" i="2"/>
  <c r="E1367" i="2"/>
  <c r="F1367" i="2" s="1"/>
  <c r="C1367" i="2"/>
  <c r="E1366" i="2"/>
  <c r="F1366" i="2" s="1"/>
  <c r="C1366" i="2"/>
  <c r="E1365" i="2"/>
  <c r="F1365" i="2" s="1"/>
  <c r="C1365" i="2"/>
  <c r="E1364" i="2"/>
  <c r="F1364" i="2" s="1"/>
  <c r="C1364" i="2"/>
  <c r="E1363" i="2"/>
  <c r="F1363" i="2" s="1"/>
  <c r="C1363" i="2"/>
  <c r="E1362" i="2"/>
  <c r="F1362" i="2" s="1"/>
  <c r="C1362" i="2"/>
  <c r="E1361" i="2"/>
  <c r="F1361" i="2" s="1"/>
  <c r="C1361" i="2"/>
  <c r="E1360" i="2"/>
  <c r="F1360" i="2" s="1"/>
  <c r="C1360" i="2"/>
  <c r="E1359" i="2"/>
  <c r="F1359" i="2" s="1"/>
  <c r="C1359" i="2"/>
  <c r="E1358" i="2"/>
  <c r="F1358" i="2" s="1"/>
  <c r="C1358" i="2"/>
  <c r="E1357" i="2"/>
  <c r="F1357" i="2" s="1"/>
  <c r="C1357" i="2"/>
  <c r="E1356" i="2"/>
  <c r="F1356" i="2" s="1"/>
  <c r="C1356" i="2"/>
  <c r="E1355" i="2"/>
  <c r="F1355" i="2" s="1"/>
  <c r="C1355" i="2"/>
  <c r="E1354" i="2"/>
  <c r="F1354" i="2" s="1"/>
  <c r="C1354" i="2"/>
  <c r="E1353" i="2"/>
  <c r="F1353" i="2" s="1"/>
  <c r="C1353" i="2"/>
  <c r="E1352" i="2"/>
  <c r="F1352" i="2" s="1"/>
  <c r="C1352" i="2"/>
  <c r="E1351" i="2"/>
  <c r="F1351" i="2" s="1"/>
  <c r="C1351" i="2"/>
  <c r="E1350" i="2"/>
  <c r="F1350" i="2" s="1"/>
  <c r="C1350" i="2"/>
  <c r="E1349" i="2"/>
  <c r="F1349" i="2" s="1"/>
  <c r="C1349" i="2"/>
  <c r="E1348" i="2"/>
  <c r="F1348" i="2" s="1"/>
  <c r="C1348" i="2"/>
  <c r="E1347" i="2"/>
  <c r="F1347" i="2" s="1"/>
  <c r="C1347" i="2"/>
  <c r="E1346" i="2"/>
  <c r="F1346" i="2" s="1"/>
  <c r="C1346" i="2"/>
  <c r="E1345" i="2"/>
  <c r="F1345" i="2" s="1"/>
  <c r="C1345" i="2"/>
  <c r="E1344" i="2"/>
  <c r="F1344" i="2" s="1"/>
  <c r="C1344" i="2"/>
  <c r="E1343" i="2"/>
  <c r="F1343" i="2" s="1"/>
  <c r="C1343" i="2"/>
  <c r="E1342" i="2"/>
  <c r="F1342" i="2" s="1"/>
  <c r="C1342" i="2"/>
  <c r="E1341" i="2"/>
  <c r="F1341" i="2" s="1"/>
  <c r="C1341" i="2"/>
  <c r="E1340" i="2"/>
  <c r="F1340" i="2" s="1"/>
  <c r="C1340" i="2"/>
  <c r="E1339" i="2"/>
  <c r="F1339" i="2" s="1"/>
  <c r="C1339" i="2"/>
  <c r="E1338" i="2"/>
  <c r="F1338" i="2" s="1"/>
  <c r="C1338" i="2"/>
  <c r="E1337" i="2"/>
  <c r="F1337" i="2" s="1"/>
  <c r="C1337" i="2"/>
  <c r="E1336" i="2"/>
  <c r="F1336" i="2" s="1"/>
  <c r="C1336" i="2"/>
  <c r="E1335" i="2"/>
  <c r="F1335" i="2" s="1"/>
  <c r="C1335" i="2"/>
  <c r="E1334" i="2"/>
  <c r="F1334" i="2" s="1"/>
  <c r="C1334" i="2"/>
  <c r="E1333" i="2"/>
  <c r="F1333" i="2" s="1"/>
  <c r="C1333" i="2"/>
  <c r="E1332" i="2"/>
  <c r="F1332" i="2" s="1"/>
  <c r="C1332" i="2"/>
  <c r="E1331" i="2"/>
  <c r="F1331" i="2" s="1"/>
  <c r="C1331" i="2"/>
  <c r="E1330" i="2"/>
  <c r="F1330" i="2" s="1"/>
  <c r="C1330" i="2"/>
  <c r="E1329" i="2"/>
  <c r="F1329" i="2" s="1"/>
  <c r="C1329" i="2"/>
  <c r="E1328" i="2"/>
  <c r="F1328" i="2" s="1"/>
  <c r="C1328" i="2"/>
  <c r="E1327" i="2"/>
  <c r="F1327" i="2" s="1"/>
  <c r="C1327" i="2"/>
  <c r="E1326" i="2"/>
  <c r="F1326" i="2" s="1"/>
  <c r="C1326" i="2"/>
  <c r="E1325" i="2"/>
  <c r="F1325" i="2" s="1"/>
  <c r="C1325" i="2"/>
  <c r="E1324" i="2"/>
  <c r="F1324" i="2" s="1"/>
  <c r="C1324" i="2"/>
  <c r="E1323" i="2"/>
  <c r="F1323" i="2" s="1"/>
  <c r="C1323" i="2"/>
  <c r="E1322" i="2"/>
  <c r="F1322" i="2" s="1"/>
  <c r="C1322" i="2"/>
  <c r="E1321" i="2"/>
  <c r="F1321" i="2" s="1"/>
  <c r="C1321" i="2"/>
  <c r="E1320" i="2"/>
  <c r="F1320" i="2" s="1"/>
  <c r="C1320" i="2"/>
  <c r="E1319" i="2"/>
  <c r="F1319" i="2" s="1"/>
  <c r="C1319" i="2"/>
  <c r="E1318" i="2"/>
  <c r="F1318" i="2" s="1"/>
  <c r="C1318" i="2"/>
  <c r="E1317" i="2"/>
  <c r="F1317" i="2" s="1"/>
  <c r="C1317" i="2"/>
  <c r="E1316" i="2"/>
  <c r="F1316" i="2" s="1"/>
  <c r="C1316" i="2"/>
  <c r="E1315" i="2"/>
  <c r="F1315" i="2" s="1"/>
  <c r="C1315" i="2"/>
  <c r="E1314" i="2"/>
  <c r="F1314" i="2" s="1"/>
  <c r="C1314" i="2"/>
  <c r="E1313" i="2"/>
  <c r="F1313" i="2" s="1"/>
  <c r="C1313" i="2"/>
  <c r="E1312" i="2"/>
  <c r="F1312" i="2" s="1"/>
  <c r="C1312" i="2"/>
  <c r="E1311" i="2"/>
  <c r="F1311" i="2" s="1"/>
  <c r="C1311" i="2"/>
  <c r="E1310" i="2"/>
  <c r="F1310" i="2" s="1"/>
  <c r="C1310" i="2"/>
  <c r="E1309" i="2"/>
  <c r="F1309" i="2" s="1"/>
  <c r="C1309" i="2"/>
  <c r="E1308" i="2"/>
  <c r="F1308" i="2" s="1"/>
  <c r="C1308" i="2"/>
  <c r="E1307" i="2"/>
  <c r="F1307" i="2" s="1"/>
  <c r="C1307" i="2"/>
  <c r="E1306" i="2"/>
  <c r="F1306" i="2" s="1"/>
  <c r="C1306" i="2"/>
  <c r="E1305" i="2"/>
  <c r="F1305" i="2" s="1"/>
  <c r="C1305" i="2"/>
  <c r="E1304" i="2"/>
  <c r="F1304" i="2" s="1"/>
  <c r="C1304" i="2"/>
  <c r="E1303" i="2"/>
  <c r="F1303" i="2" s="1"/>
  <c r="C1303" i="2"/>
  <c r="E1302" i="2"/>
  <c r="F1302" i="2" s="1"/>
  <c r="C1302" i="2"/>
  <c r="E1301" i="2"/>
  <c r="F1301" i="2" s="1"/>
  <c r="C1301" i="2"/>
  <c r="E1300" i="2"/>
  <c r="F1300" i="2" s="1"/>
  <c r="C1300" i="2"/>
  <c r="E1299" i="2"/>
  <c r="F1299" i="2" s="1"/>
  <c r="C1299" i="2"/>
  <c r="E1298" i="2"/>
  <c r="F1298" i="2" s="1"/>
  <c r="C1298" i="2"/>
  <c r="E1297" i="2"/>
  <c r="F1297" i="2" s="1"/>
  <c r="C1297" i="2"/>
  <c r="E1296" i="2"/>
  <c r="F1296" i="2" s="1"/>
  <c r="C1296" i="2"/>
  <c r="E1295" i="2"/>
  <c r="F1295" i="2" s="1"/>
  <c r="C1295" i="2"/>
  <c r="E1294" i="2"/>
  <c r="F1294" i="2" s="1"/>
  <c r="C1294" i="2"/>
  <c r="E1293" i="2"/>
  <c r="F1293" i="2" s="1"/>
  <c r="C1293" i="2"/>
  <c r="E1292" i="2"/>
  <c r="F1292" i="2" s="1"/>
  <c r="C1292" i="2"/>
  <c r="E1291" i="2"/>
  <c r="F1291" i="2" s="1"/>
  <c r="C1291" i="2"/>
  <c r="E1290" i="2"/>
  <c r="F1290" i="2" s="1"/>
  <c r="C1290" i="2"/>
  <c r="E1289" i="2"/>
  <c r="F1289" i="2" s="1"/>
  <c r="C1289" i="2"/>
  <c r="E1288" i="2"/>
  <c r="F1288" i="2" s="1"/>
  <c r="C1288" i="2"/>
  <c r="E1287" i="2"/>
  <c r="F1287" i="2" s="1"/>
  <c r="C1287" i="2"/>
  <c r="E1286" i="2"/>
  <c r="F1286" i="2" s="1"/>
  <c r="C1286" i="2"/>
  <c r="E1285" i="2"/>
  <c r="F1285" i="2" s="1"/>
  <c r="C1285" i="2"/>
  <c r="E1284" i="2"/>
  <c r="F1284" i="2" s="1"/>
  <c r="C1284" i="2"/>
  <c r="E1283" i="2"/>
  <c r="F1283" i="2" s="1"/>
  <c r="C1283" i="2"/>
  <c r="E1282" i="2"/>
  <c r="F1282" i="2" s="1"/>
  <c r="C1282" i="2"/>
  <c r="E1281" i="2"/>
  <c r="F1281" i="2" s="1"/>
  <c r="C1281" i="2"/>
  <c r="E1280" i="2"/>
  <c r="F1280" i="2" s="1"/>
  <c r="C1280" i="2"/>
  <c r="E1279" i="2"/>
  <c r="F1279" i="2" s="1"/>
  <c r="C1279" i="2"/>
  <c r="E1278" i="2"/>
  <c r="F1278" i="2" s="1"/>
  <c r="C1278" i="2"/>
  <c r="E1277" i="2"/>
  <c r="F1277" i="2" s="1"/>
  <c r="C1277" i="2"/>
  <c r="E1276" i="2"/>
  <c r="F1276" i="2" s="1"/>
  <c r="C1276" i="2"/>
  <c r="E1275" i="2"/>
  <c r="F1275" i="2" s="1"/>
  <c r="C1275" i="2"/>
  <c r="E1274" i="2"/>
  <c r="F1274" i="2" s="1"/>
  <c r="C1274" i="2"/>
  <c r="E1273" i="2"/>
  <c r="F1273" i="2" s="1"/>
  <c r="C1273" i="2"/>
  <c r="E1272" i="2"/>
  <c r="F1272" i="2" s="1"/>
  <c r="C1272" i="2"/>
  <c r="E1271" i="2"/>
  <c r="F1271" i="2" s="1"/>
  <c r="C1271" i="2"/>
  <c r="E1270" i="2"/>
  <c r="F1270" i="2" s="1"/>
  <c r="C1270" i="2"/>
  <c r="E1269" i="2"/>
  <c r="F1269" i="2" s="1"/>
  <c r="C1269" i="2"/>
  <c r="E1268" i="2"/>
  <c r="F1268" i="2" s="1"/>
  <c r="C1268" i="2"/>
  <c r="E1267" i="2"/>
  <c r="F1267" i="2" s="1"/>
  <c r="C1267" i="2"/>
  <c r="E1266" i="2"/>
  <c r="F1266" i="2" s="1"/>
  <c r="C1266" i="2"/>
  <c r="E1265" i="2"/>
  <c r="F1265" i="2" s="1"/>
  <c r="C1265" i="2"/>
  <c r="E1264" i="2"/>
  <c r="F1264" i="2" s="1"/>
  <c r="C1264" i="2"/>
  <c r="E1263" i="2"/>
  <c r="F1263" i="2" s="1"/>
  <c r="C1263" i="2"/>
  <c r="E1262" i="2"/>
  <c r="F1262" i="2" s="1"/>
  <c r="C1262" i="2"/>
  <c r="E1261" i="2"/>
  <c r="F1261" i="2" s="1"/>
  <c r="C1261" i="2"/>
  <c r="E1260" i="2"/>
  <c r="F1260" i="2" s="1"/>
  <c r="C1260" i="2"/>
  <c r="E1259" i="2"/>
  <c r="F1259" i="2" s="1"/>
  <c r="C1259" i="2"/>
  <c r="E1258" i="2"/>
  <c r="F1258" i="2" s="1"/>
  <c r="C1258" i="2"/>
  <c r="E1257" i="2"/>
  <c r="F1257" i="2" s="1"/>
  <c r="C1257" i="2"/>
  <c r="E1256" i="2"/>
  <c r="F1256" i="2" s="1"/>
  <c r="C1256" i="2"/>
  <c r="E1255" i="2"/>
  <c r="F1255" i="2" s="1"/>
  <c r="C1255" i="2"/>
  <c r="E1254" i="2"/>
  <c r="F1254" i="2" s="1"/>
  <c r="C1254" i="2"/>
  <c r="E1253" i="2"/>
  <c r="F1253" i="2" s="1"/>
  <c r="C1253" i="2"/>
  <c r="E1252" i="2"/>
  <c r="F1252" i="2" s="1"/>
  <c r="C1252" i="2"/>
  <c r="E1251" i="2"/>
  <c r="F1251" i="2" s="1"/>
  <c r="C1251" i="2"/>
  <c r="E1250" i="2"/>
  <c r="F1250" i="2" s="1"/>
  <c r="C1250" i="2"/>
  <c r="E1249" i="2"/>
  <c r="F1249" i="2" s="1"/>
  <c r="C1249" i="2"/>
  <c r="E1248" i="2"/>
  <c r="F1248" i="2" s="1"/>
  <c r="C1248" i="2"/>
  <c r="E1247" i="2"/>
  <c r="F1247" i="2" s="1"/>
  <c r="C1247" i="2"/>
  <c r="E1246" i="2"/>
  <c r="F1246" i="2" s="1"/>
  <c r="C1246" i="2"/>
  <c r="E1245" i="2"/>
  <c r="F1245" i="2" s="1"/>
  <c r="C1245" i="2"/>
  <c r="E1244" i="2"/>
  <c r="F1244" i="2" s="1"/>
  <c r="C1244" i="2"/>
  <c r="E1243" i="2"/>
  <c r="F1243" i="2" s="1"/>
  <c r="C1243" i="2"/>
  <c r="E1242" i="2"/>
  <c r="F1242" i="2" s="1"/>
  <c r="C1242" i="2"/>
  <c r="E1241" i="2"/>
  <c r="F1241" i="2" s="1"/>
  <c r="C1241" i="2"/>
  <c r="E1240" i="2"/>
  <c r="F1240" i="2" s="1"/>
  <c r="C1240" i="2"/>
  <c r="E1239" i="2"/>
  <c r="F1239" i="2" s="1"/>
  <c r="C1239" i="2"/>
  <c r="E1238" i="2"/>
  <c r="F1238" i="2" s="1"/>
  <c r="C1238" i="2"/>
  <c r="E1237" i="2"/>
  <c r="F1237" i="2" s="1"/>
  <c r="C1237" i="2"/>
  <c r="E1236" i="2"/>
  <c r="F1236" i="2" s="1"/>
  <c r="C1236" i="2"/>
  <c r="E1235" i="2"/>
  <c r="F1235" i="2" s="1"/>
  <c r="C1235" i="2"/>
  <c r="E1234" i="2"/>
  <c r="F1234" i="2" s="1"/>
  <c r="C1234" i="2"/>
  <c r="E1233" i="2"/>
  <c r="F1233" i="2" s="1"/>
  <c r="C1233" i="2"/>
  <c r="E1232" i="2"/>
  <c r="F1232" i="2" s="1"/>
  <c r="C1232" i="2"/>
  <c r="E1231" i="2"/>
  <c r="F1231" i="2" s="1"/>
  <c r="C1231" i="2"/>
  <c r="E1230" i="2"/>
  <c r="F1230" i="2" s="1"/>
  <c r="C1230" i="2"/>
  <c r="E1229" i="2"/>
  <c r="F1229" i="2" s="1"/>
  <c r="C1229" i="2"/>
  <c r="E1228" i="2"/>
  <c r="F1228" i="2" s="1"/>
  <c r="C1228" i="2"/>
  <c r="E1227" i="2"/>
  <c r="F1227" i="2" s="1"/>
  <c r="C1227" i="2"/>
  <c r="E1226" i="2"/>
  <c r="F1226" i="2" s="1"/>
  <c r="C1226" i="2"/>
  <c r="E1225" i="2"/>
  <c r="F1225" i="2" s="1"/>
  <c r="C1225" i="2"/>
  <c r="E1224" i="2"/>
  <c r="F1224" i="2" s="1"/>
  <c r="C1224" i="2"/>
  <c r="E1223" i="2"/>
  <c r="F1223" i="2" s="1"/>
  <c r="C1223" i="2"/>
  <c r="E1222" i="2"/>
  <c r="F1222" i="2" s="1"/>
  <c r="C1222" i="2"/>
  <c r="E1221" i="2"/>
  <c r="F1221" i="2" s="1"/>
  <c r="C1221" i="2"/>
  <c r="E1220" i="2"/>
  <c r="F1220" i="2" s="1"/>
  <c r="C1220" i="2"/>
  <c r="E1219" i="2"/>
  <c r="F1219" i="2" s="1"/>
  <c r="C1219" i="2"/>
  <c r="E1218" i="2"/>
  <c r="F1218" i="2" s="1"/>
  <c r="C1218" i="2"/>
  <c r="E1217" i="2"/>
  <c r="F1217" i="2" s="1"/>
  <c r="C1217" i="2"/>
  <c r="E1216" i="2"/>
  <c r="F1216" i="2" s="1"/>
  <c r="C1216" i="2"/>
  <c r="E1215" i="2"/>
  <c r="F1215" i="2" s="1"/>
  <c r="C1215" i="2"/>
  <c r="E1214" i="2"/>
  <c r="F1214" i="2" s="1"/>
  <c r="C1214" i="2"/>
  <c r="E1213" i="2"/>
  <c r="F1213" i="2" s="1"/>
  <c r="C1213" i="2"/>
  <c r="E1212" i="2"/>
  <c r="F1212" i="2" s="1"/>
  <c r="C1212" i="2"/>
  <c r="E1211" i="2"/>
  <c r="F1211" i="2" s="1"/>
  <c r="C1211" i="2"/>
  <c r="E1210" i="2"/>
  <c r="F1210" i="2" s="1"/>
  <c r="C1210" i="2"/>
  <c r="E1209" i="2"/>
  <c r="F1209" i="2" s="1"/>
  <c r="C1209" i="2"/>
  <c r="E1208" i="2"/>
  <c r="F1208" i="2" s="1"/>
  <c r="C1208" i="2"/>
  <c r="E1207" i="2"/>
  <c r="F1207" i="2" s="1"/>
  <c r="C1207" i="2"/>
  <c r="E1206" i="2"/>
  <c r="F1206" i="2" s="1"/>
  <c r="C1206" i="2"/>
  <c r="E1205" i="2"/>
  <c r="F1205" i="2" s="1"/>
  <c r="C1205" i="2"/>
  <c r="E1204" i="2"/>
  <c r="F1204" i="2" s="1"/>
  <c r="C1204" i="2"/>
  <c r="E1203" i="2"/>
  <c r="F1203" i="2" s="1"/>
  <c r="C1203" i="2"/>
  <c r="E1202" i="2"/>
  <c r="F1202" i="2" s="1"/>
  <c r="C1202" i="2"/>
  <c r="E1201" i="2"/>
  <c r="F1201" i="2" s="1"/>
  <c r="C1201" i="2"/>
  <c r="E1200" i="2"/>
  <c r="F1200" i="2" s="1"/>
  <c r="C1200" i="2"/>
  <c r="E1199" i="2"/>
  <c r="F1199" i="2" s="1"/>
  <c r="C1199" i="2"/>
  <c r="E1198" i="2"/>
  <c r="F1198" i="2" s="1"/>
  <c r="C1198" i="2"/>
  <c r="E1197" i="2"/>
  <c r="F1197" i="2" s="1"/>
  <c r="C1197" i="2"/>
  <c r="E1196" i="2"/>
  <c r="F1196" i="2" s="1"/>
  <c r="C1196" i="2"/>
  <c r="E1195" i="2"/>
  <c r="F1195" i="2" s="1"/>
  <c r="C1195" i="2"/>
  <c r="E1194" i="2"/>
  <c r="F1194" i="2" s="1"/>
  <c r="C1194" i="2"/>
  <c r="E1193" i="2"/>
  <c r="F1193" i="2" s="1"/>
  <c r="C1193" i="2"/>
  <c r="E1192" i="2"/>
  <c r="F1192" i="2" s="1"/>
  <c r="C1192" i="2"/>
  <c r="E1191" i="2"/>
  <c r="F1191" i="2" s="1"/>
  <c r="C1191" i="2"/>
  <c r="E1190" i="2"/>
  <c r="F1190" i="2" s="1"/>
  <c r="C1190" i="2"/>
  <c r="E1189" i="2"/>
  <c r="F1189" i="2" s="1"/>
  <c r="C1189" i="2"/>
  <c r="E1188" i="2"/>
  <c r="F1188" i="2" s="1"/>
  <c r="C1188" i="2"/>
  <c r="E1187" i="2"/>
  <c r="F1187" i="2" s="1"/>
  <c r="C1187" i="2"/>
  <c r="E1186" i="2"/>
  <c r="F1186" i="2" s="1"/>
  <c r="C1186" i="2"/>
  <c r="E1185" i="2"/>
  <c r="F1185" i="2" s="1"/>
  <c r="C1185" i="2"/>
  <c r="E1184" i="2"/>
  <c r="F1184" i="2" s="1"/>
  <c r="C1184" i="2"/>
  <c r="E1183" i="2"/>
  <c r="F1183" i="2" s="1"/>
  <c r="C1183" i="2"/>
  <c r="E1182" i="2"/>
  <c r="F1182" i="2" s="1"/>
  <c r="C1182" i="2"/>
  <c r="E1181" i="2"/>
  <c r="F1181" i="2" s="1"/>
  <c r="C1181" i="2"/>
  <c r="E1180" i="2"/>
  <c r="F1180" i="2" s="1"/>
  <c r="C1180" i="2"/>
  <c r="E1179" i="2"/>
  <c r="F1179" i="2" s="1"/>
  <c r="C1179" i="2"/>
  <c r="E1178" i="2"/>
  <c r="F1178" i="2" s="1"/>
  <c r="C1178" i="2"/>
  <c r="E1177" i="2"/>
  <c r="F1177" i="2" s="1"/>
  <c r="C1177" i="2"/>
  <c r="E1176" i="2"/>
  <c r="F1176" i="2" s="1"/>
  <c r="C1176" i="2"/>
  <c r="E1175" i="2"/>
  <c r="F1175" i="2" s="1"/>
  <c r="C1175" i="2"/>
  <c r="E1174" i="2"/>
  <c r="F1174" i="2" s="1"/>
  <c r="C1174" i="2"/>
  <c r="E1173" i="2"/>
  <c r="F1173" i="2" s="1"/>
  <c r="C1173" i="2"/>
  <c r="E1172" i="2"/>
  <c r="F1172" i="2" s="1"/>
  <c r="C1172" i="2"/>
  <c r="E1171" i="2"/>
  <c r="F1171" i="2" s="1"/>
  <c r="C1171" i="2"/>
  <c r="E1170" i="2"/>
  <c r="F1170" i="2" s="1"/>
  <c r="C1170" i="2"/>
  <c r="E1169" i="2"/>
  <c r="F1169" i="2" s="1"/>
  <c r="C1169" i="2"/>
  <c r="E1168" i="2"/>
  <c r="F1168" i="2" s="1"/>
  <c r="C1168" i="2"/>
  <c r="E1167" i="2"/>
  <c r="F1167" i="2" s="1"/>
  <c r="C1167" i="2"/>
  <c r="E1166" i="2"/>
  <c r="F1166" i="2" s="1"/>
  <c r="C1166" i="2"/>
  <c r="E1165" i="2"/>
  <c r="F1165" i="2" s="1"/>
  <c r="C1165" i="2"/>
  <c r="E1164" i="2"/>
  <c r="F1164" i="2" s="1"/>
  <c r="C1164" i="2"/>
  <c r="E1163" i="2"/>
  <c r="F1163" i="2" s="1"/>
  <c r="C1163" i="2"/>
  <c r="E1162" i="2"/>
  <c r="F1162" i="2" s="1"/>
  <c r="C1162" i="2"/>
  <c r="E1161" i="2"/>
  <c r="F1161" i="2" s="1"/>
  <c r="C1161" i="2"/>
  <c r="E1160" i="2"/>
  <c r="F1160" i="2" s="1"/>
  <c r="C1160" i="2"/>
  <c r="E1159" i="2"/>
  <c r="F1159" i="2" s="1"/>
  <c r="C1159" i="2"/>
  <c r="E1158" i="2"/>
  <c r="F1158" i="2" s="1"/>
  <c r="C1158" i="2"/>
  <c r="E1157" i="2"/>
  <c r="F1157" i="2" s="1"/>
  <c r="C1157" i="2"/>
  <c r="E1156" i="2"/>
  <c r="F1156" i="2" s="1"/>
  <c r="C1156" i="2"/>
  <c r="E1155" i="2"/>
  <c r="F1155" i="2" s="1"/>
  <c r="C1155" i="2"/>
  <c r="E1154" i="2"/>
  <c r="F1154" i="2" s="1"/>
  <c r="C1154" i="2"/>
  <c r="E1153" i="2"/>
  <c r="F1153" i="2" s="1"/>
  <c r="C1153" i="2"/>
  <c r="E1152" i="2"/>
  <c r="F1152" i="2" s="1"/>
  <c r="C1152" i="2"/>
  <c r="E1151" i="2"/>
  <c r="F1151" i="2" s="1"/>
  <c r="G1151" i="2" s="1"/>
  <c r="D1151" i="2"/>
  <c r="C1151" i="2"/>
  <c r="F1150" i="2"/>
  <c r="E1150" i="2"/>
  <c r="C1150" i="2"/>
  <c r="E1149" i="2"/>
  <c r="F1149" i="2" s="1"/>
  <c r="C1149" i="2"/>
  <c r="E1148" i="2"/>
  <c r="F1148" i="2" s="1"/>
  <c r="C1148" i="2"/>
  <c r="E1147" i="2"/>
  <c r="F1147" i="2" s="1"/>
  <c r="G1147" i="2" s="1"/>
  <c r="D1147" i="2"/>
  <c r="C1147" i="2"/>
  <c r="E1146" i="2"/>
  <c r="F1146" i="2" s="1"/>
  <c r="C1146" i="2"/>
  <c r="F1145" i="2"/>
  <c r="G1145" i="2" s="1"/>
  <c r="E1145" i="2"/>
  <c r="D1145" i="2"/>
  <c r="C1145" i="2"/>
  <c r="E1144" i="2"/>
  <c r="F1144" i="2" s="1"/>
  <c r="G1144" i="2" s="1"/>
  <c r="C1144" i="2"/>
  <c r="D1144" i="2" s="1"/>
  <c r="F1143" i="2"/>
  <c r="G1143" i="2" s="1"/>
  <c r="E1143" i="2"/>
  <c r="C1143" i="2"/>
  <c r="D1143" i="2" s="1"/>
  <c r="E1142" i="2"/>
  <c r="F1142" i="2" s="1"/>
  <c r="G1142" i="2" s="1"/>
  <c r="D1142" i="2"/>
  <c r="C1142" i="2"/>
  <c r="F1141" i="2"/>
  <c r="G1141" i="2" s="1"/>
  <c r="E1141" i="2"/>
  <c r="D1141" i="2"/>
  <c r="C1141" i="2"/>
  <c r="E1140" i="2"/>
  <c r="F1140" i="2" s="1"/>
  <c r="G1140" i="2" s="1"/>
  <c r="D1140" i="2"/>
  <c r="C1140" i="2"/>
  <c r="E1139" i="2"/>
  <c r="F1139" i="2" s="1"/>
  <c r="G1139" i="2" s="1"/>
  <c r="C1139" i="2"/>
  <c r="D1139" i="2" s="1"/>
  <c r="E1138" i="2"/>
  <c r="F1138" i="2" s="1"/>
  <c r="G1138" i="2" s="1"/>
  <c r="C1138" i="2"/>
  <c r="D1138" i="2" s="1"/>
  <c r="F1137" i="2"/>
  <c r="E1137" i="2"/>
  <c r="C1137" i="2"/>
  <c r="F1136" i="2"/>
  <c r="E1136" i="2"/>
  <c r="D1136" i="2"/>
  <c r="C1136" i="2"/>
  <c r="G1136" i="2" s="1"/>
  <c r="F1135" i="2"/>
  <c r="E1135" i="2"/>
  <c r="D1135" i="2"/>
  <c r="C1135" i="2"/>
  <c r="G1135" i="2" s="1"/>
  <c r="E1134" i="2"/>
  <c r="F1134" i="2" s="1"/>
  <c r="D1134" i="2"/>
  <c r="C1134" i="2"/>
  <c r="G1134" i="2" s="1"/>
  <c r="E1133" i="2"/>
  <c r="F1133" i="2" s="1"/>
  <c r="C1133" i="2"/>
  <c r="E1132" i="2"/>
  <c r="F1132" i="2" s="1"/>
  <c r="G1132" i="2" s="1"/>
  <c r="D1132" i="2"/>
  <c r="C1132" i="2"/>
  <c r="E1131" i="2"/>
  <c r="F1131" i="2" s="1"/>
  <c r="C1131" i="2"/>
  <c r="F1130" i="2"/>
  <c r="E1130" i="2"/>
  <c r="D1130" i="2"/>
  <c r="C1130" i="2"/>
  <c r="G1130" i="2" s="1"/>
  <c r="E1129" i="2"/>
  <c r="F1129" i="2" s="1"/>
  <c r="C1129" i="2"/>
  <c r="F1128" i="2"/>
  <c r="E1128" i="2"/>
  <c r="C1128" i="2"/>
  <c r="F1127" i="2"/>
  <c r="G1127" i="2" s="1"/>
  <c r="E1127" i="2"/>
  <c r="D1127" i="2"/>
  <c r="C1127" i="2"/>
  <c r="E1126" i="2"/>
  <c r="F1126" i="2" s="1"/>
  <c r="C1126" i="2"/>
  <c r="F1125" i="2"/>
  <c r="E1125" i="2"/>
  <c r="C1125" i="2"/>
  <c r="E1124" i="2"/>
  <c r="F1124" i="2" s="1"/>
  <c r="G1124" i="2" s="1"/>
  <c r="D1124" i="2"/>
  <c r="C1124" i="2"/>
  <c r="F1123" i="2"/>
  <c r="E1123" i="2"/>
  <c r="D1123" i="2"/>
  <c r="C1123" i="2"/>
  <c r="G1123" i="2" s="1"/>
  <c r="E1122" i="2"/>
  <c r="F1122" i="2" s="1"/>
  <c r="G1122" i="2" s="1"/>
  <c r="D1122" i="2"/>
  <c r="C1122" i="2"/>
  <c r="E1121" i="2"/>
  <c r="F1121" i="2" s="1"/>
  <c r="G1121" i="2" s="1"/>
  <c r="C1121" i="2"/>
  <c r="D1121" i="2" s="1"/>
  <c r="E1120" i="2"/>
  <c r="F1120" i="2" s="1"/>
  <c r="G1120" i="2" s="1"/>
  <c r="D1120" i="2"/>
  <c r="C1120" i="2"/>
  <c r="E1119" i="2"/>
  <c r="F1119" i="2" s="1"/>
  <c r="C1119" i="2"/>
  <c r="E1118" i="2"/>
  <c r="F1118" i="2" s="1"/>
  <c r="G1118" i="2" s="1"/>
  <c r="D1118" i="2"/>
  <c r="C1118" i="2"/>
  <c r="F1117" i="2"/>
  <c r="E1117" i="2"/>
  <c r="C1117" i="2"/>
  <c r="F1116" i="2"/>
  <c r="E1116" i="2"/>
  <c r="C1116" i="2"/>
  <c r="F1115" i="2"/>
  <c r="E1115" i="2"/>
  <c r="D1115" i="2"/>
  <c r="C1115" i="2"/>
  <c r="G1115" i="2" s="1"/>
  <c r="E1114" i="2"/>
  <c r="F1114" i="2" s="1"/>
  <c r="C1114" i="2"/>
  <c r="E1113" i="2"/>
  <c r="F1113" i="2" s="1"/>
  <c r="C1113" i="2"/>
  <c r="F1112" i="2"/>
  <c r="E1112" i="2"/>
  <c r="D1112" i="2"/>
  <c r="C1112" i="2"/>
  <c r="G1112" i="2" s="1"/>
  <c r="F1111" i="2"/>
  <c r="G1111" i="2" s="1"/>
  <c r="E1111" i="2"/>
  <c r="D1111" i="2"/>
  <c r="C1111" i="2"/>
  <c r="E1110" i="2"/>
  <c r="F1110" i="2" s="1"/>
  <c r="G1110" i="2" s="1"/>
  <c r="D1110" i="2"/>
  <c r="C1110" i="2"/>
  <c r="F1109" i="2"/>
  <c r="E1109" i="2"/>
  <c r="C1109" i="2"/>
  <c r="E1108" i="2"/>
  <c r="F1108" i="2" s="1"/>
  <c r="G1108" i="2" s="1"/>
  <c r="D1108" i="2"/>
  <c r="C1108" i="2"/>
  <c r="E1107" i="2"/>
  <c r="F1107" i="2" s="1"/>
  <c r="C1107" i="2"/>
  <c r="E1106" i="2"/>
  <c r="F1106" i="2" s="1"/>
  <c r="G1106" i="2" s="1"/>
  <c r="D1106" i="2"/>
  <c r="C1106" i="2"/>
  <c r="E1105" i="2"/>
  <c r="F1105" i="2" s="1"/>
  <c r="C1105" i="2"/>
  <c r="F1104" i="2"/>
  <c r="E1104" i="2"/>
  <c r="C1104" i="2"/>
  <c r="F1103" i="2"/>
  <c r="E1103" i="2"/>
  <c r="C1103" i="2"/>
  <c r="F1102" i="2"/>
  <c r="G1102" i="2" s="1"/>
  <c r="E1102" i="2"/>
  <c r="D1102" i="2"/>
  <c r="C1102" i="2"/>
  <c r="F1101" i="2"/>
  <c r="E1101" i="2"/>
  <c r="D1101" i="2"/>
  <c r="C1101" i="2"/>
  <c r="G1101" i="2" s="1"/>
  <c r="E1100" i="2"/>
  <c r="F1100" i="2" s="1"/>
  <c r="G1100" i="2" s="1"/>
  <c r="D1100" i="2"/>
  <c r="C1100" i="2"/>
  <c r="E1099" i="2"/>
  <c r="F1099" i="2" s="1"/>
  <c r="G1099" i="2" s="1"/>
  <c r="C1099" i="2"/>
  <c r="D1099" i="2" s="1"/>
  <c r="F1098" i="2"/>
  <c r="G1098" i="2" s="1"/>
  <c r="E1098" i="2"/>
  <c r="D1098" i="2"/>
  <c r="C1098" i="2"/>
  <c r="E1097" i="2"/>
  <c r="F1097" i="2" s="1"/>
  <c r="C1097" i="2"/>
  <c r="F1096" i="2"/>
  <c r="G1096" i="2" s="1"/>
  <c r="E1096" i="2"/>
  <c r="D1096" i="2"/>
  <c r="C1096" i="2"/>
  <c r="E1095" i="2"/>
  <c r="F1095" i="2" s="1"/>
  <c r="G1095" i="2" s="1"/>
  <c r="D1095" i="2"/>
  <c r="C1095" i="2"/>
  <c r="E1094" i="2"/>
  <c r="F1094" i="2" s="1"/>
  <c r="C1094" i="2"/>
  <c r="F1093" i="2"/>
  <c r="E1093" i="2"/>
  <c r="D1093" i="2"/>
  <c r="C1093" i="2"/>
  <c r="G1093" i="2" s="1"/>
  <c r="F1092" i="2"/>
  <c r="G1092" i="2" s="1"/>
  <c r="E1092" i="2"/>
  <c r="C1092" i="2"/>
  <c r="D1092" i="2" s="1"/>
  <c r="F1091" i="2"/>
  <c r="E1091" i="2"/>
  <c r="D1091" i="2"/>
  <c r="C1091" i="2"/>
  <c r="G1091" i="2" s="1"/>
  <c r="E1090" i="2"/>
  <c r="F1090" i="2" s="1"/>
  <c r="G1090" i="2" s="1"/>
  <c r="D1090" i="2"/>
  <c r="C1090" i="2"/>
  <c r="F1089" i="2"/>
  <c r="E1089" i="2"/>
  <c r="C1089" i="2"/>
  <c r="E1088" i="2"/>
  <c r="F1088" i="2" s="1"/>
  <c r="G1088" i="2" s="1"/>
  <c r="D1088" i="2"/>
  <c r="C1088" i="2"/>
  <c r="F1087" i="2"/>
  <c r="E1087" i="2"/>
  <c r="D1087" i="2"/>
  <c r="C1087" i="2"/>
  <c r="G1087" i="2" s="1"/>
  <c r="E1086" i="2"/>
  <c r="F1086" i="2" s="1"/>
  <c r="C1086" i="2"/>
  <c r="E1085" i="2"/>
  <c r="F1085" i="2" s="1"/>
  <c r="G1085" i="2" s="1"/>
  <c r="D1085" i="2"/>
  <c r="C1085" i="2"/>
  <c r="F1084" i="2"/>
  <c r="G1084" i="2" s="1"/>
  <c r="E1084" i="2"/>
  <c r="D1084" i="2"/>
  <c r="C1084" i="2"/>
  <c r="F1083" i="2"/>
  <c r="G1083" i="2" s="1"/>
  <c r="E1083" i="2"/>
  <c r="D1083" i="2"/>
  <c r="C1083" i="2"/>
  <c r="E1082" i="2"/>
  <c r="F1082" i="2" s="1"/>
  <c r="D1082" i="2"/>
  <c r="C1082" i="2"/>
  <c r="G1082" i="2" s="1"/>
  <c r="F1081" i="2"/>
  <c r="E1081" i="2"/>
  <c r="C1081" i="2"/>
  <c r="E1080" i="2"/>
  <c r="F1080" i="2" s="1"/>
  <c r="C1080" i="2"/>
  <c r="E1079" i="2"/>
  <c r="F1079" i="2" s="1"/>
  <c r="G1079" i="2" s="1"/>
  <c r="D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D1075" i="2"/>
  <c r="C1075" i="2"/>
  <c r="G1075" i="2" s="1"/>
  <c r="E1074" i="2"/>
  <c r="F1074" i="2" s="1"/>
  <c r="G1074" i="2" s="1"/>
  <c r="D1074" i="2"/>
  <c r="C1074" i="2"/>
  <c r="F1073" i="2"/>
  <c r="E1073" i="2"/>
  <c r="C1073" i="2"/>
  <c r="E1072" i="2"/>
  <c r="F1072" i="2" s="1"/>
  <c r="C1072" i="2"/>
  <c r="F1071" i="2"/>
  <c r="G1071" i="2" s="1"/>
  <c r="E1071" i="2"/>
  <c r="D1071" i="2"/>
  <c r="C1071" i="2"/>
  <c r="F1070" i="2"/>
  <c r="G1070" i="2" s="1"/>
  <c r="E1070" i="2"/>
  <c r="D1070" i="2"/>
  <c r="C1070" i="2"/>
  <c r="E1069" i="2"/>
  <c r="F1069" i="2" s="1"/>
  <c r="C1069" i="2"/>
  <c r="G1068" i="2"/>
  <c r="F1068" i="2"/>
  <c r="E1068" i="2"/>
  <c r="D1068" i="2"/>
  <c r="C1068" i="2"/>
  <c r="E1067" i="2"/>
  <c r="F1067" i="2" s="1"/>
  <c r="D1067" i="2"/>
  <c r="C1067" i="2"/>
  <c r="E1066" i="2"/>
  <c r="F1066" i="2" s="1"/>
  <c r="G1066" i="2" s="1"/>
  <c r="C1066" i="2"/>
  <c r="D1066" i="2" s="1"/>
  <c r="E1065" i="2"/>
  <c r="F1065" i="2" s="1"/>
  <c r="C1065" i="2"/>
  <c r="E1064" i="2"/>
  <c r="F1064" i="2" s="1"/>
  <c r="C1064" i="2"/>
  <c r="G1063" i="2"/>
  <c r="F1063" i="2"/>
  <c r="E1063" i="2"/>
  <c r="D1063" i="2"/>
  <c r="C1063" i="2"/>
  <c r="E1062" i="2"/>
  <c r="F1062" i="2" s="1"/>
  <c r="G1062" i="2" s="1"/>
  <c r="D1062" i="2"/>
  <c r="C1062" i="2"/>
  <c r="E1061" i="2"/>
  <c r="F1061" i="2" s="1"/>
  <c r="G1061" i="2" s="1"/>
  <c r="C1061" i="2"/>
  <c r="D1061" i="2" s="1"/>
  <c r="F1060" i="2"/>
  <c r="G1060" i="2" s="1"/>
  <c r="E1060" i="2"/>
  <c r="C1060" i="2"/>
  <c r="D1060" i="2" s="1"/>
  <c r="E1059" i="2"/>
  <c r="F1059" i="2" s="1"/>
  <c r="C1059" i="2"/>
  <c r="E1058" i="2"/>
  <c r="F1058" i="2" s="1"/>
  <c r="D1058" i="2"/>
  <c r="C1058" i="2"/>
  <c r="G1058" i="2" s="1"/>
  <c r="E1057" i="2"/>
  <c r="F1057" i="2" s="1"/>
  <c r="G1057" i="2" s="1"/>
  <c r="D1057" i="2"/>
  <c r="C1057" i="2"/>
  <c r="E1056" i="2"/>
  <c r="F1056" i="2" s="1"/>
  <c r="D1056" i="2"/>
  <c r="C1056" i="2"/>
  <c r="G1056" i="2" s="1"/>
  <c r="E1055" i="2"/>
  <c r="F1055" i="2" s="1"/>
  <c r="C1055" i="2"/>
  <c r="F1054" i="2"/>
  <c r="G1054" i="2" s="1"/>
  <c r="E1054" i="2"/>
  <c r="D1054" i="2"/>
  <c r="C1054" i="2"/>
  <c r="E1053" i="2"/>
  <c r="F1053" i="2" s="1"/>
  <c r="D1053" i="2"/>
  <c r="C1053" i="2"/>
  <c r="E1052" i="2"/>
  <c r="F1052" i="2" s="1"/>
  <c r="G1052" i="2" s="1"/>
  <c r="D1052" i="2"/>
  <c r="C1052" i="2"/>
  <c r="E1051" i="2"/>
  <c r="F1051" i="2" s="1"/>
  <c r="C1051" i="2"/>
  <c r="E1050" i="2"/>
  <c r="F1050" i="2" s="1"/>
  <c r="C1050" i="2"/>
  <c r="F1049" i="2"/>
  <c r="G1049" i="2" s="1"/>
  <c r="E1049" i="2"/>
  <c r="D1049" i="2"/>
  <c r="C1049" i="2"/>
  <c r="E1048" i="2"/>
  <c r="F1048" i="2" s="1"/>
  <c r="G1048" i="2" s="1"/>
  <c r="D1048" i="2"/>
  <c r="C1048" i="2"/>
  <c r="G1047" i="2"/>
  <c r="F1047" i="2"/>
  <c r="E1047" i="2"/>
  <c r="D1047" i="2"/>
  <c r="C1047" i="2"/>
  <c r="E1046" i="2"/>
  <c r="F1046" i="2" s="1"/>
  <c r="D1046" i="2"/>
  <c r="C1046" i="2"/>
  <c r="G1046" i="2" s="1"/>
  <c r="E1045" i="2"/>
  <c r="F1045" i="2" s="1"/>
  <c r="C1045" i="2"/>
  <c r="F1044" i="2"/>
  <c r="G1044" i="2" s="1"/>
  <c r="E1044" i="2"/>
  <c r="D1044" i="2"/>
  <c r="C1044" i="2"/>
  <c r="E1043" i="2"/>
  <c r="F1043" i="2" s="1"/>
  <c r="G1043" i="2" s="1"/>
  <c r="D1043" i="2"/>
  <c r="C1043" i="2"/>
  <c r="E1042" i="2"/>
  <c r="F1042" i="2" s="1"/>
  <c r="G1042" i="2" s="1"/>
  <c r="C1042" i="2"/>
  <c r="D1042" i="2" s="1"/>
  <c r="F1041" i="2"/>
  <c r="E1041" i="2"/>
  <c r="C1041" i="2"/>
  <c r="F1040" i="2"/>
  <c r="G1040" i="2" s="1"/>
  <c r="E1040" i="2"/>
  <c r="D1040" i="2"/>
  <c r="C1040" i="2"/>
  <c r="G1039" i="2"/>
  <c r="F1039" i="2"/>
  <c r="E1039" i="2"/>
  <c r="D1039" i="2"/>
  <c r="C1039" i="2"/>
  <c r="F1038" i="2"/>
  <c r="E1038" i="2"/>
  <c r="C1038" i="2"/>
  <c r="F1037" i="2"/>
  <c r="E1037" i="2"/>
  <c r="C1037" i="2"/>
  <c r="E1036" i="2"/>
  <c r="F1036" i="2" s="1"/>
  <c r="G1036" i="2" s="1"/>
  <c r="D1036" i="2"/>
  <c r="C1036" i="2"/>
  <c r="E1035" i="2"/>
  <c r="F1035" i="2" s="1"/>
  <c r="G1035" i="2" s="1"/>
  <c r="D1035" i="2"/>
  <c r="C1035" i="2"/>
  <c r="E1034" i="2"/>
  <c r="F1034" i="2" s="1"/>
  <c r="G1034" i="2" s="1"/>
  <c r="D1034" i="2"/>
  <c r="C1034" i="2"/>
  <c r="F1033" i="2"/>
  <c r="E1033" i="2"/>
  <c r="C1033" i="2"/>
  <c r="F1032" i="2"/>
  <c r="E1032" i="2"/>
  <c r="C1032" i="2"/>
  <c r="E1031" i="2"/>
  <c r="F1031" i="2" s="1"/>
  <c r="D1031" i="2"/>
  <c r="C1031" i="2"/>
  <c r="G1031" i="2" s="1"/>
  <c r="E1030" i="2"/>
  <c r="F1030" i="2" s="1"/>
  <c r="G1030" i="2" s="1"/>
  <c r="D1030" i="2"/>
  <c r="C1030" i="2"/>
  <c r="E1029" i="2"/>
  <c r="F1029" i="2" s="1"/>
  <c r="C1029" i="2"/>
  <c r="E1028" i="2"/>
  <c r="F1028" i="2" s="1"/>
  <c r="G1028" i="2" s="1"/>
  <c r="D1028" i="2"/>
  <c r="C1028" i="2"/>
  <c r="E1027" i="2"/>
  <c r="F1027" i="2" s="1"/>
  <c r="C1027" i="2"/>
  <c r="E1026" i="2"/>
  <c r="F1026" i="2" s="1"/>
  <c r="D1026" i="2"/>
  <c r="C1026" i="2"/>
  <c r="F1025" i="2"/>
  <c r="E1025" i="2"/>
  <c r="C1025" i="2"/>
  <c r="F1024" i="2"/>
  <c r="G1024" i="2" s="1"/>
  <c r="E1024" i="2"/>
  <c r="C1024" i="2"/>
  <c r="D1024" i="2" s="1"/>
  <c r="E1023" i="2"/>
  <c r="F1023" i="2" s="1"/>
  <c r="G1023" i="2" s="1"/>
  <c r="D1023" i="2"/>
  <c r="C1023" i="2"/>
  <c r="E1022" i="2"/>
  <c r="F1022" i="2" s="1"/>
  <c r="D1022" i="2"/>
  <c r="C1022" i="2"/>
  <c r="G1022" i="2" s="1"/>
  <c r="F1021" i="2"/>
  <c r="G1021" i="2" s="1"/>
  <c r="E1021" i="2"/>
  <c r="C1021" i="2"/>
  <c r="D1021" i="2" s="1"/>
  <c r="E1020" i="2"/>
  <c r="F1020" i="2" s="1"/>
  <c r="C1020" i="2"/>
  <c r="E1019" i="2"/>
  <c r="F1019" i="2" s="1"/>
  <c r="D1019" i="2"/>
  <c r="C1019" i="2"/>
  <c r="G1019" i="2" s="1"/>
  <c r="F1018" i="2"/>
  <c r="E1018" i="2"/>
  <c r="C1018" i="2"/>
  <c r="F1017" i="2"/>
  <c r="E1017" i="2"/>
  <c r="C1017" i="2"/>
  <c r="E1016" i="2"/>
  <c r="F1016" i="2" s="1"/>
  <c r="D1016" i="2"/>
  <c r="C1016" i="2"/>
  <c r="G1016" i="2" s="1"/>
  <c r="E1015" i="2"/>
  <c r="F1015" i="2" s="1"/>
  <c r="G1015" i="2" s="1"/>
  <c r="D1015" i="2"/>
  <c r="C1015" i="2"/>
  <c r="F1014" i="2"/>
  <c r="G1014" i="2" s="1"/>
  <c r="E1014" i="2"/>
  <c r="D1014" i="2"/>
  <c r="C1014" i="2"/>
  <c r="F1013" i="2"/>
  <c r="E1013" i="2"/>
  <c r="C1013" i="2"/>
  <c r="E1012" i="2"/>
  <c r="F1012" i="2" s="1"/>
  <c r="C1012" i="2"/>
  <c r="E1011" i="2"/>
  <c r="F1011" i="2" s="1"/>
  <c r="C1011" i="2"/>
  <c r="E1010" i="2"/>
  <c r="F1010" i="2" s="1"/>
  <c r="G1010" i="2" s="1"/>
  <c r="D1010" i="2"/>
  <c r="C1010" i="2"/>
  <c r="F1009" i="2"/>
  <c r="G1009" i="2" s="1"/>
  <c r="E1009" i="2"/>
  <c r="D1009" i="2"/>
  <c r="C1009" i="2"/>
  <c r="E1008" i="2"/>
  <c r="F1008" i="2" s="1"/>
  <c r="D1008" i="2"/>
  <c r="C1008" i="2"/>
  <c r="G1008" i="2" s="1"/>
  <c r="E1007" i="2"/>
  <c r="F1007" i="2" s="1"/>
  <c r="G1007" i="2" s="1"/>
  <c r="D1007" i="2"/>
  <c r="C1007" i="2"/>
  <c r="E1006" i="2"/>
  <c r="F1006" i="2" s="1"/>
  <c r="C1006" i="2"/>
  <c r="F1005" i="2"/>
  <c r="E1005" i="2"/>
  <c r="C1005" i="2"/>
  <c r="E1004" i="2"/>
  <c r="F1004" i="2" s="1"/>
  <c r="C1004" i="2"/>
  <c r="F1003" i="2"/>
  <c r="G1003" i="2" s="1"/>
  <c r="E1003" i="2"/>
  <c r="C1003" i="2"/>
  <c r="D1003" i="2" s="1"/>
  <c r="E1002" i="2"/>
  <c r="F1002" i="2" s="1"/>
  <c r="G1002" i="2" s="1"/>
  <c r="D1002" i="2"/>
  <c r="C1002" i="2"/>
  <c r="E1001" i="2"/>
  <c r="F1001" i="2" s="1"/>
  <c r="C1001" i="2"/>
  <c r="E1000" i="2"/>
  <c r="F1000" i="2" s="1"/>
  <c r="G1000" i="2" s="1"/>
  <c r="D1000" i="2"/>
  <c r="C1000" i="2"/>
  <c r="E999" i="2"/>
  <c r="F999" i="2" s="1"/>
  <c r="G999" i="2" s="1"/>
  <c r="D999" i="2"/>
  <c r="C999" i="2"/>
  <c r="E998" i="2"/>
  <c r="F998" i="2" s="1"/>
  <c r="D998" i="2"/>
  <c r="C998" i="2"/>
  <c r="E997" i="2"/>
  <c r="F997" i="2" s="1"/>
  <c r="C997" i="2"/>
  <c r="F996" i="2"/>
  <c r="G996" i="2" s="1"/>
  <c r="E996" i="2"/>
  <c r="D996" i="2"/>
  <c r="C996" i="2"/>
  <c r="E995" i="2"/>
  <c r="F995" i="2" s="1"/>
  <c r="G995" i="2" s="1"/>
  <c r="D995" i="2"/>
  <c r="C995" i="2"/>
  <c r="F994" i="2"/>
  <c r="G994" i="2" s="1"/>
  <c r="E994" i="2"/>
  <c r="D994" i="2"/>
  <c r="C994" i="2"/>
  <c r="F993" i="2"/>
  <c r="E993" i="2"/>
  <c r="C993" i="2"/>
  <c r="E992" i="2"/>
  <c r="F992" i="2" s="1"/>
  <c r="G992" i="2" s="1"/>
  <c r="D992" i="2"/>
  <c r="C992" i="2"/>
  <c r="F991" i="2"/>
  <c r="G991" i="2" s="1"/>
  <c r="E991" i="2"/>
  <c r="C991" i="2"/>
  <c r="D991" i="2" s="1"/>
  <c r="E990" i="2"/>
  <c r="F990" i="2" s="1"/>
  <c r="G990" i="2" s="1"/>
  <c r="D990" i="2"/>
  <c r="C990" i="2"/>
  <c r="E989" i="2"/>
  <c r="F989" i="2" s="1"/>
  <c r="C989" i="2"/>
  <c r="E988" i="2"/>
  <c r="F988" i="2" s="1"/>
  <c r="G988" i="2" s="1"/>
  <c r="D988" i="2"/>
  <c r="C988" i="2"/>
  <c r="E987" i="2"/>
  <c r="F987" i="2" s="1"/>
  <c r="C987" i="2"/>
  <c r="F986" i="2"/>
  <c r="E986" i="2"/>
  <c r="D986" i="2"/>
  <c r="C986" i="2"/>
  <c r="G986" i="2" s="1"/>
  <c r="F985" i="2"/>
  <c r="G985" i="2" s="1"/>
  <c r="E985" i="2"/>
  <c r="C985" i="2"/>
  <c r="D985" i="2" s="1"/>
  <c r="F984" i="2"/>
  <c r="E984" i="2"/>
  <c r="D984" i="2"/>
  <c r="C984" i="2"/>
  <c r="G984" i="2" s="1"/>
  <c r="E983" i="2"/>
  <c r="F983" i="2" s="1"/>
  <c r="G983" i="2" s="1"/>
  <c r="D983" i="2"/>
  <c r="C983" i="2"/>
  <c r="E982" i="2"/>
  <c r="F982" i="2" s="1"/>
  <c r="G982" i="2" s="1"/>
  <c r="D982" i="2"/>
  <c r="C982" i="2"/>
  <c r="E981" i="2"/>
  <c r="F981" i="2" s="1"/>
  <c r="G981" i="2" s="1"/>
  <c r="D981" i="2"/>
  <c r="C981" i="2"/>
  <c r="E980" i="2"/>
  <c r="F980" i="2" s="1"/>
  <c r="D980" i="2"/>
  <c r="C980" i="2"/>
  <c r="G980" i="2" s="1"/>
  <c r="E979" i="2"/>
  <c r="F979" i="2" s="1"/>
  <c r="G979" i="2" s="1"/>
  <c r="C979" i="2"/>
  <c r="D979" i="2" s="1"/>
  <c r="E978" i="2"/>
  <c r="F978" i="2" s="1"/>
  <c r="G978" i="2" s="1"/>
  <c r="C978" i="2"/>
  <c r="D978" i="2" s="1"/>
  <c r="F977" i="2"/>
  <c r="E977" i="2"/>
  <c r="C977" i="2"/>
  <c r="E976" i="2"/>
  <c r="F976" i="2" s="1"/>
  <c r="G976" i="2" s="1"/>
  <c r="C976" i="2"/>
  <c r="D976" i="2" s="1"/>
  <c r="E975" i="2"/>
  <c r="F975" i="2" s="1"/>
  <c r="D975" i="2"/>
  <c r="C975" i="2"/>
  <c r="G975" i="2" s="1"/>
  <c r="F974" i="2"/>
  <c r="G974" i="2" s="1"/>
  <c r="E974" i="2"/>
  <c r="D974" i="2"/>
  <c r="C974" i="2"/>
  <c r="E973" i="2"/>
  <c r="F973" i="2" s="1"/>
  <c r="C973" i="2"/>
  <c r="F972" i="2"/>
  <c r="E972" i="2"/>
  <c r="D972" i="2"/>
  <c r="C972" i="2"/>
  <c r="G972" i="2" s="1"/>
  <c r="F971" i="2"/>
  <c r="E971" i="2"/>
  <c r="D971" i="2"/>
  <c r="C971" i="2"/>
  <c r="G971" i="2" s="1"/>
  <c r="F970" i="2"/>
  <c r="E970" i="2"/>
  <c r="D970" i="2"/>
  <c r="C970" i="2"/>
  <c r="G970" i="2" s="1"/>
  <c r="F969" i="2"/>
  <c r="E969" i="2"/>
  <c r="D969" i="2"/>
  <c r="C969" i="2"/>
  <c r="G969" i="2" s="1"/>
  <c r="F968" i="2"/>
  <c r="G968" i="2" s="1"/>
  <c r="E968" i="2"/>
  <c r="D968" i="2"/>
  <c r="C968" i="2"/>
  <c r="G967" i="2"/>
  <c r="F967" i="2"/>
  <c r="E967" i="2"/>
  <c r="D967" i="2"/>
  <c r="C967" i="2"/>
  <c r="E966" i="2"/>
  <c r="F966" i="2" s="1"/>
  <c r="G966" i="2" s="1"/>
  <c r="D966" i="2"/>
  <c r="C966" i="2"/>
  <c r="F965" i="2"/>
  <c r="E965" i="2"/>
  <c r="C965" i="2"/>
  <c r="E964" i="2"/>
  <c r="F964" i="2" s="1"/>
  <c r="C964" i="2"/>
  <c r="F963" i="2"/>
  <c r="E963" i="2"/>
  <c r="C963" i="2"/>
  <c r="F962" i="2"/>
  <c r="G962" i="2" s="1"/>
  <c r="E962" i="2"/>
  <c r="D962" i="2"/>
  <c r="C962" i="2"/>
  <c r="E961" i="2"/>
  <c r="F961" i="2" s="1"/>
  <c r="C961" i="2"/>
  <c r="F960" i="2"/>
  <c r="G960" i="2" s="1"/>
  <c r="E960" i="2"/>
  <c r="D960" i="2"/>
  <c r="C960" i="2"/>
  <c r="E959" i="2"/>
  <c r="F959" i="2" s="1"/>
  <c r="D959" i="2"/>
  <c r="C959" i="2"/>
  <c r="F958" i="2"/>
  <c r="E958" i="2"/>
  <c r="D958" i="2"/>
  <c r="C958" i="2"/>
  <c r="G958" i="2" s="1"/>
  <c r="F957" i="2"/>
  <c r="E957" i="2"/>
  <c r="C957" i="2"/>
  <c r="E956" i="2"/>
  <c r="F956" i="2" s="1"/>
  <c r="G956" i="2" s="1"/>
  <c r="D956" i="2"/>
  <c r="C956" i="2"/>
  <c r="E955" i="2"/>
  <c r="F955" i="2" s="1"/>
  <c r="G955" i="2" s="1"/>
  <c r="D955" i="2"/>
  <c r="C955" i="2"/>
  <c r="E954" i="2"/>
  <c r="F954" i="2" s="1"/>
  <c r="G954" i="2" s="1"/>
  <c r="D954" i="2"/>
  <c r="C954" i="2"/>
  <c r="F953" i="2"/>
  <c r="E953" i="2"/>
  <c r="C953" i="2"/>
  <c r="E952" i="2"/>
  <c r="F952" i="2" s="1"/>
  <c r="C952" i="2"/>
  <c r="F951" i="2"/>
  <c r="E951" i="2"/>
  <c r="D951" i="2"/>
  <c r="C951" i="2"/>
  <c r="G951" i="2" s="1"/>
  <c r="F950" i="2"/>
  <c r="E950" i="2"/>
  <c r="C950" i="2"/>
  <c r="E949" i="2"/>
  <c r="F949" i="2" s="1"/>
  <c r="G949" i="2" s="1"/>
  <c r="D949" i="2"/>
  <c r="C949" i="2"/>
  <c r="F948" i="2"/>
  <c r="G948" i="2" s="1"/>
  <c r="E948" i="2"/>
  <c r="C948" i="2"/>
  <c r="D948" i="2" s="1"/>
  <c r="F947" i="2"/>
  <c r="E947" i="2"/>
  <c r="C947" i="2"/>
  <c r="F946" i="2"/>
  <c r="E946" i="2"/>
  <c r="C946" i="2"/>
  <c r="G945" i="2"/>
  <c r="F945" i="2"/>
  <c r="E945" i="2"/>
  <c r="D945" i="2"/>
  <c r="C945" i="2"/>
  <c r="F944" i="2"/>
  <c r="E944" i="2"/>
  <c r="C944" i="2"/>
  <c r="E943" i="2"/>
  <c r="F943" i="2" s="1"/>
  <c r="C943" i="2"/>
  <c r="E942" i="2"/>
  <c r="F942" i="2" s="1"/>
  <c r="C942" i="2"/>
  <c r="F941" i="2"/>
  <c r="E941" i="2"/>
  <c r="D941" i="2"/>
  <c r="C941" i="2"/>
  <c r="G941" i="2" s="1"/>
  <c r="F940" i="2"/>
  <c r="E940" i="2"/>
  <c r="D940" i="2"/>
  <c r="C940" i="2"/>
  <c r="G940" i="2" s="1"/>
  <c r="F939" i="2"/>
  <c r="E939" i="2"/>
  <c r="C939" i="2"/>
  <c r="F938" i="2"/>
  <c r="E938" i="2"/>
  <c r="D938" i="2"/>
  <c r="C938" i="2"/>
  <c r="G938" i="2" s="1"/>
  <c r="F937" i="2"/>
  <c r="E937" i="2"/>
  <c r="C937" i="2"/>
  <c r="E936" i="2"/>
  <c r="F936" i="2" s="1"/>
  <c r="G936" i="2" s="1"/>
  <c r="C936" i="2"/>
  <c r="D936" i="2" s="1"/>
  <c r="F935" i="2"/>
  <c r="E935" i="2"/>
  <c r="C935" i="2"/>
  <c r="E934" i="2"/>
  <c r="F934" i="2" s="1"/>
  <c r="G934" i="2" s="1"/>
  <c r="D934" i="2"/>
  <c r="C934" i="2"/>
  <c r="F933" i="2"/>
  <c r="E933" i="2"/>
  <c r="D933" i="2"/>
  <c r="C933" i="2"/>
  <c r="G933" i="2" s="1"/>
  <c r="E932" i="2"/>
  <c r="F932" i="2" s="1"/>
  <c r="G932" i="2" s="1"/>
  <c r="D932" i="2"/>
  <c r="C932" i="2"/>
  <c r="F931" i="2"/>
  <c r="E931" i="2"/>
  <c r="C931" i="2"/>
  <c r="G930" i="2"/>
  <c r="F930" i="2"/>
  <c r="E930" i="2"/>
  <c r="D930" i="2"/>
  <c r="C930" i="2"/>
  <c r="F929" i="2"/>
  <c r="E929" i="2"/>
  <c r="D929" i="2"/>
  <c r="C929" i="2"/>
  <c r="G929" i="2" s="1"/>
  <c r="E928" i="2"/>
  <c r="F928" i="2" s="1"/>
  <c r="G928" i="2" s="1"/>
  <c r="D928" i="2"/>
  <c r="C928" i="2"/>
  <c r="F927" i="2"/>
  <c r="E927" i="2"/>
  <c r="D927" i="2"/>
  <c r="C927" i="2"/>
  <c r="G927" i="2" s="1"/>
  <c r="F926" i="2"/>
  <c r="G926" i="2" s="1"/>
  <c r="E926" i="2"/>
  <c r="D926" i="2"/>
  <c r="C926" i="2"/>
  <c r="E925" i="2"/>
  <c r="F925" i="2" s="1"/>
  <c r="C925" i="2"/>
  <c r="F924" i="2"/>
  <c r="G924" i="2" s="1"/>
  <c r="E924" i="2"/>
  <c r="D924" i="2"/>
  <c r="C924" i="2"/>
  <c r="F923" i="2"/>
  <c r="E923" i="2"/>
  <c r="C923" i="2"/>
  <c r="F922" i="2"/>
  <c r="G922" i="2" s="1"/>
  <c r="E922" i="2"/>
  <c r="D922" i="2"/>
  <c r="C922" i="2"/>
  <c r="E921" i="2"/>
  <c r="F921" i="2" s="1"/>
  <c r="C921" i="2"/>
  <c r="F920" i="2"/>
  <c r="E920" i="2"/>
  <c r="C920" i="2"/>
  <c r="E919" i="2"/>
  <c r="F919" i="2" s="1"/>
  <c r="D919" i="2"/>
  <c r="C919" i="2"/>
  <c r="E918" i="2"/>
  <c r="F918" i="2" s="1"/>
  <c r="D918" i="2"/>
  <c r="C918" i="2"/>
  <c r="F917" i="2"/>
  <c r="E917" i="2"/>
  <c r="C917" i="2"/>
  <c r="F916" i="2"/>
  <c r="G916" i="2" s="1"/>
  <c r="E916" i="2"/>
  <c r="D916" i="2"/>
  <c r="C916" i="2"/>
  <c r="E915" i="2"/>
  <c r="F915" i="2" s="1"/>
  <c r="C915" i="2"/>
  <c r="E914" i="2"/>
  <c r="F914" i="2" s="1"/>
  <c r="G914" i="2" s="1"/>
  <c r="D914" i="2"/>
  <c r="C914" i="2"/>
  <c r="G913" i="2"/>
  <c r="F913" i="2"/>
  <c r="E913" i="2"/>
  <c r="C913" i="2"/>
  <c r="D913" i="2" s="1"/>
  <c r="E912" i="2"/>
  <c r="F912" i="2" s="1"/>
  <c r="C912" i="2"/>
  <c r="E911" i="2"/>
  <c r="F911" i="2" s="1"/>
  <c r="G911" i="2" s="1"/>
  <c r="D911" i="2"/>
  <c r="C911" i="2"/>
  <c r="F910" i="2"/>
  <c r="G910" i="2" s="1"/>
  <c r="E910" i="2"/>
  <c r="C910" i="2"/>
  <c r="D910" i="2" s="1"/>
  <c r="E909" i="2"/>
  <c r="F909" i="2" s="1"/>
  <c r="C909" i="2"/>
  <c r="F908" i="2"/>
  <c r="E908" i="2"/>
  <c r="D908" i="2"/>
  <c r="C908" i="2"/>
  <c r="G908" i="2" s="1"/>
  <c r="F907" i="2"/>
  <c r="G907" i="2" s="1"/>
  <c r="E907" i="2"/>
  <c r="D907" i="2"/>
  <c r="C907" i="2"/>
  <c r="E906" i="2"/>
  <c r="F906" i="2" s="1"/>
  <c r="G906" i="2" s="1"/>
  <c r="D906" i="2"/>
  <c r="C906" i="2"/>
  <c r="E905" i="2"/>
  <c r="F905" i="2" s="1"/>
  <c r="C905" i="2"/>
  <c r="F904" i="2"/>
  <c r="G904" i="2" s="1"/>
  <c r="E904" i="2"/>
  <c r="D904" i="2"/>
  <c r="C904" i="2"/>
  <c r="E903" i="2"/>
  <c r="F903" i="2" s="1"/>
  <c r="D903" i="2"/>
  <c r="C903" i="2"/>
  <c r="E902" i="2"/>
  <c r="F902" i="2" s="1"/>
  <c r="G902" i="2" s="1"/>
  <c r="C902" i="2"/>
  <c r="D902" i="2" s="1"/>
  <c r="F901" i="2"/>
  <c r="E901" i="2"/>
  <c r="C901" i="2"/>
  <c r="F900" i="2"/>
  <c r="G900" i="2" s="1"/>
  <c r="E900" i="2"/>
  <c r="D900" i="2"/>
  <c r="C900" i="2"/>
  <c r="F899" i="2"/>
  <c r="E899" i="2"/>
  <c r="D899" i="2"/>
  <c r="C899" i="2"/>
  <c r="G899" i="2" s="1"/>
  <c r="F898" i="2"/>
  <c r="G898" i="2" s="1"/>
  <c r="E898" i="2"/>
  <c r="D898" i="2"/>
  <c r="C898" i="2"/>
  <c r="E897" i="2"/>
  <c r="F897" i="2" s="1"/>
  <c r="G897" i="2" s="1"/>
  <c r="C897" i="2"/>
  <c r="D897" i="2" s="1"/>
  <c r="E896" i="2"/>
  <c r="F896" i="2" s="1"/>
  <c r="D896" i="2"/>
  <c r="C896" i="2"/>
  <c r="E895" i="2"/>
  <c r="F895" i="2" s="1"/>
  <c r="G895" i="2" s="1"/>
  <c r="D895" i="2"/>
  <c r="C895" i="2"/>
  <c r="E894" i="2"/>
  <c r="F894" i="2" s="1"/>
  <c r="C894" i="2"/>
  <c r="E893" i="2"/>
  <c r="F893" i="2" s="1"/>
  <c r="C893" i="2"/>
  <c r="E892" i="2"/>
  <c r="F892" i="2" s="1"/>
  <c r="G892" i="2" s="1"/>
  <c r="D892" i="2"/>
  <c r="C892" i="2"/>
  <c r="E891" i="2"/>
  <c r="F891" i="2" s="1"/>
  <c r="C891" i="2"/>
  <c r="F890" i="2"/>
  <c r="E890" i="2"/>
  <c r="C890" i="2"/>
  <c r="E889" i="2"/>
  <c r="F889" i="2" s="1"/>
  <c r="C889" i="2"/>
  <c r="F888" i="2"/>
  <c r="E888" i="2"/>
  <c r="C888" i="2"/>
  <c r="E887" i="2"/>
  <c r="F887" i="2" s="1"/>
  <c r="D887" i="2"/>
  <c r="C887" i="2"/>
  <c r="G887" i="2" s="1"/>
  <c r="E886" i="2"/>
  <c r="F886" i="2" s="1"/>
  <c r="D886" i="2"/>
  <c r="C886" i="2"/>
  <c r="E885" i="2"/>
  <c r="F885" i="2" s="1"/>
  <c r="C885" i="2"/>
  <c r="F884" i="2"/>
  <c r="E884" i="2"/>
  <c r="C884" i="2"/>
  <c r="F883" i="2"/>
  <c r="E883" i="2"/>
  <c r="C883" i="2"/>
  <c r="E882" i="2"/>
  <c r="F882" i="2" s="1"/>
  <c r="C882" i="2"/>
  <c r="E881" i="2"/>
  <c r="F881" i="2" s="1"/>
  <c r="D881" i="2"/>
  <c r="C881" i="2"/>
  <c r="G881" i="2" s="1"/>
  <c r="G880" i="2"/>
  <c r="F880" i="2"/>
  <c r="E880" i="2"/>
  <c r="D880" i="2"/>
  <c r="C880" i="2"/>
  <c r="G879" i="2"/>
  <c r="F879" i="2"/>
  <c r="E879" i="2"/>
  <c r="D879" i="2"/>
  <c r="C879" i="2"/>
  <c r="E878" i="2"/>
  <c r="F878" i="2" s="1"/>
  <c r="G878" i="2" s="1"/>
  <c r="D878" i="2"/>
  <c r="C878" i="2"/>
  <c r="E877" i="2"/>
  <c r="F877" i="2" s="1"/>
  <c r="D877" i="2"/>
  <c r="C877" i="2"/>
  <c r="G877" i="2" s="1"/>
  <c r="E876" i="2"/>
  <c r="F876" i="2" s="1"/>
  <c r="C876" i="2"/>
  <c r="F875" i="2"/>
  <c r="E875" i="2"/>
  <c r="C875" i="2"/>
  <c r="E874" i="2"/>
  <c r="F874" i="2" s="1"/>
  <c r="G874" i="2" s="1"/>
  <c r="D874" i="2"/>
  <c r="C874" i="2"/>
  <c r="E873" i="2"/>
  <c r="F873" i="2" s="1"/>
  <c r="C873" i="2"/>
  <c r="F872" i="2"/>
  <c r="G872" i="2" s="1"/>
  <c r="E872" i="2"/>
  <c r="D872" i="2"/>
  <c r="C872" i="2"/>
  <c r="E871" i="2"/>
  <c r="F871" i="2" s="1"/>
  <c r="C871" i="2"/>
  <c r="E870" i="2"/>
  <c r="F870" i="2" s="1"/>
  <c r="C870" i="2"/>
  <c r="E869" i="2"/>
  <c r="F869" i="2" s="1"/>
  <c r="G869" i="2" s="1"/>
  <c r="D869" i="2"/>
  <c r="C869" i="2"/>
  <c r="F868" i="2"/>
  <c r="G868" i="2" s="1"/>
  <c r="E868" i="2"/>
  <c r="D868" i="2"/>
  <c r="C868" i="2"/>
  <c r="E867" i="2"/>
  <c r="F867" i="2" s="1"/>
  <c r="C867" i="2"/>
  <c r="E866" i="2"/>
  <c r="F866" i="2" s="1"/>
  <c r="C866" i="2"/>
  <c r="E865" i="2"/>
  <c r="F865" i="2" s="1"/>
  <c r="C865" i="2"/>
  <c r="F864" i="2"/>
  <c r="E864" i="2"/>
  <c r="D864" i="2"/>
  <c r="C864" i="2"/>
  <c r="G864" i="2" s="1"/>
  <c r="E863" i="2"/>
  <c r="F863" i="2" s="1"/>
  <c r="G863" i="2" s="1"/>
  <c r="D863" i="2"/>
  <c r="C863" i="2"/>
  <c r="E862" i="2"/>
  <c r="F862" i="2" s="1"/>
  <c r="G862" i="2" s="1"/>
  <c r="D862" i="2"/>
  <c r="C862" i="2"/>
  <c r="E861" i="2"/>
  <c r="F861" i="2" s="1"/>
  <c r="C861" i="2"/>
  <c r="F860" i="2"/>
  <c r="E860" i="2"/>
  <c r="C860" i="2"/>
  <c r="F859" i="2"/>
  <c r="E859" i="2"/>
  <c r="C859" i="2"/>
  <c r="E858" i="2"/>
  <c r="F858" i="2" s="1"/>
  <c r="G858" i="2" s="1"/>
  <c r="D858" i="2"/>
  <c r="C858" i="2"/>
  <c r="E857" i="2"/>
  <c r="F857" i="2" s="1"/>
  <c r="G857" i="2" s="1"/>
  <c r="D857" i="2"/>
  <c r="C857" i="2"/>
  <c r="E856" i="2"/>
  <c r="F856" i="2" s="1"/>
  <c r="G856" i="2" s="1"/>
  <c r="D856" i="2"/>
  <c r="C856" i="2"/>
  <c r="E855" i="2"/>
  <c r="F855" i="2" s="1"/>
  <c r="G855" i="2" s="1"/>
  <c r="D855" i="2"/>
  <c r="C855" i="2"/>
  <c r="E854" i="2"/>
  <c r="F854" i="2" s="1"/>
  <c r="G854" i="2" s="1"/>
  <c r="C854" i="2"/>
  <c r="D854" i="2" s="1"/>
  <c r="E853" i="2"/>
  <c r="F853" i="2" s="1"/>
  <c r="G853" i="2" s="1"/>
  <c r="C853" i="2"/>
  <c r="D853" i="2" s="1"/>
  <c r="E852" i="2"/>
  <c r="F852" i="2" s="1"/>
  <c r="C852" i="2"/>
  <c r="E851" i="2"/>
  <c r="F851" i="2" s="1"/>
  <c r="G851" i="2" s="1"/>
  <c r="C851" i="2"/>
  <c r="D851" i="2" s="1"/>
  <c r="E850" i="2"/>
  <c r="F850" i="2" s="1"/>
  <c r="D850" i="2"/>
  <c r="C850" i="2"/>
  <c r="E849" i="2"/>
  <c r="F849" i="2" s="1"/>
  <c r="C849" i="2"/>
  <c r="F848" i="2"/>
  <c r="E848" i="2"/>
  <c r="C848" i="2"/>
  <c r="E847" i="2"/>
  <c r="F847" i="2" s="1"/>
  <c r="C847" i="2"/>
  <c r="F846" i="2"/>
  <c r="E846" i="2"/>
  <c r="C846" i="2"/>
  <c r="F845" i="2"/>
  <c r="G845" i="2" s="1"/>
  <c r="E845" i="2"/>
  <c r="D845" i="2"/>
  <c r="C845" i="2"/>
  <c r="F844" i="2"/>
  <c r="E844" i="2"/>
  <c r="C844" i="2"/>
  <c r="E843" i="2"/>
  <c r="F843" i="2" s="1"/>
  <c r="G843" i="2" s="1"/>
  <c r="C843" i="2"/>
  <c r="D843" i="2" s="1"/>
  <c r="F842" i="2"/>
  <c r="E842" i="2"/>
  <c r="C842" i="2"/>
  <c r="F841" i="2"/>
  <c r="E841" i="2"/>
  <c r="C841" i="2"/>
  <c r="F840" i="2"/>
  <c r="E840" i="2"/>
  <c r="D840" i="2"/>
  <c r="C840" i="2"/>
  <c r="G840" i="2" s="1"/>
  <c r="F839" i="2"/>
  <c r="G839" i="2" s="1"/>
  <c r="E839" i="2"/>
  <c r="D839" i="2"/>
  <c r="C839" i="2"/>
  <c r="F838" i="2"/>
  <c r="G838" i="2" s="1"/>
  <c r="E838" i="2"/>
  <c r="D838" i="2"/>
  <c r="C838" i="2"/>
  <c r="E837" i="2"/>
  <c r="F837" i="2" s="1"/>
  <c r="D837" i="2"/>
  <c r="C837" i="2"/>
  <c r="G837" i="2" s="1"/>
  <c r="F836" i="2"/>
  <c r="G836" i="2" s="1"/>
  <c r="E836" i="2"/>
  <c r="C836" i="2"/>
  <c r="D836" i="2" s="1"/>
  <c r="F835" i="2"/>
  <c r="G835" i="2" s="1"/>
  <c r="E835" i="2"/>
  <c r="D835" i="2"/>
  <c r="C835" i="2"/>
  <c r="E834" i="2"/>
  <c r="F834" i="2" s="1"/>
  <c r="G834" i="2" s="1"/>
  <c r="C834" i="2"/>
  <c r="D834" i="2" s="1"/>
  <c r="F833" i="2"/>
  <c r="G833" i="2" s="1"/>
  <c r="E833" i="2"/>
  <c r="D833" i="2"/>
  <c r="C833" i="2"/>
  <c r="E832" i="2"/>
  <c r="F832" i="2" s="1"/>
  <c r="C832" i="2"/>
  <c r="E831" i="2"/>
  <c r="F831" i="2" s="1"/>
  <c r="D831" i="2"/>
  <c r="C831" i="2"/>
  <c r="E830" i="2"/>
  <c r="F830" i="2" s="1"/>
  <c r="G830" i="2" s="1"/>
  <c r="C830" i="2"/>
  <c r="D830" i="2" s="1"/>
  <c r="E829" i="2"/>
  <c r="F829" i="2" s="1"/>
  <c r="D829" i="2"/>
  <c r="C829" i="2"/>
  <c r="F828" i="2"/>
  <c r="E828" i="2"/>
  <c r="C828" i="2"/>
  <c r="E827" i="2"/>
  <c r="F827" i="2" s="1"/>
  <c r="G827" i="2" s="1"/>
  <c r="D827" i="2"/>
  <c r="C827" i="2"/>
  <c r="F826" i="2"/>
  <c r="E826" i="2"/>
  <c r="C826" i="2"/>
  <c r="F825" i="2"/>
  <c r="G825" i="2" s="1"/>
  <c r="E825" i="2"/>
  <c r="D825" i="2"/>
  <c r="C825" i="2"/>
  <c r="E824" i="2"/>
  <c r="F824" i="2" s="1"/>
  <c r="D824" i="2"/>
  <c r="C824" i="2"/>
  <c r="G824" i="2" s="1"/>
  <c r="E823" i="2"/>
  <c r="F823" i="2" s="1"/>
  <c r="D823" i="2"/>
  <c r="C823" i="2"/>
  <c r="G823" i="2" s="1"/>
  <c r="E822" i="2"/>
  <c r="F822" i="2" s="1"/>
  <c r="C822" i="2"/>
  <c r="E821" i="2"/>
  <c r="F821" i="2" s="1"/>
  <c r="C821" i="2"/>
  <c r="E820" i="2"/>
  <c r="F820" i="2" s="1"/>
  <c r="C820" i="2"/>
  <c r="F819" i="2"/>
  <c r="E819" i="2"/>
  <c r="D819" i="2"/>
  <c r="C819" i="2"/>
  <c r="G819" i="2" s="1"/>
  <c r="E818" i="2"/>
  <c r="F818" i="2" s="1"/>
  <c r="G818" i="2" s="1"/>
  <c r="D818" i="2"/>
  <c r="C818" i="2"/>
  <c r="F817" i="2"/>
  <c r="E817" i="2"/>
  <c r="C817" i="2"/>
  <c r="F816" i="2"/>
  <c r="E816" i="2"/>
  <c r="D816" i="2"/>
  <c r="C816" i="2"/>
  <c r="G816" i="2" s="1"/>
  <c r="E815" i="2"/>
  <c r="F815" i="2" s="1"/>
  <c r="D815" i="2"/>
  <c r="C815" i="2"/>
  <c r="F814" i="2"/>
  <c r="E814" i="2"/>
  <c r="C814" i="2"/>
  <c r="E813" i="2"/>
  <c r="F813" i="2" s="1"/>
  <c r="G813" i="2" s="1"/>
  <c r="D813" i="2"/>
  <c r="C813" i="2"/>
  <c r="F812" i="2"/>
  <c r="E812" i="2"/>
  <c r="C812" i="2"/>
  <c r="E811" i="2"/>
  <c r="F811" i="2" s="1"/>
  <c r="G811" i="2" s="1"/>
  <c r="D811" i="2"/>
  <c r="C811" i="2"/>
  <c r="F810" i="2"/>
  <c r="G810" i="2" s="1"/>
  <c r="E810" i="2"/>
  <c r="D810" i="2"/>
  <c r="C810" i="2"/>
  <c r="E809" i="2"/>
  <c r="F809" i="2" s="1"/>
  <c r="C809" i="2"/>
  <c r="F808" i="2"/>
  <c r="E808" i="2"/>
  <c r="D808" i="2"/>
  <c r="C808" i="2"/>
  <c r="G808" i="2" s="1"/>
  <c r="F807" i="2"/>
  <c r="E807" i="2"/>
  <c r="C807" i="2"/>
  <c r="E806" i="2"/>
  <c r="F806" i="2" s="1"/>
  <c r="D806" i="2"/>
  <c r="C806" i="2"/>
  <c r="E805" i="2"/>
  <c r="F805" i="2" s="1"/>
  <c r="C805" i="2"/>
  <c r="F804" i="2"/>
  <c r="G804" i="2" s="1"/>
  <c r="E804" i="2"/>
  <c r="D804" i="2"/>
  <c r="C804" i="2"/>
  <c r="F803" i="2"/>
  <c r="E803" i="2"/>
  <c r="C803" i="2"/>
  <c r="F802" i="2"/>
  <c r="G802" i="2" s="1"/>
  <c r="E802" i="2"/>
  <c r="D802" i="2"/>
  <c r="C802" i="2"/>
  <c r="E801" i="2"/>
  <c r="F801" i="2" s="1"/>
  <c r="C801" i="2"/>
  <c r="E800" i="2"/>
  <c r="F800" i="2" s="1"/>
  <c r="G800" i="2" s="1"/>
  <c r="D800" i="2"/>
  <c r="C800" i="2"/>
  <c r="E799" i="2"/>
  <c r="F799" i="2" s="1"/>
  <c r="G799" i="2" s="1"/>
  <c r="D799" i="2"/>
  <c r="C799" i="2"/>
  <c r="F798" i="2"/>
  <c r="G798" i="2" s="1"/>
  <c r="E798" i="2"/>
  <c r="D798" i="2"/>
  <c r="C798" i="2"/>
  <c r="F797" i="2"/>
  <c r="G797" i="2" s="1"/>
  <c r="E797" i="2"/>
  <c r="D797" i="2"/>
  <c r="C797" i="2"/>
  <c r="E796" i="2"/>
  <c r="F796" i="2" s="1"/>
  <c r="D796" i="2"/>
  <c r="C796" i="2"/>
  <c r="G796" i="2" s="1"/>
  <c r="E795" i="2"/>
  <c r="F795" i="2" s="1"/>
  <c r="C795" i="2"/>
  <c r="E794" i="2"/>
  <c r="F794" i="2" s="1"/>
  <c r="C794" i="2"/>
  <c r="E793" i="2"/>
  <c r="F793" i="2" s="1"/>
  <c r="G793" i="2" s="1"/>
  <c r="D793" i="2"/>
  <c r="C793" i="2"/>
  <c r="F792" i="2"/>
  <c r="E792" i="2"/>
  <c r="C792" i="2"/>
  <c r="F791" i="2"/>
  <c r="G791" i="2" s="1"/>
  <c r="E791" i="2"/>
  <c r="D791" i="2"/>
  <c r="C791" i="2"/>
  <c r="F790" i="2"/>
  <c r="E790" i="2"/>
  <c r="D790" i="2"/>
  <c r="C790" i="2"/>
  <c r="G790" i="2" s="1"/>
  <c r="F789" i="2"/>
  <c r="G789" i="2" s="1"/>
  <c r="E789" i="2"/>
  <c r="D789" i="2"/>
  <c r="C789" i="2"/>
  <c r="F788" i="2"/>
  <c r="E788" i="2"/>
  <c r="D788" i="2"/>
  <c r="C788" i="2"/>
  <c r="G788" i="2" s="1"/>
  <c r="E787" i="2"/>
  <c r="F787" i="2" s="1"/>
  <c r="C787" i="2"/>
  <c r="F786" i="2"/>
  <c r="E786" i="2"/>
  <c r="C786" i="2"/>
  <c r="G785" i="2"/>
  <c r="F785" i="2"/>
  <c r="E785" i="2"/>
  <c r="D785" i="2"/>
  <c r="C785" i="2"/>
  <c r="E784" i="2"/>
  <c r="F784" i="2" s="1"/>
  <c r="G784" i="2" s="1"/>
  <c r="D784" i="2"/>
  <c r="C784" i="2"/>
  <c r="F783" i="2"/>
  <c r="G783" i="2" s="1"/>
  <c r="E783" i="2"/>
  <c r="C783" i="2"/>
  <c r="D783" i="2" s="1"/>
  <c r="E782" i="2"/>
  <c r="F782" i="2" s="1"/>
  <c r="C782" i="2"/>
  <c r="E781" i="2"/>
  <c r="F781" i="2" s="1"/>
  <c r="C781" i="2"/>
  <c r="F780" i="2"/>
  <c r="E780" i="2"/>
  <c r="C780" i="2"/>
  <c r="E779" i="2"/>
  <c r="F779" i="2" s="1"/>
  <c r="C779" i="2"/>
  <c r="F778" i="2"/>
  <c r="E778" i="2"/>
  <c r="C778" i="2"/>
  <c r="F777" i="2"/>
  <c r="G777" i="2" s="1"/>
  <c r="E777" i="2"/>
  <c r="D777" i="2"/>
  <c r="C777" i="2"/>
  <c r="F776" i="2"/>
  <c r="E776" i="2"/>
  <c r="D776" i="2"/>
  <c r="C776" i="2"/>
  <c r="G776" i="2" s="1"/>
  <c r="F775" i="2"/>
  <c r="G775" i="2" s="1"/>
  <c r="E775" i="2"/>
  <c r="D775" i="2"/>
  <c r="C775" i="2"/>
  <c r="F774" i="2"/>
  <c r="E774" i="2"/>
  <c r="C774" i="2"/>
  <c r="E773" i="2"/>
  <c r="F773" i="2" s="1"/>
  <c r="C773" i="2"/>
  <c r="E772" i="2"/>
  <c r="F772" i="2" s="1"/>
  <c r="C772" i="2"/>
  <c r="E771" i="2"/>
  <c r="F771" i="2" s="1"/>
  <c r="G771" i="2" s="1"/>
  <c r="D771" i="2"/>
  <c r="C771" i="2"/>
  <c r="F770" i="2"/>
  <c r="E770" i="2"/>
  <c r="C770" i="2"/>
  <c r="E769" i="2"/>
  <c r="F769" i="2" s="1"/>
  <c r="C769" i="2"/>
  <c r="E768" i="2"/>
  <c r="F768" i="2" s="1"/>
  <c r="G768" i="2" s="1"/>
  <c r="C768" i="2"/>
  <c r="D768" i="2" s="1"/>
  <c r="E767" i="2"/>
  <c r="F767" i="2" s="1"/>
  <c r="G767" i="2" s="1"/>
  <c r="C767" i="2"/>
  <c r="D767" i="2" s="1"/>
  <c r="F766" i="2"/>
  <c r="E766" i="2"/>
  <c r="C766" i="2"/>
  <c r="E765" i="2"/>
  <c r="F765" i="2" s="1"/>
  <c r="D765" i="2"/>
  <c r="C765" i="2"/>
  <c r="G765" i="2" s="1"/>
  <c r="E764" i="2"/>
  <c r="F764" i="2" s="1"/>
  <c r="G764" i="2" s="1"/>
  <c r="D764" i="2"/>
  <c r="C764" i="2"/>
  <c r="F763" i="2"/>
  <c r="G763" i="2" s="1"/>
  <c r="E763" i="2"/>
  <c r="D763" i="2"/>
  <c r="C763" i="2"/>
  <c r="E762" i="2"/>
  <c r="F762" i="2" s="1"/>
  <c r="D762" i="2"/>
  <c r="C762" i="2"/>
  <c r="G762" i="2" s="1"/>
  <c r="E761" i="2"/>
  <c r="F761" i="2" s="1"/>
  <c r="G761" i="2" s="1"/>
  <c r="D761" i="2"/>
  <c r="C761" i="2"/>
  <c r="E760" i="2"/>
  <c r="F760" i="2" s="1"/>
  <c r="G760" i="2" s="1"/>
  <c r="D760" i="2"/>
  <c r="C760" i="2"/>
  <c r="G759" i="2"/>
  <c r="F759" i="2"/>
  <c r="E759" i="2"/>
  <c r="D759" i="2"/>
  <c r="C759" i="2"/>
  <c r="F758" i="2"/>
  <c r="E758" i="2"/>
  <c r="C758" i="2"/>
  <c r="F757" i="2"/>
  <c r="E757" i="2"/>
  <c r="C757" i="2"/>
  <c r="F756" i="2"/>
  <c r="G756" i="2" s="1"/>
  <c r="E756" i="2"/>
  <c r="D756" i="2"/>
  <c r="C756" i="2"/>
  <c r="F755" i="2"/>
  <c r="G755" i="2" s="1"/>
  <c r="E755" i="2"/>
  <c r="C755" i="2"/>
  <c r="D755" i="2" s="1"/>
  <c r="F754" i="2"/>
  <c r="G754" i="2" s="1"/>
  <c r="E754" i="2"/>
  <c r="D754" i="2"/>
  <c r="C754" i="2"/>
  <c r="F753" i="2"/>
  <c r="E753" i="2"/>
  <c r="C753" i="2"/>
  <c r="E752" i="2"/>
  <c r="F752" i="2" s="1"/>
  <c r="G752" i="2" s="1"/>
  <c r="D752" i="2"/>
  <c r="C752" i="2"/>
  <c r="E751" i="2"/>
  <c r="F751" i="2" s="1"/>
  <c r="C751" i="2"/>
  <c r="F750" i="2"/>
  <c r="G750" i="2" s="1"/>
  <c r="E750" i="2"/>
  <c r="C750" i="2"/>
  <c r="D750" i="2" s="1"/>
  <c r="F749" i="2"/>
  <c r="E749" i="2"/>
  <c r="C749" i="2"/>
  <c r="F748" i="2"/>
  <c r="E748" i="2"/>
  <c r="D748" i="2"/>
  <c r="C748" i="2"/>
  <c r="G748" i="2" s="1"/>
  <c r="F747" i="2"/>
  <c r="E747" i="2"/>
  <c r="C747" i="2"/>
  <c r="E746" i="2"/>
  <c r="F746" i="2" s="1"/>
  <c r="C746" i="2"/>
  <c r="E745" i="2"/>
  <c r="F745" i="2" s="1"/>
  <c r="G745" i="2" s="1"/>
  <c r="D745" i="2"/>
  <c r="C745" i="2"/>
  <c r="E744" i="2"/>
  <c r="F744" i="2" s="1"/>
  <c r="C744" i="2"/>
  <c r="E743" i="2"/>
  <c r="F743" i="2" s="1"/>
  <c r="G743" i="2" s="1"/>
  <c r="D743" i="2"/>
  <c r="C743" i="2"/>
  <c r="G742" i="2"/>
  <c r="F742" i="2"/>
  <c r="E742" i="2"/>
  <c r="C742" i="2"/>
  <c r="D742" i="2" s="1"/>
  <c r="F741" i="2"/>
  <c r="G741" i="2" s="1"/>
  <c r="E741" i="2"/>
  <c r="D741" i="2"/>
  <c r="C741" i="2"/>
  <c r="E740" i="2"/>
  <c r="F740" i="2" s="1"/>
  <c r="G740" i="2" s="1"/>
  <c r="D740" i="2"/>
  <c r="C740" i="2"/>
  <c r="F739" i="2"/>
  <c r="E739" i="2"/>
  <c r="C739" i="2"/>
  <c r="F738" i="2"/>
  <c r="G738" i="2" s="1"/>
  <c r="E738" i="2"/>
  <c r="D738" i="2"/>
  <c r="C738" i="2"/>
  <c r="F737" i="2"/>
  <c r="G737" i="2" s="1"/>
  <c r="E737" i="2"/>
  <c r="D737" i="2"/>
  <c r="C737" i="2"/>
  <c r="E736" i="2"/>
  <c r="F736" i="2" s="1"/>
  <c r="G736" i="2" s="1"/>
  <c r="C736" i="2"/>
  <c r="D736" i="2" s="1"/>
  <c r="E735" i="2"/>
  <c r="F735" i="2" s="1"/>
  <c r="G735" i="2" s="1"/>
  <c r="C735" i="2"/>
  <c r="D735" i="2" s="1"/>
  <c r="F734" i="2"/>
  <c r="E734" i="2"/>
  <c r="C734" i="2"/>
  <c r="E733" i="2"/>
  <c r="F733" i="2" s="1"/>
  <c r="G733" i="2" s="1"/>
  <c r="D733" i="2"/>
  <c r="C733" i="2"/>
  <c r="F732" i="2"/>
  <c r="G732" i="2" s="1"/>
  <c r="E732" i="2"/>
  <c r="D732" i="2"/>
  <c r="C732" i="2"/>
  <c r="E731" i="2"/>
  <c r="F731" i="2" s="1"/>
  <c r="C731" i="2"/>
  <c r="F730" i="2"/>
  <c r="G730" i="2" s="1"/>
  <c r="E730" i="2"/>
  <c r="C730" i="2"/>
  <c r="D730" i="2" s="1"/>
  <c r="F729" i="2"/>
  <c r="E729" i="2"/>
  <c r="C729" i="2"/>
  <c r="E728" i="2"/>
  <c r="F728" i="2" s="1"/>
  <c r="C728" i="2"/>
  <c r="E727" i="2"/>
  <c r="F727" i="2" s="1"/>
  <c r="G727" i="2" s="1"/>
  <c r="D727" i="2"/>
  <c r="C727" i="2"/>
  <c r="E726" i="2"/>
  <c r="F726" i="2" s="1"/>
  <c r="G726" i="2" s="1"/>
  <c r="D726" i="2"/>
  <c r="C726" i="2"/>
  <c r="E725" i="2"/>
  <c r="F725" i="2" s="1"/>
  <c r="G725" i="2" s="1"/>
  <c r="D725" i="2"/>
  <c r="C725" i="2"/>
  <c r="F724" i="2"/>
  <c r="E724" i="2"/>
  <c r="D724" i="2"/>
  <c r="C724" i="2"/>
  <c r="G724" i="2" s="1"/>
  <c r="E723" i="2"/>
  <c r="F723" i="2" s="1"/>
  <c r="C723" i="2"/>
  <c r="F722" i="2"/>
  <c r="E722" i="2"/>
  <c r="C722" i="2"/>
  <c r="E721" i="2"/>
  <c r="F721" i="2" s="1"/>
  <c r="G721" i="2" s="1"/>
  <c r="D721" i="2"/>
  <c r="C721" i="2"/>
  <c r="E720" i="2"/>
  <c r="F720" i="2" s="1"/>
  <c r="C720" i="2"/>
  <c r="F719" i="2"/>
  <c r="G719" i="2" s="1"/>
  <c r="E719" i="2"/>
  <c r="D719" i="2"/>
  <c r="C719" i="2"/>
  <c r="F718" i="2"/>
  <c r="E718" i="2"/>
  <c r="C718" i="2"/>
  <c r="E717" i="2"/>
  <c r="F717" i="2" s="1"/>
  <c r="G717" i="2" s="1"/>
  <c r="D717" i="2"/>
  <c r="C717" i="2"/>
  <c r="E716" i="2"/>
  <c r="F716" i="2" s="1"/>
  <c r="C716" i="2"/>
  <c r="F715" i="2"/>
  <c r="G715" i="2" s="1"/>
  <c r="E715" i="2"/>
  <c r="D715" i="2"/>
  <c r="C715" i="2"/>
  <c r="E714" i="2"/>
  <c r="F714" i="2" s="1"/>
  <c r="C714" i="2"/>
  <c r="E713" i="2"/>
  <c r="F713" i="2" s="1"/>
  <c r="C713" i="2"/>
  <c r="E712" i="2"/>
  <c r="F712" i="2" s="1"/>
  <c r="G712" i="2" s="1"/>
  <c r="D712" i="2"/>
  <c r="C712" i="2"/>
  <c r="E711" i="2"/>
  <c r="F711" i="2" s="1"/>
  <c r="G711" i="2" s="1"/>
  <c r="D711" i="2"/>
  <c r="C711" i="2"/>
  <c r="E710" i="2"/>
  <c r="F710" i="2" s="1"/>
  <c r="G710" i="2" s="1"/>
  <c r="D710" i="2"/>
  <c r="C710" i="2"/>
  <c r="E709" i="2"/>
  <c r="F709" i="2" s="1"/>
  <c r="G709" i="2" s="1"/>
  <c r="D709" i="2"/>
  <c r="C709" i="2"/>
  <c r="E708" i="2"/>
  <c r="F708" i="2" s="1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E703" i="2"/>
  <c r="F703" i="2" s="1"/>
  <c r="G703" i="2" s="1"/>
  <c r="D703" i="2"/>
  <c r="C703" i="2"/>
  <c r="G702" i="2"/>
  <c r="F702" i="2"/>
  <c r="E702" i="2"/>
  <c r="D702" i="2"/>
  <c r="C702" i="2"/>
  <c r="F701" i="2"/>
  <c r="G701" i="2" s="1"/>
  <c r="E701" i="2"/>
  <c r="D701" i="2"/>
  <c r="C701" i="2"/>
  <c r="F700" i="2"/>
  <c r="E700" i="2"/>
  <c r="C700" i="2"/>
  <c r="E699" i="2"/>
  <c r="F699" i="2" s="1"/>
  <c r="G699" i="2" s="1"/>
  <c r="D699" i="2"/>
  <c r="C699" i="2"/>
  <c r="E698" i="2"/>
  <c r="F698" i="2" s="1"/>
  <c r="G698" i="2" s="1"/>
  <c r="C698" i="2"/>
  <c r="D698" i="2" s="1"/>
  <c r="F697" i="2"/>
  <c r="G697" i="2" s="1"/>
  <c r="E697" i="2"/>
  <c r="D697" i="2"/>
  <c r="C697" i="2"/>
  <c r="E696" i="2"/>
  <c r="F696" i="2" s="1"/>
  <c r="C696" i="2"/>
  <c r="E695" i="2"/>
  <c r="F695" i="2" s="1"/>
  <c r="D695" i="2"/>
  <c r="C695" i="2"/>
  <c r="G695" i="2" s="1"/>
  <c r="E694" i="2"/>
  <c r="F694" i="2" s="1"/>
  <c r="C694" i="2"/>
  <c r="F693" i="2"/>
  <c r="E693" i="2"/>
  <c r="D693" i="2"/>
  <c r="C693" i="2"/>
  <c r="G693" i="2" s="1"/>
  <c r="E692" i="2"/>
  <c r="F692" i="2" s="1"/>
  <c r="G692" i="2" s="1"/>
  <c r="C692" i="2"/>
  <c r="D692" i="2" s="1"/>
  <c r="E691" i="2"/>
  <c r="F691" i="2" s="1"/>
  <c r="D691" i="2"/>
  <c r="C691" i="2"/>
  <c r="G691" i="2" s="1"/>
  <c r="F690" i="2"/>
  <c r="E690" i="2"/>
  <c r="C690" i="2"/>
  <c r="E689" i="2"/>
  <c r="F689" i="2" s="1"/>
  <c r="C689" i="2"/>
  <c r="F688" i="2"/>
  <c r="E688" i="2"/>
  <c r="D688" i="2"/>
  <c r="C688" i="2"/>
  <c r="G688" i="2" s="1"/>
  <c r="F687" i="2"/>
  <c r="E687" i="2"/>
  <c r="D687" i="2"/>
  <c r="C687" i="2"/>
  <c r="G687" i="2" s="1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D682" i="2"/>
  <c r="C682" i="2"/>
  <c r="G682" i="2" s="1"/>
  <c r="E681" i="2"/>
  <c r="F681" i="2" s="1"/>
  <c r="G681" i="2" s="1"/>
  <c r="C681" i="2"/>
  <c r="D681" i="2" s="1"/>
  <c r="E680" i="2"/>
  <c r="F680" i="2" s="1"/>
  <c r="G680" i="2" s="1"/>
  <c r="D680" i="2"/>
  <c r="C680" i="2"/>
  <c r="E679" i="2"/>
  <c r="F679" i="2" s="1"/>
  <c r="C679" i="2"/>
  <c r="E678" i="2"/>
  <c r="F678" i="2" s="1"/>
  <c r="C678" i="2"/>
  <c r="F677" i="2"/>
  <c r="E677" i="2"/>
  <c r="C677" i="2"/>
  <c r="F676" i="2"/>
  <c r="E676" i="2"/>
  <c r="D676" i="2"/>
  <c r="C676" i="2"/>
  <c r="G676" i="2" s="1"/>
  <c r="E675" i="2"/>
  <c r="F675" i="2" s="1"/>
  <c r="G675" i="2" s="1"/>
  <c r="D675" i="2"/>
  <c r="C675" i="2"/>
  <c r="E674" i="2"/>
  <c r="F674" i="2" s="1"/>
  <c r="G674" i="2" s="1"/>
  <c r="C674" i="2"/>
  <c r="D674" i="2" s="1"/>
  <c r="E673" i="2"/>
  <c r="F673" i="2" s="1"/>
  <c r="G673" i="2" s="1"/>
  <c r="C673" i="2"/>
  <c r="D673" i="2" s="1"/>
  <c r="F672" i="2"/>
  <c r="E672" i="2"/>
  <c r="C672" i="2"/>
  <c r="E671" i="2"/>
  <c r="F671" i="2" s="1"/>
  <c r="G671" i="2" s="1"/>
  <c r="C671" i="2"/>
  <c r="D671" i="2" s="1"/>
  <c r="E670" i="2"/>
  <c r="F670" i="2" s="1"/>
  <c r="D670" i="2"/>
  <c r="C670" i="2"/>
  <c r="F669" i="2"/>
  <c r="G669" i="2" s="1"/>
  <c r="E669" i="2"/>
  <c r="D669" i="2"/>
  <c r="C669" i="2"/>
  <c r="F668" i="2"/>
  <c r="E668" i="2"/>
  <c r="C668" i="2"/>
  <c r="F667" i="2"/>
  <c r="E667" i="2"/>
  <c r="C667" i="2"/>
  <c r="F666" i="2"/>
  <c r="G666" i="2" s="1"/>
  <c r="E666" i="2"/>
  <c r="C666" i="2"/>
  <c r="D666" i="2" s="1"/>
  <c r="F665" i="2"/>
  <c r="E665" i="2"/>
  <c r="C665" i="2"/>
  <c r="E664" i="2"/>
  <c r="F664" i="2" s="1"/>
  <c r="G664" i="2" s="1"/>
  <c r="D664" i="2"/>
  <c r="C664" i="2"/>
  <c r="F663" i="2"/>
  <c r="E663" i="2"/>
  <c r="C663" i="2"/>
  <c r="E662" i="2"/>
  <c r="F662" i="2" s="1"/>
  <c r="G662" i="2" s="1"/>
  <c r="D662" i="2"/>
  <c r="C662" i="2"/>
  <c r="E661" i="2"/>
  <c r="F661" i="2" s="1"/>
  <c r="G661" i="2" s="1"/>
  <c r="D661" i="2"/>
  <c r="C661" i="2"/>
  <c r="E660" i="2"/>
  <c r="F660" i="2" s="1"/>
  <c r="G660" i="2" s="1"/>
  <c r="D660" i="2"/>
  <c r="C660" i="2"/>
  <c r="F659" i="2"/>
  <c r="G659" i="2" s="1"/>
  <c r="E659" i="2"/>
  <c r="C659" i="2"/>
  <c r="D659" i="2" s="1"/>
  <c r="F658" i="2"/>
  <c r="E658" i="2"/>
  <c r="C658" i="2"/>
  <c r="F657" i="2"/>
  <c r="G657" i="2" s="1"/>
  <c r="E657" i="2"/>
  <c r="D657" i="2"/>
  <c r="C657" i="2"/>
  <c r="E656" i="2"/>
  <c r="F656" i="2" s="1"/>
  <c r="G656" i="2" s="1"/>
  <c r="C656" i="2"/>
  <c r="D656" i="2" s="1"/>
  <c r="E655" i="2"/>
  <c r="F655" i="2" s="1"/>
  <c r="C655" i="2"/>
  <c r="F654" i="2"/>
  <c r="E654" i="2"/>
  <c r="C654" i="2"/>
  <c r="E653" i="2"/>
  <c r="F653" i="2" s="1"/>
  <c r="D653" i="2"/>
  <c r="C653" i="2"/>
  <c r="G653" i="2" s="1"/>
  <c r="E652" i="2"/>
  <c r="F652" i="2" s="1"/>
  <c r="G652" i="2" s="1"/>
  <c r="D652" i="2"/>
  <c r="C652" i="2"/>
  <c r="F651" i="2"/>
  <c r="E651" i="2"/>
  <c r="D651" i="2"/>
  <c r="C651" i="2"/>
  <c r="G651" i="2" s="1"/>
  <c r="F650" i="2"/>
  <c r="E650" i="2"/>
  <c r="D650" i="2"/>
  <c r="C650" i="2"/>
  <c r="G650" i="2" s="1"/>
  <c r="F649" i="2"/>
  <c r="E649" i="2"/>
  <c r="D649" i="2"/>
  <c r="C649" i="2"/>
  <c r="G649" i="2" s="1"/>
  <c r="F648" i="2"/>
  <c r="E648" i="2"/>
  <c r="C648" i="2"/>
  <c r="F647" i="2"/>
  <c r="E647" i="2"/>
  <c r="C647" i="2"/>
  <c r="F646" i="2"/>
  <c r="E646" i="2"/>
  <c r="C646" i="2"/>
  <c r="F645" i="2"/>
  <c r="E645" i="2"/>
  <c r="D645" i="2"/>
  <c r="C645" i="2"/>
  <c r="G645" i="2" s="1"/>
  <c r="F644" i="2"/>
  <c r="E644" i="2"/>
  <c r="C644" i="2"/>
  <c r="F643" i="2"/>
  <c r="G643" i="2" s="1"/>
  <c r="E643" i="2"/>
  <c r="D643" i="2"/>
  <c r="C643" i="2"/>
  <c r="F642" i="2"/>
  <c r="E642" i="2"/>
  <c r="C642" i="2"/>
  <c r="E641" i="2"/>
  <c r="F641" i="2" s="1"/>
  <c r="C641" i="2"/>
  <c r="E640" i="2"/>
  <c r="F640" i="2" s="1"/>
  <c r="C640" i="2"/>
  <c r="E639" i="2"/>
  <c r="F639" i="2" s="1"/>
  <c r="G639" i="2" s="1"/>
  <c r="D639" i="2"/>
  <c r="C639" i="2"/>
  <c r="E638" i="2"/>
  <c r="F638" i="2" s="1"/>
  <c r="C638" i="2"/>
  <c r="F637" i="2"/>
  <c r="G637" i="2" s="1"/>
  <c r="E637" i="2"/>
  <c r="D637" i="2"/>
  <c r="C637" i="2"/>
  <c r="E636" i="2"/>
  <c r="F636" i="2" s="1"/>
  <c r="D636" i="2"/>
  <c r="C636" i="2"/>
  <c r="G636" i="2" s="1"/>
  <c r="E635" i="2"/>
  <c r="F635" i="2" s="1"/>
  <c r="D635" i="2"/>
  <c r="C635" i="2"/>
  <c r="G635" i="2" s="1"/>
  <c r="E634" i="2"/>
  <c r="F634" i="2" s="1"/>
  <c r="G634" i="2" s="1"/>
  <c r="C634" i="2"/>
  <c r="D634" i="2" s="1"/>
  <c r="E633" i="2"/>
  <c r="F633" i="2" s="1"/>
  <c r="C633" i="2"/>
  <c r="F632" i="2"/>
  <c r="G632" i="2" s="1"/>
  <c r="E632" i="2"/>
  <c r="D632" i="2"/>
  <c r="C632" i="2"/>
  <c r="F631" i="2"/>
  <c r="E631" i="2"/>
  <c r="C631" i="2"/>
  <c r="F630" i="2"/>
  <c r="E630" i="2"/>
  <c r="C630" i="2"/>
  <c r="F629" i="2"/>
  <c r="G629" i="2" s="1"/>
  <c r="E629" i="2"/>
  <c r="D629" i="2"/>
  <c r="C629" i="2"/>
  <c r="E628" i="2"/>
  <c r="F628" i="2" s="1"/>
  <c r="G628" i="2" s="1"/>
  <c r="D628" i="2"/>
  <c r="C628" i="2"/>
  <c r="E627" i="2"/>
  <c r="F627" i="2" s="1"/>
  <c r="D627" i="2"/>
  <c r="C627" i="2"/>
  <c r="G627" i="2" s="1"/>
  <c r="E626" i="2"/>
  <c r="F626" i="2" s="1"/>
  <c r="C626" i="2"/>
  <c r="E625" i="2"/>
  <c r="F625" i="2" s="1"/>
  <c r="C625" i="2"/>
  <c r="E624" i="2"/>
  <c r="F624" i="2" s="1"/>
  <c r="C624" i="2"/>
  <c r="E623" i="2"/>
  <c r="F623" i="2" s="1"/>
  <c r="C623" i="2"/>
  <c r="E622" i="2"/>
  <c r="F622" i="2" s="1"/>
  <c r="C622" i="2"/>
  <c r="E621" i="2"/>
  <c r="F621" i="2" s="1"/>
  <c r="C621" i="2"/>
  <c r="E620" i="2"/>
  <c r="F620" i="2" s="1"/>
  <c r="C620" i="2"/>
  <c r="E619" i="2"/>
  <c r="F619" i="2" s="1"/>
  <c r="C619" i="2"/>
  <c r="E618" i="2"/>
  <c r="F618" i="2" s="1"/>
  <c r="C618" i="2"/>
  <c r="E617" i="2"/>
  <c r="F617" i="2" s="1"/>
  <c r="C617" i="2"/>
  <c r="E616" i="2"/>
  <c r="F616" i="2" s="1"/>
  <c r="C616" i="2"/>
  <c r="E615" i="2"/>
  <c r="F615" i="2" s="1"/>
  <c r="C615" i="2"/>
  <c r="E614" i="2"/>
  <c r="F614" i="2" s="1"/>
  <c r="C614" i="2"/>
  <c r="E613" i="2"/>
  <c r="F613" i="2" s="1"/>
  <c r="C613" i="2"/>
  <c r="E612" i="2"/>
  <c r="F612" i="2" s="1"/>
  <c r="C612" i="2"/>
  <c r="E611" i="2"/>
  <c r="F611" i="2" s="1"/>
  <c r="C611" i="2"/>
  <c r="E610" i="2"/>
  <c r="F610" i="2" s="1"/>
  <c r="C610" i="2"/>
  <c r="E609" i="2"/>
  <c r="F609" i="2" s="1"/>
  <c r="C609" i="2"/>
  <c r="E608" i="2"/>
  <c r="F608" i="2" s="1"/>
  <c r="C608" i="2"/>
  <c r="E607" i="2"/>
  <c r="F607" i="2" s="1"/>
  <c r="C607" i="2"/>
  <c r="E606" i="2"/>
  <c r="F606" i="2" s="1"/>
  <c r="C606" i="2"/>
  <c r="E605" i="2"/>
  <c r="F605" i="2" s="1"/>
  <c r="C605" i="2"/>
  <c r="E604" i="2"/>
  <c r="F604" i="2" s="1"/>
  <c r="C604" i="2"/>
  <c r="E603" i="2"/>
  <c r="F603" i="2" s="1"/>
  <c r="C603" i="2"/>
  <c r="E602" i="2"/>
  <c r="F602" i="2" s="1"/>
  <c r="C602" i="2"/>
  <c r="E601" i="2"/>
  <c r="F601" i="2" s="1"/>
  <c r="C601" i="2"/>
  <c r="E600" i="2"/>
  <c r="F600" i="2" s="1"/>
  <c r="C600" i="2"/>
  <c r="E599" i="2"/>
  <c r="F599" i="2" s="1"/>
  <c r="C599" i="2"/>
  <c r="E598" i="2"/>
  <c r="F598" i="2" s="1"/>
  <c r="C598" i="2"/>
  <c r="E597" i="2"/>
  <c r="F597" i="2" s="1"/>
  <c r="C597" i="2"/>
  <c r="E596" i="2"/>
  <c r="F596" i="2" s="1"/>
  <c r="C596" i="2"/>
  <c r="E595" i="2"/>
  <c r="F595" i="2" s="1"/>
  <c r="C595" i="2"/>
  <c r="E594" i="2"/>
  <c r="F594" i="2" s="1"/>
  <c r="C594" i="2"/>
  <c r="E593" i="2"/>
  <c r="F593" i="2" s="1"/>
  <c r="C593" i="2"/>
  <c r="E592" i="2"/>
  <c r="F592" i="2" s="1"/>
  <c r="C592" i="2"/>
  <c r="E591" i="2"/>
  <c r="F591" i="2" s="1"/>
  <c r="C591" i="2"/>
  <c r="E590" i="2"/>
  <c r="F590" i="2" s="1"/>
  <c r="C590" i="2"/>
  <c r="E589" i="2"/>
  <c r="F589" i="2" s="1"/>
  <c r="C589" i="2"/>
  <c r="E588" i="2"/>
  <c r="F588" i="2" s="1"/>
  <c r="C588" i="2"/>
  <c r="E587" i="2"/>
  <c r="F587" i="2" s="1"/>
  <c r="C587" i="2"/>
  <c r="E586" i="2"/>
  <c r="F586" i="2" s="1"/>
  <c r="C586" i="2"/>
  <c r="E585" i="2"/>
  <c r="F585" i="2" s="1"/>
  <c r="C585" i="2"/>
  <c r="E584" i="2"/>
  <c r="F584" i="2" s="1"/>
  <c r="C584" i="2"/>
  <c r="E583" i="2"/>
  <c r="F583" i="2" s="1"/>
  <c r="C583" i="2"/>
  <c r="E582" i="2"/>
  <c r="F582" i="2" s="1"/>
  <c r="C582" i="2"/>
  <c r="E581" i="2"/>
  <c r="F581" i="2" s="1"/>
  <c r="C581" i="2"/>
  <c r="E580" i="2"/>
  <c r="F580" i="2" s="1"/>
  <c r="C580" i="2"/>
  <c r="E579" i="2"/>
  <c r="F579" i="2" s="1"/>
  <c r="C579" i="2"/>
  <c r="E578" i="2"/>
  <c r="F578" i="2" s="1"/>
  <c r="C578" i="2"/>
  <c r="E577" i="2"/>
  <c r="F577" i="2" s="1"/>
  <c r="C577" i="2"/>
  <c r="E576" i="2"/>
  <c r="F576" i="2" s="1"/>
  <c r="C576" i="2"/>
  <c r="E575" i="2"/>
  <c r="F575" i="2" s="1"/>
  <c r="C575" i="2"/>
  <c r="E574" i="2"/>
  <c r="F574" i="2" s="1"/>
  <c r="C574" i="2"/>
  <c r="E573" i="2"/>
  <c r="F573" i="2" s="1"/>
  <c r="C573" i="2"/>
  <c r="E572" i="2"/>
  <c r="F572" i="2" s="1"/>
  <c r="C572" i="2"/>
  <c r="E571" i="2"/>
  <c r="F571" i="2" s="1"/>
  <c r="C571" i="2"/>
  <c r="E570" i="2"/>
  <c r="F570" i="2" s="1"/>
  <c r="C570" i="2"/>
  <c r="E569" i="2"/>
  <c r="F569" i="2" s="1"/>
  <c r="C569" i="2"/>
  <c r="E568" i="2"/>
  <c r="F568" i="2" s="1"/>
  <c r="C568" i="2"/>
  <c r="E567" i="2"/>
  <c r="F567" i="2" s="1"/>
  <c r="C567" i="2"/>
  <c r="E566" i="2"/>
  <c r="F566" i="2" s="1"/>
  <c r="C566" i="2"/>
  <c r="E565" i="2"/>
  <c r="F565" i="2" s="1"/>
  <c r="C565" i="2"/>
  <c r="E564" i="2"/>
  <c r="F564" i="2" s="1"/>
  <c r="C564" i="2"/>
  <c r="E563" i="2"/>
  <c r="F563" i="2" s="1"/>
  <c r="C563" i="2"/>
  <c r="E562" i="2"/>
  <c r="F562" i="2" s="1"/>
  <c r="C562" i="2"/>
  <c r="E561" i="2"/>
  <c r="F561" i="2" s="1"/>
  <c r="C561" i="2"/>
  <c r="E560" i="2"/>
  <c r="F560" i="2" s="1"/>
  <c r="C560" i="2"/>
  <c r="E559" i="2"/>
  <c r="F559" i="2" s="1"/>
  <c r="C559" i="2"/>
  <c r="E558" i="2"/>
  <c r="F558" i="2" s="1"/>
  <c r="C558" i="2"/>
  <c r="E557" i="2"/>
  <c r="F557" i="2" s="1"/>
  <c r="C557" i="2"/>
  <c r="E556" i="2"/>
  <c r="F556" i="2" s="1"/>
  <c r="C556" i="2"/>
  <c r="E555" i="2"/>
  <c r="F555" i="2" s="1"/>
  <c r="C555" i="2"/>
  <c r="E554" i="2"/>
  <c r="F554" i="2" s="1"/>
  <c r="C554" i="2"/>
  <c r="E553" i="2"/>
  <c r="F553" i="2" s="1"/>
  <c r="C553" i="2"/>
  <c r="E552" i="2"/>
  <c r="F552" i="2" s="1"/>
  <c r="C552" i="2"/>
  <c r="E551" i="2"/>
  <c r="F551" i="2" s="1"/>
  <c r="C551" i="2"/>
  <c r="E550" i="2"/>
  <c r="F550" i="2" s="1"/>
  <c r="C550" i="2"/>
  <c r="E549" i="2"/>
  <c r="F549" i="2" s="1"/>
  <c r="C549" i="2"/>
  <c r="E548" i="2"/>
  <c r="F548" i="2" s="1"/>
  <c r="C548" i="2"/>
  <c r="E547" i="2"/>
  <c r="F547" i="2" s="1"/>
  <c r="C547" i="2"/>
  <c r="E546" i="2"/>
  <c r="F546" i="2" s="1"/>
  <c r="C546" i="2"/>
  <c r="E545" i="2"/>
  <c r="F545" i="2" s="1"/>
  <c r="C545" i="2"/>
  <c r="E544" i="2"/>
  <c r="F544" i="2" s="1"/>
  <c r="C544" i="2"/>
  <c r="E543" i="2"/>
  <c r="F543" i="2" s="1"/>
  <c r="C543" i="2"/>
  <c r="E542" i="2"/>
  <c r="F542" i="2" s="1"/>
  <c r="C542" i="2"/>
  <c r="E541" i="2"/>
  <c r="F541" i="2" s="1"/>
  <c r="C541" i="2"/>
  <c r="E540" i="2"/>
  <c r="F540" i="2" s="1"/>
  <c r="C540" i="2"/>
  <c r="E539" i="2"/>
  <c r="F539" i="2" s="1"/>
  <c r="C539" i="2"/>
  <c r="E538" i="2"/>
  <c r="F538" i="2" s="1"/>
  <c r="C538" i="2"/>
  <c r="E537" i="2"/>
  <c r="F537" i="2" s="1"/>
  <c r="C537" i="2"/>
  <c r="E536" i="2"/>
  <c r="F536" i="2" s="1"/>
  <c r="C536" i="2"/>
  <c r="E535" i="2"/>
  <c r="F535" i="2" s="1"/>
  <c r="C535" i="2"/>
  <c r="E534" i="2"/>
  <c r="F534" i="2" s="1"/>
  <c r="C534" i="2"/>
  <c r="E533" i="2"/>
  <c r="F533" i="2" s="1"/>
  <c r="C533" i="2"/>
  <c r="E532" i="2"/>
  <c r="F532" i="2" s="1"/>
  <c r="C532" i="2"/>
  <c r="E531" i="2"/>
  <c r="F531" i="2" s="1"/>
  <c r="C531" i="2"/>
  <c r="E530" i="2"/>
  <c r="F530" i="2" s="1"/>
  <c r="C530" i="2"/>
  <c r="E529" i="2"/>
  <c r="F529" i="2" s="1"/>
  <c r="C529" i="2"/>
  <c r="E528" i="2"/>
  <c r="F528" i="2" s="1"/>
  <c r="C528" i="2"/>
  <c r="E527" i="2"/>
  <c r="F527" i="2" s="1"/>
  <c r="C527" i="2"/>
  <c r="E526" i="2"/>
  <c r="F526" i="2" s="1"/>
  <c r="C526" i="2"/>
  <c r="E525" i="2"/>
  <c r="F525" i="2" s="1"/>
  <c r="C525" i="2"/>
  <c r="E524" i="2"/>
  <c r="F524" i="2" s="1"/>
  <c r="C524" i="2"/>
  <c r="E523" i="2"/>
  <c r="F523" i="2" s="1"/>
  <c r="C523" i="2"/>
  <c r="E522" i="2"/>
  <c r="F522" i="2" s="1"/>
  <c r="C522" i="2"/>
  <c r="E521" i="2"/>
  <c r="F521" i="2" s="1"/>
  <c r="C521" i="2"/>
  <c r="E520" i="2"/>
  <c r="F520" i="2" s="1"/>
  <c r="C520" i="2"/>
  <c r="E519" i="2"/>
  <c r="F519" i="2" s="1"/>
  <c r="C519" i="2"/>
  <c r="E518" i="2"/>
  <c r="F518" i="2" s="1"/>
  <c r="C518" i="2"/>
  <c r="E517" i="2"/>
  <c r="F517" i="2" s="1"/>
  <c r="C517" i="2"/>
  <c r="E516" i="2"/>
  <c r="F516" i="2" s="1"/>
  <c r="C516" i="2"/>
  <c r="E515" i="2"/>
  <c r="F515" i="2" s="1"/>
  <c r="C515" i="2"/>
  <c r="E514" i="2"/>
  <c r="F514" i="2" s="1"/>
  <c r="C514" i="2"/>
  <c r="E513" i="2"/>
  <c r="F513" i="2" s="1"/>
  <c r="C513" i="2"/>
  <c r="E512" i="2"/>
  <c r="F512" i="2" s="1"/>
  <c r="C512" i="2"/>
  <c r="E511" i="2"/>
  <c r="F511" i="2" s="1"/>
  <c r="C511" i="2"/>
  <c r="E510" i="2"/>
  <c r="F510" i="2" s="1"/>
  <c r="C510" i="2"/>
  <c r="E509" i="2"/>
  <c r="F509" i="2" s="1"/>
  <c r="C509" i="2"/>
  <c r="E508" i="2"/>
  <c r="F508" i="2" s="1"/>
  <c r="C508" i="2"/>
  <c r="E507" i="2"/>
  <c r="F507" i="2" s="1"/>
  <c r="C507" i="2"/>
  <c r="E506" i="2"/>
  <c r="F506" i="2" s="1"/>
  <c r="C506" i="2"/>
  <c r="E505" i="2"/>
  <c r="F505" i="2" s="1"/>
  <c r="C505" i="2"/>
  <c r="E504" i="2"/>
  <c r="F504" i="2" s="1"/>
  <c r="C504" i="2"/>
  <c r="E503" i="2"/>
  <c r="F503" i="2" s="1"/>
  <c r="C503" i="2"/>
  <c r="E502" i="2"/>
  <c r="F502" i="2" s="1"/>
  <c r="C502" i="2"/>
  <c r="E501" i="2"/>
  <c r="F501" i="2" s="1"/>
  <c r="C501" i="2"/>
  <c r="E500" i="2"/>
  <c r="F500" i="2" s="1"/>
  <c r="C500" i="2"/>
  <c r="E499" i="2"/>
  <c r="F499" i="2" s="1"/>
  <c r="C499" i="2"/>
  <c r="E498" i="2"/>
  <c r="F498" i="2" s="1"/>
  <c r="C498" i="2"/>
  <c r="E497" i="2"/>
  <c r="F497" i="2" s="1"/>
  <c r="C497" i="2"/>
  <c r="E496" i="2"/>
  <c r="F496" i="2" s="1"/>
  <c r="C496" i="2"/>
  <c r="E495" i="2"/>
  <c r="F495" i="2" s="1"/>
  <c r="C495" i="2"/>
  <c r="E494" i="2"/>
  <c r="F494" i="2" s="1"/>
  <c r="C494" i="2"/>
  <c r="E493" i="2"/>
  <c r="F493" i="2" s="1"/>
  <c r="C493" i="2"/>
  <c r="E492" i="2"/>
  <c r="F492" i="2" s="1"/>
  <c r="C492" i="2"/>
  <c r="E491" i="2"/>
  <c r="F491" i="2" s="1"/>
  <c r="C491" i="2"/>
  <c r="E490" i="2"/>
  <c r="F490" i="2" s="1"/>
  <c r="C490" i="2"/>
  <c r="E489" i="2"/>
  <c r="F489" i="2" s="1"/>
  <c r="C489" i="2"/>
  <c r="E488" i="2"/>
  <c r="F488" i="2" s="1"/>
  <c r="C488" i="2"/>
  <c r="E487" i="2"/>
  <c r="F487" i="2" s="1"/>
  <c r="C487" i="2"/>
  <c r="E486" i="2"/>
  <c r="F486" i="2" s="1"/>
  <c r="C486" i="2"/>
  <c r="E485" i="2"/>
  <c r="F485" i="2" s="1"/>
  <c r="C485" i="2"/>
  <c r="E484" i="2"/>
  <c r="F484" i="2" s="1"/>
  <c r="C484" i="2"/>
  <c r="E483" i="2"/>
  <c r="F483" i="2" s="1"/>
  <c r="C483" i="2"/>
  <c r="E482" i="2"/>
  <c r="F482" i="2" s="1"/>
  <c r="C482" i="2"/>
  <c r="E481" i="2"/>
  <c r="F481" i="2" s="1"/>
  <c r="C481" i="2"/>
  <c r="E480" i="2"/>
  <c r="F480" i="2" s="1"/>
  <c r="C480" i="2"/>
  <c r="E479" i="2"/>
  <c r="F479" i="2" s="1"/>
  <c r="C479" i="2"/>
  <c r="E478" i="2"/>
  <c r="F478" i="2" s="1"/>
  <c r="C478" i="2"/>
  <c r="E477" i="2"/>
  <c r="F477" i="2" s="1"/>
  <c r="C477" i="2"/>
  <c r="E476" i="2"/>
  <c r="F476" i="2" s="1"/>
  <c r="C476" i="2"/>
  <c r="E475" i="2"/>
  <c r="F475" i="2" s="1"/>
  <c r="C475" i="2"/>
  <c r="E474" i="2"/>
  <c r="F474" i="2" s="1"/>
  <c r="C474" i="2"/>
  <c r="E473" i="2"/>
  <c r="F473" i="2" s="1"/>
  <c r="C473" i="2"/>
  <c r="E472" i="2"/>
  <c r="F472" i="2" s="1"/>
  <c r="C472" i="2"/>
  <c r="E471" i="2"/>
  <c r="F471" i="2" s="1"/>
  <c r="C471" i="2"/>
  <c r="E470" i="2"/>
  <c r="F470" i="2" s="1"/>
  <c r="C470" i="2"/>
  <c r="E469" i="2"/>
  <c r="F469" i="2" s="1"/>
  <c r="C469" i="2"/>
  <c r="E468" i="2"/>
  <c r="F468" i="2" s="1"/>
  <c r="C468" i="2"/>
  <c r="E467" i="2"/>
  <c r="F467" i="2" s="1"/>
  <c r="C467" i="2"/>
  <c r="E466" i="2"/>
  <c r="F466" i="2" s="1"/>
  <c r="C466" i="2"/>
  <c r="E465" i="2"/>
  <c r="F465" i="2" s="1"/>
  <c r="C465" i="2"/>
  <c r="E464" i="2"/>
  <c r="F464" i="2" s="1"/>
  <c r="C464" i="2"/>
  <c r="E463" i="2"/>
  <c r="F463" i="2" s="1"/>
  <c r="C463" i="2"/>
  <c r="E462" i="2"/>
  <c r="F462" i="2" s="1"/>
  <c r="C462" i="2"/>
  <c r="E461" i="2"/>
  <c r="F461" i="2" s="1"/>
  <c r="C461" i="2"/>
  <c r="E460" i="2"/>
  <c r="F460" i="2" s="1"/>
  <c r="C460" i="2"/>
  <c r="E459" i="2"/>
  <c r="F459" i="2" s="1"/>
  <c r="C459" i="2"/>
  <c r="E458" i="2"/>
  <c r="F458" i="2" s="1"/>
  <c r="C458" i="2"/>
  <c r="E457" i="2"/>
  <c r="F457" i="2" s="1"/>
  <c r="C457" i="2"/>
  <c r="E456" i="2"/>
  <c r="F456" i="2" s="1"/>
  <c r="C456" i="2"/>
  <c r="E455" i="2"/>
  <c r="F455" i="2" s="1"/>
  <c r="C455" i="2"/>
  <c r="E454" i="2"/>
  <c r="F454" i="2" s="1"/>
  <c r="C454" i="2"/>
  <c r="E453" i="2"/>
  <c r="F453" i="2" s="1"/>
  <c r="C453" i="2"/>
  <c r="E452" i="2"/>
  <c r="F452" i="2" s="1"/>
  <c r="C452" i="2"/>
  <c r="E451" i="2"/>
  <c r="F451" i="2" s="1"/>
  <c r="C451" i="2"/>
  <c r="E450" i="2"/>
  <c r="F450" i="2" s="1"/>
  <c r="C450" i="2"/>
  <c r="E449" i="2"/>
  <c r="F449" i="2" s="1"/>
  <c r="C449" i="2"/>
  <c r="E448" i="2"/>
  <c r="F448" i="2" s="1"/>
  <c r="C448" i="2"/>
  <c r="E447" i="2"/>
  <c r="F447" i="2" s="1"/>
  <c r="C447" i="2"/>
  <c r="E446" i="2"/>
  <c r="F446" i="2" s="1"/>
  <c r="C446" i="2"/>
  <c r="E445" i="2"/>
  <c r="F445" i="2" s="1"/>
  <c r="C445" i="2"/>
  <c r="E444" i="2"/>
  <c r="F444" i="2" s="1"/>
  <c r="C444" i="2"/>
  <c r="E443" i="2"/>
  <c r="F443" i="2" s="1"/>
  <c r="C443" i="2"/>
  <c r="E442" i="2"/>
  <c r="F442" i="2" s="1"/>
  <c r="C442" i="2"/>
  <c r="E441" i="2"/>
  <c r="F441" i="2" s="1"/>
  <c r="C441" i="2"/>
  <c r="E440" i="2"/>
  <c r="F440" i="2" s="1"/>
  <c r="C440" i="2"/>
  <c r="E439" i="2"/>
  <c r="F439" i="2" s="1"/>
  <c r="C439" i="2"/>
  <c r="E438" i="2"/>
  <c r="F438" i="2" s="1"/>
  <c r="C438" i="2"/>
  <c r="E437" i="2"/>
  <c r="F437" i="2" s="1"/>
  <c r="C437" i="2"/>
  <c r="E436" i="2"/>
  <c r="F436" i="2" s="1"/>
  <c r="C436" i="2"/>
  <c r="E435" i="2"/>
  <c r="F435" i="2" s="1"/>
  <c r="C435" i="2"/>
  <c r="E434" i="2"/>
  <c r="F434" i="2" s="1"/>
  <c r="C434" i="2"/>
  <c r="E433" i="2"/>
  <c r="F433" i="2" s="1"/>
  <c r="C433" i="2"/>
  <c r="E432" i="2"/>
  <c r="F432" i="2" s="1"/>
  <c r="C432" i="2"/>
  <c r="E431" i="2"/>
  <c r="F431" i="2" s="1"/>
  <c r="C431" i="2"/>
  <c r="E430" i="2"/>
  <c r="F430" i="2" s="1"/>
  <c r="C430" i="2"/>
  <c r="E429" i="2"/>
  <c r="F429" i="2" s="1"/>
  <c r="C429" i="2"/>
  <c r="E428" i="2"/>
  <c r="F428" i="2" s="1"/>
  <c r="C428" i="2"/>
  <c r="E427" i="2"/>
  <c r="F427" i="2" s="1"/>
  <c r="C427" i="2"/>
  <c r="E426" i="2"/>
  <c r="F426" i="2" s="1"/>
  <c r="C426" i="2"/>
  <c r="E425" i="2"/>
  <c r="F425" i="2" s="1"/>
  <c r="C425" i="2"/>
  <c r="E424" i="2"/>
  <c r="F424" i="2" s="1"/>
  <c r="C424" i="2"/>
  <c r="E423" i="2"/>
  <c r="F423" i="2" s="1"/>
  <c r="C423" i="2"/>
  <c r="E422" i="2"/>
  <c r="F422" i="2" s="1"/>
  <c r="C422" i="2"/>
  <c r="E421" i="2"/>
  <c r="F421" i="2" s="1"/>
  <c r="C421" i="2"/>
  <c r="E420" i="2"/>
  <c r="F420" i="2" s="1"/>
  <c r="C420" i="2"/>
  <c r="E419" i="2"/>
  <c r="F419" i="2" s="1"/>
  <c r="C419" i="2"/>
  <c r="E418" i="2"/>
  <c r="F418" i="2" s="1"/>
  <c r="C418" i="2"/>
  <c r="E417" i="2"/>
  <c r="F417" i="2" s="1"/>
  <c r="C417" i="2"/>
  <c r="E416" i="2"/>
  <c r="F416" i="2" s="1"/>
  <c r="C416" i="2"/>
  <c r="E415" i="2"/>
  <c r="F415" i="2" s="1"/>
  <c r="C415" i="2"/>
  <c r="E414" i="2"/>
  <c r="F414" i="2" s="1"/>
  <c r="C414" i="2"/>
  <c r="E413" i="2"/>
  <c r="F413" i="2" s="1"/>
  <c r="C413" i="2"/>
  <c r="E412" i="2"/>
  <c r="F412" i="2" s="1"/>
  <c r="C412" i="2"/>
  <c r="E411" i="2"/>
  <c r="F411" i="2" s="1"/>
  <c r="C411" i="2"/>
  <c r="E410" i="2"/>
  <c r="F410" i="2" s="1"/>
  <c r="C410" i="2"/>
  <c r="E409" i="2"/>
  <c r="F409" i="2" s="1"/>
  <c r="C409" i="2"/>
  <c r="E408" i="2"/>
  <c r="F408" i="2" s="1"/>
  <c r="C408" i="2"/>
  <c r="E407" i="2"/>
  <c r="F407" i="2" s="1"/>
  <c r="C407" i="2"/>
  <c r="E406" i="2"/>
  <c r="F406" i="2" s="1"/>
  <c r="C406" i="2"/>
  <c r="E405" i="2"/>
  <c r="F405" i="2" s="1"/>
  <c r="C405" i="2"/>
  <c r="E404" i="2"/>
  <c r="F404" i="2" s="1"/>
  <c r="C404" i="2"/>
  <c r="E403" i="2"/>
  <c r="F403" i="2" s="1"/>
  <c r="C403" i="2"/>
  <c r="E402" i="2"/>
  <c r="F402" i="2" s="1"/>
  <c r="C402" i="2"/>
  <c r="E401" i="2"/>
  <c r="F401" i="2" s="1"/>
  <c r="C401" i="2"/>
  <c r="E400" i="2"/>
  <c r="F400" i="2" s="1"/>
  <c r="C400" i="2"/>
  <c r="E399" i="2"/>
  <c r="F399" i="2" s="1"/>
  <c r="C399" i="2"/>
  <c r="E398" i="2"/>
  <c r="F398" i="2" s="1"/>
  <c r="C398" i="2"/>
  <c r="E397" i="2"/>
  <c r="F397" i="2" s="1"/>
  <c r="C397" i="2"/>
  <c r="E396" i="2"/>
  <c r="F396" i="2" s="1"/>
  <c r="C396" i="2"/>
  <c r="E395" i="2"/>
  <c r="F395" i="2" s="1"/>
  <c r="C395" i="2"/>
  <c r="E394" i="2"/>
  <c r="F394" i="2" s="1"/>
  <c r="C394" i="2"/>
  <c r="E393" i="2"/>
  <c r="F393" i="2" s="1"/>
  <c r="C393" i="2"/>
  <c r="E392" i="2"/>
  <c r="F392" i="2" s="1"/>
  <c r="C392" i="2"/>
  <c r="E391" i="2"/>
  <c r="F391" i="2" s="1"/>
  <c r="C391" i="2"/>
  <c r="E390" i="2"/>
  <c r="F390" i="2" s="1"/>
  <c r="C390" i="2"/>
  <c r="E389" i="2"/>
  <c r="F389" i="2" s="1"/>
  <c r="C389" i="2"/>
  <c r="E388" i="2"/>
  <c r="F388" i="2" s="1"/>
  <c r="C388" i="2"/>
  <c r="E387" i="2"/>
  <c r="F387" i="2" s="1"/>
  <c r="C387" i="2"/>
  <c r="E386" i="2"/>
  <c r="F386" i="2" s="1"/>
  <c r="C386" i="2"/>
  <c r="E385" i="2"/>
  <c r="F385" i="2" s="1"/>
  <c r="C385" i="2"/>
  <c r="E384" i="2"/>
  <c r="F384" i="2" s="1"/>
  <c r="C384" i="2"/>
  <c r="E383" i="2"/>
  <c r="F383" i="2" s="1"/>
  <c r="C383" i="2"/>
  <c r="E382" i="2"/>
  <c r="F382" i="2" s="1"/>
  <c r="C382" i="2"/>
  <c r="E381" i="2"/>
  <c r="F381" i="2" s="1"/>
  <c r="C381" i="2"/>
  <c r="E380" i="2"/>
  <c r="F380" i="2" s="1"/>
  <c r="C380" i="2"/>
  <c r="E379" i="2"/>
  <c r="F379" i="2" s="1"/>
  <c r="C379" i="2"/>
  <c r="E378" i="2"/>
  <c r="F378" i="2" s="1"/>
  <c r="C378" i="2"/>
  <c r="E377" i="2"/>
  <c r="F377" i="2" s="1"/>
  <c r="C377" i="2"/>
  <c r="E376" i="2"/>
  <c r="F376" i="2" s="1"/>
  <c r="C376" i="2"/>
  <c r="E375" i="2"/>
  <c r="F375" i="2" s="1"/>
  <c r="C375" i="2"/>
  <c r="E374" i="2"/>
  <c r="F374" i="2" s="1"/>
  <c r="C374" i="2"/>
  <c r="E373" i="2"/>
  <c r="F373" i="2" s="1"/>
  <c r="C373" i="2"/>
  <c r="E372" i="2"/>
  <c r="F372" i="2" s="1"/>
  <c r="C372" i="2"/>
  <c r="E371" i="2"/>
  <c r="F371" i="2" s="1"/>
  <c r="C371" i="2"/>
  <c r="E370" i="2"/>
  <c r="F370" i="2" s="1"/>
  <c r="C370" i="2"/>
  <c r="E369" i="2"/>
  <c r="F369" i="2" s="1"/>
  <c r="C369" i="2"/>
  <c r="E368" i="2"/>
  <c r="F368" i="2" s="1"/>
  <c r="C368" i="2"/>
  <c r="E367" i="2"/>
  <c r="F367" i="2" s="1"/>
  <c r="C367" i="2"/>
  <c r="E366" i="2"/>
  <c r="F366" i="2" s="1"/>
  <c r="C366" i="2"/>
  <c r="E365" i="2"/>
  <c r="F365" i="2" s="1"/>
  <c r="C365" i="2"/>
  <c r="E364" i="2"/>
  <c r="F364" i="2" s="1"/>
  <c r="C364" i="2"/>
  <c r="E363" i="2"/>
  <c r="F363" i="2" s="1"/>
  <c r="C363" i="2"/>
  <c r="E362" i="2"/>
  <c r="F362" i="2" s="1"/>
  <c r="C362" i="2"/>
  <c r="E361" i="2"/>
  <c r="F361" i="2" s="1"/>
  <c r="C361" i="2"/>
  <c r="E360" i="2"/>
  <c r="F360" i="2" s="1"/>
  <c r="C360" i="2"/>
  <c r="E359" i="2"/>
  <c r="F359" i="2" s="1"/>
  <c r="C359" i="2"/>
  <c r="E358" i="2"/>
  <c r="F358" i="2" s="1"/>
  <c r="C358" i="2"/>
  <c r="E357" i="2"/>
  <c r="F357" i="2" s="1"/>
  <c r="C357" i="2"/>
  <c r="E356" i="2"/>
  <c r="F356" i="2" s="1"/>
  <c r="C356" i="2"/>
  <c r="E355" i="2"/>
  <c r="F355" i="2" s="1"/>
  <c r="C355" i="2"/>
  <c r="E354" i="2"/>
  <c r="F354" i="2" s="1"/>
  <c r="C354" i="2"/>
  <c r="E353" i="2"/>
  <c r="F353" i="2" s="1"/>
  <c r="C353" i="2"/>
  <c r="E352" i="2"/>
  <c r="F352" i="2" s="1"/>
  <c r="C352" i="2"/>
  <c r="E351" i="2"/>
  <c r="F351" i="2" s="1"/>
  <c r="C351" i="2"/>
  <c r="E350" i="2"/>
  <c r="F350" i="2" s="1"/>
  <c r="C350" i="2"/>
  <c r="E349" i="2"/>
  <c r="F349" i="2" s="1"/>
  <c r="C349" i="2"/>
  <c r="E348" i="2"/>
  <c r="F348" i="2" s="1"/>
  <c r="C348" i="2"/>
  <c r="E347" i="2"/>
  <c r="F347" i="2" s="1"/>
  <c r="C347" i="2"/>
  <c r="E346" i="2"/>
  <c r="F346" i="2" s="1"/>
  <c r="C346" i="2"/>
  <c r="E345" i="2"/>
  <c r="F345" i="2" s="1"/>
  <c r="C345" i="2"/>
  <c r="E344" i="2"/>
  <c r="F344" i="2" s="1"/>
  <c r="C344" i="2"/>
  <c r="E343" i="2"/>
  <c r="F343" i="2" s="1"/>
  <c r="C343" i="2"/>
  <c r="E342" i="2"/>
  <c r="F342" i="2" s="1"/>
  <c r="C342" i="2"/>
  <c r="E341" i="2"/>
  <c r="F341" i="2" s="1"/>
  <c r="C341" i="2"/>
  <c r="E340" i="2"/>
  <c r="F340" i="2" s="1"/>
  <c r="C340" i="2"/>
  <c r="E339" i="2"/>
  <c r="F339" i="2" s="1"/>
  <c r="C339" i="2"/>
  <c r="E338" i="2"/>
  <c r="F338" i="2" s="1"/>
  <c r="C338" i="2"/>
  <c r="E337" i="2"/>
  <c r="F337" i="2" s="1"/>
  <c r="C337" i="2"/>
  <c r="E336" i="2"/>
  <c r="F336" i="2" s="1"/>
  <c r="C336" i="2"/>
  <c r="E335" i="2"/>
  <c r="F335" i="2" s="1"/>
  <c r="C335" i="2"/>
  <c r="E334" i="2"/>
  <c r="F334" i="2" s="1"/>
  <c r="C334" i="2"/>
  <c r="E333" i="2"/>
  <c r="F333" i="2" s="1"/>
  <c r="C333" i="2"/>
  <c r="E332" i="2"/>
  <c r="F332" i="2" s="1"/>
  <c r="C332" i="2"/>
  <c r="E331" i="2"/>
  <c r="F331" i="2" s="1"/>
  <c r="C331" i="2"/>
  <c r="E330" i="2"/>
  <c r="F330" i="2" s="1"/>
  <c r="C330" i="2"/>
  <c r="E329" i="2"/>
  <c r="F329" i="2" s="1"/>
  <c r="C329" i="2"/>
  <c r="E328" i="2"/>
  <c r="F328" i="2" s="1"/>
  <c r="C328" i="2"/>
  <c r="E327" i="2"/>
  <c r="F327" i="2" s="1"/>
  <c r="C327" i="2"/>
  <c r="E326" i="2"/>
  <c r="F326" i="2" s="1"/>
  <c r="C326" i="2"/>
  <c r="E325" i="2"/>
  <c r="F325" i="2" s="1"/>
  <c r="C325" i="2"/>
  <c r="E324" i="2"/>
  <c r="F324" i="2" s="1"/>
  <c r="C324" i="2"/>
  <c r="E323" i="2"/>
  <c r="F323" i="2" s="1"/>
  <c r="C323" i="2"/>
  <c r="E322" i="2"/>
  <c r="F322" i="2" s="1"/>
  <c r="C322" i="2"/>
  <c r="E321" i="2"/>
  <c r="F321" i="2" s="1"/>
  <c r="C321" i="2"/>
  <c r="E320" i="2"/>
  <c r="F320" i="2" s="1"/>
  <c r="C320" i="2"/>
  <c r="E319" i="2"/>
  <c r="F319" i="2" s="1"/>
  <c r="C319" i="2"/>
  <c r="E318" i="2"/>
  <c r="F318" i="2" s="1"/>
  <c r="C318" i="2"/>
  <c r="E317" i="2"/>
  <c r="F317" i="2" s="1"/>
  <c r="C317" i="2"/>
  <c r="E316" i="2"/>
  <c r="F316" i="2" s="1"/>
  <c r="C316" i="2"/>
  <c r="E315" i="2"/>
  <c r="F315" i="2" s="1"/>
  <c r="C315" i="2"/>
  <c r="E314" i="2"/>
  <c r="F314" i="2" s="1"/>
  <c r="C314" i="2"/>
  <c r="E313" i="2"/>
  <c r="F313" i="2" s="1"/>
  <c r="C313" i="2"/>
  <c r="E312" i="2"/>
  <c r="F312" i="2" s="1"/>
  <c r="C312" i="2"/>
  <c r="E311" i="2"/>
  <c r="F311" i="2" s="1"/>
  <c r="C311" i="2"/>
  <c r="E310" i="2"/>
  <c r="F310" i="2" s="1"/>
  <c r="C310" i="2"/>
  <c r="E309" i="2"/>
  <c r="F309" i="2" s="1"/>
  <c r="C309" i="2"/>
  <c r="E308" i="2"/>
  <c r="F308" i="2" s="1"/>
  <c r="C308" i="2"/>
  <c r="E307" i="2"/>
  <c r="F307" i="2" s="1"/>
  <c r="C307" i="2"/>
  <c r="E306" i="2"/>
  <c r="F306" i="2" s="1"/>
  <c r="C306" i="2"/>
  <c r="E305" i="2"/>
  <c r="F305" i="2" s="1"/>
  <c r="C305" i="2"/>
  <c r="E304" i="2"/>
  <c r="F304" i="2" s="1"/>
  <c r="C304" i="2"/>
  <c r="E303" i="2"/>
  <c r="F303" i="2" s="1"/>
  <c r="C303" i="2"/>
  <c r="E302" i="2"/>
  <c r="F302" i="2" s="1"/>
  <c r="C302" i="2"/>
  <c r="E301" i="2"/>
  <c r="F301" i="2" s="1"/>
  <c r="C301" i="2"/>
  <c r="E300" i="2"/>
  <c r="F300" i="2" s="1"/>
  <c r="C300" i="2"/>
  <c r="E299" i="2"/>
  <c r="F299" i="2" s="1"/>
  <c r="C299" i="2"/>
  <c r="E298" i="2"/>
  <c r="F298" i="2" s="1"/>
  <c r="C298" i="2"/>
  <c r="E297" i="2"/>
  <c r="F297" i="2" s="1"/>
  <c r="C297" i="2"/>
  <c r="E296" i="2"/>
  <c r="F296" i="2" s="1"/>
  <c r="C296" i="2"/>
  <c r="E295" i="2"/>
  <c r="F295" i="2" s="1"/>
  <c r="C295" i="2"/>
  <c r="E294" i="2"/>
  <c r="F294" i="2" s="1"/>
  <c r="C294" i="2"/>
  <c r="E293" i="2"/>
  <c r="F293" i="2" s="1"/>
  <c r="C293" i="2"/>
  <c r="E292" i="2"/>
  <c r="F292" i="2" s="1"/>
  <c r="C292" i="2"/>
  <c r="E291" i="2"/>
  <c r="F291" i="2" s="1"/>
  <c r="C291" i="2"/>
  <c r="E290" i="2"/>
  <c r="F290" i="2" s="1"/>
  <c r="C290" i="2"/>
  <c r="E289" i="2"/>
  <c r="F289" i="2" s="1"/>
  <c r="C289" i="2"/>
  <c r="E288" i="2"/>
  <c r="F288" i="2" s="1"/>
  <c r="C288" i="2"/>
  <c r="E287" i="2"/>
  <c r="F287" i="2" s="1"/>
  <c r="C287" i="2"/>
  <c r="E286" i="2"/>
  <c r="F286" i="2" s="1"/>
  <c r="C286" i="2"/>
  <c r="E285" i="2"/>
  <c r="F285" i="2" s="1"/>
  <c r="C285" i="2"/>
  <c r="E284" i="2"/>
  <c r="F284" i="2" s="1"/>
  <c r="C284" i="2"/>
  <c r="E283" i="2"/>
  <c r="F283" i="2" s="1"/>
  <c r="C283" i="2"/>
  <c r="E282" i="2"/>
  <c r="F282" i="2" s="1"/>
  <c r="C282" i="2"/>
  <c r="E281" i="2"/>
  <c r="F281" i="2" s="1"/>
  <c r="C281" i="2"/>
  <c r="E280" i="2"/>
  <c r="F280" i="2" s="1"/>
  <c r="C280" i="2"/>
  <c r="E279" i="2"/>
  <c r="F279" i="2" s="1"/>
  <c r="C279" i="2"/>
  <c r="E278" i="2"/>
  <c r="F278" i="2" s="1"/>
  <c r="C278" i="2"/>
  <c r="E277" i="2"/>
  <c r="F277" i="2" s="1"/>
  <c r="C277" i="2"/>
  <c r="E276" i="2"/>
  <c r="F276" i="2" s="1"/>
  <c r="C276" i="2"/>
  <c r="E275" i="2"/>
  <c r="F275" i="2" s="1"/>
  <c r="C275" i="2"/>
  <c r="E274" i="2"/>
  <c r="F274" i="2" s="1"/>
  <c r="C274" i="2"/>
  <c r="E273" i="2"/>
  <c r="F273" i="2" s="1"/>
  <c r="C273" i="2"/>
  <c r="E272" i="2"/>
  <c r="F272" i="2" s="1"/>
  <c r="C272" i="2"/>
  <c r="E271" i="2"/>
  <c r="F271" i="2" s="1"/>
  <c r="C271" i="2"/>
  <c r="E270" i="2"/>
  <c r="F270" i="2" s="1"/>
  <c r="C270" i="2"/>
  <c r="E269" i="2"/>
  <c r="F269" i="2" s="1"/>
  <c r="C269" i="2"/>
  <c r="E268" i="2"/>
  <c r="F268" i="2" s="1"/>
  <c r="C268" i="2"/>
  <c r="E267" i="2"/>
  <c r="F267" i="2" s="1"/>
  <c r="C267" i="2"/>
  <c r="E266" i="2"/>
  <c r="F266" i="2" s="1"/>
  <c r="C266" i="2"/>
  <c r="E265" i="2"/>
  <c r="F265" i="2" s="1"/>
  <c r="C265" i="2"/>
  <c r="E264" i="2"/>
  <c r="F264" i="2" s="1"/>
  <c r="C264" i="2"/>
  <c r="E263" i="2"/>
  <c r="F263" i="2" s="1"/>
  <c r="C263" i="2"/>
  <c r="E262" i="2"/>
  <c r="F262" i="2" s="1"/>
  <c r="C262" i="2"/>
  <c r="E261" i="2"/>
  <c r="F261" i="2" s="1"/>
  <c r="C261" i="2"/>
  <c r="E260" i="2"/>
  <c r="F260" i="2" s="1"/>
  <c r="C260" i="2"/>
  <c r="E259" i="2"/>
  <c r="F259" i="2" s="1"/>
  <c r="C259" i="2"/>
  <c r="E258" i="2"/>
  <c r="F258" i="2" s="1"/>
  <c r="C258" i="2"/>
  <c r="E257" i="2"/>
  <c r="F257" i="2" s="1"/>
  <c r="C257" i="2"/>
  <c r="E256" i="2"/>
  <c r="F256" i="2" s="1"/>
  <c r="C256" i="2"/>
  <c r="E255" i="2"/>
  <c r="F255" i="2" s="1"/>
  <c r="C255" i="2"/>
  <c r="E254" i="2"/>
  <c r="F254" i="2" s="1"/>
  <c r="C254" i="2"/>
  <c r="E253" i="2"/>
  <c r="F253" i="2" s="1"/>
  <c r="C253" i="2"/>
  <c r="E252" i="2"/>
  <c r="F252" i="2" s="1"/>
  <c r="C252" i="2"/>
  <c r="E251" i="2"/>
  <c r="F251" i="2" s="1"/>
  <c r="C251" i="2"/>
  <c r="E250" i="2"/>
  <c r="F250" i="2" s="1"/>
  <c r="C250" i="2"/>
  <c r="E249" i="2"/>
  <c r="F249" i="2" s="1"/>
  <c r="C249" i="2"/>
  <c r="E248" i="2"/>
  <c r="F248" i="2" s="1"/>
  <c r="C248" i="2"/>
  <c r="E247" i="2"/>
  <c r="F247" i="2" s="1"/>
  <c r="C247" i="2"/>
  <c r="E246" i="2"/>
  <c r="F246" i="2" s="1"/>
  <c r="C246" i="2"/>
  <c r="E245" i="2"/>
  <c r="F245" i="2" s="1"/>
  <c r="C245" i="2"/>
  <c r="E244" i="2"/>
  <c r="F244" i="2" s="1"/>
  <c r="C244" i="2"/>
  <c r="E243" i="2"/>
  <c r="F243" i="2" s="1"/>
  <c r="C243" i="2"/>
  <c r="E242" i="2"/>
  <c r="F242" i="2" s="1"/>
  <c r="C242" i="2"/>
  <c r="E241" i="2"/>
  <c r="F241" i="2" s="1"/>
  <c r="C241" i="2"/>
  <c r="E240" i="2"/>
  <c r="F240" i="2" s="1"/>
  <c r="C240" i="2"/>
  <c r="E239" i="2"/>
  <c r="F239" i="2" s="1"/>
  <c r="C239" i="2"/>
  <c r="E238" i="2"/>
  <c r="F238" i="2" s="1"/>
  <c r="C238" i="2"/>
  <c r="E237" i="2"/>
  <c r="F237" i="2" s="1"/>
  <c r="C237" i="2"/>
  <c r="E236" i="2"/>
  <c r="F236" i="2" s="1"/>
  <c r="C236" i="2"/>
  <c r="E235" i="2"/>
  <c r="F235" i="2" s="1"/>
  <c r="C235" i="2"/>
  <c r="E234" i="2"/>
  <c r="F234" i="2" s="1"/>
  <c r="C234" i="2"/>
  <c r="E233" i="2"/>
  <c r="F233" i="2" s="1"/>
  <c r="C233" i="2"/>
  <c r="E232" i="2"/>
  <c r="F232" i="2" s="1"/>
  <c r="C232" i="2"/>
  <c r="E231" i="2"/>
  <c r="F231" i="2" s="1"/>
  <c r="C231" i="2"/>
  <c r="E230" i="2"/>
  <c r="F230" i="2" s="1"/>
  <c r="C230" i="2"/>
  <c r="E229" i="2"/>
  <c r="F229" i="2" s="1"/>
  <c r="C229" i="2"/>
  <c r="E228" i="2"/>
  <c r="F228" i="2" s="1"/>
  <c r="C228" i="2"/>
  <c r="E227" i="2"/>
  <c r="F227" i="2" s="1"/>
  <c r="C227" i="2"/>
  <c r="E226" i="2"/>
  <c r="F226" i="2" s="1"/>
  <c r="C226" i="2"/>
  <c r="E225" i="2"/>
  <c r="F225" i="2" s="1"/>
  <c r="C225" i="2"/>
  <c r="E224" i="2"/>
  <c r="F224" i="2" s="1"/>
  <c r="C224" i="2"/>
  <c r="E223" i="2"/>
  <c r="F223" i="2" s="1"/>
  <c r="C223" i="2"/>
  <c r="E222" i="2"/>
  <c r="F222" i="2" s="1"/>
  <c r="C222" i="2"/>
  <c r="E221" i="2"/>
  <c r="F221" i="2" s="1"/>
  <c r="C221" i="2"/>
  <c r="E220" i="2"/>
  <c r="F220" i="2" s="1"/>
  <c r="C220" i="2"/>
  <c r="E219" i="2"/>
  <c r="F219" i="2" s="1"/>
  <c r="C219" i="2"/>
  <c r="E218" i="2"/>
  <c r="F218" i="2" s="1"/>
  <c r="C218" i="2"/>
  <c r="E217" i="2"/>
  <c r="F217" i="2" s="1"/>
  <c r="C217" i="2"/>
  <c r="E216" i="2"/>
  <c r="F216" i="2" s="1"/>
  <c r="C216" i="2"/>
  <c r="E215" i="2"/>
  <c r="F215" i="2" s="1"/>
  <c r="C215" i="2"/>
  <c r="E214" i="2"/>
  <c r="F214" i="2" s="1"/>
  <c r="C214" i="2"/>
  <c r="E213" i="2"/>
  <c r="F213" i="2" s="1"/>
  <c r="C213" i="2"/>
  <c r="E212" i="2"/>
  <c r="F212" i="2" s="1"/>
  <c r="C212" i="2"/>
  <c r="E211" i="2"/>
  <c r="F211" i="2" s="1"/>
  <c r="C211" i="2"/>
  <c r="E210" i="2"/>
  <c r="F210" i="2" s="1"/>
  <c r="C210" i="2"/>
  <c r="E209" i="2"/>
  <c r="F209" i="2" s="1"/>
  <c r="C209" i="2"/>
  <c r="E208" i="2"/>
  <c r="F208" i="2" s="1"/>
  <c r="C208" i="2"/>
  <c r="E207" i="2"/>
  <c r="F207" i="2" s="1"/>
  <c r="C207" i="2"/>
  <c r="E206" i="2"/>
  <c r="F206" i="2" s="1"/>
  <c r="C206" i="2"/>
  <c r="E205" i="2"/>
  <c r="F205" i="2" s="1"/>
  <c r="C205" i="2"/>
  <c r="E204" i="2"/>
  <c r="F204" i="2" s="1"/>
  <c r="C204" i="2"/>
  <c r="E203" i="2"/>
  <c r="F203" i="2" s="1"/>
  <c r="C203" i="2"/>
  <c r="E202" i="2"/>
  <c r="F202" i="2" s="1"/>
  <c r="C202" i="2"/>
  <c r="E201" i="2"/>
  <c r="F201" i="2" s="1"/>
  <c r="C201" i="2"/>
  <c r="E200" i="2"/>
  <c r="F200" i="2" s="1"/>
  <c r="C200" i="2"/>
  <c r="E199" i="2"/>
  <c r="F199" i="2" s="1"/>
  <c r="C199" i="2"/>
  <c r="E198" i="2"/>
  <c r="F198" i="2" s="1"/>
  <c r="C198" i="2"/>
  <c r="E197" i="2"/>
  <c r="F197" i="2" s="1"/>
  <c r="C197" i="2"/>
  <c r="E196" i="2"/>
  <c r="F196" i="2" s="1"/>
  <c r="C196" i="2"/>
  <c r="E195" i="2"/>
  <c r="F195" i="2" s="1"/>
  <c r="C195" i="2"/>
  <c r="E194" i="2"/>
  <c r="F194" i="2" s="1"/>
  <c r="C194" i="2"/>
  <c r="E193" i="2"/>
  <c r="F193" i="2" s="1"/>
  <c r="C193" i="2"/>
  <c r="E192" i="2"/>
  <c r="F192" i="2" s="1"/>
  <c r="C192" i="2"/>
  <c r="E191" i="2"/>
  <c r="F191" i="2" s="1"/>
  <c r="C191" i="2"/>
  <c r="E190" i="2"/>
  <c r="F190" i="2" s="1"/>
  <c r="C190" i="2"/>
  <c r="E189" i="2"/>
  <c r="F189" i="2" s="1"/>
  <c r="C189" i="2"/>
  <c r="E188" i="2"/>
  <c r="F188" i="2" s="1"/>
  <c r="C188" i="2"/>
  <c r="E187" i="2"/>
  <c r="F187" i="2" s="1"/>
  <c r="C187" i="2"/>
  <c r="E186" i="2"/>
  <c r="F186" i="2" s="1"/>
  <c r="C186" i="2"/>
  <c r="E185" i="2"/>
  <c r="F185" i="2" s="1"/>
  <c r="C185" i="2"/>
  <c r="E184" i="2"/>
  <c r="F184" i="2" s="1"/>
  <c r="C184" i="2"/>
  <c r="E183" i="2"/>
  <c r="F183" i="2" s="1"/>
  <c r="C183" i="2"/>
  <c r="E182" i="2"/>
  <c r="F182" i="2" s="1"/>
  <c r="C182" i="2"/>
  <c r="E181" i="2"/>
  <c r="F181" i="2" s="1"/>
  <c r="C181" i="2"/>
  <c r="E180" i="2"/>
  <c r="F180" i="2" s="1"/>
  <c r="C180" i="2"/>
  <c r="E179" i="2"/>
  <c r="F179" i="2" s="1"/>
  <c r="C179" i="2"/>
  <c r="E178" i="2"/>
  <c r="F178" i="2" s="1"/>
  <c r="C178" i="2"/>
  <c r="E177" i="2"/>
  <c r="F177" i="2" s="1"/>
  <c r="C177" i="2"/>
  <c r="E176" i="2"/>
  <c r="F176" i="2" s="1"/>
  <c r="C176" i="2"/>
  <c r="E175" i="2"/>
  <c r="F175" i="2" s="1"/>
  <c r="C175" i="2"/>
  <c r="E174" i="2"/>
  <c r="F174" i="2" s="1"/>
  <c r="C174" i="2"/>
  <c r="E173" i="2"/>
  <c r="F173" i="2" s="1"/>
  <c r="C173" i="2"/>
  <c r="E172" i="2"/>
  <c r="F172" i="2" s="1"/>
  <c r="C172" i="2"/>
  <c r="E171" i="2"/>
  <c r="F171" i="2" s="1"/>
  <c r="C171" i="2"/>
  <c r="E170" i="2"/>
  <c r="F170" i="2" s="1"/>
  <c r="C170" i="2"/>
  <c r="E169" i="2"/>
  <c r="F169" i="2" s="1"/>
  <c r="C169" i="2"/>
  <c r="E168" i="2"/>
  <c r="F168" i="2" s="1"/>
  <c r="C168" i="2"/>
  <c r="E167" i="2"/>
  <c r="F167" i="2" s="1"/>
  <c r="C167" i="2"/>
  <c r="E166" i="2"/>
  <c r="F166" i="2" s="1"/>
  <c r="C166" i="2"/>
  <c r="E165" i="2"/>
  <c r="F165" i="2" s="1"/>
  <c r="C165" i="2"/>
  <c r="E164" i="2"/>
  <c r="F164" i="2" s="1"/>
  <c r="C164" i="2"/>
  <c r="E163" i="2"/>
  <c r="F163" i="2" s="1"/>
  <c r="C163" i="2"/>
  <c r="E162" i="2"/>
  <c r="F162" i="2" s="1"/>
  <c r="C162" i="2"/>
  <c r="E161" i="2"/>
  <c r="F161" i="2" s="1"/>
  <c r="C161" i="2"/>
  <c r="E160" i="2"/>
  <c r="F160" i="2" s="1"/>
  <c r="C160" i="2"/>
  <c r="E159" i="2"/>
  <c r="F159" i="2" s="1"/>
  <c r="C159" i="2"/>
  <c r="E158" i="2"/>
  <c r="F158" i="2" s="1"/>
  <c r="C158" i="2"/>
  <c r="E157" i="2"/>
  <c r="F157" i="2" s="1"/>
  <c r="C157" i="2"/>
  <c r="E156" i="2"/>
  <c r="F156" i="2" s="1"/>
  <c r="C156" i="2"/>
  <c r="E155" i="2"/>
  <c r="F155" i="2" s="1"/>
  <c r="C155" i="2"/>
  <c r="E154" i="2"/>
  <c r="F154" i="2" s="1"/>
  <c r="C154" i="2"/>
  <c r="E153" i="2"/>
  <c r="F153" i="2" s="1"/>
  <c r="C153" i="2"/>
  <c r="E152" i="2"/>
  <c r="F152" i="2" s="1"/>
  <c r="C152" i="2"/>
  <c r="E151" i="2"/>
  <c r="F151" i="2" s="1"/>
  <c r="C151" i="2"/>
  <c r="E150" i="2"/>
  <c r="F150" i="2" s="1"/>
  <c r="C150" i="2"/>
  <c r="E149" i="2"/>
  <c r="F149" i="2" s="1"/>
  <c r="C149" i="2"/>
  <c r="E148" i="2"/>
  <c r="F148" i="2" s="1"/>
  <c r="C148" i="2"/>
  <c r="E147" i="2"/>
  <c r="F147" i="2" s="1"/>
  <c r="C147" i="2"/>
  <c r="E146" i="2"/>
  <c r="F146" i="2" s="1"/>
  <c r="C146" i="2"/>
  <c r="E145" i="2"/>
  <c r="F145" i="2" s="1"/>
  <c r="C145" i="2"/>
  <c r="E144" i="2"/>
  <c r="F144" i="2" s="1"/>
  <c r="C144" i="2"/>
  <c r="E143" i="2"/>
  <c r="F143" i="2" s="1"/>
  <c r="C143" i="2"/>
  <c r="E142" i="2"/>
  <c r="F142" i="2" s="1"/>
  <c r="C142" i="2"/>
  <c r="E141" i="2"/>
  <c r="F141" i="2" s="1"/>
  <c r="C141" i="2"/>
  <c r="E140" i="2"/>
  <c r="F140" i="2" s="1"/>
  <c r="C140" i="2"/>
  <c r="E139" i="2"/>
  <c r="F139" i="2" s="1"/>
  <c r="C139" i="2"/>
  <c r="E138" i="2"/>
  <c r="F138" i="2" s="1"/>
  <c r="C138" i="2"/>
  <c r="E137" i="2"/>
  <c r="F137" i="2" s="1"/>
  <c r="C137" i="2"/>
  <c r="E136" i="2"/>
  <c r="F136" i="2" s="1"/>
  <c r="C136" i="2"/>
  <c r="E135" i="2"/>
  <c r="F135" i="2" s="1"/>
  <c r="C135" i="2"/>
  <c r="E134" i="2"/>
  <c r="F134" i="2" s="1"/>
  <c r="C134" i="2"/>
  <c r="E133" i="2"/>
  <c r="F133" i="2" s="1"/>
  <c r="C133" i="2"/>
  <c r="E132" i="2"/>
  <c r="F132" i="2" s="1"/>
  <c r="C132" i="2"/>
  <c r="E131" i="2"/>
  <c r="F131" i="2" s="1"/>
  <c r="C131" i="2"/>
  <c r="E130" i="2"/>
  <c r="F130" i="2" s="1"/>
  <c r="C130" i="2"/>
  <c r="E129" i="2"/>
  <c r="F129" i="2" s="1"/>
  <c r="C129" i="2"/>
  <c r="E128" i="2"/>
  <c r="F128" i="2" s="1"/>
  <c r="C128" i="2"/>
  <c r="E127" i="2"/>
  <c r="F127" i="2" s="1"/>
  <c r="C127" i="2"/>
  <c r="E126" i="2"/>
  <c r="F126" i="2" s="1"/>
  <c r="C126" i="2"/>
  <c r="E125" i="2"/>
  <c r="F125" i="2" s="1"/>
  <c r="C125" i="2"/>
  <c r="E124" i="2"/>
  <c r="F124" i="2" s="1"/>
  <c r="C124" i="2"/>
  <c r="E123" i="2"/>
  <c r="F123" i="2" s="1"/>
  <c r="C123" i="2"/>
  <c r="E122" i="2"/>
  <c r="F122" i="2" s="1"/>
  <c r="C122" i="2"/>
  <c r="E121" i="2"/>
  <c r="F121" i="2" s="1"/>
  <c r="C121" i="2"/>
  <c r="E120" i="2"/>
  <c r="F120" i="2" s="1"/>
  <c r="C120" i="2"/>
  <c r="E119" i="2"/>
  <c r="F119" i="2" s="1"/>
  <c r="C119" i="2"/>
  <c r="E118" i="2"/>
  <c r="F118" i="2" s="1"/>
  <c r="C118" i="2"/>
  <c r="E117" i="2"/>
  <c r="F117" i="2" s="1"/>
  <c r="C117" i="2"/>
  <c r="E116" i="2"/>
  <c r="F116" i="2" s="1"/>
  <c r="C116" i="2"/>
  <c r="E115" i="2"/>
  <c r="F115" i="2" s="1"/>
  <c r="C115" i="2"/>
  <c r="E114" i="2"/>
  <c r="F114" i="2" s="1"/>
  <c r="C114" i="2"/>
  <c r="E113" i="2"/>
  <c r="F113" i="2" s="1"/>
  <c r="E112" i="2"/>
  <c r="F112" i="2" s="1"/>
  <c r="C112" i="2"/>
  <c r="E111" i="2"/>
  <c r="F111" i="2" s="1"/>
  <c r="C111" i="2"/>
  <c r="E110" i="2"/>
  <c r="F110" i="2" s="1"/>
  <c r="C110" i="2"/>
  <c r="E109" i="2"/>
  <c r="F109" i="2" s="1"/>
  <c r="C109" i="2"/>
  <c r="E108" i="2"/>
  <c r="F108" i="2" s="1"/>
  <c r="C108" i="2"/>
  <c r="E107" i="2"/>
  <c r="F107" i="2" s="1"/>
  <c r="C107" i="2"/>
  <c r="E106" i="2"/>
  <c r="F106" i="2" s="1"/>
  <c r="C106" i="2"/>
  <c r="E105" i="2"/>
  <c r="F105" i="2" s="1"/>
  <c r="C105" i="2"/>
  <c r="E104" i="2"/>
  <c r="F104" i="2" s="1"/>
  <c r="C104" i="2"/>
  <c r="E103" i="2"/>
  <c r="F103" i="2" s="1"/>
  <c r="C103" i="2"/>
  <c r="E102" i="2"/>
  <c r="F102" i="2" s="1"/>
  <c r="C102" i="2"/>
  <c r="E101" i="2"/>
  <c r="F101" i="2" s="1"/>
  <c r="C101" i="2"/>
  <c r="E100" i="2"/>
  <c r="F100" i="2" s="1"/>
  <c r="C100" i="2"/>
  <c r="E99" i="2"/>
  <c r="F99" i="2" s="1"/>
  <c r="C99" i="2"/>
  <c r="E98" i="2"/>
  <c r="F98" i="2" s="1"/>
  <c r="C98" i="2"/>
  <c r="E97" i="2"/>
  <c r="F97" i="2" s="1"/>
  <c r="C97" i="2"/>
  <c r="E96" i="2"/>
  <c r="F96" i="2" s="1"/>
  <c r="C96" i="2"/>
  <c r="E95" i="2"/>
  <c r="F95" i="2" s="1"/>
  <c r="C95" i="2"/>
  <c r="E94" i="2"/>
  <c r="F94" i="2" s="1"/>
  <c r="C94" i="2"/>
  <c r="E93" i="2"/>
  <c r="F93" i="2" s="1"/>
  <c r="C93" i="2"/>
  <c r="E92" i="2"/>
  <c r="F92" i="2" s="1"/>
  <c r="C92" i="2"/>
  <c r="E91" i="2"/>
  <c r="F91" i="2" s="1"/>
  <c r="C91" i="2"/>
  <c r="E90" i="2"/>
  <c r="F90" i="2" s="1"/>
  <c r="C90" i="2"/>
  <c r="E89" i="2"/>
  <c r="F89" i="2" s="1"/>
  <c r="C89" i="2"/>
  <c r="E88" i="2"/>
  <c r="F88" i="2" s="1"/>
  <c r="C88" i="2"/>
  <c r="E87" i="2"/>
  <c r="F87" i="2" s="1"/>
  <c r="C87" i="2"/>
  <c r="E86" i="2"/>
  <c r="F86" i="2" s="1"/>
  <c r="C86" i="2"/>
  <c r="E85" i="2"/>
  <c r="F85" i="2" s="1"/>
  <c r="C85" i="2"/>
  <c r="E84" i="2"/>
  <c r="F84" i="2" s="1"/>
  <c r="C84" i="2"/>
  <c r="E83" i="2"/>
  <c r="F83" i="2" s="1"/>
  <c r="C83" i="2"/>
  <c r="E82" i="2"/>
  <c r="F82" i="2" s="1"/>
  <c r="C82" i="2"/>
  <c r="E81" i="2"/>
  <c r="F81" i="2" s="1"/>
  <c r="C81" i="2"/>
  <c r="E80" i="2"/>
  <c r="F80" i="2" s="1"/>
  <c r="C80" i="2"/>
  <c r="E79" i="2"/>
  <c r="F79" i="2" s="1"/>
  <c r="C79" i="2"/>
  <c r="E78" i="2"/>
  <c r="F78" i="2" s="1"/>
  <c r="C78" i="2"/>
  <c r="E77" i="2"/>
  <c r="F77" i="2" s="1"/>
  <c r="C77" i="2"/>
  <c r="E76" i="2"/>
  <c r="F76" i="2" s="1"/>
  <c r="C76" i="2"/>
  <c r="E75" i="2"/>
  <c r="F75" i="2" s="1"/>
  <c r="C75" i="2"/>
  <c r="E74" i="2"/>
  <c r="F74" i="2" s="1"/>
  <c r="C74" i="2"/>
  <c r="E73" i="2"/>
  <c r="F73" i="2" s="1"/>
  <c r="C73" i="2"/>
  <c r="E72" i="2"/>
  <c r="F72" i="2" s="1"/>
  <c r="C72" i="2"/>
  <c r="E71" i="2"/>
  <c r="F71" i="2" s="1"/>
  <c r="C71" i="2"/>
  <c r="E70" i="2"/>
  <c r="F70" i="2" s="1"/>
  <c r="C70" i="2"/>
  <c r="E69" i="2"/>
  <c r="F69" i="2" s="1"/>
  <c r="C69" i="2"/>
  <c r="E68" i="2"/>
  <c r="F68" i="2" s="1"/>
  <c r="C68" i="2"/>
  <c r="E67" i="2"/>
  <c r="F67" i="2" s="1"/>
  <c r="C67" i="2"/>
  <c r="E66" i="2"/>
  <c r="F66" i="2" s="1"/>
  <c r="C66" i="2"/>
  <c r="E65" i="2"/>
  <c r="F65" i="2" s="1"/>
  <c r="C65" i="2"/>
  <c r="E64" i="2"/>
  <c r="F64" i="2" s="1"/>
  <c r="C64" i="2"/>
  <c r="E63" i="2"/>
  <c r="F63" i="2" s="1"/>
  <c r="C63" i="2"/>
  <c r="E62" i="2"/>
  <c r="F62" i="2" s="1"/>
  <c r="C62" i="2"/>
  <c r="E61" i="2"/>
  <c r="F61" i="2" s="1"/>
  <c r="C61" i="2"/>
  <c r="E60" i="2"/>
  <c r="F60" i="2" s="1"/>
  <c r="C60" i="2"/>
  <c r="E59" i="2"/>
  <c r="F59" i="2" s="1"/>
  <c r="C59" i="2"/>
  <c r="E58" i="2"/>
  <c r="F58" i="2" s="1"/>
  <c r="C58" i="2"/>
  <c r="E57" i="2"/>
  <c r="F57" i="2" s="1"/>
  <c r="C57" i="2"/>
  <c r="E56" i="2"/>
  <c r="F56" i="2" s="1"/>
  <c r="C56" i="2"/>
  <c r="E55" i="2"/>
  <c r="F55" i="2" s="1"/>
  <c r="C55" i="2"/>
  <c r="E54" i="2"/>
  <c r="F54" i="2" s="1"/>
  <c r="C54" i="2"/>
  <c r="E53" i="2"/>
  <c r="F53" i="2" s="1"/>
  <c r="C53" i="2"/>
  <c r="E52" i="2"/>
  <c r="F52" i="2" s="1"/>
  <c r="C52" i="2"/>
  <c r="E51" i="2"/>
  <c r="F51" i="2" s="1"/>
  <c r="C51" i="2"/>
  <c r="E50" i="2"/>
  <c r="F50" i="2" s="1"/>
  <c r="C50" i="2"/>
  <c r="E49" i="2"/>
  <c r="F49" i="2" s="1"/>
  <c r="C49" i="2"/>
  <c r="E48" i="2"/>
  <c r="F48" i="2" s="1"/>
  <c r="C48" i="2"/>
  <c r="E47" i="2"/>
  <c r="F47" i="2" s="1"/>
  <c r="C47" i="2"/>
  <c r="E46" i="2"/>
  <c r="F46" i="2" s="1"/>
  <c r="C46" i="2"/>
  <c r="E45" i="2"/>
  <c r="F45" i="2" s="1"/>
  <c r="C45" i="2"/>
  <c r="E44" i="2"/>
  <c r="F44" i="2" s="1"/>
  <c r="C44" i="2"/>
  <c r="E43" i="2"/>
  <c r="F43" i="2" s="1"/>
  <c r="C43" i="2"/>
  <c r="E42" i="2"/>
  <c r="F42" i="2" s="1"/>
  <c r="C42" i="2"/>
  <c r="E41" i="2"/>
  <c r="F41" i="2" s="1"/>
  <c r="C41" i="2"/>
  <c r="E40" i="2"/>
  <c r="F40" i="2" s="1"/>
  <c r="C40" i="2"/>
  <c r="E39" i="2"/>
  <c r="F39" i="2" s="1"/>
  <c r="C39" i="2"/>
  <c r="E38" i="2"/>
  <c r="F38" i="2" s="1"/>
  <c r="C38" i="2"/>
  <c r="E37" i="2"/>
  <c r="F37" i="2" s="1"/>
  <c r="C37" i="2"/>
  <c r="E36" i="2"/>
  <c r="F36" i="2" s="1"/>
  <c r="C36" i="2"/>
  <c r="E35" i="2"/>
  <c r="F35" i="2" s="1"/>
  <c r="C35" i="2"/>
  <c r="E34" i="2"/>
  <c r="F34" i="2" s="1"/>
  <c r="C34" i="2"/>
  <c r="E33" i="2"/>
  <c r="F33" i="2" s="1"/>
  <c r="C33" i="2"/>
  <c r="E32" i="2"/>
  <c r="F32" i="2" s="1"/>
  <c r="C32" i="2"/>
  <c r="E31" i="2"/>
  <c r="F31" i="2" s="1"/>
  <c r="C31" i="2"/>
  <c r="E30" i="2"/>
  <c r="F30" i="2" s="1"/>
  <c r="C30" i="2"/>
  <c r="E29" i="2"/>
  <c r="F29" i="2" s="1"/>
  <c r="C29" i="2"/>
  <c r="E28" i="2"/>
  <c r="F28" i="2" s="1"/>
  <c r="C28" i="2"/>
  <c r="E27" i="2"/>
  <c r="F27" i="2" s="1"/>
  <c r="C27" i="2"/>
  <c r="E26" i="2"/>
  <c r="F26" i="2" s="1"/>
  <c r="C26" i="2"/>
  <c r="E25" i="2"/>
  <c r="F25" i="2" s="1"/>
  <c r="C25" i="2"/>
  <c r="E24" i="2"/>
  <c r="F24" i="2" s="1"/>
  <c r="C24" i="2"/>
  <c r="E23" i="2"/>
  <c r="F23" i="2" s="1"/>
  <c r="C23" i="2"/>
  <c r="E22" i="2"/>
  <c r="F22" i="2" s="1"/>
  <c r="C22" i="2"/>
  <c r="E21" i="2"/>
  <c r="F21" i="2" s="1"/>
  <c r="C21" i="2"/>
  <c r="E20" i="2"/>
  <c r="F20" i="2" s="1"/>
  <c r="C20" i="2"/>
  <c r="E19" i="2"/>
  <c r="F19" i="2" s="1"/>
  <c r="C19" i="2"/>
  <c r="E18" i="2"/>
  <c r="F18" i="2" s="1"/>
  <c r="C18" i="2"/>
  <c r="E17" i="2"/>
  <c r="F17" i="2" s="1"/>
  <c r="C17" i="2"/>
  <c r="E16" i="2"/>
  <c r="F16" i="2" s="1"/>
  <c r="C16" i="2"/>
  <c r="E15" i="2"/>
  <c r="F15" i="2" s="1"/>
  <c r="C15" i="2"/>
  <c r="E14" i="2"/>
  <c r="F14" i="2" s="1"/>
  <c r="C14" i="2"/>
  <c r="E13" i="2"/>
  <c r="F13" i="2" s="1"/>
  <c r="C13" i="2"/>
  <c r="E12" i="2"/>
  <c r="F12" i="2" s="1"/>
  <c r="C12" i="2"/>
  <c r="E11" i="2"/>
  <c r="F11" i="2" s="1"/>
  <c r="C11" i="2"/>
  <c r="E10" i="2"/>
  <c r="F10" i="2" s="1"/>
  <c r="C10" i="2"/>
  <c r="E9" i="2"/>
  <c r="F9" i="2" s="1"/>
  <c r="C9" i="2"/>
  <c r="E8" i="2"/>
  <c r="F8" i="2" s="1"/>
  <c r="C8" i="2"/>
  <c r="E7" i="2"/>
  <c r="F7" i="2" s="1"/>
  <c r="C7" i="2"/>
  <c r="E6" i="2"/>
  <c r="F6" i="2" s="1"/>
  <c r="C6" i="2"/>
  <c r="E5" i="2"/>
  <c r="F5" i="2" s="1"/>
  <c r="C5" i="2"/>
  <c r="E4" i="2"/>
  <c r="F4" i="2" s="1"/>
  <c r="C4" i="2"/>
  <c r="E3" i="2"/>
  <c r="F3" i="2" s="1"/>
  <c r="C3" i="2"/>
  <c r="E2" i="2"/>
  <c r="F2" i="2" s="1"/>
  <c r="C2" i="2"/>
  <c r="G10001" i="2" l="1"/>
  <c r="D10001" i="2"/>
  <c r="G10000" i="2"/>
  <c r="D10000" i="2"/>
  <c r="G9999" i="2"/>
  <c r="D9999" i="2"/>
  <c r="G9998" i="2"/>
  <c r="D9998" i="2"/>
  <c r="G9997" i="2"/>
  <c r="D9997" i="2"/>
  <c r="G9996" i="2"/>
  <c r="D9996" i="2"/>
  <c r="G9995" i="2"/>
  <c r="D9995" i="2"/>
  <c r="G9994" i="2"/>
  <c r="D9994" i="2"/>
  <c r="G9993" i="2"/>
  <c r="D9993" i="2"/>
  <c r="G9992" i="2"/>
  <c r="D9992" i="2"/>
  <c r="G9991" i="2"/>
  <c r="D9991" i="2"/>
  <c r="G9990" i="2"/>
  <c r="D9990" i="2"/>
  <c r="G9989" i="2"/>
  <c r="D9989" i="2"/>
  <c r="G9988" i="2"/>
  <c r="D9988" i="2"/>
  <c r="G9987" i="2"/>
  <c r="D9987" i="2"/>
  <c r="G9986" i="2"/>
  <c r="D9986" i="2"/>
  <c r="G9985" i="2"/>
  <c r="D9985" i="2"/>
  <c r="G9984" i="2"/>
  <c r="D9984" i="2"/>
  <c r="G9983" i="2"/>
  <c r="D9983" i="2"/>
  <c r="G9982" i="2"/>
  <c r="D9982" i="2"/>
  <c r="G9981" i="2"/>
  <c r="D9981" i="2"/>
  <c r="G9980" i="2"/>
  <c r="D9980" i="2"/>
  <c r="G9979" i="2"/>
  <c r="D9979" i="2"/>
  <c r="G9978" i="2"/>
  <c r="D9978" i="2"/>
  <c r="G9977" i="2"/>
  <c r="D9977" i="2"/>
  <c r="G9976" i="2"/>
  <c r="D9976" i="2"/>
  <c r="G9975" i="2"/>
  <c r="D9975" i="2"/>
  <c r="G9974" i="2"/>
  <c r="D9974" i="2"/>
  <c r="G9973" i="2"/>
  <c r="D9973" i="2"/>
  <c r="G9972" i="2"/>
  <c r="D9972" i="2"/>
  <c r="G9971" i="2"/>
  <c r="D9971" i="2"/>
  <c r="G9970" i="2"/>
  <c r="D9970" i="2"/>
  <c r="G9969" i="2"/>
  <c r="D9969" i="2"/>
  <c r="G9968" i="2"/>
  <c r="D9968" i="2"/>
  <c r="G9967" i="2"/>
  <c r="D9967" i="2"/>
  <c r="G9966" i="2"/>
  <c r="D9966" i="2"/>
  <c r="G9965" i="2"/>
  <c r="D9965" i="2"/>
  <c r="G9964" i="2"/>
  <c r="D9964" i="2"/>
  <c r="G9963" i="2"/>
  <c r="D9963" i="2"/>
  <c r="G9962" i="2"/>
  <c r="D9962" i="2"/>
  <c r="G9961" i="2"/>
  <c r="D9961" i="2"/>
  <c r="G9960" i="2"/>
  <c r="D9960" i="2"/>
  <c r="G9959" i="2"/>
  <c r="D9959" i="2"/>
  <c r="G9958" i="2"/>
  <c r="D9958" i="2"/>
  <c r="G9957" i="2"/>
  <c r="D9957" i="2"/>
  <c r="G9956" i="2"/>
  <c r="D9956" i="2"/>
  <c r="G9955" i="2"/>
  <c r="D9955" i="2"/>
  <c r="G9954" i="2"/>
  <c r="D9954" i="2"/>
  <c r="G9953" i="2"/>
  <c r="D9953" i="2"/>
  <c r="G9952" i="2"/>
  <c r="D9952" i="2"/>
  <c r="G9951" i="2"/>
  <c r="D9951" i="2"/>
  <c r="G9950" i="2"/>
  <c r="D9950" i="2"/>
  <c r="G9949" i="2"/>
  <c r="D9949" i="2"/>
  <c r="G9948" i="2"/>
  <c r="D9948" i="2"/>
  <c r="G9947" i="2"/>
  <c r="D9947" i="2"/>
  <c r="G9946" i="2"/>
  <c r="D9946" i="2"/>
  <c r="G9945" i="2"/>
  <c r="D9945" i="2"/>
  <c r="G9944" i="2"/>
  <c r="D9944" i="2"/>
  <c r="G9943" i="2"/>
  <c r="D9943" i="2"/>
  <c r="G9942" i="2"/>
  <c r="D9942" i="2"/>
  <c r="G9941" i="2"/>
  <c r="D9941" i="2"/>
  <c r="G9940" i="2"/>
  <c r="D9940" i="2"/>
  <c r="G9939" i="2"/>
  <c r="D9939" i="2"/>
  <c r="G9938" i="2"/>
  <c r="D9938" i="2"/>
  <c r="G9937" i="2"/>
  <c r="D9937" i="2"/>
  <c r="G9936" i="2"/>
  <c r="D9936" i="2"/>
  <c r="G9935" i="2"/>
  <c r="D9935" i="2"/>
  <c r="G9934" i="2"/>
  <c r="D9934" i="2"/>
  <c r="G9933" i="2"/>
  <c r="D9933" i="2"/>
  <c r="G9932" i="2"/>
  <c r="D9932" i="2"/>
  <c r="G9931" i="2"/>
  <c r="D9931" i="2"/>
  <c r="G9930" i="2"/>
  <c r="D9930" i="2"/>
  <c r="D9926" i="2"/>
  <c r="G9926" i="2"/>
  <c r="G9925" i="2"/>
  <c r="D9925" i="2"/>
  <c r="D9911" i="2"/>
  <c r="G9911" i="2"/>
  <c r="G9910" i="2"/>
  <c r="D9910" i="2"/>
  <c r="G9909" i="2"/>
  <c r="D9909" i="2"/>
  <c r="G9908" i="2"/>
  <c r="D9908" i="2"/>
  <c r="G9907" i="2"/>
  <c r="D9907" i="2"/>
  <c r="G9906" i="2"/>
  <c r="D9906" i="2"/>
  <c r="G9905" i="2"/>
  <c r="D9905" i="2"/>
  <c r="D9904" i="2"/>
  <c r="G9904" i="2"/>
  <c r="G9903" i="2"/>
  <c r="D9903" i="2"/>
  <c r="G9902" i="2"/>
  <c r="D9902" i="2"/>
  <c r="D9901" i="2"/>
  <c r="G9901" i="2"/>
  <c r="G9900" i="2"/>
  <c r="D9900" i="2"/>
  <c r="G9899" i="2"/>
  <c r="D9899" i="2"/>
  <c r="D9887" i="2"/>
  <c r="G9887" i="2"/>
  <c r="D9886" i="2"/>
  <c r="G9886" i="2"/>
  <c r="G9885" i="2"/>
  <c r="D9885" i="2"/>
  <c r="G9884" i="2"/>
  <c r="D9884" i="2"/>
  <c r="G9883" i="2"/>
  <c r="D9883" i="2"/>
  <c r="G9882" i="2"/>
  <c r="D9882" i="2"/>
  <c r="D9881" i="2"/>
  <c r="G9881" i="2"/>
  <c r="G9880" i="2"/>
  <c r="D9880" i="2"/>
  <c r="D9879" i="2"/>
  <c r="G9879" i="2"/>
  <c r="D9878" i="2"/>
  <c r="G9878" i="2"/>
  <c r="D9877" i="2"/>
  <c r="G9877" i="2"/>
  <c r="D9876" i="2"/>
  <c r="G9876" i="2"/>
  <c r="D9875" i="2"/>
  <c r="G9875" i="2"/>
  <c r="G9874" i="2"/>
  <c r="D9874" i="2"/>
  <c r="G9873" i="2"/>
  <c r="D9873" i="2"/>
  <c r="G9872" i="2"/>
  <c r="D9872" i="2"/>
  <c r="G9871" i="2"/>
  <c r="D9871" i="2"/>
  <c r="D9870" i="2"/>
  <c r="G9870" i="2"/>
  <c r="D9869" i="2"/>
  <c r="G9869" i="2"/>
  <c r="D9868" i="2"/>
  <c r="G9868" i="2"/>
  <c r="D9856" i="2"/>
  <c r="G9856" i="2"/>
  <c r="D9855" i="2"/>
  <c r="G9855" i="2"/>
  <c r="G9847" i="2"/>
  <c r="D9847" i="2"/>
  <c r="D9846" i="2"/>
  <c r="G9846" i="2"/>
  <c r="G9845" i="2"/>
  <c r="D9845" i="2"/>
  <c r="G9844" i="2"/>
  <c r="D9844" i="2"/>
  <c r="G9843" i="2"/>
  <c r="D9843" i="2"/>
  <c r="D9842" i="2"/>
  <c r="G9842" i="2"/>
  <c r="G9841" i="2"/>
  <c r="D9841" i="2"/>
  <c r="G9840" i="2"/>
  <c r="D9840" i="2"/>
  <c r="G9839" i="2"/>
  <c r="D9839" i="2"/>
  <c r="G9838" i="2"/>
  <c r="D9838" i="2"/>
  <c r="D9837" i="2"/>
  <c r="G9837" i="2"/>
  <c r="D9836" i="2"/>
  <c r="G9836" i="2"/>
  <c r="G9835" i="2"/>
  <c r="D9835" i="2"/>
  <c r="G9832" i="2"/>
  <c r="D9832" i="2"/>
  <c r="G9831" i="2"/>
  <c r="D9831" i="2"/>
  <c r="D9830" i="2"/>
  <c r="G9830" i="2"/>
  <c r="G9829" i="2"/>
  <c r="D9829" i="2"/>
  <c r="G9828" i="2"/>
  <c r="D9828" i="2"/>
  <c r="D9827" i="2"/>
  <c r="G9827" i="2"/>
  <c r="G9826" i="2"/>
  <c r="D9826" i="2"/>
  <c r="D9821" i="2"/>
  <c r="G9821" i="2"/>
  <c r="G9820" i="2"/>
  <c r="D9820" i="2"/>
  <c r="G9819" i="2"/>
  <c r="D9819" i="2"/>
  <c r="G9818" i="2"/>
  <c r="D9818" i="2"/>
  <c r="G9817" i="2"/>
  <c r="D9817" i="2"/>
  <c r="D9808" i="2"/>
  <c r="G9808" i="2"/>
  <c r="G9807" i="2"/>
  <c r="D9807" i="2"/>
  <c r="D9806" i="2"/>
  <c r="G9806" i="2"/>
  <c r="D9805" i="2"/>
  <c r="G9805" i="2"/>
  <c r="G9804" i="2"/>
  <c r="D9804" i="2"/>
  <c r="D9793" i="2"/>
  <c r="G9793" i="2"/>
  <c r="G9792" i="2"/>
  <c r="D9792" i="2"/>
  <c r="G9791" i="2"/>
  <c r="D9791" i="2"/>
  <c r="G9790" i="2"/>
  <c r="D9790" i="2"/>
  <c r="D9789" i="2"/>
  <c r="G9789" i="2"/>
  <c r="D9779" i="2"/>
  <c r="G9779" i="2"/>
  <c r="G9778" i="2"/>
  <c r="D9778" i="2"/>
  <c r="D9777" i="2"/>
  <c r="G9777" i="2"/>
  <c r="G9776" i="2"/>
  <c r="D9776" i="2"/>
  <c r="G9775" i="2"/>
  <c r="D9775" i="2"/>
  <c r="G9774" i="2"/>
  <c r="D9774" i="2"/>
  <c r="G9773" i="2"/>
  <c r="D9773" i="2"/>
  <c r="D9772" i="2"/>
  <c r="G9772" i="2"/>
  <c r="G9771" i="2"/>
  <c r="D9771" i="2"/>
  <c r="G9770" i="2"/>
  <c r="D9770" i="2"/>
  <c r="G9750" i="2"/>
  <c r="D9750" i="2"/>
  <c r="G9749" i="2"/>
  <c r="D9749" i="2"/>
  <c r="D9748" i="2"/>
  <c r="G9748" i="2"/>
  <c r="D9747" i="2"/>
  <c r="G9747" i="2"/>
  <c r="G9742" i="2"/>
  <c r="D9742" i="2"/>
  <c r="D9741" i="2"/>
  <c r="G9741" i="2"/>
  <c r="G9740" i="2"/>
  <c r="D9740" i="2"/>
  <c r="G9739" i="2"/>
  <c r="D9739" i="2"/>
  <c r="G9738" i="2"/>
  <c r="D9738" i="2"/>
  <c r="G9737" i="2"/>
  <c r="D9737" i="2"/>
  <c r="D9725" i="2"/>
  <c r="G9725" i="2"/>
  <c r="D9724" i="2"/>
  <c r="G9724" i="2"/>
  <c r="D9719" i="2"/>
  <c r="G9719" i="2"/>
  <c r="G9718" i="2"/>
  <c r="D9718" i="2"/>
  <c r="G9713" i="2"/>
  <c r="D9713" i="2"/>
  <c r="D9712" i="2"/>
  <c r="G9712" i="2"/>
  <c r="D9709" i="2"/>
  <c r="G9709" i="2"/>
  <c r="D9708" i="2"/>
  <c r="G9708" i="2"/>
  <c r="D9706" i="2"/>
  <c r="G9706" i="2"/>
  <c r="D9705" i="2"/>
  <c r="G9705" i="2"/>
  <c r="G9704" i="2"/>
  <c r="D9704" i="2"/>
  <c r="D9703" i="2"/>
  <c r="G9703" i="2"/>
  <c r="G9701" i="2"/>
  <c r="D9701" i="2"/>
  <c r="G9700" i="2"/>
  <c r="D9700" i="2"/>
  <c r="D9699" i="2"/>
  <c r="G9699" i="2"/>
  <c r="G9697" i="2"/>
  <c r="D9697" i="2"/>
  <c r="G9693" i="2"/>
  <c r="D9693" i="2"/>
  <c r="D9689" i="2"/>
  <c r="G9689" i="2"/>
  <c r="D9683" i="2"/>
  <c r="G9683" i="2"/>
  <c r="G9682" i="2"/>
  <c r="D9682" i="2"/>
  <c r="D9675" i="2"/>
  <c r="G9675" i="2"/>
  <c r="G9674" i="2"/>
  <c r="D9674" i="2"/>
  <c r="D9672" i="2"/>
  <c r="G9672" i="2"/>
  <c r="D9670" i="2"/>
  <c r="G9670" i="2"/>
  <c r="G9669" i="2"/>
  <c r="D9669" i="2"/>
  <c r="D9667" i="2"/>
  <c r="G9667" i="2"/>
  <c r="G9665" i="2"/>
  <c r="D9665" i="2"/>
  <c r="G9664" i="2"/>
  <c r="D9664" i="2"/>
  <c r="D9660" i="2"/>
  <c r="G9660" i="2"/>
  <c r="D9658" i="2"/>
  <c r="G9658" i="2"/>
  <c r="G9655" i="2"/>
  <c r="D9655" i="2"/>
  <c r="G9652" i="2"/>
  <c r="D9652" i="2"/>
  <c r="G9650" i="2"/>
  <c r="D9650" i="2"/>
  <c r="G9649" i="2"/>
  <c r="D9649" i="2"/>
  <c r="G9648" i="2"/>
  <c r="D9648" i="2"/>
  <c r="D9634" i="2"/>
  <c r="G9634" i="2"/>
  <c r="D9624" i="2"/>
  <c r="G9624" i="2"/>
  <c r="G9622" i="2"/>
  <c r="D9622" i="2"/>
  <c r="G9619" i="2"/>
  <c r="D9619" i="2"/>
  <c r="G9617" i="2"/>
  <c r="D9617" i="2"/>
  <c r="D9616" i="2"/>
  <c r="G9616" i="2"/>
  <c r="D9610" i="2"/>
  <c r="G9610" i="2"/>
  <c r="G9608" i="2"/>
  <c r="D9608" i="2"/>
  <c r="G9607" i="2"/>
  <c r="D9607" i="2"/>
  <c r="G9604" i="2"/>
  <c r="D9604" i="2"/>
  <c r="G9601" i="2"/>
  <c r="D9601" i="2"/>
  <c r="D9600" i="2"/>
  <c r="G9600" i="2"/>
  <c r="G9598" i="2"/>
  <c r="D9598" i="2"/>
  <c r="D9596" i="2"/>
  <c r="G9596" i="2"/>
  <c r="G9595" i="2"/>
  <c r="D9595" i="2"/>
  <c r="D9594" i="2"/>
  <c r="G9594" i="2"/>
  <c r="G9593" i="2"/>
  <c r="D9593" i="2"/>
  <c r="D9592" i="2"/>
  <c r="G9592" i="2"/>
  <c r="G9591" i="2"/>
  <c r="D9591" i="2"/>
  <c r="D9588" i="2"/>
  <c r="G9588" i="2"/>
  <c r="G9586" i="2"/>
  <c r="D9586" i="2"/>
  <c r="D9585" i="2"/>
  <c r="G9585" i="2"/>
  <c r="G9582" i="2"/>
  <c r="D9582" i="2"/>
  <c r="D9579" i="2"/>
  <c r="G9579" i="2"/>
  <c r="G9576" i="2"/>
  <c r="D9576" i="2"/>
  <c r="G9573" i="2"/>
  <c r="D9573" i="2"/>
  <c r="G9572" i="2"/>
  <c r="D9572" i="2"/>
  <c r="D9569" i="2"/>
  <c r="G9569" i="2"/>
  <c r="G9559" i="2"/>
  <c r="D9559" i="2"/>
  <c r="D9554" i="2"/>
  <c r="G9554" i="2"/>
  <c r="G9553" i="2"/>
  <c r="D9553" i="2"/>
  <c r="D9552" i="2"/>
  <c r="G9552" i="2"/>
  <c r="G9551" i="2"/>
  <c r="D9551" i="2"/>
  <c r="G9548" i="2"/>
  <c r="D9548" i="2"/>
  <c r="D9547" i="2"/>
  <c r="G9547" i="2"/>
  <c r="G9539" i="2"/>
  <c r="D9539" i="2"/>
  <c r="G9537" i="2"/>
  <c r="D9537" i="2"/>
  <c r="D9531" i="2"/>
  <c r="G9531" i="2"/>
  <c r="G9530" i="2"/>
  <c r="D9530" i="2"/>
  <c r="G9528" i="2"/>
  <c r="D9528" i="2"/>
  <c r="G9526" i="2"/>
  <c r="D9526" i="2"/>
  <c r="G9524" i="2"/>
  <c r="D9524" i="2"/>
  <c r="G9523" i="2"/>
  <c r="D9523" i="2"/>
  <c r="G9522" i="2"/>
  <c r="D9522" i="2"/>
  <c r="G9520" i="2"/>
  <c r="D9520" i="2"/>
  <c r="G9515" i="2"/>
  <c r="D9515" i="2"/>
  <c r="D9506" i="2"/>
  <c r="G9506" i="2"/>
  <c r="D9505" i="2"/>
  <c r="G9505" i="2"/>
  <c r="D9503" i="2"/>
  <c r="G9503" i="2"/>
  <c r="G9500" i="2"/>
  <c r="D9500" i="2"/>
  <c r="G9492" i="2"/>
  <c r="D9492" i="2"/>
  <c r="G9491" i="2"/>
  <c r="D9491" i="2"/>
  <c r="G9490" i="2"/>
  <c r="D9490" i="2"/>
  <c r="G9488" i="2"/>
  <c r="D9488" i="2"/>
  <c r="G9483" i="2"/>
  <c r="D9483" i="2"/>
  <c r="G9482" i="2"/>
  <c r="D9482" i="2"/>
  <c r="D9481" i="2"/>
  <c r="G9481" i="2"/>
  <c r="D9480" i="2"/>
  <c r="G9480" i="2"/>
  <c r="D9478" i="2"/>
  <c r="G9478" i="2"/>
  <c r="D9475" i="2"/>
  <c r="G9475" i="2"/>
  <c r="D9472" i="2"/>
  <c r="G9472" i="2"/>
  <c r="G9471" i="2"/>
  <c r="D9471" i="2"/>
  <c r="G9468" i="2"/>
  <c r="D9468" i="2"/>
  <c r="G9466" i="2"/>
  <c r="D9466" i="2"/>
  <c r="D9462" i="2"/>
  <c r="G9462" i="2"/>
  <c r="G9460" i="2"/>
  <c r="D9460" i="2"/>
  <c r="D9451" i="2"/>
  <c r="G9451" i="2"/>
  <c r="G9450" i="2"/>
  <c r="D9450" i="2"/>
  <c r="G9449" i="2"/>
  <c r="D9449" i="2"/>
  <c r="G9448" i="2"/>
  <c r="D9448" i="2"/>
  <c r="G9446" i="2"/>
  <c r="D9446" i="2"/>
  <c r="D9445" i="2"/>
  <c r="G9445" i="2"/>
  <c r="G9444" i="2"/>
  <c r="D9444" i="2"/>
  <c r="G9443" i="2"/>
  <c r="D9443" i="2"/>
  <c r="G9438" i="2"/>
  <c r="D9438" i="2"/>
  <c r="D9435" i="2"/>
  <c r="G9435" i="2"/>
  <c r="G9434" i="2"/>
  <c r="D9434" i="2"/>
  <c r="G9432" i="2"/>
  <c r="D9432" i="2"/>
  <c r="G9429" i="2"/>
  <c r="D9429" i="2"/>
  <c r="G9425" i="2"/>
  <c r="D9425" i="2"/>
  <c r="D9424" i="2"/>
  <c r="G9424" i="2"/>
  <c r="D9423" i="2"/>
  <c r="G9423" i="2"/>
  <c r="D9422" i="2"/>
  <c r="G9422" i="2"/>
  <c r="G9414" i="2"/>
  <c r="D9414" i="2"/>
  <c r="D9412" i="2"/>
  <c r="G9412" i="2"/>
  <c r="D9411" i="2"/>
  <c r="G9411" i="2"/>
  <c r="G9410" i="2"/>
  <c r="D9410" i="2"/>
  <c r="G9408" i="2"/>
  <c r="D9408" i="2"/>
  <c r="D9406" i="2"/>
  <c r="G9406" i="2"/>
  <c r="G9402" i="2"/>
  <c r="D9402" i="2"/>
  <c r="G9400" i="2"/>
  <c r="D9400" i="2"/>
  <c r="D9396" i="2"/>
  <c r="G9396" i="2"/>
  <c r="D9394" i="2"/>
  <c r="G9394" i="2"/>
  <c r="D9392" i="2"/>
  <c r="G9392" i="2"/>
  <c r="G9389" i="2"/>
  <c r="D9389" i="2"/>
  <c r="D9386" i="2"/>
  <c r="G9386" i="2"/>
  <c r="G9385" i="2"/>
  <c r="D9385" i="2"/>
  <c r="D9381" i="2"/>
  <c r="G9381" i="2"/>
  <c r="D9380" i="2"/>
  <c r="G9380" i="2"/>
  <c r="D9379" i="2"/>
  <c r="G9379" i="2"/>
  <c r="G9378" i="2"/>
  <c r="D9378" i="2"/>
  <c r="G9376" i="2"/>
  <c r="D9376" i="2"/>
  <c r="G9375" i="2"/>
  <c r="D9375" i="2"/>
  <c r="D9374" i="2"/>
  <c r="G9374" i="2"/>
  <c r="D9373" i="2"/>
  <c r="G9373" i="2"/>
  <c r="D9372" i="2"/>
  <c r="G9372" i="2"/>
  <c r="G9371" i="2"/>
  <c r="D9371" i="2"/>
  <c r="G9370" i="2"/>
  <c r="D9370" i="2"/>
  <c r="G9369" i="2"/>
  <c r="D9369" i="2"/>
  <c r="G9368" i="2"/>
  <c r="D9368" i="2"/>
  <c r="G9367" i="2"/>
  <c r="D9367" i="2"/>
  <c r="G9366" i="2"/>
  <c r="D9366" i="2"/>
  <c r="G9365" i="2"/>
  <c r="D9365" i="2"/>
  <c r="G9364" i="2"/>
  <c r="D9364" i="2"/>
  <c r="G9363" i="2"/>
  <c r="D9363" i="2"/>
  <c r="G9362" i="2"/>
  <c r="D9362" i="2"/>
  <c r="G9361" i="2"/>
  <c r="D9361" i="2"/>
  <c r="G9360" i="2"/>
  <c r="D9360" i="2"/>
  <c r="G9359" i="2"/>
  <c r="D9359" i="2"/>
  <c r="G9358" i="2"/>
  <c r="D9358" i="2"/>
  <c r="G9357" i="2"/>
  <c r="D9357" i="2"/>
  <c r="G9356" i="2"/>
  <c r="D9356" i="2"/>
  <c r="G9355" i="2"/>
  <c r="D9355" i="2"/>
  <c r="D9354" i="2"/>
  <c r="G9354" i="2"/>
  <c r="G9353" i="2"/>
  <c r="D9353" i="2"/>
  <c r="G9352" i="2"/>
  <c r="D9352" i="2"/>
  <c r="G9351" i="2"/>
  <c r="D9351" i="2"/>
  <c r="G9350" i="2"/>
  <c r="D9350" i="2"/>
  <c r="G9349" i="2"/>
  <c r="D9349" i="2"/>
  <c r="G9348" i="2"/>
  <c r="D9348" i="2"/>
  <c r="D9347" i="2"/>
  <c r="G9347" i="2"/>
  <c r="D9346" i="2"/>
  <c r="G9346" i="2"/>
  <c r="D9345" i="2"/>
  <c r="G9345" i="2"/>
  <c r="D9344" i="2"/>
  <c r="G9344" i="2"/>
  <c r="D9343" i="2"/>
  <c r="G9343" i="2"/>
  <c r="D9342" i="2"/>
  <c r="G9342" i="2"/>
  <c r="D9341" i="2"/>
  <c r="G9341" i="2"/>
  <c r="G9340" i="2"/>
  <c r="D9340" i="2"/>
  <c r="G9339" i="2"/>
  <c r="D9339" i="2"/>
  <c r="D9338" i="2"/>
  <c r="G9338" i="2"/>
  <c r="D9337" i="2"/>
  <c r="G9337" i="2"/>
  <c r="D9336" i="2"/>
  <c r="G9336" i="2"/>
  <c r="D9335" i="2"/>
  <c r="G9335" i="2"/>
  <c r="D9334" i="2"/>
  <c r="G9334" i="2"/>
  <c r="D9333" i="2"/>
  <c r="G9333" i="2"/>
  <c r="G9332" i="2"/>
  <c r="D9332" i="2"/>
  <c r="D9331" i="2"/>
  <c r="G9331" i="2"/>
  <c r="G9330" i="2"/>
  <c r="D9330" i="2"/>
  <c r="D9329" i="2"/>
  <c r="G9329" i="2"/>
  <c r="D9328" i="2"/>
  <c r="G9328" i="2"/>
  <c r="G9327" i="2"/>
  <c r="D9327" i="2"/>
  <c r="D9326" i="2"/>
  <c r="G9326" i="2"/>
  <c r="D9325" i="2"/>
  <c r="G9325" i="2"/>
  <c r="G9324" i="2"/>
  <c r="D9324" i="2"/>
  <c r="D9323" i="2"/>
  <c r="G9323" i="2"/>
  <c r="D9322" i="2"/>
  <c r="G9322" i="2"/>
  <c r="G9321" i="2"/>
  <c r="D9321" i="2"/>
  <c r="G9320" i="2"/>
  <c r="D9320" i="2"/>
  <c r="D9319" i="2"/>
  <c r="G9319" i="2"/>
  <c r="G9318" i="2"/>
  <c r="D9318" i="2"/>
  <c r="G9317" i="2"/>
  <c r="D9317" i="2"/>
  <c r="G9316" i="2"/>
  <c r="D9316" i="2"/>
  <c r="G9315" i="2"/>
  <c r="D9315" i="2"/>
  <c r="G9314" i="2"/>
  <c r="D9314" i="2"/>
  <c r="D9313" i="2"/>
  <c r="G9313" i="2"/>
  <c r="G9312" i="2"/>
  <c r="D9312" i="2"/>
  <c r="G9311" i="2"/>
  <c r="D9311" i="2"/>
  <c r="G9310" i="2"/>
  <c r="D9310" i="2"/>
  <c r="G9309" i="2"/>
  <c r="D9309" i="2"/>
  <c r="G9308" i="2"/>
  <c r="D9308" i="2"/>
  <c r="G9307" i="2"/>
  <c r="D9307" i="2"/>
  <c r="D9306" i="2"/>
  <c r="G9306" i="2"/>
  <c r="G9305" i="2"/>
  <c r="D9305" i="2"/>
  <c r="G9304" i="2"/>
  <c r="D9304" i="2"/>
  <c r="D9303" i="2"/>
  <c r="G9303" i="2"/>
  <c r="D9302" i="2"/>
  <c r="G9302" i="2"/>
  <c r="D9301" i="2"/>
  <c r="G9301" i="2"/>
  <c r="G9300" i="2"/>
  <c r="D9300" i="2"/>
  <c r="G9299" i="2"/>
  <c r="D9299" i="2"/>
  <c r="D9298" i="2"/>
  <c r="G9298" i="2"/>
  <c r="D9297" i="2"/>
  <c r="G9297" i="2"/>
  <c r="G9296" i="2"/>
  <c r="D9296" i="2"/>
  <c r="G9295" i="2"/>
  <c r="D9295" i="2"/>
  <c r="D9294" i="2"/>
  <c r="G9294" i="2"/>
  <c r="G9293" i="2"/>
  <c r="D9293" i="2"/>
  <c r="G9292" i="2"/>
  <c r="D9292" i="2"/>
  <c r="D9291" i="2"/>
  <c r="G9291" i="2"/>
  <c r="G9290" i="2"/>
  <c r="D9290" i="2"/>
  <c r="D9289" i="2"/>
  <c r="G9289" i="2"/>
  <c r="G9288" i="2"/>
  <c r="D9288" i="2"/>
  <c r="D9287" i="2"/>
  <c r="G9287" i="2"/>
  <c r="D9286" i="2"/>
  <c r="G9286" i="2"/>
  <c r="G9285" i="2"/>
  <c r="D9285" i="2"/>
  <c r="G9284" i="2"/>
  <c r="D9284" i="2"/>
  <c r="G9283" i="2"/>
  <c r="D9283" i="2"/>
  <c r="G9282" i="2"/>
  <c r="D9282" i="2"/>
  <c r="G9281" i="2"/>
  <c r="D9281" i="2"/>
  <c r="G9280" i="2"/>
  <c r="D9280" i="2"/>
  <c r="G9279" i="2"/>
  <c r="D9279" i="2"/>
  <c r="G9278" i="2"/>
  <c r="D9278" i="2"/>
  <c r="D9277" i="2"/>
  <c r="G9277" i="2"/>
  <c r="D9276" i="2"/>
  <c r="G9276" i="2"/>
  <c r="G9275" i="2"/>
  <c r="D9275" i="2"/>
  <c r="G9274" i="2"/>
  <c r="D9274" i="2"/>
  <c r="G9273" i="2"/>
  <c r="D9273" i="2"/>
  <c r="G9272" i="2"/>
  <c r="D9272" i="2"/>
  <c r="G9271" i="2"/>
  <c r="D9271" i="2"/>
  <c r="G9270" i="2"/>
  <c r="D9270" i="2"/>
  <c r="D9269" i="2"/>
  <c r="G9269" i="2"/>
  <c r="G9268" i="2"/>
  <c r="D9268" i="2"/>
  <c r="G9267" i="2"/>
  <c r="D9267" i="2"/>
  <c r="G9266" i="2"/>
  <c r="D9266" i="2"/>
  <c r="G9265" i="2"/>
  <c r="D9265" i="2"/>
  <c r="G9264" i="2"/>
  <c r="D9264" i="2"/>
  <c r="G9263" i="2"/>
  <c r="D9263" i="2"/>
  <c r="G9262" i="2"/>
  <c r="D9262" i="2"/>
  <c r="D9261" i="2"/>
  <c r="G9261" i="2"/>
  <c r="G9260" i="2"/>
  <c r="D9260" i="2"/>
  <c r="G9259" i="2"/>
  <c r="D9259" i="2"/>
  <c r="G9258" i="2"/>
  <c r="D9258" i="2"/>
  <c r="D9257" i="2"/>
  <c r="G9257" i="2"/>
  <c r="G9256" i="2"/>
  <c r="D9256" i="2"/>
  <c r="G9255" i="2"/>
  <c r="D9255" i="2"/>
  <c r="G9254" i="2"/>
  <c r="D9254" i="2"/>
  <c r="G9253" i="2"/>
  <c r="D9253" i="2"/>
  <c r="D9252" i="2"/>
  <c r="G9252" i="2"/>
  <c r="G9251" i="2"/>
  <c r="D9251" i="2"/>
  <c r="D9250" i="2"/>
  <c r="G9250" i="2"/>
  <c r="D9249" i="2"/>
  <c r="G9249" i="2"/>
  <c r="G9248" i="2"/>
  <c r="D9248" i="2"/>
  <c r="G9247" i="2"/>
  <c r="D9247" i="2"/>
  <c r="D9246" i="2"/>
  <c r="G9246" i="2"/>
  <c r="D9245" i="2"/>
  <c r="G9245" i="2"/>
  <c r="D9244" i="2"/>
  <c r="G9244" i="2"/>
  <c r="G9243" i="2"/>
  <c r="D9243" i="2"/>
  <c r="D9242" i="2"/>
  <c r="G9242" i="2"/>
  <c r="G9241" i="2"/>
  <c r="D9241" i="2"/>
  <c r="G9240" i="2"/>
  <c r="D9240" i="2"/>
  <c r="G9239" i="2"/>
  <c r="D9239" i="2"/>
  <c r="D9238" i="2"/>
  <c r="G9238" i="2"/>
  <c r="D9237" i="2"/>
  <c r="G9237" i="2"/>
  <c r="D9236" i="2"/>
  <c r="G9236" i="2"/>
  <c r="G9235" i="2"/>
  <c r="D9235" i="2"/>
  <c r="G9234" i="2"/>
  <c r="D9234" i="2"/>
  <c r="G9233" i="2"/>
  <c r="D9233" i="2"/>
  <c r="D9232" i="2"/>
  <c r="G9232" i="2"/>
  <c r="G9231" i="2"/>
  <c r="D9231" i="2"/>
  <c r="G9230" i="2"/>
  <c r="D9230" i="2"/>
  <c r="G9229" i="2"/>
  <c r="D9229" i="2"/>
  <c r="G9228" i="2"/>
  <c r="D9228" i="2"/>
  <c r="D9227" i="2"/>
  <c r="G9227" i="2"/>
  <c r="G9226" i="2"/>
  <c r="D9226" i="2"/>
  <c r="D9225" i="2"/>
  <c r="G9225" i="2"/>
  <c r="D9224" i="2"/>
  <c r="G9224" i="2"/>
  <c r="D9223" i="2"/>
  <c r="G9223" i="2"/>
  <c r="D9222" i="2"/>
  <c r="G9222" i="2"/>
  <c r="G9221" i="2"/>
  <c r="D9221" i="2"/>
  <c r="D9220" i="2"/>
  <c r="G9220" i="2"/>
  <c r="G9219" i="2"/>
  <c r="D9219" i="2"/>
  <c r="G9218" i="2"/>
  <c r="D9218" i="2"/>
  <c r="G9217" i="2"/>
  <c r="D9217" i="2"/>
  <c r="G9216" i="2"/>
  <c r="D9216" i="2"/>
  <c r="G9215" i="2"/>
  <c r="D9215" i="2"/>
  <c r="D9214" i="2"/>
  <c r="G9214" i="2"/>
  <c r="G9213" i="2"/>
  <c r="D9213" i="2"/>
  <c r="G9212" i="2"/>
  <c r="D9212" i="2"/>
  <c r="G9211" i="2"/>
  <c r="D9211" i="2"/>
  <c r="G9210" i="2"/>
  <c r="D9210" i="2"/>
  <c r="D9209" i="2"/>
  <c r="G9209" i="2"/>
  <c r="G9208" i="2"/>
  <c r="D9208" i="2"/>
  <c r="G9207" i="2"/>
  <c r="D9207" i="2"/>
  <c r="G9206" i="2"/>
  <c r="D9206" i="2"/>
  <c r="G9205" i="2"/>
  <c r="D9205" i="2"/>
  <c r="G9204" i="2"/>
  <c r="D9204" i="2"/>
  <c r="G9203" i="2"/>
  <c r="D9203" i="2"/>
  <c r="D9202" i="2"/>
  <c r="G9202" i="2"/>
  <c r="D9201" i="2"/>
  <c r="G9201" i="2"/>
  <c r="D9200" i="2"/>
  <c r="G9200" i="2"/>
  <c r="G9199" i="2"/>
  <c r="D9199" i="2"/>
  <c r="G9198" i="2"/>
  <c r="D9198" i="2"/>
  <c r="G9197" i="2"/>
  <c r="D9197" i="2"/>
  <c r="G9196" i="2"/>
  <c r="D9196" i="2"/>
  <c r="G9195" i="2"/>
  <c r="D9195" i="2"/>
  <c r="G9194" i="2"/>
  <c r="D9194" i="2"/>
  <c r="G9193" i="2"/>
  <c r="D9193" i="2"/>
  <c r="D9192" i="2"/>
  <c r="G9192" i="2"/>
  <c r="G9191" i="2"/>
  <c r="D9191" i="2"/>
  <c r="G9190" i="2"/>
  <c r="D9190" i="2"/>
  <c r="G9189" i="2"/>
  <c r="D9189" i="2"/>
  <c r="G9188" i="2"/>
  <c r="D9188" i="2"/>
  <c r="G9187" i="2"/>
  <c r="D9187" i="2"/>
  <c r="D9186" i="2"/>
  <c r="G9186" i="2"/>
  <c r="G9185" i="2"/>
  <c r="D9185" i="2"/>
  <c r="D9184" i="2"/>
  <c r="G9184" i="2"/>
  <c r="G9183" i="2"/>
  <c r="D9183" i="2"/>
  <c r="G9182" i="2"/>
  <c r="D9182" i="2"/>
  <c r="G9181" i="2"/>
  <c r="D9181" i="2"/>
  <c r="D9180" i="2"/>
  <c r="G9180" i="2"/>
  <c r="G9179" i="2"/>
  <c r="D9179" i="2"/>
  <c r="D9178" i="2"/>
  <c r="G9178" i="2"/>
  <c r="G9177" i="2"/>
  <c r="D9177" i="2"/>
  <c r="D9176" i="2"/>
  <c r="G9176" i="2"/>
  <c r="D9175" i="2"/>
  <c r="G9175" i="2"/>
  <c r="G9174" i="2"/>
  <c r="D9174" i="2"/>
  <c r="G9173" i="2"/>
  <c r="D9173" i="2"/>
  <c r="G9172" i="2"/>
  <c r="D9172" i="2"/>
  <c r="G9171" i="2"/>
  <c r="D9171" i="2"/>
  <c r="G9170" i="2"/>
  <c r="D9170" i="2"/>
  <c r="G9169" i="2"/>
  <c r="D9169" i="2"/>
  <c r="G9168" i="2"/>
  <c r="D9168" i="2"/>
  <c r="G9167" i="2"/>
  <c r="D9167" i="2"/>
  <c r="G9166" i="2"/>
  <c r="D9166" i="2"/>
  <c r="G9165" i="2"/>
  <c r="D9165" i="2"/>
  <c r="D9164" i="2"/>
  <c r="G9164" i="2"/>
  <c r="G9163" i="2"/>
  <c r="D9163" i="2"/>
  <c r="D9162" i="2"/>
  <c r="D9161" i="2"/>
  <c r="G9160" i="2"/>
  <c r="D9160" i="2"/>
  <c r="D9159" i="2"/>
  <c r="G9158" i="2"/>
  <c r="D9158" i="2"/>
  <c r="G9157" i="2"/>
  <c r="D9157" i="2"/>
  <c r="G9156" i="2"/>
  <c r="D9156" i="2"/>
  <c r="G9155" i="2"/>
  <c r="D9155" i="2"/>
  <c r="D9154" i="2"/>
  <c r="G9154" i="2"/>
  <c r="G9153" i="2"/>
  <c r="D9153" i="2"/>
  <c r="G9152" i="2"/>
  <c r="D9152" i="2"/>
  <c r="G9151" i="2"/>
  <c r="D9151" i="2"/>
  <c r="G9150" i="2"/>
  <c r="D9150" i="2"/>
  <c r="G9149" i="2"/>
  <c r="D9149" i="2"/>
  <c r="G9148" i="2"/>
  <c r="D9148" i="2"/>
  <c r="D9147" i="2"/>
  <c r="G9147" i="2"/>
  <c r="D9146" i="2"/>
  <c r="G9146" i="2"/>
  <c r="D9145" i="2"/>
  <c r="G9144" i="2"/>
  <c r="D9144" i="2"/>
  <c r="G9143" i="2"/>
  <c r="D9143" i="2"/>
  <c r="G9142" i="2"/>
  <c r="D9142" i="2"/>
  <c r="G9141" i="2"/>
  <c r="D9141" i="2"/>
  <c r="G9140" i="2"/>
  <c r="D9140" i="2"/>
  <c r="G9139" i="2"/>
  <c r="D9139" i="2"/>
  <c r="D9138" i="2"/>
  <c r="G9138" i="2"/>
  <c r="G9137" i="2"/>
  <c r="D9137" i="2"/>
  <c r="D9136" i="2"/>
  <c r="G9136" i="2"/>
  <c r="D9135" i="2"/>
  <c r="G9135" i="2"/>
  <c r="D9134" i="2"/>
  <c r="G9134" i="2"/>
  <c r="D9133" i="2"/>
  <c r="G9133" i="2"/>
  <c r="D9132" i="2"/>
  <c r="G9132" i="2"/>
  <c r="D9131" i="2"/>
  <c r="G9131" i="2"/>
  <c r="D9130" i="2"/>
  <c r="G9130" i="2"/>
  <c r="D9129" i="2"/>
  <c r="G9129" i="2"/>
  <c r="D9128" i="2"/>
  <c r="G9128" i="2"/>
  <c r="G9127" i="2"/>
  <c r="D9127" i="2"/>
  <c r="D9126" i="2"/>
  <c r="G9126" i="2"/>
  <c r="G9125" i="2"/>
  <c r="D9125" i="2"/>
  <c r="D9124" i="2"/>
  <c r="G9124" i="2"/>
  <c r="D9123" i="2"/>
  <c r="G9123" i="2"/>
  <c r="G9122" i="2"/>
  <c r="D9122" i="2"/>
  <c r="G9121" i="2"/>
  <c r="D9121" i="2"/>
  <c r="D9120" i="2"/>
  <c r="G9120" i="2"/>
  <c r="G9119" i="2"/>
  <c r="D9119" i="2"/>
  <c r="G9118" i="2"/>
  <c r="D9118" i="2"/>
  <c r="D9117" i="2"/>
  <c r="G9117" i="2"/>
  <c r="D9116" i="2"/>
  <c r="G9116" i="2"/>
  <c r="G9115" i="2"/>
  <c r="D9115" i="2"/>
  <c r="D9114" i="2"/>
  <c r="G9114" i="2"/>
  <c r="D9113" i="2"/>
  <c r="G9113" i="2"/>
  <c r="G9112" i="2"/>
  <c r="D9112" i="2"/>
  <c r="D9111" i="2"/>
  <c r="G9111" i="2"/>
  <c r="D9110" i="2"/>
  <c r="G9110" i="2"/>
  <c r="D9109" i="2"/>
  <c r="G9109" i="2"/>
  <c r="D9108" i="2"/>
  <c r="G9108" i="2"/>
  <c r="D9107" i="2"/>
  <c r="D9106" i="2"/>
  <c r="D9105" i="2"/>
  <c r="G9105" i="2"/>
  <c r="D9104" i="2"/>
  <c r="G9104" i="2"/>
  <c r="G9103" i="2"/>
  <c r="D9103" i="2"/>
  <c r="G9102" i="2"/>
  <c r="D9102" i="2"/>
  <c r="D9101" i="2"/>
  <c r="G9101" i="2"/>
  <c r="D9100" i="2"/>
  <c r="G9100" i="2"/>
  <c r="D9099" i="2"/>
  <c r="D9098" i="2"/>
  <c r="D9097" i="2"/>
  <c r="G9097" i="2"/>
  <c r="G9096" i="2"/>
  <c r="D9096" i="2"/>
  <c r="D9095" i="2"/>
  <c r="G9095" i="2"/>
  <c r="D9094" i="2"/>
  <c r="G9094" i="2"/>
  <c r="D9093" i="2"/>
  <c r="G9093" i="2"/>
  <c r="D9092" i="2"/>
  <c r="G9092" i="2"/>
  <c r="G9091" i="2"/>
  <c r="D9091" i="2"/>
  <c r="G9090" i="2"/>
  <c r="D9090" i="2"/>
  <c r="G9089" i="2"/>
  <c r="D9089" i="2"/>
  <c r="D9088" i="2"/>
  <c r="G9088" i="2"/>
  <c r="D9087" i="2"/>
  <c r="G9087" i="2"/>
  <c r="G9086" i="2"/>
  <c r="D9086" i="2"/>
  <c r="D9085" i="2"/>
  <c r="G9085" i="2"/>
  <c r="G9084" i="2"/>
  <c r="D9084" i="2"/>
  <c r="D9083" i="2"/>
  <c r="G9083" i="2"/>
  <c r="G9082" i="2"/>
  <c r="D9082" i="2"/>
  <c r="G9081" i="2"/>
  <c r="D9081" i="2"/>
  <c r="G9080" i="2"/>
  <c r="D9080" i="2"/>
  <c r="G9079" i="2"/>
  <c r="D9079" i="2"/>
  <c r="G9078" i="2"/>
  <c r="D9078" i="2"/>
  <c r="G9077" i="2"/>
  <c r="D9077" i="2"/>
  <c r="G9076" i="2"/>
  <c r="D9076" i="2"/>
  <c r="G9075" i="2"/>
  <c r="D9075" i="2"/>
  <c r="D9074" i="2"/>
  <c r="G9074" i="2"/>
  <c r="D9073" i="2"/>
  <c r="G9073" i="2"/>
  <c r="D9072" i="2"/>
  <c r="G9072" i="2"/>
  <c r="G9071" i="2"/>
  <c r="D9071" i="2"/>
  <c r="G9070" i="2"/>
  <c r="D9070" i="2"/>
  <c r="G9069" i="2"/>
  <c r="D9069" i="2"/>
  <c r="D9068" i="2"/>
  <c r="G9068" i="2"/>
  <c r="G9067" i="2"/>
  <c r="D9067" i="2"/>
  <c r="G9066" i="2"/>
  <c r="D9066" i="2"/>
  <c r="D9065" i="2"/>
  <c r="G9065" i="2"/>
  <c r="D9064" i="2"/>
  <c r="G9064" i="2"/>
  <c r="D9063" i="2"/>
  <c r="G9062" i="2"/>
  <c r="D9062" i="2"/>
  <c r="D9061" i="2"/>
  <c r="D9060" i="2"/>
  <c r="G9060" i="2"/>
  <c r="D9059" i="2"/>
  <c r="G9059" i="2"/>
  <c r="D9058" i="2"/>
  <c r="G9058" i="2"/>
  <c r="D9057" i="2"/>
  <c r="G9057" i="2"/>
  <c r="D9056" i="2"/>
  <c r="G9056" i="2"/>
  <c r="D9055" i="2"/>
  <c r="G9055" i="2"/>
  <c r="G9054" i="2"/>
  <c r="D9054" i="2"/>
  <c r="G9053" i="2"/>
  <c r="D9053" i="2"/>
  <c r="G9052" i="2"/>
  <c r="D9052" i="2"/>
  <c r="D9051" i="2"/>
  <c r="G9051" i="2"/>
  <c r="G9050" i="2"/>
  <c r="D9050" i="2"/>
  <c r="G9049" i="2"/>
  <c r="D9049" i="2"/>
  <c r="G9048" i="2"/>
  <c r="D9048" i="2"/>
  <c r="G9047" i="2"/>
  <c r="D9047" i="2"/>
  <c r="G9046" i="2"/>
  <c r="D9046" i="2"/>
  <c r="D9045" i="2"/>
  <c r="G9045" i="2"/>
  <c r="G9044" i="2"/>
  <c r="D9044" i="2"/>
  <c r="D9043" i="2"/>
  <c r="G9043" i="2"/>
  <c r="G9042" i="2"/>
  <c r="D9042" i="2"/>
  <c r="D9041" i="2"/>
  <c r="D9040" i="2"/>
  <c r="G9040" i="2"/>
  <c r="G9039" i="2"/>
  <c r="D9039" i="2"/>
  <c r="G9038" i="2"/>
  <c r="D9038" i="2"/>
  <c r="G9037" i="2"/>
  <c r="D9037" i="2"/>
  <c r="D9036" i="2"/>
  <c r="G9036" i="2"/>
  <c r="G9035" i="2"/>
  <c r="D9035" i="2"/>
  <c r="D9034" i="2"/>
  <c r="G9034" i="2"/>
  <c r="D9033" i="2"/>
  <c r="G9033" i="2"/>
  <c r="D9032" i="2"/>
  <c r="G9031" i="2"/>
  <c r="D9031" i="2"/>
  <c r="G9030" i="2"/>
  <c r="D9030" i="2"/>
  <c r="D9029" i="2"/>
  <c r="G9029" i="2"/>
  <c r="G9028" i="2"/>
  <c r="D9028" i="2"/>
  <c r="G9027" i="2"/>
  <c r="D9027" i="2"/>
  <c r="G9026" i="2"/>
  <c r="D9026" i="2"/>
  <c r="G9025" i="2"/>
  <c r="D9025" i="2"/>
  <c r="G9024" i="2"/>
  <c r="D9024" i="2"/>
  <c r="D9023" i="2"/>
  <c r="G9023" i="2"/>
  <c r="G9022" i="2"/>
  <c r="D9022" i="2"/>
  <c r="D9021" i="2"/>
  <c r="G9021" i="2"/>
  <c r="D9020" i="2"/>
  <c r="G9020" i="2"/>
  <c r="D9019" i="2"/>
  <c r="G9019" i="2"/>
  <c r="G9018" i="2"/>
  <c r="D9018" i="2"/>
  <c r="G9017" i="2"/>
  <c r="D9017" i="2"/>
  <c r="G9016" i="2"/>
  <c r="D9016" i="2"/>
  <c r="G9015" i="2"/>
  <c r="D9015" i="2"/>
  <c r="G9014" i="2"/>
  <c r="D9014" i="2"/>
  <c r="G9013" i="2"/>
  <c r="D9013" i="2"/>
  <c r="G9012" i="2"/>
  <c r="D9012" i="2"/>
  <c r="G9011" i="2"/>
  <c r="D9011" i="2"/>
  <c r="D9010" i="2"/>
  <c r="G9010" i="2"/>
  <c r="D9009" i="2"/>
  <c r="G9009" i="2"/>
  <c r="D9008" i="2"/>
  <c r="G9008" i="2"/>
  <c r="G9007" i="2"/>
  <c r="D9007" i="2"/>
  <c r="G9006" i="2"/>
  <c r="D9006" i="2"/>
  <c r="D9005" i="2"/>
  <c r="G9005" i="2"/>
  <c r="G9004" i="2"/>
  <c r="D9004" i="2"/>
  <c r="G9003" i="2"/>
  <c r="D9003" i="2"/>
  <c r="G9002" i="2"/>
  <c r="D9002" i="2"/>
  <c r="G9001" i="2"/>
  <c r="D9001" i="2"/>
  <c r="G9000" i="2"/>
  <c r="D9000" i="2"/>
  <c r="D8999" i="2"/>
  <c r="G8999" i="2"/>
  <c r="G8998" i="2"/>
  <c r="D8998" i="2"/>
  <c r="G8997" i="2"/>
  <c r="D8997" i="2"/>
  <c r="G8996" i="2"/>
  <c r="D8996" i="2"/>
  <c r="D8995" i="2"/>
  <c r="G8995" i="2"/>
  <c r="D8994" i="2"/>
  <c r="G8994" i="2"/>
  <c r="D8993" i="2"/>
  <c r="G8993" i="2"/>
  <c r="G8992" i="2"/>
  <c r="D8992" i="2"/>
  <c r="D8991" i="2"/>
  <c r="G8991" i="2"/>
  <c r="D8990" i="2"/>
  <c r="G8990" i="2"/>
  <c r="D8989" i="2"/>
  <c r="G8989" i="2"/>
  <c r="D8988" i="2"/>
  <c r="G8988" i="2"/>
  <c r="D8987" i="2"/>
  <c r="G8987" i="2"/>
  <c r="G8986" i="2"/>
  <c r="D8986" i="2"/>
  <c r="G8985" i="2"/>
  <c r="D8985" i="2"/>
  <c r="G8984" i="2"/>
  <c r="D8984" i="2"/>
  <c r="G8983" i="2"/>
  <c r="D8983" i="2"/>
  <c r="G8982" i="2"/>
  <c r="D8982" i="2"/>
  <c r="G8981" i="2"/>
  <c r="D8981" i="2"/>
  <c r="G8980" i="2"/>
  <c r="D8980" i="2"/>
  <c r="D8979" i="2"/>
  <c r="G8979" i="2"/>
  <c r="G8978" i="2"/>
  <c r="D8978" i="2"/>
  <c r="D8977" i="2"/>
  <c r="G8977" i="2"/>
  <c r="D8976" i="2"/>
  <c r="G8976" i="2"/>
  <c r="D8975" i="2"/>
  <c r="G8975" i="2"/>
  <c r="G8974" i="2"/>
  <c r="D8974" i="2"/>
  <c r="G8973" i="2"/>
  <c r="D8973" i="2"/>
  <c r="G8972" i="2"/>
  <c r="D8972" i="2"/>
  <c r="G8971" i="2"/>
  <c r="D8971" i="2"/>
  <c r="G8970" i="2"/>
  <c r="D8970" i="2"/>
  <c r="G8969" i="2"/>
  <c r="D8969" i="2"/>
  <c r="G8968" i="2"/>
  <c r="D8968" i="2"/>
  <c r="G8967" i="2"/>
  <c r="D8967" i="2"/>
  <c r="D8966" i="2"/>
  <c r="D8965" i="2"/>
  <c r="G8965" i="2"/>
  <c r="D8964" i="2"/>
  <c r="G8964" i="2"/>
  <c r="G8963" i="2"/>
  <c r="D8963" i="2"/>
  <c r="D8962" i="2"/>
  <c r="G8962" i="2"/>
  <c r="G8961" i="2"/>
  <c r="D8961" i="2"/>
  <c r="G8960" i="2"/>
  <c r="D8960" i="2"/>
  <c r="G8959" i="2"/>
  <c r="D8959" i="2"/>
  <c r="G8958" i="2"/>
  <c r="D8958" i="2"/>
  <c r="G8957" i="2"/>
  <c r="D8957" i="2"/>
  <c r="G8956" i="2"/>
  <c r="D8956" i="2"/>
  <c r="D8955" i="2"/>
  <c r="G8955" i="2"/>
  <c r="G8954" i="2"/>
  <c r="D8954" i="2"/>
  <c r="G8953" i="2"/>
  <c r="D8953" i="2"/>
  <c r="G8952" i="2"/>
  <c r="D8952" i="2"/>
  <c r="D8951" i="2"/>
  <c r="G8951" i="2"/>
  <c r="D8950" i="2"/>
  <c r="G8950" i="2"/>
  <c r="D8949" i="2"/>
  <c r="G8949" i="2"/>
  <c r="G8948" i="2"/>
  <c r="D8948" i="2"/>
  <c r="G8947" i="2"/>
  <c r="D8947" i="2"/>
  <c r="G8946" i="2"/>
  <c r="D8946" i="2"/>
  <c r="G8945" i="2"/>
  <c r="D8945" i="2"/>
  <c r="D8944" i="2"/>
  <c r="G8944" i="2"/>
  <c r="G8943" i="2"/>
  <c r="D8943" i="2"/>
  <c r="G8942" i="2"/>
  <c r="D8942" i="2"/>
  <c r="G8941" i="2"/>
  <c r="D8941" i="2"/>
  <c r="D8940" i="2"/>
  <c r="G8940" i="2"/>
  <c r="G8939" i="2"/>
  <c r="D8939" i="2"/>
  <c r="G8938" i="2"/>
  <c r="D8938" i="2"/>
  <c r="D8937" i="2"/>
  <c r="G8937" i="2"/>
  <c r="G8936" i="2"/>
  <c r="D8936" i="2"/>
  <c r="D8935" i="2"/>
  <c r="G8935" i="2"/>
  <c r="G8934" i="2"/>
  <c r="D8934" i="2"/>
  <c r="G8933" i="2"/>
  <c r="D8933" i="2"/>
  <c r="G8932" i="2"/>
  <c r="D8932" i="2"/>
  <c r="G8931" i="2"/>
  <c r="D8931" i="2"/>
  <c r="G8930" i="2"/>
  <c r="D8930" i="2"/>
  <c r="D8929" i="2"/>
  <c r="G8929" i="2"/>
  <c r="D8928" i="2"/>
  <c r="G8928" i="2"/>
  <c r="G8927" i="2"/>
  <c r="D8927" i="2"/>
  <c r="D8926" i="2"/>
  <c r="G8926" i="2"/>
  <c r="G8925" i="2"/>
  <c r="D8925" i="2"/>
  <c r="G8924" i="2"/>
  <c r="D8924" i="2"/>
  <c r="D8923" i="2"/>
  <c r="G8923" i="2"/>
  <c r="G8922" i="2"/>
  <c r="D8922" i="2"/>
  <c r="G8921" i="2"/>
  <c r="D8921" i="2"/>
  <c r="D8920" i="2"/>
  <c r="G8920" i="2"/>
  <c r="G8919" i="2"/>
  <c r="D8919" i="2"/>
  <c r="G8918" i="2"/>
  <c r="D8918" i="2"/>
  <c r="D8917" i="2"/>
  <c r="G8917" i="2"/>
  <c r="G8916" i="2"/>
  <c r="D8916" i="2"/>
  <c r="G8915" i="2"/>
  <c r="D8915" i="2"/>
  <c r="G8914" i="2"/>
  <c r="D8914" i="2"/>
  <c r="G8913" i="2"/>
  <c r="D8913" i="2"/>
  <c r="G8912" i="2"/>
  <c r="D8912" i="2"/>
  <c r="D8911" i="2"/>
  <c r="G8911" i="2"/>
  <c r="G8910" i="2"/>
  <c r="D8910" i="2"/>
  <c r="D8909" i="2"/>
  <c r="G8909" i="2"/>
  <c r="D8908" i="2"/>
  <c r="G8908" i="2"/>
  <c r="D8907" i="2"/>
  <c r="G8907" i="2"/>
  <c r="G8906" i="2"/>
  <c r="D8906" i="2"/>
  <c r="D8905" i="2"/>
  <c r="G8905" i="2"/>
  <c r="G8904" i="2"/>
  <c r="D8904" i="2"/>
  <c r="G8903" i="2"/>
  <c r="D8903" i="2"/>
  <c r="G8902" i="2"/>
  <c r="D8902" i="2"/>
  <c r="D8901" i="2"/>
  <c r="G8901" i="2"/>
  <c r="D8900" i="2"/>
  <c r="G8900" i="2"/>
  <c r="G8899" i="2"/>
  <c r="D8899" i="2"/>
  <c r="G8898" i="2"/>
  <c r="D8898" i="2"/>
  <c r="D8897" i="2"/>
  <c r="G8897" i="2"/>
  <c r="D8896" i="2"/>
  <c r="G8896" i="2"/>
  <c r="G8895" i="2"/>
  <c r="D8895" i="2"/>
  <c r="G8894" i="2"/>
  <c r="D8894" i="2"/>
  <c r="G8893" i="2"/>
  <c r="D8893" i="2"/>
  <c r="D8892" i="2"/>
  <c r="G8891" i="2"/>
  <c r="D8891" i="2"/>
  <c r="G8890" i="2"/>
  <c r="D8890" i="2"/>
  <c r="G8889" i="2"/>
  <c r="D8889" i="2"/>
  <c r="G8888" i="2"/>
  <c r="D8888" i="2"/>
  <c r="G8887" i="2"/>
  <c r="D8887" i="2"/>
  <c r="G8886" i="2"/>
  <c r="D8886" i="2"/>
  <c r="G8885" i="2"/>
  <c r="D8885" i="2"/>
  <c r="G8884" i="2"/>
  <c r="D8884" i="2"/>
  <c r="D8883" i="2"/>
  <c r="G8883" i="2"/>
  <c r="D8882" i="2"/>
  <c r="G8882" i="2"/>
  <c r="D8881" i="2"/>
  <c r="G8881" i="2"/>
  <c r="G8880" i="2"/>
  <c r="D8880" i="2"/>
  <c r="G8879" i="2"/>
  <c r="D8879" i="2"/>
  <c r="G8878" i="2"/>
  <c r="D8878" i="2"/>
  <c r="G8877" i="2"/>
  <c r="D8877" i="2"/>
  <c r="G8876" i="2"/>
  <c r="D8876" i="2"/>
  <c r="G8875" i="2"/>
  <c r="D8875" i="2"/>
  <c r="G8874" i="2"/>
  <c r="D8874" i="2"/>
  <c r="G8873" i="2"/>
  <c r="D8873" i="2"/>
  <c r="G8872" i="2"/>
  <c r="D8872" i="2"/>
  <c r="D8871" i="2"/>
  <c r="G8871" i="2"/>
  <c r="G8870" i="2"/>
  <c r="D8870" i="2"/>
  <c r="G8869" i="2"/>
  <c r="D8869" i="2"/>
  <c r="G8868" i="2"/>
  <c r="D8868" i="2"/>
  <c r="D8867" i="2"/>
  <c r="G8867" i="2"/>
  <c r="D8866" i="2"/>
  <c r="G8866" i="2"/>
  <c r="D8865" i="2"/>
  <c r="G8865" i="2"/>
  <c r="G8864" i="2"/>
  <c r="D8864" i="2"/>
  <c r="G8863" i="2"/>
  <c r="D8863" i="2"/>
  <c r="D8862" i="2"/>
  <c r="D8861" i="2"/>
  <c r="G8861" i="2"/>
  <c r="D8860" i="2"/>
  <c r="G8860" i="2"/>
  <c r="G8859" i="2"/>
  <c r="D8859" i="2"/>
  <c r="G8858" i="2"/>
  <c r="D8858" i="2"/>
  <c r="G8857" i="2"/>
  <c r="D8857" i="2"/>
  <c r="G8856" i="2"/>
  <c r="D8856" i="2"/>
  <c r="G8855" i="2"/>
  <c r="D8855" i="2"/>
  <c r="D8854" i="2"/>
  <c r="G8854" i="2"/>
  <c r="D8853" i="2"/>
  <c r="G8853" i="2"/>
  <c r="D8852" i="2"/>
  <c r="G8852" i="2"/>
  <c r="G8851" i="2"/>
  <c r="D8851" i="2"/>
  <c r="D8850" i="2"/>
  <c r="G8850" i="2"/>
  <c r="D8849" i="2"/>
  <c r="G8849" i="2"/>
  <c r="G8848" i="2"/>
  <c r="D8848" i="2"/>
  <c r="G8847" i="2"/>
  <c r="D8847" i="2"/>
  <c r="G8846" i="2"/>
  <c r="D8846" i="2"/>
  <c r="D8845" i="2"/>
  <c r="G8845" i="2"/>
  <c r="D8844" i="2"/>
  <c r="G8844" i="2"/>
  <c r="G8843" i="2"/>
  <c r="D8843" i="2"/>
  <c r="G8842" i="2"/>
  <c r="D8842" i="2"/>
  <c r="G8841" i="2"/>
  <c r="D8841" i="2"/>
  <c r="G8840" i="2"/>
  <c r="D8840" i="2"/>
  <c r="G8839" i="2"/>
  <c r="D8839" i="2"/>
  <c r="G8838" i="2"/>
  <c r="D8838" i="2"/>
  <c r="G8837" i="2"/>
  <c r="D8837" i="2"/>
  <c r="G8836" i="2"/>
  <c r="D8836" i="2"/>
  <c r="G8835" i="2"/>
  <c r="D8835" i="2"/>
  <c r="G8834" i="2"/>
  <c r="D8834" i="2"/>
  <c r="G8833" i="2"/>
  <c r="D8833" i="2"/>
  <c r="G8832" i="2"/>
  <c r="D8832" i="2"/>
  <c r="G8831" i="2"/>
  <c r="D8831" i="2"/>
  <c r="G8830" i="2"/>
  <c r="D8830" i="2"/>
  <c r="G8829" i="2"/>
  <c r="D8829" i="2"/>
  <c r="G8828" i="2"/>
  <c r="D8828" i="2"/>
  <c r="G8827" i="2"/>
  <c r="D8827" i="2"/>
  <c r="G8826" i="2"/>
  <c r="D8826" i="2"/>
  <c r="G8825" i="2"/>
  <c r="D8825" i="2"/>
  <c r="G8824" i="2"/>
  <c r="D8824" i="2"/>
  <c r="G8823" i="2"/>
  <c r="D8823" i="2"/>
  <c r="G8822" i="2"/>
  <c r="D8822" i="2"/>
  <c r="G8821" i="2"/>
  <c r="D8821" i="2"/>
  <c r="G8820" i="2"/>
  <c r="D8820" i="2"/>
  <c r="G8819" i="2"/>
  <c r="D8819" i="2"/>
  <c r="G8818" i="2"/>
  <c r="D8818" i="2"/>
  <c r="D8817" i="2"/>
  <c r="G8817" i="2"/>
  <c r="D8816" i="2"/>
  <c r="G8816" i="2"/>
  <c r="D8815" i="2"/>
  <c r="G8815" i="2"/>
  <c r="G8814" i="2"/>
  <c r="D8814" i="2"/>
  <c r="D8813" i="2"/>
  <c r="G8813" i="2"/>
  <c r="D8812" i="2"/>
  <c r="G8812" i="2"/>
  <c r="G8811" i="2"/>
  <c r="D8811" i="2"/>
  <c r="D8810" i="2"/>
  <c r="G8810" i="2"/>
  <c r="G8809" i="2"/>
  <c r="D8809" i="2"/>
  <c r="G8808" i="2"/>
  <c r="D8808" i="2"/>
  <c r="D8807" i="2"/>
  <c r="G8807" i="2"/>
  <c r="D8806" i="2"/>
  <c r="G8806" i="2"/>
  <c r="D8805" i="2"/>
  <c r="G8805" i="2"/>
  <c r="G8804" i="2"/>
  <c r="D8804" i="2"/>
  <c r="D8803" i="2"/>
  <c r="G8803" i="2"/>
  <c r="D8802" i="2"/>
  <c r="G8802" i="2"/>
  <c r="D8801" i="2"/>
  <c r="G8801" i="2"/>
  <c r="G8800" i="2"/>
  <c r="D8800" i="2"/>
  <c r="D8799" i="2"/>
  <c r="G8799" i="2"/>
  <c r="D8798" i="2"/>
  <c r="G8798" i="2"/>
  <c r="G8797" i="2"/>
  <c r="D8797" i="2"/>
  <c r="G8796" i="2"/>
  <c r="D8796" i="2"/>
  <c r="G8795" i="2"/>
  <c r="D8795" i="2"/>
  <c r="G8794" i="2"/>
  <c r="D8794" i="2"/>
  <c r="G8793" i="2"/>
  <c r="D8793" i="2"/>
  <c r="G8792" i="2"/>
  <c r="D8792" i="2"/>
  <c r="D8791" i="2"/>
  <c r="G8791" i="2"/>
  <c r="D8790" i="2"/>
  <c r="G8790" i="2"/>
  <c r="G8789" i="2"/>
  <c r="D8789" i="2"/>
  <c r="D8788" i="2"/>
  <c r="G8788" i="2"/>
  <c r="G8787" i="2"/>
  <c r="D8787" i="2"/>
  <c r="G8786" i="2"/>
  <c r="D8786" i="2"/>
  <c r="D8785" i="2"/>
  <c r="G8785" i="2"/>
  <c r="D8784" i="2"/>
  <c r="G8784" i="2"/>
  <c r="G8783" i="2"/>
  <c r="D8783" i="2"/>
  <c r="D8782" i="2"/>
  <c r="G8782" i="2"/>
  <c r="G8781" i="2"/>
  <c r="D8781" i="2"/>
  <c r="G8780" i="2"/>
  <c r="D8780" i="2"/>
  <c r="G8779" i="2"/>
  <c r="D8779" i="2"/>
  <c r="D8778" i="2"/>
  <c r="G8778" i="2"/>
  <c r="D8777" i="2"/>
  <c r="G8777" i="2"/>
  <c r="D8776" i="2"/>
  <c r="G8776" i="2"/>
  <c r="D8775" i="2"/>
  <c r="G8775" i="2"/>
  <c r="D8774" i="2"/>
  <c r="G8774" i="2"/>
  <c r="G8773" i="2"/>
  <c r="D8773" i="2"/>
  <c r="G8772" i="2"/>
  <c r="D8772" i="2"/>
  <c r="G8771" i="2"/>
  <c r="D8771" i="2"/>
  <c r="D8770" i="2"/>
  <c r="G8770" i="2"/>
  <c r="G8769" i="2"/>
  <c r="D8769" i="2"/>
  <c r="D8768" i="2"/>
  <c r="G8768" i="2"/>
  <c r="D8767" i="2"/>
  <c r="G8767" i="2"/>
  <c r="G8766" i="2"/>
  <c r="D8766" i="2"/>
  <c r="G8765" i="2"/>
  <c r="D8765" i="2"/>
  <c r="G8764" i="2"/>
  <c r="D8764" i="2"/>
  <c r="G8763" i="2"/>
  <c r="D8763" i="2"/>
  <c r="G8762" i="2"/>
  <c r="D8762" i="2"/>
  <c r="D8761" i="2"/>
  <c r="G8761" i="2"/>
  <c r="G8760" i="2"/>
  <c r="D8760" i="2"/>
  <c r="D8759" i="2"/>
  <c r="G8759" i="2"/>
  <c r="D8758" i="2"/>
  <c r="G8758" i="2"/>
  <c r="G8757" i="2"/>
  <c r="D8757" i="2"/>
  <c r="G8756" i="2"/>
  <c r="D8756" i="2"/>
  <c r="G8755" i="2"/>
  <c r="D8755" i="2"/>
  <c r="G8754" i="2"/>
  <c r="D8754" i="2"/>
  <c r="G8753" i="2"/>
  <c r="D8753" i="2"/>
  <c r="G8752" i="2"/>
  <c r="D8752" i="2"/>
  <c r="G8751" i="2"/>
  <c r="D8751" i="2"/>
  <c r="D8750" i="2"/>
  <c r="G8750" i="2"/>
  <c r="D8749" i="2"/>
  <c r="D8748" i="2"/>
  <c r="G8748" i="2"/>
  <c r="D8747" i="2"/>
  <c r="G8747" i="2"/>
  <c r="D8746" i="2"/>
  <c r="G8746" i="2"/>
  <c r="D8745" i="2"/>
  <c r="G8745" i="2"/>
  <c r="D8744" i="2"/>
  <c r="G8744" i="2"/>
  <c r="G8743" i="2"/>
  <c r="D8743" i="2"/>
  <c r="G8742" i="2"/>
  <c r="D8742" i="2"/>
  <c r="G8741" i="2"/>
  <c r="D8741" i="2"/>
  <c r="G8740" i="2"/>
  <c r="D8740" i="2"/>
  <c r="D8739" i="2"/>
  <c r="G8739" i="2"/>
  <c r="G8738" i="2"/>
  <c r="D8738" i="2"/>
  <c r="G8737" i="2"/>
  <c r="D8737" i="2"/>
  <c r="G8736" i="2"/>
  <c r="D8736" i="2"/>
  <c r="D8735" i="2"/>
  <c r="G8735" i="2"/>
  <c r="G8734" i="2"/>
  <c r="D8734" i="2"/>
  <c r="D8733" i="2"/>
  <c r="G8733" i="2"/>
  <c r="D8732" i="2"/>
  <c r="G8732" i="2"/>
  <c r="G8731" i="2"/>
  <c r="D8731" i="2"/>
  <c r="D8730" i="2"/>
  <c r="G8730" i="2"/>
  <c r="D8729" i="2"/>
  <c r="G8729" i="2"/>
  <c r="G8728" i="2"/>
  <c r="D8728" i="2"/>
  <c r="D8727" i="2"/>
  <c r="G8727" i="2"/>
  <c r="G8726" i="2"/>
  <c r="D8726" i="2"/>
  <c r="G8725" i="2"/>
  <c r="D8725" i="2"/>
  <c r="G8724" i="2"/>
  <c r="D8724" i="2"/>
  <c r="G8723" i="2"/>
  <c r="D8723" i="2"/>
  <c r="D8722" i="2"/>
  <c r="G8722" i="2"/>
  <c r="D8721" i="2"/>
  <c r="G8721" i="2"/>
  <c r="D8720" i="2"/>
  <c r="G8720" i="2"/>
  <c r="D8719" i="2"/>
  <c r="G8719" i="2"/>
  <c r="G8718" i="2"/>
  <c r="D8718" i="2"/>
  <c r="D8717" i="2"/>
  <c r="G8717" i="2"/>
  <c r="D8716" i="2"/>
  <c r="G8716" i="2"/>
  <c r="D8715" i="2"/>
  <c r="G8715" i="2"/>
  <c r="D8714" i="2"/>
  <c r="G8714" i="2"/>
  <c r="D8713" i="2"/>
  <c r="G8713" i="2"/>
  <c r="D8712" i="2"/>
  <c r="G8712" i="2"/>
  <c r="G8711" i="2"/>
  <c r="D8711" i="2"/>
  <c r="G8710" i="2"/>
  <c r="D8710" i="2"/>
  <c r="D8709" i="2"/>
  <c r="G8709" i="2"/>
  <c r="D8708" i="2"/>
  <c r="G8708" i="2"/>
  <c r="G8707" i="2"/>
  <c r="D8707" i="2"/>
  <c r="D8706" i="2"/>
  <c r="G8706" i="2"/>
  <c r="G8705" i="2"/>
  <c r="D8705" i="2"/>
  <c r="G8704" i="2"/>
  <c r="D8704" i="2"/>
  <c r="G8703" i="2"/>
  <c r="D8703" i="2"/>
  <c r="G8702" i="2"/>
  <c r="D8702" i="2"/>
  <c r="G8701" i="2"/>
  <c r="D8701" i="2"/>
  <c r="D8700" i="2"/>
  <c r="G8700" i="2"/>
  <c r="G8699" i="2"/>
  <c r="D8699" i="2"/>
  <c r="G8698" i="2"/>
  <c r="D8698" i="2"/>
  <c r="G8697" i="2"/>
  <c r="D8697" i="2"/>
  <c r="G8696" i="2"/>
  <c r="D8696" i="2"/>
  <c r="G8695" i="2"/>
  <c r="D8695" i="2"/>
  <c r="D8694" i="2"/>
  <c r="G8694" i="2"/>
  <c r="D8693" i="2"/>
  <c r="G8693" i="2"/>
  <c r="G8692" i="2"/>
  <c r="D8692" i="2"/>
  <c r="G8691" i="2"/>
  <c r="D8691" i="2"/>
  <c r="D8690" i="2"/>
  <c r="G8690" i="2"/>
  <c r="G8689" i="2"/>
  <c r="D8689" i="2"/>
  <c r="D8688" i="2"/>
  <c r="G8688" i="2"/>
  <c r="D8687" i="2"/>
  <c r="G8687" i="2"/>
  <c r="G8686" i="2"/>
  <c r="D8686" i="2"/>
  <c r="D8685" i="2"/>
  <c r="G8685" i="2"/>
  <c r="D8684" i="2"/>
  <c r="G8684" i="2"/>
  <c r="D8683" i="2"/>
  <c r="G8683" i="2"/>
  <c r="G8682" i="2"/>
  <c r="D8682" i="2"/>
  <c r="D8681" i="2"/>
  <c r="G8681" i="2"/>
  <c r="G8680" i="2"/>
  <c r="D8680" i="2"/>
  <c r="D8679" i="2"/>
  <c r="G8679" i="2"/>
  <c r="D8678" i="2"/>
  <c r="G8678" i="2"/>
  <c r="G8677" i="2"/>
  <c r="D8677" i="2"/>
  <c r="G8676" i="2"/>
  <c r="D8676" i="2"/>
  <c r="D8675" i="2"/>
  <c r="G8675" i="2"/>
  <c r="D8674" i="2"/>
  <c r="G8674" i="2"/>
  <c r="D8673" i="2"/>
  <c r="G8673" i="2"/>
  <c r="G8672" i="2"/>
  <c r="D8672" i="2"/>
  <c r="D8671" i="2"/>
  <c r="G8671" i="2"/>
  <c r="D8670" i="2"/>
  <c r="G8670" i="2"/>
  <c r="D8669" i="2"/>
  <c r="G8669" i="2"/>
  <c r="D8668" i="2"/>
  <c r="G8668" i="2"/>
  <c r="G8667" i="2"/>
  <c r="D8667" i="2"/>
  <c r="G8666" i="2"/>
  <c r="D8666" i="2"/>
  <c r="G8665" i="2"/>
  <c r="D8665" i="2"/>
  <c r="G8664" i="2"/>
  <c r="D8664" i="2"/>
  <c r="G8663" i="2"/>
  <c r="D8663" i="2"/>
  <c r="D8662" i="2"/>
  <c r="G8662" i="2"/>
  <c r="G8661" i="2"/>
  <c r="D8661" i="2"/>
  <c r="D8660" i="2"/>
  <c r="G8660" i="2"/>
  <c r="D8659" i="2"/>
  <c r="G8659" i="2"/>
  <c r="G8658" i="2"/>
  <c r="D8658" i="2"/>
  <c r="G8657" i="2"/>
  <c r="D8657" i="2"/>
  <c r="G8656" i="2"/>
  <c r="D8656" i="2"/>
  <c r="D8655" i="2"/>
  <c r="G8655" i="2"/>
  <c r="D8654" i="2"/>
  <c r="G8654" i="2"/>
  <c r="G8653" i="2"/>
  <c r="D8653" i="2"/>
  <c r="G8652" i="2"/>
  <c r="D8652" i="2"/>
  <c r="G8651" i="2"/>
  <c r="D8651" i="2"/>
  <c r="G8650" i="2"/>
  <c r="D8650" i="2"/>
  <c r="D8649" i="2"/>
  <c r="G8649" i="2"/>
  <c r="G8648" i="2"/>
  <c r="D8648" i="2"/>
  <c r="G8647" i="2"/>
  <c r="D8647" i="2"/>
  <c r="D8646" i="2"/>
  <c r="G8646" i="2"/>
  <c r="G8645" i="2"/>
  <c r="D8645" i="2"/>
  <c r="D8644" i="2"/>
  <c r="G8644" i="2"/>
  <c r="G8643" i="2"/>
  <c r="D8643" i="2"/>
  <c r="D8642" i="2"/>
  <c r="G8642" i="2"/>
  <c r="G8641" i="2"/>
  <c r="D8641" i="2"/>
  <c r="D8640" i="2"/>
  <c r="G8640" i="2"/>
  <c r="G8639" i="2"/>
  <c r="D8639" i="2"/>
  <c r="D8638" i="2"/>
  <c r="G8638" i="2"/>
  <c r="D8637" i="2"/>
  <c r="G8637" i="2"/>
  <c r="D8636" i="2"/>
  <c r="G8636" i="2"/>
  <c r="G8635" i="2"/>
  <c r="D8635" i="2"/>
  <c r="G8634" i="2"/>
  <c r="D8634" i="2"/>
  <c r="G8633" i="2"/>
  <c r="D8633" i="2"/>
  <c r="D8632" i="2"/>
  <c r="G8632" i="2"/>
  <c r="D8631" i="2"/>
  <c r="G8631" i="2"/>
  <c r="D8630" i="2"/>
  <c r="G8630" i="2"/>
  <c r="G8629" i="2"/>
  <c r="D8629" i="2"/>
  <c r="D8628" i="2"/>
  <c r="G8628" i="2"/>
  <c r="D8627" i="2"/>
  <c r="G8627" i="2"/>
  <c r="G8626" i="2"/>
  <c r="D8626" i="2"/>
  <c r="D8625" i="2"/>
  <c r="G8625" i="2"/>
  <c r="D8624" i="2"/>
  <c r="G8623" i="2"/>
  <c r="D8623" i="2"/>
  <c r="D8622" i="2"/>
  <c r="G8622" i="2"/>
  <c r="G8621" i="2"/>
  <c r="D8621" i="2"/>
  <c r="G8620" i="2"/>
  <c r="D8620" i="2"/>
  <c r="G8619" i="2"/>
  <c r="D8619" i="2"/>
  <c r="G8618" i="2"/>
  <c r="D8618" i="2"/>
  <c r="D8617" i="2"/>
  <c r="G8617" i="2"/>
  <c r="G8616" i="2"/>
  <c r="D8616" i="2"/>
  <c r="D8615" i="2"/>
  <c r="G8614" i="2"/>
  <c r="D8614" i="2"/>
  <c r="G8613" i="2"/>
  <c r="D8613" i="2"/>
  <c r="G8612" i="2"/>
  <c r="D8612" i="2"/>
  <c r="G8611" i="2"/>
  <c r="D8611" i="2"/>
  <c r="D8610" i="2"/>
  <c r="G8610" i="2"/>
  <c r="D8609" i="2"/>
  <c r="G8609" i="2"/>
  <c r="D8608" i="2"/>
  <c r="G8608" i="2"/>
  <c r="G8607" i="2"/>
  <c r="D8607" i="2"/>
  <c r="G8606" i="2"/>
  <c r="D8606" i="2"/>
  <c r="G8605" i="2"/>
  <c r="D8605" i="2"/>
  <c r="G8604" i="2"/>
  <c r="D8604" i="2"/>
  <c r="G8603" i="2"/>
  <c r="D8603" i="2"/>
  <c r="D8602" i="2"/>
  <c r="G8602" i="2"/>
  <c r="G8601" i="2"/>
  <c r="D8601" i="2"/>
  <c r="G8600" i="2"/>
  <c r="D8600" i="2"/>
  <c r="G8599" i="2"/>
  <c r="D8599" i="2"/>
  <c r="D8598" i="2"/>
  <c r="G8598" i="2"/>
  <c r="D8597" i="2"/>
  <c r="G8597" i="2"/>
  <c r="G8596" i="2"/>
  <c r="D8596" i="2"/>
  <c r="G8595" i="2"/>
  <c r="D8595" i="2"/>
  <c r="G8594" i="2"/>
  <c r="D8594" i="2"/>
  <c r="G8593" i="2"/>
  <c r="D8593" i="2"/>
  <c r="G8592" i="2"/>
  <c r="D8592" i="2"/>
  <c r="D8591" i="2"/>
  <c r="G8591" i="2"/>
  <c r="G8590" i="2"/>
  <c r="D8590" i="2"/>
  <c r="G8589" i="2"/>
  <c r="D8589" i="2"/>
  <c r="G8588" i="2"/>
  <c r="D8588" i="2"/>
  <c r="G8587" i="2"/>
  <c r="D8587" i="2"/>
  <c r="D8586" i="2"/>
  <c r="G8586" i="2"/>
  <c r="D8585" i="2"/>
  <c r="G8585" i="2"/>
  <c r="D8584" i="2"/>
  <c r="G8584" i="2"/>
  <c r="D8583" i="2"/>
  <c r="G8583" i="2"/>
  <c r="G8582" i="2"/>
  <c r="D8582" i="2"/>
  <c r="G8581" i="2"/>
  <c r="D8581" i="2"/>
  <c r="G8580" i="2"/>
  <c r="D8580" i="2"/>
  <c r="G8579" i="2"/>
  <c r="D8579" i="2"/>
  <c r="D8578" i="2"/>
  <c r="G8578" i="2"/>
  <c r="G8577" i="2"/>
  <c r="D8577" i="2"/>
  <c r="D8576" i="2"/>
  <c r="G8576" i="2"/>
  <c r="G8575" i="2"/>
  <c r="D8575" i="2"/>
  <c r="G8574" i="2"/>
  <c r="D8574" i="2"/>
  <c r="G8573" i="2"/>
  <c r="D8573" i="2"/>
  <c r="G8572" i="2"/>
  <c r="D8572" i="2"/>
  <c r="G8571" i="2"/>
  <c r="D8571" i="2"/>
  <c r="G8570" i="2"/>
  <c r="D8570" i="2"/>
  <c r="D8569" i="2"/>
  <c r="G8569" i="2"/>
  <c r="G8568" i="2"/>
  <c r="D8568" i="2"/>
  <c r="G8567" i="2"/>
  <c r="D8567" i="2"/>
  <c r="G8566" i="2"/>
  <c r="D8566" i="2"/>
  <c r="G8565" i="2"/>
  <c r="D8565" i="2"/>
  <c r="G8564" i="2"/>
  <c r="D8564" i="2"/>
  <c r="D8563" i="2"/>
  <c r="G8563" i="2"/>
  <c r="D8562" i="2"/>
  <c r="G8562" i="2"/>
  <c r="D8561" i="2"/>
  <c r="G8561" i="2"/>
  <c r="G8560" i="2"/>
  <c r="D8560" i="2"/>
  <c r="G8559" i="2"/>
  <c r="D8559" i="2"/>
  <c r="G8558" i="2"/>
  <c r="D8558" i="2"/>
  <c r="D8557" i="2"/>
  <c r="G8557" i="2"/>
  <c r="D8556" i="2"/>
  <c r="G8556" i="2"/>
  <c r="G8555" i="2"/>
  <c r="D8555" i="2"/>
  <c r="D8554" i="2"/>
  <c r="G8554" i="2"/>
  <c r="G8553" i="2"/>
  <c r="D8553" i="2"/>
  <c r="D8552" i="2"/>
  <c r="G8552" i="2"/>
  <c r="G8551" i="2"/>
  <c r="D8551" i="2"/>
  <c r="D8550" i="2"/>
  <c r="G8550" i="2"/>
  <c r="G8549" i="2"/>
  <c r="D8549" i="2"/>
  <c r="G8548" i="2"/>
  <c r="D8548" i="2"/>
  <c r="G8547" i="2"/>
  <c r="D8547" i="2"/>
  <c r="G8546" i="2"/>
  <c r="D8546" i="2"/>
  <c r="G8545" i="2"/>
  <c r="D8545" i="2"/>
  <c r="G8544" i="2"/>
  <c r="D8544" i="2"/>
  <c r="G8543" i="2"/>
  <c r="D8543" i="2"/>
  <c r="G8542" i="2"/>
  <c r="D8542" i="2"/>
  <c r="G8541" i="2"/>
  <c r="D8541" i="2"/>
  <c r="G8540" i="2"/>
  <c r="D8540" i="2"/>
  <c r="G8539" i="2"/>
  <c r="D8539" i="2"/>
  <c r="D8538" i="2"/>
  <c r="G8538" i="2"/>
  <c r="G8537" i="2"/>
  <c r="D8537" i="2"/>
  <c r="D8536" i="2"/>
  <c r="G8536" i="2"/>
  <c r="G8535" i="2"/>
  <c r="D8535" i="2"/>
  <c r="D8534" i="2"/>
  <c r="G8534" i="2"/>
  <c r="G8533" i="2"/>
  <c r="D8533" i="2"/>
  <c r="G8532" i="2"/>
  <c r="D8532" i="2"/>
  <c r="G8531" i="2"/>
  <c r="D8531" i="2"/>
  <c r="D8530" i="2"/>
  <c r="G8530" i="2"/>
  <c r="D8529" i="2"/>
  <c r="G8529" i="2"/>
  <c r="G8528" i="2"/>
  <c r="D8528" i="2"/>
  <c r="G8527" i="2"/>
  <c r="D8527" i="2"/>
  <c r="G8526" i="2"/>
  <c r="D8526" i="2"/>
  <c r="G8525" i="2"/>
  <c r="D8525" i="2"/>
  <c r="G8524" i="2"/>
  <c r="D8524" i="2"/>
  <c r="G8523" i="2"/>
  <c r="D8523" i="2"/>
  <c r="D8522" i="2"/>
  <c r="G8522" i="2"/>
  <c r="G8521" i="2"/>
  <c r="D8521" i="2"/>
  <c r="G8520" i="2"/>
  <c r="D8520" i="2"/>
  <c r="G8519" i="2"/>
  <c r="D8519" i="2"/>
  <c r="G8518" i="2"/>
  <c r="D8518" i="2"/>
  <c r="D8517" i="2"/>
  <c r="G8517" i="2"/>
  <c r="D8516" i="2"/>
  <c r="G8516" i="2"/>
  <c r="G8515" i="2"/>
  <c r="D8515" i="2"/>
  <c r="G8514" i="2"/>
  <c r="D8514" i="2"/>
  <c r="D8513" i="2"/>
  <c r="G8513" i="2"/>
  <c r="D8512" i="2"/>
  <c r="G8512" i="2"/>
  <c r="D8511" i="2"/>
  <c r="G8511" i="2"/>
  <c r="G8510" i="2"/>
  <c r="D8510" i="2"/>
  <c r="G8509" i="2"/>
  <c r="D8509" i="2"/>
  <c r="D8508" i="2"/>
  <c r="G8508" i="2"/>
  <c r="G8507" i="2"/>
  <c r="D8507" i="2"/>
  <c r="G8506" i="2"/>
  <c r="D8506" i="2"/>
  <c r="G8505" i="2"/>
  <c r="D8505" i="2"/>
  <c r="D8504" i="2"/>
  <c r="G8504" i="2"/>
  <c r="G8503" i="2"/>
  <c r="D8503" i="2"/>
  <c r="D8502" i="2"/>
  <c r="G8502" i="2"/>
  <c r="D8501" i="2"/>
  <c r="G8501" i="2"/>
  <c r="G8500" i="2"/>
  <c r="D8500" i="2"/>
  <c r="D8499" i="2"/>
  <c r="G8499" i="2"/>
  <c r="D8498" i="2"/>
  <c r="G8498" i="2"/>
  <c r="D8497" i="2"/>
  <c r="G8497" i="2"/>
  <c r="D8496" i="2"/>
  <c r="G8496" i="2"/>
  <c r="D8495" i="2"/>
  <c r="G8495" i="2"/>
  <c r="G8494" i="2"/>
  <c r="D8494" i="2"/>
  <c r="D8493" i="2"/>
  <c r="G8493" i="2"/>
  <c r="G8492" i="2"/>
  <c r="D8492" i="2"/>
  <c r="G8491" i="2"/>
  <c r="D8491" i="2"/>
  <c r="G8490" i="2"/>
  <c r="D8490" i="2"/>
  <c r="D8489" i="2"/>
  <c r="G8489" i="2"/>
  <c r="D8488" i="2"/>
  <c r="G8488" i="2"/>
  <c r="D8487" i="2"/>
  <c r="G8487" i="2"/>
  <c r="G8486" i="2"/>
  <c r="D8486" i="2"/>
  <c r="G8485" i="2"/>
  <c r="D8485" i="2"/>
  <c r="D8484" i="2"/>
  <c r="G8484" i="2"/>
  <c r="G8483" i="2"/>
  <c r="D8483" i="2"/>
  <c r="D8482" i="2"/>
  <c r="G8482" i="2"/>
  <c r="D8481" i="2"/>
  <c r="G8481" i="2"/>
  <c r="D8480" i="2"/>
  <c r="G8480" i="2"/>
  <c r="G8479" i="2"/>
  <c r="D8479" i="2"/>
  <c r="D8478" i="2"/>
  <c r="G8478" i="2"/>
  <c r="D8477" i="2"/>
  <c r="G8477" i="2"/>
  <c r="D8476" i="2"/>
  <c r="G8476" i="2"/>
  <c r="G8475" i="2"/>
  <c r="D8475" i="2"/>
  <c r="G8474" i="2"/>
  <c r="D8474" i="2"/>
  <c r="D8473" i="2"/>
  <c r="G8473" i="2"/>
  <c r="D8472" i="2"/>
  <c r="G8472" i="2"/>
  <c r="G8471" i="2"/>
  <c r="D8471" i="2"/>
  <c r="G8470" i="2"/>
  <c r="D8470" i="2"/>
  <c r="G8469" i="2"/>
  <c r="D8469" i="2"/>
  <c r="G8468" i="2"/>
  <c r="D8468" i="2"/>
  <c r="D8467" i="2"/>
  <c r="G8467" i="2"/>
  <c r="D8466" i="2"/>
  <c r="G8466" i="2"/>
  <c r="G8465" i="2"/>
  <c r="D8465" i="2"/>
  <c r="D8464" i="2"/>
  <c r="G8464" i="2"/>
  <c r="G8463" i="2"/>
  <c r="D8463" i="2"/>
  <c r="G8462" i="2"/>
  <c r="D8462" i="2"/>
  <c r="G8461" i="2"/>
  <c r="D8461" i="2"/>
  <c r="G8460" i="2"/>
  <c r="D8460" i="2"/>
  <c r="G8459" i="2"/>
  <c r="D8459" i="2"/>
  <c r="D8458" i="2"/>
  <c r="G8458" i="2"/>
  <c r="G8457" i="2"/>
  <c r="D8457" i="2"/>
  <c r="G8456" i="2"/>
  <c r="D8456" i="2"/>
  <c r="G8455" i="2"/>
  <c r="D8455" i="2"/>
  <c r="G8454" i="2"/>
  <c r="D8454" i="2"/>
  <c r="D8453" i="2"/>
  <c r="G8453" i="2"/>
  <c r="G8452" i="2"/>
  <c r="D8452" i="2"/>
  <c r="D8451" i="2"/>
  <c r="G8451" i="2"/>
  <c r="G8450" i="2"/>
  <c r="D8450" i="2"/>
  <c r="D8449" i="2"/>
  <c r="G8449" i="2"/>
  <c r="D8448" i="2"/>
  <c r="G8448" i="2"/>
  <c r="D8447" i="2"/>
  <c r="G8447" i="2"/>
  <c r="D8446" i="2"/>
  <c r="G8446" i="2"/>
  <c r="G8445" i="2"/>
  <c r="D8445" i="2"/>
  <c r="G8444" i="2"/>
  <c r="D8444" i="2"/>
  <c r="G8443" i="2"/>
  <c r="D8443" i="2"/>
  <c r="D8442" i="2"/>
  <c r="G8442" i="2"/>
  <c r="D8441" i="2"/>
  <c r="G8441" i="2"/>
  <c r="G8440" i="2"/>
  <c r="D8440" i="2"/>
  <c r="G8439" i="2"/>
  <c r="D8439" i="2"/>
  <c r="G8438" i="2"/>
  <c r="D8438" i="2"/>
  <c r="G8437" i="2"/>
  <c r="D8437" i="2"/>
  <c r="D8436" i="2"/>
  <c r="G8436" i="2"/>
  <c r="G8435" i="2"/>
  <c r="D8435" i="2"/>
  <c r="G8434" i="2"/>
  <c r="D8434" i="2"/>
  <c r="D8433" i="2"/>
  <c r="G8433" i="2"/>
  <c r="G8432" i="2"/>
  <c r="D8432" i="2"/>
  <c r="G8431" i="2"/>
  <c r="D8431" i="2"/>
  <c r="G8430" i="2"/>
  <c r="D8430" i="2"/>
  <c r="D8429" i="2"/>
  <c r="G8429" i="2"/>
  <c r="D8428" i="2"/>
  <c r="G8428" i="2"/>
  <c r="D8427" i="2"/>
  <c r="G8427" i="2"/>
  <c r="G8426" i="2"/>
  <c r="D8426" i="2"/>
  <c r="D8425" i="2"/>
  <c r="G8425" i="2"/>
  <c r="D8424" i="2"/>
  <c r="G8424" i="2"/>
  <c r="G8423" i="2"/>
  <c r="D8423" i="2"/>
  <c r="D8422" i="2"/>
  <c r="G8422" i="2"/>
  <c r="G8421" i="2"/>
  <c r="D8421" i="2"/>
  <c r="G8420" i="2"/>
  <c r="D8420" i="2"/>
  <c r="D8419" i="2"/>
  <c r="G8419" i="2"/>
  <c r="G8418" i="2"/>
  <c r="D8418" i="2"/>
  <c r="G8417" i="2"/>
  <c r="D8417" i="2"/>
  <c r="D8416" i="2"/>
  <c r="G8416" i="2"/>
  <c r="D8415" i="2"/>
  <c r="G8415" i="2"/>
  <c r="D8414" i="2"/>
  <c r="G8414" i="2"/>
  <c r="D8413" i="2"/>
  <c r="G8413" i="2"/>
  <c r="D8412" i="2"/>
  <c r="G8412" i="2"/>
  <c r="D8411" i="2"/>
  <c r="G8411" i="2"/>
  <c r="D8410" i="2"/>
  <c r="G8410" i="2"/>
  <c r="D8409" i="2"/>
  <c r="G8409" i="2"/>
  <c r="D8408" i="2"/>
  <c r="G8408" i="2"/>
  <c r="D8407" i="2"/>
  <c r="G8407" i="2"/>
  <c r="D8406" i="2"/>
  <c r="G8406" i="2"/>
  <c r="G8405" i="2"/>
  <c r="D8405" i="2"/>
  <c r="G8404" i="2"/>
  <c r="D8404" i="2"/>
  <c r="G8403" i="2"/>
  <c r="D8403" i="2"/>
  <c r="G8402" i="2"/>
  <c r="D8402" i="2"/>
  <c r="D8401" i="2"/>
  <c r="G8401" i="2"/>
  <c r="D8400" i="2"/>
  <c r="G8400" i="2"/>
  <c r="G8399" i="2"/>
  <c r="D8399" i="2"/>
  <c r="G8398" i="2"/>
  <c r="D8398" i="2"/>
  <c r="D8397" i="2"/>
  <c r="G8397" i="2"/>
  <c r="G8396" i="2"/>
  <c r="D8396" i="2"/>
  <c r="G8395" i="2"/>
  <c r="D8395" i="2"/>
  <c r="G8394" i="2"/>
  <c r="D8394" i="2"/>
  <c r="G8393" i="2"/>
  <c r="D8393" i="2"/>
  <c r="D8392" i="2"/>
  <c r="G8392" i="2"/>
  <c r="G8391" i="2"/>
  <c r="D8391" i="2"/>
  <c r="G8390" i="2"/>
  <c r="D8390" i="2"/>
  <c r="G8389" i="2"/>
  <c r="D8389" i="2"/>
  <c r="G8388" i="2"/>
  <c r="D8388" i="2"/>
  <c r="G8387" i="2"/>
  <c r="D8387" i="2"/>
  <c r="G8386" i="2"/>
  <c r="D8386" i="2"/>
  <c r="G8385" i="2"/>
  <c r="D8385" i="2"/>
  <c r="G8384" i="2"/>
  <c r="D8384" i="2"/>
  <c r="D8383" i="2"/>
  <c r="G8383" i="2"/>
  <c r="D8382" i="2"/>
  <c r="G8382" i="2"/>
  <c r="G8381" i="2"/>
  <c r="D8381" i="2"/>
  <c r="G8380" i="2"/>
  <c r="D8380" i="2"/>
  <c r="G8379" i="2"/>
  <c r="D8379" i="2"/>
  <c r="D8378" i="2"/>
  <c r="G8378" i="2"/>
  <c r="G8377" i="2"/>
  <c r="D8377" i="2"/>
  <c r="G8376" i="2"/>
  <c r="D8376" i="2"/>
  <c r="G8375" i="2"/>
  <c r="D8375" i="2"/>
  <c r="D8374" i="2"/>
  <c r="G8374" i="2"/>
  <c r="G8373" i="2"/>
  <c r="D8373" i="2"/>
  <c r="D8372" i="2"/>
  <c r="G8372" i="2"/>
  <c r="D8371" i="2"/>
  <c r="G8371" i="2"/>
  <c r="D8370" i="2"/>
  <c r="G8370" i="2"/>
  <c r="D8369" i="2"/>
  <c r="G8369" i="2"/>
  <c r="G8368" i="2"/>
  <c r="D8368" i="2"/>
  <c r="D8367" i="2"/>
  <c r="G8367" i="2"/>
  <c r="D8366" i="2"/>
  <c r="G8366" i="2"/>
  <c r="G8365" i="2"/>
  <c r="D8365" i="2"/>
  <c r="D8364" i="2"/>
  <c r="G8364" i="2"/>
  <c r="D8363" i="2"/>
  <c r="G8363" i="2"/>
  <c r="D8362" i="2"/>
  <c r="G8362" i="2"/>
  <c r="G8361" i="2"/>
  <c r="D8361" i="2"/>
  <c r="G8360" i="2"/>
  <c r="D8360" i="2"/>
  <c r="D8359" i="2"/>
  <c r="G8359" i="2"/>
  <c r="D8358" i="2"/>
  <c r="G8358" i="2"/>
  <c r="G8357" i="2"/>
  <c r="D8357" i="2"/>
  <c r="G8356" i="2"/>
  <c r="D8356" i="2"/>
  <c r="G8355" i="2"/>
  <c r="D8355" i="2"/>
  <c r="D8354" i="2"/>
  <c r="G8354" i="2"/>
  <c r="G8353" i="2"/>
  <c r="D8353" i="2"/>
  <c r="D8352" i="2"/>
  <c r="G8352" i="2"/>
  <c r="D8351" i="2"/>
  <c r="G8351" i="2"/>
  <c r="G8350" i="2"/>
  <c r="D8350" i="2"/>
  <c r="G8349" i="2"/>
  <c r="D8349" i="2"/>
  <c r="G8348" i="2"/>
  <c r="D8348" i="2"/>
  <c r="G8347" i="2"/>
  <c r="D8347" i="2"/>
  <c r="G8346" i="2"/>
  <c r="D8346" i="2"/>
  <c r="G8345" i="2"/>
  <c r="D8345" i="2"/>
  <c r="G8344" i="2"/>
  <c r="D8344" i="2"/>
  <c r="D8343" i="2"/>
  <c r="G8343" i="2"/>
  <c r="G8342" i="2"/>
  <c r="D8342" i="2"/>
  <c r="G8341" i="2"/>
  <c r="D8341" i="2"/>
  <c r="D8340" i="2"/>
  <c r="G8340" i="2"/>
  <c r="D8339" i="2"/>
  <c r="G8339" i="2"/>
  <c r="D8338" i="2"/>
  <c r="G8338" i="2"/>
  <c r="G8337" i="2"/>
  <c r="D8337" i="2"/>
  <c r="D8336" i="2"/>
  <c r="G8336" i="2"/>
  <c r="D8335" i="2"/>
  <c r="G8335" i="2"/>
  <c r="G8334" i="2"/>
  <c r="D8334" i="2"/>
  <c r="G8333" i="2"/>
  <c r="D8333" i="2"/>
  <c r="D8332" i="2"/>
  <c r="G8332" i="2"/>
  <c r="G8331" i="2"/>
  <c r="D8331" i="2"/>
  <c r="G8330" i="2"/>
  <c r="D8330" i="2"/>
  <c r="G8329" i="2"/>
  <c r="D8329" i="2"/>
  <c r="G8328" i="2"/>
  <c r="D8328" i="2"/>
  <c r="G8327" i="2"/>
  <c r="D8327" i="2"/>
  <c r="D8326" i="2"/>
  <c r="G8326" i="2"/>
  <c r="D8325" i="2"/>
  <c r="G8325" i="2"/>
  <c r="G8324" i="2"/>
  <c r="D8324" i="2"/>
  <c r="G8323" i="2"/>
  <c r="D8323" i="2"/>
  <c r="G8322" i="2"/>
  <c r="D8322" i="2"/>
  <c r="G8321" i="2"/>
  <c r="D8321" i="2"/>
  <c r="G8320" i="2"/>
  <c r="D8320" i="2"/>
  <c r="G8319" i="2"/>
  <c r="D8319" i="2"/>
  <c r="G8318" i="2"/>
  <c r="D8318" i="2"/>
  <c r="G8317" i="2"/>
  <c r="D8317" i="2"/>
  <c r="G8316" i="2"/>
  <c r="D8316" i="2"/>
  <c r="G8315" i="2"/>
  <c r="D8315" i="2"/>
  <c r="G8314" i="2"/>
  <c r="D8314" i="2"/>
  <c r="G8313" i="2"/>
  <c r="D8313" i="2"/>
  <c r="G8312" i="2"/>
  <c r="D8312" i="2"/>
  <c r="G8311" i="2"/>
  <c r="D8311" i="2"/>
  <c r="G8310" i="2"/>
  <c r="D8310" i="2"/>
  <c r="G8309" i="2"/>
  <c r="D8309" i="2"/>
  <c r="G8308" i="2"/>
  <c r="D8308" i="2"/>
  <c r="G8307" i="2"/>
  <c r="D8307" i="2"/>
  <c r="G8306" i="2"/>
  <c r="D8306" i="2"/>
  <c r="G8305" i="2"/>
  <c r="D8305" i="2"/>
  <c r="D8304" i="2"/>
  <c r="G8304" i="2"/>
  <c r="G8303" i="2"/>
  <c r="D8303" i="2"/>
  <c r="D8302" i="2"/>
  <c r="G8302" i="2"/>
  <c r="G8301" i="2"/>
  <c r="D8301" i="2"/>
  <c r="G8300" i="2"/>
  <c r="D8300" i="2"/>
  <c r="D8299" i="2"/>
  <c r="G8299" i="2"/>
  <c r="D8298" i="2"/>
  <c r="G8298" i="2"/>
  <c r="G8297" i="2"/>
  <c r="D8297" i="2"/>
  <c r="D8296" i="2"/>
  <c r="G8296" i="2"/>
  <c r="G8295" i="2"/>
  <c r="D8295" i="2"/>
  <c r="D8294" i="2"/>
  <c r="G8294" i="2"/>
  <c r="G8293" i="2"/>
  <c r="D8293" i="2"/>
  <c r="D8292" i="2"/>
  <c r="G8292" i="2"/>
  <c r="G8291" i="2"/>
  <c r="D8291" i="2"/>
  <c r="G8290" i="2"/>
  <c r="D8290" i="2"/>
  <c r="G8289" i="2"/>
  <c r="D8289" i="2"/>
  <c r="G8288" i="2"/>
  <c r="D8288" i="2"/>
  <c r="G8287" i="2"/>
  <c r="D8287" i="2"/>
  <c r="G8286" i="2"/>
  <c r="D8286" i="2"/>
  <c r="G8285" i="2"/>
  <c r="D8285" i="2"/>
  <c r="G8284" i="2"/>
  <c r="D8284" i="2"/>
  <c r="D8283" i="2"/>
  <c r="G8283" i="2"/>
  <c r="G8282" i="2"/>
  <c r="D8282" i="2"/>
  <c r="D8281" i="2"/>
  <c r="G8281" i="2"/>
  <c r="D8280" i="2"/>
  <c r="G8280" i="2"/>
  <c r="G8279" i="2"/>
  <c r="D8279" i="2"/>
  <c r="D8278" i="2"/>
  <c r="G8278" i="2"/>
  <c r="D8277" i="2"/>
  <c r="G8277" i="2"/>
  <c r="D8276" i="2"/>
  <c r="G8276" i="2"/>
  <c r="D8275" i="2"/>
  <c r="G8275" i="2"/>
  <c r="D8274" i="2"/>
  <c r="G8274" i="2"/>
  <c r="G8273" i="2"/>
  <c r="D8273" i="2"/>
  <c r="G8272" i="2"/>
  <c r="D8272" i="2"/>
  <c r="G8271" i="2"/>
  <c r="D8271" i="2"/>
  <c r="D8270" i="2"/>
  <c r="G8270" i="2"/>
  <c r="D8269" i="2"/>
  <c r="G8269" i="2"/>
  <c r="D8268" i="2"/>
  <c r="G8268" i="2"/>
  <c r="D8267" i="2"/>
  <c r="G8267" i="2"/>
  <c r="D8266" i="2"/>
  <c r="G8266" i="2"/>
  <c r="D8265" i="2"/>
  <c r="G8265" i="2"/>
  <c r="D8264" i="2"/>
  <c r="G8264" i="2"/>
  <c r="G8263" i="2"/>
  <c r="D8263" i="2"/>
  <c r="G8262" i="2"/>
  <c r="D8262" i="2"/>
  <c r="D8261" i="2"/>
  <c r="G8261" i="2"/>
  <c r="D8260" i="2"/>
  <c r="G8260" i="2"/>
  <c r="G8259" i="2"/>
  <c r="D8259" i="2"/>
  <c r="G8258" i="2"/>
  <c r="D8258" i="2"/>
  <c r="G8257" i="2"/>
  <c r="D8257" i="2"/>
  <c r="G8256" i="2"/>
  <c r="D8256" i="2"/>
  <c r="G8255" i="2"/>
  <c r="D8255" i="2"/>
  <c r="G8254" i="2"/>
  <c r="D8254" i="2"/>
  <c r="G8253" i="2"/>
  <c r="D8253" i="2"/>
  <c r="G8252" i="2"/>
  <c r="D8252" i="2"/>
  <c r="D8251" i="2"/>
  <c r="G8251" i="2"/>
  <c r="D8250" i="2"/>
  <c r="G8250" i="2"/>
  <c r="D8249" i="2"/>
  <c r="G8249" i="2"/>
  <c r="D8248" i="2"/>
  <c r="G8248" i="2"/>
  <c r="G8247" i="2"/>
  <c r="D8247" i="2"/>
  <c r="G8246" i="2"/>
  <c r="D8246" i="2"/>
  <c r="D8245" i="2"/>
  <c r="G8245" i="2"/>
  <c r="G8244" i="2"/>
  <c r="D8244" i="2"/>
  <c r="G8243" i="2"/>
  <c r="D8243" i="2"/>
  <c r="D8242" i="2"/>
  <c r="G8242" i="2"/>
  <c r="G8241" i="2"/>
  <c r="D8241" i="2"/>
  <c r="G8240" i="2"/>
  <c r="D8240" i="2"/>
  <c r="G8239" i="2"/>
  <c r="D8239" i="2"/>
  <c r="G8238" i="2"/>
  <c r="D8238" i="2"/>
  <c r="G8237" i="2"/>
  <c r="D8237" i="2"/>
  <c r="G8236" i="2"/>
  <c r="D8236" i="2"/>
  <c r="D8235" i="2"/>
  <c r="G8235" i="2"/>
  <c r="D8234" i="2"/>
  <c r="G8234" i="2"/>
  <c r="G8233" i="2"/>
  <c r="D8233" i="2"/>
  <c r="G8232" i="2"/>
  <c r="D8232" i="2"/>
  <c r="D8231" i="2"/>
  <c r="G8231" i="2"/>
  <c r="D8230" i="2"/>
  <c r="G8230" i="2"/>
  <c r="D8229" i="2"/>
  <c r="G8229" i="2"/>
  <c r="D8228" i="2"/>
  <c r="G8228" i="2"/>
  <c r="D8227" i="2"/>
  <c r="G8227" i="2"/>
  <c r="G8226" i="2"/>
  <c r="D8226" i="2"/>
  <c r="D8225" i="2"/>
  <c r="G8225" i="2"/>
  <c r="G8224" i="2"/>
  <c r="D8224" i="2"/>
  <c r="G8223" i="2"/>
  <c r="D8223" i="2"/>
  <c r="G8222" i="2"/>
  <c r="D8222" i="2"/>
  <c r="D8221" i="2"/>
  <c r="G8221" i="2"/>
  <c r="G8220" i="2"/>
  <c r="D8220" i="2"/>
  <c r="D8219" i="2"/>
  <c r="G8219" i="2"/>
  <c r="D8218" i="2"/>
  <c r="G8218" i="2"/>
  <c r="D8217" i="2"/>
  <c r="G8217" i="2"/>
  <c r="D8216" i="2"/>
  <c r="G8216" i="2"/>
  <c r="D8215" i="2"/>
  <c r="G8215" i="2"/>
  <c r="G8214" i="2"/>
  <c r="D8214" i="2"/>
  <c r="D8213" i="2"/>
  <c r="G8213" i="2"/>
  <c r="G8212" i="2"/>
  <c r="D8212" i="2"/>
  <c r="G8211" i="2"/>
  <c r="D8211" i="2"/>
  <c r="G8210" i="2"/>
  <c r="D8210" i="2"/>
  <c r="D8209" i="2"/>
  <c r="G8209" i="2"/>
  <c r="D8208" i="2"/>
  <c r="G8208" i="2"/>
  <c r="G8207" i="2"/>
  <c r="D8207" i="2"/>
  <c r="G8206" i="2"/>
  <c r="D8206" i="2"/>
  <c r="G8205" i="2"/>
  <c r="D8205" i="2"/>
  <c r="G8204" i="2"/>
  <c r="D8204" i="2"/>
  <c r="G8203" i="2"/>
  <c r="D8203" i="2"/>
  <c r="G8202" i="2"/>
  <c r="D8202" i="2"/>
  <c r="G8201" i="2"/>
  <c r="D8201" i="2"/>
  <c r="D8200" i="2"/>
  <c r="G8200" i="2"/>
  <c r="G8199" i="2"/>
  <c r="D8199" i="2"/>
  <c r="G8198" i="2"/>
  <c r="D8198" i="2"/>
  <c r="G8197" i="2"/>
  <c r="D8197" i="2"/>
  <c r="G8196" i="2"/>
  <c r="D8196" i="2"/>
  <c r="G8195" i="2"/>
  <c r="D8195" i="2"/>
  <c r="G8194" i="2"/>
  <c r="D8194" i="2"/>
  <c r="G8193" i="2"/>
  <c r="D8193" i="2"/>
  <c r="G8192" i="2"/>
  <c r="D8192" i="2"/>
  <c r="G8191" i="2"/>
  <c r="D8191" i="2"/>
  <c r="G8190" i="2"/>
  <c r="D8190" i="2"/>
  <c r="G8189" i="2"/>
  <c r="D8189" i="2"/>
  <c r="G8188" i="2"/>
  <c r="D8188" i="2"/>
  <c r="G8187" i="2"/>
  <c r="D8187" i="2"/>
  <c r="G8186" i="2"/>
  <c r="D8186" i="2"/>
  <c r="G8185" i="2"/>
  <c r="D8185" i="2"/>
  <c r="G8184" i="2"/>
  <c r="D8184" i="2"/>
  <c r="G8183" i="2"/>
  <c r="D8183" i="2"/>
  <c r="G8182" i="2"/>
  <c r="D8182" i="2"/>
  <c r="G8181" i="2"/>
  <c r="D8181" i="2"/>
  <c r="G8180" i="2"/>
  <c r="D8180" i="2"/>
  <c r="G8179" i="2"/>
  <c r="D8179" i="2"/>
  <c r="G8178" i="2"/>
  <c r="D8178" i="2"/>
  <c r="G8177" i="2"/>
  <c r="D8177" i="2"/>
  <c r="G8176" i="2"/>
  <c r="D8176" i="2"/>
  <c r="D8175" i="2"/>
  <c r="G8175" i="2"/>
  <c r="G8174" i="2"/>
  <c r="D8174" i="2"/>
  <c r="G8173" i="2"/>
  <c r="D8173" i="2"/>
  <c r="G8172" i="2"/>
  <c r="D8172" i="2"/>
  <c r="G8171" i="2"/>
  <c r="D8171" i="2"/>
  <c r="G8170" i="2"/>
  <c r="D8170" i="2"/>
  <c r="G8169" i="2"/>
  <c r="D8169" i="2"/>
  <c r="G8168" i="2"/>
  <c r="D8168" i="2"/>
  <c r="G8167" i="2"/>
  <c r="D8167" i="2"/>
  <c r="G8166" i="2"/>
  <c r="D8166" i="2"/>
  <c r="G8165" i="2"/>
  <c r="D8165" i="2"/>
  <c r="G8164" i="2"/>
  <c r="D8164" i="2"/>
  <c r="G8163" i="2"/>
  <c r="D8163" i="2"/>
  <c r="G8162" i="2"/>
  <c r="D8162" i="2"/>
  <c r="G8161" i="2"/>
  <c r="D8161" i="2"/>
  <c r="G8160" i="2"/>
  <c r="D8160" i="2"/>
  <c r="D8159" i="2"/>
  <c r="G8159" i="2"/>
  <c r="D8158" i="2"/>
  <c r="G8158" i="2"/>
  <c r="D8157" i="2"/>
  <c r="G8157" i="2"/>
  <c r="D8156" i="2"/>
  <c r="G8156" i="2"/>
  <c r="G8155" i="2"/>
  <c r="D8155" i="2"/>
  <c r="G8154" i="2"/>
  <c r="D8154" i="2"/>
  <c r="G8153" i="2"/>
  <c r="D8153" i="2"/>
  <c r="G8152" i="2"/>
  <c r="D8152" i="2"/>
  <c r="G8151" i="2"/>
  <c r="D8151" i="2"/>
  <c r="G8150" i="2"/>
  <c r="D8150" i="2"/>
  <c r="G8149" i="2"/>
  <c r="D8149" i="2"/>
  <c r="G8148" i="2"/>
  <c r="D8148" i="2"/>
  <c r="D8147" i="2"/>
  <c r="G8147" i="2"/>
  <c r="G8146" i="2"/>
  <c r="D8146" i="2"/>
  <c r="G8145" i="2"/>
  <c r="D8145" i="2"/>
  <c r="G8144" i="2"/>
  <c r="D8144" i="2"/>
  <c r="D8143" i="2"/>
  <c r="G8143" i="2"/>
  <c r="G8142" i="2"/>
  <c r="D8142" i="2"/>
  <c r="G8141" i="2"/>
  <c r="D8141" i="2"/>
  <c r="D8140" i="2"/>
  <c r="G8140" i="2"/>
  <c r="D8139" i="2"/>
  <c r="G8139" i="2"/>
  <c r="G8138" i="2"/>
  <c r="D8138" i="2"/>
  <c r="D8137" i="2"/>
  <c r="G8137" i="2"/>
  <c r="G8136" i="2"/>
  <c r="D8136" i="2"/>
  <c r="D8135" i="2"/>
  <c r="G8135" i="2"/>
  <c r="D8134" i="2"/>
  <c r="G8134" i="2"/>
  <c r="D8133" i="2"/>
  <c r="G8133" i="2"/>
  <c r="G8132" i="2"/>
  <c r="D8132" i="2"/>
  <c r="D8131" i="2"/>
  <c r="G8131" i="2"/>
  <c r="G8130" i="2"/>
  <c r="D8130" i="2"/>
  <c r="D8129" i="2"/>
  <c r="G8129" i="2"/>
  <c r="G8128" i="2"/>
  <c r="D8128" i="2"/>
  <c r="G8127" i="2"/>
  <c r="D8127" i="2"/>
  <c r="D8126" i="2"/>
  <c r="G8126" i="2"/>
  <c r="D8125" i="2"/>
  <c r="G8125" i="2"/>
  <c r="G8124" i="2"/>
  <c r="D8124" i="2"/>
  <c r="G8123" i="2"/>
  <c r="D8123" i="2"/>
  <c r="G8122" i="2"/>
  <c r="D8122" i="2"/>
  <c r="G8121" i="2"/>
  <c r="D8121" i="2"/>
  <c r="D8120" i="2"/>
  <c r="G8120" i="2"/>
  <c r="G8119" i="2"/>
  <c r="D8119" i="2"/>
  <c r="G8118" i="2"/>
  <c r="D8118" i="2"/>
  <c r="D8117" i="2"/>
  <c r="G8117" i="2"/>
  <c r="D8116" i="2"/>
  <c r="G8116" i="2"/>
  <c r="G8115" i="2"/>
  <c r="D8115" i="2"/>
  <c r="D8114" i="2"/>
  <c r="G8114" i="2"/>
  <c r="G8113" i="2"/>
  <c r="D8113" i="2"/>
  <c r="D8112" i="2"/>
  <c r="G8112" i="2"/>
  <c r="D8111" i="2"/>
  <c r="G8111" i="2"/>
  <c r="D8110" i="2"/>
  <c r="G8110" i="2"/>
  <c r="G8109" i="2"/>
  <c r="D8109" i="2"/>
  <c r="D8108" i="2"/>
  <c r="G8108" i="2"/>
  <c r="G8107" i="2"/>
  <c r="D8107" i="2"/>
  <c r="D8106" i="2"/>
  <c r="G8106" i="2"/>
  <c r="G8105" i="2"/>
  <c r="D8105" i="2"/>
  <c r="G8104" i="2"/>
  <c r="D8104" i="2"/>
  <c r="D8103" i="2"/>
  <c r="G8103" i="2"/>
  <c r="G8102" i="2"/>
  <c r="D8102" i="2"/>
  <c r="G8101" i="2"/>
  <c r="D8101" i="2"/>
  <c r="G8100" i="2"/>
  <c r="D8100" i="2"/>
  <c r="D8099" i="2"/>
  <c r="G8099" i="2"/>
  <c r="G8098" i="2"/>
  <c r="D8098" i="2"/>
  <c r="D8097" i="2"/>
  <c r="G8097" i="2"/>
  <c r="G8096" i="2"/>
  <c r="D8096" i="2"/>
  <c r="G8095" i="2"/>
  <c r="D8095" i="2"/>
  <c r="G8094" i="2"/>
  <c r="D8094" i="2"/>
  <c r="G8093" i="2"/>
  <c r="D8093" i="2"/>
  <c r="G8092" i="2"/>
  <c r="D8092" i="2"/>
  <c r="D8091" i="2"/>
  <c r="G8091" i="2"/>
  <c r="G8090" i="2"/>
  <c r="D8090" i="2"/>
  <c r="D8089" i="2"/>
  <c r="G8089" i="2"/>
  <c r="G8088" i="2"/>
  <c r="D8088" i="2"/>
  <c r="D8087" i="2"/>
  <c r="G8087" i="2"/>
  <c r="D8086" i="2"/>
  <c r="G8086" i="2"/>
  <c r="D8085" i="2"/>
  <c r="G8085" i="2"/>
  <c r="D8084" i="2"/>
  <c r="G8084" i="2"/>
  <c r="D8083" i="2"/>
  <c r="G8083" i="2"/>
  <c r="G8082" i="2"/>
  <c r="D8082" i="2"/>
  <c r="D8081" i="2"/>
  <c r="G8081" i="2"/>
  <c r="D8080" i="2"/>
  <c r="G8080" i="2"/>
  <c r="G8079" i="2"/>
  <c r="D8079" i="2"/>
  <c r="G8078" i="2"/>
  <c r="D8078" i="2"/>
  <c r="D8077" i="2"/>
  <c r="G8077" i="2"/>
  <c r="D8076" i="2"/>
  <c r="G8076" i="2"/>
  <c r="D8075" i="2"/>
  <c r="G8075" i="2"/>
  <c r="D8074" i="2"/>
  <c r="G8074" i="2"/>
  <c r="G8073" i="2"/>
  <c r="D8073" i="2"/>
  <c r="G8072" i="2"/>
  <c r="D8072" i="2"/>
  <c r="G8071" i="2"/>
  <c r="D8071" i="2"/>
  <c r="G8070" i="2"/>
  <c r="D8070" i="2"/>
  <c r="G8069" i="2"/>
  <c r="D8069" i="2"/>
  <c r="G8068" i="2"/>
  <c r="D8068" i="2"/>
  <c r="G8067" i="2"/>
  <c r="D8067" i="2"/>
  <c r="D8066" i="2"/>
  <c r="G8066" i="2"/>
  <c r="G8065" i="2"/>
  <c r="D8065" i="2"/>
  <c r="G8064" i="2"/>
  <c r="D8064" i="2"/>
  <c r="G8063" i="2"/>
  <c r="D8063" i="2"/>
  <c r="D8062" i="2"/>
  <c r="G8062" i="2"/>
  <c r="D8061" i="2"/>
  <c r="G8061" i="2"/>
  <c r="G8060" i="2"/>
  <c r="D8060" i="2"/>
  <c r="G8059" i="2"/>
  <c r="D8059" i="2"/>
  <c r="G8058" i="2"/>
  <c r="D8058" i="2"/>
  <c r="G8057" i="2"/>
  <c r="D8057" i="2"/>
  <c r="D8056" i="2"/>
  <c r="G8056" i="2"/>
  <c r="D8055" i="2"/>
  <c r="G8055" i="2"/>
  <c r="G8054" i="2"/>
  <c r="D8054" i="2"/>
  <c r="D8053" i="2"/>
  <c r="G8053" i="2"/>
  <c r="D8052" i="2"/>
  <c r="G8052" i="2"/>
  <c r="G8051" i="2"/>
  <c r="D8051" i="2"/>
  <c r="G8050" i="2"/>
  <c r="D8050" i="2"/>
  <c r="D8049" i="2"/>
  <c r="G8049" i="2"/>
  <c r="G8048" i="2"/>
  <c r="D8048" i="2"/>
  <c r="G8047" i="2"/>
  <c r="D8047" i="2"/>
  <c r="G8046" i="2"/>
  <c r="D8046" i="2"/>
  <c r="G8045" i="2"/>
  <c r="D8045" i="2"/>
  <c r="G8044" i="2"/>
  <c r="D8044" i="2"/>
  <c r="G8043" i="2"/>
  <c r="D8043" i="2"/>
  <c r="G8042" i="2"/>
  <c r="D8042" i="2"/>
  <c r="G8041" i="2"/>
  <c r="D8041" i="2"/>
  <c r="G8040" i="2"/>
  <c r="D8040" i="2"/>
  <c r="G8039" i="2"/>
  <c r="D8039" i="2"/>
  <c r="G8038" i="2"/>
  <c r="D8038" i="2"/>
  <c r="G8037" i="2"/>
  <c r="D8037" i="2"/>
  <c r="G8036" i="2"/>
  <c r="D8036" i="2"/>
  <c r="G8035" i="2"/>
  <c r="D8035" i="2"/>
  <c r="G8034" i="2"/>
  <c r="D8034" i="2"/>
  <c r="G8033" i="2"/>
  <c r="D8033" i="2"/>
  <c r="G8032" i="2"/>
  <c r="D8032" i="2"/>
  <c r="G8031" i="2"/>
  <c r="D8031" i="2"/>
  <c r="G8030" i="2"/>
  <c r="D8030" i="2"/>
  <c r="G8029" i="2"/>
  <c r="D8029" i="2"/>
  <c r="G8028" i="2"/>
  <c r="D8028" i="2"/>
  <c r="G8027" i="2"/>
  <c r="D8027" i="2"/>
  <c r="G8026" i="2"/>
  <c r="D8026" i="2"/>
  <c r="G8025" i="2"/>
  <c r="D8025" i="2"/>
  <c r="G8024" i="2"/>
  <c r="D8024" i="2"/>
  <c r="G8023" i="2"/>
  <c r="D8023" i="2"/>
  <c r="G8022" i="2"/>
  <c r="D8022" i="2"/>
  <c r="G8021" i="2"/>
  <c r="D8021" i="2"/>
  <c r="G8020" i="2"/>
  <c r="D8020" i="2"/>
  <c r="G8019" i="2"/>
  <c r="D8019" i="2"/>
  <c r="G8018" i="2"/>
  <c r="D8018" i="2"/>
  <c r="G8017" i="2"/>
  <c r="D8017" i="2"/>
  <c r="G8016" i="2"/>
  <c r="D8016" i="2"/>
  <c r="G8015" i="2"/>
  <c r="D8015" i="2"/>
  <c r="G8014" i="2"/>
  <c r="D8014" i="2"/>
  <c r="G8013" i="2"/>
  <c r="D8013" i="2"/>
  <c r="G8012" i="2"/>
  <c r="D8012" i="2"/>
  <c r="G8011" i="2"/>
  <c r="D8011" i="2"/>
  <c r="G8010" i="2"/>
  <c r="D8010" i="2"/>
  <c r="G8009" i="2"/>
  <c r="D8009" i="2"/>
  <c r="G8008" i="2"/>
  <c r="D8008" i="2"/>
  <c r="G8007" i="2"/>
  <c r="D8007" i="2"/>
  <c r="G8006" i="2"/>
  <c r="D8006" i="2"/>
  <c r="G8005" i="2"/>
  <c r="D8005" i="2"/>
  <c r="G8004" i="2"/>
  <c r="D8004" i="2"/>
  <c r="G8003" i="2"/>
  <c r="D8003" i="2"/>
  <c r="G8002" i="2"/>
  <c r="D8002" i="2"/>
  <c r="G8001" i="2"/>
  <c r="D8001" i="2"/>
  <c r="G8000" i="2"/>
  <c r="D8000" i="2"/>
  <c r="G7999" i="2"/>
  <c r="D7999" i="2"/>
  <c r="G7998" i="2"/>
  <c r="D7998" i="2"/>
  <c r="G7997" i="2"/>
  <c r="D7997" i="2"/>
  <c r="G7996" i="2"/>
  <c r="D7996" i="2"/>
  <c r="G7995" i="2"/>
  <c r="D7995" i="2"/>
  <c r="G7994" i="2"/>
  <c r="D7994" i="2"/>
  <c r="G7993" i="2"/>
  <c r="D7993" i="2"/>
  <c r="G7992" i="2"/>
  <c r="D7992" i="2"/>
  <c r="G7991" i="2"/>
  <c r="D7991" i="2"/>
  <c r="G7990" i="2"/>
  <c r="D7990" i="2"/>
  <c r="G7989" i="2"/>
  <c r="D7989" i="2"/>
  <c r="G7988" i="2"/>
  <c r="D7988" i="2"/>
  <c r="D7987" i="2"/>
  <c r="G7987" i="2"/>
  <c r="D7986" i="2"/>
  <c r="G7986" i="2"/>
  <c r="D7985" i="2"/>
  <c r="G7985" i="2"/>
  <c r="D7984" i="2"/>
  <c r="G7984" i="2"/>
  <c r="D7983" i="2"/>
  <c r="G7983" i="2"/>
  <c r="G7982" i="2"/>
  <c r="D7982" i="2"/>
  <c r="D7981" i="2"/>
  <c r="G7981" i="2"/>
  <c r="D7980" i="2"/>
  <c r="G7980" i="2"/>
  <c r="D7979" i="2"/>
  <c r="G7979" i="2"/>
  <c r="D7978" i="2"/>
  <c r="G7978" i="2"/>
  <c r="D7977" i="2"/>
  <c r="G7977" i="2"/>
  <c r="D7976" i="2"/>
  <c r="G7976" i="2"/>
  <c r="G7975" i="2"/>
  <c r="D7975" i="2"/>
  <c r="G7974" i="2"/>
  <c r="D7974" i="2"/>
  <c r="G7973" i="2"/>
  <c r="D7973" i="2"/>
  <c r="D7972" i="2"/>
  <c r="G7972" i="2"/>
  <c r="G7971" i="2"/>
  <c r="D7971" i="2"/>
  <c r="G7970" i="2"/>
  <c r="D7970" i="2"/>
  <c r="G7969" i="2"/>
  <c r="D7969" i="2"/>
  <c r="G7968" i="2"/>
  <c r="D7968" i="2"/>
  <c r="G7967" i="2"/>
  <c r="D7967" i="2"/>
  <c r="G7966" i="2"/>
  <c r="D7966" i="2"/>
  <c r="G7965" i="2"/>
  <c r="D7965" i="2"/>
  <c r="G7964" i="2"/>
  <c r="D7964" i="2"/>
  <c r="D7963" i="2"/>
  <c r="G7963" i="2"/>
  <c r="D7962" i="2"/>
  <c r="G7962" i="2"/>
  <c r="G7961" i="2"/>
  <c r="D7961" i="2"/>
  <c r="G7960" i="2"/>
  <c r="D7960" i="2"/>
  <c r="D7959" i="2"/>
  <c r="G7959" i="2"/>
  <c r="D7958" i="2"/>
  <c r="G7958" i="2"/>
  <c r="G7957" i="2"/>
  <c r="D7957" i="2"/>
  <c r="G7956" i="2"/>
  <c r="D7956" i="2"/>
  <c r="D7955" i="2"/>
  <c r="G7955" i="2"/>
  <c r="G7954" i="2"/>
  <c r="D7954" i="2"/>
  <c r="G7953" i="2"/>
  <c r="D7953" i="2"/>
  <c r="D7952" i="2"/>
  <c r="G7952" i="2"/>
  <c r="G7951" i="2"/>
  <c r="D7951" i="2"/>
  <c r="G7950" i="2"/>
  <c r="D7950" i="2"/>
  <c r="G7949" i="2"/>
  <c r="D7949" i="2"/>
  <c r="D7948" i="2"/>
  <c r="G7948" i="2"/>
  <c r="G7947" i="2"/>
  <c r="D7947" i="2"/>
  <c r="D7946" i="2"/>
  <c r="G7946" i="2"/>
  <c r="D7945" i="2"/>
  <c r="G7945" i="2"/>
  <c r="G7944" i="2"/>
  <c r="D7944" i="2"/>
  <c r="G7943" i="2"/>
  <c r="D7943" i="2"/>
  <c r="G7942" i="2"/>
  <c r="D7942" i="2"/>
  <c r="G7941" i="2"/>
  <c r="D7941" i="2"/>
  <c r="D7940" i="2"/>
  <c r="G7940" i="2"/>
  <c r="D7939" i="2"/>
  <c r="G7939" i="2"/>
  <c r="D7938" i="2"/>
  <c r="G7938" i="2"/>
  <c r="D7937" i="2"/>
  <c r="G7937" i="2"/>
  <c r="D7936" i="2"/>
  <c r="G7936" i="2"/>
  <c r="G7935" i="2"/>
  <c r="D7935" i="2"/>
  <c r="D7934" i="2"/>
  <c r="G7934" i="2"/>
  <c r="D7933" i="2"/>
  <c r="G7933" i="2"/>
  <c r="G7932" i="2"/>
  <c r="D7932" i="2"/>
  <c r="G7931" i="2"/>
  <c r="D7931" i="2"/>
  <c r="G7930" i="2"/>
  <c r="D7930" i="2"/>
  <c r="G7929" i="2"/>
  <c r="D7929" i="2"/>
  <c r="G7928" i="2"/>
  <c r="D7928" i="2"/>
  <c r="D7927" i="2"/>
  <c r="G7927" i="2"/>
  <c r="G7926" i="2"/>
  <c r="D7926" i="2"/>
  <c r="G7925" i="2"/>
  <c r="D7925" i="2"/>
  <c r="D7924" i="2"/>
  <c r="G7924" i="2"/>
  <c r="G7923" i="2"/>
  <c r="D7923" i="2"/>
  <c r="D7922" i="2"/>
  <c r="G7922" i="2"/>
  <c r="G7921" i="2"/>
  <c r="D7921" i="2"/>
  <c r="G7920" i="2"/>
  <c r="D7920" i="2"/>
  <c r="G7919" i="2"/>
  <c r="D7919" i="2"/>
  <c r="G7918" i="2"/>
  <c r="D7918" i="2"/>
  <c r="G7917" i="2"/>
  <c r="D7917" i="2"/>
  <c r="D7916" i="2"/>
  <c r="G7916" i="2"/>
  <c r="G7915" i="2"/>
  <c r="D7915" i="2"/>
  <c r="G7914" i="2"/>
  <c r="D7914" i="2"/>
  <c r="G7913" i="2"/>
  <c r="D7913" i="2"/>
  <c r="D7912" i="2"/>
  <c r="G7912" i="2"/>
  <c r="G7911" i="2"/>
  <c r="D7911" i="2"/>
  <c r="G7910" i="2"/>
  <c r="D7910" i="2"/>
  <c r="G7909" i="2"/>
  <c r="D7909" i="2"/>
  <c r="D7908" i="2"/>
  <c r="G7908" i="2"/>
  <c r="D7907" i="2"/>
  <c r="G7907" i="2"/>
  <c r="G7906" i="2"/>
  <c r="D7906" i="2"/>
  <c r="G7905" i="2"/>
  <c r="D7905" i="2"/>
  <c r="D7904" i="2"/>
  <c r="G7904" i="2"/>
  <c r="G7903" i="2"/>
  <c r="D7903" i="2"/>
  <c r="G7902" i="2"/>
  <c r="D7902" i="2"/>
  <c r="G7901" i="2"/>
  <c r="D7901" i="2"/>
  <c r="G7900" i="2"/>
  <c r="D7900" i="2"/>
  <c r="D7899" i="2"/>
  <c r="G7899" i="2"/>
  <c r="D7898" i="2"/>
  <c r="G7898" i="2"/>
  <c r="D7897" i="2"/>
  <c r="G7897" i="2"/>
  <c r="D7896" i="2"/>
  <c r="G7896" i="2"/>
  <c r="G7895" i="2"/>
  <c r="D7895" i="2"/>
  <c r="D7894" i="2"/>
  <c r="G7894" i="2"/>
  <c r="D7893" i="2"/>
  <c r="G7893" i="2"/>
  <c r="G7892" i="2"/>
  <c r="D7892" i="2"/>
  <c r="G7891" i="2"/>
  <c r="D7891" i="2"/>
  <c r="G7890" i="2"/>
  <c r="D7890" i="2"/>
  <c r="G7889" i="2"/>
  <c r="D7889" i="2"/>
  <c r="D7888" i="2"/>
  <c r="G7888" i="2"/>
  <c r="G7887" i="2"/>
  <c r="D7887" i="2"/>
  <c r="G7886" i="2"/>
  <c r="D7886" i="2"/>
  <c r="G7885" i="2"/>
  <c r="D7885" i="2"/>
  <c r="G7884" i="2"/>
  <c r="D7884" i="2"/>
  <c r="G7883" i="2"/>
  <c r="D7883" i="2"/>
  <c r="G7882" i="2"/>
  <c r="D7882" i="2"/>
  <c r="D7881" i="2"/>
  <c r="G7881" i="2"/>
  <c r="D7880" i="2"/>
  <c r="G7880" i="2"/>
  <c r="G7879" i="2"/>
  <c r="D7879" i="2"/>
  <c r="D7878" i="2"/>
  <c r="G7878" i="2"/>
  <c r="G7877" i="2"/>
  <c r="D7877" i="2"/>
  <c r="D7876" i="2"/>
  <c r="G7876" i="2"/>
  <c r="G7875" i="2"/>
  <c r="D7875" i="2"/>
  <c r="D7874" i="2"/>
  <c r="G7874" i="2"/>
  <c r="D7873" i="2"/>
  <c r="G7873" i="2"/>
  <c r="G7872" i="2"/>
  <c r="D7872" i="2"/>
  <c r="D7871" i="2"/>
  <c r="G7871" i="2"/>
  <c r="G7870" i="2"/>
  <c r="D7870" i="2"/>
  <c r="D7869" i="2"/>
  <c r="G7869" i="2"/>
  <c r="D7868" i="2"/>
  <c r="G7868" i="2"/>
  <c r="G7867" i="2"/>
  <c r="D7867" i="2"/>
  <c r="D7866" i="2"/>
  <c r="G7866" i="2"/>
  <c r="D7865" i="2"/>
  <c r="G7865" i="2"/>
  <c r="D7864" i="2"/>
  <c r="G7864" i="2"/>
  <c r="G7863" i="2"/>
  <c r="D7863" i="2"/>
  <c r="D7862" i="2"/>
  <c r="G7862" i="2"/>
  <c r="G7861" i="2"/>
  <c r="D7861" i="2"/>
  <c r="G7860" i="2"/>
  <c r="D7860" i="2"/>
  <c r="G7859" i="2"/>
  <c r="D7859" i="2"/>
  <c r="G7858" i="2"/>
  <c r="D7858" i="2"/>
  <c r="G7857" i="2"/>
  <c r="D7857" i="2"/>
  <c r="D7856" i="2"/>
  <c r="G7856" i="2"/>
  <c r="G7855" i="2"/>
  <c r="D7855" i="2"/>
  <c r="D7854" i="2"/>
  <c r="G7854" i="2"/>
  <c r="D7853" i="2"/>
  <c r="G7853" i="2"/>
  <c r="D7852" i="2"/>
  <c r="G7852" i="2"/>
  <c r="D7851" i="2"/>
  <c r="G7851" i="2"/>
  <c r="G7850" i="2"/>
  <c r="D7850" i="2"/>
  <c r="G7849" i="2"/>
  <c r="D7849" i="2"/>
  <c r="D7848" i="2"/>
  <c r="G7848" i="2"/>
  <c r="G7847" i="2"/>
  <c r="D7847" i="2"/>
  <c r="D7846" i="2"/>
  <c r="G7846" i="2"/>
  <c r="G7845" i="2"/>
  <c r="D7845" i="2"/>
  <c r="D7844" i="2"/>
  <c r="G7844" i="2"/>
  <c r="D7843" i="2"/>
  <c r="G7843" i="2"/>
  <c r="D7842" i="2"/>
  <c r="G7842" i="2"/>
  <c r="D7841" i="2"/>
  <c r="G7841" i="2"/>
  <c r="D7840" i="2"/>
  <c r="G7840" i="2"/>
  <c r="D7839" i="2"/>
  <c r="G7839" i="2"/>
  <c r="G7838" i="2"/>
  <c r="D7838" i="2"/>
  <c r="G7837" i="2"/>
  <c r="D7837" i="2"/>
  <c r="G7836" i="2"/>
  <c r="D7836" i="2"/>
  <c r="D7835" i="2"/>
  <c r="G7835" i="2"/>
  <c r="D7834" i="2"/>
  <c r="G7834" i="2"/>
  <c r="D7833" i="2"/>
  <c r="G7833" i="2"/>
  <c r="D7832" i="2"/>
  <c r="G7832" i="2"/>
  <c r="G7831" i="2"/>
  <c r="D7831" i="2"/>
  <c r="D7830" i="2"/>
  <c r="G7830" i="2"/>
  <c r="D7829" i="2"/>
  <c r="G7829" i="2"/>
  <c r="G7828" i="2"/>
  <c r="D7828" i="2"/>
  <c r="G7827" i="2"/>
  <c r="D7827" i="2"/>
  <c r="G7826" i="2"/>
  <c r="D7826" i="2"/>
  <c r="D7825" i="2"/>
  <c r="G7825" i="2"/>
  <c r="D7824" i="2"/>
  <c r="G7824" i="2"/>
  <c r="G7823" i="2"/>
  <c r="D7823" i="2"/>
  <c r="D7822" i="2"/>
  <c r="G7822" i="2"/>
  <c r="D7821" i="2"/>
  <c r="G7821" i="2"/>
  <c r="D7820" i="2"/>
  <c r="G7820" i="2"/>
  <c r="D7819" i="2"/>
  <c r="G7819" i="2"/>
  <c r="G7818" i="2"/>
  <c r="D7818" i="2"/>
  <c r="G7817" i="2"/>
  <c r="D7817" i="2"/>
  <c r="G7816" i="2"/>
  <c r="D7816" i="2"/>
  <c r="G7815" i="2"/>
  <c r="D7815" i="2"/>
  <c r="D7814" i="2"/>
  <c r="G7814" i="2"/>
  <c r="D7813" i="2"/>
  <c r="G7813" i="2"/>
  <c r="D7812" i="2"/>
  <c r="G7812" i="2"/>
  <c r="D7811" i="2"/>
  <c r="G7811" i="2"/>
  <c r="G7810" i="2"/>
  <c r="D7810" i="2"/>
  <c r="D7809" i="2"/>
  <c r="G7809" i="2"/>
  <c r="G7808" i="2"/>
  <c r="D7808" i="2"/>
  <c r="G7807" i="2"/>
  <c r="D7807" i="2"/>
  <c r="G7806" i="2"/>
  <c r="D7806" i="2"/>
  <c r="G7805" i="2"/>
  <c r="D7805" i="2"/>
  <c r="G7804" i="2"/>
  <c r="D7804" i="2"/>
  <c r="G7803" i="2"/>
  <c r="D7803" i="2"/>
  <c r="G7802" i="2"/>
  <c r="D7802" i="2"/>
  <c r="D7801" i="2"/>
  <c r="G7801" i="2"/>
  <c r="G7800" i="2"/>
  <c r="D7800" i="2"/>
  <c r="G7799" i="2"/>
  <c r="D7799" i="2"/>
  <c r="G7798" i="2"/>
  <c r="D7798" i="2"/>
  <c r="G7797" i="2"/>
  <c r="D7797" i="2"/>
  <c r="G7796" i="2"/>
  <c r="D7796" i="2"/>
  <c r="G7795" i="2"/>
  <c r="D7795" i="2"/>
  <c r="G7794" i="2"/>
  <c r="D7794" i="2"/>
  <c r="G7793" i="2"/>
  <c r="D7793" i="2"/>
  <c r="G7792" i="2"/>
  <c r="D7792" i="2"/>
  <c r="G7791" i="2"/>
  <c r="D7791" i="2"/>
  <c r="G7790" i="2"/>
  <c r="D7790" i="2"/>
  <c r="G7789" i="2"/>
  <c r="D7789" i="2"/>
  <c r="G7788" i="2"/>
  <c r="D7788" i="2"/>
  <c r="G7787" i="2"/>
  <c r="D7787" i="2"/>
  <c r="G7786" i="2"/>
  <c r="D7786" i="2"/>
  <c r="G7785" i="2"/>
  <c r="D7785" i="2"/>
  <c r="G7784" i="2"/>
  <c r="D7784" i="2"/>
  <c r="G7783" i="2"/>
  <c r="D7783" i="2"/>
  <c r="D7782" i="2"/>
  <c r="G7782" i="2"/>
  <c r="D7781" i="2"/>
  <c r="G7781" i="2"/>
  <c r="D7780" i="2"/>
  <c r="G7780" i="2"/>
  <c r="G7779" i="2"/>
  <c r="D7779" i="2"/>
  <c r="D7778" i="2"/>
  <c r="G7778" i="2"/>
  <c r="D7777" i="2"/>
  <c r="G7777" i="2"/>
  <c r="D7776" i="2"/>
  <c r="G7776" i="2"/>
  <c r="G7775" i="2"/>
  <c r="D7775" i="2"/>
  <c r="D7774" i="2"/>
  <c r="G7774" i="2"/>
  <c r="G7773" i="2"/>
  <c r="D7773" i="2"/>
  <c r="G7772" i="2"/>
  <c r="D7772" i="2"/>
  <c r="G7771" i="2"/>
  <c r="D7771" i="2"/>
  <c r="D7770" i="2"/>
  <c r="G7770" i="2"/>
  <c r="D7769" i="2"/>
  <c r="G7769" i="2"/>
  <c r="D7768" i="2"/>
  <c r="G7768" i="2"/>
  <c r="D7767" i="2"/>
  <c r="G7767" i="2"/>
  <c r="G7766" i="2"/>
  <c r="D7766" i="2"/>
  <c r="D7765" i="2"/>
  <c r="G7765" i="2"/>
  <c r="G7764" i="2"/>
  <c r="D7764" i="2"/>
  <c r="G7763" i="2"/>
  <c r="D7763" i="2"/>
  <c r="G7762" i="2"/>
  <c r="D7762" i="2"/>
  <c r="G7761" i="2"/>
  <c r="D7761" i="2"/>
  <c r="G7760" i="2"/>
  <c r="D7760" i="2"/>
  <c r="G7759" i="2"/>
  <c r="D7759" i="2"/>
  <c r="G7758" i="2"/>
  <c r="D7758" i="2"/>
  <c r="G7757" i="2"/>
  <c r="D7757" i="2"/>
  <c r="D7756" i="2"/>
  <c r="G7756" i="2"/>
  <c r="G7755" i="2"/>
  <c r="D7755" i="2"/>
  <c r="D7754" i="2"/>
  <c r="G7754" i="2"/>
  <c r="G7753" i="2"/>
  <c r="D7753" i="2"/>
  <c r="D7752" i="2"/>
  <c r="G7752" i="2"/>
  <c r="G7751" i="2"/>
  <c r="D7751" i="2"/>
  <c r="D7750" i="2"/>
  <c r="G7750" i="2"/>
  <c r="D7749" i="2"/>
  <c r="G7749" i="2"/>
  <c r="G7748" i="2"/>
  <c r="D7748" i="2"/>
  <c r="D7747" i="2"/>
  <c r="G7747" i="2"/>
  <c r="D7746" i="2"/>
  <c r="G7746" i="2"/>
  <c r="D7745" i="2"/>
  <c r="G7745" i="2"/>
  <c r="D7744" i="2"/>
  <c r="G7744" i="2"/>
  <c r="G7743" i="2"/>
  <c r="D7743" i="2"/>
  <c r="D7742" i="2"/>
  <c r="G7742" i="2"/>
  <c r="D7741" i="2"/>
  <c r="G7741" i="2"/>
  <c r="D7740" i="2"/>
  <c r="G7740" i="2"/>
  <c r="G7739" i="2"/>
  <c r="D7739" i="2"/>
  <c r="D7738" i="2"/>
  <c r="G7738" i="2"/>
  <c r="D7737" i="2"/>
  <c r="G7737" i="2"/>
  <c r="D7736" i="2"/>
  <c r="G7736" i="2"/>
  <c r="D7735" i="2"/>
  <c r="G7735" i="2"/>
  <c r="D7734" i="2"/>
  <c r="G7734" i="2"/>
  <c r="G7733" i="2"/>
  <c r="D7733" i="2"/>
  <c r="D7732" i="2"/>
  <c r="G7732" i="2"/>
  <c r="G7731" i="2"/>
  <c r="D7731" i="2"/>
  <c r="G7730" i="2"/>
  <c r="D7730" i="2"/>
  <c r="G7729" i="2"/>
  <c r="D7729" i="2"/>
  <c r="G7728" i="2"/>
  <c r="D7728" i="2"/>
  <c r="G7727" i="2"/>
  <c r="D7727" i="2"/>
  <c r="D7726" i="2"/>
  <c r="G7726" i="2"/>
  <c r="G7725" i="2"/>
  <c r="D7725" i="2"/>
  <c r="G7724" i="2"/>
  <c r="D7724" i="2"/>
  <c r="G7723" i="2"/>
  <c r="D7723" i="2"/>
  <c r="G7722" i="2"/>
  <c r="D7722" i="2"/>
  <c r="G7721" i="2"/>
  <c r="D7721" i="2"/>
  <c r="G7720" i="2"/>
  <c r="D7720" i="2"/>
  <c r="G7719" i="2"/>
  <c r="D7719" i="2"/>
  <c r="G7718" i="2"/>
  <c r="D7718" i="2"/>
  <c r="D7717" i="2"/>
  <c r="G7717" i="2"/>
  <c r="G7716" i="2"/>
  <c r="D7716" i="2"/>
  <c r="G7715" i="2"/>
  <c r="D7715" i="2"/>
  <c r="G7714" i="2"/>
  <c r="D7714" i="2"/>
  <c r="D7713" i="2"/>
  <c r="G7713" i="2"/>
  <c r="D7712" i="2"/>
  <c r="G7712" i="2"/>
  <c r="D7711" i="2"/>
  <c r="G7711" i="2"/>
  <c r="D7710" i="2"/>
  <c r="G7710" i="2"/>
  <c r="D7709" i="2"/>
  <c r="G7709" i="2"/>
  <c r="G7708" i="2"/>
  <c r="D7708" i="2"/>
  <c r="D7707" i="2"/>
  <c r="G7707" i="2"/>
  <c r="D7706" i="2"/>
  <c r="G7706" i="2"/>
  <c r="D7705" i="2"/>
  <c r="G7705" i="2"/>
  <c r="D7704" i="2"/>
  <c r="G7704" i="2"/>
  <c r="D7703" i="2"/>
  <c r="G7703" i="2"/>
  <c r="D7702" i="2"/>
  <c r="G7702" i="2"/>
  <c r="D7701" i="2"/>
  <c r="G7701" i="2"/>
  <c r="G7700" i="2"/>
  <c r="D7700" i="2"/>
  <c r="D7699" i="2"/>
  <c r="G7699" i="2"/>
  <c r="D7698" i="2"/>
  <c r="G7698" i="2"/>
  <c r="G7697" i="2"/>
  <c r="D7697" i="2"/>
  <c r="G7696" i="2"/>
  <c r="D7696" i="2"/>
  <c r="G7695" i="2"/>
  <c r="D7695" i="2"/>
  <c r="G7694" i="2"/>
  <c r="D7694" i="2"/>
  <c r="G7693" i="2"/>
  <c r="D7693" i="2"/>
  <c r="G7692" i="2"/>
  <c r="D7692" i="2"/>
  <c r="G7691" i="2"/>
  <c r="D7691" i="2"/>
  <c r="G7690" i="2"/>
  <c r="D7690" i="2"/>
  <c r="D7689" i="2"/>
  <c r="G7689" i="2"/>
  <c r="D7688" i="2"/>
  <c r="G7688" i="2"/>
  <c r="D7687" i="2"/>
  <c r="G7687" i="2"/>
  <c r="D7686" i="2"/>
  <c r="G7686" i="2"/>
  <c r="D7685" i="2"/>
  <c r="G7685" i="2"/>
  <c r="D7684" i="2"/>
  <c r="G7684" i="2"/>
  <c r="G7683" i="2"/>
  <c r="D7683" i="2"/>
  <c r="G7682" i="2"/>
  <c r="D7682" i="2"/>
  <c r="D7681" i="2"/>
  <c r="G7681" i="2"/>
  <c r="G7680" i="2"/>
  <c r="D7680" i="2"/>
  <c r="G7679" i="2"/>
  <c r="D7679" i="2"/>
  <c r="D7678" i="2"/>
  <c r="G7678" i="2"/>
  <c r="G7677" i="2"/>
  <c r="D7677" i="2"/>
  <c r="G7676" i="2"/>
  <c r="D7676" i="2"/>
  <c r="G7675" i="2"/>
  <c r="D7675" i="2"/>
  <c r="D7674" i="2"/>
  <c r="G7674" i="2"/>
  <c r="G7673" i="2"/>
  <c r="D7673" i="2"/>
  <c r="D7672" i="2"/>
  <c r="G7672" i="2"/>
  <c r="G7671" i="2"/>
  <c r="D7671" i="2"/>
  <c r="G7670" i="2"/>
  <c r="D7670" i="2"/>
  <c r="G7669" i="2"/>
  <c r="D7669" i="2"/>
  <c r="G7668" i="2"/>
  <c r="D7668" i="2"/>
  <c r="G7667" i="2"/>
  <c r="D7667" i="2"/>
  <c r="G7666" i="2"/>
  <c r="D7666" i="2"/>
  <c r="G7665" i="2"/>
  <c r="D7665" i="2"/>
  <c r="D7664" i="2"/>
  <c r="G7664" i="2"/>
  <c r="G7663" i="2"/>
  <c r="D7663" i="2"/>
  <c r="D7662" i="2"/>
  <c r="G7662" i="2"/>
  <c r="G7661" i="2"/>
  <c r="D7661" i="2"/>
  <c r="G7660" i="2"/>
  <c r="D7660" i="2"/>
  <c r="G7659" i="2"/>
  <c r="D7659" i="2"/>
  <c r="D7658" i="2"/>
  <c r="G7658" i="2"/>
  <c r="G7657" i="2"/>
  <c r="D7657" i="2"/>
  <c r="G7656" i="2"/>
  <c r="D7656" i="2"/>
  <c r="D7655" i="2"/>
  <c r="G7655" i="2"/>
  <c r="D7654" i="2"/>
  <c r="G7654" i="2"/>
  <c r="G7653" i="2"/>
  <c r="D7653" i="2"/>
  <c r="D7652" i="2"/>
  <c r="G7652" i="2"/>
  <c r="G7651" i="2"/>
  <c r="D7651" i="2"/>
  <c r="G7650" i="2"/>
  <c r="D7650" i="2"/>
  <c r="G7649" i="2"/>
  <c r="D7649" i="2"/>
  <c r="G7648" i="2"/>
  <c r="D7648" i="2"/>
  <c r="G7647" i="2"/>
  <c r="D7647" i="2"/>
  <c r="D7646" i="2"/>
  <c r="G7646" i="2"/>
  <c r="D7645" i="2"/>
  <c r="G7645" i="2"/>
  <c r="G7644" i="2"/>
  <c r="D7644" i="2"/>
  <c r="D7643" i="2"/>
  <c r="G7643" i="2"/>
  <c r="G7642" i="2"/>
  <c r="D7642" i="2"/>
  <c r="D7641" i="2"/>
  <c r="G7641" i="2"/>
  <c r="D7640" i="2"/>
  <c r="G7640" i="2"/>
  <c r="G7639" i="2"/>
  <c r="D7639" i="2"/>
  <c r="D7638" i="2"/>
  <c r="G7638" i="2"/>
  <c r="G7637" i="2"/>
  <c r="D7637" i="2"/>
  <c r="D7636" i="2"/>
  <c r="G7636" i="2"/>
  <c r="D7635" i="2"/>
  <c r="G7635" i="2"/>
  <c r="G7634" i="2"/>
  <c r="D7634" i="2"/>
  <c r="G7633" i="2"/>
  <c r="D7633" i="2"/>
  <c r="D7632" i="2"/>
  <c r="G7632" i="2"/>
  <c r="D7631" i="2"/>
  <c r="G7631" i="2"/>
  <c r="G7630" i="2"/>
  <c r="D7630" i="2"/>
  <c r="D7629" i="2"/>
  <c r="G7629" i="2"/>
  <c r="D7628" i="2"/>
  <c r="G7628" i="2"/>
  <c r="G7627" i="2"/>
  <c r="D7627" i="2"/>
  <c r="G7626" i="2"/>
  <c r="D7626" i="2"/>
  <c r="G7625" i="2"/>
  <c r="D7625" i="2"/>
  <c r="D7624" i="2"/>
  <c r="G7624" i="2"/>
  <c r="D7623" i="2"/>
  <c r="G7623" i="2"/>
  <c r="D7622" i="2"/>
  <c r="G7622" i="2"/>
  <c r="D7621" i="2"/>
  <c r="G7621" i="2"/>
  <c r="D7620" i="2"/>
  <c r="G7620" i="2"/>
  <c r="G7619" i="2"/>
  <c r="D7619" i="2"/>
  <c r="G7618" i="2"/>
  <c r="D7618" i="2"/>
  <c r="G7617" i="2"/>
  <c r="D7617" i="2"/>
  <c r="D7616" i="2"/>
  <c r="G7616" i="2"/>
  <c r="G7615" i="2"/>
  <c r="D7615" i="2"/>
  <c r="G7614" i="2"/>
  <c r="D7614" i="2"/>
  <c r="G7613" i="2"/>
  <c r="D7613" i="2"/>
  <c r="G7612" i="2"/>
  <c r="D7612" i="2"/>
  <c r="D7611" i="2"/>
  <c r="G7611" i="2"/>
  <c r="G7610" i="2"/>
  <c r="D7610" i="2"/>
  <c r="G7609" i="2"/>
  <c r="D7609" i="2"/>
  <c r="G7608" i="2"/>
  <c r="D7608" i="2"/>
  <c r="D7607" i="2"/>
  <c r="G7607" i="2"/>
  <c r="G7606" i="2"/>
  <c r="D7606" i="2"/>
  <c r="G7605" i="2"/>
  <c r="D7605" i="2"/>
  <c r="G7604" i="2"/>
  <c r="D7604" i="2"/>
  <c r="D7603" i="2"/>
  <c r="G7603" i="2"/>
  <c r="G7602" i="2"/>
  <c r="D7602" i="2"/>
  <c r="G7601" i="2"/>
  <c r="D7601" i="2"/>
  <c r="G7600" i="2"/>
  <c r="D7600" i="2"/>
  <c r="D7599" i="2"/>
  <c r="G7599" i="2"/>
  <c r="D7598" i="2"/>
  <c r="G7598" i="2"/>
  <c r="G7597" i="2"/>
  <c r="D7597" i="2"/>
  <c r="G7596" i="2"/>
  <c r="D7596" i="2"/>
  <c r="G7595" i="2"/>
  <c r="D7595" i="2"/>
  <c r="D7594" i="2"/>
  <c r="G7594" i="2"/>
  <c r="D7593" i="2"/>
  <c r="G7593" i="2"/>
  <c r="G7592" i="2"/>
  <c r="D7592" i="2"/>
  <c r="G7591" i="2"/>
  <c r="D7591" i="2"/>
  <c r="D7590" i="2"/>
  <c r="G7590" i="2"/>
  <c r="G7589" i="2"/>
  <c r="D7589" i="2"/>
  <c r="G7588" i="2"/>
  <c r="D7588" i="2"/>
  <c r="G7587" i="2"/>
  <c r="D7587" i="2"/>
  <c r="G7586" i="2"/>
  <c r="D7586" i="2"/>
  <c r="D7585" i="2"/>
  <c r="G7585" i="2"/>
  <c r="G7584" i="2"/>
  <c r="D7584" i="2"/>
  <c r="D7583" i="2"/>
  <c r="G7583" i="2"/>
  <c r="G7582" i="2"/>
  <c r="D7582" i="2"/>
  <c r="G7581" i="2"/>
  <c r="D7581" i="2"/>
  <c r="G7580" i="2"/>
  <c r="D7580" i="2"/>
  <c r="G7579" i="2"/>
  <c r="D7579" i="2"/>
  <c r="G7578" i="2"/>
  <c r="D7578" i="2"/>
  <c r="G7577" i="2"/>
  <c r="D7577" i="2"/>
  <c r="D7576" i="2"/>
  <c r="G7576" i="2"/>
  <c r="G7575" i="2"/>
  <c r="D7575" i="2"/>
  <c r="G7574" i="2"/>
  <c r="D7574" i="2"/>
  <c r="D7573" i="2"/>
  <c r="G7573" i="2"/>
  <c r="D7572" i="2"/>
  <c r="G7572" i="2"/>
  <c r="G7571" i="2"/>
  <c r="D7571" i="2"/>
  <c r="D7570" i="2"/>
  <c r="G7570" i="2"/>
  <c r="D7569" i="2"/>
  <c r="G7569" i="2"/>
  <c r="G7568" i="2"/>
  <c r="D7568" i="2"/>
  <c r="G7567" i="2"/>
  <c r="D7567" i="2"/>
  <c r="G7566" i="2"/>
  <c r="D7566" i="2"/>
  <c r="D7565" i="2"/>
  <c r="G7565" i="2"/>
  <c r="D7564" i="2"/>
  <c r="G7564" i="2"/>
  <c r="G7563" i="2"/>
  <c r="D7563" i="2"/>
  <c r="D7562" i="2"/>
  <c r="G7562" i="2"/>
  <c r="D7561" i="2"/>
  <c r="G7561" i="2"/>
  <c r="D7560" i="2"/>
  <c r="G7560" i="2"/>
  <c r="G7559" i="2"/>
  <c r="D7559" i="2"/>
  <c r="D7558" i="2"/>
  <c r="G7558" i="2"/>
  <c r="D7557" i="2"/>
  <c r="G7557" i="2"/>
  <c r="D7556" i="2"/>
  <c r="G7556" i="2"/>
  <c r="G7555" i="2"/>
  <c r="D7555" i="2"/>
  <c r="D7554" i="2"/>
  <c r="G7554" i="2"/>
  <c r="G7553" i="2"/>
  <c r="D7553" i="2"/>
  <c r="G7552" i="2"/>
  <c r="D7552" i="2"/>
  <c r="G7551" i="2"/>
  <c r="D7551" i="2"/>
  <c r="G7550" i="2"/>
  <c r="D7550" i="2"/>
  <c r="G7549" i="2"/>
  <c r="D7549" i="2"/>
  <c r="D7548" i="2"/>
  <c r="G7548" i="2"/>
  <c r="D7547" i="2"/>
  <c r="G7547" i="2"/>
  <c r="G7546" i="2"/>
  <c r="D7546" i="2"/>
  <c r="G7545" i="2"/>
  <c r="D7545" i="2"/>
  <c r="G7544" i="2"/>
  <c r="D7544" i="2"/>
  <c r="G7543" i="2"/>
  <c r="D7543" i="2"/>
  <c r="G7542" i="2"/>
  <c r="D7542" i="2"/>
  <c r="D7541" i="2"/>
  <c r="G7541" i="2"/>
  <c r="G7540" i="2"/>
  <c r="D7540" i="2"/>
  <c r="D7539" i="2"/>
  <c r="G7539" i="2"/>
  <c r="G7538" i="2"/>
  <c r="D7538" i="2"/>
  <c r="G7537" i="2"/>
  <c r="D7537" i="2"/>
  <c r="D7536" i="2"/>
  <c r="G7536" i="2"/>
  <c r="D7535" i="2"/>
  <c r="G7535" i="2"/>
  <c r="G7534" i="2"/>
  <c r="D7534" i="2"/>
  <c r="G7533" i="2"/>
  <c r="D7533" i="2"/>
  <c r="G7532" i="2"/>
  <c r="D7532" i="2"/>
  <c r="D7531" i="2"/>
  <c r="G7531" i="2"/>
  <c r="D7530" i="2"/>
  <c r="G7530" i="2"/>
  <c r="D7529" i="2"/>
  <c r="G7529" i="2"/>
  <c r="D7528" i="2"/>
  <c r="G7528" i="2"/>
  <c r="D7527" i="2"/>
  <c r="G7527" i="2"/>
  <c r="G7526" i="2"/>
  <c r="D7526" i="2"/>
  <c r="D7525" i="2"/>
  <c r="G7525" i="2"/>
  <c r="D7524" i="2"/>
  <c r="G7524" i="2"/>
  <c r="G7523" i="2"/>
  <c r="D7523" i="2"/>
  <c r="D7522" i="2"/>
  <c r="G7522" i="2"/>
  <c r="D7521" i="2"/>
  <c r="G7521" i="2"/>
  <c r="D7520" i="2"/>
  <c r="G7520" i="2"/>
  <c r="G7519" i="2"/>
  <c r="D7519" i="2"/>
  <c r="D7518" i="2"/>
  <c r="G7518" i="2"/>
  <c r="G7517" i="2"/>
  <c r="D7517" i="2"/>
  <c r="G7516" i="2"/>
  <c r="D7516" i="2"/>
  <c r="D7515" i="2"/>
  <c r="G7515" i="2"/>
  <c r="D7514" i="2"/>
  <c r="G7514" i="2"/>
  <c r="G7513" i="2"/>
  <c r="D7513" i="2"/>
  <c r="D7512" i="2"/>
  <c r="G7512" i="2"/>
  <c r="D7511" i="2"/>
  <c r="G7511" i="2"/>
  <c r="D7510" i="2"/>
  <c r="G7510" i="2"/>
  <c r="D7509" i="2"/>
  <c r="G7509" i="2"/>
  <c r="G7508" i="2"/>
  <c r="D7508" i="2"/>
  <c r="G7507" i="2"/>
  <c r="D7507" i="2"/>
  <c r="D7506" i="2"/>
  <c r="G7506" i="2"/>
  <c r="D7505" i="2"/>
  <c r="G7505" i="2"/>
  <c r="G7504" i="2"/>
  <c r="D7504" i="2"/>
  <c r="G7503" i="2"/>
  <c r="D7503" i="2"/>
  <c r="D7502" i="2"/>
  <c r="G7502" i="2"/>
  <c r="D7501" i="2"/>
  <c r="G7501" i="2"/>
  <c r="G7500" i="2"/>
  <c r="D7500" i="2"/>
  <c r="D7499" i="2"/>
  <c r="G7499" i="2"/>
  <c r="G7498" i="2"/>
  <c r="D7498" i="2"/>
  <c r="G7497" i="2"/>
  <c r="D7497" i="2"/>
  <c r="G7496" i="2"/>
  <c r="D7496" i="2"/>
  <c r="G7495" i="2"/>
  <c r="D7495" i="2"/>
  <c r="D7494" i="2"/>
  <c r="G7494" i="2"/>
  <c r="G7493" i="2"/>
  <c r="D7493" i="2"/>
  <c r="D7492" i="2"/>
  <c r="G7492" i="2"/>
  <c r="G7491" i="2"/>
  <c r="D7491" i="2"/>
  <c r="G7490" i="2"/>
  <c r="D7490" i="2"/>
  <c r="G7489" i="2"/>
  <c r="D7489" i="2"/>
  <c r="G7488" i="2"/>
  <c r="D7488" i="2"/>
  <c r="G7487" i="2"/>
  <c r="D7487" i="2"/>
  <c r="D7486" i="2"/>
  <c r="G7486" i="2"/>
  <c r="G7485" i="2"/>
  <c r="D7485" i="2"/>
  <c r="D7484" i="2"/>
  <c r="G7484" i="2"/>
  <c r="G7483" i="2"/>
  <c r="D7483" i="2"/>
  <c r="G7482" i="2"/>
  <c r="D7482" i="2"/>
  <c r="G7481" i="2"/>
  <c r="D7481" i="2"/>
  <c r="G7480" i="2"/>
  <c r="D7480" i="2"/>
  <c r="G7479" i="2"/>
  <c r="D7479" i="2"/>
  <c r="G7478" i="2"/>
  <c r="D7478" i="2"/>
  <c r="D7477" i="2"/>
  <c r="G7477" i="2"/>
  <c r="G7476" i="2"/>
  <c r="D7476" i="2"/>
  <c r="G7475" i="2"/>
  <c r="D7475" i="2"/>
  <c r="D7474" i="2"/>
  <c r="G7474" i="2"/>
  <c r="D7473" i="2"/>
  <c r="G7473" i="2"/>
  <c r="D7472" i="2"/>
  <c r="G7472" i="2"/>
  <c r="G7471" i="2"/>
  <c r="D7471" i="2"/>
  <c r="G7470" i="2"/>
  <c r="D7470" i="2"/>
  <c r="G7469" i="2"/>
  <c r="D7469" i="2"/>
  <c r="G7468" i="2"/>
  <c r="D7468" i="2"/>
  <c r="D7467" i="2"/>
  <c r="G7467" i="2"/>
  <c r="G7466" i="2"/>
  <c r="D7466" i="2"/>
  <c r="G7465" i="2"/>
  <c r="D7465" i="2"/>
  <c r="G7464" i="2"/>
  <c r="D7464" i="2"/>
  <c r="G7463" i="2"/>
  <c r="D7463" i="2"/>
  <c r="D7462" i="2"/>
  <c r="G7462" i="2"/>
  <c r="G7461" i="2"/>
  <c r="D7461" i="2"/>
  <c r="G7460" i="2"/>
  <c r="D7460" i="2"/>
  <c r="G7459" i="2"/>
  <c r="D7459" i="2"/>
  <c r="G7458" i="2"/>
  <c r="D7458" i="2"/>
  <c r="D7457" i="2"/>
  <c r="G7457" i="2"/>
  <c r="G7456" i="2"/>
  <c r="D7456" i="2"/>
  <c r="G7455" i="2"/>
  <c r="D7455" i="2"/>
  <c r="D7454" i="2"/>
  <c r="G7454" i="2"/>
  <c r="G7453" i="2"/>
  <c r="D7453" i="2"/>
  <c r="G7452" i="2"/>
  <c r="D7452" i="2"/>
  <c r="D7451" i="2"/>
  <c r="G7451" i="2"/>
  <c r="G7450" i="2"/>
  <c r="D7450" i="2"/>
  <c r="G7449" i="2"/>
  <c r="D7449" i="2"/>
  <c r="G7448" i="2"/>
  <c r="D7448" i="2"/>
  <c r="G7447" i="2"/>
  <c r="D7447" i="2"/>
  <c r="D7446" i="2"/>
  <c r="G7446" i="2"/>
  <c r="G7445" i="2"/>
  <c r="D7445" i="2"/>
  <c r="G7444" i="2"/>
  <c r="D7444" i="2"/>
  <c r="G7443" i="2"/>
  <c r="D7443" i="2"/>
  <c r="D7442" i="2"/>
  <c r="G7442" i="2"/>
  <c r="D7441" i="2"/>
  <c r="G7441" i="2"/>
  <c r="D7440" i="2"/>
  <c r="G7440" i="2"/>
  <c r="D7439" i="2"/>
  <c r="G7439" i="2"/>
  <c r="D7438" i="2"/>
  <c r="G7438" i="2"/>
  <c r="G7437" i="2"/>
  <c r="D7437" i="2"/>
  <c r="D7436" i="2"/>
  <c r="G7436" i="2"/>
  <c r="G7435" i="2"/>
  <c r="D7435" i="2"/>
  <c r="G7434" i="2"/>
  <c r="D7434" i="2"/>
  <c r="G7433" i="2"/>
  <c r="D7433" i="2"/>
  <c r="D7432" i="2"/>
  <c r="G7432" i="2"/>
  <c r="G7431" i="2"/>
  <c r="D7431" i="2"/>
  <c r="G7430" i="2"/>
  <c r="D7430" i="2"/>
  <c r="G7429" i="2"/>
  <c r="D7429" i="2"/>
  <c r="G7428" i="2"/>
  <c r="D7428" i="2"/>
  <c r="G7427" i="2"/>
  <c r="D7427" i="2"/>
  <c r="G7426" i="2"/>
  <c r="D7426" i="2"/>
  <c r="D7425" i="2"/>
  <c r="G7425" i="2"/>
  <c r="G7424" i="2"/>
  <c r="D7424" i="2"/>
  <c r="G7423" i="2"/>
  <c r="D7423" i="2"/>
  <c r="G7422" i="2"/>
  <c r="D7422" i="2"/>
  <c r="G7421" i="2"/>
  <c r="D7421" i="2"/>
  <c r="G7420" i="2"/>
  <c r="D7420" i="2"/>
  <c r="G7419" i="2"/>
  <c r="D7419" i="2"/>
  <c r="G7418" i="2"/>
  <c r="D7418" i="2"/>
  <c r="D7417" i="2"/>
  <c r="G7417" i="2"/>
  <c r="G7416" i="2"/>
  <c r="D7416" i="2"/>
  <c r="G7415" i="2"/>
  <c r="D7415" i="2"/>
  <c r="G7414" i="2"/>
  <c r="D7414" i="2"/>
  <c r="G7413" i="2"/>
  <c r="D7413" i="2"/>
  <c r="G7412" i="2"/>
  <c r="D7412" i="2"/>
  <c r="G7411" i="2"/>
  <c r="D7411" i="2"/>
  <c r="G7410" i="2"/>
  <c r="D7410" i="2"/>
  <c r="G7409" i="2"/>
  <c r="D7409" i="2"/>
  <c r="D7408" i="2"/>
  <c r="G7408" i="2"/>
  <c r="G7407" i="2"/>
  <c r="D7407" i="2"/>
  <c r="G7406" i="2"/>
  <c r="D7406" i="2"/>
  <c r="G7405" i="2"/>
  <c r="D7405" i="2"/>
  <c r="G7404" i="2"/>
  <c r="D7404" i="2"/>
  <c r="D7403" i="2"/>
  <c r="G7403" i="2"/>
  <c r="D7402" i="2"/>
  <c r="G7402" i="2"/>
  <c r="D7401" i="2"/>
  <c r="G7401" i="2"/>
  <c r="G7400" i="2"/>
  <c r="D7400" i="2"/>
  <c r="G7399" i="2"/>
  <c r="D7399" i="2"/>
  <c r="D7398" i="2"/>
  <c r="G7398" i="2"/>
  <c r="G7397" i="2"/>
  <c r="D7397" i="2"/>
  <c r="G7396" i="2"/>
  <c r="D7396" i="2"/>
  <c r="D7395" i="2"/>
  <c r="G7395" i="2"/>
  <c r="D7394" i="2"/>
  <c r="G7394" i="2"/>
  <c r="D7393" i="2"/>
  <c r="G7393" i="2"/>
  <c r="G7392" i="2"/>
  <c r="D7392" i="2"/>
  <c r="G7391" i="2"/>
  <c r="D7391" i="2"/>
  <c r="G7390" i="2"/>
  <c r="D7390" i="2"/>
  <c r="G7389" i="2"/>
  <c r="D7389" i="2"/>
  <c r="G7388" i="2"/>
  <c r="D7388" i="2"/>
  <c r="D7387" i="2"/>
  <c r="G7387" i="2"/>
  <c r="G7386" i="2"/>
  <c r="D7386" i="2"/>
  <c r="G7385" i="2"/>
  <c r="D7385" i="2"/>
  <c r="G7384" i="2"/>
  <c r="D7384" i="2"/>
  <c r="G7383" i="2"/>
  <c r="D7383" i="2"/>
  <c r="D7382" i="2"/>
  <c r="G7382" i="2"/>
  <c r="G7381" i="2"/>
  <c r="D7381" i="2"/>
  <c r="D7380" i="2"/>
  <c r="G7380" i="2"/>
  <c r="G7379" i="2"/>
  <c r="D7379" i="2"/>
  <c r="D7378" i="2"/>
  <c r="G7378" i="2"/>
  <c r="G7377" i="2"/>
  <c r="D7377" i="2"/>
  <c r="G7376" i="2"/>
  <c r="D7376" i="2"/>
  <c r="D7375" i="2"/>
  <c r="G7375" i="2"/>
  <c r="G7374" i="2"/>
  <c r="D7374" i="2"/>
  <c r="G7373" i="2"/>
  <c r="D7373" i="2"/>
  <c r="G7372" i="2"/>
  <c r="D7372" i="2"/>
  <c r="G7371" i="2"/>
  <c r="D7371" i="2"/>
  <c r="G7370" i="2"/>
  <c r="D7370" i="2"/>
  <c r="G7369" i="2"/>
  <c r="D7369" i="2"/>
  <c r="G7368" i="2"/>
  <c r="D7368" i="2"/>
  <c r="G7367" i="2"/>
  <c r="D7367" i="2"/>
  <c r="D7366" i="2"/>
  <c r="G7366" i="2"/>
  <c r="G7365" i="2"/>
  <c r="D7365" i="2"/>
  <c r="D7364" i="2"/>
  <c r="G7364" i="2"/>
  <c r="G7363" i="2"/>
  <c r="D7363" i="2"/>
  <c r="G7362" i="2"/>
  <c r="D7362" i="2"/>
  <c r="G7361" i="2"/>
  <c r="D7361" i="2"/>
  <c r="D7360" i="2"/>
  <c r="G7360" i="2"/>
  <c r="G7359" i="2"/>
  <c r="D7359" i="2"/>
  <c r="G7358" i="2"/>
  <c r="D7358" i="2"/>
  <c r="D7357" i="2"/>
  <c r="G7357" i="2"/>
  <c r="G7356" i="2"/>
  <c r="D7356" i="2"/>
  <c r="G7355" i="2"/>
  <c r="D7355" i="2"/>
  <c r="D7354" i="2"/>
  <c r="G7354" i="2"/>
  <c r="D7353" i="2"/>
  <c r="G7353" i="2"/>
  <c r="D7352" i="2"/>
  <c r="G7352" i="2"/>
  <c r="G7351" i="2"/>
  <c r="D7351" i="2"/>
  <c r="G7350" i="2"/>
  <c r="D7350" i="2"/>
  <c r="G7349" i="2"/>
  <c r="D7349" i="2"/>
  <c r="D7348" i="2"/>
  <c r="G7348" i="2"/>
  <c r="D7347" i="2"/>
  <c r="G7347" i="2"/>
  <c r="G7346" i="2"/>
  <c r="D7346" i="2"/>
  <c r="D7345" i="2"/>
  <c r="G7345" i="2"/>
  <c r="G7344" i="2"/>
  <c r="D7344" i="2"/>
  <c r="G7343" i="2"/>
  <c r="D7343" i="2"/>
  <c r="G7342" i="2"/>
  <c r="D7342" i="2"/>
  <c r="G7341" i="2"/>
  <c r="D7341" i="2"/>
  <c r="D7340" i="2"/>
  <c r="G7340" i="2"/>
  <c r="G7339" i="2"/>
  <c r="D7339" i="2"/>
  <c r="G7338" i="2"/>
  <c r="D7338" i="2"/>
  <c r="G7337" i="2"/>
  <c r="D7337" i="2"/>
  <c r="G7336" i="2"/>
  <c r="D7336" i="2"/>
  <c r="D7335" i="2"/>
  <c r="G7335" i="2"/>
  <c r="D7334" i="2"/>
  <c r="G7334" i="2"/>
  <c r="G7333" i="2"/>
  <c r="D7333" i="2"/>
  <c r="G7332" i="2"/>
  <c r="D7332" i="2"/>
  <c r="G7331" i="2"/>
  <c r="D7331" i="2"/>
  <c r="G7330" i="2"/>
  <c r="D7330" i="2"/>
  <c r="G7329" i="2"/>
  <c r="D7329" i="2"/>
  <c r="G7328" i="2"/>
  <c r="D7328" i="2"/>
  <c r="G7327" i="2"/>
  <c r="D7327" i="2"/>
  <c r="G7326" i="2"/>
  <c r="D7326" i="2"/>
  <c r="G7325" i="2"/>
  <c r="D7325" i="2"/>
  <c r="G7324" i="2"/>
  <c r="D7324" i="2"/>
  <c r="G7323" i="2"/>
  <c r="D7323" i="2"/>
  <c r="D7322" i="2"/>
  <c r="G7322" i="2"/>
  <c r="G7321" i="2"/>
  <c r="D7321" i="2"/>
  <c r="D7320" i="2"/>
  <c r="G7320" i="2"/>
  <c r="G7319" i="2"/>
  <c r="D7319" i="2"/>
  <c r="D7318" i="2"/>
  <c r="G7318" i="2"/>
  <c r="D7317" i="2"/>
  <c r="G7317" i="2"/>
  <c r="G7316" i="2"/>
  <c r="D7316" i="2"/>
  <c r="G7315" i="2"/>
  <c r="D7315" i="2"/>
  <c r="G7314" i="2"/>
  <c r="D7314" i="2"/>
  <c r="G7313" i="2"/>
  <c r="D7313" i="2"/>
  <c r="G7312" i="2"/>
  <c r="D7312" i="2"/>
  <c r="D7311" i="2"/>
  <c r="G7311" i="2"/>
  <c r="G7310" i="2"/>
  <c r="D7310" i="2"/>
  <c r="G7309" i="2"/>
  <c r="D7309" i="2"/>
  <c r="G7308" i="2"/>
  <c r="D7308" i="2"/>
  <c r="G7307" i="2"/>
  <c r="D7307" i="2"/>
  <c r="G7306" i="2"/>
  <c r="D7306" i="2"/>
  <c r="G7305" i="2"/>
  <c r="D7305" i="2"/>
  <c r="D7304" i="2"/>
  <c r="G7304" i="2"/>
  <c r="D7303" i="2"/>
  <c r="G7303" i="2"/>
  <c r="G7302" i="2"/>
  <c r="D7302" i="2"/>
  <c r="G7301" i="2"/>
  <c r="D7301" i="2"/>
  <c r="D7300" i="2"/>
  <c r="G7300" i="2"/>
  <c r="G7299" i="2"/>
  <c r="D7299" i="2"/>
  <c r="G7298" i="2"/>
  <c r="D7298" i="2"/>
  <c r="G7297" i="2"/>
  <c r="D7297" i="2"/>
  <c r="G7296" i="2"/>
  <c r="D7296" i="2"/>
  <c r="G7295" i="2"/>
  <c r="D7295" i="2"/>
  <c r="G7294" i="2"/>
  <c r="D7294" i="2"/>
  <c r="D7293" i="2"/>
  <c r="G7293" i="2"/>
  <c r="G7292" i="2"/>
  <c r="D7292" i="2"/>
  <c r="D7291" i="2"/>
  <c r="G7291" i="2"/>
  <c r="G7290" i="2"/>
  <c r="D7290" i="2"/>
  <c r="G7289" i="2"/>
  <c r="D7289" i="2"/>
  <c r="G7288" i="2"/>
  <c r="D7288" i="2"/>
  <c r="G7287" i="2"/>
  <c r="D7287" i="2"/>
  <c r="G7286" i="2"/>
  <c r="D7286" i="2"/>
  <c r="G7285" i="2"/>
  <c r="D7285" i="2"/>
  <c r="G7284" i="2"/>
  <c r="D7284" i="2"/>
  <c r="D7283" i="2"/>
  <c r="G7283" i="2"/>
  <c r="G7282" i="2"/>
  <c r="D7282" i="2"/>
  <c r="D7281" i="2"/>
  <c r="G7281" i="2"/>
  <c r="G7280" i="2"/>
  <c r="D7280" i="2"/>
  <c r="G7279" i="2"/>
  <c r="D7279" i="2"/>
  <c r="G7278" i="2"/>
  <c r="D7278" i="2"/>
  <c r="D7277" i="2"/>
  <c r="G7277" i="2"/>
  <c r="G7276" i="2"/>
  <c r="D7276" i="2"/>
  <c r="G7275" i="2"/>
  <c r="D7275" i="2"/>
  <c r="G7274" i="2"/>
  <c r="D7274" i="2"/>
  <c r="G7273" i="2"/>
  <c r="D7273" i="2"/>
  <c r="D7272" i="2"/>
  <c r="G7272" i="2"/>
  <c r="D7271" i="2"/>
  <c r="G7271" i="2"/>
  <c r="G7270" i="2"/>
  <c r="D7270" i="2"/>
  <c r="G7269" i="2"/>
  <c r="D7269" i="2"/>
  <c r="G7268" i="2"/>
  <c r="D7268" i="2"/>
  <c r="G7267" i="2"/>
  <c r="D7267" i="2"/>
  <c r="G7266" i="2"/>
  <c r="D7266" i="2"/>
  <c r="D7265" i="2"/>
  <c r="G7265" i="2"/>
  <c r="D7264" i="2"/>
  <c r="G7264" i="2"/>
  <c r="D7263" i="2"/>
  <c r="G7263" i="2"/>
  <c r="G7262" i="2"/>
  <c r="D7262" i="2"/>
  <c r="G7261" i="2"/>
  <c r="D7261" i="2"/>
  <c r="G7260" i="2"/>
  <c r="D7260" i="2"/>
  <c r="D7259" i="2"/>
  <c r="G7259" i="2"/>
  <c r="G7258" i="2"/>
  <c r="D7258" i="2"/>
  <c r="G7257" i="2"/>
  <c r="D7257" i="2"/>
  <c r="G7256" i="2"/>
  <c r="D7256" i="2"/>
  <c r="G7255" i="2"/>
  <c r="D7255" i="2"/>
  <c r="D7254" i="2"/>
  <c r="G7254" i="2"/>
  <c r="G7253" i="2"/>
  <c r="D7253" i="2"/>
  <c r="G7252" i="2"/>
  <c r="D7252" i="2"/>
  <c r="G7251" i="2"/>
  <c r="D7251" i="2"/>
  <c r="G7250" i="2"/>
  <c r="D7250" i="2"/>
  <c r="G7249" i="2"/>
  <c r="D7249" i="2"/>
  <c r="G7248" i="2"/>
  <c r="D7248" i="2"/>
  <c r="G7247" i="2"/>
  <c r="D7247" i="2"/>
  <c r="G7246" i="2"/>
  <c r="D7246" i="2"/>
  <c r="G7245" i="2"/>
  <c r="D7245" i="2"/>
  <c r="G7244" i="2"/>
  <c r="D7244" i="2"/>
  <c r="G7243" i="2"/>
  <c r="D7243" i="2"/>
  <c r="G7242" i="2"/>
  <c r="D7242" i="2"/>
  <c r="G7241" i="2"/>
  <c r="D7241" i="2"/>
  <c r="G7240" i="2"/>
  <c r="D7240" i="2"/>
  <c r="G7239" i="2"/>
  <c r="D7239" i="2"/>
  <c r="G7238" i="2"/>
  <c r="D7238" i="2"/>
  <c r="G7237" i="2"/>
  <c r="D7237" i="2"/>
  <c r="G7236" i="2"/>
  <c r="D7236" i="2"/>
  <c r="G7235" i="2"/>
  <c r="D7235" i="2"/>
  <c r="G7234" i="2"/>
  <c r="D7234" i="2"/>
  <c r="G7233" i="2"/>
  <c r="D7233" i="2"/>
  <c r="G7232" i="2"/>
  <c r="D7232" i="2"/>
  <c r="G7231" i="2"/>
  <c r="D7231" i="2"/>
  <c r="G7230" i="2"/>
  <c r="D7230" i="2"/>
  <c r="G7229" i="2"/>
  <c r="D7229" i="2"/>
  <c r="G7228" i="2"/>
  <c r="D7228" i="2"/>
  <c r="G7227" i="2"/>
  <c r="D7227" i="2"/>
  <c r="D7226" i="2"/>
  <c r="G7226" i="2"/>
  <c r="G7225" i="2"/>
  <c r="D7225" i="2"/>
  <c r="D7224" i="2"/>
  <c r="G7224" i="2"/>
  <c r="G7223" i="2"/>
  <c r="D7223" i="2"/>
  <c r="G7222" i="2"/>
  <c r="D7222" i="2"/>
  <c r="G7221" i="2"/>
  <c r="D7221" i="2"/>
  <c r="G7220" i="2"/>
  <c r="D7220" i="2"/>
  <c r="G7219" i="2"/>
  <c r="D7219" i="2"/>
  <c r="D7218" i="2"/>
  <c r="G7218" i="2"/>
  <c r="D7217" i="2"/>
  <c r="G7217" i="2"/>
  <c r="G7216" i="2"/>
  <c r="D7216" i="2"/>
  <c r="G7215" i="2"/>
  <c r="D7215" i="2"/>
  <c r="D7214" i="2"/>
  <c r="G7214" i="2"/>
  <c r="D7213" i="2"/>
  <c r="G7213" i="2"/>
  <c r="D7212" i="2"/>
  <c r="G7212" i="2"/>
  <c r="G7211" i="2"/>
  <c r="D7211" i="2"/>
  <c r="D7210" i="2"/>
  <c r="G7210" i="2"/>
  <c r="G7209" i="2"/>
  <c r="D7209" i="2"/>
  <c r="G7208" i="2"/>
  <c r="D7208" i="2"/>
  <c r="D7207" i="2"/>
  <c r="G7207" i="2"/>
  <c r="G7206" i="2"/>
  <c r="D7206" i="2"/>
  <c r="D7205" i="2"/>
  <c r="G7205" i="2"/>
  <c r="G7204" i="2"/>
  <c r="D7204" i="2"/>
  <c r="D7203" i="2"/>
  <c r="G7203" i="2"/>
  <c r="D7202" i="2"/>
  <c r="G7202" i="2"/>
  <c r="D7201" i="2"/>
  <c r="G7201" i="2"/>
  <c r="D7200" i="2"/>
  <c r="G7200" i="2"/>
  <c r="G7199" i="2"/>
  <c r="D7199" i="2"/>
  <c r="D7198" i="2"/>
  <c r="G7198" i="2"/>
  <c r="G7197" i="2"/>
  <c r="D7197" i="2"/>
  <c r="D7196" i="2"/>
  <c r="G7196" i="2"/>
  <c r="G7195" i="2"/>
  <c r="D7195" i="2"/>
  <c r="G7194" i="2"/>
  <c r="D7194" i="2"/>
  <c r="G7193" i="2"/>
  <c r="D7193" i="2"/>
  <c r="G7192" i="2"/>
  <c r="D7192" i="2"/>
  <c r="G7191" i="2"/>
  <c r="D7191" i="2"/>
  <c r="G7190" i="2"/>
  <c r="D7190" i="2"/>
  <c r="G7189" i="2"/>
  <c r="D7189" i="2"/>
  <c r="G7188" i="2"/>
  <c r="D7188" i="2"/>
  <c r="D7187" i="2"/>
  <c r="G7187" i="2"/>
  <c r="G7186" i="2"/>
  <c r="D7186" i="2"/>
  <c r="G7185" i="2"/>
  <c r="D7185" i="2"/>
  <c r="G7184" i="2"/>
  <c r="D7184" i="2"/>
  <c r="G7183" i="2"/>
  <c r="D7183" i="2"/>
  <c r="G7182" i="2"/>
  <c r="D7182" i="2"/>
  <c r="G7181" i="2"/>
  <c r="D7181" i="2"/>
  <c r="G7180" i="2"/>
  <c r="D7180" i="2"/>
  <c r="D7179" i="2"/>
  <c r="G7179" i="2"/>
  <c r="D7178" i="2"/>
  <c r="G7178" i="2"/>
  <c r="G7177" i="2"/>
  <c r="D7177" i="2"/>
  <c r="G7176" i="2"/>
  <c r="D7176" i="2"/>
  <c r="G7175" i="2"/>
  <c r="D7175" i="2"/>
  <c r="G7174" i="2"/>
  <c r="D7174" i="2"/>
  <c r="G7173" i="2"/>
  <c r="D7173" i="2"/>
  <c r="G7172" i="2"/>
  <c r="D7172" i="2"/>
  <c r="G7171" i="2"/>
  <c r="D7171" i="2"/>
  <c r="D7170" i="2"/>
  <c r="G7170" i="2"/>
  <c r="D7169" i="2"/>
  <c r="G7169" i="2"/>
  <c r="G7168" i="2"/>
  <c r="D7168" i="2"/>
  <c r="G7167" i="2"/>
  <c r="D7167" i="2"/>
  <c r="D7166" i="2"/>
  <c r="G7166" i="2"/>
  <c r="G7165" i="2"/>
  <c r="D7165" i="2"/>
  <c r="G7164" i="2"/>
  <c r="D7164" i="2"/>
  <c r="G7163" i="2"/>
  <c r="D7163" i="2"/>
  <c r="G7162" i="2"/>
  <c r="D7162" i="2"/>
  <c r="G7161" i="2"/>
  <c r="D7161" i="2"/>
  <c r="G7160" i="2"/>
  <c r="D7160" i="2"/>
  <c r="G7159" i="2"/>
  <c r="D7159" i="2"/>
  <c r="G7158" i="2"/>
  <c r="D7158" i="2"/>
  <c r="G7157" i="2"/>
  <c r="D7157" i="2"/>
  <c r="G7156" i="2"/>
  <c r="D7156" i="2"/>
  <c r="G7155" i="2"/>
  <c r="D7155" i="2"/>
  <c r="G7154" i="2"/>
  <c r="D7154" i="2"/>
  <c r="G7153" i="2"/>
  <c r="D7153" i="2"/>
  <c r="G7152" i="2"/>
  <c r="D7152" i="2"/>
  <c r="G7151" i="2"/>
  <c r="D7151" i="2"/>
  <c r="G7150" i="2"/>
  <c r="D7150" i="2"/>
  <c r="G7149" i="2"/>
  <c r="D7149" i="2"/>
  <c r="G7148" i="2"/>
  <c r="D7148" i="2"/>
  <c r="G7147" i="2"/>
  <c r="D7147" i="2"/>
  <c r="G7146" i="2"/>
  <c r="D7146" i="2"/>
  <c r="G7145" i="2"/>
  <c r="D7145" i="2"/>
  <c r="G7144" i="2"/>
  <c r="D7144" i="2"/>
  <c r="G7143" i="2"/>
  <c r="D7143" i="2"/>
  <c r="G7142" i="2"/>
  <c r="D7142" i="2"/>
  <c r="G7141" i="2"/>
  <c r="D7141" i="2"/>
  <c r="G7140" i="2"/>
  <c r="D7140" i="2"/>
  <c r="G7139" i="2"/>
  <c r="D7139" i="2"/>
  <c r="G7138" i="2"/>
  <c r="D7138" i="2"/>
  <c r="G7137" i="2"/>
  <c r="D7137" i="2"/>
  <c r="G7136" i="2"/>
  <c r="D7136" i="2"/>
  <c r="G7135" i="2"/>
  <c r="D7135" i="2"/>
  <c r="G7134" i="2"/>
  <c r="D7134" i="2"/>
  <c r="G7133" i="2"/>
  <c r="D7133" i="2"/>
  <c r="D7132" i="2"/>
  <c r="G7132" i="2"/>
  <c r="G7131" i="2"/>
  <c r="D7131" i="2"/>
  <c r="G7130" i="2"/>
  <c r="D7130" i="2"/>
  <c r="G7129" i="2"/>
  <c r="D7129" i="2"/>
  <c r="G7128" i="2"/>
  <c r="D7128" i="2"/>
  <c r="G7127" i="2"/>
  <c r="D7127" i="2"/>
  <c r="G7126" i="2"/>
  <c r="D7126" i="2"/>
  <c r="G7125" i="2"/>
  <c r="D7125" i="2"/>
  <c r="G7124" i="2"/>
  <c r="D7124" i="2"/>
  <c r="G7123" i="2"/>
  <c r="D7123" i="2"/>
  <c r="G7122" i="2"/>
  <c r="D7122" i="2"/>
  <c r="G7121" i="2"/>
  <c r="D7121" i="2"/>
  <c r="G7120" i="2"/>
  <c r="D7120" i="2"/>
  <c r="G7119" i="2"/>
  <c r="D7119" i="2"/>
  <c r="G7118" i="2"/>
  <c r="D7118" i="2"/>
  <c r="G7117" i="2"/>
  <c r="D7117" i="2"/>
  <c r="G7116" i="2"/>
  <c r="D7116" i="2"/>
  <c r="G7115" i="2"/>
  <c r="D7115" i="2"/>
  <c r="D7114" i="2"/>
  <c r="G7114" i="2"/>
  <c r="G7113" i="2"/>
  <c r="D7113" i="2"/>
  <c r="G7112" i="2"/>
  <c r="D7112" i="2"/>
  <c r="G7111" i="2"/>
  <c r="D7111" i="2"/>
  <c r="G7110" i="2"/>
  <c r="D7110" i="2"/>
  <c r="D7109" i="2"/>
  <c r="G7109" i="2"/>
  <c r="G7108" i="2"/>
  <c r="D7108" i="2"/>
  <c r="G7107" i="2"/>
  <c r="D7107" i="2"/>
  <c r="G7106" i="2"/>
  <c r="D7106" i="2"/>
  <c r="D7105" i="2"/>
  <c r="G7105" i="2"/>
  <c r="D7104" i="2"/>
  <c r="G7104" i="2"/>
  <c r="G7103" i="2"/>
  <c r="D7103" i="2"/>
  <c r="G7102" i="2"/>
  <c r="D7102" i="2"/>
  <c r="D7101" i="2"/>
  <c r="G7101" i="2"/>
  <c r="D7100" i="2"/>
  <c r="G7100" i="2"/>
  <c r="D7099" i="2"/>
  <c r="G7099" i="2"/>
  <c r="D7098" i="2"/>
  <c r="G7098" i="2"/>
  <c r="D7097" i="2"/>
  <c r="G7097" i="2"/>
  <c r="D7096" i="2"/>
  <c r="G7096" i="2"/>
  <c r="G7095" i="2"/>
  <c r="D7095" i="2"/>
  <c r="G7094" i="2"/>
  <c r="D7094" i="2"/>
  <c r="D7093" i="2"/>
  <c r="G7093" i="2"/>
  <c r="D7092" i="2"/>
  <c r="G7092" i="2"/>
  <c r="G7091" i="2"/>
  <c r="D7091" i="2"/>
  <c r="G7090" i="2"/>
  <c r="D7090" i="2"/>
  <c r="G7089" i="2"/>
  <c r="D7089" i="2"/>
  <c r="D7088" i="2"/>
  <c r="G7088" i="2"/>
  <c r="D7087" i="2"/>
  <c r="G7087" i="2"/>
  <c r="G7086" i="2"/>
  <c r="D7086" i="2"/>
  <c r="G7085" i="2"/>
  <c r="D7085" i="2"/>
  <c r="G7084" i="2"/>
  <c r="D7084" i="2"/>
  <c r="D7083" i="2"/>
  <c r="G7083" i="2"/>
  <c r="G7082" i="2"/>
  <c r="D7082" i="2"/>
  <c r="G7081" i="2"/>
  <c r="D7081" i="2"/>
  <c r="D7080" i="2"/>
  <c r="G7080" i="2"/>
  <c r="G7079" i="2"/>
  <c r="D7079" i="2"/>
  <c r="D7078" i="2"/>
  <c r="G7078" i="2"/>
  <c r="G7077" i="2"/>
  <c r="D7077" i="2"/>
  <c r="D7076" i="2"/>
  <c r="G7076" i="2"/>
  <c r="D7075" i="2"/>
  <c r="G7075" i="2"/>
  <c r="D7074" i="2"/>
  <c r="G7074" i="2"/>
  <c r="G7073" i="2"/>
  <c r="D7073" i="2"/>
  <c r="G7072" i="2"/>
  <c r="D7072" i="2"/>
  <c r="D7071" i="2"/>
  <c r="G7071" i="2"/>
  <c r="G7070" i="2"/>
  <c r="D7070" i="2"/>
  <c r="D7069" i="2"/>
  <c r="G7069" i="2"/>
  <c r="D7068" i="2"/>
  <c r="G7068" i="2"/>
  <c r="G7067" i="2"/>
  <c r="D7067" i="2"/>
  <c r="G7066" i="2"/>
  <c r="D7066" i="2"/>
  <c r="G7065" i="2"/>
  <c r="D7065" i="2"/>
  <c r="G7064" i="2"/>
  <c r="D7064" i="2"/>
  <c r="G7063" i="2"/>
  <c r="D7063" i="2"/>
  <c r="G7062" i="2"/>
  <c r="D7062" i="2"/>
  <c r="D7061" i="2"/>
  <c r="G7061" i="2"/>
  <c r="G7060" i="2"/>
  <c r="D7060" i="2"/>
  <c r="D7059" i="2"/>
  <c r="G7059" i="2"/>
  <c r="D7058" i="2"/>
  <c r="G7058" i="2"/>
  <c r="D7057" i="2"/>
  <c r="G7057" i="2"/>
  <c r="D7056" i="2"/>
  <c r="G7056" i="2"/>
  <c r="D7055" i="2"/>
  <c r="G7055" i="2"/>
  <c r="D7054" i="2"/>
  <c r="G7054" i="2"/>
  <c r="D7053" i="2"/>
  <c r="G7053" i="2"/>
  <c r="D7052" i="2"/>
  <c r="G7052" i="2"/>
  <c r="G7051" i="2"/>
  <c r="D7051" i="2"/>
  <c r="G7050" i="2"/>
  <c r="D7050" i="2"/>
  <c r="D7049" i="2"/>
  <c r="G7049" i="2"/>
  <c r="D7048" i="2"/>
  <c r="G7048" i="2"/>
  <c r="D7047" i="2"/>
  <c r="G7047" i="2"/>
  <c r="G7046" i="2"/>
  <c r="D7046" i="2"/>
  <c r="G7045" i="2"/>
  <c r="D7045" i="2"/>
  <c r="G7044" i="2"/>
  <c r="D7044" i="2"/>
  <c r="G7043" i="2"/>
  <c r="D7043" i="2"/>
  <c r="G7042" i="2"/>
  <c r="D7042" i="2"/>
  <c r="G7041" i="2"/>
  <c r="D7041" i="2"/>
  <c r="D7040" i="2"/>
  <c r="G7040" i="2"/>
  <c r="G7039" i="2"/>
  <c r="D7039" i="2"/>
  <c r="G7038" i="2"/>
  <c r="D7038" i="2"/>
  <c r="G7037" i="2"/>
  <c r="D7037" i="2"/>
  <c r="G7036" i="2"/>
  <c r="D7036" i="2"/>
  <c r="G7035" i="2"/>
  <c r="D7035" i="2"/>
  <c r="G7034" i="2"/>
  <c r="D7034" i="2"/>
  <c r="G7033" i="2"/>
  <c r="D7033" i="2"/>
  <c r="D7032" i="2"/>
  <c r="G7032" i="2"/>
  <c r="G7031" i="2"/>
  <c r="D7031" i="2"/>
  <c r="G7030" i="2"/>
  <c r="D7030" i="2"/>
  <c r="G7029" i="2"/>
  <c r="D7029" i="2"/>
  <c r="G7028" i="2"/>
  <c r="D7028" i="2"/>
  <c r="D7027" i="2"/>
  <c r="G7027" i="2"/>
  <c r="G7026" i="2"/>
  <c r="D7026" i="2"/>
  <c r="D7025" i="2"/>
  <c r="G7025" i="2"/>
  <c r="G7024" i="2"/>
  <c r="D7024" i="2"/>
  <c r="G7023" i="2"/>
  <c r="D7023" i="2"/>
  <c r="G7022" i="2"/>
  <c r="D7022" i="2"/>
  <c r="D7021" i="2"/>
  <c r="G7021" i="2"/>
  <c r="G7020" i="2"/>
  <c r="D7020" i="2"/>
  <c r="D7019" i="2"/>
  <c r="G7019" i="2"/>
  <c r="G7018" i="2"/>
  <c r="D7018" i="2"/>
  <c r="G7017" i="2"/>
  <c r="D7017" i="2"/>
  <c r="G7016" i="2"/>
  <c r="D7016" i="2"/>
  <c r="D7015" i="2"/>
  <c r="G7015" i="2"/>
  <c r="D7014" i="2"/>
  <c r="G7014" i="2"/>
  <c r="D7013" i="2"/>
  <c r="G7013" i="2"/>
  <c r="D7012" i="2"/>
  <c r="G7012" i="2"/>
  <c r="G7011" i="2"/>
  <c r="D7011" i="2"/>
  <c r="G7010" i="2"/>
  <c r="D7010" i="2"/>
  <c r="D7009" i="2"/>
  <c r="G7009" i="2"/>
  <c r="G7008" i="2"/>
  <c r="D7008" i="2"/>
  <c r="D7007" i="2"/>
  <c r="G7007" i="2"/>
  <c r="G7006" i="2"/>
  <c r="D7006" i="2"/>
  <c r="D7005" i="2"/>
  <c r="G7005" i="2"/>
  <c r="G7004" i="2"/>
  <c r="D7004" i="2"/>
  <c r="G7003" i="2"/>
  <c r="D7003" i="2"/>
  <c r="G7002" i="2"/>
  <c r="D7002" i="2"/>
  <c r="D7001" i="2"/>
  <c r="G7001" i="2"/>
  <c r="G7000" i="2"/>
  <c r="D7000" i="2"/>
  <c r="D6999" i="2"/>
  <c r="G6999" i="2"/>
  <c r="D6998" i="2"/>
  <c r="G6998" i="2"/>
  <c r="D6997" i="2"/>
  <c r="G6997" i="2"/>
  <c r="G6996" i="2"/>
  <c r="D6996" i="2"/>
  <c r="D6995" i="2"/>
  <c r="G6995" i="2"/>
  <c r="G6994" i="2"/>
  <c r="D6994" i="2"/>
  <c r="D6993" i="2"/>
  <c r="G6993" i="2"/>
  <c r="G6992" i="2"/>
  <c r="D6992" i="2"/>
  <c r="G6991" i="2"/>
  <c r="D6991" i="2"/>
  <c r="D6990" i="2"/>
  <c r="G6990" i="2"/>
  <c r="D6989" i="2"/>
  <c r="G6989" i="2"/>
  <c r="G6988" i="2"/>
  <c r="D6988" i="2"/>
  <c r="G6987" i="2"/>
  <c r="D6987" i="2"/>
  <c r="G6986" i="2"/>
  <c r="D6986" i="2"/>
  <c r="G6985" i="2"/>
  <c r="D6985" i="2"/>
  <c r="D6984" i="2"/>
  <c r="G6984" i="2"/>
  <c r="D6983" i="2"/>
  <c r="G6983" i="2"/>
  <c r="G6982" i="2"/>
  <c r="D6982" i="2"/>
  <c r="G6981" i="2"/>
  <c r="D6981" i="2"/>
  <c r="G6980" i="2"/>
  <c r="D6980" i="2"/>
  <c r="D6979" i="2"/>
  <c r="G6979" i="2"/>
  <c r="D6978" i="2"/>
  <c r="G6978" i="2"/>
  <c r="D6977" i="2"/>
  <c r="G6977" i="2"/>
  <c r="G6976" i="2"/>
  <c r="D6976" i="2"/>
  <c r="G6975" i="2"/>
  <c r="D6975" i="2"/>
  <c r="D6974" i="2"/>
  <c r="G6974" i="2"/>
  <c r="D6973" i="2"/>
  <c r="G6973" i="2"/>
  <c r="D6972" i="2"/>
  <c r="G6972" i="2"/>
  <c r="D6971" i="2"/>
  <c r="G6971" i="2"/>
  <c r="D6970" i="2"/>
  <c r="G6970" i="2"/>
  <c r="G6969" i="2"/>
  <c r="D6969" i="2"/>
  <c r="G6968" i="2"/>
  <c r="D6968" i="2"/>
  <c r="G6967" i="2"/>
  <c r="D6967" i="2"/>
  <c r="G6966" i="2"/>
  <c r="D6966" i="2"/>
  <c r="G6965" i="2"/>
  <c r="D6965" i="2"/>
  <c r="G6964" i="2"/>
  <c r="D6964" i="2"/>
  <c r="D6963" i="2"/>
  <c r="G6963" i="2"/>
  <c r="D6962" i="2"/>
  <c r="G6962" i="2"/>
  <c r="D6961" i="2"/>
  <c r="G6961" i="2"/>
  <c r="G6960" i="2"/>
  <c r="D6960" i="2"/>
  <c r="D6959" i="2"/>
  <c r="G6959" i="2"/>
  <c r="G6958" i="2"/>
  <c r="D6958" i="2"/>
  <c r="G6957" i="2"/>
  <c r="D6957" i="2"/>
  <c r="G6956" i="2"/>
  <c r="D6956" i="2"/>
  <c r="D6955" i="2"/>
  <c r="G6955" i="2"/>
  <c r="G6954" i="2"/>
  <c r="D6954" i="2"/>
  <c r="G6953" i="2"/>
  <c r="D6953" i="2"/>
  <c r="D6952" i="2"/>
  <c r="G6952" i="2"/>
  <c r="D6951" i="2"/>
  <c r="G6951" i="2"/>
  <c r="D6950" i="2"/>
  <c r="G6950" i="2"/>
  <c r="G6949" i="2"/>
  <c r="D6949" i="2"/>
  <c r="D6948" i="2"/>
  <c r="G6948" i="2"/>
  <c r="D6947" i="2"/>
  <c r="G6947" i="2"/>
  <c r="D6946" i="2"/>
  <c r="G6946" i="2"/>
  <c r="G6945" i="2"/>
  <c r="D6945" i="2"/>
  <c r="G6944" i="2"/>
  <c r="D6944" i="2"/>
  <c r="G6943" i="2"/>
  <c r="D6943" i="2"/>
  <c r="G6942" i="2"/>
  <c r="D6942" i="2"/>
  <c r="D6941" i="2"/>
  <c r="G6941" i="2"/>
  <c r="D6940" i="2"/>
  <c r="G6940" i="2"/>
  <c r="G6939" i="2"/>
  <c r="D6939" i="2"/>
  <c r="G6938" i="2"/>
  <c r="D6938" i="2"/>
  <c r="G6937" i="2"/>
  <c r="D6937" i="2"/>
  <c r="D6936" i="2"/>
  <c r="G6936" i="2"/>
  <c r="D6935" i="2"/>
  <c r="G6935" i="2"/>
  <c r="G6934" i="2"/>
  <c r="D6934" i="2"/>
  <c r="D6933" i="2"/>
  <c r="G6933" i="2"/>
  <c r="G6932" i="2"/>
  <c r="D6932" i="2"/>
  <c r="D6931" i="2"/>
  <c r="G6931" i="2"/>
  <c r="G6930" i="2"/>
  <c r="D6930" i="2"/>
  <c r="D6929" i="2"/>
  <c r="G6929" i="2"/>
  <c r="G6928" i="2"/>
  <c r="D6928" i="2"/>
  <c r="G6927" i="2"/>
  <c r="D6927" i="2"/>
  <c r="G6926" i="2"/>
  <c r="D6926" i="2"/>
  <c r="G6925" i="2"/>
  <c r="D6925" i="2"/>
  <c r="D6924" i="2"/>
  <c r="G6924" i="2"/>
  <c r="G6923" i="2"/>
  <c r="D6923" i="2"/>
  <c r="G6922" i="2"/>
  <c r="D6922" i="2"/>
  <c r="G6921" i="2"/>
  <c r="D6921" i="2"/>
  <c r="G6920" i="2"/>
  <c r="D6920" i="2"/>
  <c r="D6919" i="2"/>
  <c r="G6919" i="2"/>
  <c r="G6918" i="2"/>
  <c r="D6918" i="2"/>
  <c r="D6917" i="2"/>
  <c r="G6917" i="2"/>
  <c r="G6916" i="2"/>
  <c r="D6916" i="2"/>
  <c r="D6915" i="2"/>
  <c r="G6915" i="2"/>
  <c r="G6914" i="2"/>
  <c r="D6914" i="2"/>
  <c r="G6913" i="2"/>
  <c r="D6913" i="2"/>
  <c r="G6912" i="2"/>
  <c r="D6912" i="2"/>
  <c r="G6911" i="2"/>
  <c r="D6911" i="2"/>
  <c r="D6910" i="2"/>
  <c r="G6910" i="2"/>
  <c r="G6909" i="2"/>
  <c r="D6909" i="2"/>
  <c r="D6908" i="2"/>
  <c r="G6908" i="2"/>
  <c r="G6907" i="2"/>
  <c r="D6907" i="2"/>
  <c r="D6906" i="2"/>
  <c r="G6906" i="2"/>
  <c r="G6905" i="2"/>
  <c r="D6905" i="2"/>
  <c r="G6904" i="2"/>
  <c r="D6904" i="2"/>
  <c r="D6903" i="2"/>
  <c r="G6903" i="2"/>
  <c r="G6902" i="2"/>
  <c r="D6902" i="2"/>
  <c r="D6901" i="2"/>
  <c r="G6901" i="2"/>
  <c r="D6900" i="2"/>
  <c r="G6900" i="2"/>
  <c r="G6899" i="2"/>
  <c r="D6899" i="2"/>
  <c r="D6898" i="2"/>
  <c r="G6898" i="2"/>
  <c r="G6897" i="2"/>
  <c r="D6897" i="2"/>
  <c r="D6896" i="2"/>
  <c r="G6896" i="2"/>
  <c r="G6895" i="2"/>
  <c r="D6895" i="2"/>
  <c r="G6894" i="2"/>
  <c r="D6894" i="2"/>
  <c r="G6893" i="2"/>
  <c r="D6893" i="2"/>
  <c r="D6892" i="2"/>
  <c r="G6892" i="2"/>
  <c r="D6891" i="2"/>
  <c r="G6891" i="2"/>
  <c r="D6890" i="2"/>
  <c r="G6890" i="2"/>
  <c r="G6889" i="2"/>
  <c r="D6889" i="2"/>
  <c r="D6888" i="2"/>
  <c r="G6888" i="2"/>
  <c r="D6887" i="2"/>
  <c r="G6887" i="2"/>
  <c r="D6886" i="2"/>
  <c r="G6886" i="2"/>
  <c r="D6885" i="2"/>
  <c r="G6885" i="2"/>
  <c r="D6884" i="2"/>
  <c r="G6884" i="2"/>
  <c r="D6883" i="2"/>
  <c r="G6883" i="2"/>
  <c r="D6882" i="2"/>
  <c r="G6882" i="2"/>
  <c r="G6881" i="2"/>
  <c r="D6881" i="2"/>
  <c r="D6880" i="2"/>
  <c r="G6880" i="2"/>
  <c r="G6879" i="2"/>
  <c r="D6879" i="2"/>
  <c r="D6878" i="2"/>
  <c r="G6878" i="2"/>
  <c r="G6877" i="2"/>
  <c r="D6877" i="2"/>
  <c r="G6876" i="2"/>
  <c r="D6876" i="2"/>
  <c r="G6875" i="2"/>
  <c r="D6875" i="2"/>
  <c r="G6874" i="2"/>
  <c r="D6874" i="2"/>
  <c r="G6873" i="2"/>
  <c r="D6873" i="2"/>
  <c r="D6872" i="2"/>
  <c r="G6872" i="2"/>
  <c r="G6871" i="2"/>
  <c r="D6871" i="2"/>
  <c r="D6870" i="2"/>
  <c r="G6870" i="2"/>
  <c r="G6869" i="2"/>
  <c r="D6869" i="2"/>
  <c r="G6868" i="2"/>
  <c r="D6868" i="2"/>
  <c r="D6867" i="2"/>
  <c r="G6867" i="2"/>
  <c r="D6866" i="2"/>
  <c r="G6866" i="2"/>
  <c r="D6865" i="2"/>
  <c r="G6865" i="2"/>
  <c r="D6864" i="2"/>
  <c r="G6864" i="2"/>
  <c r="G6863" i="2"/>
  <c r="D6863" i="2"/>
  <c r="D6862" i="2"/>
  <c r="G6862" i="2"/>
  <c r="G6861" i="2"/>
  <c r="D6861" i="2"/>
  <c r="D6860" i="2"/>
  <c r="G6860" i="2"/>
  <c r="D6859" i="2"/>
  <c r="G6859" i="2"/>
  <c r="G6858" i="2"/>
  <c r="D6858" i="2"/>
  <c r="G6857" i="2"/>
  <c r="D6857" i="2"/>
  <c r="G6856" i="2"/>
  <c r="D6856" i="2"/>
  <c r="G6855" i="2"/>
  <c r="D6855" i="2"/>
  <c r="G6854" i="2"/>
  <c r="D6854" i="2"/>
  <c r="D6853" i="2"/>
  <c r="G6853" i="2"/>
  <c r="D6852" i="2"/>
  <c r="G6852" i="2"/>
  <c r="G6851" i="2"/>
  <c r="D6851" i="2"/>
  <c r="G6850" i="2"/>
  <c r="D6850" i="2"/>
  <c r="G6849" i="2"/>
  <c r="D6849" i="2"/>
  <c r="D6848" i="2"/>
  <c r="G6848" i="2"/>
  <c r="D6847" i="2"/>
  <c r="G6847" i="2"/>
  <c r="D6846" i="2"/>
  <c r="G6846" i="2"/>
  <c r="G6845" i="2"/>
  <c r="D6845" i="2"/>
  <c r="D6844" i="2"/>
  <c r="G6844" i="2"/>
  <c r="G6843" i="2"/>
  <c r="D6843" i="2"/>
  <c r="G6842" i="2"/>
  <c r="D6842" i="2"/>
  <c r="G6841" i="2"/>
  <c r="D6841" i="2"/>
  <c r="G6840" i="2"/>
  <c r="D6840" i="2"/>
  <c r="G6839" i="2"/>
  <c r="D6839" i="2"/>
  <c r="G6838" i="2"/>
  <c r="D6838" i="2"/>
  <c r="D6837" i="2"/>
  <c r="G6837" i="2"/>
  <c r="G6836" i="2"/>
  <c r="D6836" i="2"/>
  <c r="G6835" i="2"/>
  <c r="D6835" i="2"/>
  <c r="G6834" i="2"/>
  <c r="D6834" i="2"/>
  <c r="G6833" i="2"/>
  <c r="D6833" i="2"/>
  <c r="G6832" i="2"/>
  <c r="D6832" i="2"/>
  <c r="G6831" i="2"/>
  <c r="D6831" i="2"/>
  <c r="G6830" i="2"/>
  <c r="D6830" i="2"/>
  <c r="D6829" i="2"/>
  <c r="G6829" i="2"/>
  <c r="G6828" i="2"/>
  <c r="D6828" i="2"/>
  <c r="G6827" i="2"/>
  <c r="D6827" i="2"/>
  <c r="G6826" i="2"/>
  <c r="D6826" i="2"/>
  <c r="G6825" i="2"/>
  <c r="D6825" i="2"/>
  <c r="G6824" i="2"/>
  <c r="D6824" i="2"/>
  <c r="G6823" i="2"/>
  <c r="D6823" i="2"/>
  <c r="G6822" i="2"/>
  <c r="D6822" i="2"/>
  <c r="G6821" i="2"/>
  <c r="D6821" i="2"/>
  <c r="G6820" i="2"/>
  <c r="D6820" i="2"/>
  <c r="G6819" i="2"/>
  <c r="D6819" i="2"/>
  <c r="G6818" i="2"/>
  <c r="D6818" i="2"/>
  <c r="G6817" i="2"/>
  <c r="D6817" i="2"/>
  <c r="G6816" i="2"/>
  <c r="D6816" i="2"/>
  <c r="G6815" i="2"/>
  <c r="D6815" i="2"/>
  <c r="G6814" i="2"/>
  <c r="D6814" i="2"/>
  <c r="G6813" i="2"/>
  <c r="D6813" i="2"/>
  <c r="G6812" i="2"/>
  <c r="D6812" i="2"/>
  <c r="G6811" i="2"/>
  <c r="D6811" i="2"/>
  <c r="G6810" i="2"/>
  <c r="D6810" i="2"/>
  <c r="G6809" i="2"/>
  <c r="D6809" i="2"/>
  <c r="G6808" i="2"/>
  <c r="D6808" i="2"/>
  <c r="G6807" i="2"/>
  <c r="D6807" i="2"/>
  <c r="G6806" i="2"/>
  <c r="D6806" i="2"/>
  <c r="G6805" i="2"/>
  <c r="D6805" i="2"/>
  <c r="G6804" i="2"/>
  <c r="D6804" i="2"/>
  <c r="G6803" i="2"/>
  <c r="D6803" i="2"/>
  <c r="G6802" i="2"/>
  <c r="D6802" i="2"/>
  <c r="D6801" i="2"/>
  <c r="G6801" i="2"/>
  <c r="D6800" i="2"/>
  <c r="G6800" i="2"/>
  <c r="D6799" i="2"/>
  <c r="G6799" i="2"/>
  <c r="G6798" i="2"/>
  <c r="D6798" i="2"/>
  <c r="D6797" i="2"/>
  <c r="G6797" i="2"/>
  <c r="D6796" i="2"/>
  <c r="G6796" i="2"/>
  <c r="G6795" i="2"/>
  <c r="D6795" i="2"/>
  <c r="G6794" i="2"/>
  <c r="D6794" i="2"/>
  <c r="G6793" i="2"/>
  <c r="D6793" i="2"/>
  <c r="G6792" i="2"/>
  <c r="D6792" i="2"/>
  <c r="D6791" i="2"/>
  <c r="G6791" i="2"/>
  <c r="G6790" i="2"/>
  <c r="D6790" i="2"/>
  <c r="G6789" i="2"/>
  <c r="D6789" i="2"/>
  <c r="G6788" i="2"/>
  <c r="D6788" i="2"/>
  <c r="G6787" i="2"/>
  <c r="D6787" i="2"/>
  <c r="G6786" i="2"/>
  <c r="D6786" i="2"/>
  <c r="D6785" i="2"/>
  <c r="G6785" i="2"/>
  <c r="D6784" i="2"/>
  <c r="G6784" i="2"/>
  <c r="G6783" i="2"/>
  <c r="D6783" i="2"/>
  <c r="G6782" i="2"/>
  <c r="D6782" i="2"/>
  <c r="G6781" i="2"/>
  <c r="D6781" i="2"/>
  <c r="G6780" i="2"/>
  <c r="D6780" i="2"/>
  <c r="G6779" i="2"/>
  <c r="D6779" i="2"/>
  <c r="D6778" i="2"/>
  <c r="G6778" i="2"/>
  <c r="G6777" i="2"/>
  <c r="D6777" i="2"/>
  <c r="G6776" i="2"/>
  <c r="D6776" i="2"/>
  <c r="G6775" i="2"/>
  <c r="D6775" i="2"/>
  <c r="G6774" i="2"/>
  <c r="D6774" i="2"/>
  <c r="G6773" i="2"/>
  <c r="D6773" i="2"/>
  <c r="G6772" i="2"/>
  <c r="D6772" i="2"/>
  <c r="G6771" i="2"/>
  <c r="D6771" i="2"/>
  <c r="G6770" i="2"/>
  <c r="D6770" i="2"/>
  <c r="G6769" i="2"/>
  <c r="D6769" i="2"/>
  <c r="G6768" i="2"/>
  <c r="D6768" i="2"/>
  <c r="G6767" i="2"/>
  <c r="D6767" i="2"/>
  <c r="G6766" i="2"/>
  <c r="D6766" i="2"/>
  <c r="D6765" i="2"/>
  <c r="G6765" i="2"/>
  <c r="G6764" i="2"/>
  <c r="D6764" i="2"/>
  <c r="G6763" i="2"/>
  <c r="D6763" i="2"/>
  <c r="G6762" i="2"/>
  <c r="D6762" i="2"/>
  <c r="G6761" i="2"/>
  <c r="D6761" i="2"/>
  <c r="D6760" i="2"/>
  <c r="G6760" i="2"/>
  <c r="G6759" i="2"/>
  <c r="D6759" i="2"/>
  <c r="D6758" i="2"/>
  <c r="G6758" i="2"/>
  <c r="G6757" i="2"/>
  <c r="D6757" i="2"/>
  <c r="G6756" i="2"/>
  <c r="D6756" i="2"/>
  <c r="G6755" i="2"/>
  <c r="D6755" i="2"/>
  <c r="G6754" i="2"/>
  <c r="D6754" i="2"/>
  <c r="D6753" i="2"/>
  <c r="G6753" i="2"/>
  <c r="G6752" i="2"/>
  <c r="D6752" i="2"/>
  <c r="G6751" i="2"/>
  <c r="D6751" i="2"/>
  <c r="D6750" i="2"/>
  <c r="G6750" i="2"/>
  <c r="D6749" i="2"/>
  <c r="G6749" i="2"/>
  <c r="G6748" i="2"/>
  <c r="D6748" i="2"/>
  <c r="G6747" i="2"/>
  <c r="D6747" i="2"/>
  <c r="D6746" i="2"/>
  <c r="G6746" i="2"/>
  <c r="D6745" i="2"/>
  <c r="G6745" i="2"/>
  <c r="G6744" i="2"/>
  <c r="D6744" i="2"/>
  <c r="D6743" i="2"/>
  <c r="G6743" i="2"/>
  <c r="D6742" i="2"/>
  <c r="G6742" i="2"/>
  <c r="G6741" i="2"/>
  <c r="D6741" i="2"/>
  <c r="G6740" i="2"/>
  <c r="D6740" i="2"/>
  <c r="G6739" i="2"/>
  <c r="D6739" i="2"/>
  <c r="G6738" i="2"/>
  <c r="D6738" i="2"/>
  <c r="D6737" i="2"/>
  <c r="G6737" i="2"/>
  <c r="D6736" i="2"/>
  <c r="G6736" i="2"/>
  <c r="G6735" i="2"/>
  <c r="D6735" i="2"/>
  <c r="G6734" i="2"/>
  <c r="D6734" i="2"/>
  <c r="D6733" i="2"/>
  <c r="G6733" i="2"/>
  <c r="G6732" i="2"/>
  <c r="D6732" i="2"/>
  <c r="G6731" i="2"/>
  <c r="D6731" i="2"/>
  <c r="G6730" i="2"/>
  <c r="D6730" i="2"/>
  <c r="G6729" i="2"/>
  <c r="D6729" i="2"/>
  <c r="D6728" i="2"/>
  <c r="G6728" i="2"/>
  <c r="D6727" i="2"/>
  <c r="G6727" i="2"/>
  <c r="G6726" i="2"/>
  <c r="D6726" i="2"/>
  <c r="G6725" i="2"/>
  <c r="D6725" i="2"/>
  <c r="G6724" i="2"/>
  <c r="D6724" i="2"/>
  <c r="G6723" i="2"/>
  <c r="D6723" i="2"/>
  <c r="G6722" i="2"/>
  <c r="D6722" i="2"/>
  <c r="G6721" i="2"/>
  <c r="D6721" i="2"/>
  <c r="G6720" i="2"/>
  <c r="D6720" i="2"/>
  <c r="D6719" i="2"/>
  <c r="G6719" i="2"/>
  <c r="D6718" i="2"/>
  <c r="G6718" i="2"/>
  <c r="D6717" i="2"/>
  <c r="G6717" i="2"/>
  <c r="D6716" i="2"/>
  <c r="G6716" i="2"/>
  <c r="D6715" i="2"/>
  <c r="G6715" i="2"/>
  <c r="D6714" i="2"/>
  <c r="G6714" i="2"/>
  <c r="D6713" i="2"/>
  <c r="G6713" i="2"/>
  <c r="D6712" i="2"/>
  <c r="G6712" i="2"/>
  <c r="D6711" i="2"/>
  <c r="G6711" i="2"/>
  <c r="G6710" i="2"/>
  <c r="D6710" i="2"/>
  <c r="D6709" i="2"/>
  <c r="G6709" i="2"/>
  <c r="G6708" i="2"/>
  <c r="D6708" i="2"/>
  <c r="G6707" i="2"/>
  <c r="D6707" i="2"/>
  <c r="D6706" i="2"/>
  <c r="G6706" i="2"/>
  <c r="D6705" i="2"/>
  <c r="G6705" i="2"/>
  <c r="D6704" i="2"/>
  <c r="G6704" i="2"/>
  <c r="D6703" i="2"/>
  <c r="G6703" i="2"/>
  <c r="G6702" i="2"/>
  <c r="D6702" i="2"/>
  <c r="D6701" i="2"/>
  <c r="G6701" i="2"/>
  <c r="D6700" i="2"/>
  <c r="G6700" i="2"/>
  <c r="D6699" i="2"/>
  <c r="G6699" i="2"/>
  <c r="G6698" i="2"/>
  <c r="D6698" i="2"/>
  <c r="G6697" i="2"/>
  <c r="D6697" i="2"/>
  <c r="G6696" i="2"/>
  <c r="D6696" i="2"/>
  <c r="G6695" i="2"/>
  <c r="D6695" i="2"/>
  <c r="G6694" i="2"/>
  <c r="D6694" i="2"/>
  <c r="D6693" i="2"/>
  <c r="G6693" i="2"/>
  <c r="G6692" i="2"/>
  <c r="D6692" i="2"/>
  <c r="D6691" i="2"/>
  <c r="G6691" i="2"/>
  <c r="G6690" i="2"/>
  <c r="D6690" i="2"/>
  <c r="G6689" i="2"/>
  <c r="D6689" i="2"/>
  <c r="D6688" i="2"/>
  <c r="G6688" i="2"/>
  <c r="G6687" i="2"/>
  <c r="D6687" i="2"/>
  <c r="G6686" i="2"/>
  <c r="D6686" i="2"/>
  <c r="G6685" i="2"/>
  <c r="D6685" i="2"/>
  <c r="G6684" i="2"/>
  <c r="D6684" i="2"/>
  <c r="G6683" i="2"/>
  <c r="D6683" i="2"/>
  <c r="D6682" i="2"/>
  <c r="G6682" i="2"/>
  <c r="G6681" i="2"/>
  <c r="D6681" i="2"/>
  <c r="G6680" i="2"/>
  <c r="D6680" i="2"/>
  <c r="D6679" i="2"/>
  <c r="G6679" i="2"/>
  <c r="G6678" i="2"/>
  <c r="D6678" i="2"/>
  <c r="G6677" i="2"/>
  <c r="D6677" i="2"/>
  <c r="D6676" i="2"/>
  <c r="G6676" i="2"/>
  <c r="D6675" i="2"/>
  <c r="G6675" i="2"/>
  <c r="D6674" i="2"/>
  <c r="G6674" i="2"/>
  <c r="G6673" i="2"/>
  <c r="D6673" i="2"/>
  <c r="D6672" i="2"/>
  <c r="G6672" i="2"/>
  <c r="G6671" i="2"/>
  <c r="D6671" i="2"/>
  <c r="G6670" i="2"/>
  <c r="D6670" i="2"/>
  <c r="G6669" i="2"/>
  <c r="D6669" i="2"/>
  <c r="G6668" i="2"/>
  <c r="D6668" i="2"/>
  <c r="D6667" i="2"/>
  <c r="G6667" i="2"/>
  <c r="D6666" i="2"/>
  <c r="G6666" i="2"/>
  <c r="G6665" i="2"/>
  <c r="D6665" i="2"/>
  <c r="D6664" i="2"/>
  <c r="G6664" i="2"/>
  <c r="G6663" i="2"/>
  <c r="D6663" i="2"/>
  <c r="G6662" i="2"/>
  <c r="D6662" i="2"/>
  <c r="G6661" i="2"/>
  <c r="D6661" i="2"/>
  <c r="G6660" i="2"/>
  <c r="D6660" i="2"/>
  <c r="G6659" i="2"/>
  <c r="D6659" i="2"/>
  <c r="D6658" i="2"/>
  <c r="G6658" i="2"/>
  <c r="G6657" i="2"/>
  <c r="D6657" i="2"/>
  <c r="G6656" i="2"/>
  <c r="D6656" i="2"/>
  <c r="G6655" i="2"/>
  <c r="D6655" i="2"/>
  <c r="G6654" i="2"/>
  <c r="D6654" i="2"/>
  <c r="G6653" i="2"/>
  <c r="D6653" i="2"/>
  <c r="D6652" i="2"/>
  <c r="G6652" i="2"/>
  <c r="G6651" i="2"/>
  <c r="D6651" i="2"/>
  <c r="D6650" i="2"/>
  <c r="G6650" i="2"/>
  <c r="D6649" i="2"/>
  <c r="G6649" i="2"/>
  <c r="G6648" i="2"/>
  <c r="D6648" i="2"/>
  <c r="G6647" i="2"/>
  <c r="D6647" i="2"/>
  <c r="G6646" i="2"/>
  <c r="D6646" i="2"/>
  <c r="G6645" i="2"/>
  <c r="D6645" i="2"/>
  <c r="D6644" i="2"/>
  <c r="G6644" i="2"/>
  <c r="D6643" i="2"/>
  <c r="G6643" i="2"/>
  <c r="D6642" i="2"/>
  <c r="G6642" i="2"/>
  <c r="G6641" i="2"/>
  <c r="D6641" i="2"/>
  <c r="D6640" i="2"/>
  <c r="G6640" i="2"/>
  <c r="D6639" i="2"/>
  <c r="G6639" i="2"/>
  <c r="G6638" i="2"/>
  <c r="D6638" i="2"/>
  <c r="G6637" i="2"/>
  <c r="D6637" i="2"/>
  <c r="G6636" i="2"/>
  <c r="D6636" i="2"/>
  <c r="D6635" i="2"/>
  <c r="G6635" i="2"/>
  <c r="G6634" i="2"/>
  <c r="D6634" i="2"/>
  <c r="D6633" i="2"/>
  <c r="G6633" i="2"/>
  <c r="D6632" i="2"/>
  <c r="G6632" i="2"/>
  <c r="D6631" i="2"/>
  <c r="G6631" i="2"/>
  <c r="G6630" i="2"/>
  <c r="D6630" i="2"/>
  <c r="G6629" i="2"/>
  <c r="D6629" i="2"/>
  <c r="G6628" i="2"/>
  <c r="D6628" i="2"/>
  <c r="G6627" i="2"/>
  <c r="D6627" i="2"/>
  <c r="G6626" i="2"/>
  <c r="D6626" i="2"/>
  <c r="D6625" i="2"/>
  <c r="G6625" i="2"/>
  <c r="G6624" i="2"/>
  <c r="D6624" i="2"/>
  <c r="G6623" i="2"/>
  <c r="D6623" i="2"/>
  <c r="G6622" i="2"/>
  <c r="D6622" i="2"/>
  <c r="G6621" i="2"/>
  <c r="D6621" i="2"/>
  <c r="G6620" i="2"/>
  <c r="D6620" i="2"/>
  <c r="G6619" i="2"/>
  <c r="D6619" i="2"/>
  <c r="G6618" i="2"/>
  <c r="D6618" i="2"/>
  <c r="D6617" i="2"/>
  <c r="G6617" i="2"/>
  <c r="D6616" i="2"/>
  <c r="G6616" i="2"/>
  <c r="G6615" i="2"/>
  <c r="D6615" i="2"/>
  <c r="D6614" i="2"/>
  <c r="G6614" i="2"/>
  <c r="G6613" i="2"/>
  <c r="D6613" i="2"/>
  <c r="D6612" i="2"/>
  <c r="G6612" i="2"/>
  <c r="D6611" i="2"/>
  <c r="G6611" i="2"/>
  <c r="D6610" i="2"/>
  <c r="G6610" i="2"/>
  <c r="G6609" i="2"/>
  <c r="D6609" i="2"/>
  <c r="G6608" i="2"/>
  <c r="D6608" i="2"/>
  <c r="G6607" i="2"/>
  <c r="D6607" i="2"/>
  <c r="G6606" i="2"/>
  <c r="D6606" i="2"/>
  <c r="G6605" i="2"/>
  <c r="D6605" i="2"/>
  <c r="G6604" i="2"/>
  <c r="D6604" i="2"/>
  <c r="D6603" i="2"/>
  <c r="G6603" i="2"/>
  <c r="D6602" i="2"/>
  <c r="G6602" i="2"/>
  <c r="D6601" i="2"/>
  <c r="G6601" i="2"/>
  <c r="D6600" i="2"/>
  <c r="G6600" i="2"/>
  <c r="G6599" i="2"/>
  <c r="D6599" i="2"/>
  <c r="G6598" i="2"/>
  <c r="D6598" i="2"/>
  <c r="G6597" i="2"/>
  <c r="D6597" i="2"/>
  <c r="G6596" i="2"/>
  <c r="D6596" i="2"/>
  <c r="G6595" i="2"/>
  <c r="D6595" i="2"/>
  <c r="G6594" i="2"/>
  <c r="D6594" i="2"/>
  <c r="G6593" i="2"/>
  <c r="D6593" i="2"/>
  <c r="G6592" i="2"/>
  <c r="D6592" i="2"/>
  <c r="D6591" i="2"/>
  <c r="G6591" i="2"/>
  <c r="D6590" i="2"/>
  <c r="G6590" i="2"/>
  <c r="D6589" i="2"/>
  <c r="G6589" i="2"/>
  <c r="G6588" i="2"/>
  <c r="D6588" i="2"/>
  <c r="G6587" i="2"/>
  <c r="D6587" i="2"/>
  <c r="D6586" i="2"/>
  <c r="G6586" i="2"/>
  <c r="G6585" i="2"/>
  <c r="D6585" i="2"/>
  <c r="G6584" i="2"/>
  <c r="D6584" i="2"/>
  <c r="G6583" i="2"/>
  <c r="D6583" i="2"/>
  <c r="G6582" i="2"/>
  <c r="D6582" i="2"/>
  <c r="G6581" i="2"/>
  <c r="D6581" i="2"/>
  <c r="G6580" i="2"/>
  <c r="D6580" i="2"/>
  <c r="G6579" i="2"/>
  <c r="D6579" i="2"/>
  <c r="G6578" i="2"/>
  <c r="D6578" i="2"/>
  <c r="G6577" i="2"/>
  <c r="D6577" i="2"/>
  <c r="G6576" i="2"/>
  <c r="D6576" i="2"/>
  <c r="D6575" i="2"/>
  <c r="G6575" i="2"/>
  <c r="G6574" i="2"/>
  <c r="D6574" i="2"/>
  <c r="D6573" i="2"/>
  <c r="G6573" i="2"/>
  <c r="G6572" i="2"/>
  <c r="D6572" i="2"/>
  <c r="G6571" i="2"/>
  <c r="D6571" i="2"/>
  <c r="D6570" i="2"/>
  <c r="G6570" i="2"/>
  <c r="G6569" i="2"/>
  <c r="D6569" i="2"/>
  <c r="G6568" i="2"/>
  <c r="D6568" i="2"/>
  <c r="D6567" i="2"/>
  <c r="G6567" i="2"/>
  <c r="D6566" i="2"/>
  <c r="G6566" i="2"/>
  <c r="G6565" i="2"/>
  <c r="D6565" i="2"/>
  <c r="G6564" i="2"/>
  <c r="D6564" i="2"/>
  <c r="G6563" i="2"/>
  <c r="D6563" i="2"/>
  <c r="G6562" i="2"/>
  <c r="D6562" i="2"/>
  <c r="D6561" i="2"/>
  <c r="G6561" i="2"/>
  <c r="G6560" i="2"/>
  <c r="D6560" i="2"/>
  <c r="D6559" i="2"/>
  <c r="G6559" i="2"/>
  <c r="D6558" i="2"/>
  <c r="G6558" i="2"/>
  <c r="D6557" i="2"/>
  <c r="G6557" i="2"/>
  <c r="G6556" i="2"/>
  <c r="D6556" i="2"/>
  <c r="D6555" i="2"/>
  <c r="G6555" i="2"/>
  <c r="G6554" i="2"/>
  <c r="D6554" i="2"/>
  <c r="D6553" i="2"/>
  <c r="G6553" i="2"/>
  <c r="G6552" i="2"/>
  <c r="D6552" i="2"/>
  <c r="D6551" i="2"/>
  <c r="G6551" i="2"/>
  <c r="G6550" i="2"/>
  <c r="D6550" i="2"/>
  <c r="D6549" i="2"/>
  <c r="G6549" i="2"/>
  <c r="D6548" i="2"/>
  <c r="G6548" i="2"/>
  <c r="G6547" i="2"/>
  <c r="D6547" i="2"/>
  <c r="G6546" i="2"/>
  <c r="D6546" i="2"/>
  <c r="G6545" i="2"/>
  <c r="D6545" i="2"/>
  <c r="G6544" i="2"/>
  <c r="D6544" i="2"/>
  <c r="D6543" i="2"/>
  <c r="G6543" i="2"/>
  <c r="G6542" i="2"/>
  <c r="D6542" i="2"/>
  <c r="D6541" i="2"/>
  <c r="G6541" i="2"/>
  <c r="G6540" i="2"/>
  <c r="D6540" i="2"/>
  <c r="D6539" i="2"/>
  <c r="G6539" i="2"/>
  <c r="D6538" i="2"/>
  <c r="G6538" i="2"/>
  <c r="D6537" i="2"/>
  <c r="G6537" i="2"/>
  <c r="G6536" i="2"/>
  <c r="D6536" i="2"/>
  <c r="D6535" i="2"/>
  <c r="G6535" i="2"/>
  <c r="D6534" i="2"/>
  <c r="G6534" i="2"/>
  <c r="D6533" i="2"/>
  <c r="G6533" i="2"/>
  <c r="D6532" i="2"/>
  <c r="G6532" i="2"/>
  <c r="G6531" i="2"/>
  <c r="D6531" i="2"/>
  <c r="D6530" i="2"/>
  <c r="G6530" i="2"/>
  <c r="D6529" i="2"/>
  <c r="G6529" i="2"/>
  <c r="G6528" i="2"/>
  <c r="D6528" i="2"/>
  <c r="G6527" i="2"/>
  <c r="D6527" i="2"/>
  <c r="D6526" i="2"/>
  <c r="G6526" i="2"/>
  <c r="G6525" i="2"/>
  <c r="D6525" i="2"/>
  <c r="G6524" i="2"/>
  <c r="D6524" i="2"/>
  <c r="G6523" i="2"/>
  <c r="D6523" i="2"/>
  <c r="D6522" i="2"/>
  <c r="G6522" i="2"/>
  <c r="D6521" i="2"/>
  <c r="G6521" i="2"/>
  <c r="D6520" i="2"/>
  <c r="G6520" i="2"/>
  <c r="G6519" i="2"/>
  <c r="D6519" i="2"/>
  <c r="G6518" i="2"/>
  <c r="D6518" i="2"/>
  <c r="D6517" i="2"/>
  <c r="G6517" i="2"/>
  <c r="G6516" i="2"/>
  <c r="D6516" i="2"/>
  <c r="D6515" i="2"/>
  <c r="G6515" i="2"/>
  <c r="G6514" i="2"/>
  <c r="D6514" i="2"/>
  <c r="D6513" i="2"/>
  <c r="G6513" i="2"/>
  <c r="G6512" i="2"/>
  <c r="D6512" i="2"/>
  <c r="G6511" i="2"/>
  <c r="D6511" i="2"/>
  <c r="G6510" i="2"/>
  <c r="D6510" i="2"/>
  <c r="G6509" i="2"/>
  <c r="D6509" i="2"/>
  <c r="D6508" i="2"/>
  <c r="G6508" i="2"/>
  <c r="D6507" i="2"/>
  <c r="G6507" i="2"/>
  <c r="G6506" i="2"/>
  <c r="D6506" i="2"/>
  <c r="D6505" i="2"/>
  <c r="G6505" i="2"/>
  <c r="D6504" i="2"/>
  <c r="G6504" i="2"/>
  <c r="G6503" i="2"/>
  <c r="D6503" i="2"/>
  <c r="G6502" i="2"/>
  <c r="D6502" i="2"/>
  <c r="D6501" i="2"/>
  <c r="G6501" i="2"/>
  <c r="D6500" i="2"/>
  <c r="G6500" i="2"/>
  <c r="G6499" i="2"/>
  <c r="D6499" i="2"/>
  <c r="G6498" i="2"/>
  <c r="D6498" i="2"/>
  <c r="D6497" i="2"/>
  <c r="G6497" i="2"/>
  <c r="G6496" i="2"/>
  <c r="D6496" i="2"/>
  <c r="D6495" i="2"/>
  <c r="G6495" i="2"/>
  <c r="G6494" i="2"/>
  <c r="D6494" i="2"/>
  <c r="G6493" i="2"/>
  <c r="D6493" i="2"/>
  <c r="G6492" i="2"/>
  <c r="D6492" i="2"/>
  <c r="G6491" i="2"/>
  <c r="D6491" i="2"/>
  <c r="D6490" i="2"/>
  <c r="G6490" i="2"/>
  <c r="D6489" i="2"/>
  <c r="G6489" i="2"/>
  <c r="G6488" i="2"/>
  <c r="D6488" i="2"/>
  <c r="G6487" i="2"/>
  <c r="D6487" i="2"/>
  <c r="G6486" i="2"/>
  <c r="D6486" i="2"/>
  <c r="G6485" i="2"/>
  <c r="D6485" i="2"/>
  <c r="G6484" i="2"/>
  <c r="D6484" i="2"/>
  <c r="G6483" i="2"/>
  <c r="D6483" i="2"/>
  <c r="D6482" i="2"/>
  <c r="G6482" i="2"/>
  <c r="G6481" i="2"/>
  <c r="D6481" i="2"/>
  <c r="G6480" i="2"/>
  <c r="D6480" i="2"/>
  <c r="G6479" i="2"/>
  <c r="D6479" i="2"/>
  <c r="D6478" i="2"/>
  <c r="G6478" i="2"/>
  <c r="G6477" i="2"/>
  <c r="D6477" i="2"/>
  <c r="G6476" i="2"/>
  <c r="D6476" i="2"/>
  <c r="G6475" i="2"/>
  <c r="D6475" i="2"/>
  <c r="G6474" i="2"/>
  <c r="D6474" i="2"/>
  <c r="G6473" i="2"/>
  <c r="D6473" i="2"/>
  <c r="G6472" i="2"/>
  <c r="D6472" i="2"/>
  <c r="D6471" i="2"/>
  <c r="G6471" i="2"/>
  <c r="D6470" i="2"/>
  <c r="G6470" i="2"/>
  <c r="D6469" i="2"/>
  <c r="G6469" i="2"/>
  <c r="G6468" i="2"/>
  <c r="D6468" i="2"/>
  <c r="D6467" i="2"/>
  <c r="G6467" i="2"/>
  <c r="D6466" i="2"/>
  <c r="G6466" i="2"/>
  <c r="G6465" i="2"/>
  <c r="D6465" i="2"/>
  <c r="D6464" i="2"/>
  <c r="G6464" i="2"/>
  <c r="G6463" i="2"/>
  <c r="D6463" i="2"/>
  <c r="G6462" i="2"/>
  <c r="D6462" i="2"/>
  <c r="G6461" i="2"/>
  <c r="D6461" i="2"/>
  <c r="G6460" i="2"/>
  <c r="D6460" i="2"/>
  <c r="D6459" i="2"/>
  <c r="G6459" i="2"/>
  <c r="D6458" i="2"/>
  <c r="G6458" i="2"/>
  <c r="D6457" i="2"/>
  <c r="G6457" i="2"/>
  <c r="D6456" i="2"/>
  <c r="G6456" i="2"/>
  <c r="G6455" i="2"/>
  <c r="D6455" i="2"/>
  <c r="G6454" i="2"/>
  <c r="D6454" i="2"/>
  <c r="G6453" i="2"/>
  <c r="D6453" i="2"/>
  <c r="G6452" i="2"/>
  <c r="D6452" i="2"/>
  <c r="G6451" i="2"/>
  <c r="D6451" i="2"/>
  <c r="G6450" i="2"/>
  <c r="D6450" i="2"/>
  <c r="D6449" i="2"/>
  <c r="G6449" i="2"/>
  <c r="G6448" i="2"/>
  <c r="D6448" i="2"/>
  <c r="D6447" i="2"/>
  <c r="G6447" i="2"/>
  <c r="G6446" i="2"/>
  <c r="D6446" i="2"/>
  <c r="G6445" i="2"/>
  <c r="D6445" i="2"/>
  <c r="G6444" i="2"/>
  <c r="D6444" i="2"/>
  <c r="G6443" i="2"/>
  <c r="D6443" i="2"/>
  <c r="G6442" i="2"/>
  <c r="D6442" i="2"/>
  <c r="G6441" i="2"/>
  <c r="D6441" i="2"/>
  <c r="D6440" i="2"/>
  <c r="G6440" i="2"/>
  <c r="D6439" i="2"/>
  <c r="G6439" i="2"/>
  <c r="G6438" i="2"/>
  <c r="D6438" i="2"/>
  <c r="D6437" i="2"/>
  <c r="G6437" i="2"/>
  <c r="D6436" i="2"/>
  <c r="G6436" i="2"/>
  <c r="G6435" i="2"/>
  <c r="D6435" i="2"/>
  <c r="D6434" i="2"/>
  <c r="G6434" i="2"/>
  <c r="D6433" i="2"/>
  <c r="G6433" i="2"/>
  <c r="D6432" i="2"/>
  <c r="G6432" i="2"/>
  <c r="G6431" i="2"/>
  <c r="D6431" i="2"/>
  <c r="D6430" i="2"/>
  <c r="G6430" i="2"/>
  <c r="G6429" i="2"/>
  <c r="D6429" i="2"/>
  <c r="G6428" i="2"/>
  <c r="D6428" i="2"/>
  <c r="G6427" i="2"/>
  <c r="D6427" i="2"/>
  <c r="D6426" i="2"/>
  <c r="G6426" i="2"/>
  <c r="D6425" i="2"/>
  <c r="G6425" i="2"/>
  <c r="D6424" i="2"/>
  <c r="G6424" i="2"/>
  <c r="G6423" i="2"/>
  <c r="D6423" i="2"/>
  <c r="D6422" i="2"/>
  <c r="G6422" i="2"/>
  <c r="D6421" i="2"/>
  <c r="G6421" i="2"/>
  <c r="G6420" i="2"/>
  <c r="D6420" i="2"/>
  <c r="G6419" i="2"/>
  <c r="D6419" i="2"/>
  <c r="G6418" i="2"/>
  <c r="D6418" i="2"/>
  <c r="G6417" i="2"/>
  <c r="D6417" i="2"/>
  <c r="G6416" i="2"/>
  <c r="D6416" i="2"/>
  <c r="D6415" i="2"/>
  <c r="G6415" i="2"/>
  <c r="D6414" i="2"/>
  <c r="G6414" i="2"/>
  <c r="G6413" i="2"/>
  <c r="D6413" i="2"/>
  <c r="D6412" i="2"/>
  <c r="G6412" i="2"/>
  <c r="D6411" i="2"/>
  <c r="G6411" i="2"/>
  <c r="G6410" i="2"/>
  <c r="D6410" i="2"/>
  <c r="D6409" i="2"/>
  <c r="G6409" i="2"/>
  <c r="G6408" i="2"/>
  <c r="D6408" i="2"/>
  <c r="D6407" i="2"/>
  <c r="G6407" i="2"/>
  <c r="G6406" i="2"/>
  <c r="D6406" i="2"/>
  <c r="G6405" i="2"/>
  <c r="D6405" i="2"/>
  <c r="G6404" i="2"/>
  <c r="D6404" i="2"/>
  <c r="G6403" i="2"/>
  <c r="D6403" i="2"/>
  <c r="G6402" i="2"/>
  <c r="D6402" i="2"/>
  <c r="G6401" i="2"/>
  <c r="D6401" i="2"/>
  <c r="G6400" i="2"/>
  <c r="D6400" i="2"/>
  <c r="G6399" i="2"/>
  <c r="D6399" i="2"/>
  <c r="D6398" i="2"/>
  <c r="G6398" i="2"/>
  <c r="D6397" i="2"/>
  <c r="G6397" i="2"/>
  <c r="D6396" i="2"/>
  <c r="G6396" i="2"/>
  <c r="D6395" i="2"/>
  <c r="G6395" i="2"/>
  <c r="D6394" i="2"/>
  <c r="G6394" i="2"/>
  <c r="D6393" i="2"/>
  <c r="G6393" i="2"/>
  <c r="D6392" i="2"/>
  <c r="G6392" i="2"/>
  <c r="G6391" i="2"/>
  <c r="D6391" i="2"/>
  <c r="D6390" i="2"/>
  <c r="G6390" i="2"/>
  <c r="G6389" i="2"/>
  <c r="D6389" i="2"/>
  <c r="G6388" i="2"/>
  <c r="D6388" i="2"/>
  <c r="G6387" i="2"/>
  <c r="D6387" i="2"/>
  <c r="G6386" i="2"/>
  <c r="D6386" i="2"/>
  <c r="G6385" i="2"/>
  <c r="D6385" i="2"/>
  <c r="G6384" i="2"/>
  <c r="D6384" i="2"/>
  <c r="G6383" i="2"/>
  <c r="D6383" i="2"/>
  <c r="D6382" i="2"/>
  <c r="G6382" i="2"/>
  <c r="G6381" i="2"/>
  <c r="D6381" i="2"/>
  <c r="G6380" i="2"/>
  <c r="D6380" i="2"/>
  <c r="G6379" i="2"/>
  <c r="D6379" i="2"/>
  <c r="D6378" i="2"/>
  <c r="G6378" i="2"/>
  <c r="G6377" i="2"/>
  <c r="D6377" i="2"/>
  <c r="D6376" i="2"/>
  <c r="G6376" i="2"/>
  <c r="D6375" i="2"/>
  <c r="G6375" i="2"/>
  <c r="G6374" i="2"/>
  <c r="D6374" i="2"/>
  <c r="G6373" i="2"/>
  <c r="D6373" i="2"/>
  <c r="D6372" i="2"/>
  <c r="G6372" i="2"/>
  <c r="D6371" i="2"/>
  <c r="G6371" i="2"/>
  <c r="G6370" i="2"/>
  <c r="D6370" i="2"/>
  <c r="D6369" i="2"/>
  <c r="G6369" i="2"/>
  <c r="G6368" i="2"/>
  <c r="D6368" i="2"/>
  <c r="D6367" i="2"/>
  <c r="G6367" i="2"/>
  <c r="D6366" i="2"/>
  <c r="G6366" i="2"/>
  <c r="G6365" i="2"/>
  <c r="D6365" i="2"/>
  <c r="G6364" i="2"/>
  <c r="D6364" i="2"/>
  <c r="D6363" i="2"/>
  <c r="G6363" i="2"/>
  <c r="D6362" i="2"/>
  <c r="G6362" i="2"/>
  <c r="D6361" i="2"/>
  <c r="G6361" i="2"/>
  <c r="D6360" i="2"/>
  <c r="G6360" i="2"/>
  <c r="D6359" i="2"/>
  <c r="G6359" i="2"/>
  <c r="D6358" i="2"/>
  <c r="G6358" i="2"/>
  <c r="D6357" i="2"/>
  <c r="G6357" i="2"/>
  <c r="D6356" i="2"/>
  <c r="G6356" i="2"/>
  <c r="G6355" i="2"/>
  <c r="D6355" i="2"/>
  <c r="G6354" i="2"/>
  <c r="D6354" i="2"/>
  <c r="G6353" i="2"/>
  <c r="D6353" i="2"/>
  <c r="G6352" i="2"/>
  <c r="D6352" i="2"/>
  <c r="D6351" i="2"/>
  <c r="G6351" i="2"/>
  <c r="G6350" i="2"/>
  <c r="D6350" i="2"/>
  <c r="G6349" i="2"/>
  <c r="D6349" i="2"/>
  <c r="G6348" i="2"/>
  <c r="D6348" i="2"/>
  <c r="D6347" i="2"/>
  <c r="G6347" i="2"/>
  <c r="G6346" i="2"/>
  <c r="D6346" i="2"/>
  <c r="D6345" i="2"/>
  <c r="G6345" i="2"/>
  <c r="D6344" i="2"/>
  <c r="G6344" i="2"/>
  <c r="D6343" i="2"/>
  <c r="G6343" i="2"/>
  <c r="D6342" i="2"/>
  <c r="G6342" i="2"/>
  <c r="G6341" i="2"/>
  <c r="D6341" i="2"/>
  <c r="G6340" i="2"/>
  <c r="D6340" i="2"/>
  <c r="G6339" i="2"/>
  <c r="D6339" i="2"/>
  <c r="G6338" i="2"/>
  <c r="D6338" i="2"/>
  <c r="G6337" i="2"/>
  <c r="D6337" i="2"/>
  <c r="G6336" i="2"/>
  <c r="D6336" i="2"/>
  <c r="G6335" i="2"/>
  <c r="D6335" i="2"/>
  <c r="G6334" i="2"/>
  <c r="D6334" i="2"/>
  <c r="G6333" i="2"/>
  <c r="D6333" i="2"/>
  <c r="G6332" i="2"/>
  <c r="D6332" i="2"/>
  <c r="G6331" i="2"/>
  <c r="D6331" i="2"/>
  <c r="D6330" i="2"/>
  <c r="G6330" i="2"/>
  <c r="G6329" i="2"/>
  <c r="D6329" i="2"/>
  <c r="D6328" i="2"/>
  <c r="G6328" i="2"/>
  <c r="G6327" i="2"/>
  <c r="D6327" i="2"/>
  <c r="G6326" i="2"/>
  <c r="D6326" i="2"/>
  <c r="G6325" i="2"/>
  <c r="D6325" i="2"/>
  <c r="G6324" i="2"/>
  <c r="D6324" i="2"/>
  <c r="G6323" i="2"/>
  <c r="D6323" i="2"/>
  <c r="D6322" i="2"/>
  <c r="G6322" i="2"/>
  <c r="G6321" i="2"/>
  <c r="D6321" i="2"/>
  <c r="D6320" i="2"/>
  <c r="G6320" i="2"/>
  <c r="G6319" i="2"/>
  <c r="D6319" i="2"/>
  <c r="G6318" i="2"/>
  <c r="D6318" i="2"/>
  <c r="G6317" i="2"/>
  <c r="D6317" i="2"/>
  <c r="D6316" i="2"/>
  <c r="G6316" i="2"/>
  <c r="G6315" i="2"/>
  <c r="D6315" i="2"/>
  <c r="D6314" i="2"/>
  <c r="G6314" i="2"/>
  <c r="D6313" i="2"/>
  <c r="G6313" i="2"/>
  <c r="D6312" i="2"/>
  <c r="G6312" i="2"/>
  <c r="D6311" i="2"/>
  <c r="G6311" i="2"/>
  <c r="G6310" i="2"/>
  <c r="D6310" i="2"/>
  <c r="G6309" i="2"/>
  <c r="D6309" i="2"/>
  <c r="G6308" i="2"/>
  <c r="D6308" i="2"/>
  <c r="D6307" i="2"/>
  <c r="G6307" i="2"/>
  <c r="D6306" i="2"/>
  <c r="G6306" i="2"/>
  <c r="G6305" i="2"/>
  <c r="D6305" i="2"/>
  <c r="G6304" i="2"/>
  <c r="D6304" i="2"/>
  <c r="D6303" i="2"/>
  <c r="G6303" i="2"/>
  <c r="D6302" i="2"/>
  <c r="G6302" i="2"/>
  <c r="G6301" i="2"/>
  <c r="D6301" i="2"/>
  <c r="G6300" i="2"/>
  <c r="D6300" i="2"/>
  <c r="G6299" i="2"/>
  <c r="D6299" i="2"/>
  <c r="D6298" i="2"/>
  <c r="G6298" i="2"/>
  <c r="G6297" i="2"/>
  <c r="D6297" i="2"/>
  <c r="D6296" i="2"/>
  <c r="G6296" i="2"/>
  <c r="G6295" i="2"/>
  <c r="D6295" i="2"/>
  <c r="G6294" i="2"/>
  <c r="D6294" i="2"/>
  <c r="G6293" i="2"/>
  <c r="D6293" i="2"/>
  <c r="G6292" i="2"/>
  <c r="D6292" i="2"/>
  <c r="G6291" i="2"/>
  <c r="D6291" i="2"/>
  <c r="G6290" i="2"/>
  <c r="D6290" i="2"/>
  <c r="D6289" i="2"/>
  <c r="G6289" i="2"/>
  <c r="G6288" i="2"/>
  <c r="D6288" i="2"/>
  <c r="G6287" i="2"/>
  <c r="D6287" i="2"/>
  <c r="G6286" i="2"/>
  <c r="D6286" i="2"/>
  <c r="G6285" i="2"/>
  <c r="D6285" i="2"/>
  <c r="G6284" i="2"/>
  <c r="D6284" i="2"/>
  <c r="D6283" i="2"/>
  <c r="G6283" i="2"/>
  <c r="G6282" i="2"/>
  <c r="D6282" i="2"/>
  <c r="G6281" i="2"/>
  <c r="D6281" i="2"/>
  <c r="G6280" i="2"/>
  <c r="D6280" i="2"/>
  <c r="G6279" i="2"/>
  <c r="D6279" i="2"/>
  <c r="G6278" i="2"/>
  <c r="D6278" i="2"/>
  <c r="G6277" i="2"/>
  <c r="D6277" i="2"/>
  <c r="G6276" i="2"/>
  <c r="D6276" i="2"/>
  <c r="D6275" i="2"/>
  <c r="G6275" i="2"/>
  <c r="D6274" i="2"/>
  <c r="G6274" i="2"/>
  <c r="G6273" i="2"/>
  <c r="D6273" i="2"/>
  <c r="G6272" i="2"/>
  <c r="D6272" i="2"/>
  <c r="D6271" i="2"/>
  <c r="G6271" i="2"/>
  <c r="G6270" i="2"/>
  <c r="D6270" i="2"/>
  <c r="G6269" i="2"/>
  <c r="D6269" i="2"/>
  <c r="D6268" i="2"/>
  <c r="G6268" i="2"/>
  <c r="G6267" i="2"/>
  <c r="D6267" i="2"/>
  <c r="D6263" i="2"/>
  <c r="G6263" i="2"/>
  <c r="D6259" i="2"/>
  <c r="G6259" i="2"/>
  <c r="D6258" i="2"/>
  <c r="G6258" i="2"/>
  <c r="G6256" i="2"/>
  <c r="D6256" i="2"/>
  <c r="D6254" i="2"/>
  <c r="G6254" i="2"/>
  <c r="D6251" i="2"/>
  <c r="G6251" i="2"/>
  <c r="D6250" i="2"/>
  <c r="G6250" i="2"/>
  <c r="D6249" i="2"/>
  <c r="G6249" i="2"/>
  <c r="G6248" i="2"/>
  <c r="D6248" i="2"/>
  <c r="G6247" i="2"/>
  <c r="D6247" i="2"/>
  <c r="G6246" i="2"/>
  <c r="D6246" i="2"/>
  <c r="G6245" i="2"/>
  <c r="D6245" i="2"/>
  <c r="G6244" i="2"/>
  <c r="D6244" i="2"/>
  <c r="G6243" i="2"/>
  <c r="D6243" i="2"/>
  <c r="D6242" i="2"/>
  <c r="G6242" i="2"/>
  <c r="G6241" i="2"/>
  <c r="D6241" i="2"/>
  <c r="G6240" i="2"/>
  <c r="D6240" i="2"/>
  <c r="D6239" i="2"/>
  <c r="G6239" i="2"/>
  <c r="D6238" i="2"/>
  <c r="G6238" i="2"/>
  <c r="D6237" i="2"/>
  <c r="G6237" i="2"/>
  <c r="D6236" i="2"/>
  <c r="G6236" i="2"/>
  <c r="G6235" i="2"/>
  <c r="D6235" i="2"/>
  <c r="G6234" i="2"/>
  <c r="D6234" i="2"/>
  <c r="D6233" i="2"/>
  <c r="G6233" i="2"/>
  <c r="D6232" i="2"/>
  <c r="G6232" i="2"/>
  <c r="G6231" i="2"/>
  <c r="D6231" i="2"/>
  <c r="D6230" i="2"/>
  <c r="G6230" i="2"/>
  <c r="D6229" i="2"/>
  <c r="G6229" i="2"/>
  <c r="D6228" i="2"/>
  <c r="G6228" i="2"/>
  <c r="G6227" i="2"/>
  <c r="D6227" i="2"/>
  <c r="D6226" i="2"/>
  <c r="G6226" i="2"/>
  <c r="D6225" i="2"/>
  <c r="G6225" i="2"/>
  <c r="D6224" i="2"/>
  <c r="G6224" i="2"/>
  <c r="D6223" i="2"/>
  <c r="G6223" i="2"/>
  <c r="G6222" i="2"/>
  <c r="D6222" i="2"/>
  <c r="D6221" i="2"/>
  <c r="G6221" i="2"/>
  <c r="D6220" i="2"/>
  <c r="G6220" i="2"/>
  <c r="D6219" i="2"/>
  <c r="G6219" i="2"/>
  <c r="G6218" i="2"/>
  <c r="D6218" i="2"/>
  <c r="G6217" i="2"/>
  <c r="D6217" i="2"/>
  <c r="G6216" i="2"/>
  <c r="D6216" i="2"/>
  <c r="G6215" i="2"/>
  <c r="D6215" i="2"/>
  <c r="G6214" i="2"/>
  <c r="D6214" i="2"/>
  <c r="G6213" i="2"/>
  <c r="D6213" i="2"/>
  <c r="D6212" i="2"/>
  <c r="G6212" i="2"/>
  <c r="G6211" i="2"/>
  <c r="D6211" i="2"/>
  <c r="D6210" i="2"/>
  <c r="G6210" i="2"/>
  <c r="D6209" i="2"/>
  <c r="G6209" i="2"/>
  <c r="G6208" i="2"/>
  <c r="D6208" i="2"/>
  <c r="D6207" i="2"/>
  <c r="G6207" i="2"/>
  <c r="G6206" i="2"/>
  <c r="D6206" i="2"/>
  <c r="G6205" i="2"/>
  <c r="D6205" i="2"/>
  <c r="D6204" i="2"/>
  <c r="G6204" i="2"/>
  <c r="D6203" i="2"/>
  <c r="G6203" i="2"/>
  <c r="G6202" i="2"/>
  <c r="D6202" i="2"/>
  <c r="D6201" i="2"/>
  <c r="G6201" i="2"/>
  <c r="D6200" i="2"/>
  <c r="G6200" i="2"/>
  <c r="D6199" i="2"/>
  <c r="G6199" i="2"/>
  <c r="D6198" i="2"/>
  <c r="G6198" i="2"/>
  <c r="G6197" i="2"/>
  <c r="D6197" i="2"/>
  <c r="D6196" i="2"/>
  <c r="G6196" i="2"/>
  <c r="D6195" i="2"/>
  <c r="G6195" i="2"/>
  <c r="D6194" i="2"/>
  <c r="G6194" i="2"/>
  <c r="G6193" i="2"/>
  <c r="D6193" i="2"/>
  <c r="G6192" i="2"/>
  <c r="D6192" i="2"/>
  <c r="G6191" i="2"/>
  <c r="D6191" i="2"/>
  <c r="G6190" i="2"/>
  <c r="D6190" i="2"/>
  <c r="G6189" i="2"/>
  <c r="D6189" i="2"/>
  <c r="G6188" i="2"/>
  <c r="D6188" i="2"/>
  <c r="G6187" i="2"/>
  <c r="D6187" i="2"/>
  <c r="G6186" i="2"/>
  <c r="D6186" i="2"/>
  <c r="G6185" i="2"/>
  <c r="D6185" i="2"/>
  <c r="G6184" i="2"/>
  <c r="D6184" i="2"/>
  <c r="D6183" i="2"/>
  <c r="G6183" i="2"/>
  <c r="D6182" i="2"/>
  <c r="G6182" i="2"/>
  <c r="G6181" i="2"/>
  <c r="D6181" i="2"/>
  <c r="G6180" i="2"/>
  <c r="D6180" i="2"/>
  <c r="G6179" i="2"/>
  <c r="D6179" i="2"/>
  <c r="G6178" i="2"/>
  <c r="D6178" i="2"/>
  <c r="G6177" i="2"/>
  <c r="D6177" i="2"/>
  <c r="D6176" i="2"/>
  <c r="G6176" i="2"/>
  <c r="D6175" i="2"/>
  <c r="G6175" i="2"/>
  <c r="G6174" i="2"/>
  <c r="D6174" i="2"/>
  <c r="D6173" i="2"/>
  <c r="G6173" i="2"/>
  <c r="D6172" i="2"/>
  <c r="G6172" i="2"/>
  <c r="D6171" i="2"/>
  <c r="G6171" i="2"/>
  <c r="G6170" i="2"/>
  <c r="D6170" i="2"/>
  <c r="G6169" i="2"/>
  <c r="D6169" i="2"/>
  <c r="G6168" i="2"/>
  <c r="D6168" i="2"/>
  <c r="G6167" i="2"/>
  <c r="D6167" i="2"/>
  <c r="G6166" i="2"/>
  <c r="D6166" i="2"/>
  <c r="G6165" i="2"/>
  <c r="D6165" i="2"/>
  <c r="D6164" i="2"/>
  <c r="G6164" i="2"/>
  <c r="G6163" i="2"/>
  <c r="D6163" i="2"/>
  <c r="D6162" i="2"/>
  <c r="G6162" i="2"/>
  <c r="G6161" i="2"/>
  <c r="D6161" i="2"/>
  <c r="G6160" i="2"/>
  <c r="D6160" i="2"/>
  <c r="G6159" i="2"/>
  <c r="D6159" i="2"/>
  <c r="G6158" i="2"/>
  <c r="D6158" i="2"/>
  <c r="G6157" i="2"/>
  <c r="D6157" i="2"/>
  <c r="D6156" i="2"/>
  <c r="G6156" i="2"/>
  <c r="G6155" i="2"/>
  <c r="D6155" i="2"/>
  <c r="G6154" i="2"/>
  <c r="D6154" i="2"/>
  <c r="G6153" i="2"/>
  <c r="D6153" i="2"/>
  <c r="G6152" i="2"/>
  <c r="D6152" i="2"/>
  <c r="G6151" i="2"/>
  <c r="D6151" i="2"/>
  <c r="D6150" i="2"/>
  <c r="G6150" i="2"/>
  <c r="D6149" i="2"/>
  <c r="G6149" i="2"/>
  <c r="G6148" i="2"/>
  <c r="D6148" i="2"/>
  <c r="G6147" i="2"/>
  <c r="D6147" i="2"/>
  <c r="D6146" i="2"/>
  <c r="G6146" i="2"/>
  <c r="G6145" i="2"/>
  <c r="D6145" i="2"/>
  <c r="G6144" i="2"/>
  <c r="D6144" i="2"/>
  <c r="G6143" i="2"/>
  <c r="D6143" i="2"/>
  <c r="G6142" i="2"/>
  <c r="D6142" i="2"/>
  <c r="D6141" i="2"/>
  <c r="G6141" i="2"/>
  <c r="G6140" i="2"/>
  <c r="D6140" i="2"/>
  <c r="G6139" i="2"/>
  <c r="D6139" i="2"/>
  <c r="G6138" i="2"/>
  <c r="D6138" i="2"/>
  <c r="G6137" i="2"/>
  <c r="D6137" i="2"/>
  <c r="D6136" i="2"/>
  <c r="G6136" i="2"/>
  <c r="G6135" i="2"/>
  <c r="D6135" i="2"/>
  <c r="D6134" i="2"/>
  <c r="G6134" i="2"/>
  <c r="G6133" i="2"/>
  <c r="D6133" i="2"/>
  <c r="G6132" i="2"/>
  <c r="D6132" i="2"/>
  <c r="G6131" i="2"/>
  <c r="D6131" i="2"/>
  <c r="G6130" i="2"/>
  <c r="D6130" i="2"/>
  <c r="G6129" i="2"/>
  <c r="D6129" i="2"/>
  <c r="G6128" i="2"/>
  <c r="D6128" i="2"/>
  <c r="G6127" i="2"/>
  <c r="D6127" i="2"/>
  <c r="G6126" i="2"/>
  <c r="D6126" i="2"/>
  <c r="G6125" i="2"/>
  <c r="D6125" i="2"/>
  <c r="G6124" i="2"/>
  <c r="D6124" i="2"/>
  <c r="G6123" i="2"/>
  <c r="D6123" i="2"/>
  <c r="G6122" i="2"/>
  <c r="D6122" i="2"/>
  <c r="D6121" i="2"/>
  <c r="G6121" i="2"/>
  <c r="G6120" i="2"/>
  <c r="D6120" i="2"/>
  <c r="D6119" i="2"/>
  <c r="G6119" i="2"/>
  <c r="D6118" i="2"/>
  <c r="G6118" i="2"/>
  <c r="D6117" i="2"/>
  <c r="G6117" i="2"/>
  <c r="G6116" i="2"/>
  <c r="D6116" i="2"/>
  <c r="G6115" i="2"/>
  <c r="D6115" i="2"/>
  <c r="G6114" i="2"/>
  <c r="D6114" i="2"/>
  <c r="G6113" i="2"/>
  <c r="D6113" i="2"/>
  <c r="G6112" i="2"/>
  <c r="D6112" i="2"/>
  <c r="D6111" i="2"/>
  <c r="G6111" i="2"/>
  <c r="G6110" i="2"/>
  <c r="D6110" i="2"/>
  <c r="G6109" i="2"/>
  <c r="D6109" i="2"/>
  <c r="G6108" i="2"/>
  <c r="D6108" i="2"/>
  <c r="G6107" i="2"/>
  <c r="D6107" i="2"/>
  <c r="G6106" i="2"/>
  <c r="D6106" i="2"/>
  <c r="G6105" i="2"/>
  <c r="D6105" i="2"/>
  <c r="G6104" i="2"/>
  <c r="D6104" i="2"/>
  <c r="G6103" i="2"/>
  <c r="D6103" i="2"/>
  <c r="D6102" i="2"/>
  <c r="G6102" i="2"/>
  <c r="G6101" i="2"/>
  <c r="D6101" i="2"/>
  <c r="G6100" i="2"/>
  <c r="D6100" i="2"/>
  <c r="G6099" i="2"/>
  <c r="D6099" i="2"/>
  <c r="G6098" i="2"/>
  <c r="D6098" i="2"/>
  <c r="G6097" i="2"/>
  <c r="D6097" i="2"/>
  <c r="G6096" i="2"/>
  <c r="D6096" i="2"/>
  <c r="D6095" i="2"/>
  <c r="G6095" i="2"/>
  <c r="D6094" i="2"/>
  <c r="G6094" i="2"/>
  <c r="G6093" i="2"/>
  <c r="D6093" i="2"/>
  <c r="D6092" i="2"/>
  <c r="G6092" i="2"/>
  <c r="G6091" i="2"/>
  <c r="D6091" i="2"/>
  <c r="G6090" i="2"/>
  <c r="D6090" i="2"/>
  <c r="G6089" i="2"/>
  <c r="D6089" i="2"/>
  <c r="G6088" i="2"/>
  <c r="D6088" i="2"/>
  <c r="G6087" i="2"/>
  <c r="D6087" i="2"/>
  <c r="G6086" i="2"/>
  <c r="D6086" i="2"/>
  <c r="D6085" i="2"/>
  <c r="G6085" i="2"/>
  <c r="G6084" i="2"/>
  <c r="D6084" i="2"/>
  <c r="G6083" i="2"/>
  <c r="D6083" i="2"/>
  <c r="G6082" i="2"/>
  <c r="D6082" i="2"/>
  <c r="D6081" i="2"/>
  <c r="G6081" i="2"/>
  <c r="G6080" i="2"/>
  <c r="D6080" i="2"/>
  <c r="G6079" i="2"/>
  <c r="D6079" i="2"/>
  <c r="G6078" i="2"/>
  <c r="D6078" i="2"/>
  <c r="G6077" i="2"/>
  <c r="D6077" i="2"/>
  <c r="G6076" i="2"/>
  <c r="D6076" i="2"/>
  <c r="D6075" i="2"/>
  <c r="G6075" i="2"/>
  <c r="G6074" i="2"/>
  <c r="D6074" i="2"/>
  <c r="G6073" i="2"/>
  <c r="D6073" i="2"/>
  <c r="G6072" i="2"/>
  <c r="D6072" i="2"/>
  <c r="G6071" i="2"/>
  <c r="D6071" i="2"/>
  <c r="G6070" i="2"/>
  <c r="D6070" i="2"/>
  <c r="G6069" i="2"/>
  <c r="D6069" i="2"/>
  <c r="G6068" i="2"/>
  <c r="D6068" i="2"/>
  <c r="D6067" i="2"/>
  <c r="G6067" i="2"/>
  <c r="D6066" i="2"/>
  <c r="G6066" i="2"/>
  <c r="G6065" i="2"/>
  <c r="D6065" i="2"/>
  <c r="D6064" i="2"/>
  <c r="G6064" i="2"/>
  <c r="D6063" i="2"/>
  <c r="G6063" i="2"/>
  <c r="G6062" i="2"/>
  <c r="D6062" i="2"/>
  <c r="G6061" i="2"/>
  <c r="D6061" i="2"/>
  <c r="G6060" i="2"/>
  <c r="D6060" i="2"/>
  <c r="G6059" i="2"/>
  <c r="D6059" i="2"/>
  <c r="D6058" i="2"/>
  <c r="G6058" i="2"/>
  <c r="G6057" i="2"/>
  <c r="D6057" i="2"/>
  <c r="G6056" i="2"/>
  <c r="D6056" i="2"/>
  <c r="G6055" i="2"/>
  <c r="D6055" i="2"/>
  <c r="G6054" i="2"/>
  <c r="D6054" i="2"/>
  <c r="D6053" i="2"/>
  <c r="G6053" i="2"/>
  <c r="G6052" i="2"/>
  <c r="D6052" i="2"/>
  <c r="G6051" i="2"/>
  <c r="D6051" i="2"/>
  <c r="G6050" i="2"/>
  <c r="D6050" i="2"/>
  <c r="G6049" i="2"/>
  <c r="D6049" i="2"/>
  <c r="G6048" i="2"/>
  <c r="D6048" i="2"/>
  <c r="G6047" i="2"/>
  <c r="D6047" i="2"/>
  <c r="G6046" i="2"/>
  <c r="D6046" i="2"/>
  <c r="G6045" i="2"/>
  <c r="D6045" i="2"/>
  <c r="G6044" i="2"/>
  <c r="D6044" i="2"/>
  <c r="G6043" i="2"/>
  <c r="D6043" i="2"/>
  <c r="D6042" i="2"/>
  <c r="G6042" i="2"/>
  <c r="G6041" i="2"/>
  <c r="D6041" i="2"/>
  <c r="D6040" i="2"/>
  <c r="G6040" i="2"/>
  <c r="D6039" i="2"/>
  <c r="G6039" i="2"/>
  <c r="D6038" i="2"/>
  <c r="G6038" i="2"/>
  <c r="G6037" i="2"/>
  <c r="D6037" i="2"/>
  <c r="G6036" i="2"/>
  <c r="D6036" i="2"/>
  <c r="G6035" i="2"/>
  <c r="D6035" i="2"/>
  <c r="D6034" i="2"/>
  <c r="G6034" i="2"/>
  <c r="D6033" i="2"/>
  <c r="G6033" i="2"/>
  <c r="G6032" i="2"/>
  <c r="D6032" i="2"/>
  <c r="G6031" i="2"/>
  <c r="D6031" i="2"/>
  <c r="G6030" i="2"/>
  <c r="D6030" i="2"/>
  <c r="G6029" i="2"/>
  <c r="D6029" i="2"/>
  <c r="D6028" i="2"/>
  <c r="G6028" i="2"/>
  <c r="D6027" i="2"/>
  <c r="G6027" i="2"/>
  <c r="G6026" i="2"/>
  <c r="D6026" i="2"/>
  <c r="D6025" i="2"/>
  <c r="G6025" i="2"/>
  <c r="D6024" i="2"/>
  <c r="G6024" i="2"/>
  <c r="D6023" i="2"/>
  <c r="G6023" i="2"/>
  <c r="G6022" i="2"/>
  <c r="D6022" i="2"/>
  <c r="G6021" i="2"/>
  <c r="D6021" i="2"/>
  <c r="D6020" i="2"/>
  <c r="G6020" i="2"/>
  <c r="D6019" i="2"/>
  <c r="G6019" i="2"/>
  <c r="D6018" i="2"/>
  <c r="G6018" i="2"/>
  <c r="G6017" i="2"/>
  <c r="D6017" i="2"/>
  <c r="D6016" i="2"/>
  <c r="G6016" i="2"/>
  <c r="D6015" i="2"/>
  <c r="G6015" i="2"/>
  <c r="G6014" i="2"/>
  <c r="D6014" i="2"/>
  <c r="D6013" i="2"/>
  <c r="G6013" i="2"/>
  <c r="G6012" i="2"/>
  <c r="D6012" i="2"/>
  <c r="G6011" i="2"/>
  <c r="D6011" i="2"/>
  <c r="D6010" i="2"/>
  <c r="G6010" i="2"/>
  <c r="D6009" i="2"/>
  <c r="G6009" i="2"/>
  <c r="D6008" i="2"/>
  <c r="G6008" i="2"/>
  <c r="G6007" i="2"/>
  <c r="D6007" i="2"/>
  <c r="D6006" i="2"/>
  <c r="G6006" i="2"/>
  <c r="D6005" i="2"/>
  <c r="G6005" i="2"/>
  <c r="G6004" i="2"/>
  <c r="D6004" i="2"/>
  <c r="G6003" i="2"/>
  <c r="D6003" i="2"/>
  <c r="G6002" i="2"/>
  <c r="D6002" i="2"/>
  <c r="D6001" i="2"/>
  <c r="G6001" i="2"/>
  <c r="G6000" i="2"/>
  <c r="D6000" i="2"/>
  <c r="D5999" i="2"/>
  <c r="G5999" i="2"/>
  <c r="G5998" i="2"/>
  <c r="D5998" i="2"/>
  <c r="D5997" i="2"/>
  <c r="G5997" i="2"/>
  <c r="G5996" i="2"/>
  <c r="D5996" i="2"/>
  <c r="G5995" i="2"/>
  <c r="D5995" i="2"/>
  <c r="G5994" i="2"/>
  <c r="D5994" i="2"/>
  <c r="D5993" i="2"/>
  <c r="G5993" i="2"/>
  <c r="D5992" i="2"/>
  <c r="G5992" i="2"/>
  <c r="D5991" i="2"/>
  <c r="G5991" i="2"/>
  <c r="D5990" i="2"/>
  <c r="G5990" i="2"/>
  <c r="D5989" i="2"/>
  <c r="G5989" i="2"/>
  <c r="D5988" i="2"/>
  <c r="G5988" i="2"/>
  <c r="G5987" i="2"/>
  <c r="D5987" i="2"/>
  <c r="D5986" i="2"/>
  <c r="G5986" i="2"/>
  <c r="G5985" i="2"/>
  <c r="D5985" i="2"/>
  <c r="G5984" i="2"/>
  <c r="D5984" i="2"/>
  <c r="G5983" i="2"/>
  <c r="D5983" i="2"/>
  <c r="G5982" i="2"/>
  <c r="D5982" i="2"/>
  <c r="D5981" i="2"/>
  <c r="G5981" i="2"/>
  <c r="G5980" i="2"/>
  <c r="D5980" i="2"/>
  <c r="G5979" i="2"/>
  <c r="D5979" i="2"/>
  <c r="D5978" i="2"/>
  <c r="G5978" i="2"/>
  <c r="D5977" i="2"/>
  <c r="G5977" i="2"/>
  <c r="D5976" i="2"/>
  <c r="G5976" i="2"/>
  <c r="D5975" i="2"/>
  <c r="G5975" i="2"/>
  <c r="G5974" i="2"/>
  <c r="D5974" i="2"/>
  <c r="G5973" i="2"/>
  <c r="D5973" i="2"/>
  <c r="G5972" i="2"/>
  <c r="D5972" i="2"/>
  <c r="G5971" i="2"/>
  <c r="D5971" i="2"/>
  <c r="D5970" i="2"/>
  <c r="G5970" i="2"/>
  <c r="G5969" i="2"/>
  <c r="D5969" i="2"/>
  <c r="D5968" i="2"/>
  <c r="G5968" i="2"/>
  <c r="D5967" i="2"/>
  <c r="G5967" i="2"/>
  <c r="G5966" i="2"/>
  <c r="D5966" i="2"/>
  <c r="G5965" i="2"/>
  <c r="D5965" i="2"/>
  <c r="G5964" i="2"/>
  <c r="D5964" i="2"/>
  <c r="D5963" i="2"/>
  <c r="G5963" i="2"/>
  <c r="D5962" i="2"/>
  <c r="G5962" i="2"/>
  <c r="D5961" i="2"/>
  <c r="G5961" i="2"/>
  <c r="D5960" i="2"/>
  <c r="G5960" i="2"/>
  <c r="G5959" i="2"/>
  <c r="D5959" i="2"/>
  <c r="G5958" i="2"/>
  <c r="D5958" i="2"/>
  <c r="G5957" i="2"/>
  <c r="D5957" i="2"/>
  <c r="G5956" i="2"/>
  <c r="D5956" i="2"/>
  <c r="G5955" i="2"/>
  <c r="D5955" i="2"/>
  <c r="D5954" i="2"/>
  <c r="G5954" i="2"/>
  <c r="G5953" i="2"/>
  <c r="D5953" i="2"/>
  <c r="G5952" i="2"/>
  <c r="D5952" i="2"/>
  <c r="G5951" i="2"/>
  <c r="D5951" i="2"/>
  <c r="G5950" i="2"/>
  <c r="D5950" i="2"/>
  <c r="G5949" i="2"/>
  <c r="D5949" i="2"/>
  <c r="G5948" i="2"/>
  <c r="D5948" i="2"/>
  <c r="G5947" i="2"/>
  <c r="D5947" i="2"/>
  <c r="G5946" i="2"/>
  <c r="D5946" i="2"/>
  <c r="G5945" i="2"/>
  <c r="D5945" i="2"/>
  <c r="G5944" i="2"/>
  <c r="D5944" i="2"/>
  <c r="G5943" i="2"/>
  <c r="D5943" i="2"/>
  <c r="G5942" i="2"/>
  <c r="D5942" i="2"/>
  <c r="G5941" i="2"/>
  <c r="D5941" i="2"/>
  <c r="G5940" i="2"/>
  <c r="D5940" i="2"/>
  <c r="G5939" i="2"/>
  <c r="D5939" i="2"/>
  <c r="D5938" i="2"/>
  <c r="G5938" i="2"/>
  <c r="G5937" i="2"/>
  <c r="D5937" i="2"/>
  <c r="G5936" i="2"/>
  <c r="D5936" i="2"/>
  <c r="G5935" i="2"/>
  <c r="D5935" i="2"/>
  <c r="G5934" i="2"/>
  <c r="D5934" i="2"/>
  <c r="G5933" i="2"/>
  <c r="D5933" i="2"/>
  <c r="G5932" i="2"/>
  <c r="D5932" i="2"/>
  <c r="G5931" i="2"/>
  <c r="D5931" i="2"/>
  <c r="D5930" i="2"/>
  <c r="G5930" i="2"/>
  <c r="D5929" i="2"/>
  <c r="G5929" i="2"/>
  <c r="G5928" i="2"/>
  <c r="D5928" i="2"/>
  <c r="G5927" i="2"/>
  <c r="D5927" i="2"/>
  <c r="G5926" i="2"/>
  <c r="D5926" i="2"/>
  <c r="G5925" i="2"/>
  <c r="D5925" i="2"/>
  <c r="G5924" i="2"/>
  <c r="D5924" i="2"/>
  <c r="D5923" i="2"/>
  <c r="G5923" i="2"/>
  <c r="G5922" i="2"/>
  <c r="D5922" i="2"/>
  <c r="G5921" i="2"/>
  <c r="D5921" i="2"/>
  <c r="G5920" i="2"/>
  <c r="D5920" i="2"/>
  <c r="G5919" i="2"/>
  <c r="D5919" i="2"/>
  <c r="G5918" i="2"/>
  <c r="D5918" i="2"/>
  <c r="D5917" i="2"/>
  <c r="G5917" i="2"/>
  <c r="D5916" i="2"/>
  <c r="G5916" i="2"/>
  <c r="D5915" i="2"/>
  <c r="G5915" i="2"/>
  <c r="G5914" i="2"/>
  <c r="D5914" i="2"/>
  <c r="G5913" i="2"/>
  <c r="D5913" i="2"/>
  <c r="G5912" i="2"/>
  <c r="D5912" i="2"/>
  <c r="G5911" i="2"/>
  <c r="D5911" i="2"/>
  <c r="G5910" i="2"/>
  <c r="D5910" i="2"/>
  <c r="G5909" i="2"/>
  <c r="D5909" i="2"/>
  <c r="G5908" i="2"/>
  <c r="D5908" i="2"/>
  <c r="G5907" i="2"/>
  <c r="D5907" i="2"/>
  <c r="G5906" i="2"/>
  <c r="D5906" i="2"/>
  <c r="D5905" i="2"/>
  <c r="G5905" i="2"/>
  <c r="G5904" i="2"/>
  <c r="D5904" i="2"/>
  <c r="D5903" i="2"/>
  <c r="G5903" i="2"/>
  <c r="G5902" i="2"/>
  <c r="D5902" i="2"/>
  <c r="G5901" i="2"/>
  <c r="D5901" i="2"/>
  <c r="G5900" i="2"/>
  <c r="D5900" i="2"/>
  <c r="G5899" i="2"/>
  <c r="D5899" i="2"/>
  <c r="G5898" i="2"/>
  <c r="D5898" i="2"/>
  <c r="D5897" i="2"/>
  <c r="G5897" i="2"/>
  <c r="D5896" i="2"/>
  <c r="G5896" i="2"/>
  <c r="G5895" i="2"/>
  <c r="D5895" i="2"/>
  <c r="G5894" i="2"/>
  <c r="D5894" i="2"/>
  <c r="D5893" i="2"/>
  <c r="G5893" i="2"/>
  <c r="D5892" i="2"/>
  <c r="G5892" i="2"/>
  <c r="D5891" i="2"/>
  <c r="G5891" i="2"/>
  <c r="G5890" i="2"/>
  <c r="D5890" i="2"/>
  <c r="D5889" i="2"/>
  <c r="G5889" i="2"/>
  <c r="D5888" i="2"/>
  <c r="G5888" i="2"/>
  <c r="D5887" i="2"/>
  <c r="G5887" i="2"/>
  <c r="G5886" i="2"/>
  <c r="D5886" i="2"/>
  <c r="G5885" i="2"/>
  <c r="D5885" i="2"/>
  <c r="D5884" i="2"/>
  <c r="G5884" i="2"/>
  <c r="G5883" i="2"/>
  <c r="D5883" i="2"/>
  <c r="G5882" i="2"/>
  <c r="D5882" i="2"/>
  <c r="D5881" i="2"/>
  <c r="G5881" i="2"/>
  <c r="D5880" i="2"/>
  <c r="G5880" i="2"/>
  <c r="G5879" i="2"/>
  <c r="D5879" i="2"/>
  <c r="D5878" i="2"/>
  <c r="G5878" i="2"/>
  <c r="D5877" i="2"/>
  <c r="G5877" i="2"/>
  <c r="D5876" i="2"/>
  <c r="G5876" i="2"/>
  <c r="D5875" i="2"/>
  <c r="G5875" i="2"/>
  <c r="G5874" i="2"/>
  <c r="D5874" i="2"/>
  <c r="D5873" i="2"/>
  <c r="G5873" i="2"/>
  <c r="D5872" i="2"/>
  <c r="G5872" i="2"/>
  <c r="D5871" i="2"/>
  <c r="G5871" i="2"/>
  <c r="G5870" i="2"/>
  <c r="D5870" i="2"/>
  <c r="G5869" i="2"/>
  <c r="D5869" i="2"/>
  <c r="G5868" i="2"/>
  <c r="D5868" i="2"/>
  <c r="G5867" i="2"/>
  <c r="D5867" i="2"/>
  <c r="G5866" i="2"/>
  <c r="D5866" i="2"/>
  <c r="D5865" i="2"/>
  <c r="G5865" i="2"/>
  <c r="G5864" i="2"/>
  <c r="D5864" i="2"/>
  <c r="G5863" i="2"/>
  <c r="D5863" i="2"/>
  <c r="G5862" i="2"/>
  <c r="D5862" i="2"/>
  <c r="D5861" i="2"/>
  <c r="G5861" i="2"/>
  <c r="G5860" i="2"/>
  <c r="D5860" i="2"/>
  <c r="G5859" i="2"/>
  <c r="D5859" i="2"/>
  <c r="D5858" i="2"/>
  <c r="G5858" i="2"/>
  <c r="D5857" i="2"/>
  <c r="G5857" i="2"/>
  <c r="G5856" i="2"/>
  <c r="D5856" i="2"/>
  <c r="G5855" i="2"/>
  <c r="D5855" i="2"/>
  <c r="G5854" i="2"/>
  <c r="D5854" i="2"/>
  <c r="D5853" i="2"/>
  <c r="G5853" i="2"/>
  <c r="D5852" i="2"/>
  <c r="G5852" i="2"/>
  <c r="D5851" i="2"/>
  <c r="G5851" i="2"/>
  <c r="D5850" i="2"/>
  <c r="G5850" i="2"/>
  <c r="G5849" i="2"/>
  <c r="D5849" i="2"/>
  <c r="G5848" i="2"/>
  <c r="D5848" i="2"/>
  <c r="G5847" i="2"/>
  <c r="D5847" i="2"/>
  <c r="G5846" i="2"/>
  <c r="D5846" i="2"/>
  <c r="D5845" i="2"/>
  <c r="G5845" i="2"/>
  <c r="D5844" i="2"/>
  <c r="G5844" i="2"/>
  <c r="G5843" i="2"/>
  <c r="D5843" i="2"/>
  <c r="G5842" i="2"/>
  <c r="D5842" i="2"/>
  <c r="G5841" i="2"/>
  <c r="D5841" i="2"/>
  <c r="D5840" i="2"/>
  <c r="G5840" i="2"/>
  <c r="D5839" i="2"/>
  <c r="G5839" i="2"/>
  <c r="G5838" i="2"/>
  <c r="D5838" i="2"/>
  <c r="G5837" i="2"/>
  <c r="D5837" i="2"/>
  <c r="G5836" i="2"/>
  <c r="D5836" i="2"/>
  <c r="D5835" i="2"/>
  <c r="G5835" i="2"/>
  <c r="G5834" i="2"/>
  <c r="D5834" i="2"/>
  <c r="G5833" i="2"/>
  <c r="D5833" i="2"/>
  <c r="G5832" i="2"/>
  <c r="D5832" i="2"/>
  <c r="D5831" i="2"/>
  <c r="G5831" i="2"/>
  <c r="D5830" i="2"/>
  <c r="G5830" i="2"/>
  <c r="G5829" i="2"/>
  <c r="D5829" i="2"/>
  <c r="D5828" i="2"/>
  <c r="G5828" i="2"/>
  <c r="D5827" i="2"/>
  <c r="G5827" i="2"/>
  <c r="D5826" i="2"/>
  <c r="G5826" i="2"/>
  <c r="G5825" i="2"/>
  <c r="D5825" i="2"/>
  <c r="G5824" i="2"/>
  <c r="D5824" i="2"/>
  <c r="D5823" i="2"/>
  <c r="G5823" i="2"/>
  <c r="G5822" i="2"/>
  <c r="D5822" i="2"/>
  <c r="G5821" i="2"/>
  <c r="D5821" i="2"/>
  <c r="G5820" i="2"/>
  <c r="D5820" i="2"/>
  <c r="G5819" i="2"/>
  <c r="D5819" i="2"/>
  <c r="G5818" i="2"/>
  <c r="D5818" i="2"/>
  <c r="D5817" i="2"/>
  <c r="G5817" i="2"/>
  <c r="G5816" i="2"/>
  <c r="D5816" i="2"/>
  <c r="D5815" i="2"/>
  <c r="G5815" i="2"/>
  <c r="G5814" i="2"/>
  <c r="D5814" i="2"/>
  <c r="G5813" i="2"/>
  <c r="D5813" i="2"/>
  <c r="G5812" i="2"/>
  <c r="D5812" i="2"/>
  <c r="G5811" i="2"/>
  <c r="D5811" i="2"/>
  <c r="G5810" i="2"/>
  <c r="D5810" i="2"/>
  <c r="G5809" i="2"/>
  <c r="D5809" i="2"/>
  <c r="D5808" i="2"/>
  <c r="G5808" i="2"/>
  <c r="D5807" i="2"/>
  <c r="G5807" i="2"/>
  <c r="G5806" i="2"/>
  <c r="D5806" i="2"/>
  <c r="G5805" i="2"/>
  <c r="D5805" i="2"/>
  <c r="D5804" i="2"/>
  <c r="G5804" i="2"/>
  <c r="G5803" i="2"/>
  <c r="D5803" i="2"/>
  <c r="G5802" i="2"/>
  <c r="D5802" i="2"/>
  <c r="G5801" i="2"/>
  <c r="D5801" i="2"/>
  <c r="G5800" i="2"/>
  <c r="D5800" i="2"/>
  <c r="G5799" i="2"/>
  <c r="D5799" i="2"/>
  <c r="D5798" i="2"/>
  <c r="G5798" i="2"/>
  <c r="G5797" i="2"/>
  <c r="D5797" i="2"/>
  <c r="G5796" i="2"/>
  <c r="D5796" i="2"/>
  <c r="G5795" i="2"/>
  <c r="D5795" i="2"/>
  <c r="D5794" i="2"/>
  <c r="G5794" i="2"/>
  <c r="G5793" i="2"/>
  <c r="D5793" i="2"/>
  <c r="D5792" i="2"/>
  <c r="G5792" i="2"/>
  <c r="D5791" i="2"/>
  <c r="G5791" i="2"/>
  <c r="D5790" i="2"/>
  <c r="G5790" i="2"/>
  <c r="D5789" i="2"/>
  <c r="G5789" i="2"/>
  <c r="D5788" i="2"/>
  <c r="G5788" i="2"/>
  <c r="G5787" i="2"/>
  <c r="D5787" i="2"/>
  <c r="D5786" i="2"/>
  <c r="G5786" i="2"/>
  <c r="G5785" i="2"/>
  <c r="D5785" i="2"/>
  <c r="G5784" i="2"/>
  <c r="D5784" i="2"/>
  <c r="G5783" i="2"/>
  <c r="D5783" i="2"/>
  <c r="D5782" i="2"/>
  <c r="G5782" i="2"/>
  <c r="G5781" i="2"/>
  <c r="D5781" i="2"/>
  <c r="G5780" i="2"/>
  <c r="D5780" i="2"/>
  <c r="G5779" i="2"/>
  <c r="D5779" i="2"/>
  <c r="D5778" i="2"/>
  <c r="G5778" i="2"/>
  <c r="D5777" i="2"/>
  <c r="G5777" i="2"/>
  <c r="G5776" i="2"/>
  <c r="D5776" i="2"/>
  <c r="D5775" i="2"/>
  <c r="G5775" i="2"/>
  <c r="D5774" i="2"/>
  <c r="G5774" i="2"/>
  <c r="D5773" i="2"/>
  <c r="G5773" i="2"/>
  <c r="D5772" i="2"/>
  <c r="G5772" i="2"/>
  <c r="D5771" i="2"/>
  <c r="G5771" i="2"/>
  <c r="D5770" i="2"/>
  <c r="G5770" i="2"/>
  <c r="D5769" i="2"/>
  <c r="G5769" i="2"/>
  <c r="D5768" i="2"/>
  <c r="G5768" i="2"/>
  <c r="G5767" i="2"/>
  <c r="D5767" i="2"/>
  <c r="G5766" i="2"/>
  <c r="D5766" i="2"/>
  <c r="G5765" i="2"/>
  <c r="D5765" i="2"/>
  <c r="G5764" i="2"/>
  <c r="D5764" i="2"/>
  <c r="D5763" i="2"/>
  <c r="G5763" i="2"/>
  <c r="D5762" i="2"/>
  <c r="G5762" i="2"/>
  <c r="D5761" i="2"/>
  <c r="G5761" i="2"/>
  <c r="G5760" i="2"/>
  <c r="D5760" i="2"/>
  <c r="G5759" i="2"/>
  <c r="D5759" i="2"/>
  <c r="G5758" i="2"/>
  <c r="D5758" i="2"/>
  <c r="G5757" i="2"/>
  <c r="D5757" i="2"/>
  <c r="G5756" i="2"/>
  <c r="D5756" i="2"/>
  <c r="D5755" i="2"/>
  <c r="G5755" i="2"/>
  <c r="D5754" i="2"/>
  <c r="G5754" i="2"/>
  <c r="D5753" i="2"/>
  <c r="G5753" i="2"/>
  <c r="D5752" i="2"/>
  <c r="G5752" i="2"/>
  <c r="D5751" i="2"/>
  <c r="G5751" i="2"/>
  <c r="D5750" i="2"/>
  <c r="G5750" i="2"/>
  <c r="D5749" i="2"/>
  <c r="G5749" i="2"/>
  <c r="G5748" i="2"/>
  <c r="D5748" i="2"/>
  <c r="G5747" i="2"/>
  <c r="D5747" i="2"/>
  <c r="D5746" i="2"/>
  <c r="G5746" i="2"/>
  <c r="G5745" i="2"/>
  <c r="D5745" i="2"/>
  <c r="G5744" i="2"/>
  <c r="D5744" i="2"/>
  <c r="G5743" i="2"/>
  <c r="D5743" i="2"/>
  <c r="G5742" i="2"/>
  <c r="D5742" i="2"/>
  <c r="G5741" i="2"/>
  <c r="D5741" i="2"/>
  <c r="G5740" i="2"/>
  <c r="D5740" i="2"/>
  <c r="G5739" i="2"/>
  <c r="D5739" i="2"/>
  <c r="G5738" i="2"/>
  <c r="D5738" i="2"/>
  <c r="G5737" i="2"/>
  <c r="D5737" i="2"/>
  <c r="G5736" i="2"/>
  <c r="D5736" i="2"/>
  <c r="G5735" i="2"/>
  <c r="D5735" i="2"/>
  <c r="G5734" i="2"/>
  <c r="D5734" i="2"/>
  <c r="D5733" i="2"/>
  <c r="G5733" i="2"/>
  <c r="D5732" i="2"/>
  <c r="G5732" i="2"/>
  <c r="D5731" i="2"/>
  <c r="G5731" i="2"/>
  <c r="G5730" i="2"/>
  <c r="D5730" i="2"/>
  <c r="G5729" i="2"/>
  <c r="D5729" i="2"/>
  <c r="D5728" i="2"/>
  <c r="G5728" i="2"/>
  <c r="D5727" i="2"/>
  <c r="G5727" i="2"/>
  <c r="G5726" i="2"/>
  <c r="D5726" i="2"/>
  <c r="G5725" i="2"/>
  <c r="D5725" i="2"/>
  <c r="D5724" i="2"/>
  <c r="G5724" i="2"/>
  <c r="D5723" i="2"/>
  <c r="G5723" i="2"/>
  <c r="G5722" i="2"/>
  <c r="D5722" i="2"/>
  <c r="G5721" i="2"/>
  <c r="D5721" i="2"/>
  <c r="G5720" i="2"/>
  <c r="D5720" i="2"/>
  <c r="D5719" i="2"/>
  <c r="G5719" i="2"/>
  <c r="D5718" i="2"/>
  <c r="G5718" i="2"/>
  <c r="G5717" i="2"/>
  <c r="D5717" i="2"/>
  <c r="D5716" i="2"/>
  <c r="G5716" i="2"/>
  <c r="D5715" i="2"/>
  <c r="G5715" i="2"/>
  <c r="D5714" i="2"/>
  <c r="G5714" i="2"/>
  <c r="G5713" i="2"/>
  <c r="D5713" i="2"/>
  <c r="G5712" i="2"/>
  <c r="D5712" i="2"/>
  <c r="G5711" i="2"/>
  <c r="D5711" i="2"/>
  <c r="D5710" i="2"/>
  <c r="G5710" i="2"/>
  <c r="D5709" i="2"/>
  <c r="G5709" i="2"/>
  <c r="D5708" i="2"/>
  <c r="G5708" i="2"/>
  <c r="G5707" i="2"/>
  <c r="D5707" i="2"/>
  <c r="D5706" i="2"/>
  <c r="G5706" i="2"/>
  <c r="D5705" i="2"/>
  <c r="G5705" i="2"/>
  <c r="G5704" i="2"/>
  <c r="D5704" i="2"/>
  <c r="G5703" i="2"/>
  <c r="D5703" i="2"/>
  <c r="D5702" i="2"/>
  <c r="G5702" i="2"/>
  <c r="D5701" i="2"/>
  <c r="G5701" i="2"/>
  <c r="G5700" i="2"/>
  <c r="D5700" i="2"/>
  <c r="G5699" i="2"/>
  <c r="D5699" i="2"/>
  <c r="G5698" i="2"/>
  <c r="D5698" i="2"/>
  <c r="G5697" i="2"/>
  <c r="D5697" i="2"/>
  <c r="D5696" i="2"/>
  <c r="G5696" i="2"/>
  <c r="D5695" i="2"/>
  <c r="G5695" i="2"/>
  <c r="D5694" i="2"/>
  <c r="G5694" i="2"/>
  <c r="G5693" i="2"/>
  <c r="D5693" i="2"/>
  <c r="G5692" i="2"/>
  <c r="D5692" i="2"/>
  <c r="G5691" i="2"/>
  <c r="D5691" i="2"/>
  <c r="D5690" i="2"/>
  <c r="G5690" i="2"/>
  <c r="G5689" i="2"/>
  <c r="D5689" i="2"/>
  <c r="G5688" i="2"/>
  <c r="D5688" i="2"/>
  <c r="D5687" i="2"/>
  <c r="G5687" i="2"/>
  <c r="D5686" i="2"/>
  <c r="G5686" i="2"/>
  <c r="D5685" i="2"/>
  <c r="G5685" i="2"/>
  <c r="G5684" i="2"/>
  <c r="D5684" i="2"/>
  <c r="G5683" i="2"/>
  <c r="D5683" i="2"/>
  <c r="D5682" i="2"/>
  <c r="G5682" i="2"/>
  <c r="G5681" i="2"/>
  <c r="D5681" i="2"/>
  <c r="G5680" i="2"/>
  <c r="D5680" i="2"/>
  <c r="D5679" i="2"/>
  <c r="G5679" i="2"/>
  <c r="G5678" i="2"/>
  <c r="D5678" i="2"/>
  <c r="G5677" i="2"/>
  <c r="D5677" i="2"/>
  <c r="G5676" i="2"/>
  <c r="D5676" i="2"/>
  <c r="G5675" i="2"/>
  <c r="D5675" i="2"/>
  <c r="G5674" i="2"/>
  <c r="D5674" i="2"/>
  <c r="G5673" i="2"/>
  <c r="D5673" i="2"/>
  <c r="G5672" i="2"/>
  <c r="D5672" i="2"/>
  <c r="G5671" i="2"/>
  <c r="D5671" i="2"/>
  <c r="G5670" i="2"/>
  <c r="D5670" i="2"/>
  <c r="G5669" i="2"/>
  <c r="D5669" i="2"/>
  <c r="G5668" i="2"/>
  <c r="D5668" i="2"/>
  <c r="D5667" i="2"/>
  <c r="G5667" i="2"/>
  <c r="D5666" i="2"/>
  <c r="G5666" i="2"/>
  <c r="D5665" i="2"/>
  <c r="G5665" i="2"/>
  <c r="D5664" i="2"/>
  <c r="G5664" i="2"/>
  <c r="G5663" i="2"/>
  <c r="D5663" i="2"/>
  <c r="G5662" i="2"/>
  <c r="D5662" i="2"/>
  <c r="G5661" i="2"/>
  <c r="D5661" i="2"/>
  <c r="D5660" i="2"/>
  <c r="G5660" i="2"/>
  <c r="G5659" i="2"/>
  <c r="D5659" i="2"/>
  <c r="G5658" i="2"/>
  <c r="D5658" i="2"/>
  <c r="G5657" i="2"/>
  <c r="D5657" i="2"/>
  <c r="G5656" i="2"/>
  <c r="D5656" i="2"/>
  <c r="G5655" i="2"/>
  <c r="D5655" i="2"/>
  <c r="G5654" i="2"/>
  <c r="D5654" i="2"/>
  <c r="G5653" i="2"/>
  <c r="D5653" i="2"/>
  <c r="D5652" i="2"/>
  <c r="G5652" i="2"/>
  <c r="G5651" i="2"/>
  <c r="D5651" i="2"/>
  <c r="G5650" i="2"/>
  <c r="D5650" i="2"/>
  <c r="G5649" i="2"/>
  <c r="D5649" i="2"/>
  <c r="G5648" i="2"/>
  <c r="D5648" i="2"/>
  <c r="D5647" i="2"/>
  <c r="G5647" i="2"/>
  <c r="G5646" i="2"/>
  <c r="D5646" i="2"/>
  <c r="G5645" i="2"/>
  <c r="D5645" i="2"/>
  <c r="D5644" i="2"/>
  <c r="G5644" i="2"/>
  <c r="G5643" i="2"/>
  <c r="D5643" i="2"/>
  <c r="G5642" i="2"/>
  <c r="D5642" i="2"/>
  <c r="G5641" i="2"/>
  <c r="D5641" i="2"/>
  <c r="G5640" i="2"/>
  <c r="D5640" i="2"/>
  <c r="G5639" i="2"/>
  <c r="D5639" i="2"/>
  <c r="D5638" i="2"/>
  <c r="G5638" i="2"/>
  <c r="D5637" i="2"/>
  <c r="G5637" i="2"/>
  <c r="D5636" i="2"/>
  <c r="G5636" i="2"/>
  <c r="D5635" i="2"/>
  <c r="G5635" i="2"/>
  <c r="G5631" i="2"/>
  <c r="D5631" i="2"/>
  <c r="G5630" i="2"/>
  <c r="D5630" i="2"/>
  <c r="G5626" i="2"/>
  <c r="D5626" i="2"/>
  <c r="G5625" i="2"/>
  <c r="D5625" i="2"/>
  <c r="D5624" i="2"/>
  <c r="G5624" i="2"/>
  <c r="G5623" i="2"/>
  <c r="D5623" i="2"/>
  <c r="D5622" i="2"/>
  <c r="G5622" i="2"/>
  <c r="D5621" i="2"/>
  <c r="G5621" i="2"/>
  <c r="D5620" i="2"/>
  <c r="G5620" i="2"/>
  <c r="G5619" i="2"/>
  <c r="D5619" i="2"/>
  <c r="G5618" i="2"/>
  <c r="D5618" i="2"/>
  <c r="D5617" i="2"/>
  <c r="G5617" i="2"/>
  <c r="G5616" i="2"/>
  <c r="D5616" i="2"/>
  <c r="G5615" i="2"/>
  <c r="D5615" i="2"/>
  <c r="D5614" i="2"/>
  <c r="G5614" i="2"/>
  <c r="G5613" i="2"/>
  <c r="D5613" i="2"/>
  <c r="D5612" i="2"/>
  <c r="G5612" i="2"/>
  <c r="G5611" i="2"/>
  <c r="D5611" i="2"/>
  <c r="G5610" i="2"/>
  <c r="D5610" i="2"/>
  <c r="D5609" i="2"/>
  <c r="G5609" i="2"/>
  <c r="G5608" i="2"/>
  <c r="D5608" i="2"/>
  <c r="G5607" i="2"/>
  <c r="D5607" i="2"/>
  <c r="G5606" i="2"/>
  <c r="D5606" i="2"/>
  <c r="G5605" i="2"/>
  <c r="D5605" i="2"/>
  <c r="D5604" i="2"/>
  <c r="G5604" i="2"/>
  <c r="G5603" i="2"/>
  <c r="D5603" i="2"/>
  <c r="D5602" i="2"/>
  <c r="G5602" i="2"/>
  <c r="D5601" i="2"/>
  <c r="G5601" i="2"/>
  <c r="G5600" i="2"/>
  <c r="D5600" i="2"/>
  <c r="G5599" i="2"/>
  <c r="D5599" i="2"/>
  <c r="D5598" i="2"/>
  <c r="G5598" i="2"/>
  <c r="D5597" i="2"/>
  <c r="G5597" i="2"/>
  <c r="D5596" i="2"/>
  <c r="G5596" i="2"/>
  <c r="D5595" i="2"/>
  <c r="G5595" i="2"/>
  <c r="D5594" i="2"/>
  <c r="G5594" i="2"/>
  <c r="G5593" i="2"/>
  <c r="D5593" i="2"/>
  <c r="G5592" i="2"/>
  <c r="D5592" i="2"/>
  <c r="G5591" i="2"/>
  <c r="D5591" i="2"/>
  <c r="G5590" i="2"/>
  <c r="D5590" i="2"/>
  <c r="D5589" i="2"/>
  <c r="G5589" i="2"/>
  <c r="G5588" i="2"/>
  <c r="D5588" i="2"/>
  <c r="G5587" i="2"/>
  <c r="D5587" i="2"/>
  <c r="D5586" i="2"/>
  <c r="G5586" i="2"/>
  <c r="G5585" i="2"/>
  <c r="D5585" i="2"/>
  <c r="G5584" i="2"/>
  <c r="D5584" i="2"/>
  <c r="D5583" i="2"/>
  <c r="G5583" i="2"/>
  <c r="D5582" i="2"/>
  <c r="G5582" i="2"/>
  <c r="D5581" i="2"/>
  <c r="G5581" i="2"/>
  <c r="D5580" i="2"/>
  <c r="G5580" i="2"/>
  <c r="G5579" i="2"/>
  <c r="D5579" i="2"/>
  <c r="D5578" i="2"/>
  <c r="G5578" i="2"/>
  <c r="G5577" i="2"/>
  <c r="D5577" i="2"/>
  <c r="D5576" i="2"/>
  <c r="G5576" i="2"/>
  <c r="D5575" i="2"/>
  <c r="G5575" i="2"/>
  <c r="D5574" i="2"/>
  <c r="G5574" i="2"/>
  <c r="G5573" i="2"/>
  <c r="D5573" i="2"/>
  <c r="G5572" i="2"/>
  <c r="D5572" i="2"/>
  <c r="D5571" i="2"/>
  <c r="G5571" i="2"/>
  <c r="D5570" i="2"/>
  <c r="G5570" i="2"/>
  <c r="G5569" i="2"/>
  <c r="D5569" i="2"/>
  <c r="G5568" i="2"/>
  <c r="D5568" i="2"/>
  <c r="D5567" i="2"/>
  <c r="G5567" i="2"/>
  <c r="G5566" i="2"/>
  <c r="D5566" i="2"/>
  <c r="G5565" i="2"/>
  <c r="D5565" i="2"/>
  <c r="G5564" i="2"/>
  <c r="D5564" i="2"/>
  <c r="D5563" i="2"/>
  <c r="G5563" i="2"/>
  <c r="D5562" i="2"/>
  <c r="G5562" i="2"/>
  <c r="G5561" i="2"/>
  <c r="D5561" i="2"/>
  <c r="G5560" i="2"/>
  <c r="D5560" i="2"/>
  <c r="G5559" i="2"/>
  <c r="D5559" i="2"/>
  <c r="D5558" i="2"/>
  <c r="G5558" i="2"/>
  <c r="D5557" i="2"/>
  <c r="G5557" i="2"/>
  <c r="D5556" i="2"/>
  <c r="G5556" i="2"/>
  <c r="G5555" i="2"/>
  <c r="D5555" i="2"/>
  <c r="D5554" i="2"/>
  <c r="G5554" i="2"/>
  <c r="G5553" i="2"/>
  <c r="D5553" i="2"/>
  <c r="G5552" i="2"/>
  <c r="D5552" i="2"/>
  <c r="D5551" i="2"/>
  <c r="G5551" i="2"/>
  <c r="D5550" i="2"/>
  <c r="G5550" i="2"/>
  <c r="D5549" i="2"/>
  <c r="G5549" i="2"/>
  <c r="G5548" i="2"/>
  <c r="D5548" i="2"/>
  <c r="G5547" i="2"/>
  <c r="D5547" i="2"/>
  <c r="G5546" i="2"/>
  <c r="D5546" i="2"/>
  <c r="G5545" i="2"/>
  <c r="D5545" i="2"/>
  <c r="G5544" i="2"/>
  <c r="D5544" i="2"/>
  <c r="G5543" i="2"/>
  <c r="D5543" i="2"/>
  <c r="G5542" i="2"/>
  <c r="D5542" i="2"/>
  <c r="G5541" i="2"/>
  <c r="D5541" i="2"/>
  <c r="G5540" i="2"/>
  <c r="D5540" i="2"/>
  <c r="G5539" i="2"/>
  <c r="D5539" i="2"/>
  <c r="G5538" i="2"/>
  <c r="D5538" i="2"/>
  <c r="G5537" i="2"/>
  <c r="D5537" i="2"/>
  <c r="D5536" i="2"/>
  <c r="G5536" i="2"/>
  <c r="G5535" i="2"/>
  <c r="D5535" i="2"/>
  <c r="D5534" i="2"/>
  <c r="G5534" i="2"/>
  <c r="G5533" i="2"/>
  <c r="D5533" i="2"/>
  <c r="D5532" i="2"/>
  <c r="G5532" i="2"/>
  <c r="G5531" i="2"/>
  <c r="D5531" i="2"/>
  <c r="D5530" i="2"/>
  <c r="G5530" i="2"/>
  <c r="G5529" i="2"/>
  <c r="D5529" i="2"/>
  <c r="G5528" i="2"/>
  <c r="D5528" i="2"/>
  <c r="D5527" i="2"/>
  <c r="G5527" i="2"/>
  <c r="G5526" i="2"/>
  <c r="D5526" i="2"/>
  <c r="G5525" i="2"/>
  <c r="D5525" i="2"/>
  <c r="D5524" i="2"/>
  <c r="G5524" i="2"/>
  <c r="D5523" i="2"/>
  <c r="G5523" i="2"/>
  <c r="D5522" i="2"/>
  <c r="G5522" i="2"/>
  <c r="G5521" i="2"/>
  <c r="D5521" i="2"/>
  <c r="D5520" i="2"/>
  <c r="G5520" i="2"/>
  <c r="D5519" i="2"/>
  <c r="G5519" i="2"/>
  <c r="G5518" i="2"/>
  <c r="D5518" i="2"/>
  <c r="D5517" i="2"/>
  <c r="G5517" i="2"/>
  <c r="D5516" i="2"/>
  <c r="G5516" i="2"/>
  <c r="D5515" i="2"/>
  <c r="G5515" i="2"/>
  <c r="G5514" i="2"/>
  <c r="D5514" i="2"/>
  <c r="D5513" i="2"/>
  <c r="G5513" i="2"/>
  <c r="D5512" i="2"/>
  <c r="G5512" i="2"/>
  <c r="G5511" i="2"/>
  <c r="D5511" i="2"/>
  <c r="D5510" i="2"/>
  <c r="G5510" i="2"/>
  <c r="D5509" i="2"/>
  <c r="G5509" i="2"/>
  <c r="D5508" i="2"/>
  <c r="G5508" i="2"/>
  <c r="D5507" i="2"/>
  <c r="G5507" i="2"/>
  <c r="D5506" i="2"/>
  <c r="G5506" i="2"/>
  <c r="D5505" i="2"/>
  <c r="G5505" i="2"/>
  <c r="G5504" i="2"/>
  <c r="D5504" i="2"/>
  <c r="D5503" i="2"/>
  <c r="G5503" i="2"/>
  <c r="G5502" i="2"/>
  <c r="D5502" i="2"/>
  <c r="G5501" i="2"/>
  <c r="D5501" i="2"/>
  <c r="G5500" i="2"/>
  <c r="D5500" i="2"/>
  <c r="G5499" i="2"/>
  <c r="D5499" i="2"/>
  <c r="G5498" i="2"/>
  <c r="D5498" i="2"/>
  <c r="G5497" i="2"/>
  <c r="D5497" i="2"/>
  <c r="D5496" i="2"/>
  <c r="G5496" i="2"/>
  <c r="D5495" i="2"/>
  <c r="G5495" i="2"/>
  <c r="G5494" i="2"/>
  <c r="D5494" i="2"/>
  <c r="D5493" i="2"/>
  <c r="G5493" i="2"/>
  <c r="D5492" i="2"/>
  <c r="G5492" i="2"/>
  <c r="G5491" i="2"/>
  <c r="D5491" i="2"/>
  <c r="D5490" i="2"/>
  <c r="G5490" i="2"/>
  <c r="D5489" i="2"/>
  <c r="G5489" i="2"/>
  <c r="D5488" i="2"/>
  <c r="G5488" i="2"/>
  <c r="D5487" i="2"/>
  <c r="G5487" i="2"/>
  <c r="D5486" i="2"/>
  <c r="G5486" i="2"/>
  <c r="D5485" i="2"/>
  <c r="G5485" i="2"/>
  <c r="D5484" i="2"/>
  <c r="G5484" i="2"/>
  <c r="D5483" i="2"/>
  <c r="G5483" i="2"/>
  <c r="D5482" i="2"/>
  <c r="G5482" i="2"/>
  <c r="D5481" i="2"/>
  <c r="G5481" i="2"/>
  <c r="G5480" i="2"/>
  <c r="D5480" i="2"/>
  <c r="D5479" i="2"/>
  <c r="G5479" i="2"/>
  <c r="G5478" i="2"/>
  <c r="D5478" i="2"/>
  <c r="G5477" i="2"/>
  <c r="D5477" i="2"/>
  <c r="G5476" i="2"/>
  <c r="D5476" i="2"/>
  <c r="G5475" i="2"/>
  <c r="D5475" i="2"/>
  <c r="G5474" i="2"/>
  <c r="D5474" i="2"/>
  <c r="G5473" i="2"/>
  <c r="D5473" i="2"/>
  <c r="G5472" i="2"/>
  <c r="D5472" i="2"/>
  <c r="G5471" i="2"/>
  <c r="D5471" i="2"/>
  <c r="G5470" i="2"/>
  <c r="D5470" i="2"/>
  <c r="G5469" i="2"/>
  <c r="D5469" i="2"/>
  <c r="D5468" i="2"/>
  <c r="G5468" i="2"/>
  <c r="D5467" i="2"/>
  <c r="G5467" i="2"/>
  <c r="D5466" i="2"/>
  <c r="G5466" i="2"/>
  <c r="D5465" i="2"/>
  <c r="G5465" i="2"/>
  <c r="G5464" i="2"/>
  <c r="D5464" i="2"/>
  <c r="G5463" i="2"/>
  <c r="D5463" i="2"/>
  <c r="D5462" i="2"/>
  <c r="G5462" i="2"/>
  <c r="D5461" i="2"/>
  <c r="G5461" i="2"/>
  <c r="D5460" i="2"/>
  <c r="G5460" i="2"/>
  <c r="D5459" i="2"/>
  <c r="G5459" i="2"/>
  <c r="D5458" i="2"/>
  <c r="G5458" i="2"/>
  <c r="G5457" i="2"/>
  <c r="D5457" i="2"/>
  <c r="G5456" i="2"/>
  <c r="D5456" i="2"/>
  <c r="G5455" i="2"/>
  <c r="D5455" i="2"/>
  <c r="G5454" i="2"/>
  <c r="D5454" i="2"/>
  <c r="D5453" i="2"/>
  <c r="G5453" i="2"/>
  <c r="D5452" i="2"/>
  <c r="G5452" i="2"/>
  <c r="D5451" i="2"/>
  <c r="G5451" i="2"/>
  <c r="G5450" i="2"/>
  <c r="D5450" i="2"/>
  <c r="G5449" i="2"/>
  <c r="D5449" i="2"/>
  <c r="G5448" i="2"/>
  <c r="D5448" i="2"/>
  <c r="G5447" i="2"/>
  <c r="D5447" i="2"/>
  <c r="G5446" i="2"/>
  <c r="D5446" i="2"/>
  <c r="D5445" i="2"/>
  <c r="G5445" i="2"/>
  <c r="G5444" i="2"/>
  <c r="D5444" i="2"/>
  <c r="G5443" i="2"/>
  <c r="D5443" i="2"/>
  <c r="G5442" i="2"/>
  <c r="D5442" i="2"/>
  <c r="G5441" i="2"/>
  <c r="D5441" i="2"/>
  <c r="D5440" i="2"/>
  <c r="G5440" i="2"/>
  <c r="G5439" i="2"/>
  <c r="D5439" i="2"/>
  <c r="G5438" i="2"/>
  <c r="D5438" i="2"/>
  <c r="G5437" i="2"/>
  <c r="D5437" i="2"/>
  <c r="G5436" i="2"/>
  <c r="D5436" i="2"/>
  <c r="G5435" i="2"/>
  <c r="D5435" i="2"/>
  <c r="D5434" i="2"/>
  <c r="G5434" i="2"/>
  <c r="D5433" i="2"/>
  <c r="G5433" i="2"/>
  <c r="G5432" i="2"/>
  <c r="D5432" i="2"/>
  <c r="D5431" i="2"/>
  <c r="G5431" i="2"/>
  <c r="D5430" i="2"/>
  <c r="G5430" i="2"/>
  <c r="G5429" i="2"/>
  <c r="D5429" i="2"/>
  <c r="G5428" i="2"/>
  <c r="D5428" i="2"/>
  <c r="D5427" i="2"/>
  <c r="G5427" i="2"/>
  <c r="G5426" i="2"/>
  <c r="D5426" i="2"/>
  <c r="D5425" i="2"/>
  <c r="G5425" i="2"/>
  <c r="G5424" i="2"/>
  <c r="D5424" i="2"/>
  <c r="G5423" i="2"/>
  <c r="D5423" i="2"/>
  <c r="G5422" i="2"/>
  <c r="D5422" i="2"/>
  <c r="D5421" i="2"/>
  <c r="G5421" i="2"/>
  <c r="G5420" i="2"/>
  <c r="D5420" i="2"/>
  <c r="D5419" i="2"/>
  <c r="G5419" i="2"/>
  <c r="D5418" i="2"/>
  <c r="G5418" i="2"/>
  <c r="G5417" i="2"/>
  <c r="D5417" i="2"/>
  <c r="G5416" i="2"/>
  <c r="D5416" i="2"/>
  <c r="G5415" i="2"/>
  <c r="D5415" i="2"/>
  <c r="G5414" i="2"/>
  <c r="D5414" i="2"/>
  <c r="G5413" i="2"/>
  <c r="D5413" i="2"/>
  <c r="G5412" i="2"/>
  <c r="D5412" i="2"/>
  <c r="G5411" i="2"/>
  <c r="D5411" i="2"/>
  <c r="D5410" i="2"/>
  <c r="G5410" i="2"/>
  <c r="G5409" i="2"/>
  <c r="D5409" i="2"/>
  <c r="D5408" i="2"/>
  <c r="G5408" i="2"/>
  <c r="D5407" i="2"/>
  <c r="G5407" i="2"/>
  <c r="G5406" i="2"/>
  <c r="D5406" i="2"/>
  <c r="D5405" i="2"/>
  <c r="G5405" i="2"/>
  <c r="D5404" i="2"/>
  <c r="G5404" i="2"/>
  <c r="D5403" i="2"/>
  <c r="G5403" i="2"/>
  <c r="D5402" i="2"/>
  <c r="G5402" i="2"/>
  <c r="G5401" i="2"/>
  <c r="D5401" i="2"/>
  <c r="G5400" i="2"/>
  <c r="D5400" i="2"/>
  <c r="G5399" i="2"/>
  <c r="D5399" i="2"/>
  <c r="G5398" i="2"/>
  <c r="D5398" i="2"/>
  <c r="D5397" i="2"/>
  <c r="G5397" i="2"/>
  <c r="G5396" i="2"/>
  <c r="D5396" i="2"/>
  <c r="G5395" i="2"/>
  <c r="D5395" i="2"/>
  <c r="D5394" i="2"/>
  <c r="G5394" i="2"/>
  <c r="G5393" i="2"/>
  <c r="D5393" i="2"/>
  <c r="D5392" i="2"/>
  <c r="G5392" i="2"/>
  <c r="G5391" i="2"/>
  <c r="D5391" i="2"/>
  <c r="G5390" i="2"/>
  <c r="D5390" i="2"/>
  <c r="D5389" i="2"/>
  <c r="G5389" i="2"/>
  <c r="D5388" i="2"/>
  <c r="G5388" i="2"/>
  <c r="G5387" i="2"/>
  <c r="D5387" i="2"/>
  <c r="G5386" i="2"/>
  <c r="D5386" i="2"/>
  <c r="G5385" i="2"/>
  <c r="D5385" i="2"/>
  <c r="G5384" i="2"/>
  <c r="D5384" i="2"/>
  <c r="D5383" i="2"/>
  <c r="G5383" i="2"/>
  <c r="G5382" i="2"/>
  <c r="D5382" i="2"/>
  <c r="D5381" i="2"/>
  <c r="G5381" i="2"/>
  <c r="G5380" i="2"/>
  <c r="D5380" i="2"/>
  <c r="D5379" i="2"/>
  <c r="G5379" i="2"/>
  <c r="D5378" i="2"/>
  <c r="G5378" i="2"/>
  <c r="G5377" i="2"/>
  <c r="D5377" i="2"/>
  <c r="G5376" i="2"/>
  <c r="D5376" i="2"/>
  <c r="G5375" i="2"/>
  <c r="D5375" i="2"/>
  <c r="D5374" i="2"/>
  <c r="G5374" i="2"/>
  <c r="G5373" i="2"/>
  <c r="D5373" i="2"/>
  <c r="G5372" i="2"/>
  <c r="D5372" i="2"/>
  <c r="D5371" i="2"/>
  <c r="G5371" i="2"/>
  <c r="G5370" i="2"/>
  <c r="D5370" i="2"/>
  <c r="G5369" i="2"/>
  <c r="D5369" i="2"/>
  <c r="G5368" i="2"/>
  <c r="D5368" i="2"/>
  <c r="D5367" i="2"/>
  <c r="G5367" i="2"/>
  <c r="G5366" i="2"/>
  <c r="D5366" i="2"/>
  <c r="G5365" i="2"/>
  <c r="D5365" i="2"/>
  <c r="G5364" i="2"/>
  <c r="D5364" i="2"/>
  <c r="G5363" i="2"/>
  <c r="D5363" i="2"/>
  <c r="G5362" i="2"/>
  <c r="D5362" i="2"/>
  <c r="G5361" i="2"/>
  <c r="D5361" i="2"/>
  <c r="G5360" i="2"/>
  <c r="D5360" i="2"/>
  <c r="G5359" i="2"/>
  <c r="D5359" i="2"/>
  <c r="G5358" i="2"/>
  <c r="D5358" i="2"/>
  <c r="G5357" i="2"/>
  <c r="D5357" i="2"/>
  <c r="G5356" i="2"/>
  <c r="D5356" i="2"/>
  <c r="G5355" i="2"/>
  <c r="D5355" i="2"/>
  <c r="G5354" i="2"/>
  <c r="D5354" i="2"/>
  <c r="G5353" i="2"/>
  <c r="D5353" i="2"/>
  <c r="G5352" i="2"/>
  <c r="D5352" i="2"/>
  <c r="G5351" i="2"/>
  <c r="D5351" i="2"/>
  <c r="G5350" i="2"/>
  <c r="D5350" i="2"/>
  <c r="G5349" i="2"/>
  <c r="D5349" i="2"/>
  <c r="G5348" i="2"/>
  <c r="D5348" i="2"/>
  <c r="G5347" i="2"/>
  <c r="D5347" i="2"/>
  <c r="G5346" i="2"/>
  <c r="D5346" i="2"/>
  <c r="G5345" i="2"/>
  <c r="D5345" i="2"/>
  <c r="G5344" i="2"/>
  <c r="D5344" i="2"/>
  <c r="G5343" i="2"/>
  <c r="D5343" i="2"/>
  <c r="G5342" i="2"/>
  <c r="D5342" i="2"/>
  <c r="G5341" i="2"/>
  <c r="D5341" i="2"/>
  <c r="G5340" i="2"/>
  <c r="D5340" i="2"/>
  <c r="G5339" i="2"/>
  <c r="D5339" i="2"/>
  <c r="G5338" i="2"/>
  <c r="D5338" i="2"/>
  <c r="G5337" i="2"/>
  <c r="D5337" i="2"/>
  <c r="G5336" i="2"/>
  <c r="D5336" i="2"/>
  <c r="G5335" i="2"/>
  <c r="D5335" i="2"/>
  <c r="G5334" i="2"/>
  <c r="D5334" i="2"/>
  <c r="G5333" i="2"/>
  <c r="D5333" i="2"/>
  <c r="G5332" i="2"/>
  <c r="D5332" i="2"/>
  <c r="G5331" i="2"/>
  <c r="D5331" i="2"/>
  <c r="G5330" i="2"/>
  <c r="D5330" i="2"/>
  <c r="G5329" i="2"/>
  <c r="D5329" i="2"/>
  <c r="G5328" i="2"/>
  <c r="D5328" i="2"/>
  <c r="G5327" i="2"/>
  <c r="D5327" i="2"/>
  <c r="G5326" i="2"/>
  <c r="D5326" i="2"/>
  <c r="G5325" i="2"/>
  <c r="D5325" i="2"/>
  <c r="G5324" i="2"/>
  <c r="D5324" i="2"/>
  <c r="G5323" i="2"/>
  <c r="D5323" i="2"/>
  <c r="G5322" i="2"/>
  <c r="D5322" i="2"/>
  <c r="G5321" i="2"/>
  <c r="D5321" i="2"/>
  <c r="G5320" i="2"/>
  <c r="D5320" i="2"/>
  <c r="G5319" i="2"/>
  <c r="D5319" i="2"/>
  <c r="G5318" i="2"/>
  <c r="D5318" i="2"/>
  <c r="G5317" i="2"/>
  <c r="D5317" i="2"/>
  <c r="G5316" i="2"/>
  <c r="D5316" i="2"/>
  <c r="G5315" i="2"/>
  <c r="D5315" i="2"/>
  <c r="G5314" i="2"/>
  <c r="D5314" i="2"/>
  <c r="G5313" i="2"/>
  <c r="D5313" i="2"/>
  <c r="G5312" i="2"/>
  <c r="D5312" i="2"/>
  <c r="G5311" i="2"/>
  <c r="D5311" i="2"/>
  <c r="G5310" i="2"/>
  <c r="D5310" i="2"/>
  <c r="G5309" i="2"/>
  <c r="D5309" i="2"/>
  <c r="G5308" i="2"/>
  <c r="D5308" i="2"/>
  <c r="G5307" i="2"/>
  <c r="D5307" i="2"/>
  <c r="G5306" i="2"/>
  <c r="D5306" i="2"/>
  <c r="G5305" i="2"/>
  <c r="D5305" i="2"/>
  <c r="G5304" i="2"/>
  <c r="D5304" i="2"/>
  <c r="G5303" i="2"/>
  <c r="D5303" i="2"/>
  <c r="G5302" i="2"/>
  <c r="D5302" i="2"/>
  <c r="G5301" i="2"/>
  <c r="D5301" i="2"/>
  <c r="G5300" i="2"/>
  <c r="D5300" i="2"/>
  <c r="G5299" i="2"/>
  <c r="D5299" i="2"/>
  <c r="G5298" i="2"/>
  <c r="D5298" i="2"/>
  <c r="G5297" i="2"/>
  <c r="D5297" i="2"/>
  <c r="D5296" i="2"/>
  <c r="G5296" i="2"/>
  <c r="D5295" i="2"/>
  <c r="G5295" i="2"/>
  <c r="G5294" i="2"/>
  <c r="D5294" i="2"/>
  <c r="G5293" i="2"/>
  <c r="D5293" i="2"/>
  <c r="D5292" i="2"/>
  <c r="G5292" i="2"/>
  <c r="D5291" i="2"/>
  <c r="G5291" i="2"/>
  <c r="D5290" i="2"/>
  <c r="G5290" i="2"/>
  <c r="D5289" i="2"/>
  <c r="G5289" i="2"/>
  <c r="D5288" i="2"/>
  <c r="G5288" i="2"/>
  <c r="D5287" i="2"/>
  <c r="G5287" i="2"/>
  <c r="D5286" i="2"/>
  <c r="G5286" i="2"/>
  <c r="G5285" i="2"/>
  <c r="D5285" i="2"/>
  <c r="D5284" i="2"/>
  <c r="G5284" i="2"/>
  <c r="D5283" i="2"/>
  <c r="G5283" i="2"/>
  <c r="G5282" i="2"/>
  <c r="D5282" i="2"/>
  <c r="D5281" i="2"/>
  <c r="G5281" i="2"/>
  <c r="G5280" i="2"/>
  <c r="D5280" i="2"/>
  <c r="D5279" i="2"/>
  <c r="G5279" i="2"/>
  <c r="D5278" i="2"/>
  <c r="G5278" i="2"/>
  <c r="D5277" i="2"/>
  <c r="G5277" i="2"/>
  <c r="G5276" i="2"/>
  <c r="D5276" i="2"/>
  <c r="D5275" i="2"/>
  <c r="G5275" i="2"/>
  <c r="G5274" i="2"/>
  <c r="D5274" i="2"/>
  <c r="G5273" i="2"/>
  <c r="D5273" i="2"/>
  <c r="D5272" i="2"/>
  <c r="G5272" i="2"/>
  <c r="G5271" i="2"/>
  <c r="D5271" i="2"/>
  <c r="G5270" i="2"/>
  <c r="D5270" i="2"/>
  <c r="G5269" i="2"/>
  <c r="D5269" i="2"/>
  <c r="G5268" i="2"/>
  <c r="D5268" i="2"/>
  <c r="D5267" i="2"/>
  <c r="G5267" i="2"/>
  <c r="G5266" i="2"/>
  <c r="D5266" i="2"/>
  <c r="D5265" i="2"/>
  <c r="G5265" i="2"/>
  <c r="G5264" i="2"/>
  <c r="D5264" i="2"/>
  <c r="D5263" i="2"/>
  <c r="G5263" i="2"/>
  <c r="D5262" i="2"/>
  <c r="G5262" i="2"/>
  <c r="G5261" i="2"/>
  <c r="D5261" i="2"/>
  <c r="G5260" i="2"/>
  <c r="D5260" i="2"/>
  <c r="D5259" i="2"/>
  <c r="G5259" i="2"/>
  <c r="D5258" i="2"/>
  <c r="G5258" i="2"/>
  <c r="D5257" i="2"/>
  <c r="G5257" i="2"/>
  <c r="G5256" i="2"/>
  <c r="D5256" i="2"/>
  <c r="G5255" i="2"/>
  <c r="D5255" i="2"/>
  <c r="G5254" i="2"/>
  <c r="D5254" i="2"/>
  <c r="D5253" i="2"/>
  <c r="G5253" i="2"/>
  <c r="G5252" i="2"/>
  <c r="D5252" i="2"/>
  <c r="G5251" i="2"/>
  <c r="D5251" i="2"/>
  <c r="G5250" i="2"/>
  <c r="D5250" i="2"/>
  <c r="G5249" i="2"/>
  <c r="D5249" i="2"/>
  <c r="D5248" i="2"/>
  <c r="G5248" i="2"/>
  <c r="G5247" i="2"/>
  <c r="D5247" i="2"/>
  <c r="G5246" i="2"/>
  <c r="D5246" i="2"/>
  <c r="G5245" i="2"/>
  <c r="D5245" i="2"/>
  <c r="G5244" i="2"/>
  <c r="D5244" i="2"/>
  <c r="G5243" i="2"/>
  <c r="D5243" i="2"/>
  <c r="G5242" i="2"/>
  <c r="D5242" i="2"/>
  <c r="G5241" i="2"/>
  <c r="D5241" i="2"/>
  <c r="D5240" i="2"/>
  <c r="G5240" i="2"/>
  <c r="G5239" i="2"/>
  <c r="D5239" i="2"/>
  <c r="D5238" i="2"/>
  <c r="G5238" i="2"/>
  <c r="D5237" i="2"/>
  <c r="G5237" i="2"/>
  <c r="D5236" i="2"/>
  <c r="G5236" i="2"/>
  <c r="G5235" i="2"/>
  <c r="D5235" i="2"/>
  <c r="G5234" i="2"/>
  <c r="D5234" i="2"/>
  <c r="G5233" i="2"/>
  <c r="D5233" i="2"/>
  <c r="G5232" i="2"/>
  <c r="D5232" i="2"/>
  <c r="G5231" i="2"/>
  <c r="D5231" i="2"/>
  <c r="G5230" i="2"/>
  <c r="D5230" i="2"/>
  <c r="G5229" i="2"/>
  <c r="D5229" i="2"/>
  <c r="G5228" i="2"/>
  <c r="D5228" i="2"/>
  <c r="G5227" i="2"/>
  <c r="D5227" i="2"/>
  <c r="G5226" i="2"/>
  <c r="D5226" i="2"/>
  <c r="G5225" i="2"/>
  <c r="D5225" i="2"/>
  <c r="G5224" i="2"/>
  <c r="D5224" i="2"/>
  <c r="D5223" i="2"/>
  <c r="G5223" i="2"/>
  <c r="G5222" i="2"/>
  <c r="D5222" i="2"/>
  <c r="G5221" i="2"/>
  <c r="D5221" i="2"/>
  <c r="G5220" i="2"/>
  <c r="D5220" i="2"/>
  <c r="G5219" i="2"/>
  <c r="D5219" i="2"/>
  <c r="G5218" i="2"/>
  <c r="D5218" i="2"/>
  <c r="D5217" i="2"/>
  <c r="G5217" i="2"/>
  <c r="D5216" i="2"/>
  <c r="G5216" i="2"/>
  <c r="D5215" i="2"/>
  <c r="G5215" i="2"/>
  <c r="G5214" i="2"/>
  <c r="D5214" i="2"/>
  <c r="G5213" i="2"/>
  <c r="D5213" i="2"/>
  <c r="G5212" i="2"/>
  <c r="D5212" i="2"/>
  <c r="D5211" i="2"/>
  <c r="G5211" i="2"/>
  <c r="G5210" i="2"/>
  <c r="D5210" i="2"/>
  <c r="G5209" i="2"/>
  <c r="D5209" i="2"/>
  <c r="D5208" i="2"/>
  <c r="G5208" i="2"/>
  <c r="G5207" i="2"/>
  <c r="D5207" i="2"/>
  <c r="G5206" i="2"/>
  <c r="D5206" i="2"/>
  <c r="G5205" i="2"/>
  <c r="D5205" i="2"/>
  <c r="G5204" i="2"/>
  <c r="D5204" i="2"/>
  <c r="G5203" i="2"/>
  <c r="D5203" i="2"/>
  <c r="G5202" i="2"/>
  <c r="D5202" i="2"/>
  <c r="G5201" i="2"/>
  <c r="D5201" i="2"/>
  <c r="G5200" i="2"/>
  <c r="D5200" i="2"/>
  <c r="D5199" i="2"/>
  <c r="G5199" i="2"/>
  <c r="G5198" i="2"/>
  <c r="D5198" i="2"/>
  <c r="G5197" i="2"/>
  <c r="D5197" i="2"/>
  <c r="D5196" i="2"/>
  <c r="G5196" i="2"/>
  <c r="G5195" i="2"/>
  <c r="D5195" i="2"/>
  <c r="G5194" i="2"/>
  <c r="D5194" i="2"/>
  <c r="D5193" i="2"/>
  <c r="G5193" i="2"/>
  <c r="D5192" i="2"/>
  <c r="G5192" i="2"/>
  <c r="D5191" i="2"/>
  <c r="G5191" i="2"/>
  <c r="G5190" i="2"/>
  <c r="D5190" i="2"/>
  <c r="D5189" i="2"/>
  <c r="G5189" i="2"/>
  <c r="G5188" i="2"/>
  <c r="D5188" i="2"/>
  <c r="G5187" i="2"/>
  <c r="D5187" i="2"/>
  <c r="G5186" i="2"/>
  <c r="D5186" i="2"/>
  <c r="G5185" i="2"/>
  <c r="D5185" i="2"/>
  <c r="G5184" i="2"/>
  <c r="D5184" i="2"/>
  <c r="D5183" i="2"/>
  <c r="G5183" i="2"/>
  <c r="G5182" i="2"/>
  <c r="D5182" i="2"/>
  <c r="D5181" i="2"/>
  <c r="G5181" i="2"/>
  <c r="D5180" i="2"/>
  <c r="G5180" i="2"/>
  <c r="D5179" i="2"/>
  <c r="G5179" i="2"/>
  <c r="D5178" i="2"/>
  <c r="G5178" i="2"/>
  <c r="D5177" i="2"/>
  <c r="G5177" i="2"/>
  <c r="G5176" i="2"/>
  <c r="D5176" i="2"/>
  <c r="G5175" i="2"/>
  <c r="D5175" i="2"/>
  <c r="G5174" i="2"/>
  <c r="D5174" i="2"/>
  <c r="D5173" i="2"/>
  <c r="G5173" i="2"/>
  <c r="D5172" i="2"/>
  <c r="G5172" i="2"/>
  <c r="G5171" i="2"/>
  <c r="D5171" i="2"/>
  <c r="G5170" i="2"/>
  <c r="D5170" i="2"/>
  <c r="G5169" i="2"/>
  <c r="D5169" i="2"/>
  <c r="G5168" i="2"/>
  <c r="D5168" i="2"/>
  <c r="G5167" i="2"/>
  <c r="D5167" i="2"/>
  <c r="G5166" i="2"/>
  <c r="D5166" i="2"/>
  <c r="G5165" i="2"/>
  <c r="D5165" i="2"/>
  <c r="G5164" i="2"/>
  <c r="D5164" i="2"/>
  <c r="D5163" i="2"/>
  <c r="G5163" i="2"/>
  <c r="G5162" i="2"/>
  <c r="D5162" i="2"/>
  <c r="G5161" i="2"/>
  <c r="D5161" i="2"/>
  <c r="D5160" i="2"/>
  <c r="G5160" i="2"/>
  <c r="G5159" i="2"/>
  <c r="D5159" i="2"/>
  <c r="G5158" i="2"/>
  <c r="D5158" i="2"/>
  <c r="D5157" i="2"/>
  <c r="G5157" i="2"/>
  <c r="G5156" i="2"/>
  <c r="D5156" i="2"/>
  <c r="G5155" i="2"/>
  <c r="D5155" i="2"/>
  <c r="D5154" i="2"/>
  <c r="G5154" i="2"/>
  <c r="G5153" i="2"/>
  <c r="D5153" i="2"/>
  <c r="G5152" i="2"/>
  <c r="D5152" i="2"/>
  <c r="G5151" i="2"/>
  <c r="D5151" i="2"/>
  <c r="D5150" i="2"/>
  <c r="G5150" i="2"/>
  <c r="D5149" i="2"/>
  <c r="G5149" i="2"/>
  <c r="D5148" i="2"/>
  <c r="G5148" i="2"/>
  <c r="D5147" i="2"/>
  <c r="G5147" i="2"/>
  <c r="G5146" i="2"/>
  <c r="D5146" i="2"/>
  <c r="D5145" i="2"/>
  <c r="G5145" i="2"/>
  <c r="D5144" i="2"/>
  <c r="G5144" i="2"/>
  <c r="D5143" i="2"/>
  <c r="G5143" i="2"/>
  <c r="G5142" i="2"/>
  <c r="D5142" i="2"/>
  <c r="D5141" i="2"/>
  <c r="G5141" i="2"/>
  <c r="D5140" i="2"/>
  <c r="G5140" i="2"/>
  <c r="G5139" i="2"/>
  <c r="D5139" i="2"/>
  <c r="G5138" i="2"/>
  <c r="D5138" i="2"/>
  <c r="G5137" i="2"/>
  <c r="D5137" i="2"/>
  <c r="D5136" i="2"/>
  <c r="G5136" i="2"/>
  <c r="G5135" i="2"/>
  <c r="D5135" i="2"/>
  <c r="G5134" i="2"/>
  <c r="D5134" i="2"/>
  <c r="G5133" i="2"/>
  <c r="D5133" i="2"/>
  <c r="D5132" i="2"/>
  <c r="G5132" i="2"/>
  <c r="G5131" i="2"/>
  <c r="D5131" i="2"/>
  <c r="G5130" i="2"/>
  <c r="D5130" i="2"/>
  <c r="D5129" i="2"/>
  <c r="G5129" i="2"/>
  <c r="G5128" i="2"/>
  <c r="D5128" i="2"/>
  <c r="G5127" i="2"/>
  <c r="D5127" i="2"/>
  <c r="G5126" i="2"/>
  <c r="D5126" i="2"/>
  <c r="D5125" i="2"/>
  <c r="G5125" i="2"/>
  <c r="D5124" i="2"/>
  <c r="G5124" i="2"/>
  <c r="D5123" i="2"/>
  <c r="G5123" i="2"/>
  <c r="D5122" i="2"/>
  <c r="G5122" i="2"/>
  <c r="D5121" i="2"/>
  <c r="G5121" i="2"/>
  <c r="D5120" i="2"/>
  <c r="G5120" i="2"/>
  <c r="D5119" i="2"/>
  <c r="G5119" i="2"/>
  <c r="G5118" i="2"/>
  <c r="D5118" i="2"/>
  <c r="G5117" i="2"/>
  <c r="D5117" i="2"/>
  <c r="D5116" i="2"/>
  <c r="G5116" i="2"/>
  <c r="D5115" i="2"/>
  <c r="G5115" i="2"/>
  <c r="D5114" i="2"/>
  <c r="G5114" i="2"/>
  <c r="G5113" i="2"/>
  <c r="D5113" i="2"/>
  <c r="D5112" i="2"/>
  <c r="G5112" i="2"/>
  <c r="D5111" i="2"/>
  <c r="G5111" i="2"/>
  <c r="G5110" i="2"/>
  <c r="D5110" i="2"/>
  <c r="D5109" i="2"/>
  <c r="G5109" i="2"/>
  <c r="D5108" i="2"/>
  <c r="G5108" i="2"/>
  <c r="D5107" i="2"/>
  <c r="G5107" i="2"/>
  <c r="G5106" i="2"/>
  <c r="D5106" i="2"/>
  <c r="G5105" i="2"/>
  <c r="D5105" i="2"/>
  <c r="D5104" i="2"/>
  <c r="G5104" i="2"/>
  <c r="D5103" i="2"/>
  <c r="G5103" i="2"/>
  <c r="D5102" i="2"/>
  <c r="G5102" i="2"/>
  <c r="D5101" i="2"/>
  <c r="G5101" i="2"/>
  <c r="D5100" i="2"/>
  <c r="G5100" i="2"/>
  <c r="G5099" i="2"/>
  <c r="D5099" i="2"/>
  <c r="D5098" i="2"/>
  <c r="G5098" i="2"/>
  <c r="D5097" i="2"/>
  <c r="G5097" i="2"/>
  <c r="G5096" i="2"/>
  <c r="D5096" i="2"/>
  <c r="G5095" i="2"/>
  <c r="D5095" i="2"/>
  <c r="G5094" i="2"/>
  <c r="D5094" i="2"/>
  <c r="D5093" i="2"/>
  <c r="G5093" i="2"/>
  <c r="G5092" i="2"/>
  <c r="D5092" i="2"/>
  <c r="G5091" i="2"/>
  <c r="D5091" i="2"/>
  <c r="G5090" i="2"/>
  <c r="D5090" i="2"/>
  <c r="G5089" i="2"/>
  <c r="D5089" i="2"/>
  <c r="G5088" i="2"/>
  <c r="D5088" i="2"/>
  <c r="G5087" i="2"/>
  <c r="D5087" i="2"/>
  <c r="G5086" i="2"/>
  <c r="D5086" i="2"/>
  <c r="G5085" i="2"/>
  <c r="D5085" i="2"/>
  <c r="D5084" i="2"/>
  <c r="G5084" i="2"/>
  <c r="G5083" i="2"/>
  <c r="D5083" i="2"/>
  <c r="G5082" i="2"/>
  <c r="D5082" i="2"/>
  <c r="G5081" i="2"/>
  <c r="D5081" i="2"/>
  <c r="G5080" i="2"/>
  <c r="D5080" i="2"/>
  <c r="D5079" i="2"/>
  <c r="G5079" i="2"/>
  <c r="D5078" i="2"/>
  <c r="G5078" i="2"/>
  <c r="G5077" i="2"/>
  <c r="D5077" i="2"/>
  <c r="G5076" i="2"/>
  <c r="D5076" i="2"/>
  <c r="G5075" i="2"/>
  <c r="D5075" i="2"/>
  <c r="G5074" i="2"/>
  <c r="D5074" i="2"/>
  <c r="D5073" i="2"/>
  <c r="G5073" i="2"/>
  <c r="G5072" i="2"/>
  <c r="D5072" i="2"/>
  <c r="D5071" i="2"/>
  <c r="G5071" i="2"/>
  <c r="G5070" i="2"/>
  <c r="D5070" i="2"/>
  <c r="G5069" i="2"/>
  <c r="D5069" i="2"/>
  <c r="G5068" i="2"/>
  <c r="D5068" i="2"/>
  <c r="D5067" i="2"/>
  <c r="G5067" i="2"/>
  <c r="G5066" i="2"/>
  <c r="D5066" i="2"/>
  <c r="G5065" i="2"/>
  <c r="D5065" i="2"/>
  <c r="G5064" i="2"/>
  <c r="D5064" i="2"/>
  <c r="G5063" i="2"/>
  <c r="D5063" i="2"/>
  <c r="G5062" i="2"/>
  <c r="D5062" i="2"/>
  <c r="G5061" i="2"/>
  <c r="D5061" i="2"/>
  <c r="G5060" i="2"/>
  <c r="D5060" i="2"/>
  <c r="G5059" i="2"/>
  <c r="D5059" i="2"/>
  <c r="G5058" i="2"/>
  <c r="D5058" i="2"/>
  <c r="G5057" i="2"/>
  <c r="D5057" i="2"/>
  <c r="G5056" i="2"/>
  <c r="D5056" i="2"/>
  <c r="D5055" i="2"/>
  <c r="G5055" i="2"/>
  <c r="D5054" i="2"/>
  <c r="G5054" i="2"/>
  <c r="G5053" i="2"/>
  <c r="D5053" i="2"/>
  <c r="G5052" i="2"/>
  <c r="D5052" i="2"/>
  <c r="D5051" i="2"/>
  <c r="G5051" i="2"/>
  <c r="G5050" i="2"/>
  <c r="D5050" i="2"/>
  <c r="D5049" i="2"/>
  <c r="G5049" i="2"/>
  <c r="D5048" i="2"/>
  <c r="G5048" i="2"/>
  <c r="G5047" i="2"/>
  <c r="D5047" i="2"/>
  <c r="G5046" i="2"/>
  <c r="D5046" i="2"/>
  <c r="G5045" i="2"/>
  <c r="D5045" i="2"/>
  <c r="G5044" i="2"/>
  <c r="D5044" i="2"/>
  <c r="G5043" i="2"/>
  <c r="D5043" i="2"/>
  <c r="G5042" i="2"/>
  <c r="D5042" i="2"/>
  <c r="G5041" i="2"/>
  <c r="D5041" i="2"/>
  <c r="D5040" i="2"/>
  <c r="G5040" i="2"/>
  <c r="D5039" i="2"/>
  <c r="G5039" i="2"/>
  <c r="D5038" i="2"/>
  <c r="G5038" i="2"/>
  <c r="D5037" i="2"/>
  <c r="G5037" i="2"/>
  <c r="D5036" i="2"/>
  <c r="G5036" i="2"/>
  <c r="D5035" i="2"/>
  <c r="G5035" i="2"/>
  <c r="D5034" i="2"/>
  <c r="G5034" i="2"/>
  <c r="G5033" i="2"/>
  <c r="D5033" i="2"/>
  <c r="D5032" i="2"/>
  <c r="G5032" i="2"/>
  <c r="D5031" i="2"/>
  <c r="G5031" i="2"/>
  <c r="G5030" i="2"/>
  <c r="D5030" i="2"/>
  <c r="G5029" i="2"/>
  <c r="D5029" i="2"/>
  <c r="G5028" i="2"/>
  <c r="D5028" i="2"/>
  <c r="G5027" i="2"/>
  <c r="D5027" i="2"/>
  <c r="G5026" i="2"/>
  <c r="D5026" i="2"/>
  <c r="G5025" i="2"/>
  <c r="D5025" i="2"/>
  <c r="G5024" i="2"/>
  <c r="D5024" i="2"/>
  <c r="G5023" i="2"/>
  <c r="D5023" i="2"/>
  <c r="D5022" i="2"/>
  <c r="G5022" i="2"/>
  <c r="G5021" i="2"/>
  <c r="D5021" i="2"/>
  <c r="G5020" i="2"/>
  <c r="D5020" i="2"/>
  <c r="G5019" i="2"/>
  <c r="D5019" i="2"/>
  <c r="D5018" i="2"/>
  <c r="G5018" i="2"/>
  <c r="D5017" i="2"/>
  <c r="G5017" i="2"/>
  <c r="G5016" i="2"/>
  <c r="D5016" i="2"/>
  <c r="D5015" i="2"/>
  <c r="G5015" i="2"/>
  <c r="G5014" i="2"/>
  <c r="D5014" i="2"/>
  <c r="G5013" i="2"/>
  <c r="D5013" i="2"/>
  <c r="D5012" i="2"/>
  <c r="G5012" i="2"/>
  <c r="G5011" i="2"/>
  <c r="D5011" i="2"/>
  <c r="G5010" i="2"/>
  <c r="D5010" i="2"/>
  <c r="D5009" i="2"/>
  <c r="G5009" i="2"/>
  <c r="D5008" i="2"/>
  <c r="G5008" i="2"/>
  <c r="D5007" i="2"/>
  <c r="G5007" i="2"/>
  <c r="D5006" i="2"/>
  <c r="G5006" i="2"/>
  <c r="D5005" i="2"/>
  <c r="G5005" i="2"/>
  <c r="G5004" i="2"/>
  <c r="D5004" i="2"/>
  <c r="G5003" i="2"/>
  <c r="D5003" i="2"/>
  <c r="G5002" i="2"/>
  <c r="D5002" i="2"/>
  <c r="G5001" i="2"/>
  <c r="D5001" i="2"/>
  <c r="G5000" i="2"/>
  <c r="D5000" i="2"/>
  <c r="G4999" i="2"/>
  <c r="D4999" i="2"/>
  <c r="D4998" i="2"/>
  <c r="G4998" i="2"/>
  <c r="G4997" i="2"/>
  <c r="D4997" i="2"/>
  <c r="D4996" i="2"/>
  <c r="G4996" i="2"/>
  <c r="G4995" i="2"/>
  <c r="D4995" i="2"/>
  <c r="D4994" i="2"/>
  <c r="G4994" i="2"/>
  <c r="G4993" i="2"/>
  <c r="D4993" i="2"/>
  <c r="G4992" i="2"/>
  <c r="D4992" i="2"/>
  <c r="G4991" i="2"/>
  <c r="D4991" i="2"/>
  <c r="G4990" i="2"/>
  <c r="D4990" i="2"/>
  <c r="G4989" i="2"/>
  <c r="D4989" i="2"/>
  <c r="G4988" i="2"/>
  <c r="D4988" i="2"/>
  <c r="G4987" i="2"/>
  <c r="D4987" i="2"/>
  <c r="G4986" i="2"/>
  <c r="D4986" i="2"/>
  <c r="D4985" i="2"/>
  <c r="G4985" i="2"/>
  <c r="G4984" i="2"/>
  <c r="D4984" i="2"/>
  <c r="G4983" i="2"/>
  <c r="D4983" i="2"/>
  <c r="D4982" i="2"/>
  <c r="G4982" i="2"/>
  <c r="G4981" i="2"/>
  <c r="D4981" i="2"/>
  <c r="G4980" i="2"/>
  <c r="D4980" i="2"/>
  <c r="G4979" i="2"/>
  <c r="D4979" i="2"/>
  <c r="D4978" i="2"/>
  <c r="G4978" i="2"/>
  <c r="G4977" i="2"/>
  <c r="D4977" i="2"/>
  <c r="G4976" i="2"/>
  <c r="D4976" i="2"/>
  <c r="D4975" i="2"/>
  <c r="G4975" i="2"/>
  <c r="D4974" i="2"/>
  <c r="G4974" i="2"/>
  <c r="G4973" i="2"/>
  <c r="D4973" i="2"/>
  <c r="G4972" i="2"/>
  <c r="D4972" i="2"/>
  <c r="G4971" i="2"/>
  <c r="D4971" i="2"/>
  <c r="G4970" i="2"/>
  <c r="D4970" i="2"/>
  <c r="G4969" i="2"/>
  <c r="D4969" i="2"/>
  <c r="G4968" i="2"/>
  <c r="D4968" i="2"/>
  <c r="D4967" i="2"/>
  <c r="G4967" i="2"/>
  <c r="G4966" i="2"/>
  <c r="D4966" i="2"/>
  <c r="D4965" i="2"/>
  <c r="G4965" i="2"/>
  <c r="G4964" i="2"/>
  <c r="D4964" i="2"/>
  <c r="G4963" i="2"/>
  <c r="D4963" i="2"/>
  <c r="G4962" i="2"/>
  <c r="D4962" i="2"/>
  <c r="G4961" i="2"/>
  <c r="D4961" i="2"/>
  <c r="G4960" i="2"/>
  <c r="D4960" i="2"/>
  <c r="D4959" i="2"/>
  <c r="G4959" i="2"/>
  <c r="G4958" i="2"/>
  <c r="D4958" i="2"/>
  <c r="G4957" i="2"/>
  <c r="D4957" i="2"/>
  <c r="D4956" i="2"/>
  <c r="G4956" i="2"/>
  <c r="G4955" i="2"/>
  <c r="D4955" i="2"/>
  <c r="G4954" i="2"/>
  <c r="D4954" i="2"/>
  <c r="G4953" i="2"/>
  <c r="D4953" i="2"/>
  <c r="G4952" i="2"/>
  <c r="D4952" i="2"/>
  <c r="D4951" i="2"/>
  <c r="G4951" i="2"/>
  <c r="G4950" i="2"/>
  <c r="D4950" i="2"/>
  <c r="G4949" i="2"/>
  <c r="D4949" i="2"/>
  <c r="G4948" i="2"/>
  <c r="D4948" i="2"/>
  <c r="G4947" i="2"/>
  <c r="D4947" i="2"/>
  <c r="D4946" i="2"/>
  <c r="G4946" i="2"/>
  <c r="D4945" i="2"/>
  <c r="G4945" i="2"/>
  <c r="D4944" i="2"/>
  <c r="G4944" i="2"/>
  <c r="G4943" i="2"/>
  <c r="D4943" i="2"/>
  <c r="G4942" i="2"/>
  <c r="D4942" i="2"/>
  <c r="G4941" i="2"/>
  <c r="D4941" i="2"/>
  <c r="G4940" i="2"/>
  <c r="D4940" i="2"/>
  <c r="D4939" i="2"/>
  <c r="G4939" i="2"/>
  <c r="G4938" i="2"/>
  <c r="D4938" i="2"/>
  <c r="G4937" i="2"/>
  <c r="D4937" i="2"/>
  <c r="D4936" i="2"/>
  <c r="G4936" i="2"/>
  <c r="D4935" i="2"/>
  <c r="G4935" i="2"/>
  <c r="G4934" i="2"/>
  <c r="D4934" i="2"/>
  <c r="G4933" i="2"/>
  <c r="D4933" i="2"/>
  <c r="G4932" i="2"/>
  <c r="D4932" i="2"/>
  <c r="G4931" i="2"/>
  <c r="D4931" i="2"/>
  <c r="D4930" i="2"/>
  <c r="G4930" i="2"/>
  <c r="D4929" i="2"/>
  <c r="G4929" i="2"/>
  <c r="G4928" i="2"/>
  <c r="D4928" i="2"/>
  <c r="G4927" i="2"/>
  <c r="D4927" i="2"/>
  <c r="G4926" i="2"/>
  <c r="D4926" i="2"/>
  <c r="G4925" i="2"/>
  <c r="D4925" i="2"/>
  <c r="G4924" i="2"/>
  <c r="D4924" i="2"/>
  <c r="G4923" i="2"/>
  <c r="D4923" i="2"/>
  <c r="G4922" i="2"/>
  <c r="D4922" i="2"/>
  <c r="G4921" i="2"/>
  <c r="D4921" i="2"/>
  <c r="G4920" i="2"/>
  <c r="D4920" i="2"/>
  <c r="G4919" i="2"/>
  <c r="D4919" i="2"/>
  <c r="G4918" i="2"/>
  <c r="D4918" i="2"/>
  <c r="G4917" i="2"/>
  <c r="D4917" i="2"/>
  <c r="G4916" i="2"/>
  <c r="D4916" i="2"/>
  <c r="G4915" i="2"/>
  <c r="D4915" i="2"/>
  <c r="G4914" i="2"/>
  <c r="D4914" i="2"/>
  <c r="G4913" i="2"/>
  <c r="D4913" i="2"/>
  <c r="D4912" i="2"/>
  <c r="G4912" i="2"/>
  <c r="G4911" i="2"/>
  <c r="D4911" i="2"/>
  <c r="G4910" i="2"/>
  <c r="D4910" i="2"/>
  <c r="G4909" i="2"/>
  <c r="D4909" i="2"/>
  <c r="G4908" i="2"/>
  <c r="D4908" i="2"/>
  <c r="G4907" i="2"/>
  <c r="D4907" i="2"/>
  <c r="G4906" i="2"/>
  <c r="D4906" i="2"/>
  <c r="D4905" i="2"/>
  <c r="G4905" i="2"/>
  <c r="D4904" i="2"/>
  <c r="G4904" i="2"/>
  <c r="G4903" i="2"/>
  <c r="D4903" i="2"/>
  <c r="G4902" i="2"/>
  <c r="D4902" i="2"/>
  <c r="G4901" i="2"/>
  <c r="D4901" i="2"/>
  <c r="G4900" i="2"/>
  <c r="D4900" i="2"/>
  <c r="D4899" i="2"/>
  <c r="G4899" i="2"/>
  <c r="G4898" i="2"/>
  <c r="D4898" i="2"/>
  <c r="D4897" i="2"/>
  <c r="G4897" i="2"/>
  <c r="G4896" i="2"/>
  <c r="D4896" i="2"/>
  <c r="G4895" i="2"/>
  <c r="D4895" i="2"/>
  <c r="G4894" i="2"/>
  <c r="D4894" i="2"/>
  <c r="G4893" i="2"/>
  <c r="D4893" i="2"/>
  <c r="G4892" i="2"/>
  <c r="D4892" i="2"/>
  <c r="G4891" i="2"/>
  <c r="D4891" i="2"/>
  <c r="G4890" i="2"/>
  <c r="D4890" i="2"/>
  <c r="D4889" i="2"/>
  <c r="G4889" i="2"/>
  <c r="G4888" i="2"/>
  <c r="D4888" i="2"/>
  <c r="D4887" i="2"/>
  <c r="G4887" i="2"/>
  <c r="G4886" i="2"/>
  <c r="D4886" i="2"/>
  <c r="D4885" i="2"/>
  <c r="G4885" i="2"/>
  <c r="G4884" i="2"/>
  <c r="D4884" i="2"/>
  <c r="G4883" i="2"/>
  <c r="D4883" i="2"/>
  <c r="G4882" i="2"/>
  <c r="D4882" i="2"/>
  <c r="D4881" i="2"/>
  <c r="G4881" i="2"/>
  <c r="G4880" i="2"/>
  <c r="D4880" i="2"/>
  <c r="G4879" i="2"/>
  <c r="D4879" i="2"/>
  <c r="D4878" i="2"/>
  <c r="G4878" i="2"/>
  <c r="G4877" i="2"/>
  <c r="D4877" i="2"/>
  <c r="G4876" i="2"/>
  <c r="D4876" i="2"/>
  <c r="D4875" i="2"/>
  <c r="G4875" i="2"/>
  <c r="G4874" i="2"/>
  <c r="D4874" i="2"/>
  <c r="G4873" i="2"/>
  <c r="D4873" i="2"/>
  <c r="D4872" i="2"/>
  <c r="G4872" i="2"/>
  <c r="D4871" i="2"/>
  <c r="G4871" i="2"/>
  <c r="D4870" i="2"/>
  <c r="G4870" i="2"/>
  <c r="D4869" i="2"/>
  <c r="G4869" i="2"/>
  <c r="G4868" i="2"/>
  <c r="D4868" i="2"/>
  <c r="G4867" i="2"/>
  <c r="D4867" i="2"/>
  <c r="D4866" i="2"/>
  <c r="G4866" i="2"/>
  <c r="D4865" i="2"/>
  <c r="G4865" i="2"/>
  <c r="G4864" i="2"/>
  <c r="D4864" i="2"/>
  <c r="G4863" i="2"/>
  <c r="D4863" i="2"/>
  <c r="D4862" i="2"/>
  <c r="G4862" i="2"/>
  <c r="D4861" i="2"/>
  <c r="G4861" i="2"/>
  <c r="G4860" i="2"/>
  <c r="D4860" i="2"/>
  <c r="G4859" i="2"/>
  <c r="D4859" i="2"/>
  <c r="G4858" i="2"/>
  <c r="D4858" i="2"/>
  <c r="D4857" i="2"/>
  <c r="G4857" i="2"/>
  <c r="G4856" i="2"/>
  <c r="D4856" i="2"/>
  <c r="G4855" i="2"/>
  <c r="D4855" i="2"/>
  <c r="G4854" i="2"/>
  <c r="D4854" i="2"/>
  <c r="G4853" i="2"/>
  <c r="D4853" i="2"/>
  <c r="G4852" i="2"/>
  <c r="D4852" i="2"/>
  <c r="D4851" i="2"/>
  <c r="G4851" i="2"/>
  <c r="G4850" i="2"/>
  <c r="D4850" i="2"/>
  <c r="G4849" i="2"/>
  <c r="D4849" i="2"/>
  <c r="G4848" i="2"/>
  <c r="D4848" i="2"/>
  <c r="G4847" i="2"/>
  <c r="D4847" i="2"/>
  <c r="D4846" i="2"/>
  <c r="G4846" i="2"/>
  <c r="G4845" i="2"/>
  <c r="D4845" i="2"/>
  <c r="G4844" i="2"/>
  <c r="D4844" i="2"/>
  <c r="D4843" i="2"/>
  <c r="G4843" i="2"/>
  <c r="G4842" i="2"/>
  <c r="D4842" i="2"/>
  <c r="G4841" i="2"/>
  <c r="D4841" i="2"/>
  <c r="G4840" i="2"/>
  <c r="D4840" i="2"/>
  <c r="D4839" i="2"/>
  <c r="G4839" i="2"/>
  <c r="G4838" i="2"/>
  <c r="D4838" i="2"/>
  <c r="D4837" i="2"/>
  <c r="G4837" i="2"/>
  <c r="D4836" i="2"/>
  <c r="G4836" i="2"/>
  <c r="G4835" i="2"/>
  <c r="D4835" i="2"/>
  <c r="D4834" i="2"/>
  <c r="G4834" i="2"/>
  <c r="D4833" i="2"/>
  <c r="G4833" i="2"/>
  <c r="G4832" i="2"/>
  <c r="D4832" i="2"/>
  <c r="G4831" i="2"/>
  <c r="D4831" i="2"/>
  <c r="D4830" i="2"/>
  <c r="G4830" i="2"/>
  <c r="G4829" i="2"/>
  <c r="D4829" i="2"/>
  <c r="G4828" i="2"/>
  <c r="D4828" i="2"/>
  <c r="G4827" i="2"/>
  <c r="D4827" i="2"/>
  <c r="D4826" i="2"/>
  <c r="G4826" i="2"/>
  <c r="G4825" i="2"/>
  <c r="D4825" i="2"/>
  <c r="G4824" i="2"/>
  <c r="D4824" i="2"/>
  <c r="D4823" i="2"/>
  <c r="G4823" i="2"/>
  <c r="G4822" i="2"/>
  <c r="D4822" i="2"/>
  <c r="D4821" i="2"/>
  <c r="G4821" i="2"/>
  <c r="G4820" i="2"/>
  <c r="D4820" i="2"/>
  <c r="G4819" i="2"/>
  <c r="D4819" i="2"/>
  <c r="D4818" i="2"/>
  <c r="G4818" i="2"/>
  <c r="D4817" i="2"/>
  <c r="G4817" i="2"/>
  <c r="D4816" i="2"/>
  <c r="G4816" i="2"/>
  <c r="D4815" i="2"/>
  <c r="G4815" i="2"/>
  <c r="G4814" i="2"/>
  <c r="D4814" i="2"/>
  <c r="G4813" i="2"/>
  <c r="D4813" i="2"/>
  <c r="G4812" i="2"/>
  <c r="D4812" i="2"/>
  <c r="D4811" i="2"/>
  <c r="G4811" i="2"/>
  <c r="D4810" i="2"/>
  <c r="G4810" i="2"/>
  <c r="G4809" i="2"/>
  <c r="D4809" i="2"/>
  <c r="G4808" i="2"/>
  <c r="D4808" i="2"/>
  <c r="D4807" i="2"/>
  <c r="G4807" i="2"/>
  <c r="D4806" i="2"/>
  <c r="G4806" i="2"/>
  <c r="G4805" i="2"/>
  <c r="D4805" i="2"/>
  <c r="D4804" i="2"/>
  <c r="G4804" i="2"/>
  <c r="G4803" i="2"/>
  <c r="D4803" i="2"/>
  <c r="G4802" i="2"/>
  <c r="D4802" i="2"/>
  <c r="G4801" i="2"/>
  <c r="D4801" i="2"/>
  <c r="D4800" i="2"/>
  <c r="G4800" i="2"/>
  <c r="G4799" i="2"/>
  <c r="D4799" i="2"/>
  <c r="G4798" i="2"/>
  <c r="D4798" i="2"/>
  <c r="G4797" i="2"/>
  <c r="D4797" i="2"/>
  <c r="D4796" i="2"/>
  <c r="G4796" i="2"/>
  <c r="D4795" i="2"/>
  <c r="G4795" i="2"/>
  <c r="D4794" i="2"/>
  <c r="G4794" i="2"/>
  <c r="D4793" i="2"/>
  <c r="G4793" i="2"/>
  <c r="G4792" i="2"/>
  <c r="D4792" i="2"/>
  <c r="G4791" i="2"/>
  <c r="D4791" i="2"/>
  <c r="G4790" i="2"/>
  <c r="D4790" i="2"/>
  <c r="D4789" i="2"/>
  <c r="G4789" i="2"/>
  <c r="D4788" i="2"/>
  <c r="G4788" i="2"/>
  <c r="D4787" i="2"/>
  <c r="G4787" i="2"/>
  <c r="G4786" i="2"/>
  <c r="D4786" i="2"/>
  <c r="D4785" i="2"/>
  <c r="G4785" i="2"/>
  <c r="G4784" i="2"/>
  <c r="D4784" i="2"/>
  <c r="G4783" i="2"/>
  <c r="D4783" i="2"/>
  <c r="D4782" i="2"/>
  <c r="G4782" i="2"/>
  <c r="D4781" i="2"/>
  <c r="G4781" i="2"/>
  <c r="D4780" i="2"/>
  <c r="G4780" i="2"/>
  <c r="G4779" i="2"/>
  <c r="D4779" i="2"/>
  <c r="G4778" i="2"/>
  <c r="D4778" i="2"/>
  <c r="G4777" i="2"/>
  <c r="D4777" i="2"/>
  <c r="D4776" i="2"/>
  <c r="G4776" i="2"/>
  <c r="G4775" i="2"/>
  <c r="D4775" i="2"/>
  <c r="G4774" i="2"/>
  <c r="D4774" i="2"/>
  <c r="D4773" i="2"/>
  <c r="G4773" i="2"/>
  <c r="G4772" i="2"/>
  <c r="D4772" i="2"/>
  <c r="D4771" i="2"/>
  <c r="G4771" i="2"/>
  <c r="D4770" i="2"/>
  <c r="G4770" i="2"/>
  <c r="G4769" i="2"/>
  <c r="D4769" i="2"/>
  <c r="G4768" i="2"/>
  <c r="D4768" i="2"/>
  <c r="D4767" i="2"/>
  <c r="G4767" i="2"/>
  <c r="G4766" i="2"/>
  <c r="D4766" i="2"/>
  <c r="D4765" i="2"/>
  <c r="G4765" i="2"/>
  <c r="D4764" i="2"/>
  <c r="G4764" i="2"/>
  <c r="G4763" i="2"/>
  <c r="D4763" i="2"/>
  <c r="D4762" i="2"/>
  <c r="G4762" i="2"/>
  <c r="D4761" i="2"/>
  <c r="G4761" i="2"/>
  <c r="G4760" i="2"/>
  <c r="D4760" i="2"/>
  <c r="D4759" i="2"/>
  <c r="G4759" i="2"/>
  <c r="D4758" i="2"/>
  <c r="G4758" i="2"/>
  <c r="D4757" i="2"/>
  <c r="G4757" i="2"/>
  <c r="G4756" i="2"/>
  <c r="D4756" i="2"/>
  <c r="G4755" i="2"/>
  <c r="D4755" i="2"/>
  <c r="D4754" i="2"/>
  <c r="G4754" i="2"/>
  <c r="D4753" i="2"/>
  <c r="G4753" i="2"/>
  <c r="G4752" i="2"/>
  <c r="D4752" i="2"/>
  <c r="D4751" i="2"/>
  <c r="G4751" i="2"/>
  <c r="D4750" i="2"/>
  <c r="G4750" i="2"/>
  <c r="D4749" i="2"/>
  <c r="G4749" i="2"/>
  <c r="G4748" i="2"/>
  <c r="D4748" i="2"/>
  <c r="G4747" i="2"/>
  <c r="D4747" i="2"/>
  <c r="D4746" i="2"/>
  <c r="G4746" i="2"/>
  <c r="D4745" i="2"/>
  <c r="G4745" i="2"/>
  <c r="D4744" i="2"/>
  <c r="G4744" i="2"/>
  <c r="D4743" i="2"/>
  <c r="G4743" i="2"/>
  <c r="G4742" i="2"/>
  <c r="D4742" i="2"/>
  <c r="G4741" i="2"/>
  <c r="D4741" i="2"/>
  <c r="D4740" i="2"/>
  <c r="G4740" i="2"/>
  <c r="G4739" i="2"/>
  <c r="D4739" i="2"/>
  <c r="D4738" i="2"/>
  <c r="G4738" i="2"/>
  <c r="G4737" i="2"/>
  <c r="D4737" i="2"/>
  <c r="D4736" i="2"/>
  <c r="G4736" i="2"/>
  <c r="G4735" i="2"/>
  <c r="D4735" i="2"/>
  <c r="D4734" i="2"/>
  <c r="G4734" i="2"/>
  <c r="G4733" i="2"/>
  <c r="D4733" i="2"/>
  <c r="G4732" i="2"/>
  <c r="D4732" i="2"/>
  <c r="D4731" i="2"/>
  <c r="G4731" i="2"/>
  <c r="D4730" i="2"/>
  <c r="G4730" i="2"/>
  <c r="G4729" i="2"/>
  <c r="D4729" i="2"/>
  <c r="D4728" i="2"/>
  <c r="G4728" i="2"/>
  <c r="D4727" i="2"/>
  <c r="G4727" i="2"/>
  <c r="D4726" i="2"/>
  <c r="G4726" i="2"/>
  <c r="D4725" i="2"/>
  <c r="G4725" i="2"/>
  <c r="D4724" i="2"/>
  <c r="G4724" i="2"/>
  <c r="G4723" i="2"/>
  <c r="D4723" i="2"/>
  <c r="D4722" i="2"/>
  <c r="G4722" i="2"/>
  <c r="D4721" i="2"/>
  <c r="G4721" i="2"/>
  <c r="D4720" i="2"/>
  <c r="G4720" i="2"/>
  <c r="D4719" i="2"/>
  <c r="G4719" i="2"/>
  <c r="D4718" i="2"/>
  <c r="G4718" i="2"/>
  <c r="D4717" i="2"/>
  <c r="G4717" i="2"/>
  <c r="D4716" i="2"/>
  <c r="G4716" i="2"/>
  <c r="G4715" i="2"/>
  <c r="D4715" i="2"/>
  <c r="D4714" i="2"/>
  <c r="G4714" i="2"/>
  <c r="G4713" i="2"/>
  <c r="D4713" i="2"/>
  <c r="D4712" i="2"/>
  <c r="G4712" i="2"/>
  <c r="G4711" i="2"/>
  <c r="D4711" i="2"/>
  <c r="D4710" i="2"/>
  <c r="G4710" i="2"/>
  <c r="D4709" i="2"/>
  <c r="G4709" i="2"/>
  <c r="D4708" i="2"/>
  <c r="G4708" i="2"/>
  <c r="D4707" i="2"/>
  <c r="G4707" i="2"/>
  <c r="D4706" i="2"/>
  <c r="G4706" i="2"/>
  <c r="D4705" i="2"/>
  <c r="G4705" i="2"/>
  <c r="D4704" i="2"/>
  <c r="G4704" i="2"/>
  <c r="D4703" i="2"/>
  <c r="G4703" i="2"/>
  <c r="G4702" i="2"/>
  <c r="D4702" i="2"/>
  <c r="G4701" i="2"/>
  <c r="D4701" i="2"/>
  <c r="G4700" i="2"/>
  <c r="D4700" i="2"/>
  <c r="G4699" i="2"/>
  <c r="D4699" i="2"/>
  <c r="D4698" i="2"/>
  <c r="G4698" i="2"/>
  <c r="G4697" i="2"/>
  <c r="D4697" i="2"/>
  <c r="D4696" i="2"/>
  <c r="G4696" i="2"/>
  <c r="G4695" i="2"/>
  <c r="D4695" i="2"/>
  <c r="G4694" i="2"/>
  <c r="D4694" i="2"/>
  <c r="G4693" i="2"/>
  <c r="D4693" i="2"/>
  <c r="G4692" i="2"/>
  <c r="D4692" i="2"/>
  <c r="G4691" i="2"/>
  <c r="D4691" i="2"/>
  <c r="G4690" i="2"/>
  <c r="D4690" i="2"/>
  <c r="G4689" i="2"/>
  <c r="D4689" i="2"/>
  <c r="D4688" i="2"/>
  <c r="G4688" i="2"/>
  <c r="G4687" i="2"/>
  <c r="D4687" i="2"/>
  <c r="G4686" i="2"/>
  <c r="D4686" i="2"/>
  <c r="G4685" i="2"/>
  <c r="D4685" i="2"/>
  <c r="G4684" i="2"/>
  <c r="D4684" i="2"/>
  <c r="G4683" i="2"/>
  <c r="D4683" i="2"/>
  <c r="G4682" i="2"/>
  <c r="D4682" i="2"/>
  <c r="G4681" i="2"/>
  <c r="D4681" i="2"/>
  <c r="G4680" i="2"/>
  <c r="D4680" i="2"/>
  <c r="G4679" i="2"/>
  <c r="D4679" i="2"/>
  <c r="G4678" i="2"/>
  <c r="D4678" i="2"/>
  <c r="G4677" i="2"/>
  <c r="D4677" i="2"/>
  <c r="D4676" i="2"/>
  <c r="G4676" i="2"/>
  <c r="G4675" i="2"/>
  <c r="D4675" i="2"/>
  <c r="D4674" i="2"/>
  <c r="G4674" i="2"/>
  <c r="G4673" i="2"/>
  <c r="D4673" i="2"/>
  <c r="G4672" i="2"/>
  <c r="D4672" i="2"/>
  <c r="D4671" i="2"/>
  <c r="G4671" i="2"/>
  <c r="G4670" i="2"/>
  <c r="D4670" i="2"/>
  <c r="G4669" i="2"/>
  <c r="D4669" i="2"/>
  <c r="G4668" i="2"/>
  <c r="D4668" i="2"/>
  <c r="G4667" i="2"/>
  <c r="D4667" i="2"/>
  <c r="D4666" i="2"/>
  <c r="G4666" i="2"/>
  <c r="D4665" i="2"/>
  <c r="G4665" i="2"/>
  <c r="G4664" i="2"/>
  <c r="D4664" i="2"/>
  <c r="G4663" i="2"/>
  <c r="D4663" i="2"/>
  <c r="D4662" i="2"/>
  <c r="G4662" i="2"/>
  <c r="G4661" i="2"/>
  <c r="D4661" i="2"/>
  <c r="G4660" i="2"/>
  <c r="D4660" i="2"/>
  <c r="D4659" i="2"/>
  <c r="G4659" i="2"/>
  <c r="D4658" i="2"/>
  <c r="G4658" i="2"/>
  <c r="G4657" i="2"/>
  <c r="D4657" i="2"/>
  <c r="G4656" i="2"/>
  <c r="D4656" i="2"/>
  <c r="G4655" i="2"/>
  <c r="D4655" i="2"/>
  <c r="D4654" i="2"/>
  <c r="G4654" i="2"/>
  <c r="D4653" i="2"/>
  <c r="G4653" i="2"/>
  <c r="D4652" i="2"/>
  <c r="G4652" i="2"/>
  <c r="G4651" i="2"/>
  <c r="D4651" i="2"/>
  <c r="G4650" i="2"/>
  <c r="D4650" i="2"/>
  <c r="G4649" i="2"/>
  <c r="D4649" i="2"/>
  <c r="D4648" i="2"/>
  <c r="G4648" i="2"/>
  <c r="D4647" i="2"/>
  <c r="G4647" i="2"/>
  <c r="G4646" i="2"/>
  <c r="D4646" i="2"/>
  <c r="G4645" i="2"/>
  <c r="D4645" i="2"/>
  <c r="D4644" i="2"/>
  <c r="G4644" i="2"/>
  <c r="G4643" i="2"/>
  <c r="D4643" i="2"/>
  <c r="G4642" i="2"/>
  <c r="D4642" i="2"/>
  <c r="D4641" i="2"/>
  <c r="G4641" i="2"/>
  <c r="G4640" i="2"/>
  <c r="D4640" i="2"/>
  <c r="D4639" i="2"/>
  <c r="G4639" i="2"/>
  <c r="D4638" i="2"/>
  <c r="G4638" i="2"/>
  <c r="D4637" i="2"/>
  <c r="G4637" i="2"/>
  <c r="G4636" i="2"/>
  <c r="D4636" i="2"/>
  <c r="G4635" i="2"/>
  <c r="D4635" i="2"/>
  <c r="G4634" i="2"/>
  <c r="D4634" i="2"/>
  <c r="G4633" i="2"/>
  <c r="D4633" i="2"/>
  <c r="D4632" i="2"/>
  <c r="G4632" i="2"/>
  <c r="D4631" i="2"/>
  <c r="G4631" i="2"/>
  <c r="D4630" i="2"/>
  <c r="G4630" i="2"/>
  <c r="G4629" i="2"/>
  <c r="D4629" i="2"/>
  <c r="G4628" i="2"/>
  <c r="D4628" i="2"/>
  <c r="D4627" i="2"/>
  <c r="G4627" i="2"/>
  <c r="D4626" i="2"/>
  <c r="G4626" i="2"/>
  <c r="G4625" i="2"/>
  <c r="D4625" i="2"/>
  <c r="D4624" i="2"/>
  <c r="G4624" i="2"/>
  <c r="D4623" i="2"/>
  <c r="G4623" i="2"/>
  <c r="G4622" i="2"/>
  <c r="D4622" i="2"/>
  <c r="G4621" i="2"/>
  <c r="D4621" i="2"/>
  <c r="G4620" i="2"/>
  <c r="D4620" i="2"/>
  <c r="G4619" i="2"/>
  <c r="D4619" i="2"/>
  <c r="D4618" i="2"/>
  <c r="G4618" i="2"/>
  <c r="G4617" i="2"/>
  <c r="D4617" i="2"/>
  <c r="G4616" i="2"/>
  <c r="D4616" i="2"/>
  <c r="G4615" i="2"/>
  <c r="D4615" i="2"/>
  <c r="G4614" i="2"/>
  <c r="D4614" i="2"/>
  <c r="G4613" i="2"/>
  <c r="D4613" i="2"/>
  <c r="G4612" i="2"/>
  <c r="D4612" i="2"/>
  <c r="D4611" i="2"/>
  <c r="G4611" i="2"/>
  <c r="G4610" i="2"/>
  <c r="D4610" i="2"/>
  <c r="G4609" i="2"/>
  <c r="D4609" i="2"/>
  <c r="D4608" i="2"/>
  <c r="G4608" i="2"/>
  <c r="G4607" i="2"/>
  <c r="D4607" i="2"/>
  <c r="G4606" i="2"/>
  <c r="D4606" i="2"/>
  <c r="G4605" i="2"/>
  <c r="D4605" i="2"/>
  <c r="G4604" i="2"/>
  <c r="D4604" i="2"/>
  <c r="D4603" i="2"/>
  <c r="G4603" i="2"/>
  <c r="D4602" i="2"/>
  <c r="G4602" i="2"/>
  <c r="D4601" i="2"/>
  <c r="G4601" i="2"/>
  <c r="G4600" i="2"/>
  <c r="D4600" i="2"/>
  <c r="G4599" i="2"/>
  <c r="D4599" i="2"/>
  <c r="D4598" i="2"/>
  <c r="G4598" i="2"/>
  <c r="G4597" i="2"/>
  <c r="D4597" i="2"/>
  <c r="G4596" i="2"/>
  <c r="D4596" i="2"/>
  <c r="G4595" i="2"/>
  <c r="D4595" i="2"/>
  <c r="G4594" i="2"/>
  <c r="D4594" i="2"/>
  <c r="G4593" i="2"/>
  <c r="D4593" i="2"/>
  <c r="G4592" i="2"/>
  <c r="D4592" i="2"/>
  <c r="G4591" i="2"/>
  <c r="D4591" i="2"/>
  <c r="G4590" i="2"/>
  <c r="D4590" i="2"/>
  <c r="G4589" i="2"/>
  <c r="D4589" i="2"/>
  <c r="G4588" i="2"/>
  <c r="D4588" i="2"/>
  <c r="G4587" i="2"/>
  <c r="D4587" i="2"/>
  <c r="G4586" i="2"/>
  <c r="D4586" i="2"/>
  <c r="G4585" i="2"/>
  <c r="D4585" i="2"/>
  <c r="G4584" i="2"/>
  <c r="D4584" i="2"/>
  <c r="G4583" i="2"/>
  <c r="D4583" i="2"/>
  <c r="G4582" i="2"/>
  <c r="D4582" i="2"/>
  <c r="G4581" i="2"/>
  <c r="D4581" i="2"/>
  <c r="D4580" i="2"/>
  <c r="G4580" i="2"/>
  <c r="G4579" i="2"/>
  <c r="D4579" i="2"/>
  <c r="G4578" i="2"/>
  <c r="D4578" i="2"/>
  <c r="G4577" i="2"/>
  <c r="D4577" i="2"/>
  <c r="G4576" i="2"/>
  <c r="D4576" i="2"/>
  <c r="G4575" i="2"/>
  <c r="D4575" i="2"/>
  <c r="G4574" i="2"/>
  <c r="D4574" i="2"/>
  <c r="G4573" i="2"/>
  <c r="D4573" i="2"/>
  <c r="G4572" i="2"/>
  <c r="D4572" i="2"/>
  <c r="G4571" i="2"/>
  <c r="D4571" i="2"/>
  <c r="G4570" i="2"/>
  <c r="D4570" i="2"/>
  <c r="D4569" i="2"/>
  <c r="G4569" i="2"/>
  <c r="G4568" i="2"/>
  <c r="D4568" i="2"/>
  <c r="G4567" i="2"/>
  <c r="D4567" i="2"/>
  <c r="D4566" i="2"/>
  <c r="G4566" i="2"/>
  <c r="G4565" i="2"/>
  <c r="D4565" i="2"/>
  <c r="D4564" i="2"/>
  <c r="G4564" i="2"/>
  <c r="D4563" i="2"/>
  <c r="G4563" i="2"/>
  <c r="G4562" i="2"/>
  <c r="D4562" i="2"/>
  <c r="G4561" i="2"/>
  <c r="D4561" i="2"/>
  <c r="G4560" i="2"/>
  <c r="D4560" i="2"/>
  <c r="G4559" i="2"/>
  <c r="D4559" i="2"/>
  <c r="G4558" i="2"/>
  <c r="D4558" i="2"/>
  <c r="G4557" i="2"/>
  <c r="D4557" i="2"/>
  <c r="G4556" i="2"/>
  <c r="D4556" i="2"/>
  <c r="G4555" i="2"/>
  <c r="D4555" i="2"/>
  <c r="G4554" i="2"/>
  <c r="D4554" i="2"/>
  <c r="G4553" i="2"/>
  <c r="D4553" i="2"/>
  <c r="G4552" i="2"/>
  <c r="D4552" i="2"/>
  <c r="G4551" i="2"/>
  <c r="D4551" i="2"/>
  <c r="G4550" i="2"/>
  <c r="D4550" i="2"/>
  <c r="G4549" i="2"/>
  <c r="D4549" i="2"/>
  <c r="D4548" i="2"/>
  <c r="G4548" i="2"/>
  <c r="G4547" i="2"/>
  <c r="D4547" i="2"/>
  <c r="D4546" i="2"/>
  <c r="G4546" i="2"/>
  <c r="D4545" i="2"/>
  <c r="G4545" i="2"/>
  <c r="G4544" i="2"/>
  <c r="D4544" i="2"/>
  <c r="G4543" i="2"/>
  <c r="D4543" i="2"/>
  <c r="G4542" i="2"/>
  <c r="D4542" i="2"/>
  <c r="G4541" i="2"/>
  <c r="D4541" i="2"/>
  <c r="G4540" i="2"/>
  <c r="D4540" i="2"/>
  <c r="G4539" i="2"/>
  <c r="D4539" i="2"/>
  <c r="G4538" i="2"/>
  <c r="D4538" i="2"/>
  <c r="G4537" i="2"/>
  <c r="D4537" i="2"/>
  <c r="D4536" i="2"/>
  <c r="G4536" i="2"/>
  <c r="G4535" i="2"/>
  <c r="D4535" i="2"/>
  <c r="G4534" i="2"/>
  <c r="D4534" i="2"/>
  <c r="D4533" i="2"/>
  <c r="G4533" i="2"/>
  <c r="G4532" i="2"/>
  <c r="D4532" i="2"/>
  <c r="D4531" i="2"/>
  <c r="G4531" i="2"/>
  <c r="G4530" i="2"/>
  <c r="D4530" i="2"/>
  <c r="G4529" i="2"/>
  <c r="D4529" i="2"/>
  <c r="D4528" i="2"/>
  <c r="G4528" i="2"/>
  <c r="G4527" i="2"/>
  <c r="D4527" i="2"/>
  <c r="G4526" i="2"/>
  <c r="D4526" i="2"/>
  <c r="G4525" i="2"/>
  <c r="D4525" i="2"/>
  <c r="G4524" i="2"/>
  <c r="D4524" i="2"/>
  <c r="G4523" i="2"/>
  <c r="D4523" i="2"/>
  <c r="G4522" i="2"/>
  <c r="D4522" i="2"/>
  <c r="G4521" i="2"/>
  <c r="D4521" i="2"/>
  <c r="G4520" i="2"/>
  <c r="D4520" i="2"/>
  <c r="G4519" i="2"/>
  <c r="D4519" i="2"/>
  <c r="G4518" i="2"/>
  <c r="D4518" i="2"/>
  <c r="G4517" i="2"/>
  <c r="D4517" i="2"/>
  <c r="G4516" i="2"/>
  <c r="D4516" i="2"/>
  <c r="G4515" i="2"/>
  <c r="D4515" i="2"/>
  <c r="G4514" i="2"/>
  <c r="D4514" i="2"/>
  <c r="G4513" i="2"/>
  <c r="D4513" i="2"/>
  <c r="G4512" i="2"/>
  <c r="D4512" i="2"/>
  <c r="G4511" i="2"/>
  <c r="D4511" i="2"/>
  <c r="D4510" i="2"/>
  <c r="G4510" i="2"/>
  <c r="G4509" i="2"/>
  <c r="D4509" i="2"/>
  <c r="G4508" i="2"/>
  <c r="D4508" i="2"/>
  <c r="G4507" i="2"/>
  <c r="D4507" i="2"/>
  <c r="G4506" i="2"/>
  <c r="D4506" i="2"/>
  <c r="G4505" i="2"/>
  <c r="D4505" i="2"/>
  <c r="G4504" i="2"/>
  <c r="D4504" i="2"/>
  <c r="G4503" i="2"/>
  <c r="D4503" i="2"/>
  <c r="G4502" i="2"/>
  <c r="D4502" i="2"/>
  <c r="D4501" i="2"/>
  <c r="G4501" i="2"/>
  <c r="G4500" i="2"/>
  <c r="D4500" i="2"/>
  <c r="G4499" i="2"/>
  <c r="D4499" i="2"/>
  <c r="G4498" i="2"/>
  <c r="D4498" i="2"/>
  <c r="G4497" i="2"/>
  <c r="D4497" i="2"/>
  <c r="G4496" i="2"/>
  <c r="D4496" i="2"/>
  <c r="G4495" i="2"/>
  <c r="D4495" i="2"/>
  <c r="D4494" i="2"/>
  <c r="G4494" i="2"/>
  <c r="G4493" i="2"/>
  <c r="D4493" i="2"/>
  <c r="G4492" i="2"/>
  <c r="D4492" i="2"/>
  <c r="G4491" i="2"/>
  <c r="D4491" i="2"/>
  <c r="G4490" i="2"/>
  <c r="D4490" i="2"/>
  <c r="G4489" i="2"/>
  <c r="D4489" i="2"/>
  <c r="G4488" i="2"/>
  <c r="D4488" i="2"/>
  <c r="G4487" i="2"/>
  <c r="D4487" i="2"/>
  <c r="G4486" i="2"/>
  <c r="D4486" i="2"/>
  <c r="G4485" i="2"/>
  <c r="D4485" i="2"/>
  <c r="G4484" i="2"/>
  <c r="D4484" i="2"/>
  <c r="G4483" i="2"/>
  <c r="D4483" i="2"/>
  <c r="G4482" i="2"/>
  <c r="D4482" i="2"/>
  <c r="G4481" i="2"/>
  <c r="D4481" i="2"/>
  <c r="G4480" i="2"/>
  <c r="D4480" i="2"/>
  <c r="G4479" i="2"/>
  <c r="D4479" i="2"/>
  <c r="G4478" i="2"/>
  <c r="D4478" i="2"/>
  <c r="D4477" i="2"/>
  <c r="G4477" i="2"/>
  <c r="G4476" i="2"/>
  <c r="D4476" i="2"/>
  <c r="G4475" i="2"/>
  <c r="D4475" i="2"/>
  <c r="G4474" i="2"/>
  <c r="D4474" i="2"/>
  <c r="G4473" i="2"/>
  <c r="D4473" i="2"/>
  <c r="G4472" i="2"/>
  <c r="D4472" i="2"/>
  <c r="G4471" i="2"/>
  <c r="D4471" i="2"/>
  <c r="G4470" i="2"/>
  <c r="D4470" i="2"/>
  <c r="G4469" i="2"/>
  <c r="D4469" i="2"/>
  <c r="G4468" i="2"/>
  <c r="D4468" i="2"/>
  <c r="G4467" i="2"/>
  <c r="D4467" i="2"/>
  <c r="G4466" i="2"/>
  <c r="D4466" i="2"/>
  <c r="G4465" i="2"/>
  <c r="D4465" i="2"/>
  <c r="G4464" i="2"/>
  <c r="D4464" i="2"/>
  <c r="D4461" i="2"/>
  <c r="G4461" i="2"/>
  <c r="G4458" i="2"/>
  <c r="D4458" i="2"/>
  <c r="D4457" i="2"/>
  <c r="G4457" i="2"/>
  <c r="D4452" i="2"/>
  <c r="G4452" i="2"/>
  <c r="G4446" i="2"/>
  <c r="D4446" i="2"/>
  <c r="D4442" i="2"/>
  <c r="G4442" i="2"/>
  <c r="G4440" i="2"/>
  <c r="D4440" i="2"/>
  <c r="G4432" i="2"/>
  <c r="D4432" i="2"/>
  <c r="G4431" i="2"/>
  <c r="D4431" i="2"/>
  <c r="D4430" i="2"/>
  <c r="G4430" i="2"/>
  <c r="D4426" i="2"/>
  <c r="G4426" i="2"/>
  <c r="D4425" i="2"/>
  <c r="G4425" i="2"/>
  <c r="D4423" i="2"/>
  <c r="G4423" i="2"/>
  <c r="G4422" i="2"/>
  <c r="D4422" i="2"/>
  <c r="D4419" i="2"/>
  <c r="G4419" i="2"/>
  <c r="D4416" i="2"/>
  <c r="G4416" i="2"/>
  <c r="G4413" i="2"/>
  <c r="D4413" i="2"/>
  <c r="G4411" i="2"/>
  <c r="D4411" i="2"/>
  <c r="G4408" i="2"/>
  <c r="D4408" i="2"/>
  <c r="G4403" i="2"/>
  <c r="D4403" i="2"/>
  <c r="G4400" i="2"/>
  <c r="D4400" i="2"/>
  <c r="D4397" i="2"/>
  <c r="G4397" i="2"/>
  <c r="G4391" i="2"/>
  <c r="D4391" i="2"/>
  <c r="D4389" i="2"/>
  <c r="G4389" i="2"/>
  <c r="D4388" i="2"/>
  <c r="G4388" i="2"/>
  <c r="D4387" i="2"/>
  <c r="G4387" i="2"/>
  <c r="D4386" i="2"/>
  <c r="G4386" i="2"/>
  <c r="G4379" i="2"/>
  <c r="D4379" i="2"/>
  <c r="D4378" i="2"/>
  <c r="G4378" i="2"/>
  <c r="G4376" i="2"/>
  <c r="D4376" i="2"/>
  <c r="G4375" i="2"/>
  <c r="D4375" i="2"/>
  <c r="G4374" i="2"/>
  <c r="D4374" i="2"/>
  <c r="D4373" i="2"/>
  <c r="G4373" i="2"/>
  <c r="D4372" i="2"/>
  <c r="G4372" i="2"/>
  <c r="G4371" i="2"/>
  <c r="D4371" i="2"/>
  <c r="G4370" i="2"/>
  <c r="D4370" i="2"/>
  <c r="G4369" i="2"/>
  <c r="D4369" i="2"/>
  <c r="G4368" i="2"/>
  <c r="D4368" i="2"/>
  <c r="D4367" i="2"/>
  <c r="G4367" i="2"/>
  <c r="G4366" i="2"/>
  <c r="D4366" i="2"/>
  <c r="D4365" i="2"/>
  <c r="G4365" i="2"/>
  <c r="D4364" i="2"/>
  <c r="G4364" i="2"/>
  <c r="G4363" i="2"/>
  <c r="D4363" i="2"/>
  <c r="G4362" i="2"/>
  <c r="D4362" i="2"/>
  <c r="D4361" i="2"/>
  <c r="G4361" i="2"/>
  <c r="D4360" i="2"/>
  <c r="G4360" i="2"/>
  <c r="D4359" i="2"/>
  <c r="G4359" i="2"/>
  <c r="D4358" i="2"/>
  <c r="G4358" i="2"/>
  <c r="D4357" i="2"/>
  <c r="G4357" i="2"/>
  <c r="D4356" i="2"/>
  <c r="G4356" i="2"/>
  <c r="G4355" i="2"/>
  <c r="D4355" i="2"/>
  <c r="D4354" i="2"/>
  <c r="G4354" i="2"/>
  <c r="D4353" i="2"/>
  <c r="G4353" i="2"/>
  <c r="D4352" i="2"/>
  <c r="G4352" i="2"/>
  <c r="D4351" i="2"/>
  <c r="G4351" i="2"/>
  <c r="D4350" i="2"/>
  <c r="G4350" i="2"/>
  <c r="D4349" i="2"/>
  <c r="G4349" i="2"/>
  <c r="G4348" i="2"/>
  <c r="D4348" i="2"/>
  <c r="G4347" i="2"/>
  <c r="D4347" i="2"/>
  <c r="G4346" i="2"/>
  <c r="D4346" i="2"/>
  <c r="G4345" i="2"/>
  <c r="D4345" i="2"/>
  <c r="G4344" i="2"/>
  <c r="D4344" i="2"/>
  <c r="G4343" i="2"/>
  <c r="D4343" i="2"/>
  <c r="G4342" i="2"/>
  <c r="D4342" i="2"/>
  <c r="G4341" i="2"/>
  <c r="D4341" i="2"/>
  <c r="G4340" i="2"/>
  <c r="D4340" i="2"/>
  <c r="D4339" i="2"/>
  <c r="G4339" i="2"/>
  <c r="D4338" i="2"/>
  <c r="G4338" i="2"/>
  <c r="G4337" i="2"/>
  <c r="D4337" i="2"/>
  <c r="G4336" i="2"/>
  <c r="D4336" i="2"/>
  <c r="G4335" i="2"/>
  <c r="D4335" i="2"/>
  <c r="G4334" i="2"/>
  <c r="D4334" i="2"/>
  <c r="D4333" i="2"/>
  <c r="G4333" i="2"/>
  <c r="G4332" i="2"/>
  <c r="D4332" i="2"/>
  <c r="G4331" i="2"/>
  <c r="D4331" i="2"/>
  <c r="G4330" i="2"/>
  <c r="D4330" i="2"/>
  <c r="G4329" i="2"/>
  <c r="D4329" i="2"/>
  <c r="G4328" i="2"/>
  <c r="D4328" i="2"/>
  <c r="G4327" i="2"/>
  <c r="D4327" i="2"/>
  <c r="D4326" i="2"/>
  <c r="G4326" i="2"/>
  <c r="G4325" i="2"/>
  <c r="D4325" i="2"/>
  <c r="G4324" i="2"/>
  <c r="D4324" i="2"/>
  <c r="G4323" i="2"/>
  <c r="D4323" i="2"/>
  <c r="G4322" i="2"/>
  <c r="D4322" i="2"/>
  <c r="G4321" i="2"/>
  <c r="D4321" i="2"/>
  <c r="G4320" i="2"/>
  <c r="D4320" i="2"/>
  <c r="G4319" i="2"/>
  <c r="D4319" i="2"/>
  <c r="G4318" i="2"/>
  <c r="D4318" i="2"/>
  <c r="D4317" i="2"/>
  <c r="G4317" i="2"/>
  <c r="D4316" i="2"/>
  <c r="G4316" i="2"/>
  <c r="D4315" i="2"/>
  <c r="G4315" i="2"/>
  <c r="D4314" i="2"/>
  <c r="G4314" i="2"/>
  <c r="D4313" i="2"/>
  <c r="G4313" i="2"/>
  <c r="D4312" i="2"/>
  <c r="G4312" i="2"/>
  <c r="G4311" i="2"/>
  <c r="D4311" i="2"/>
  <c r="G4310" i="2"/>
  <c r="D4310" i="2"/>
  <c r="G4309" i="2"/>
  <c r="D4309" i="2"/>
  <c r="G4308" i="2"/>
  <c r="D4308" i="2"/>
  <c r="G4307" i="2"/>
  <c r="D4307" i="2"/>
  <c r="D4306" i="2"/>
  <c r="G4306" i="2"/>
  <c r="D4305" i="2"/>
  <c r="G4305" i="2"/>
  <c r="G4304" i="2"/>
  <c r="D4304" i="2"/>
  <c r="D4303" i="2"/>
  <c r="G4303" i="2"/>
  <c r="G4302" i="2"/>
  <c r="D4302" i="2"/>
  <c r="G4301" i="2"/>
  <c r="D4301" i="2"/>
  <c r="G4300" i="2"/>
  <c r="D4300" i="2"/>
  <c r="D4299" i="2"/>
  <c r="G4299" i="2"/>
  <c r="G4298" i="2"/>
  <c r="D4298" i="2"/>
  <c r="G4297" i="2"/>
  <c r="D4297" i="2"/>
  <c r="G4296" i="2"/>
  <c r="D4296" i="2"/>
  <c r="G4295" i="2"/>
  <c r="D4295" i="2"/>
  <c r="D4294" i="2"/>
  <c r="G4294" i="2"/>
  <c r="D4293" i="2"/>
  <c r="G4293" i="2"/>
  <c r="G4292" i="2"/>
  <c r="D4292" i="2"/>
  <c r="G4291" i="2"/>
  <c r="D4291" i="2"/>
  <c r="G4290" i="2"/>
  <c r="D4290" i="2"/>
  <c r="D4289" i="2"/>
  <c r="G4289" i="2"/>
  <c r="D4288" i="2"/>
  <c r="G4288" i="2"/>
  <c r="G4287" i="2"/>
  <c r="D4287" i="2"/>
  <c r="G4286" i="2"/>
  <c r="D4286" i="2"/>
  <c r="G4285" i="2"/>
  <c r="D4285" i="2"/>
  <c r="D4284" i="2"/>
  <c r="G4284" i="2"/>
  <c r="G4283" i="2"/>
  <c r="D4283" i="2"/>
  <c r="D4282" i="2"/>
  <c r="G4282" i="2"/>
  <c r="D4281" i="2"/>
  <c r="G4281" i="2"/>
  <c r="G4280" i="2"/>
  <c r="D4280" i="2"/>
  <c r="G4279" i="2"/>
  <c r="D4279" i="2"/>
  <c r="G4278" i="2"/>
  <c r="D4278" i="2"/>
  <c r="G4277" i="2"/>
  <c r="D4277" i="2"/>
  <c r="G4276" i="2"/>
  <c r="D4276" i="2"/>
  <c r="G4275" i="2"/>
  <c r="D4275" i="2"/>
  <c r="D4274" i="2"/>
  <c r="G4274" i="2"/>
  <c r="D4273" i="2"/>
  <c r="G4273" i="2"/>
  <c r="D4272" i="2"/>
  <c r="G4272" i="2"/>
  <c r="G4271" i="2"/>
  <c r="D4271" i="2"/>
  <c r="G4270" i="2"/>
  <c r="D4270" i="2"/>
  <c r="G4269" i="2"/>
  <c r="D4269" i="2"/>
  <c r="D4268" i="2"/>
  <c r="G4268" i="2"/>
  <c r="G4267" i="2"/>
  <c r="D4267" i="2"/>
  <c r="G4266" i="2"/>
  <c r="D4266" i="2"/>
  <c r="G4265" i="2"/>
  <c r="D4265" i="2"/>
  <c r="G4264" i="2"/>
  <c r="D4264" i="2"/>
  <c r="D4263" i="2"/>
  <c r="G4263" i="2"/>
  <c r="G4262" i="2"/>
  <c r="D4262" i="2"/>
  <c r="G4261" i="2"/>
  <c r="D4261" i="2"/>
  <c r="G4260" i="2"/>
  <c r="D4260" i="2"/>
  <c r="G4259" i="2"/>
  <c r="D4259" i="2"/>
  <c r="G4258" i="2"/>
  <c r="D4258" i="2"/>
  <c r="G4257" i="2"/>
  <c r="D4257" i="2"/>
  <c r="G4256" i="2"/>
  <c r="D4256" i="2"/>
  <c r="G4255" i="2"/>
  <c r="D4255" i="2"/>
  <c r="G4254" i="2"/>
  <c r="D4254" i="2"/>
  <c r="G4253" i="2"/>
  <c r="D4253" i="2"/>
  <c r="G4252" i="2"/>
  <c r="D4252" i="2"/>
  <c r="G4251" i="2"/>
  <c r="D4251" i="2"/>
  <c r="G4250" i="2"/>
  <c r="D4250" i="2"/>
  <c r="G4249" i="2"/>
  <c r="D4249" i="2"/>
  <c r="G4248" i="2"/>
  <c r="D4248" i="2"/>
  <c r="D4247" i="2"/>
  <c r="G4247" i="2"/>
  <c r="G4246" i="2"/>
  <c r="D4246" i="2"/>
  <c r="G4245" i="2"/>
  <c r="D4245" i="2"/>
  <c r="G4244" i="2"/>
  <c r="D4244" i="2"/>
  <c r="D4243" i="2"/>
  <c r="G4243" i="2"/>
  <c r="G4242" i="2"/>
  <c r="D4242" i="2"/>
  <c r="G4241" i="2"/>
  <c r="D4241" i="2"/>
  <c r="G4240" i="2"/>
  <c r="D4240" i="2"/>
  <c r="G4239" i="2"/>
  <c r="D4239" i="2"/>
  <c r="G4238" i="2"/>
  <c r="D4238" i="2"/>
  <c r="G4237" i="2"/>
  <c r="D4237" i="2"/>
  <c r="G4236" i="2"/>
  <c r="D4236" i="2"/>
  <c r="G4235" i="2"/>
  <c r="D4235" i="2"/>
  <c r="G4234" i="2"/>
  <c r="D4234" i="2"/>
  <c r="G4233" i="2"/>
  <c r="D4233" i="2"/>
  <c r="G4232" i="2"/>
  <c r="D4232" i="2"/>
  <c r="G4231" i="2"/>
  <c r="D4231" i="2"/>
  <c r="G4230" i="2"/>
  <c r="D4230" i="2"/>
  <c r="G4229" i="2"/>
  <c r="D4229" i="2"/>
  <c r="G4228" i="2"/>
  <c r="D4228" i="2"/>
  <c r="G4227" i="2"/>
  <c r="D4227" i="2"/>
  <c r="G4226" i="2"/>
  <c r="D4226" i="2"/>
  <c r="G4225" i="2"/>
  <c r="D4225" i="2"/>
  <c r="G4224" i="2"/>
  <c r="D4224" i="2"/>
  <c r="G4223" i="2"/>
  <c r="D4223" i="2"/>
  <c r="G4222" i="2"/>
  <c r="D4222" i="2"/>
  <c r="G4221" i="2"/>
  <c r="D4221" i="2"/>
  <c r="G4220" i="2"/>
  <c r="D4220" i="2"/>
  <c r="G4219" i="2"/>
  <c r="D4219" i="2"/>
  <c r="G4218" i="2"/>
  <c r="D4218" i="2"/>
  <c r="G4217" i="2"/>
  <c r="D4217" i="2"/>
  <c r="G4216" i="2"/>
  <c r="D4216" i="2"/>
  <c r="G4215" i="2"/>
  <c r="D4215" i="2"/>
  <c r="G4214" i="2"/>
  <c r="D4214" i="2"/>
  <c r="G4213" i="2"/>
  <c r="D4213" i="2"/>
  <c r="G4212" i="2"/>
  <c r="D4212" i="2"/>
  <c r="G4211" i="2"/>
  <c r="D4211" i="2"/>
  <c r="G4210" i="2"/>
  <c r="D4210" i="2"/>
  <c r="G4209" i="2"/>
  <c r="D4209" i="2"/>
  <c r="G4208" i="2"/>
  <c r="D4208" i="2"/>
  <c r="G4207" i="2"/>
  <c r="D4207" i="2"/>
  <c r="G4206" i="2"/>
  <c r="D4206" i="2"/>
  <c r="G4205" i="2"/>
  <c r="D4205" i="2"/>
  <c r="G4204" i="2"/>
  <c r="D4204" i="2"/>
  <c r="G4203" i="2"/>
  <c r="D4203" i="2"/>
  <c r="G4202" i="2"/>
  <c r="D4202" i="2"/>
  <c r="G4201" i="2"/>
  <c r="D4201" i="2"/>
  <c r="G4200" i="2"/>
  <c r="D4200" i="2"/>
  <c r="G4199" i="2"/>
  <c r="D4199" i="2"/>
  <c r="G4198" i="2"/>
  <c r="D4198" i="2"/>
  <c r="G4197" i="2"/>
  <c r="D4197" i="2"/>
  <c r="G4196" i="2"/>
  <c r="D4196" i="2"/>
  <c r="G4195" i="2"/>
  <c r="D4195" i="2"/>
  <c r="G4194" i="2"/>
  <c r="D4194" i="2"/>
  <c r="G4193" i="2"/>
  <c r="D4193" i="2"/>
  <c r="G4192" i="2"/>
  <c r="D4192" i="2"/>
  <c r="G4191" i="2"/>
  <c r="D4191" i="2"/>
  <c r="G4190" i="2"/>
  <c r="D4190" i="2"/>
  <c r="G4189" i="2"/>
  <c r="D4189" i="2"/>
  <c r="G4188" i="2"/>
  <c r="D4188" i="2"/>
  <c r="G4187" i="2"/>
  <c r="D4187" i="2"/>
  <c r="G4186" i="2"/>
  <c r="D4186" i="2"/>
  <c r="G4185" i="2"/>
  <c r="D4185" i="2"/>
  <c r="G4184" i="2"/>
  <c r="D4184" i="2"/>
  <c r="G4183" i="2"/>
  <c r="D4183" i="2"/>
  <c r="G4182" i="2"/>
  <c r="D4182" i="2"/>
  <c r="G4181" i="2"/>
  <c r="D4181" i="2"/>
  <c r="G4180" i="2"/>
  <c r="D4180" i="2"/>
  <c r="G4179" i="2"/>
  <c r="D4179" i="2"/>
  <c r="G4178" i="2"/>
  <c r="D4178" i="2"/>
  <c r="G4177" i="2"/>
  <c r="D4177" i="2"/>
  <c r="G4176" i="2"/>
  <c r="D4176" i="2"/>
  <c r="G4175" i="2"/>
  <c r="D4175" i="2"/>
  <c r="G4174" i="2"/>
  <c r="D4174" i="2"/>
  <c r="G4173" i="2"/>
  <c r="D4173" i="2"/>
  <c r="G4172" i="2"/>
  <c r="D4172" i="2"/>
  <c r="G4171" i="2"/>
  <c r="D4171" i="2"/>
  <c r="G4170" i="2"/>
  <c r="D4170" i="2"/>
  <c r="G4169" i="2"/>
  <c r="D4169" i="2"/>
  <c r="G4168" i="2"/>
  <c r="D4168" i="2"/>
  <c r="G4167" i="2"/>
  <c r="D4167" i="2"/>
  <c r="G4166" i="2"/>
  <c r="D4166" i="2"/>
  <c r="G4165" i="2"/>
  <c r="D4165" i="2"/>
  <c r="G4164" i="2"/>
  <c r="D4164" i="2"/>
  <c r="G4163" i="2"/>
  <c r="D4163" i="2"/>
  <c r="G4162" i="2"/>
  <c r="D4162" i="2"/>
  <c r="G4161" i="2"/>
  <c r="D4161" i="2"/>
  <c r="G4160" i="2"/>
  <c r="D4160" i="2"/>
  <c r="G4159" i="2"/>
  <c r="D4159" i="2"/>
  <c r="G4158" i="2"/>
  <c r="D4158" i="2"/>
  <c r="G4157" i="2"/>
  <c r="D4157" i="2"/>
  <c r="G4156" i="2"/>
  <c r="D4156" i="2"/>
  <c r="G4155" i="2"/>
  <c r="D4155" i="2"/>
  <c r="G4154" i="2"/>
  <c r="D4154" i="2"/>
  <c r="G4153" i="2"/>
  <c r="D4153" i="2"/>
  <c r="G4152" i="2"/>
  <c r="D4152" i="2"/>
  <c r="G4151" i="2"/>
  <c r="D4151" i="2"/>
  <c r="G4150" i="2"/>
  <c r="D4150" i="2"/>
  <c r="G4149" i="2"/>
  <c r="D4149" i="2"/>
  <c r="G4148" i="2"/>
  <c r="D4148" i="2"/>
  <c r="G4147" i="2"/>
  <c r="D4147" i="2"/>
  <c r="G4146" i="2"/>
  <c r="D4146" i="2"/>
  <c r="G4145" i="2"/>
  <c r="D4145" i="2"/>
  <c r="G4144" i="2"/>
  <c r="D4144" i="2"/>
  <c r="G4143" i="2"/>
  <c r="D4143" i="2"/>
  <c r="G4142" i="2"/>
  <c r="D4142" i="2"/>
  <c r="G4141" i="2"/>
  <c r="D4141" i="2"/>
  <c r="G4140" i="2"/>
  <c r="D4140" i="2"/>
  <c r="G4139" i="2"/>
  <c r="D4139" i="2"/>
  <c r="G4138" i="2"/>
  <c r="D4138" i="2"/>
  <c r="G4137" i="2"/>
  <c r="D4137" i="2"/>
  <c r="G4136" i="2"/>
  <c r="D4136" i="2"/>
  <c r="G4135" i="2"/>
  <c r="D4135" i="2"/>
  <c r="G4134" i="2"/>
  <c r="D4134" i="2"/>
  <c r="G4133" i="2"/>
  <c r="D4133" i="2"/>
  <c r="G4132" i="2"/>
  <c r="D4132" i="2"/>
  <c r="G4131" i="2"/>
  <c r="D4131" i="2"/>
  <c r="G4130" i="2"/>
  <c r="D4130" i="2"/>
  <c r="G4129" i="2"/>
  <c r="D4129" i="2"/>
  <c r="G4128" i="2"/>
  <c r="D4128" i="2"/>
  <c r="G4127" i="2"/>
  <c r="D4127" i="2"/>
  <c r="G4126" i="2"/>
  <c r="D4126" i="2"/>
  <c r="G4125" i="2"/>
  <c r="D4125" i="2"/>
  <c r="G4124" i="2"/>
  <c r="D4124" i="2"/>
  <c r="G4123" i="2"/>
  <c r="D4123" i="2"/>
  <c r="G4122" i="2"/>
  <c r="D4122" i="2"/>
  <c r="G4121" i="2"/>
  <c r="D4121" i="2"/>
  <c r="G4120" i="2"/>
  <c r="D4120" i="2"/>
  <c r="G4119" i="2"/>
  <c r="D4119" i="2"/>
  <c r="G4118" i="2"/>
  <c r="D4118" i="2"/>
  <c r="G4117" i="2"/>
  <c r="D4117" i="2"/>
  <c r="G4116" i="2"/>
  <c r="D4116" i="2"/>
  <c r="G4115" i="2"/>
  <c r="D4115" i="2"/>
  <c r="G4114" i="2"/>
  <c r="D4114" i="2"/>
  <c r="G4113" i="2"/>
  <c r="D4113" i="2"/>
  <c r="G4112" i="2"/>
  <c r="D4112" i="2"/>
  <c r="G4111" i="2"/>
  <c r="D4111" i="2"/>
  <c r="G4110" i="2"/>
  <c r="D4110" i="2"/>
  <c r="G4109" i="2"/>
  <c r="D4109" i="2"/>
  <c r="G4108" i="2"/>
  <c r="D4108" i="2"/>
  <c r="G4107" i="2"/>
  <c r="D4107" i="2"/>
  <c r="G4106" i="2"/>
  <c r="D4106" i="2"/>
  <c r="G4105" i="2"/>
  <c r="D4105" i="2"/>
  <c r="G4104" i="2"/>
  <c r="D4104" i="2"/>
  <c r="G4103" i="2"/>
  <c r="D4103" i="2"/>
  <c r="G4102" i="2"/>
  <c r="D4102" i="2"/>
  <c r="G4101" i="2"/>
  <c r="D4101" i="2"/>
  <c r="G4100" i="2"/>
  <c r="D4100" i="2"/>
  <c r="G4099" i="2"/>
  <c r="D4099" i="2"/>
  <c r="G4098" i="2"/>
  <c r="D4098" i="2"/>
  <c r="G4097" i="2"/>
  <c r="D4097" i="2"/>
  <c r="G4096" i="2"/>
  <c r="D4096" i="2"/>
  <c r="G4095" i="2"/>
  <c r="D4095" i="2"/>
  <c r="G4094" i="2"/>
  <c r="D4094" i="2"/>
  <c r="G4093" i="2"/>
  <c r="D4093" i="2"/>
  <c r="G4092" i="2"/>
  <c r="D4092" i="2"/>
  <c r="G4091" i="2"/>
  <c r="D4091" i="2"/>
  <c r="G4090" i="2"/>
  <c r="D4090" i="2"/>
  <c r="G4089" i="2"/>
  <c r="D4089" i="2"/>
  <c r="G4088" i="2"/>
  <c r="D4088" i="2"/>
  <c r="G4087" i="2"/>
  <c r="D4087" i="2"/>
  <c r="G4086" i="2"/>
  <c r="D4086" i="2"/>
  <c r="G4085" i="2"/>
  <c r="D4085" i="2"/>
  <c r="G4084" i="2"/>
  <c r="D4084" i="2"/>
  <c r="G4083" i="2"/>
  <c r="D4083" i="2"/>
  <c r="G4082" i="2"/>
  <c r="D4082" i="2"/>
  <c r="G4081" i="2"/>
  <c r="D4081" i="2"/>
  <c r="G4080" i="2"/>
  <c r="D4080" i="2"/>
  <c r="G4079" i="2"/>
  <c r="D4079" i="2"/>
  <c r="G4078" i="2"/>
  <c r="D4078" i="2"/>
  <c r="G4077" i="2"/>
  <c r="D4077" i="2"/>
  <c r="G4076" i="2"/>
  <c r="D4076" i="2"/>
  <c r="G4075" i="2"/>
  <c r="D4075" i="2"/>
  <c r="G4074" i="2"/>
  <c r="D4074" i="2"/>
  <c r="G4073" i="2"/>
  <c r="D4073" i="2"/>
  <c r="G4072" i="2"/>
  <c r="D4072" i="2"/>
  <c r="G4071" i="2"/>
  <c r="D4071" i="2"/>
  <c r="G4070" i="2"/>
  <c r="D4070" i="2"/>
  <c r="G4069" i="2"/>
  <c r="D4069" i="2"/>
  <c r="G4068" i="2"/>
  <c r="D4068" i="2"/>
  <c r="G4067" i="2"/>
  <c r="D4067" i="2"/>
  <c r="D4066" i="2"/>
  <c r="G4066" i="2"/>
  <c r="G4065" i="2"/>
  <c r="D4065" i="2"/>
  <c r="G4064" i="2"/>
  <c r="D4064" i="2"/>
  <c r="G4063" i="2"/>
  <c r="D4063" i="2"/>
  <c r="D4062" i="2"/>
  <c r="G4062" i="2"/>
  <c r="D4061" i="2"/>
  <c r="G4061" i="2"/>
  <c r="G4060" i="2"/>
  <c r="D4060" i="2"/>
  <c r="D4059" i="2"/>
  <c r="G4059" i="2"/>
  <c r="D4058" i="2"/>
  <c r="G4058" i="2"/>
  <c r="D4057" i="2"/>
  <c r="G4057" i="2"/>
  <c r="G4056" i="2"/>
  <c r="D4056" i="2"/>
  <c r="G4055" i="2"/>
  <c r="D4055" i="2"/>
  <c r="G4054" i="2"/>
  <c r="D4054" i="2"/>
  <c r="D4053" i="2"/>
  <c r="G4053" i="2"/>
  <c r="D4052" i="2"/>
  <c r="G4052" i="2"/>
  <c r="D4051" i="2"/>
  <c r="G4051" i="2"/>
  <c r="G4050" i="2"/>
  <c r="D4050" i="2"/>
  <c r="G4049" i="2"/>
  <c r="D4049" i="2"/>
  <c r="G4048" i="2"/>
  <c r="D4048" i="2"/>
  <c r="G4047" i="2"/>
  <c r="D4047" i="2"/>
  <c r="G4046" i="2"/>
  <c r="D4046" i="2"/>
  <c r="D4045" i="2"/>
  <c r="G4045" i="2"/>
  <c r="G4044" i="2"/>
  <c r="D4044" i="2"/>
  <c r="D4043" i="2"/>
  <c r="G4043" i="2"/>
  <c r="G4042" i="2"/>
  <c r="D4042" i="2"/>
  <c r="G4041" i="2"/>
  <c r="D4041" i="2"/>
  <c r="G4040" i="2"/>
  <c r="D4040" i="2"/>
  <c r="D4039" i="2"/>
  <c r="G4039" i="2"/>
  <c r="G4038" i="2"/>
  <c r="D4038" i="2"/>
  <c r="G4037" i="2"/>
  <c r="D4037" i="2"/>
  <c r="D4036" i="2"/>
  <c r="G4036" i="2"/>
  <c r="D4035" i="2"/>
  <c r="G4035" i="2"/>
  <c r="G4034" i="2"/>
  <c r="D4034" i="2"/>
  <c r="G4033" i="2"/>
  <c r="D4033" i="2"/>
  <c r="D4032" i="2"/>
  <c r="G4032" i="2"/>
  <c r="G4031" i="2"/>
  <c r="D4031" i="2"/>
  <c r="D4030" i="2"/>
  <c r="G4030" i="2"/>
  <c r="D4029" i="2"/>
  <c r="G4029" i="2"/>
  <c r="G4028" i="2"/>
  <c r="D4028" i="2"/>
  <c r="D4027" i="2"/>
  <c r="G4027" i="2"/>
  <c r="G4026" i="2"/>
  <c r="D4026" i="2"/>
  <c r="D4025" i="2"/>
  <c r="G4025" i="2"/>
  <c r="G4024" i="2"/>
  <c r="D4024" i="2"/>
  <c r="G4023" i="2"/>
  <c r="D4023" i="2"/>
  <c r="D4022" i="2"/>
  <c r="G4022" i="2"/>
  <c r="G4021" i="2"/>
  <c r="D4021" i="2"/>
  <c r="G4020" i="2"/>
  <c r="D4020" i="2"/>
  <c r="G4019" i="2"/>
  <c r="D4019" i="2"/>
  <c r="G4018" i="2"/>
  <c r="D4018" i="2"/>
  <c r="G4017" i="2"/>
  <c r="D4017" i="2"/>
  <c r="G4016" i="2"/>
  <c r="D4016" i="2"/>
  <c r="G4015" i="2"/>
  <c r="D4015" i="2"/>
  <c r="D4014" i="2"/>
  <c r="G4014" i="2"/>
  <c r="D4013" i="2"/>
  <c r="G4013" i="2"/>
  <c r="D4012" i="2"/>
  <c r="G4012" i="2"/>
  <c r="G4011" i="2"/>
  <c r="D4011" i="2"/>
  <c r="G4010" i="2"/>
  <c r="D4010" i="2"/>
  <c r="D4009" i="2"/>
  <c r="G4009" i="2"/>
  <c r="D4008" i="2"/>
  <c r="G4008" i="2"/>
  <c r="D4007" i="2"/>
  <c r="G4007" i="2"/>
  <c r="G4006" i="2"/>
  <c r="D4006" i="2"/>
  <c r="D4005" i="2"/>
  <c r="G4005" i="2"/>
  <c r="G4004" i="2"/>
  <c r="D4004" i="2"/>
  <c r="G4003" i="2"/>
  <c r="D4003" i="2"/>
  <c r="G4002" i="2"/>
  <c r="D4002" i="2"/>
  <c r="D4001" i="2"/>
  <c r="G4001" i="2"/>
  <c r="D4000" i="2"/>
  <c r="G4000" i="2"/>
  <c r="G3999" i="2"/>
  <c r="D3999" i="2"/>
  <c r="D3998" i="2"/>
  <c r="G3998" i="2"/>
  <c r="G3997" i="2"/>
  <c r="D3997" i="2"/>
  <c r="D3996" i="2"/>
  <c r="G3996" i="2"/>
  <c r="D3995" i="2"/>
  <c r="G3995" i="2"/>
  <c r="D3994" i="2"/>
  <c r="G3994" i="2"/>
  <c r="G3993" i="2"/>
  <c r="D3993" i="2"/>
  <c r="D3992" i="2"/>
  <c r="G3992" i="2"/>
  <c r="D3991" i="2"/>
  <c r="G3991" i="2"/>
  <c r="G3990" i="2"/>
  <c r="D3990" i="2"/>
  <c r="D3989" i="2"/>
  <c r="G3989" i="2"/>
  <c r="D3988" i="2"/>
  <c r="G3988" i="2"/>
  <c r="D3987" i="2"/>
  <c r="G3987" i="2"/>
  <c r="D3986" i="2"/>
  <c r="G3986" i="2"/>
  <c r="G3985" i="2"/>
  <c r="D3985" i="2"/>
  <c r="G3984" i="2"/>
  <c r="D3984" i="2"/>
  <c r="D3983" i="2"/>
  <c r="G3983" i="2"/>
  <c r="D3982" i="2"/>
  <c r="G3982" i="2"/>
  <c r="D3981" i="2"/>
  <c r="G3981" i="2"/>
  <c r="D3980" i="2"/>
  <c r="G3980" i="2"/>
  <c r="G3979" i="2"/>
  <c r="D3979" i="2"/>
  <c r="G3978" i="2"/>
  <c r="D3978" i="2"/>
  <c r="G3977" i="2"/>
  <c r="D3977" i="2"/>
  <c r="G3976" i="2"/>
  <c r="D3976" i="2"/>
  <c r="G3975" i="2"/>
  <c r="D3975" i="2"/>
  <c r="D3974" i="2"/>
  <c r="G3974" i="2"/>
  <c r="D3973" i="2"/>
  <c r="G3973" i="2"/>
  <c r="D3972" i="2"/>
  <c r="G3972" i="2"/>
  <c r="G3971" i="2"/>
  <c r="D3971" i="2"/>
  <c r="G3970" i="2"/>
  <c r="D3970" i="2"/>
  <c r="G3969" i="2"/>
  <c r="D3969" i="2"/>
  <c r="G3968" i="2"/>
  <c r="D3968" i="2"/>
  <c r="D3967" i="2"/>
  <c r="G3967" i="2"/>
  <c r="G3966" i="2"/>
  <c r="D3966" i="2"/>
  <c r="D3965" i="2"/>
  <c r="G3965" i="2"/>
  <c r="D3964" i="2"/>
  <c r="G3964" i="2"/>
  <c r="D3963" i="2"/>
  <c r="G3963" i="2"/>
  <c r="D3962" i="2"/>
  <c r="G3962" i="2"/>
  <c r="G3961" i="2"/>
  <c r="D3961" i="2"/>
  <c r="G3960" i="2"/>
  <c r="D3960" i="2"/>
  <c r="G3959" i="2"/>
  <c r="D3959" i="2"/>
  <c r="G3958" i="2"/>
  <c r="D3958" i="2"/>
  <c r="G3957" i="2"/>
  <c r="D3957" i="2"/>
  <c r="G3956" i="2"/>
  <c r="D3956" i="2"/>
  <c r="G3955" i="2"/>
  <c r="D3955" i="2"/>
  <c r="G3954" i="2"/>
  <c r="D3954" i="2"/>
  <c r="D3953" i="2"/>
  <c r="G3953" i="2"/>
  <c r="G3952" i="2"/>
  <c r="D3952" i="2"/>
  <c r="D3951" i="2"/>
  <c r="G3951" i="2"/>
  <c r="G3950" i="2"/>
  <c r="D3950" i="2"/>
  <c r="G3949" i="2"/>
  <c r="D3949" i="2"/>
  <c r="D3948" i="2"/>
  <c r="G3948" i="2"/>
  <c r="D3947" i="2"/>
  <c r="G3947" i="2"/>
  <c r="D3946" i="2"/>
  <c r="G3946" i="2"/>
  <c r="G3945" i="2"/>
  <c r="D3945" i="2"/>
  <c r="D3944" i="2"/>
  <c r="G3944" i="2"/>
  <c r="D3943" i="2"/>
  <c r="G3943" i="2"/>
  <c r="G3942" i="2"/>
  <c r="D3942" i="2"/>
  <c r="D3941" i="2"/>
  <c r="G3941" i="2"/>
  <c r="G3940" i="2"/>
  <c r="D3940" i="2"/>
  <c r="G3939" i="2"/>
  <c r="D3939" i="2"/>
  <c r="D3938" i="2"/>
  <c r="G3938" i="2"/>
  <c r="G3937" i="2"/>
  <c r="D3937" i="2"/>
  <c r="D3936" i="2"/>
  <c r="G3936" i="2"/>
  <c r="G3935" i="2"/>
  <c r="D3935" i="2"/>
  <c r="G3934" i="2"/>
  <c r="D3934" i="2"/>
  <c r="G3933" i="2"/>
  <c r="D3933" i="2"/>
  <c r="G3932" i="2"/>
  <c r="D3932" i="2"/>
  <c r="G3931" i="2"/>
  <c r="D3931" i="2"/>
  <c r="G3930" i="2"/>
  <c r="D3930" i="2"/>
  <c r="D3929" i="2"/>
  <c r="G3929" i="2"/>
  <c r="D3928" i="2"/>
  <c r="G3928" i="2"/>
  <c r="G3927" i="2"/>
  <c r="D3927" i="2"/>
  <c r="G3926" i="2"/>
  <c r="D3926" i="2"/>
  <c r="D3925" i="2"/>
  <c r="G3925" i="2"/>
  <c r="G3924" i="2"/>
  <c r="D3924" i="2"/>
  <c r="G3923" i="2"/>
  <c r="D3923" i="2"/>
  <c r="G3922" i="2"/>
  <c r="D3922" i="2"/>
  <c r="G3921" i="2"/>
  <c r="D3921" i="2"/>
  <c r="G3920" i="2"/>
  <c r="D3920" i="2"/>
  <c r="D3919" i="2"/>
  <c r="G3919" i="2"/>
  <c r="D3918" i="2"/>
  <c r="G3918" i="2"/>
  <c r="D3917" i="2"/>
  <c r="G3917" i="2"/>
  <c r="D3916" i="2"/>
  <c r="G3916" i="2"/>
  <c r="D3915" i="2"/>
  <c r="G3915" i="2"/>
  <c r="G3914" i="2"/>
  <c r="D3914" i="2"/>
  <c r="G3913" i="2"/>
  <c r="D3913" i="2"/>
  <c r="D3912" i="2"/>
  <c r="G3912" i="2"/>
  <c r="D3911" i="2"/>
  <c r="G3911" i="2"/>
  <c r="G3910" i="2"/>
  <c r="D3910" i="2"/>
  <c r="G3909" i="2"/>
  <c r="D3909" i="2"/>
  <c r="D3908" i="2"/>
  <c r="G3908" i="2"/>
  <c r="G3907" i="2"/>
  <c r="D3907" i="2"/>
  <c r="D3906" i="2"/>
  <c r="G3906" i="2"/>
  <c r="D3905" i="2"/>
  <c r="G3905" i="2"/>
  <c r="D3904" i="2"/>
  <c r="G3904" i="2"/>
  <c r="D3903" i="2"/>
  <c r="G3903" i="2"/>
  <c r="D3902" i="2"/>
  <c r="G3902" i="2"/>
  <c r="D3901" i="2"/>
  <c r="G3901" i="2"/>
  <c r="G3900" i="2"/>
  <c r="D3900" i="2"/>
  <c r="G3899" i="2"/>
  <c r="D3899" i="2"/>
  <c r="D3898" i="2"/>
  <c r="G3898" i="2"/>
  <c r="G3897" i="2"/>
  <c r="D3897" i="2"/>
  <c r="D3896" i="2"/>
  <c r="G3896" i="2"/>
  <c r="G3895" i="2"/>
  <c r="D3895" i="2"/>
  <c r="D3894" i="2"/>
  <c r="G3894" i="2"/>
  <c r="D3893" i="2"/>
  <c r="G3893" i="2"/>
  <c r="G3892" i="2"/>
  <c r="D3892" i="2"/>
  <c r="G3891" i="2"/>
  <c r="D3891" i="2"/>
  <c r="D3890" i="2"/>
  <c r="G3890" i="2"/>
  <c r="G3889" i="2"/>
  <c r="D3889" i="2"/>
  <c r="D3888" i="2"/>
  <c r="G3888" i="2"/>
  <c r="G3887" i="2"/>
  <c r="D3887" i="2"/>
  <c r="G3886" i="2"/>
  <c r="D3886" i="2"/>
  <c r="G3885" i="2"/>
  <c r="D3885" i="2"/>
  <c r="D3884" i="2"/>
  <c r="G3884" i="2"/>
  <c r="G3883" i="2"/>
  <c r="D3883" i="2"/>
  <c r="D3882" i="2"/>
  <c r="G3882" i="2"/>
  <c r="D3881" i="2"/>
  <c r="G3881" i="2"/>
  <c r="D3880" i="2"/>
  <c r="G3880" i="2"/>
  <c r="G3879" i="2"/>
  <c r="D3879" i="2"/>
  <c r="G3878" i="2"/>
  <c r="D3878" i="2"/>
  <c r="G3877" i="2"/>
  <c r="D3877" i="2"/>
  <c r="D3876" i="2"/>
  <c r="G3876" i="2"/>
  <c r="D3875" i="2"/>
  <c r="G3875" i="2"/>
  <c r="G3874" i="2"/>
  <c r="D3874" i="2"/>
  <c r="G3873" i="2"/>
  <c r="D3873" i="2"/>
  <c r="G3872" i="2"/>
  <c r="D3872" i="2"/>
  <c r="G3871" i="2"/>
  <c r="D3871" i="2"/>
  <c r="G3870" i="2"/>
  <c r="D3870" i="2"/>
  <c r="G3869" i="2"/>
  <c r="D3869" i="2"/>
  <c r="G3868" i="2"/>
  <c r="D3868" i="2"/>
  <c r="D3867" i="2"/>
  <c r="G3867" i="2"/>
  <c r="D3866" i="2"/>
  <c r="G3866" i="2"/>
  <c r="D3865" i="2"/>
  <c r="G3865" i="2"/>
  <c r="G3864" i="2"/>
  <c r="D3864" i="2"/>
  <c r="D3863" i="2"/>
  <c r="G3863" i="2"/>
  <c r="G3862" i="2"/>
  <c r="D3862" i="2"/>
  <c r="G3861" i="2"/>
  <c r="D3861" i="2"/>
  <c r="G3860" i="2"/>
  <c r="D3860" i="2"/>
  <c r="D3859" i="2"/>
  <c r="G3859" i="2"/>
  <c r="G3858" i="2"/>
  <c r="D3858" i="2"/>
  <c r="G3857" i="2"/>
  <c r="D3857" i="2"/>
  <c r="G3856" i="2"/>
  <c r="D3856" i="2"/>
  <c r="G3855" i="2"/>
  <c r="D3855" i="2"/>
  <c r="D3854" i="2"/>
  <c r="G3854" i="2"/>
  <c r="G3853" i="2"/>
  <c r="D3853" i="2"/>
  <c r="D3852" i="2"/>
  <c r="G3852" i="2"/>
  <c r="G3851" i="2"/>
  <c r="D3851" i="2"/>
  <c r="G3850" i="2"/>
  <c r="D3850" i="2"/>
  <c r="D3849" i="2"/>
  <c r="G3849" i="2"/>
  <c r="D3848" i="2"/>
  <c r="G3848" i="2"/>
  <c r="G3847" i="2"/>
  <c r="D3847" i="2"/>
  <c r="G3846" i="2"/>
  <c r="D3846" i="2"/>
  <c r="G3845" i="2"/>
  <c r="D3845" i="2"/>
  <c r="G3844" i="2"/>
  <c r="D3844" i="2"/>
  <c r="G3843" i="2"/>
  <c r="D3843" i="2"/>
  <c r="G3842" i="2"/>
  <c r="D3842" i="2"/>
  <c r="G3841" i="2"/>
  <c r="D3841" i="2"/>
  <c r="G3840" i="2"/>
  <c r="D3840" i="2"/>
  <c r="G3839" i="2"/>
  <c r="D3839" i="2"/>
  <c r="G3838" i="2"/>
  <c r="D3838" i="2"/>
  <c r="G3837" i="2"/>
  <c r="D3837" i="2"/>
  <c r="D3836" i="2"/>
  <c r="G3836" i="2"/>
  <c r="G3835" i="2"/>
  <c r="D3835" i="2"/>
  <c r="G3834" i="2"/>
  <c r="D3834" i="2"/>
  <c r="D3833" i="2"/>
  <c r="G3833" i="2"/>
  <c r="D3832" i="2"/>
  <c r="G3832" i="2"/>
  <c r="G3831" i="2"/>
  <c r="D3831" i="2"/>
  <c r="G3830" i="2"/>
  <c r="D3830" i="2"/>
  <c r="G3829" i="2"/>
  <c r="D3829" i="2"/>
  <c r="G3828" i="2"/>
  <c r="D3828" i="2"/>
  <c r="G3827" i="2"/>
  <c r="D3827" i="2"/>
  <c r="G3826" i="2"/>
  <c r="D3826" i="2"/>
  <c r="G3825" i="2"/>
  <c r="D3825" i="2"/>
  <c r="D3824" i="2"/>
  <c r="G3824" i="2"/>
  <c r="D3823" i="2"/>
  <c r="G3823" i="2"/>
  <c r="D3822" i="2"/>
  <c r="G3822" i="2"/>
  <c r="G3821" i="2"/>
  <c r="D3821" i="2"/>
  <c r="G3820" i="2"/>
  <c r="D3820" i="2"/>
  <c r="G3819" i="2"/>
  <c r="D3819" i="2"/>
  <c r="G3818" i="2"/>
  <c r="D3818" i="2"/>
  <c r="G3817" i="2"/>
  <c r="D3817" i="2"/>
  <c r="G3816" i="2"/>
  <c r="D3816" i="2"/>
  <c r="G3815" i="2"/>
  <c r="D3815" i="2"/>
  <c r="G3814" i="2"/>
  <c r="D3814" i="2"/>
  <c r="D3813" i="2"/>
  <c r="G3813" i="2"/>
  <c r="G3812" i="2"/>
  <c r="D3812" i="2"/>
  <c r="G3811" i="2"/>
  <c r="D3811" i="2"/>
  <c r="G3810" i="2"/>
  <c r="D3810" i="2"/>
  <c r="D3809" i="2"/>
  <c r="G3809" i="2"/>
  <c r="D3808" i="2"/>
  <c r="G3808" i="2"/>
  <c r="G3807" i="2"/>
  <c r="D3807" i="2"/>
  <c r="G3806" i="2"/>
  <c r="D3806" i="2"/>
  <c r="G3805" i="2"/>
  <c r="D3805" i="2"/>
  <c r="D3804" i="2"/>
  <c r="G3804" i="2"/>
  <c r="D3803" i="2"/>
  <c r="G3803" i="2"/>
  <c r="D3802" i="2"/>
  <c r="G3802" i="2"/>
  <c r="G3801" i="2"/>
  <c r="D3801" i="2"/>
  <c r="G3800" i="2"/>
  <c r="D3800" i="2"/>
  <c r="G3799" i="2"/>
  <c r="D3799" i="2"/>
  <c r="G3798" i="2"/>
  <c r="D3798" i="2"/>
  <c r="G3797" i="2"/>
  <c r="D3797" i="2"/>
  <c r="G3796" i="2"/>
  <c r="D3796" i="2"/>
  <c r="D3795" i="2"/>
  <c r="G3795" i="2"/>
  <c r="D3794" i="2"/>
  <c r="G3794" i="2"/>
  <c r="D3793" i="2"/>
  <c r="G3793" i="2"/>
  <c r="D3792" i="2"/>
  <c r="G3792" i="2"/>
  <c r="D3791" i="2"/>
  <c r="G3791" i="2"/>
  <c r="D3790" i="2"/>
  <c r="G3790" i="2"/>
  <c r="D3789" i="2"/>
  <c r="G3789" i="2"/>
  <c r="D3788" i="2"/>
  <c r="G3788" i="2"/>
  <c r="G3787" i="2"/>
  <c r="D3787" i="2"/>
  <c r="G3786" i="2"/>
  <c r="D3786" i="2"/>
  <c r="G3785" i="2"/>
  <c r="D3785" i="2"/>
  <c r="D3784" i="2"/>
  <c r="G3784" i="2"/>
  <c r="G3783" i="2"/>
  <c r="D3783" i="2"/>
  <c r="G3782" i="2"/>
  <c r="D3782" i="2"/>
  <c r="D3781" i="2"/>
  <c r="G3781" i="2"/>
  <c r="G3780" i="2"/>
  <c r="D3780" i="2"/>
  <c r="D3779" i="2"/>
  <c r="G3779" i="2"/>
  <c r="D3778" i="2"/>
  <c r="G3778" i="2"/>
  <c r="G3777" i="2"/>
  <c r="D3777" i="2"/>
  <c r="D3776" i="2"/>
  <c r="G3776" i="2"/>
  <c r="D3775" i="2"/>
  <c r="G3775" i="2"/>
  <c r="G3774" i="2"/>
  <c r="D3774" i="2"/>
  <c r="G3769" i="2"/>
  <c r="D3769" i="2"/>
  <c r="G3768" i="2"/>
  <c r="D3768" i="2"/>
  <c r="D3766" i="2"/>
  <c r="G3766" i="2"/>
  <c r="D3764" i="2"/>
  <c r="G3764" i="2"/>
  <c r="G3760" i="2"/>
  <c r="D3760" i="2"/>
  <c r="G3758" i="2"/>
  <c r="D3758" i="2"/>
  <c r="D3757" i="2"/>
  <c r="G3757" i="2"/>
  <c r="G3755" i="2"/>
  <c r="D3755" i="2"/>
  <c r="D3754" i="2"/>
  <c r="G3754" i="2"/>
  <c r="G3751" i="2"/>
  <c r="D3751" i="2"/>
  <c r="G3750" i="2"/>
  <c r="D3750" i="2"/>
  <c r="D3749" i="2"/>
  <c r="G3749" i="2"/>
  <c r="D3748" i="2"/>
  <c r="G3748" i="2"/>
  <c r="D3747" i="2"/>
  <c r="G3747" i="2"/>
  <c r="G3746" i="2"/>
  <c r="D3746" i="2"/>
  <c r="D3745" i="2"/>
  <c r="G3745" i="2"/>
  <c r="D3744" i="2"/>
  <c r="G3744" i="2"/>
  <c r="D3743" i="2"/>
  <c r="G3743" i="2"/>
  <c r="D3742" i="2"/>
  <c r="G3742" i="2"/>
  <c r="D3741" i="2"/>
  <c r="G3741" i="2"/>
  <c r="D3740" i="2"/>
  <c r="G3740" i="2"/>
  <c r="D3739" i="2"/>
  <c r="G3739" i="2"/>
  <c r="G3738" i="2"/>
  <c r="D3738" i="2"/>
  <c r="G3737" i="2"/>
  <c r="D3737" i="2"/>
  <c r="D3736" i="2"/>
  <c r="G3736" i="2"/>
  <c r="D3735" i="2"/>
  <c r="G3735" i="2"/>
  <c r="G3734" i="2"/>
  <c r="D3734" i="2"/>
  <c r="D3733" i="2"/>
  <c r="G3733" i="2"/>
  <c r="D3732" i="2"/>
  <c r="G3732" i="2"/>
  <c r="G3731" i="2"/>
  <c r="D3731" i="2"/>
  <c r="G3730" i="2"/>
  <c r="D3730" i="2"/>
  <c r="D3729" i="2"/>
  <c r="G3729" i="2"/>
  <c r="G3728" i="2"/>
  <c r="D3728" i="2"/>
  <c r="D3727" i="2"/>
  <c r="G3727" i="2"/>
  <c r="D3726" i="2"/>
  <c r="G3726" i="2"/>
  <c r="G3725" i="2"/>
  <c r="D3725" i="2"/>
  <c r="D3724" i="2"/>
  <c r="G3724" i="2"/>
  <c r="G3723" i="2"/>
  <c r="D3723" i="2"/>
  <c r="G3722" i="2"/>
  <c r="D3722" i="2"/>
  <c r="G3721" i="2"/>
  <c r="D3721" i="2"/>
  <c r="G3720" i="2"/>
  <c r="D3720" i="2"/>
  <c r="G3719" i="2"/>
  <c r="D3719" i="2"/>
  <c r="D3718" i="2"/>
  <c r="G3718" i="2"/>
  <c r="G3717" i="2"/>
  <c r="D3717" i="2"/>
  <c r="G3716" i="2"/>
  <c r="D3716" i="2"/>
  <c r="G3715" i="2"/>
  <c r="D3715" i="2"/>
  <c r="D3714" i="2"/>
  <c r="G3714" i="2"/>
  <c r="D3713" i="2"/>
  <c r="G3713" i="2"/>
  <c r="D3712" i="2"/>
  <c r="G3712" i="2"/>
  <c r="G3711" i="2"/>
  <c r="D3711" i="2"/>
  <c r="G3710" i="2"/>
  <c r="D3710" i="2"/>
  <c r="D3709" i="2"/>
  <c r="G3709" i="2"/>
  <c r="G3708" i="2"/>
  <c r="D3708" i="2"/>
  <c r="G3707" i="2"/>
  <c r="D3707" i="2"/>
  <c r="G3706" i="2"/>
  <c r="D3706" i="2"/>
  <c r="D3705" i="2"/>
  <c r="G3705" i="2"/>
  <c r="G3704" i="2"/>
  <c r="D3704" i="2"/>
  <c r="D3703" i="2"/>
  <c r="G3703" i="2"/>
  <c r="G3702" i="2"/>
  <c r="D3702" i="2"/>
  <c r="D3701" i="2"/>
  <c r="G3701" i="2"/>
  <c r="D3700" i="2"/>
  <c r="G3700" i="2"/>
  <c r="G3699" i="2"/>
  <c r="D3699" i="2"/>
  <c r="D3698" i="2"/>
  <c r="G3698" i="2"/>
  <c r="D3697" i="2"/>
  <c r="G3697" i="2"/>
  <c r="D3696" i="2"/>
  <c r="G3696" i="2"/>
  <c r="G3695" i="2"/>
  <c r="D3695" i="2"/>
  <c r="D3694" i="2"/>
  <c r="G3694" i="2"/>
  <c r="D3693" i="2"/>
  <c r="G3693" i="2"/>
  <c r="G3692" i="2"/>
  <c r="D3692" i="2"/>
  <c r="G3691" i="2"/>
  <c r="D3691" i="2"/>
  <c r="G3690" i="2"/>
  <c r="D3690" i="2"/>
  <c r="G3689" i="2"/>
  <c r="D3689" i="2"/>
  <c r="G3688" i="2"/>
  <c r="D3688" i="2"/>
  <c r="G3687" i="2"/>
  <c r="D3687" i="2"/>
  <c r="D3686" i="2"/>
  <c r="G3686" i="2"/>
  <c r="D3685" i="2"/>
  <c r="G3685" i="2"/>
  <c r="G3684" i="2"/>
  <c r="D3684" i="2"/>
  <c r="G3683" i="2"/>
  <c r="D3683" i="2"/>
  <c r="D3682" i="2"/>
  <c r="G3682" i="2"/>
  <c r="G3681" i="2"/>
  <c r="D3681" i="2"/>
  <c r="D3680" i="2"/>
  <c r="G3680" i="2"/>
  <c r="G3679" i="2"/>
  <c r="D3679" i="2"/>
  <c r="D3678" i="2"/>
  <c r="G3678" i="2"/>
  <c r="D3677" i="2"/>
  <c r="G3677" i="2"/>
  <c r="D3676" i="2"/>
  <c r="G3676" i="2"/>
  <c r="G3675" i="2"/>
  <c r="D3675" i="2"/>
  <c r="D3674" i="2"/>
  <c r="G3674" i="2"/>
  <c r="G3673" i="2"/>
  <c r="D3673" i="2"/>
  <c r="G3672" i="2"/>
  <c r="D3672" i="2"/>
  <c r="G3671" i="2"/>
  <c r="D3671" i="2"/>
  <c r="G3670" i="2"/>
  <c r="D3670" i="2"/>
  <c r="D3669" i="2"/>
  <c r="G3669" i="2"/>
  <c r="G3668" i="2"/>
  <c r="D3668" i="2"/>
  <c r="D3667" i="2"/>
  <c r="G3667" i="2"/>
  <c r="D3666" i="2"/>
  <c r="G3666" i="2"/>
  <c r="G3665" i="2"/>
  <c r="D3665" i="2"/>
  <c r="G3664" i="2"/>
  <c r="D3664" i="2"/>
  <c r="D3663" i="2"/>
  <c r="G3663" i="2"/>
  <c r="G3662" i="2"/>
  <c r="D3662" i="2"/>
  <c r="D3661" i="2"/>
  <c r="G3661" i="2"/>
  <c r="D3660" i="2"/>
  <c r="G3660" i="2"/>
  <c r="D3659" i="2"/>
  <c r="G3659" i="2"/>
  <c r="G3658" i="2"/>
  <c r="D3658" i="2"/>
  <c r="G3657" i="2"/>
  <c r="D3657" i="2"/>
  <c r="G3656" i="2"/>
  <c r="D3656" i="2"/>
  <c r="G3655" i="2"/>
  <c r="D3655" i="2"/>
  <c r="D3654" i="2"/>
  <c r="G3654" i="2"/>
  <c r="D3653" i="2"/>
  <c r="G3653" i="2"/>
  <c r="G3652" i="2"/>
  <c r="D3652" i="2"/>
  <c r="D3651" i="2"/>
  <c r="G3651" i="2"/>
  <c r="D3650" i="2"/>
  <c r="G3650" i="2"/>
  <c r="D3649" i="2"/>
  <c r="G3649" i="2"/>
  <c r="G3648" i="2"/>
  <c r="D3648" i="2"/>
  <c r="G3647" i="2"/>
  <c r="D3647" i="2"/>
  <c r="G3646" i="2"/>
  <c r="D3646" i="2"/>
  <c r="G3645" i="2"/>
  <c r="D3645" i="2"/>
  <c r="G3644" i="2"/>
  <c r="D3644" i="2"/>
  <c r="G3643" i="2"/>
  <c r="D3643" i="2"/>
  <c r="G3642" i="2"/>
  <c r="D3642" i="2"/>
  <c r="G3641" i="2"/>
  <c r="D3641" i="2"/>
  <c r="G3640" i="2"/>
  <c r="D3640" i="2"/>
  <c r="G3639" i="2"/>
  <c r="D3639" i="2"/>
  <c r="G3638" i="2"/>
  <c r="D3638" i="2"/>
  <c r="D3637" i="2"/>
  <c r="G3637" i="2"/>
  <c r="G3636" i="2"/>
  <c r="D3636" i="2"/>
  <c r="G3635" i="2"/>
  <c r="D3635" i="2"/>
  <c r="D3634" i="2"/>
  <c r="G3634" i="2"/>
  <c r="D3633" i="2"/>
  <c r="G3633" i="2"/>
  <c r="D3632" i="2"/>
  <c r="G3632" i="2"/>
  <c r="D3631" i="2"/>
  <c r="G3631" i="2"/>
  <c r="D3630" i="2"/>
  <c r="G3630" i="2"/>
  <c r="G3629" i="2"/>
  <c r="D3629" i="2"/>
  <c r="G3628" i="2"/>
  <c r="D3628" i="2"/>
  <c r="D3627" i="2"/>
  <c r="G3627" i="2"/>
  <c r="G3626" i="2"/>
  <c r="D3626" i="2"/>
  <c r="G3625" i="2"/>
  <c r="D3625" i="2"/>
  <c r="G3624" i="2"/>
  <c r="D3624" i="2"/>
  <c r="G3623" i="2"/>
  <c r="D3623" i="2"/>
  <c r="G3622" i="2"/>
  <c r="D3622" i="2"/>
  <c r="D3621" i="2"/>
  <c r="G3621" i="2"/>
  <c r="D3620" i="2"/>
  <c r="G3620" i="2"/>
  <c r="D3619" i="2"/>
  <c r="G3619" i="2"/>
  <c r="D3618" i="2"/>
  <c r="G3618" i="2"/>
  <c r="D3617" i="2"/>
  <c r="G3617" i="2"/>
  <c r="G3616" i="2"/>
  <c r="D3616" i="2"/>
  <c r="G3615" i="2"/>
  <c r="D3615" i="2"/>
  <c r="G3614" i="2"/>
  <c r="D3614" i="2"/>
  <c r="G3613" i="2"/>
  <c r="D3613" i="2"/>
  <c r="D3612" i="2"/>
  <c r="G3612" i="2"/>
  <c r="G3611" i="2"/>
  <c r="D3611" i="2"/>
  <c r="D3610" i="2"/>
  <c r="G3610" i="2"/>
  <c r="G3609" i="2"/>
  <c r="D3609" i="2"/>
  <c r="G3608" i="2"/>
  <c r="D3608" i="2"/>
  <c r="G3607" i="2"/>
  <c r="D3607" i="2"/>
  <c r="G3606" i="2"/>
  <c r="D3606" i="2"/>
  <c r="G3605" i="2"/>
  <c r="D3605" i="2"/>
  <c r="G3604" i="2"/>
  <c r="D3604" i="2"/>
  <c r="D3603" i="2"/>
  <c r="G3603" i="2"/>
  <c r="G3602" i="2"/>
  <c r="D3602" i="2"/>
  <c r="G3601" i="2"/>
  <c r="D3601" i="2"/>
  <c r="G3600" i="2"/>
  <c r="D3600" i="2"/>
  <c r="G3599" i="2"/>
  <c r="D3599" i="2"/>
  <c r="G3598" i="2"/>
  <c r="D3598" i="2"/>
  <c r="G3597" i="2"/>
  <c r="D3597" i="2"/>
  <c r="G3596" i="2"/>
  <c r="D3596" i="2"/>
  <c r="D3595" i="2"/>
  <c r="G3595" i="2"/>
  <c r="D3594" i="2"/>
  <c r="G3594" i="2"/>
  <c r="G3593" i="2"/>
  <c r="D3593" i="2"/>
  <c r="G3592" i="2"/>
  <c r="D3592" i="2"/>
  <c r="G3591" i="2"/>
  <c r="D3591" i="2"/>
  <c r="G3590" i="2"/>
  <c r="D3590" i="2"/>
  <c r="G3589" i="2"/>
  <c r="D3589" i="2"/>
  <c r="G3588" i="2"/>
  <c r="D3588" i="2"/>
  <c r="D3587" i="2"/>
  <c r="G3587" i="2"/>
  <c r="D3586" i="2"/>
  <c r="G3586" i="2"/>
  <c r="G3585" i="2"/>
  <c r="D3585" i="2"/>
  <c r="G3584" i="2"/>
  <c r="D3584" i="2"/>
  <c r="D3583" i="2"/>
  <c r="G3583" i="2"/>
  <c r="D3582" i="2"/>
  <c r="G3582" i="2"/>
  <c r="D3581" i="2"/>
  <c r="G3581" i="2"/>
  <c r="G3580" i="2"/>
  <c r="D3580" i="2"/>
  <c r="G3579" i="2"/>
  <c r="D3579" i="2"/>
  <c r="G3578" i="2"/>
  <c r="D3578" i="2"/>
  <c r="G3577" i="2"/>
  <c r="D3577" i="2"/>
  <c r="D3576" i="2"/>
  <c r="G3576" i="2"/>
  <c r="D3575" i="2"/>
  <c r="G3575" i="2"/>
  <c r="D3574" i="2"/>
  <c r="G3574" i="2"/>
  <c r="G3573" i="2"/>
  <c r="D3573" i="2"/>
  <c r="D3572" i="2"/>
  <c r="G3572" i="2"/>
  <c r="D3571" i="2"/>
  <c r="G3571" i="2"/>
  <c r="G3570" i="2"/>
  <c r="D3570" i="2"/>
  <c r="G3569" i="2"/>
  <c r="D3569" i="2"/>
  <c r="G3568" i="2"/>
  <c r="D3568" i="2"/>
  <c r="G3567" i="2"/>
  <c r="D3567" i="2"/>
  <c r="D3566" i="2"/>
  <c r="G3566" i="2"/>
  <c r="G3565" i="2"/>
  <c r="D3565" i="2"/>
  <c r="G3564" i="2"/>
  <c r="D3564" i="2"/>
  <c r="D3563" i="2"/>
  <c r="G3563" i="2"/>
  <c r="G3562" i="2"/>
  <c r="D3562" i="2"/>
  <c r="G3561" i="2"/>
  <c r="D3561" i="2"/>
  <c r="G3560" i="2"/>
  <c r="D3560" i="2"/>
  <c r="G3559" i="2"/>
  <c r="D3559" i="2"/>
  <c r="D3558" i="2"/>
  <c r="G3558" i="2"/>
  <c r="D3557" i="2"/>
  <c r="G3557" i="2"/>
  <c r="D3556" i="2"/>
  <c r="G3556" i="2"/>
  <c r="G3555" i="2"/>
  <c r="D3555" i="2"/>
  <c r="G3554" i="2"/>
  <c r="D3554" i="2"/>
  <c r="G3553" i="2"/>
  <c r="D3553" i="2"/>
  <c r="D3552" i="2"/>
  <c r="G3552" i="2"/>
  <c r="D3551" i="2"/>
  <c r="G3551" i="2"/>
  <c r="D3550" i="2"/>
  <c r="G3550" i="2"/>
  <c r="G3549" i="2"/>
  <c r="D3549" i="2"/>
  <c r="D3548" i="2"/>
  <c r="G3548" i="2"/>
  <c r="D3547" i="2"/>
  <c r="G3547" i="2"/>
  <c r="D3546" i="2"/>
  <c r="G3546" i="2"/>
  <c r="G3545" i="2"/>
  <c r="D3545" i="2"/>
  <c r="G3544" i="2"/>
  <c r="D3544" i="2"/>
  <c r="G3543" i="2"/>
  <c r="D3543" i="2"/>
  <c r="D3542" i="2"/>
  <c r="G3542" i="2"/>
  <c r="G3541" i="2"/>
  <c r="D3541" i="2"/>
  <c r="D3540" i="2"/>
  <c r="G3540" i="2"/>
  <c r="D3539" i="2"/>
  <c r="G3539" i="2"/>
  <c r="D3538" i="2"/>
  <c r="G3538" i="2"/>
  <c r="G3537" i="2"/>
  <c r="D3537" i="2"/>
  <c r="G3536" i="2"/>
  <c r="D3536" i="2"/>
  <c r="D3535" i="2"/>
  <c r="G3535" i="2"/>
  <c r="G3534" i="2"/>
  <c r="D3534" i="2"/>
  <c r="D3533" i="2"/>
  <c r="G3533" i="2"/>
  <c r="D3532" i="2"/>
  <c r="G3532" i="2"/>
  <c r="D3531" i="2"/>
  <c r="G3531" i="2"/>
  <c r="G3530" i="2"/>
  <c r="D3530" i="2"/>
  <c r="G3529" i="2"/>
  <c r="D3529" i="2"/>
  <c r="D3528" i="2"/>
  <c r="G3528" i="2"/>
  <c r="D3527" i="2"/>
  <c r="G3527" i="2"/>
  <c r="G3526" i="2"/>
  <c r="D3526" i="2"/>
  <c r="G3525" i="2"/>
  <c r="D3525" i="2"/>
  <c r="G3524" i="2"/>
  <c r="D3524" i="2"/>
  <c r="D3523" i="2"/>
  <c r="G3523" i="2"/>
  <c r="G3522" i="2"/>
  <c r="D3522" i="2"/>
  <c r="D3521" i="2"/>
  <c r="G3521" i="2"/>
  <c r="G3520" i="2"/>
  <c r="D3520" i="2"/>
  <c r="G3519" i="2"/>
  <c r="D3519" i="2"/>
  <c r="G3518" i="2"/>
  <c r="D3518" i="2"/>
  <c r="G3517" i="2"/>
  <c r="D3517" i="2"/>
  <c r="G3516" i="2"/>
  <c r="D3516" i="2"/>
  <c r="D3515" i="2"/>
  <c r="G3515" i="2"/>
  <c r="D3514" i="2"/>
  <c r="G3514" i="2"/>
  <c r="G3513" i="2"/>
  <c r="D3513" i="2"/>
  <c r="G3512" i="2"/>
  <c r="D3512" i="2"/>
  <c r="G3511" i="2"/>
  <c r="D3511" i="2"/>
  <c r="G3510" i="2"/>
  <c r="D3510" i="2"/>
  <c r="G3509" i="2"/>
  <c r="D3509" i="2"/>
  <c r="G3508" i="2"/>
  <c r="D3508" i="2"/>
  <c r="G3507" i="2"/>
  <c r="D3507" i="2"/>
  <c r="G3506" i="2"/>
  <c r="D3506" i="2"/>
  <c r="G3505" i="2"/>
  <c r="D3505" i="2"/>
  <c r="G3504" i="2"/>
  <c r="D3504" i="2"/>
  <c r="G3503" i="2"/>
  <c r="D3503" i="2"/>
  <c r="D3502" i="2"/>
  <c r="G3502" i="2"/>
  <c r="D3501" i="2"/>
  <c r="G3501" i="2"/>
  <c r="D3500" i="2"/>
  <c r="G3500" i="2"/>
  <c r="D3499" i="2"/>
  <c r="G3499" i="2"/>
  <c r="D3498" i="2"/>
  <c r="G3498" i="2"/>
  <c r="G3497" i="2"/>
  <c r="D3497" i="2"/>
  <c r="D3496" i="2"/>
  <c r="G3496" i="2"/>
  <c r="D3495" i="2"/>
  <c r="G3495" i="2"/>
  <c r="G3494" i="2"/>
  <c r="D3494" i="2"/>
  <c r="G3493" i="2"/>
  <c r="D3493" i="2"/>
  <c r="G3492" i="2"/>
  <c r="D3492" i="2"/>
  <c r="D3491" i="2"/>
  <c r="G3491" i="2"/>
  <c r="D3490" i="2"/>
  <c r="G3490" i="2"/>
  <c r="D3489" i="2"/>
  <c r="G3489" i="2"/>
  <c r="G3488" i="2"/>
  <c r="D3488" i="2"/>
  <c r="D3487" i="2"/>
  <c r="G3487" i="2"/>
  <c r="D3486" i="2"/>
  <c r="G3486" i="2"/>
  <c r="G3485" i="2"/>
  <c r="D3485" i="2"/>
  <c r="D3484" i="2"/>
  <c r="G3484" i="2"/>
  <c r="G3483" i="2"/>
  <c r="D3483" i="2"/>
  <c r="G3482" i="2"/>
  <c r="D3482" i="2"/>
  <c r="G3481" i="2"/>
  <c r="D3481" i="2"/>
  <c r="G3480" i="2"/>
  <c r="D3480" i="2"/>
  <c r="G3479" i="2"/>
  <c r="D3479" i="2"/>
  <c r="G3478" i="2"/>
  <c r="D3478" i="2"/>
  <c r="D3477" i="2"/>
  <c r="G3477" i="2"/>
  <c r="G3476" i="2"/>
  <c r="D3476" i="2"/>
  <c r="G3475" i="2"/>
  <c r="D3475" i="2"/>
  <c r="G3474" i="2"/>
  <c r="D3474" i="2"/>
  <c r="G3473" i="2"/>
  <c r="D3473" i="2"/>
  <c r="G3472" i="2"/>
  <c r="D3472" i="2"/>
  <c r="G3471" i="2"/>
  <c r="D3471" i="2"/>
  <c r="G3470" i="2"/>
  <c r="D3470" i="2"/>
  <c r="G3469" i="2"/>
  <c r="D3469" i="2"/>
  <c r="G3468" i="2"/>
  <c r="D3468" i="2"/>
  <c r="G3467" i="2"/>
  <c r="D3467" i="2"/>
  <c r="G3466" i="2"/>
  <c r="D3466" i="2"/>
  <c r="G3465" i="2"/>
  <c r="D3465" i="2"/>
  <c r="G3464" i="2"/>
  <c r="D3464" i="2"/>
  <c r="G3463" i="2"/>
  <c r="D3463" i="2"/>
  <c r="G3462" i="2"/>
  <c r="D3462" i="2"/>
  <c r="D3461" i="2"/>
  <c r="G3461" i="2"/>
  <c r="G3460" i="2"/>
  <c r="D3460" i="2"/>
  <c r="G3459" i="2"/>
  <c r="D3459" i="2"/>
  <c r="G3458" i="2"/>
  <c r="D3458" i="2"/>
  <c r="G3457" i="2"/>
  <c r="D3457" i="2"/>
  <c r="G3456" i="2"/>
  <c r="D3456" i="2"/>
  <c r="G3455" i="2"/>
  <c r="D3455" i="2"/>
  <c r="G3454" i="2"/>
  <c r="D3454" i="2"/>
  <c r="G3453" i="2"/>
  <c r="D3453" i="2"/>
  <c r="G3452" i="2"/>
  <c r="D3452" i="2"/>
  <c r="D3451" i="2"/>
  <c r="G3451" i="2"/>
  <c r="D3450" i="2"/>
  <c r="G3450" i="2"/>
  <c r="D3449" i="2"/>
  <c r="G3449" i="2"/>
  <c r="G3448" i="2"/>
  <c r="D3448" i="2"/>
  <c r="D3447" i="2"/>
  <c r="G3447" i="2"/>
  <c r="D3446" i="2"/>
  <c r="G3446" i="2"/>
  <c r="G3445" i="2"/>
  <c r="D3445" i="2"/>
  <c r="D3444" i="2"/>
  <c r="G3444" i="2"/>
  <c r="G3443" i="2"/>
  <c r="D3443" i="2"/>
  <c r="D3442" i="2"/>
  <c r="G3442" i="2"/>
  <c r="D3441" i="2"/>
  <c r="G3441" i="2"/>
  <c r="D3440" i="2"/>
  <c r="G3440" i="2"/>
  <c r="D3439" i="2"/>
  <c r="G3439" i="2"/>
  <c r="D3438" i="2"/>
  <c r="G3438" i="2"/>
  <c r="D3437" i="2"/>
  <c r="G3437" i="2"/>
  <c r="G3436" i="2"/>
  <c r="D3436" i="2"/>
  <c r="G3435" i="2"/>
  <c r="D3435" i="2"/>
  <c r="G3434" i="2"/>
  <c r="D3434" i="2"/>
  <c r="G3433" i="2"/>
  <c r="D3433" i="2"/>
  <c r="D3432" i="2"/>
  <c r="G3432" i="2"/>
  <c r="G3431" i="2"/>
  <c r="D3431" i="2"/>
  <c r="D3430" i="2"/>
  <c r="G3430" i="2"/>
  <c r="G3429" i="2"/>
  <c r="D3429" i="2"/>
  <c r="G3428" i="2"/>
  <c r="D3428" i="2"/>
  <c r="G3427" i="2"/>
  <c r="D3427" i="2"/>
  <c r="G3426" i="2"/>
  <c r="D3426" i="2"/>
  <c r="G3425" i="2"/>
  <c r="D3425" i="2"/>
  <c r="G3424" i="2"/>
  <c r="D3424" i="2"/>
  <c r="G3423" i="2"/>
  <c r="D3423" i="2"/>
  <c r="G3422" i="2"/>
  <c r="D3422" i="2"/>
  <c r="G3421" i="2"/>
  <c r="D3421" i="2"/>
  <c r="G3420" i="2"/>
  <c r="D3420" i="2"/>
  <c r="D3419" i="2"/>
  <c r="G3419" i="2"/>
  <c r="G3418" i="2"/>
  <c r="D3418" i="2"/>
  <c r="G3417" i="2"/>
  <c r="D3417" i="2"/>
  <c r="D3416" i="2"/>
  <c r="G3416" i="2"/>
  <c r="G3415" i="2"/>
  <c r="D3415" i="2"/>
  <c r="G3414" i="2"/>
  <c r="D3414" i="2"/>
  <c r="G3413" i="2"/>
  <c r="D3413" i="2"/>
  <c r="G3412" i="2"/>
  <c r="D3412" i="2"/>
  <c r="G3411" i="2"/>
  <c r="D3411" i="2"/>
  <c r="G3410" i="2"/>
  <c r="D3410" i="2"/>
  <c r="G3409" i="2"/>
  <c r="D3409" i="2"/>
  <c r="D3408" i="2"/>
  <c r="G3408" i="2"/>
  <c r="G3407" i="2"/>
  <c r="D3407" i="2"/>
  <c r="G3406" i="2"/>
  <c r="D3406" i="2"/>
  <c r="D3405" i="2"/>
  <c r="G3405" i="2"/>
  <c r="D3404" i="2"/>
  <c r="G3404" i="2"/>
  <c r="D3403" i="2"/>
  <c r="G3403" i="2"/>
  <c r="G3402" i="2"/>
  <c r="D3402" i="2"/>
  <c r="G3401" i="2"/>
  <c r="D3401" i="2"/>
  <c r="D3400" i="2"/>
  <c r="G3400" i="2"/>
  <c r="G3399" i="2"/>
  <c r="D3399" i="2"/>
  <c r="G3398" i="2"/>
  <c r="D3398" i="2"/>
  <c r="G3397" i="2"/>
  <c r="D3397" i="2"/>
  <c r="D3396" i="2"/>
  <c r="G3396" i="2"/>
  <c r="D3395" i="2"/>
  <c r="G3395" i="2"/>
  <c r="G3394" i="2"/>
  <c r="D3394" i="2"/>
  <c r="G3393" i="2"/>
  <c r="D3393" i="2"/>
  <c r="D3392" i="2"/>
  <c r="G3392" i="2"/>
  <c r="D3391" i="2"/>
  <c r="G3391" i="2"/>
  <c r="D3390" i="2"/>
  <c r="G3390" i="2"/>
  <c r="G3389" i="2"/>
  <c r="D3389" i="2"/>
  <c r="D3388" i="2"/>
  <c r="G3388" i="2"/>
  <c r="D3387" i="2"/>
  <c r="G3387" i="2"/>
  <c r="G3386" i="2"/>
  <c r="D3386" i="2"/>
  <c r="D3385" i="2"/>
  <c r="G3385" i="2"/>
  <c r="D3384" i="2"/>
  <c r="G3384" i="2"/>
  <c r="G3383" i="2"/>
  <c r="D3383" i="2"/>
  <c r="D3382" i="2"/>
  <c r="G3382" i="2"/>
  <c r="D3381" i="2"/>
  <c r="G3381" i="2"/>
  <c r="G3380" i="2"/>
  <c r="D3380" i="2"/>
  <c r="D3379" i="2"/>
  <c r="G3379" i="2"/>
  <c r="G3378" i="2"/>
  <c r="D3378" i="2"/>
  <c r="D3377" i="2"/>
  <c r="G3377" i="2"/>
  <c r="G3376" i="2"/>
  <c r="D3376" i="2"/>
  <c r="D3375" i="2"/>
  <c r="G3375" i="2"/>
  <c r="G3374" i="2"/>
  <c r="D3374" i="2"/>
  <c r="G3373" i="2"/>
  <c r="D3373" i="2"/>
  <c r="G3372" i="2"/>
  <c r="D3372" i="2"/>
  <c r="G3371" i="2"/>
  <c r="D3371" i="2"/>
  <c r="G3370" i="2"/>
  <c r="D3370" i="2"/>
  <c r="G3369" i="2"/>
  <c r="D3369" i="2"/>
  <c r="G3368" i="2"/>
  <c r="D3368" i="2"/>
  <c r="D3367" i="2"/>
  <c r="G3367" i="2"/>
  <c r="G3366" i="2"/>
  <c r="D3366" i="2"/>
  <c r="G3365" i="2"/>
  <c r="D3365" i="2"/>
  <c r="D3364" i="2"/>
  <c r="G3364" i="2"/>
  <c r="D3363" i="2"/>
  <c r="G3363" i="2"/>
  <c r="D3362" i="2"/>
  <c r="G3362" i="2"/>
  <c r="D3361" i="2"/>
  <c r="G3361" i="2"/>
  <c r="G3360" i="2"/>
  <c r="D3360" i="2"/>
  <c r="G3359" i="2"/>
  <c r="D3359" i="2"/>
  <c r="G3358" i="2"/>
  <c r="D3358" i="2"/>
  <c r="D3357" i="2"/>
  <c r="G3357" i="2"/>
  <c r="D3356" i="2"/>
  <c r="G3356" i="2"/>
  <c r="D3355" i="2"/>
  <c r="G3355" i="2"/>
  <c r="D3354" i="2"/>
  <c r="G3354" i="2"/>
  <c r="D3353" i="2"/>
  <c r="G3353" i="2"/>
  <c r="D3352" i="2"/>
  <c r="G3352" i="2"/>
  <c r="G3351" i="2"/>
  <c r="D3351" i="2"/>
  <c r="G3350" i="2"/>
  <c r="D3350" i="2"/>
  <c r="D3349" i="2"/>
  <c r="G3349" i="2"/>
  <c r="G3348" i="2"/>
  <c r="D3348" i="2"/>
  <c r="G3347" i="2"/>
  <c r="D3347" i="2"/>
  <c r="G3346" i="2"/>
  <c r="D3346" i="2"/>
  <c r="D3345" i="2"/>
  <c r="G3345" i="2"/>
  <c r="D3344" i="2"/>
  <c r="G3344" i="2"/>
  <c r="D3343" i="2"/>
  <c r="G3343" i="2"/>
  <c r="D3342" i="2"/>
  <c r="G3342" i="2"/>
  <c r="G3341" i="2"/>
  <c r="D3341" i="2"/>
  <c r="G3340" i="2"/>
  <c r="D3340" i="2"/>
  <c r="D3339" i="2"/>
  <c r="G3339" i="2"/>
  <c r="G3338" i="2"/>
  <c r="D3338" i="2"/>
  <c r="G3337" i="2"/>
  <c r="D3337" i="2"/>
  <c r="G3336" i="2"/>
  <c r="D3336" i="2"/>
  <c r="G3335" i="2"/>
  <c r="D3335" i="2"/>
  <c r="D3334" i="2"/>
  <c r="G3334" i="2"/>
  <c r="G3333" i="2"/>
  <c r="D3333" i="2"/>
  <c r="D3332" i="2"/>
  <c r="G3332" i="2"/>
  <c r="G3331" i="2"/>
  <c r="D3331" i="2"/>
  <c r="G3330" i="2"/>
  <c r="D3330" i="2"/>
  <c r="G3329" i="2"/>
  <c r="D3329" i="2"/>
  <c r="G3328" i="2"/>
  <c r="D3328" i="2"/>
  <c r="G3327" i="2"/>
  <c r="D3327" i="2"/>
  <c r="G3326" i="2"/>
  <c r="D3326" i="2"/>
  <c r="D3325" i="2"/>
  <c r="G3325" i="2"/>
  <c r="D3324" i="2"/>
  <c r="G3324" i="2"/>
  <c r="G3323" i="2"/>
  <c r="D3323" i="2"/>
  <c r="G3322" i="2"/>
  <c r="D3322" i="2"/>
  <c r="G3321" i="2"/>
  <c r="D3321" i="2"/>
  <c r="G3320" i="2"/>
  <c r="D3320" i="2"/>
  <c r="G3319" i="2"/>
  <c r="D3319" i="2"/>
  <c r="G3318" i="2"/>
  <c r="D3318" i="2"/>
  <c r="G3317" i="2"/>
  <c r="D3317" i="2"/>
  <c r="G3316" i="2"/>
  <c r="D3316" i="2"/>
  <c r="G3315" i="2"/>
  <c r="D3315" i="2"/>
  <c r="G3314" i="2"/>
  <c r="D3314" i="2"/>
  <c r="D3313" i="2"/>
  <c r="G3313" i="2"/>
  <c r="D3312" i="2"/>
  <c r="G3312" i="2"/>
  <c r="D3311" i="2"/>
  <c r="G3311" i="2"/>
  <c r="D3310" i="2"/>
  <c r="G3310" i="2"/>
  <c r="D3309" i="2"/>
  <c r="G3309" i="2"/>
  <c r="G3308" i="2"/>
  <c r="D3308" i="2"/>
  <c r="D3307" i="2"/>
  <c r="G3307" i="2"/>
  <c r="D3306" i="2"/>
  <c r="G3306" i="2"/>
  <c r="G3305" i="2"/>
  <c r="D3305" i="2"/>
  <c r="D3304" i="2"/>
  <c r="G3304" i="2"/>
  <c r="G3303" i="2"/>
  <c r="D3303" i="2"/>
  <c r="G3302" i="2"/>
  <c r="D3302" i="2"/>
  <c r="G3301" i="2"/>
  <c r="D3301" i="2"/>
  <c r="D3300" i="2"/>
  <c r="G3300" i="2"/>
  <c r="D3299" i="2"/>
  <c r="G3299" i="2"/>
  <c r="D3298" i="2"/>
  <c r="G3298" i="2"/>
  <c r="D3297" i="2"/>
  <c r="G3297" i="2"/>
  <c r="D3296" i="2"/>
  <c r="G3296" i="2"/>
  <c r="G3295" i="2"/>
  <c r="D3295" i="2"/>
  <c r="D3294" i="2"/>
  <c r="G3294" i="2"/>
  <c r="D3293" i="2"/>
  <c r="G3293" i="2"/>
  <c r="G3292" i="2"/>
  <c r="D3292" i="2"/>
  <c r="D3291" i="2"/>
  <c r="G3291" i="2"/>
  <c r="D3290" i="2"/>
  <c r="G3290" i="2"/>
  <c r="D3289" i="2"/>
  <c r="G3289" i="2"/>
  <c r="G3288" i="2"/>
  <c r="D3288" i="2"/>
  <c r="G3287" i="2"/>
  <c r="D3287" i="2"/>
  <c r="D3286" i="2"/>
  <c r="G3286" i="2"/>
  <c r="D3285" i="2"/>
  <c r="G3285" i="2"/>
  <c r="D3284" i="2"/>
  <c r="G3284" i="2"/>
  <c r="G3283" i="2"/>
  <c r="D3283" i="2"/>
  <c r="D3282" i="2"/>
  <c r="G3282" i="2"/>
  <c r="G3281" i="2"/>
  <c r="D3281" i="2"/>
  <c r="D3280" i="2"/>
  <c r="G3280" i="2"/>
  <c r="D3279" i="2"/>
  <c r="G3279" i="2"/>
  <c r="G3278" i="2"/>
  <c r="D3278" i="2"/>
  <c r="D3277" i="2"/>
  <c r="G3277" i="2"/>
  <c r="G3276" i="2"/>
  <c r="D3276" i="2"/>
  <c r="D3275" i="2"/>
  <c r="G3275" i="2"/>
  <c r="G3274" i="2"/>
  <c r="D3274" i="2"/>
  <c r="G3273" i="2"/>
  <c r="D3273" i="2"/>
  <c r="D3272" i="2"/>
  <c r="G3272" i="2"/>
  <c r="D3271" i="2"/>
  <c r="G3271" i="2"/>
  <c r="G3270" i="2"/>
  <c r="D3270" i="2"/>
  <c r="D3269" i="2"/>
  <c r="G3269" i="2"/>
  <c r="D3268" i="2"/>
  <c r="G3268" i="2"/>
  <c r="G3267" i="2"/>
  <c r="D3267" i="2"/>
  <c r="G3266" i="2"/>
  <c r="D3266" i="2"/>
  <c r="D3265" i="2"/>
  <c r="G3265" i="2"/>
  <c r="D3264" i="2"/>
  <c r="G3264" i="2"/>
  <c r="G3263" i="2"/>
  <c r="D3263" i="2"/>
  <c r="D3262" i="2"/>
  <c r="G3262" i="2"/>
  <c r="D3261" i="2"/>
  <c r="G3261" i="2"/>
  <c r="G3260" i="2"/>
  <c r="D3260" i="2"/>
  <c r="G3259" i="2"/>
  <c r="D3259" i="2"/>
  <c r="G3258" i="2"/>
  <c r="D3258" i="2"/>
  <c r="G3257" i="2"/>
  <c r="D3257" i="2"/>
  <c r="D3256" i="2"/>
  <c r="G3256" i="2"/>
  <c r="D3255" i="2"/>
  <c r="G3255" i="2"/>
  <c r="D3254" i="2"/>
  <c r="G3254" i="2"/>
  <c r="D3253" i="2"/>
  <c r="G3253" i="2"/>
  <c r="D3252" i="2"/>
  <c r="G3252" i="2"/>
  <c r="D3251" i="2"/>
  <c r="G3251" i="2"/>
  <c r="D3250" i="2"/>
  <c r="G3250" i="2"/>
  <c r="D3249" i="2"/>
  <c r="G3249" i="2"/>
  <c r="D3248" i="2"/>
  <c r="G3248" i="2"/>
  <c r="G3247" i="2"/>
  <c r="D3247" i="2"/>
  <c r="G3246" i="2"/>
  <c r="D3246" i="2"/>
  <c r="D3245" i="2"/>
  <c r="G3245" i="2"/>
  <c r="D3244" i="2"/>
  <c r="G3244" i="2"/>
  <c r="D3243" i="2"/>
  <c r="G3243" i="2"/>
  <c r="G3242" i="2"/>
  <c r="D3242" i="2"/>
  <c r="G3241" i="2"/>
  <c r="D3241" i="2"/>
  <c r="G3240" i="2"/>
  <c r="D3240" i="2"/>
  <c r="G3239" i="2"/>
  <c r="D3239" i="2"/>
  <c r="D3238" i="2"/>
  <c r="G3238" i="2"/>
  <c r="D3237" i="2"/>
  <c r="G3237" i="2"/>
  <c r="D3236" i="2"/>
  <c r="G3236" i="2"/>
  <c r="D3235" i="2"/>
  <c r="G3235" i="2"/>
  <c r="G3234" i="2"/>
  <c r="D3234" i="2"/>
  <c r="D3233" i="2"/>
  <c r="G3233" i="2"/>
  <c r="G3232" i="2"/>
  <c r="D3232" i="2"/>
  <c r="G3231" i="2"/>
  <c r="D3231" i="2"/>
  <c r="G3230" i="2"/>
  <c r="D3230" i="2"/>
  <c r="D3229" i="2"/>
  <c r="G3229" i="2"/>
  <c r="G3228" i="2"/>
  <c r="D3228" i="2"/>
  <c r="G3227" i="2"/>
  <c r="D3227" i="2"/>
  <c r="G3226" i="2"/>
  <c r="D3226" i="2"/>
  <c r="G3225" i="2"/>
  <c r="D3225" i="2"/>
  <c r="G3224" i="2"/>
  <c r="D3224" i="2"/>
  <c r="D3223" i="2"/>
  <c r="G3223" i="2"/>
  <c r="D3222" i="2"/>
  <c r="G3222" i="2"/>
  <c r="G3221" i="2"/>
  <c r="D3221" i="2"/>
  <c r="G3220" i="2"/>
  <c r="D3220" i="2"/>
  <c r="D3219" i="2"/>
  <c r="G3219" i="2"/>
  <c r="G3218" i="2"/>
  <c r="D3218" i="2"/>
  <c r="G3217" i="2"/>
  <c r="D3217" i="2"/>
  <c r="G3216" i="2"/>
  <c r="D3216" i="2"/>
  <c r="G3215" i="2"/>
  <c r="D3215" i="2"/>
  <c r="G3214" i="2"/>
  <c r="D3214" i="2"/>
  <c r="D3213" i="2"/>
  <c r="G3213" i="2"/>
  <c r="D3212" i="2"/>
  <c r="G3212" i="2"/>
  <c r="D3211" i="2"/>
  <c r="G3211" i="2"/>
  <c r="D3210" i="2"/>
  <c r="G3210" i="2"/>
  <c r="G3209" i="2"/>
  <c r="D3209" i="2"/>
  <c r="D3208" i="2"/>
  <c r="G3208" i="2"/>
  <c r="G3207" i="2"/>
  <c r="D3207" i="2"/>
  <c r="G3206" i="2"/>
  <c r="D3206" i="2"/>
  <c r="D3205" i="2"/>
  <c r="G3205" i="2"/>
  <c r="G3204" i="2"/>
  <c r="D3204" i="2"/>
  <c r="G3203" i="2"/>
  <c r="D3203" i="2"/>
  <c r="G3202" i="2"/>
  <c r="D3202" i="2"/>
  <c r="G3201" i="2"/>
  <c r="D3201" i="2"/>
  <c r="G3200" i="2"/>
  <c r="D3200" i="2"/>
  <c r="D3199" i="2"/>
  <c r="G3199" i="2"/>
  <c r="G3198" i="2"/>
  <c r="D3198" i="2"/>
  <c r="G3197" i="2"/>
  <c r="D3197" i="2"/>
  <c r="D3196" i="2"/>
  <c r="G3196" i="2"/>
  <c r="G3195" i="2"/>
  <c r="D3195" i="2"/>
  <c r="G3194" i="2"/>
  <c r="D3194" i="2"/>
  <c r="G3193" i="2"/>
  <c r="D3193" i="2"/>
  <c r="G3192" i="2"/>
  <c r="D3192" i="2"/>
  <c r="G3191" i="2"/>
  <c r="D3191" i="2"/>
  <c r="G3190" i="2"/>
  <c r="D3190" i="2"/>
  <c r="G3189" i="2"/>
  <c r="D3189" i="2"/>
  <c r="G3188" i="2"/>
  <c r="D3188" i="2"/>
  <c r="G3187" i="2"/>
  <c r="D3187" i="2"/>
  <c r="G3186" i="2"/>
  <c r="D3186" i="2"/>
  <c r="G3185" i="2"/>
  <c r="D3185" i="2"/>
  <c r="G3184" i="2"/>
  <c r="D3184" i="2"/>
  <c r="G3183" i="2"/>
  <c r="D3183" i="2"/>
  <c r="G3182" i="2"/>
  <c r="D3182" i="2"/>
  <c r="G3181" i="2"/>
  <c r="D3181" i="2"/>
  <c r="G3180" i="2"/>
  <c r="D3180" i="2"/>
  <c r="G3179" i="2"/>
  <c r="D3179" i="2"/>
  <c r="G3178" i="2"/>
  <c r="D3178" i="2"/>
  <c r="G3177" i="2"/>
  <c r="D3177" i="2"/>
  <c r="G3176" i="2"/>
  <c r="D3176" i="2"/>
  <c r="G3175" i="2"/>
  <c r="D3175" i="2"/>
  <c r="G3174" i="2"/>
  <c r="D3174" i="2"/>
  <c r="G3173" i="2"/>
  <c r="D3173" i="2"/>
  <c r="G3172" i="2"/>
  <c r="D3172" i="2"/>
  <c r="G3171" i="2"/>
  <c r="D3171" i="2"/>
  <c r="G3170" i="2"/>
  <c r="D3170" i="2"/>
  <c r="G3169" i="2"/>
  <c r="D3169" i="2"/>
  <c r="G3168" i="2"/>
  <c r="D3168" i="2"/>
  <c r="G3167" i="2"/>
  <c r="D3167" i="2"/>
  <c r="G3166" i="2"/>
  <c r="D3166" i="2"/>
  <c r="G3165" i="2"/>
  <c r="D3165" i="2"/>
  <c r="G3164" i="2"/>
  <c r="D3164" i="2"/>
  <c r="G3163" i="2"/>
  <c r="D3163" i="2"/>
  <c r="G3162" i="2"/>
  <c r="D3162" i="2"/>
  <c r="G3161" i="2"/>
  <c r="D3161" i="2"/>
  <c r="G3160" i="2"/>
  <c r="D3160" i="2"/>
  <c r="G3159" i="2"/>
  <c r="D3159" i="2"/>
  <c r="G3158" i="2"/>
  <c r="D3158" i="2"/>
  <c r="G3157" i="2"/>
  <c r="D3157" i="2"/>
  <c r="G3156" i="2"/>
  <c r="D3156" i="2"/>
  <c r="G3155" i="2"/>
  <c r="D3155" i="2"/>
  <c r="G3154" i="2"/>
  <c r="D3154" i="2"/>
  <c r="G3153" i="2"/>
  <c r="D3153" i="2"/>
  <c r="G3152" i="2"/>
  <c r="D3152" i="2"/>
  <c r="G3151" i="2"/>
  <c r="D3151" i="2"/>
  <c r="G3150" i="2"/>
  <c r="D3150" i="2"/>
  <c r="G3149" i="2"/>
  <c r="D3149" i="2"/>
  <c r="G3148" i="2"/>
  <c r="D3148" i="2"/>
  <c r="G3147" i="2"/>
  <c r="D3147" i="2"/>
  <c r="G3146" i="2"/>
  <c r="D3146" i="2"/>
  <c r="G3145" i="2"/>
  <c r="D3145" i="2"/>
  <c r="G3144" i="2"/>
  <c r="D3144" i="2"/>
  <c r="G3143" i="2"/>
  <c r="D3143" i="2"/>
  <c r="G3142" i="2"/>
  <c r="D3142" i="2"/>
  <c r="G3141" i="2"/>
  <c r="D3141" i="2"/>
  <c r="G3140" i="2"/>
  <c r="D3140" i="2"/>
  <c r="G3139" i="2"/>
  <c r="D3139" i="2"/>
  <c r="G3138" i="2"/>
  <c r="D3138" i="2"/>
  <c r="D3137" i="2"/>
  <c r="G3137" i="2"/>
  <c r="D3136" i="2"/>
  <c r="G3136" i="2"/>
  <c r="D3135" i="2"/>
  <c r="G3135" i="2"/>
  <c r="G3134" i="2"/>
  <c r="D3134" i="2"/>
  <c r="D3133" i="2"/>
  <c r="G3133" i="2"/>
  <c r="D3132" i="2"/>
  <c r="G3132" i="2"/>
  <c r="D3131" i="2"/>
  <c r="G3131" i="2"/>
  <c r="D3130" i="2"/>
  <c r="G3130" i="2"/>
  <c r="G3129" i="2"/>
  <c r="D3129" i="2"/>
  <c r="D3128" i="2"/>
  <c r="G3128" i="2"/>
  <c r="G3127" i="2"/>
  <c r="D3127" i="2"/>
  <c r="D3126" i="2"/>
  <c r="G3126" i="2"/>
  <c r="G3125" i="2"/>
  <c r="D3125" i="2"/>
  <c r="D3124" i="2"/>
  <c r="G3124" i="2"/>
  <c r="G3123" i="2"/>
  <c r="D3123" i="2"/>
  <c r="G3122" i="2"/>
  <c r="D3122" i="2"/>
  <c r="D3121" i="2"/>
  <c r="G3121" i="2"/>
  <c r="D3120" i="2"/>
  <c r="G3120" i="2"/>
  <c r="G3119" i="2"/>
  <c r="D3119" i="2"/>
  <c r="G3118" i="2"/>
  <c r="D3118" i="2"/>
  <c r="G3117" i="2"/>
  <c r="D3117" i="2"/>
  <c r="D3116" i="2"/>
  <c r="G3116" i="2"/>
  <c r="G3115" i="2"/>
  <c r="D3115" i="2"/>
  <c r="G3114" i="2"/>
  <c r="D3114" i="2"/>
  <c r="G3113" i="2"/>
  <c r="D3113" i="2"/>
  <c r="G3112" i="2"/>
  <c r="D3112" i="2"/>
  <c r="D3111" i="2"/>
  <c r="G3111" i="2"/>
  <c r="D3110" i="2"/>
  <c r="G3110" i="2"/>
  <c r="G3109" i="2"/>
  <c r="D3109" i="2"/>
  <c r="G3108" i="2"/>
  <c r="D3108" i="2"/>
  <c r="D3107" i="2"/>
  <c r="G3107" i="2"/>
  <c r="G3106" i="2"/>
  <c r="D3106" i="2"/>
  <c r="G3105" i="2"/>
  <c r="D3105" i="2"/>
  <c r="G3104" i="2"/>
  <c r="D3104" i="2"/>
  <c r="G3103" i="2"/>
  <c r="D3103" i="2"/>
  <c r="D3102" i="2"/>
  <c r="G3102" i="2"/>
  <c r="G3101" i="2"/>
  <c r="D3101" i="2"/>
  <c r="D3100" i="2"/>
  <c r="G3100" i="2"/>
  <c r="D3099" i="2"/>
  <c r="G3099" i="2"/>
  <c r="D3098" i="2"/>
  <c r="G3098" i="2"/>
  <c r="D3097" i="2"/>
  <c r="G3097" i="2"/>
  <c r="G3096" i="2"/>
  <c r="D3096" i="2"/>
  <c r="G3095" i="2"/>
  <c r="D3095" i="2"/>
  <c r="G3094" i="2"/>
  <c r="D3094" i="2"/>
  <c r="D3093" i="2"/>
  <c r="G3093" i="2"/>
  <c r="G3092" i="2"/>
  <c r="D3092" i="2"/>
  <c r="G3091" i="2"/>
  <c r="D3091" i="2"/>
  <c r="G3090" i="2"/>
  <c r="D3090" i="2"/>
  <c r="G3089" i="2"/>
  <c r="D3089" i="2"/>
  <c r="G3088" i="2"/>
  <c r="D3088" i="2"/>
  <c r="G3087" i="2"/>
  <c r="D3087" i="2"/>
  <c r="G3086" i="2"/>
  <c r="D3086" i="2"/>
  <c r="D3085" i="2"/>
  <c r="G3085" i="2"/>
  <c r="G3084" i="2"/>
  <c r="D3084" i="2"/>
  <c r="G3083" i="2"/>
  <c r="D3083" i="2"/>
  <c r="G3082" i="2"/>
  <c r="D3082" i="2"/>
  <c r="G3081" i="2"/>
  <c r="D3081" i="2"/>
  <c r="D3080" i="2"/>
  <c r="G3080" i="2"/>
  <c r="G3079" i="2"/>
  <c r="D3079" i="2"/>
  <c r="G3078" i="2"/>
  <c r="D3078" i="2"/>
  <c r="D3077" i="2"/>
  <c r="G3077" i="2"/>
  <c r="G3076" i="2"/>
  <c r="D3076" i="2"/>
  <c r="G3075" i="2"/>
  <c r="D3075" i="2"/>
  <c r="G3074" i="2"/>
  <c r="D3074" i="2"/>
  <c r="D3073" i="2"/>
  <c r="G3073" i="2"/>
  <c r="D3072" i="2"/>
  <c r="G3072" i="2"/>
  <c r="G3071" i="2"/>
  <c r="D3071" i="2"/>
  <c r="D3070" i="2"/>
  <c r="G3070" i="2"/>
  <c r="G3069" i="2"/>
  <c r="D3069" i="2"/>
  <c r="G3068" i="2"/>
  <c r="D3068" i="2"/>
  <c r="D3067" i="2"/>
  <c r="G3067" i="2"/>
  <c r="G3066" i="2"/>
  <c r="D3066" i="2"/>
  <c r="D3065" i="2"/>
  <c r="G3065" i="2"/>
  <c r="D3064" i="2"/>
  <c r="G3064" i="2"/>
  <c r="G3063" i="2"/>
  <c r="D3063" i="2"/>
  <c r="G3062" i="2"/>
  <c r="D3062" i="2"/>
  <c r="G3061" i="2"/>
  <c r="D3061" i="2"/>
  <c r="G3060" i="2"/>
  <c r="D3060" i="2"/>
  <c r="G3059" i="2"/>
  <c r="D3059" i="2"/>
  <c r="G3058" i="2"/>
  <c r="D3058" i="2"/>
  <c r="D3057" i="2"/>
  <c r="G3057" i="2"/>
  <c r="G3056" i="2"/>
  <c r="D3056" i="2"/>
  <c r="D3055" i="2"/>
  <c r="G3055" i="2"/>
  <c r="G3054" i="2"/>
  <c r="D3054" i="2"/>
  <c r="G3053" i="2"/>
  <c r="D3053" i="2"/>
  <c r="G3052" i="2"/>
  <c r="D3052" i="2"/>
  <c r="G3051" i="2"/>
  <c r="D3051" i="2"/>
  <c r="G3050" i="2"/>
  <c r="D3050" i="2"/>
  <c r="G3049" i="2"/>
  <c r="D3049" i="2"/>
  <c r="G3048" i="2"/>
  <c r="D3048" i="2"/>
  <c r="D3047" i="2"/>
  <c r="G3047" i="2"/>
  <c r="G3046" i="2"/>
  <c r="D3046" i="2"/>
  <c r="G3045" i="2"/>
  <c r="D3045" i="2"/>
  <c r="G3044" i="2"/>
  <c r="D3044" i="2"/>
  <c r="G3043" i="2"/>
  <c r="D3043" i="2"/>
  <c r="D3042" i="2"/>
  <c r="G3042" i="2"/>
  <c r="G3041" i="2"/>
  <c r="D3041" i="2"/>
  <c r="D3040" i="2"/>
  <c r="G3040" i="2"/>
  <c r="D3039" i="2"/>
  <c r="G3039" i="2"/>
  <c r="G3038" i="2"/>
  <c r="D3038" i="2"/>
  <c r="G3037" i="2"/>
  <c r="D3037" i="2"/>
  <c r="G3036" i="2"/>
  <c r="D3036" i="2"/>
  <c r="G3035" i="2"/>
  <c r="D3035" i="2"/>
  <c r="G3034" i="2"/>
  <c r="D3034" i="2"/>
  <c r="D3033" i="2"/>
  <c r="G3033" i="2"/>
  <c r="D3032" i="2"/>
  <c r="G3032" i="2"/>
  <c r="D3031" i="2"/>
  <c r="G3031" i="2"/>
  <c r="D3030" i="2"/>
  <c r="G3030" i="2"/>
  <c r="G3029" i="2"/>
  <c r="D3029" i="2"/>
  <c r="D3028" i="2"/>
  <c r="G3028" i="2"/>
  <c r="D3027" i="2"/>
  <c r="G3027" i="2"/>
  <c r="D3026" i="2"/>
  <c r="G3026" i="2"/>
  <c r="D3025" i="2"/>
  <c r="G3025" i="2"/>
  <c r="G3024" i="2"/>
  <c r="D3024" i="2"/>
  <c r="D3023" i="2"/>
  <c r="G3023" i="2"/>
  <c r="D3022" i="2"/>
  <c r="G3022" i="2"/>
  <c r="D3021" i="2"/>
  <c r="G3021" i="2"/>
  <c r="D3020" i="2"/>
  <c r="G3020" i="2"/>
  <c r="D3019" i="2"/>
  <c r="G3019" i="2"/>
  <c r="G3018" i="2"/>
  <c r="D3018" i="2"/>
  <c r="D3017" i="2"/>
  <c r="G3017" i="2"/>
  <c r="G3016" i="2"/>
  <c r="D3016" i="2"/>
  <c r="G3015" i="2"/>
  <c r="D3015" i="2"/>
  <c r="D3014" i="2"/>
  <c r="G3014" i="2"/>
  <c r="G3013" i="2"/>
  <c r="D3013" i="2"/>
  <c r="D3012" i="2"/>
  <c r="G3012" i="2"/>
  <c r="D3011" i="2"/>
  <c r="G3011" i="2"/>
  <c r="D3010" i="2"/>
  <c r="G3010" i="2"/>
  <c r="D3009" i="2"/>
  <c r="G3009" i="2"/>
  <c r="D3008" i="2"/>
  <c r="G3008" i="2"/>
  <c r="D3007" i="2"/>
  <c r="G3007" i="2"/>
  <c r="G3006" i="2"/>
  <c r="D3006" i="2"/>
  <c r="G3005" i="2"/>
  <c r="D3005" i="2"/>
  <c r="G3004" i="2"/>
  <c r="D3004" i="2"/>
  <c r="G3003" i="2"/>
  <c r="D3003" i="2"/>
  <c r="G3002" i="2"/>
  <c r="D3002" i="2"/>
  <c r="G3001" i="2"/>
  <c r="D3001" i="2"/>
  <c r="D3000" i="2"/>
  <c r="G3000" i="2"/>
  <c r="G2999" i="2"/>
  <c r="D2999" i="2"/>
  <c r="G2998" i="2"/>
  <c r="D2998" i="2"/>
  <c r="G2997" i="2"/>
  <c r="D2997" i="2"/>
  <c r="G2996" i="2"/>
  <c r="D2996" i="2"/>
  <c r="G2995" i="2"/>
  <c r="D2995" i="2"/>
  <c r="D2994" i="2"/>
  <c r="G2994" i="2"/>
  <c r="D2993" i="2"/>
  <c r="G2993" i="2"/>
  <c r="G2992" i="2"/>
  <c r="D2992" i="2"/>
  <c r="D2991" i="2"/>
  <c r="G2991" i="2"/>
  <c r="D2990" i="2"/>
  <c r="G2990" i="2"/>
  <c r="D2989" i="2"/>
  <c r="G2989" i="2"/>
  <c r="G2988" i="2"/>
  <c r="D2988" i="2"/>
  <c r="G2987" i="2"/>
  <c r="D2987" i="2"/>
  <c r="G2986" i="2"/>
  <c r="D2986" i="2"/>
  <c r="D2985" i="2"/>
  <c r="G2985" i="2"/>
  <c r="G2984" i="2"/>
  <c r="D2984" i="2"/>
  <c r="D2983" i="2"/>
  <c r="G2983" i="2"/>
  <c r="D2982" i="2"/>
  <c r="G2982" i="2"/>
  <c r="G2981" i="2"/>
  <c r="D2981" i="2"/>
  <c r="D2980" i="2"/>
  <c r="G2980" i="2"/>
  <c r="D2979" i="2"/>
  <c r="G2979" i="2"/>
  <c r="D2978" i="2"/>
  <c r="G2978" i="2"/>
  <c r="G2977" i="2"/>
  <c r="D2977" i="2"/>
  <c r="G2976" i="2"/>
  <c r="D2976" i="2"/>
  <c r="G2975" i="2"/>
  <c r="D2975" i="2"/>
  <c r="D2974" i="2"/>
  <c r="G2974" i="2"/>
  <c r="D2973" i="2"/>
  <c r="G2973" i="2"/>
  <c r="D2972" i="2"/>
  <c r="G2972" i="2"/>
  <c r="D2971" i="2"/>
  <c r="G2971" i="2"/>
  <c r="G2970" i="2"/>
  <c r="D2970" i="2"/>
  <c r="G2969" i="2"/>
  <c r="D2969" i="2"/>
  <c r="G2968" i="2"/>
  <c r="D2968" i="2"/>
  <c r="G2967" i="2"/>
  <c r="D2967" i="2"/>
  <c r="G2966" i="2"/>
  <c r="D2966" i="2"/>
  <c r="G2965" i="2"/>
  <c r="D2965" i="2"/>
  <c r="G2964" i="2"/>
  <c r="D2964" i="2"/>
  <c r="G2963" i="2"/>
  <c r="D2963" i="2"/>
  <c r="D2962" i="2"/>
  <c r="G2962" i="2"/>
  <c r="D2961" i="2"/>
  <c r="G2961" i="2"/>
  <c r="G2960" i="2"/>
  <c r="D2960" i="2"/>
  <c r="D2959" i="2"/>
  <c r="G2959" i="2"/>
  <c r="G2958" i="2"/>
  <c r="D2958" i="2"/>
  <c r="G2957" i="2"/>
  <c r="D2957" i="2"/>
  <c r="G2956" i="2"/>
  <c r="D2956" i="2"/>
  <c r="G2955" i="2"/>
  <c r="D2955" i="2"/>
  <c r="D2954" i="2"/>
  <c r="G2954" i="2"/>
  <c r="G2953" i="2"/>
  <c r="D2953" i="2"/>
  <c r="G2952" i="2"/>
  <c r="D2952" i="2"/>
  <c r="G2951" i="2"/>
  <c r="D2951" i="2"/>
  <c r="G2950" i="2"/>
  <c r="D2950" i="2"/>
  <c r="G2949" i="2"/>
  <c r="D2949" i="2"/>
  <c r="G2948" i="2"/>
  <c r="D2948" i="2"/>
  <c r="D2947" i="2"/>
  <c r="G2947" i="2"/>
  <c r="G2946" i="2"/>
  <c r="D2946" i="2"/>
  <c r="G2945" i="2"/>
  <c r="D2945" i="2"/>
  <c r="G2944" i="2"/>
  <c r="D2944" i="2"/>
  <c r="G2943" i="2"/>
  <c r="D2943" i="2"/>
  <c r="G2942" i="2"/>
  <c r="D2942" i="2"/>
  <c r="G2941" i="2"/>
  <c r="D2941" i="2"/>
  <c r="D2940" i="2"/>
  <c r="G2940" i="2"/>
  <c r="G2939" i="2"/>
  <c r="D2939" i="2"/>
  <c r="G2938" i="2"/>
  <c r="D2938" i="2"/>
  <c r="G2937" i="2"/>
  <c r="D2937" i="2"/>
  <c r="G2936" i="2"/>
  <c r="D2936" i="2"/>
  <c r="D2935" i="2"/>
  <c r="G2935" i="2"/>
  <c r="D2934" i="2"/>
  <c r="G2934" i="2"/>
  <c r="G2933" i="2"/>
  <c r="D2933" i="2"/>
  <c r="G2932" i="2"/>
  <c r="D2932" i="2"/>
  <c r="G2931" i="2"/>
  <c r="D2931" i="2"/>
  <c r="G2930" i="2"/>
  <c r="D2930" i="2"/>
  <c r="G2929" i="2"/>
  <c r="D2929" i="2"/>
  <c r="D2928" i="2"/>
  <c r="G2928" i="2"/>
  <c r="G2927" i="2"/>
  <c r="D2927" i="2"/>
  <c r="G2926" i="2"/>
  <c r="D2926" i="2"/>
  <c r="G2925" i="2"/>
  <c r="D2925" i="2"/>
  <c r="G2924" i="2"/>
  <c r="D2924" i="2"/>
  <c r="G2923" i="2"/>
  <c r="D2923" i="2"/>
  <c r="G2922" i="2"/>
  <c r="D2922" i="2"/>
  <c r="D2921" i="2"/>
  <c r="G2921" i="2"/>
  <c r="G2920" i="2"/>
  <c r="D2920" i="2"/>
  <c r="D2919" i="2"/>
  <c r="G2919" i="2"/>
  <c r="G2918" i="2"/>
  <c r="D2918" i="2"/>
  <c r="G2917" i="2"/>
  <c r="D2917" i="2"/>
  <c r="G2916" i="2"/>
  <c r="D2916" i="2"/>
  <c r="G2915" i="2"/>
  <c r="D2915" i="2"/>
  <c r="G2914" i="2"/>
  <c r="D2914" i="2"/>
  <c r="D2913" i="2"/>
  <c r="G2913" i="2"/>
  <c r="D2912" i="2"/>
  <c r="G2912" i="2"/>
  <c r="G2911" i="2"/>
  <c r="D2911" i="2"/>
  <c r="G2910" i="2"/>
  <c r="D2910" i="2"/>
  <c r="G2909" i="2"/>
  <c r="D2909" i="2"/>
  <c r="G2908" i="2"/>
  <c r="D2908" i="2"/>
  <c r="G2907" i="2"/>
  <c r="D2907" i="2"/>
  <c r="D2906" i="2"/>
  <c r="G2906" i="2"/>
  <c r="D2905" i="2"/>
  <c r="G2905" i="2"/>
  <c r="G2904" i="2"/>
  <c r="D2904" i="2"/>
  <c r="D2903" i="2"/>
  <c r="G2903" i="2"/>
  <c r="G2902" i="2"/>
  <c r="D2902" i="2"/>
  <c r="G2901" i="2"/>
  <c r="D2901" i="2"/>
  <c r="G2900" i="2"/>
  <c r="D2900" i="2"/>
  <c r="G2899" i="2"/>
  <c r="D2899" i="2"/>
  <c r="G2898" i="2"/>
  <c r="D2898" i="2"/>
  <c r="G2897" i="2"/>
  <c r="D2897" i="2"/>
  <c r="G2896" i="2"/>
  <c r="D2896" i="2"/>
  <c r="G2895" i="2"/>
  <c r="D2895" i="2"/>
  <c r="D2894" i="2"/>
  <c r="G2894" i="2"/>
  <c r="D2893" i="2"/>
  <c r="G2893" i="2"/>
  <c r="G2892" i="2"/>
  <c r="D2892" i="2"/>
  <c r="G2891" i="2"/>
  <c r="D2891" i="2"/>
  <c r="G2890" i="2"/>
  <c r="D2890" i="2"/>
  <c r="D2889" i="2"/>
  <c r="G2889" i="2"/>
  <c r="G2888" i="2"/>
  <c r="D2888" i="2"/>
  <c r="G2887" i="2"/>
  <c r="D2887" i="2"/>
  <c r="G2886" i="2"/>
  <c r="D2886" i="2"/>
  <c r="G2885" i="2"/>
  <c r="D2885" i="2"/>
  <c r="D2884" i="2"/>
  <c r="G2884" i="2"/>
  <c r="D2883" i="2"/>
  <c r="G2883" i="2"/>
  <c r="G2882" i="2"/>
  <c r="D2882" i="2"/>
  <c r="G2881" i="2"/>
  <c r="D2881" i="2"/>
  <c r="D2880" i="2"/>
  <c r="G2880" i="2"/>
  <c r="D2879" i="2"/>
  <c r="G2879" i="2"/>
  <c r="G2878" i="2"/>
  <c r="D2878" i="2"/>
  <c r="D2877" i="2"/>
  <c r="G2877" i="2"/>
  <c r="G2876" i="2"/>
  <c r="D2876" i="2"/>
  <c r="G2875" i="2"/>
  <c r="D2875" i="2"/>
  <c r="G2874" i="2"/>
  <c r="D2874" i="2"/>
  <c r="D2873" i="2"/>
  <c r="G2873" i="2"/>
  <c r="G2870" i="2"/>
  <c r="D2870" i="2"/>
  <c r="D2869" i="2"/>
  <c r="G2869" i="2"/>
  <c r="D2868" i="2"/>
  <c r="G2868" i="2"/>
  <c r="D2867" i="2"/>
  <c r="G2867" i="2"/>
  <c r="G2866" i="2"/>
  <c r="D2866" i="2"/>
  <c r="G2865" i="2"/>
  <c r="D2865" i="2"/>
  <c r="G2864" i="2"/>
  <c r="D2864" i="2"/>
  <c r="G2861" i="2"/>
  <c r="D2861" i="2"/>
  <c r="G2860" i="2"/>
  <c r="D2860" i="2"/>
  <c r="G2859" i="2"/>
  <c r="D2859" i="2"/>
  <c r="D2856" i="2"/>
  <c r="G2856" i="2"/>
  <c r="G2853" i="2"/>
  <c r="D2853" i="2"/>
  <c r="D2851" i="2"/>
  <c r="G2851" i="2"/>
  <c r="G2848" i="2"/>
  <c r="D2848" i="2"/>
  <c r="D2842" i="2"/>
  <c r="G2842" i="2"/>
  <c r="D2841" i="2"/>
  <c r="G2841" i="2"/>
  <c r="D2839" i="2"/>
  <c r="G2839" i="2"/>
  <c r="D2837" i="2"/>
  <c r="G2837" i="2"/>
  <c r="D2836" i="2"/>
  <c r="G2836" i="2"/>
  <c r="G2833" i="2"/>
  <c r="D2833" i="2"/>
  <c r="G2831" i="2"/>
  <c r="D2831" i="2"/>
  <c r="G2823" i="2"/>
  <c r="D2823" i="2"/>
  <c r="G2822" i="2"/>
  <c r="D2822" i="2"/>
  <c r="G2820" i="2"/>
  <c r="D2820" i="2"/>
  <c r="D2818" i="2"/>
  <c r="G2818" i="2"/>
  <c r="D2817" i="2"/>
  <c r="G2817" i="2"/>
  <c r="D2812" i="2"/>
  <c r="G2812" i="2"/>
  <c r="G2811" i="2"/>
  <c r="D2811" i="2"/>
  <c r="D2804" i="2"/>
  <c r="G2804" i="2"/>
  <c r="D2802" i="2"/>
  <c r="G2802" i="2"/>
  <c r="G2798" i="2"/>
  <c r="D2798" i="2"/>
  <c r="D2796" i="2"/>
  <c r="G2796" i="2"/>
  <c r="G2795" i="2"/>
  <c r="D2795" i="2"/>
  <c r="D2794" i="2"/>
  <c r="G2794" i="2"/>
  <c r="G2792" i="2"/>
  <c r="D2792" i="2"/>
  <c r="D2790" i="2"/>
  <c r="G2790" i="2"/>
  <c r="D2788" i="2"/>
  <c r="G2788" i="2"/>
  <c r="G2785" i="2"/>
  <c r="D2785" i="2"/>
  <c r="G2779" i="2"/>
  <c r="D2779" i="2"/>
  <c r="D2777" i="2"/>
  <c r="G2777" i="2"/>
  <c r="G2776" i="2"/>
  <c r="D2776" i="2"/>
  <c r="D2775" i="2"/>
  <c r="G2775" i="2"/>
  <c r="G2770" i="2"/>
  <c r="D2770" i="2"/>
  <c r="G2769" i="2"/>
  <c r="D2769" i="2"/>
  <c r="D2764" i="2"/>
  <c r="G2764" i="2"/>
  <c r="D2761" i="2"/>
  <c r="G2761" i="2"/>
  <c r="G2758" i="2"/>
  <c r="D2758" i="2"/>
  <c r="G2757" i="2"/>
  <c r="D2757" i="2"/>
  <c r="G2756" i="2"/>
  <c r="D2756" i="2"/>
  <c r="G2754" i="2"/>
  <c r="D2754" i="2"/>
  <c r="G2753" i="2"/>
  <c r="D2753" i="2"/>
  <c r="D2739" i="2"/>
  <c r="G2739" i="2"/>
  <c r="G2737" i="2"/>
  <c r="D2737" i="2"/>
  <c r="D2735" i="2"/>
  <c r="G2735" i="2"/>
  <c r="G2733" i="2"/>
  <c r="D2733" i="2"/>
  <c r="D2724" i="2"/>
  <c r="G2724" i="2"/>
  <c r="D2717" i="2"/>
  <c r="G2717" i="2"/>
  <c r="G2711" i="2"/>
  <c r="D2711" i="2"/>
  <c r="D2710" i="2"/>
  <c r="G2710" i="2"/>
  <c r="G2706" i="2"/>
  <c r="D2706" i="2"/>
  <c r="G2704" i="2"/>
  <c r="D2704" i="2"/>
  <c r="G2700" i="2"/>
  <c r="D2700" i="2"/>
  <c r="D2691" i="2"/>
  <c r="G2691" i="2"/>
  <c r="D2690" i="2"/>
  <c r="G2690" i="2"/>
  <c r="D2688" i="2"/>
  <c r="G2688" i="2"/>
  <c r="G2686" i="2"/>
  <c r="D2686" i="2"/>
  <c r="D2684" i="2"/>
  <c r="G2684" i="2"/>
  <c r="D2682" i="2"/>
  <c r="G2682" i="2"/>
  <c r="D2679" i="2"/>
  <c r="G2679" i="2"/>
  <c r="D2675" i="2"/>
  <c r="G2675" i="2"/>
  <c r="D2673" i="2"/>
  <c r="G2673" i="2"/>
  <c r="D2670" i="2"/>
  <c r="G2670" i="2"/>
  <c r="D2668" i="2"/>
  <c r="G2668" i="2"/>
  <c r="D2667" i="2"/>
  <c r="G2667" i="2"/>
  <c r="D2666" i="2"/>
  <c r="G2666" i="2"/>
  <c r="G2665" i="2"/>
  <c r="D2665" i="2"/>
  <c r="D2664" i="2"/>
  <c r="G2664" i="2"/>
  <c r="D2662" i="2"/>
  <c r="G2662" i="2"/>
  <c r="D2661" i="2"/>
  <c r="G2661" i="2"/>
  <c r="G2654" i="2"/>
  <c r="D2654" i="2"/>
  <c r="G2647" i="2"/>
  <c r="D2647" i="2"/>
  <c r="G2646" i="2"/>
  <c r="D2646" i="2"/>
  <c r="G2644" i="2"/>
  <c r="D2644" i="2"/>
  <c r="G2641" i="2"/>
  <c r="D2641" i="2"/>
  <c r="G2640" i="2"/>
  <c r="D2640" i="2"/>
  <c r="D2639" i="2"/>
  <c r="G2639" i="2"/>
  <c r="D2637" i="2"/>
  <c r="G2637" i="2"/>
  <c r="D2634" i="2"/>
  <c r="G2634" i="2"/>
  <c r="G2633" i="2"/>
  <c r="D2633" i="2"/>
  <c r="D2631" i="2"/>
  <c r="G2631" i="2"/>
  <c r="G2626" i="2"/>
  <c r="D2626" i="2"/>
  <c r="G2625" i="2"/>
  <c r="D2625" i="2"/>
  <c r="G2624" i="2"/>
  <c r="D2624" i="2"/>
  <c r="G2621" i="2"/>
  <c r="D2621" i="2"/>
  <c r="G2618" i="2"/>
  <c r="D2618" i="2"/>
  <c r="G2617" i="2"/>
  <c r="D2617" i="2"/>
  <c r="D2616" i="2"/>
  <c r="G2616" i="2"/>
  <c r="D2613" i="2"/>
  <c r="G2613" i="2"/>
  <c r="G2606" i="2"/>
  <c r="D2606" i="2"/>
  <c r="D2604" i="2"/>
  <c r="G2604" i="2"/>
  <c r="D2600" i="2"/>
  <c r="G2600" i="2"/>
  <c r="G2590" i="2"/>
  <c r="D2590" i="2"/>
  <c r="D2589" i="2"/>
  <c r="G2589" i="2"/>
  <c r="G2588" i="2"/>
  <c r="D2588" i="2"/>
  <c r="D2586" i="2"/>
  <c r="G2586" i="2"/>
  <c r="D2583" i="2"/>
  <c r="G2583" i="2"/>
  <c r="D2582" i="2"/>
  <c r="G2582" i="2"/>
  <c r="D2581" i="2"/>
  <c r="G2581" i="2"/>
  <c r="G2579" i="2"/>
  <c r="D2579" i="2"/>
  <c r="G2574" i="2"/>
  <c r="D2574" i="2"/>
  <c r="D2569" i="2"/>
  <c r="G2569" i="2"/>
  <c r="D2568" i="2"/>
  <c r="G2568" i="2"/>
  <c r="D2564" i="2"/>
  <c r="G2564" i="2"/>
  <c r="G2560" i="2"/>
  <c r="D2560" i="2"/>
  <c r="G2558" i="2"/>
  <c r="D2558" i="2"/>
  <c r="G2557" i="2"/>
  <c r="D2557" i="2"/>
  <c r="G2556" i="2"/>
  <c r="D2556" i="2"/>
  <c r="D2555" i="2"/>
  <c r="G2555" i="2"/>
  <c r="D2554" i="2"/>
  <c r="G2554" i="2"/>
  <c r="D2553" i="2"/>
  <c r="G2553" i="2"/>
  <c r="D2549" i="2"/>
  <c r="G2549" i="2"/>
  <c r="G2548" i="2"/>
  <c r="D2548" i="2"/>
  <c r="G2547" i="2"/>
  <c r="D2547" i="2"/>
  <c r="G2545" i="2"/>
  <c r="D2545" i="2"/>
  <c r="D2543" i="2"/>
  <c r="G2543" i="2"/>
  <c r="D2542" i="2"/>
  <c r="G2542" i="2"/>
  <c r="D2539" i="2"/>
  <c r="G2539" i="2"/>
  <c r="D2537" i="2"/>
  <c r="G2537" i="2"/>
  <c r="D2536" i="2"/>
  <c r="G2536" i="2"/>
  <c r="G2534" i="2"/>
  <c r="D2534" i="2"/>
  <c r="G2532" i="2"/>
  <c r="D2532" i="2"/>
  <c r="D2531" i="2"/>
  <c r="G2531" i="2"/>
  <c r="D2530" i="2"/>
  <c r="G2530" i="2"/>
  <c r="D2527" i="2"/>
  <c r="G2527" i="2"/>
  <c r="G2517" i="2"/>
  <c r="D2517" i="2"/>
  <c r="D2513" i="2"/>
  <c r="G2513" i="2"/>
  <c r="D2512" i="2"/>
  <c r="G2512" i="2"/>
  <c r="G2510" i="2"/>
  <c r="D2510" i="2"/>
  <c r="G2509" i="2"/>
  <c r="D2509" i="2"/>
  <c r="D2507" i="2"/>
  <c r="G2507" i="2"/>
  <c r="G2505" i="2"/>
  <c r="D2505" i="2"/>
  <c r="D2501" i="2"/>
  <c r="G2501" i="2"/>
  <c r="G2500" i="2"/>
  <c r="D2500" i="2"/>
  <c r="G2499" i="2"/>
  <c r="D2499" i="2"/>
  <c r="D2498" i="2"/>
  <c r="G2498" i="2"/>
  <c r="D2497" i="2"/>
  <c r="G2497" i="2"/>
  <c r="D2496" i="2"/>
  <c r="G2496" i="2"/>
  <c r="G2495" i="2"/>
  <c r="D2495" i="2"/>
  <c r="G2494" i="2"/>
  <c r="D2494" i="2"/>
  <c r="D2493" i="2"/>
  <c r="G2493" i="2"/>
  <c r="G2492" i="2"/>
  <c r="D2492" i="2"/>
  <c r="G2491" i="2"/>
  <c r="D2491" i="2"/>
  <c r="G2490" i="2"/>
  <c r="D2490" i="2"/>
  <c r="D2489" i="2"/>
  <c r="G2489" i="2"/>
  <c r="G2488" i="2"/>
  <c r="D2488" i="2"/>
  <c r="D2487" i="2"/>
  <c r="G2487" i="2"/>
  <c r="D2486" i="2"/>
  <c r="G2486" i="2"/>
  <c r="G2485" i="2"/>
  <c r="D2485" i="2"/>
  <c r="G2484" i="2"/>
  <c r="D2484" i="2"/>
  <c r="D2483" i="2"/>
  <c r="G2483" i="2"/>
  <c r="D2482" i="2"/>
  <c r="G2482" i="2"/>
  <c r="G2481" i="2"/>
  <c r="D2481" i="2"/>
  <c r="D2480" i="2"/>
  <c r="G2480" i="2"/>
  <c r="G2479" i="2"/>
  <c r="D2479" i="2"/>
  <c r="G2478" i="2"/>
  <c r="D2478" i="2"/>
  <c r="D2477" i="2"/>
  <c r="G2477" i="2"/>
  <c r="D2476" i="2"/>
  <c r="G2476" i="2"/>
  <c r="D2475" i="2"/>
  <c r="G2475" i="2"/>
  <c r="D2474" i="2"/>
  <c r="G2474" i="2"/>
  <c r="D2473" i="2"/>
  <c r="G2473" i="2"/>
  <c r="G2472" i="2"/>
  <c r="D2472" i="2"/>
  <c r="D2471" i="2"/>
  <c r="G2471" i="2"/>
  <c r="D2470" i="2"/>
  <c r="G2470" i="2"/>
  <c r="D2469" i="2"/>
  <c r="G2469" i="2"/>
  <c r="G2468" i="2"/>
  <c r="D2468" i="2"/>
  <c r="G2467" i="2"/>
  <c r="D2467" i="2"/>
  <c r="D2466" i="2"/>
  <c r="G2466" i="2"/>
  <c r="G2465" i="2"/>
  <c r="D2465" i="2"/>
  <c r="D2464" i="2"/>
  <c r="G2464" i="2"/>
  <c r="D2463" i="2"/>
  <c r="G2463" i="2"/>
  <c r="D2462" i="2"/>
  <c r="G2462" i="2"/>
  <c r="D2461" i="2"/>
  <c r="G2461" i="2"/>
  <c r="D2460" i="2"/>
  <c r="G2460" i="2"/>
  <c r="G2459" i="2"/>
  <c r="D2459" i="2"/>
  <c r="D2458" i="2"/>
  <c r="G2458" i="2"/>
  <c r="D2457" i="2"/>
  <c r="G2457" i="2"/>
  <c r="G2456" i="2"/>
  <c r="D2456" i="2"/>
  <c r="G2455" i="2"/>
  <c r="D2455" i="2"/>
  <c r="D2454" i="2"/>
  <c r="G2454" i="2"/>
  <c r="G2453" i="2"/>
  <c r="D2453" i="2"/>
  <c r="G2452" i="2"/>
  <c r="D2452" i="2"/>
  <c r="D2451" i="2"/>
  <c r="G2451" i="2"/>
  <c r="G2450" i="2"/>
  <c r="D2450" i="2"/>
  <c r="D2449" i="2"/>
  <c r="G2449" i="2"/>
  <c r="G2448" i="2"/>
  <c r="D2448" i="2"/>
  <c r="G2447" i="2"/>
  <c r="D2447" i="2"/>
  <c r="G2446" i="2"/>
  <c r="D2446" i="2"/>
  <c r="D2445" i="2"/>
  <c r="G2445" i="2"/>
  <c r="G2444" i="2"/>
  <c r="D2444" i="2"/>
  <c r="D2443" i="2"/>
  <c r="G2443" i="2"/>
  <c r="D2442" i="2"/>
  <c r="G2442" i="2"/>
  <c r="D2441" i="2"/>
  <c r="G2441" i="2"/>
  <c r="D2440" i="2"/>
  <c r="G2440" i="2"/>
  <c r="G2439" i="2"/>
  <c r="D2439" i="2"/>
  <c r="G2438" i="2"/>
  <c r="D2438" i="2"/>
  <c r="D2437" i="2"/>
  <c r="G2437" i="2"/>
  <c r="G2436" i="2"/>
  <c r="D2436" i="2"/>
  <c r="G2435" i="2"/>
  <c r="D2435" i="2"/>
  <c r="D2434" i="2"/>
  <c r="G2434" i="2"/>
  <c r="D2433" i="2"/>
  <c r="G2433" i="2"/>
  <c r="D2432" i="2"/>
  <c r="G2432" i="2"/>
  <c r="D2431" i="2"/>
  <c r="G2431" i="2"/>
  <c r="G2430" i="2"/>
  <c r="D2430" i="2"/>
  <c r="D2429" i="2"/>
  <c r="G2429" i="2"/>
  <c r="G2428" i="2"/>
  <c r="D2428" i="2"/>
  <c r="G2427" i="2"/>
  <c r="D2427" i="2"/>
  <c r="G2426" i="2"/>
  <c r="D2426" i="2"/>
  <c r="G2425" i="2"/>
  <c r="D2425" i="2"/>
  <c r="D2424" i="2"/>
  <c r="G2424" i="2"/>
  <c r="G2423" i="2"/>
  <c r="D2423" i="2"/>
  <c r="G2422" i="2"/>
  <c r="D2422" i="2"/>
  <c r="G2421" i="2"/>
  <c r="D2421" i="2"/>
  <c r="G2420" i="2"/>
  <c r="D2420" i="2"/>
  <c r="D2419" i="2"/>
  <c r="G2419" i="2"/>
  <c r="G2418" i="2"/>
  <c r="D2418" i="2"/>
  <c r="D2417" i="2"/>
  <c r="G2417" i="2"/>
  <c r="D2416" i="2"/>
  <c r="G2416" i="2"/>
  <c r="D2415" i="2"/>
  <c r="G2415" i="2"/>
  <c r="D2414" i="2"/>
  <c r="G2414" i="2"/>
  <c r="G2413" i="2"/>
  <c r="D2413" i="2"/>
  <c r="G2412" i="2"/>
  <c r="D2412" i="2"/>
  <c r="G2411" i="2"/>
  <c r="D2411" i="2"/>
  <c r="G2410" i="2"/>
  <c r="D2410" i="2"/>
  <c r="D2409" i="2"/>
  <c r="G2409" i="2"/>
  <c r="G2408" i="2"/>
  <c r="D2408" i="2"/>
  <c r="G2407" i="2"/>
  <c r="D2407" i="2"/>
  <c r="D2406" i="2"/>
  <c r="G2406" i="2"/>
  <c r="G2405" i="2"/>
  <c r="D2405" i="2"/>
  <c r="G2404" i="2"/>
  <c r="D2404" i="2"/>
  <c r="G2403" i="2"/>
  <c r="D2403" i="2"/>
  <c r="D2402" i="2"/>
  <c r="G2402" i="2"/>
  <c r="D2401" i="2"/>
  <c r="G2401" i="2"/>
  <c r="G2400" i="2"/>
  <c r="D2400" i="2"/>
  <c r="G2399" i="2"/>
  <c r="D2399" i="2"/>
  <c r="G2398" i="2"/>
  <c r="D2398" i="2"/>
  <c r="D2397" i="2"/>
  <c r="G2397" i="2"/>
  <c r="G2396" i="2"/>
  <c r="D2396" i="2"/>
  <c r="D2395" i="2"/>
  <c r="G2395" i="2"/>
  <c r="D2394" i="2"/>
  <c r="G2394" i="2"/>
  <c r="G2393" i="2"/>
  <c r="D2393" i="2"/>
  <c r="D2392" i="2"/>
  <c r="G2392" i="2"/>
  <c r="D2391" i="2"/>
  <c r="G2391" i="2"/>
  <c r="G2390" i="2"/>
  <c r="D2390" i="2"/>
  <c r="G2389" i="2"/>
  <c r="D2389" i="2"/>
  <c r="G2388" i="2"/>
  <c r="D2388" i="2"/>
  <c r="G2387" i="2"/>
  <c r="D2387" i="2"/>
  <c r="D2386" i="2"/>
  <c r="G2386" i="2"/>
  <c r="D2385" i="2"/>
  <c r="G2385" i="2"/>
  <c r="G2384" i="2"/>
  <c r="D2384" i="2"/>
  <c r="G2383" i="2"/>
  <c r="D2383" i="2"/>
  <c r="D2382" i="2"/>
  <c r="G2382" i="2"/>
  <c r="G2381" i="2"/>
  <c r="D2381" i="2"/>
  <c r="G2380" i="2"/>
  <c r="D2380" i="2"/>
  <c r="G2379" i="2"/>
  <c r="D2379" i="2"/>
  <c r="G2378" i="2"/>
  <c r="D2378" i="2"/>
  <c r="D2377" i="2"/>
  <c r="G2377" i="2"/>
  <c r="G2376" i="2"/>
  <c r="D2376" i="2"/>
  <c r="G2375" i="2"/>
  <c r="D2375" i="2"/>
  <c r="G2374" i="2"/>
  <c r="D2374" i="2"/>
  <c r="G2373" i="2"/>
  <c r="D2373" i="2"/>
  <c r="G2372" i="2"/>
  <c r="D2372" i="2"/>
  <c r="G2371" i="2"/>
  <c r="D2371" i="2"/>
  <c r="G2370" i="2"/>
  <c r="D2370" i="2"/>
  <c r="D2369" i="2"/>
  <c r="G2369" i="2"/>
  <c r="G2368" i="2"/>
  <c r="D2368" i="2"/>
  <c r="G2367" i="2"/>
  <c r="D2367" i="2"/>
  <c r="G2366" i="2"/>
  <c r="D2366" i="2"/>
  <c r="G2365" i="2"/>
  <c r="D2365" i="2"/>
  <c r="G2364" i="2"/>
  <c r="D2364" i="2"/>
  <c r="D2363" i="2"/>
  <c r="G2363" i="2"/>
  <c r="D2362" i="2"/>
  <c r="G2362" i="2"/>
  <c r="D2361" i="2"/>
  <c r="G2361" i="2"/>
  <c r="D2360" i="2"/>
  <c r="G2360" i="2"/>
  <c r="D2359" i="2"/>
  <c r="G2359" i="2"/>
  <c r="D2358" i="2"/>
  <c r="G2358" i="2"/>
  <c r="D2357" i="2"/>
  <c r="G2357" i="2"/>
  <c r="G2356" i="2"/>
  <c r="D2356" i="2"/>
  <c r="G2355" i="2"/>
  <c r="D2355" i="2"/>
  <c r="G2354" i="2"/>
  <c r="D2354" i="2"/>
  <c r="G2353" i="2"/>
  <c r="D2353" i="2"/>
  <c r="G2352" i="2"/>
  <c r="D2352" i="2"/>
  <c r="D2351" i="2"/>
  <c r="G2351" i="2"/>
  <c r="G2350" i="2"/>
  <c r="D2350" i="2"/>
  <c r="D2349" i="2"/>
  <c r="G2349" i="2"/>
  <c r="G2348" i="2"/>
  <c r="D2348" i="2"/>
  <c r="G2347" i="2"/>
  <c r="D2347" i="2"/>
  <c r="G2346" i="2"/>
  <c r="D2346" i="2"/>
  <c r="D2345" i="2"/>
  <c r="G2345" i="2"/>
  <c r="G2344" i="2"/>
  <c r="D2344" i="2"/>
  <c r="G2343" i="2"/>
  <c r="D2343" i="2"/>
  <c r="G2342" i="2"/>
  <c r="D2342" i="2"/>
  <c r="G2341" i="2"/>
  <c r="D2341" i="2"/>
  <c r="G2340" i="2"/>
  <c r="D2340" i="2"/>
  <c r="G2339" i="2"/>
  <c r="D2339" i="2"/>
  <c r="G2338" i="2"/>
  <c r="D2338" i="2"/>
  <c r="G2337" i="2"/>
  <c r="D2337" i="2"/>
  <c r="G2336" i="2"/>
  <c r="D2336" i="2"/>
  <c r="G2335" i="2"/>
  <c r="D2335" i="2"/>
  <c r="D2334" i="2"/>
  <c r="G2334" i="2"/>
  <c r="D2333" i="2"/>
  <c r="G2333" i="2"/>
  <c r="G2332" i="2"/>
  <c r="D2332" i="2"/>
  <c r="D2331" i="2"/>
  <c r="G2331" i="2"/>
  <c r="D2330" i="2"/>
  <c r="G2330" i="2"/>
  <c r="D2329" i="2"/>
  <c r="G2329" i="2"/>
  <c r="D2328" i="2"/>
  <c r="G2328" i="2"/>
  <c r="D2327" i="2"/>
  <c r="G2327" i="2"/>
  <c r="D2326" i="2"/>
  <c r="G2326" i="2"/>
  <c r="D2325" i="2"/>
  <c r="G2325" i="2"/>
  <c r="G2324" i="2"/>
  <c r="D2324" i="2"/>
  <c r="G2323" i="2"/>
  <c r="D2323" i="2"/>
  <c r="G2322" i="2"/>
  <c r="D2322" i="2"/>
  <c r="G2321" i="2"/>
  <c r="D2321" i="2"/>
  <c r="G2320" i="2"/>
  <c r="D2320" i="2"/>
  <c r="G2319" i="2"/>
  <c r="D2319" i="2"/>
  <c r="G2318" i="2"/>
  <c r="D2318" i="2"/>
  <c r="D2317" i="2"/>
  <c r="G2317" i="2"/>
  <c r="D2316" i="2"/>
  <c r="G2316" i="2"/>
  <c r="D2315" i="2"/>
  <c r="G2315" i="2"/>
  <c r="G2314" i="2"/>
  <c r="D2314" i="2"/>
  <c r="D2313" i="2"/>
  <c r="G2313" i="2"/>
  <c r="D2312" i="2"/>
  <c r="G2312" i="2"/>
  <c r="D2311" i="2"/>
  <c r="G2311" i="2"/>
  <c r="G2310" i="2"/>
  <c r="D2310" i="2"/>
  <c r="G2309" i="2"/>
  <c r="D2309" i="2"/>
  <c r="D2308" i="2"/>
  <c r="G2308" i="2"/>
  <c r="D2307" i="2"/>
  <c r="G2307" i="2"/>
  <c r="G2306" i="2"/>
  <c r="D2306" i="2"/>
  <c r="D2305" i="2"/>
  <c r="G2305" i="2"/>
  <c r="D2304" i="2"/>
  <c r="G2304" i="2"/>
  <c r="G2303" i="2"/>
  <c r="D2303" i="2"/>
  <c r="D2302" i="2"/>
  <c r="G2302" i="2"/>
  <c r="D2301" i="2"/>
  <c r="G2301" i="2"/>
  <c r="D2300" i="2"/>
  <c r="G2300" i="2"/>
  <c r="D2299" i="2"/>
  <c r="G2299" i="2"/>
  <c r="D2298" i="2"/>
  <c r="G2298" i="2"/>
  <c r="D2297" i="2"/>
  <c r="G2297" i="2"/>
  <c r="D2296" i="2"/>
  <c r="G2296" i="2"/>
  <c r="D2295" i="2"/>
  <c r="G2295" i="2"/>
  <c r="D2294" i="2"/>
  <c r="G2294" i="2"/>
  <c r="D2293" i="2"/>
  <c r="G2293" i="2"/>
  <c r="D2292" i="2"/>
  <c r="G2292" i="2"/>
  <c r="D2291" i="2"/>
  <c r="G2291" i="2"/>
  <c r="G2290" i="2"/>
  <c r="D2290" i="2"/>
  <c r="G2289" i="2"/>
  <c r="D2289" i="2"/>
  <c r="G2288" i="2"/>
  <c r="D2288" i="2"/>
  <c r="G2287" i="2"/>
  <c r="D2287" i="2"/>
  <c r="D2286" i="2"/>
  <c r="G2286" i="2"/>
  <c r="D2285" i="2"/>
  <c r="G2285" i="2"/>
  <c r="D2284" i="2"/>
  <c r="G2284" i="2"/>
  <c r="G2283" i="2"/>
  <c r="D2283" i="2"/>
  <c r="D2282" i="2"/>
  <c r="G2282" i="2"/>
  <c r="G2281" i="2"/>
  <c r="D2281" i="2"/>
  <c r="G2280" i="2"/>
  <c r="D2280" i="2"/>
  <c r="D2279" i="2"/>
  <c r="G2279" i="2"/>
  <c r="D2278" i="2"/>
  <c r="G2278" i="2"/>
  <c r="D2277" i="2"/>
  <c r="G2277" i="2"/>
  <c r="D2276" i="2"/>
  <c r="G2276" i="2"/>
  <c r="D2275" i="2"/>
  <c r="G2275" i="2"/>
  <c r="D2274" i="2"/>
  <c r="G2274" i="2"/>
  <c r="D2273" i="2"/>
  <c r="G2273" i="2"/>
  <c r="G2272" i="2"/>
  <c r="D2272" i="2"/>
  <c r="G2271" i="2"/>
  <c r="D2271" i="2"/>
  <c r="G2270" i="2"/>
  <c r="D2270" i="2"/>
  <c r="G2269" i="2"/>
  <c r="D2269" i="2"/>
  <c r="G2268" i="2"/>
  <c r="D2268" i="2"/>
  <c r="D2267" i="2"/>
  <c r="G2267" i="2"/>
  <c r="G2266" i="2"/>
  <c r="D2266" i="2"/>
  <c r="G2265" i="2"/>
  <c r="D2265" i="2"/>
  <c r="D2264" i="2"/>
  <c r="G2264" i="2"/>
  <c r="G2263" i="2"/>
  <c r="D2263" i="2"/>
  <c r="D2262" i="2"/>
  <c r="G2262" i="2"/>
  <c r="D2261" i="2"/>
  <c r="G2261" i="2"/>
  <c r="D2260" i="2"/>
  <c r="G2260" i="2"/>
  <c r="D2259" i="2"/>
  <c r="G2259" i="2"/>
  <c r="G2258" i="2"/>
  <c r="D2258" i="2"/>
  <c r="G2257" i="2"/>
  <c r="D2257" i="2"/>
  <c r="D2256" i="2"/>
  <c r="G2256" i="2"/>
  <c r="D2255" i="2"/>
  <c r="G2255" i="2"/>
  <c r="D2254" i="2"/>
  <c r="G2254" i="2"/>
  <c r="D2253" i="2"/>
  <c r="G2253" i="2"/>
  <c r="G2252" i="2"/>
  <c r="D2252" i="2"/>
  <c r="D2251" i="2"/>
  <c r="G2251" i="2"/>
  <c r="D2250" i="2"/>
  <c r="G2250" i="2"/>
  <c r="D2249" i="2"/>
  <c r="G2249" i="2"/>
  <c r="D2248" i="2"/>
  <c r="G2248" i="2"/>
  <c r="G2247" i="2"/>
  <c r="D2247" i="2"/>
  <c r="D2246" i="2"/>
  <c r="G2246" i="2"/>
  <c r="D2245" i="2"/>
  <c r="G2245" i="2"/>
  <c r="D2244" i="2"/>
  <c r="G2244" i="2"/>
  <c r="D2243" i="2"/>
  <c r="G2243" i="2"/>
  <c r="G2242" i="2"/>
  <c r="D2242" i="2"/>
  <c r="G2241" i="2"/>
  <c r="D2241" i="2"/>
  <c r="D2240" i="2"/>
  <c r="G2240" i="2"/>
  <c r="D2239" i="2"/>
  <c r="G2239" i="2"/>
  <c r="D2238" i="2"/>
  <c r="G2238" i="2"/>
  <c r="D2237" i="2"/>
  <c r="G2237" i="2"/>
  <c r="G2236" i="2"/>
  <c r="D2236" i="2"/>
  <c r="G2235" i="2"/>
  <c r="D2235" i="2"/>
  <c r="D2234" i="2"/>
  <c r="G2234" i="2"/>
  <c r="D2233" i="2"/>
  <c r="G2233" i="2"/>
  <c r="G2232" i="2"/>
  <c r="D2232" i="2"/>
  <c r="G2231" i="2"/>
  <c r="D2231" i="2"/>
  <c r="G2230" i="2"/>
  <c r="D2230" i="2"/>
  <c r="G2229" i="2"/>
  <c r="D2229" i="2"/>
  <c r="D2228" i="2"/>
  <c r="G2228" i="2"/>
  <c r="G2227" i="2"/>
  <c r="D2227" i="2"/>
  <c r="D2226" i="2"/>
  <c r="G2226" i="2"/>
  <c r="G2225" i="2"/>
  <c r="D2225" i="2"/>
  <c r="G2224" i="2"/>
  <c r="D2224" i="2"/>
  <c r="G2223" i="2"/>
  <c r="D2223" i="2"/>
  <c r="D2222" i="2"/>
  <c r="G2222" i="2"/>
  <c r="D2221" i="2"/>
  <c r="G2221" i="2"/>
  <c r="G2220" i="2"/>
  <c r="D2220" i="2"/>
  <c r="G2219" i="2"/>
  <c r="D2219" i="2"/>
  <c r="D2218" i="2"/>
  <c r="G2218" i="2"/>
  <c r="G2217" i="2"/>
  <c r="D2217" i="2"/>
  <c r="G2216" i="2"/>
  <c r="D2216" i="2"/>
  <c r="G2215" i="2"/>
  <c r="D2215" i="2"/>
  <c r="D2214" i="2"/>
  <c r="G2214" i="2"/>
  <c r="G2213" i="2"/>
  <c r="D2213" i="2"/>
  <c r="D2212" i="2"/>
  <c r="G2212" i="2"/>
  <c r="D2211" i="2"/>
  <c r="G2211" i="2"/>
  <c r="D2210" i="2"/>
  <c r="G2210" i="2"/>
  <c r="D2209" i="2"/>
  <c r="G2209" i="2"/>
  <c r="G2208" i="2"/>
  <c r="D2208" i="2"/>
  <c r="G2207" i="2"/>
  <c r="D2207" i="2"/>
  <c r="G2206" i="2"/>
  <c r="D2206" i="2"/>
  <c r="G2205" i="2"/>
  <c r="D2205" i="2"/>
  <c r="G2204" i="2"/>
  <c r="D2204" i="2"/>
  <c r="G2203" i="2"/>
  <c r="D2203" i="2"/>
  <c r="D2202" i="2"/>
  <c r="G2202" i="2"/>
  <c r="G2201" i="2"/>
  <c r="D2201" i="2"/>
  <c r="D2200" i="2"/>
  <c r="G2200" i="2"/>
  <c r="D2199" i="2"/>
  <c r="G2199" i="2"/>
  <c r="D2198" i="2"/>
  <c r="G2198" i="2"/>
  <c r="G2197" i="2"/>
  <c r="D2197" i="2"/>
  <c r="D2196" i="2"/>
  <c r="G2196" i="2"/>
  <c r="D2195" i="2"/>
  <c r="G2195" i="2"/>
  <c r="G2194" i="2"/>
  <c r="D2194" i="2"/>
  <c r="D2193" i="2"/>
  <c r="G2193" i="2"/>
  <c r="G2192" i="2"/>
  <c r="D2192" i="2"/>
  <c r="D2191" i="2"/>
  <c r="G2191" i="2"/>
  <c r="D2190" i="2"/>
  <c r="G2190" i="2"/>
  <c r="G2189" i="2"/>
  <c r="D2189" i="2"/>
  <c r="D2183" i="2"/>
  <c r="G2183" i="2"/>
  <c r="G2179" i="2"/>
  <c r="D2179" i="2"/>
  <c r="D2173" i="2"/>
  <c r="G2173" i="2"/>
  <c r="D2170" i="2"/>
  <c r="G2170" i="2"/>
  <c r="D2169" i="2"/>
  <c r="G2169" i="2"/>
  <c r="D2162" i="2"/>
  <c r="G2162" i="2"/>
  <c r="D2160" i="2"/>
  <c r="G2160" i="2"/>
  <c r="D2159" i="2"/>
  <c r="G2159" i="2"/>
  <c r="D2155" i="2"/>
  <c r="G2155" i="2"/>
  <c r="D2142" i="2"/>
  <c r="G2142" i="2"/>
  <c r="D2139" i="2"/>
  <c r="G2139" i="2"/>
  <c r="D2138" i="2"/>
  <c r="G2138" i="2"/>
  <c r="D2132" i="2"/>
  <c r="G2132" i="2"/>
  <c r="G2129" i="2"/>
  <c r="D2129" i="2"/>
  <c r="D2126" i="2"/>
  <c r="G2126" i="2"/>
  <c r="D2124" i="2"/>
  <c r="G2124" i="2"/>
  <c r="D2120" i="2"/>
  <c r="G2120" i="2"/>
  <c r="G2112" i="2"/>
  <c r="D2112" i="2"/>
  <c r="D2110" i="2"/>
  <c r="G2110" i="2"/>
  <c r="D2108" i="2"/>
  <c r="G2108" i="2"/>
  <c r="D2105" i="2"/>
  <c r="G2105" i="2"/>
  <c r="G2104" i="2"/>
  <c r="D2104" i="2"/>
  <c r="G2098" i="2"/>
  <c r="D2098" i="2"/>
  <c r="D2096" i="2"/>
  <c r="G2096" i="2"/>
  <c r="D2095" i="2"/>
  <c r="G2095" i="2"/>
  <c r="G2094" i="2"/>
  <c r="D2094" i="2"/>
  <c r="G2091" i="2"/>
  <c r="D2091" i="2"/>
  <c r="D2087" i="2"/>
  <c r="G2087" i="2"/>
  <c r="D2084" i="2"/>
  <c r="G2084" i="2"/>
  <c r="D2081" i="2"/>
  <c r="G2081" i="2"/>
  <c r="G2076" i="2"/>
  <c r="D2076" i="2"/>
  <c r="G2075" i="2"/>
  <c r="D2075" i="2"/>
  <c r="D2073" i="2"/>
  <c r="G2073" i="2"/>
  <c r="G2072" i="2"/>
  <c r="D2072" i="2"/>
  <c r="G2071" i="2"/>
  <c r="D2071" i="2"/>
  <c r="G2069" i="2"/>
  <c r="D2069" i="2"/>
  <c r="G2067" i="2"/>
  <c r="D2067" i="2"/>
  <c r="D2065" i="2"/>
  <c r="G2065" i="2"/>
  <c r="G2062" i="2"/>
  <c r="D2062" i="2"/>
  <c r="D2061" i="2"/>
  <c r="G2061" i="2"/>
  <c r="G2056" i="2"/>
  <c r="D2056" i="2"/>
  <c r="G2055" i="2"/>
  <c r="D2055" i="2"/>
  <c r="D2052" i="2"/>
  <c r="G2052" i="2"/>
  <c r="D2051" i="2"/>
  <c r="G2051" i="2"/>
  <c r="G2050" i="2"/>
  <c r="D2050" i="2"/>
  <c r="D2046" i="2"/>
  <c r="G2046" i="2"/>
  <c r="D2044" i="2"/>
  <c r="G2044" i="2"/>
  <c r="G2043" i="2"/>
  <c r="D2043" i="2"/>
  <c r="G2039" i="2"/>
  <c r="D2039" i="2"/>
  <c r="G2038" i="2"/>
  <c r="D2038" i="2"/>
  <c r="D2033" i="2"/>
  <c r="G2033" i="2"/>
  <c r="D2032" i="2"/>
  <c r="G2032" i="2"/>
  <c r="D2024" i="2"/>
  <c r="G2024" i="2"/>
  <c r="D2023" i="2"/>
  <c r="G2023" i="2"/>
  <c r="G2022" i="2"/>
  <c r="D2022" i="2"/>
  <c r="D2018" i="2"/>
  <c r="G2018" i="2"/>
  <c r="D2013" i="2"/>
  <c r="G2013" i="2"/>
  <c r="D2012" i="2"/>
  <c r="G2012" i="2"/>
  <c r="D2010" i="2"/>
  <c r="G2010" i="2"/>
  <c r="G2009" i="2"/>
  <c r="D2009" i="2"/>
  <c r="G2007" i="2"/>
  <c r="D2007" i="2"/>
  <c r="D2003" i="2"/>
  <c r="G2003" i="2"/>
  <c r="D2002" i="2"/>
  <c r="G2002" i="2"/>
  <c r="D2001" i="2"/>
  <c r="G2001" i="2"/>
  <c r="G1998" i="2"/>
  <c r="D1998" i="2"/>
  <c r="D1997" i="2"/>
  <c r="G1997" i="2"/>
  <c r="G1996" i="2"/>
  <c r="D1996" i="2"/>
  <c r="G1994" i="2"/>
  <c r="D1994" i="2"/>
  <c r="G1992" i="2"/>
  <c r="D1992" i="2"/>
  <c r="D1985" i="2"/>
  <c r="G1985" i="2"/>
  <c r="G1980" i="2"/>
  <c r="D1980" i="2"/>
  <c r="G1978" i="2"/>
  <c r="D1978" i="2"/>
  <c r="D1976" i="2"/>
  <c r="G1976" i="2"/>
  <c r="D1975" i="2"/>
  <c r="G1975" i="2"/>
  <c r="D1974" i="2"/>
  <c r="G1974" i="2"/>
  <c r="D1973" i="2"/>
  <c r="G1973" i="2"/>
  <c r="D1972" i="2"/>
  <c r="G1972" i="2"/>
  <c r="D1970" i="2"/>
  <c r="G1970" i="2"/>
  <c r="D1969" i="2"/>
  <c r="G1969" i="2"/>
  <c r="G1968" i="2"/>
  <c r="D1968" i="2"/>
  <c r="D1967" i="2"/>
  <c r="G1967" i="2"/>
  <c r="G1963" i="2"/>
  <c r="D1963" i="2"/>
  <c r="D1962" i="2"/>
  <c r="G1962" i="2"/>
  <c r="G1958" i="2"/>
  <c r="D1958" i="2"/>
  <c r="D1954" i="2"/>
  <c r="G1954" i="2"/>
  <c r="D1949" i="2"/>
  <c r="G1949" i="2"/>
  <c r="G1944" i="2"/>
  <c r="D1944" i="2"/>
  <c r="G1942" i="2"/>
  <c r="D1942" i="2"/>
  <c r="G1941" i="2"/>
  <c r="D1941" i="2"/>
  <c r="D1937" i="2"/>
  <c r="G1937" i="2"/>
  <c r="D1929" i="2"/>
  <c r="G1929" i="2"/>
  <c r="D1927" i="2"/>
  <c r="G1927" i="2"/>
  <c r="D1926" i="2"/>
  <c r="G1926" i="2"/>
  <c r="D1920" i="2"/>
  <c r="G1920" i="2"/>
  <c r="D1919" i="2"/>
  <c r="G1919" i="2"/>
  <c r="D1917" i="2"/>
  <c r="G1917" i="2"/>
  <c r="D1911" i="2"/>
  <c r="G1911" i="2"/>
  <c r="G1908" i="2"/>
  <c r="D1908" i="2"/>
  <c r="G1906" i="2"/>
  <c r="D1906" i="2"/>
  <c r="D1904" i="2"/>
  <c r="G1904" i="2"/>
  <c r="D1903" i="2"/>
  <c r="G1903" i="2"/>
  <c r="D1900" i="2"/>
  <c r="G1900" i="2"/>
  <c r="D1898" i="2"/>
  <c r="G1898" i="2"/>
  <c r="D1893" i="2"/>
  <c r="G1893" i="2"/>
  <c r="G1889" i="2"/>
  <c r="D1889" i="2"/>
  <c r="G1888" i="2"/>
  <c r="D1888" i="2"/>
  <c r="G1883" i="2"/>
  <c r="D1883" i="2"/>
  <c r="G1878" i="2"/>
  <c r="D1878" i="2"/>
  <c r="D1877" i="2"/>
  <c r="G1877" i="2"/>
  <c r="G1876" i="2"/>
  <c r="D1876" i="2"/>
  <c r="D1875" i="2"/>
  <c r="G1875" i="2"/>
  <c r="D1874" i="2"/>
  <c r="G1874" i="2"/>
  <c r="G1873" i="2"/>
  <c r="D1873" i="2"/>
  <c r="D1872" i="2"/>
  <c r="G1872" i="2"/>
  <c r="D1871" i="2"/>
  <c r="G1871" i="2"/>
  <c r="D1870" i="2"/>
  <c r="G1870" i="2"/>
  <c r="D1869" i="2"/>
  <c r="G1869" i="2"/>
  <c r="D1868" i="2"/>
  <c r="G1868" i="2"/>
  <c r="G1867" i="2"/>
  <c r="D1867" i="2"/>
  <c r="G1866" i="2"/>
  <c r="D1866" i="2"/>
  <c r="G1865" i="2"/>
  <c r="D1865" i="2"/>
  <c r="D1864" i="2"/>
  <c r="G1864" i="2"/>
  <c r="G1863" i="2"/>
  <c r="D1863" i="2"/>
  <c r="G1862" i="2"/>
  <c r="D1862" i="2"/>
  <c r="D1861" i="2"/>
  <c r="G1861" i="2"/>
  <c r="G1860" i="2"/>
  <c r="D1860" i="2"/>
  <c r="D1859" i="2"/>
  <c r="G1859" i="2"/>
  <c r="G1858" i="2"/>
  <c r="D1858" i="2"/>
  <c r="D1857" i="2"/>
  <c r="G1857" i="2"/>
  <c r="D1856" i="2"/>
  <c r="G1856" i="2"/>
  <c r="D1855" i="2"/>
  <c r="G1855" i="2"/>
  <c r="G1854" i="2"/>
  <c r="D1854" i="2"/>
  <c r="G1853" i="2"/>
  <c r="D1853" i="2"/>
  <c r="D1852" i="2"/>
  <c r="G1852" i="2"/>
  <c r="G1851" i="2"/>
  <c r="D1851" i="2"/>
  <c r="G1850" i="2"/>
  <c r="D1850" i="2"/>
  <c r="D1849" i="2"/>
  <c r="G1849" i="2"/>
  <c r="G1848" i="2"/>
  <c r="D1848" i="2"/>
  <c r="G1847" i="2"/>
  <c r="D1847" i="2"/>
  <c r="D1846" i="2"/>
  <c r="G1846" i="2"/>
  <c r="G1845" i="2"/>
  <c r="D1845" i="2"/>
  <c r="G1844" i="2"/>
  <c r="D1844" i="2"/>
  <c r="G1843" i="2"/>
  <c r="D1843" i="2"/>
  <c r="G1842" i="2"/>
  <c r="D1842" i="2"/>
  <c r="G1841" i="2"/>
  <c r="D1841" i="2"/>
  <c r="G1840" i="2"/>
  <c r="D1840" i="2"/>
  <c r="D1839" i="2"/>
  <c r="G1839" i="2"/>
  <c r="D1838" i="2"/>
  <c r="G1838" i="2"/>
  <c r="D1837" i="2"/>
  <c r="G1837" i="2"/>
  <c r="D1836" i="2"/>
  <c r="G1836" i="2"/>
  <c r="D1835" i="2"/>
  <c r="G1835" i="2"/>
  <c r="D1834" i="2"/>
  <c r="G1834" i="2"/>
  <c r="D1833" i="2"/>
  <c r="G1833" i="2"/>
  <c r="D1832" i="2"/>
  <c r="G1832" i="2"/>
  <c r="D1831" i="2"/>
  <c r="G1831" i="2"/>
  <c r="D1830" i="2"/>
  <c r="G1830" i="2"/>
  <c r="D1829" i="2"/>
  <c r="G1829" i="2"/>
  <c r="D1828" i="2"/>
  <c r="G1828" i="2"/>
  <c r="G1827" i="2"/>
  <c r="D1827" i="2"/>
  <c r="D1826" i="2"/>
  <c r="G1826" i="2"/>
  <c r="G1825" i="2"/>
  <c r="D1825" i="2"/>
  <c r="D1824" i="2"/>
  <c r="G1824" i="2"/>
  <c r="D1823" i="2"/>
  <c r="G1823" i="2"/>
  <c r="G1822" i="2"/>
  <c r="D1822" i="2"/>
  <c r="G1821" i="2"/>
  <c r="D1821" i="2"/>
  <c r="G1820" i="2"/>
  <c r="D1820" i="2"/>
  <c r="G1819" i="2"/>
  <c r="D1819" i="2"/>
  <c r="G1818" i="2"/>
  <c r="D1818" i="2"/>
  <c r="G1817" i="2"/>
  <c r="D1817" i="2"/>
  <c r="G1816" i="2"/>
  <c r="D1816" i="2"/>
  <c r="G1815" i="2"/>
  <c r="D1815" i="2"/>
  <c r="G1814" i="2"/>
  <c r="D1814" i="2"/>
  <c r="G1813" i="2"/>
  <c r="D1813" i="2"/>
  <c r="G1812" i="2"/>
  <c r="D1812" i="2"/>
  <c r="D1811" i="2"/>
  <c r="G1811" i="2"/>
  <c r="G1810" i="2"/>
  <c r="D1810" i="2"/>
  <c r="G1809" i="2"/>
  <c r="D1809" i="2"/>
  <c r="D1808" i="2"/>
  <c r="G1808" i="2"/>
  <c r="D1807" i="2"/>
  <c r="G1807" i="2"/>
  <c r="G1806" i="2"/>
  <c r="D1806" i="2"/>
  <c r="D1805" i="2"/>
  <c r="G1805" i="2"/>
  <c r="D1804" i="2"/>
  <c r="G1804" i="2"/>
  <c r="D1803" i="2"/>
  <c r="G1803" i="2"/>
  <c r="G1802" i="2"/>
  <c r="D1802" i="2"/>
  <c r="G1801" i="2"/>
  <c r="D1801" i="2"/>
  <c r="G1800" i="2"/>
  <c r="D1800" i="2"/>
  <c r="D1799" i="2"/>
  <c r="G1799" i="2"/>
  <c r="D1798" i="2"/>
  <c r="G1798" i="2"/>
  <c r="D1797" i="2"/>
  <c r="G1797" i="2"/>
  <c r="D1796" i="2"/>
  <c r="G1796" i="2"/>
  <c r="G1795" i="2"/>
  <c r="D1795" i="2"/>
  <c r="D1794" i="2"/>
  <c r="G1794" i="2"/>
  <c r="D1793" i="2"/>
  <c r="G1793" i="2"/>
  <c r="G1792" i="2"/>
  <c r="D1792" i="2"/>
  <c r="D1791" i="2"/>
  <c r="G1791" i="2"/>
  <c r="D1790" i="2"/>
  <c r="G1790" i="2"/>
  <c r="G1789" i="2"/>
  <c r="D1789" i="2"/>
  <c r="D1788" i="2"/>
  <c r="G1788" i="2"/>
  <c r="G1787" i="2"/>
  <c r="D1787" i="2"/>
  <c r="G1786" i="2"/>
  <c r="D1786" i="2"/>
  <c r="G1785" i="2"/>
  <c r="D1785" i="2"/>
  <c r="G1784" i="2"/>
  <c r="D1784" i="2"/>
  <c r="G1783" i="2"/>
  <c r="D1783" i="2"/>
  <c r="G1782" i="2"/>
  <c r="D1782" i="2"/>
  <c r="G1781" i="2"/>
  <c r="D1781" i="2"/>
  <c r="G1780" i="2"/>
  <c r="D1780" i="2"/>
  <c r="G1779" i="2"/>
  <c r="D1779" i="2"/>
  <c r="G1778" i="2"/>
  <c r="D1778" i="2"/>
  <c r="G1777" i="2"/>
  <c r="D1777" i="2"/>
  <c r="G1776" i="2"/>
  <c r="D1776" i="2"/>
  <c r="G1775" i="2"/>
  <c r="D1775" i="2"/>
  <c r="G1774" i="2"/>
  <c r="D1774" i="2"/>
  <c r="G1773" i="2"/>
  <c r="D1773" i="2"/>
  <c r="G1772" i="2"/>
  <c r="D1772" i="2"/>
  <c r="G1771" i="2"/>
  <c r="D1771" i="2"/>
  <c r="G1770" i="2"/>
  <c r="D1770" i="2"/>
  <c r="G1769" i="2"/>
  <c r="D1769" i="2"/>
  <c r="G1768" i="2"/>
  <c r="D1768" i="2"/>
  <c r="G1767" i="2"/>
  <c r="D1767" i="2"/>
  <c r="G1766" i="2"/>
  <c r="D1766" i="2"/>
  <c r="G1765" i="2"/>
  <c r="D1765" i="2"/>
  <c r="G1764" i="2"/>
  <c r="D1764" i="2"/>
  <c r="G1763" i="2"/>
  <c r="D1763" i="2"/>
  <c r="G1762" i="2"/>
  <c r="D1762" i="2"/>
  <c r="G1761" i="2"/>
  <c r="D1761" i="2"/>
  <c r="G1760" i="2"/>
  <c r="D1760" i="2"/>
  <c r="G1759" i="2"/>
  <c r="D1759" i="2"/>
  <c r="G1758" i="2"/>
  <c r="D1758" i="2"/>
  <c r="G1757" i="2"/>
  <c r="D1757" i="2"/>
  <c r="D1756" i="2"/>
  <c r="G1756" i="2"/>
  <c r="D1755" i="2"/>
  <c r="G1755" i="2"/>
  <c r="D1754" i="2"/>
  <c r="G1754" i="2"/>
  <c r="G1753" i="2"/>
  <c r="D1753" i="2"/>
  <c r="D1752" i="2"/>
  <c r="G1752" i="2"/>
  <c r="G1751" i="2"/>
  <c r="D1751" i="2"/>
  <c r="D1750" i="2"/>
  <c r="G1750" i="2"/>
  <c r="G1749" i="2"/>
  <c r="D1749" i="2"/>
  <c r="D1748" i="2"/>
  <c r="G1748" i="2"/>
  <c r="G1747" i="2"/>
  <c r="D1747" i="2"/>
  <c r="G1746" i="2"/>
  <c r="D1746" i="2"/>
  <c r="D1745" i="2"/>
  <c r="G1745" i="2"/>
  <c r="G1744" i="2"/>
  <c r="D1744" i="2"/>
  <c r="G1743" i="2"/>
  <c r="D1743" i="2"/>
  <c r="D1742" i="2"/>
  <c r="G1742" i="2"/>
  <c r="G1741" i="2"/>
  <c r="D1741" i="2"/>
  <c r="D1740" i="2"/>
  <c r="G1740" i="2"/>
  <c r="D1739" i="2"/>
  <c r="G1739" i="2"/>
  <c r="G1738" i="2"/>
  <c r="D1738" i="2"/>
  <c r="G1737" i="2"/>
  <c r="D1737" i="2"/>
  <c r="D1736" i="2"/>
  <c r="G1736" i="2"/>
  <c r="D1735" i="2"/>
  <c r="G1735" i="2"/>
  <c r="G1734" i="2"/>
  <c r="D1734" i="2"/>
  <c r="D1733" i="2"/>
  <c r="G1733" i="2"/>
  <c r="G1732" i="2"/>
  <c r="D1732" i="2"/>
  <c r="G1731" i="2"/>
  <c r="D1731" i="2"/>
  <c r="G1730" i="2"/>
  <c r="D1730" i="2"/>
  <c r="G1729" i="2"/>
  <c r="D1729" i="2"/>
  <c r="G1728" i="2"/>
  <c r="D1728" i="2"/>
  <c r="G1727" i="2"/>
  <c r="D1727" i="2"/>
  <c r="G1726" i="2"/>
  <c r="D1726" i="2"/>
  <c r="G1725" i="2"/>
  <c r="D1725" i="2"/>
  <c r="G1724" i="2"/>
  <c r="D1724" i="2"/>
  <c r="G1723" i="2"/>
  <c r="D1723" i="2"/>
  <c r="G1722" i="2"/>
  <c r="D1722" i="2"/>
  <c r="D1721" i="2"/>
  <c r="G1721" i="2"/>
  <c r="D1720" i="2"/>
  <c r="G1720" i="2"/>
  <c r="D1719" i="2"/>
  <c r="G1719" i="2"/>
  <c r="D1718" i="2"/>
  <c r="G1718" i="2"/>
  <c r="G1717" i="2"/>
  <c r="D1717" i="2"/>
  <c r="G1716" i="2"/>
  <c r="D1716" i="2"/>
  <c r="G1715" i="2"/>
  <c r="D1715" i="2"/>
  <c r="D1714" i="2"/>
  <c r="G1714" i="2"/>
  <c r="D1713" i="2"/>
  <c r="G1713" i="2"/>
  <c r="D1712" i="2"/>
  <c r="G1712" i="2"/>
  <c r="G1711" i="2"/>
  <c r="D1711" i="2"/>
  <c r="G1710" i="2"/>
  <c r="D1710" i="2"/>
  <c r="G1709" i="2"/>
  <c r="D1709" i="2"/>
  <c r="G1708" i="2"/>
  <c r="D1708" i="2"/>
  <c r="D1707" i="2"/>
  <c r="G1707" i="2"/>
  <c r="G1706" i="2"/>
  <c r="D1706" i="2"/>
  <c r="G1705" i="2"/>
  <c r="D1705" i="2"/>
  <c r="G1704" i="2"/>
  <c r="D1704" i="2"/>
  <c r="G1703" i="2"/>
  <c r="D1703" i="2"/>
  <c r="D1702" i="2"/>
  <c r="G1702" i="2"/>
  <c r="D1701" i="2"/>
  <c r="G1701" i="2"/>
  <c r="D1700" i="2"/>
  <c r="G1700" i="2"/>
  <c r="D1699" i="2"/>
  <c r="G1699" i="2"/>
  <c r="D1698" i="2"/>
  <c r="G1698" i="2"/>
  <c r="G1697" i="2"/>
  <c r="D1697" i="2"/>
  <c r="G1696" i="2"/>
  <c r="D1696" i="2"/>
  <c r="G1695" i="2"/>
  <c r="D1695" i="2"/>
  <c r="G1694" i="2"/>
  <c r="D1694" i="2"/>
  <c r="D1693" i="2"/>
  <c r="G1693" i="2"/>
  <c r="G1692" i="2"/>
  <c r="D1692" i="2"/>
  <c r="G1691" i="2"/>
  <c r="D1691" i="2"/>
  <c r="G1690" i="2"/>
  <c r="D1690" i="2"/>
  <c r="G1689" i="2"/>
  <c r="D1689" i="2"/>
  <c r="D1688" i="2"/>
  <c r="G1688" i="2"/>
  <c r="G1687" i="2"/>
  <c r="D1687" i="2"/>
  <c r="D1686" i="2"/>
  <c r="G1686" i="2"/>
  <c r="D1685" i="2"/>
  <c r="G1685" i="2"/>
  <c r="D1684" i="2"/>
  <c r="G1684" i="2"/>
  <c r="D1683" i="2"/>
  <c r="G1683" i="2"/>
  <c r="G1682" i="2"/>
  <c r="D1682" i="2"/>
  <c r="G1681" i="2"/>
  <c r="D1681" i="2"/>
  <c r="G1680" i="2"/>
  <c r="D1680" i="2"/>
  <c r="D1679" i="2"/>
  <c r="G1679" i="2"/>
  <c r="D1678" i="2"/>
  <c r="G1678" i="2"/>
  <c r="D1677" i="2"/>
  <c r="G1677" i="2"/>
  <c r="G1676" i="2"/>
  <c r="D1676" i="2"/>
  <c r="D1675" i="2"/>
  <c r="G1675" i="2"/>
  <c r="D1674" i="2"/>
  <c r="G1674" i="2"/>
  <c r="D1673" i="2"/>
  <c r="G1673" i="2"/>
  <c r="D1672" i="2"/>
  <c r="G1672" i="2"/>
  <c r="D1671" i="2"/>
  <c r="G1671" i="2"/>
  <c r="D1670" i="2"/>
  <c r="G1670" i="2"/>
  <c r="D1669" i="2"/>
  <c r="G1669" i="2"/>
  <c r="G1668" i="2"/>
  <c r="D1668" i="2"/>
  <c r="D1667" i="2"/>
  <c r="G1667" i="2"/>
  <c r="D1666" i="2"/>
  <c r="G1666" i="2"/>
  <c r="G1665" i="2"/>
  <c r="D1665" i="2"/>
  <c r="G1664" i="2"/>
  <c r="D1664" i="2"/>
  <c r="G1663" i="2"/>
  <c r="D1663" i="2"/>
  <c r="D1662" i="2"/>
  <c r="G1662" i="2"/>
  <c r="G1661" i="2"/>
  <c r="D1661" i="2"/>
  <c r="G1660" i="2"/>
  <c r="D1660" i="2"/>
  <c r="D1659" i="2"/>
  <c r="G1659" i="2"/>
  <c r="D1658" i="2"/>
  <c r="G1658" i="2"/>
  <c r="G1657" i="2"/>
  <c r="D1657" i="2"/>
  <c r="G1656" i="2"/>
  <c r="D1656" i="2"/>
  <c r="G1655" i="2"/>
  <c r="D1655" i="2"/>
  <c r="G1654" i="2"/>
  <c r="D1654" i="2"/>
  <c r="D1653" i="2"/>
  <c r="G1653" i="2"/>
  <c r="D1652" i="2"/>
  <c r="G1652" i="2"/>
  <c r="D1651" i="2"/>
  <c r="G1651" i="2"/>
  <c r="D1650" i="2"/>
  <c r="G1650" i="2"/>
  <c r="G1649" i="2"/>
  <c r="D1649" i="2"/>
  <c r="G1648" i="2"/>
  <c r="D1648" i="2"/>
  <c r="D1647" i="2"/>
  <c r="G1647" i="2"/>
  <c r="D1646" i="2"/>
  <c r="G1646" i="2"/>
  <c r="D1645" i="2"/>
  <c r="G1645" i="2"/>
  <c r="D1644" i="2"/>
  <c r="G1644" i="2"/>
  <c r="D1643" i="2"/>
  <c r="G1643" i="2"/>
  <c r="G1642" i="2"/>
  <c r="D1642" i="2"/>
  <c r="D1641" i="2"/>
  <c r="G1641" i="2"/>
  <c r="D1640" i="2"/>
  <c r="G1640" i="2"/>
  <c r="D1639" i="2"/>
  <c r="G1639" i="2"/>
  <c r="D1638" i="2"/>
  <c r="G1638" i="2"/>
  <c r="D1637" i="2"/>
  <c r="G1637" i="2"/>
  <c r="G1636" i="2"/>
  <c r="D1636" i="2"/>
  <c r="D1635" i="2"/>
  <c r="G1635" i="2"/>
  <c r="D1634" i="2"/>
  <c r="G1634" i="2"/>
  <c r="D1633" i="2"/>
  <c r="G1633" i="2"/>
  <c r="D1632" i="2"/>
  <c r="G1632" i="2"/>
  <c r="G1631" i="2"/>
  <c r="D1631" i="2"/>
  <c r="D1630" i="2"/>
  <c r="G1630" i="2"/>
  <c r="G1629" i="2"/>
  <c r="D1629" i="2"/>
  <c r="D1628" i="2"/>
  <c r="G1628" i="2"/>
  <c r="D1627" i="2"/>
  <c r="G1627" i="2"/>
  <c r="D1626" i="2"/>
  <c r="G1626" i="2"/>
  <c r="G1625" i="2"/>
  <c r="D1625" i="2"/>
  <c r="G1624" i="2"/>
  <c r="D1624" i="2"/>
  <c r="G1623" i="2"/>
  <c r="D1623" i="2"/>
  <c r="G1622" i="2"/>
  <c r="D1622" i="2"/>
  <c r="D1621" i="2"/>
  <c r="G1621" i="2"/>
  <c r="G1620" i="2"/>
  <c r="D1620" i="2"/>
  <c r="G1619" i="2"/>
  <c r="D1619" i="2"/>
  <c r="G1618" i="2"/>
  <c r="D1618" i="2"/>
  <c r="D1617" i="2"/>
  <c r="G1617" i="2"/>
  <c r="D1616" i="2"/>
  <c r="G1616" i="2"/>
  <c r="D1615" i="2"/>
  <c r="G1615" i="2"/>
  <c r="G1614" i="2"/>
  <c r="D1614" i="2"/>
  <c r="G1613" i="2"/>
  <c r="D1613" i="2"/>
  <c r="G1612" i="2"/>
  <c r="D1612" i="2"/>
  <c r="D1611" i="2"/>
  <c r="G1611" i="2"/>
  <c r="G1610" i="2"/>
  <c r="D1610" i="2"/>
  <c r="D1609" i="2"/>
  <c r="G1609" i="2"/>
  <c r="G1608" i="2"/>
  <c r="D1608" i="2"/>
  <c r="D1607" i="2"/>
  <c r="G1607" i="2"/>
  <c r="G1606" i="2"/>
  <c r="D1606" i="2"/>
  <c r="G1605" i="2"/>
  <c r="D1605" i="2"/>
  <c r="G1604" i="2"/>
  <c r="D1604" i="2"/>
  <c r="G1603" i="2"/>
  <c r="D1603" i="2"/>
  <c r="G1602" i="2"/>
  <c r="D1602" i="2"/>
  <c r="G1601" i="2"/>
  <c r="D1601" i="2"/>
  <c r="D1600" i="2"/>
  <c r="G1600" i="2"/>
  <c r="D1599" i="2"/>
  <c r="G1599" i="2"/>
  <c r="G1598" i="2"/>
  <c r="D1598" i="2"/>
  <c r="D1597" i="2"/>
  <c r="G1597" i="2"/>
  <c r="G1596" i="2"/>
  <c r="D1596" i="2"/>
  <c r="D1595" i="2"/>
  <c r="G1595" i="2"/>
  <c r="G1594" i="2"/>
  <c r="D1594" i="2"/>
  <c r="D1593" i="2"/>
  <c r="G1593" i="2"/>
  <c r="G1592" i="2"/>
  <c r="D1592" i="2"/>
  <c r="G1591" i="2"/>
  <c r="D1591" i="2"/>
  <c r="G1590" i="2"/>
  <c r="D1590" i="2"/>
  <c r="G1589" i="2"/>
  <c r="D1589" i="2"/>
  <c r="D1588" i="2"/>
  <c r="G1588" i="2"/>
  <c r="G1587" i="2"/>
  <c r="D1587" i="2"/>
  <c r="D1586" i="2"/>
  <c r="G1586" i="2"/>
  <c r="D1585" i="2"/>
  <c r="G1585" i="2"/>
  <c r="G1584" i="2"/>
  <c r="D1584" i="2"/>
  <c r="D1583" i="2"/>
  <c r="G1583" i="2"/>
  <c r="G1582" i="2"/>
  <c r="D1582" i="2"/>
  <c r="G1581" i="2"/>
  <c r="D1581" i="2"/>
  <c r="D1580" i="2"/>
  <c r="G1580" i="2"/>
  <c r="D1579" i="2"/>
  <c r="G1579" i="2"/>
  <c r="D1578" i="2"/>
  <c r="G1578" i="2"/>
  <c r="D1577" i="2"/>
  <c r="G1577" i="2"/>
  <c r="G1576" i="2"/>
  <c r="D1576" i="2"/>
  <c r="D1575" i="2"/>
  <c r="G1575" i="2"/>
  <c r="G1574" i="2"/>
  <c r="D1574" i="2"/>
  <c r="G1573" i="2"/>
  <c r="D1573" i="2"/>
  <c r="D1572" i="2"/>
  <c r="G1572" i="2"/>
  <c r="D1571" i="2"/>
  <c r="G1571" i="2"/>
  <c r="D1570" i="2"/>
  <c r="G1570" i="2"/>
  <c r="D1569" i="2"/>
  <c r="G1569" i="2"/>
  <c r="D1568" i="2"/>
  <c r="G1568" i="2"/>
  <c r="G1567" i="2"/>
  <c r="D1567" i="2"/>
  <c r="G1566" i="2"/>
  <c r="D1566" i="2"/>
  <c r="D1565" i="2"/>
  <c r="G1565" i="2"/>
  <c r="G1564" i="2"/>
  <c r="D1564" i="2"/>
  <c r="G1563" i="2"/>
  <c r="D1563" i="2"/>
  <c r="G1562" i="2"/>
  <c r="D1562" i="2"/>
  <c r="G1561" i="2"/>
  <c r="D1561" i="2"/>
  <c r="D1560" i="2"/>
  <c r="G1560" i="2"/>
  <c r="D1559" i="2"/>
  <c r="G1559" i="2"/>
  <c r="G1558" i="2"/>
  <c r="D1558" i="2"/>
  <c r="G1557" i="2"/>
  <c r="D1557" i="2"/>
  <c r="G1556" i="2"/>
  <c r="D1556" i="2"/>
  <c r="G1555" i="2"/>
  <c r="D1555" i="2"/>
  <c r="G1554" i="2"/>
  <c r="D1554" i="2"/>
  <c r="D1553" i="2"/>
  <c r="G1553" i="2"/>
  <c r="G1552" i="2"/>
  <c r="D1552" i="2"/>
  <c r="D1551" i="2"/>
  <c r="G1551" i="2"/>
  <c r="D1550" i="2"/>
  <c r="G1550" i="2"/>
  <c r="D1549" i="2"/>
  <c r="G1549" i="2"/>
  <c r="D1548" i="2"/>
  <c r="G1548" i="2"/>
  <c r="G1547" i="2"/>
  <c r="D1547" i="2"/>
  <c r="G1546" i="2"/>
  <c r="D1546" i="2"/>
  <c r="G1545" i="2"/>
  <c r="D1545" i="2"/>
  <c r="D1544" i="2"/>
  <c r="G1544" i="2"/>
  <c r="G1543" i="2"/>
  <c r="D1543" i="2"/>
  <c r="G1542" i="2"/>
  <c r="D1542" i="2"/>
  <c r="G1541" i="2"/>
  <c r="D1541" i="2"/>
  <c r="D1540" i="2"/>
  <c r="G1540" i="2"/>
  <c r="G1539" i="2"/>
  <c r="D1539" i="2"/>
  <c r="G1538" i="2"/>
  <c r="D1538" i="2"/>
  <c r="G1537" i="2"/>
  <c r="D1537" i="2"/>
  <c r="D1536" i="2"/>
  <c r="G1536" i="2"/>
  <c r="G1535" i="2"/>
  <c r="D1535" i="2"/>
  <c r="D1534" i="2"/>
  <c r="G1534" i="2"/>
  <c r="G1533" i="2"/>
  <c r="D1533" i="2"/>
  <c r="D1532" i="2"/>
  <c r="G1532" i="2"/>
  <c r="G1531" i="2"/>
  <c r="D1531" i="2"/>
  <c r="G1530" i="2"/>
  <c r="D1530" i="2"/>
  <c r="G1529" i="2"/>
  <c r="D1529" i="2"/>
  <c r="D1528" i="2"/>
  <c r="G1528" i="2"/>
  <c r="G1527" i="2"/>
  <c r="D1527" i="2"/>
  <c r="G1526" i="2"/>
  <c r="D1526" i="2"/>
  <c r="D1525" i="2"/>
  <c r="G1525" i="2"/>
  <c r="D1524" i="2"/>
  <c r="G1524" i="2"/>
  <c r="G1523" i="2"/>
  <c r="D1523" i="2"/>
  <c r="G1522" i="2"/>
  <c r="D1522" i="2"/>
  <c r="G1521" i="2"/>
  <c r="D1521" i="2"/>
  <c r="G1520" i="2"/>
  <c r="D1520" i="2"/>
  <c r="G1519" i="2"/>
  <c r="D1519" i="2"/>
  <c r="G1518" i="2"/>
  <c r="D1518" i="2"/>
  <c r="G1517" i="2"/>
  <c r="D1517" i="2"/>
  <c r="D1516" i="2"/>
  <c r="G1516" i="2"/>
  <c r="G1515" i="2"/>
  <c r="D1515" i="2"/>
  <c r="D1514" i="2"/>
  <c r="G1514" i="2"/>
  <c r="G1513" i="2"/>
  <c r="D1513" i="2"/>
  <c r="D1512" i="2"/>
  <c r="G1512" i="2"/>
  <c r="G1511" i="2"/>
  <c r="D1511" i="2"/>
  <c r="G1510" i="2"/>
  <c r="D1510" i="2"/>
  <c r="G1509" i="2"/>
  <c r="D1509" i="2"/>
  <c r="D1508" i="2"/>
  <c r="G1508" i="2"/>
  <c r="G1507" i="2"/>
  <c r="D1507" i="2"/>
  <c r="G1506" i="2"/>
  <c r="D1506" i="2"/>
  <c r="G1505" i="2"/>
  <c r="D1505" i="2"/>
  <c r="D1504" i="2"/>
  <c r="G1504" i="2"/>
  <c r="G1503" i="2"/>
  <c r="D1503" i="2"/>
  <c r="G1502" i="2"/>
  <c r="D1502" i="2"/>
  <c r="D1501" i="2"/>
  <c r="G1501" i="2"/>
  <c r="G1500" i="2"/>
  <c r="D1500" i="2"/>
  <c r="G1499" i="2"/>
  <c r="D1499" i="2"/>
  <c r="D1498" i="2"/>
  <c r="G1498" i="2"/>
  <c r="G1497" i="2"/>
  <c r="D1497" i="2"/>
  <c r="G1496" i="2"/>
  <c r="D1496" i="2"/>
  <c r="D1495" i="2"/>
  <c r="G1495" i="2"/>
  <c r="G1494" i="2"/>
  <c r="D1494" i="2"/>
  <c r="G1493" i="2"/>
  <c r="D1493" i="2"/>
  <c r="D1492" i="2"/>
  <c r="G1492" i="2"/>
  <c r="G1491" i="2"/>
  <c r="D1491" i="2"/>
  <c r="G1490" i="2"/>
  <c r="D1490" i="2"/>
  <c r="D1489" i="2"/>
  <c r="G1489" i="2"/>
  <c r="G1488" i="2"/>
  <c r="D1488" i="2"/>
  <c r="G1487" i="2"/>
  <c r="D1487" i="2"/>
  <c r="D1486" i="2"/>
  <c r="G1486" i="2"/>
  <c r="G1485" i="2"/>
  <c r="D1485" i="2"/>
  <c r="G1484" i="2"/>
  <c r="D1484" i="2"/>
  <c r="G1483" i="2"/>
  <c r="D1483" i="2"/>
  <c r="G1482" i="2"/>
  <c r="D1482" i="2"/>
  <c r="G1481" i="2"/>
  <c r="D1481" i="2"/>
  <c r="D1480" i="2"/>
  <c r="G1480" i="2"/>
  <c r="G1479" i="2"/>
  <c r="D1479" i="2"/>
  <c r="G1478" i="2"/>
  <c r="D1478" i="2"/>
  <c r="D1477" i="2"/>
  <c r="G1477" i="2"/>
  <c r="D1476" i="2"/>
  <c r="G1476" i="2"/>
  <c r="D1475" i="2"/>
  <c r="G1475" i="2"/>
  <c r="D1474" i="2"/>
  <c r="G1474" i="2"/>
  <c r="D1473" i="2"/>
  <c r="G1473" i="2"/>
  <c r="G1472" i="2"/>
  <c r="D1472" i="2"/>
  <c r="G1471" i="2"/>
  <c r="D1471" i="2"/>
  <c r="D1470" i="2"/>
  <c r="G1470" i="2"/>
  <c r="D1469" i="2"/>
  <c r="G1469" i="2"/>
  <c r="G1468" i="2"/>
  <c r="D1468" i="2"/>
  <c r="G1467" i="2"/>
  <c r="D1467" i="2"/>
  <c r="G1466" i="2"/>
  <c r="D1466" i="2"/>
  <c r="D1465" i="2"/>
  <c r="G1465" i="2"/>
  <c r="D1464" i="2"/>
  <c r="G1464" i="2"/>
  <c r="D1463" i="2"/>
  <c r="G1463" i="2"/>
  <c r="G1462" i="2"/>
  <c r="D1462" i="2"/>
  <c r="D1461" i="2"/>
  <c r="G1461" i="2"/>
  <c r="D1460" i="2"/>
  <c r="G1460" i="2"/>
  <c r="D1459" i="2"/>
  <c r="G1459" i="2"/>
  <c r="G1458" i="2"/>
  <c r="D1458" i="2"/>
  <c r="G1457" i="2"/>
  <c r="D1457" i="2"/>
  <c r="D1456" i="2"/>
  <c r="G1456" i="2"/>
  <c r="D1455" i="2"/>
  <c r="G1455" i="2"/>
  <c r="G1454" i="2"/>
  <c r="D1454" i="2"/>
  <c r="G1453" i="2"/>
  <c r="D1453" i="2"/>
  <c r="G1452" i="2"/>
  <c r="D1452" i="2"/>
  <c r="G1451" i="2"/>
  <c r="D1451" i="2"/>
  <c r="G1450" i="2"/>
  <c r="D1450" i="2"/>
  <c r="D1449" i="2"/>
  <c r="G1449" i="2"/>
  <c r="G1448" i="2"/>
  <c r="D1448" i="2"/>
  <c r="G1447" i="2"/>
  <c r="D1447" i="2"/>
  <c r="G1446" i="2"/>
  <c r="D1446" i="2"/>
  <c r="G1445" i="2"/>
  <c r="D1445" i="2"/>
  <c r="D1444" i="2"/>
  <c r="G1444" i="2"/>
  <c r="D1443" i="2"/>
  <c r="G1443" i="2"/>
  <c r="D1442" i="2"/>
  <c r="G1442" i="2"/>
  <c r="D1441" i="2"/>
  <c r="G1441" i="2"/>
  <c r="G1440" i="2"/>
  <c r="D1440" i="2"/>
  <c r="D1439" i="2"/>
  <c r="G1439" i="2"/>
  <c r="D1438" i="2"/>
  <c r="G1438" i="2"/>
  <c r="D1437" i="2"/>
  <c r="G1437" i="2"/>
  <c r="D1436" i="2"/>
  <c r="G1436" i="2"/>
  <c r="G1435" i="2"/>
  <c r="D1435" i="2"/>
  <c r="G1434" i="2"/>
  <c r="D1434" i="2"/>
  <c r="G1433" i="2"/>
  <c r="D1433" i="2"/>
  <c r="G1432" i="2"/>
  <c r="D1432" i="2"/>
  <c r="D1431" i="2"/>
  <c r="G1431" i="2"/>
  <c r="D1430" i="2"/>
  <c r="G1430" i="2"/>
  <c r="G1429" i="2"/>
  <c r="D1429" i="2"/>
  <c r="D1428" i="2"/>
  <c r="G1428" i="2"/>
  <c r="D1427" i="2"/>
  <c r="G1427" i="2"/>
  <c r="G1426" i="2"/>
  <c r="D1426" i="2"/>
  <c r="D1425" i="2"/>
  <c r="G1425" i="2"/>
  <c r="D1424" i="2"/>
  <c r="G1424" i="2"/>
  <c r="D1423" i="2"/>
  <c r="G1423" i="2"/>
  <c r="D1422" i="2"/>
  <c r="G1422" i="2"/>
  <c r="G1421" i="2"/>
  <c r="D1421" i="2"/>
  <c r="G1420" i="2"/>
  <c r="D1420" i="2"/>
  <c r="D1419" i="2"/>
  <c r="G1419" i="2"/>
  <c r="D1418" i="2"/>
  <c r="G1418" i="2"/>
  <c r="G1417" i="2"/>
  <c r="D1417" i="2"/>
  <c r="G1416" i="2"/>
  <c r="D1416" i="2"/>
  <c r="D1415" i="2"/>
  <c r="G1415" i="2"/>
  <c r="D1414" i="2"/>
  <c r="G1414" i="2"/>
  <c r="G1413" i="2"/>
  <c r="D1413" i="2"/>
  <c r="G1412" i="2"/>
  <c r="D1412" i="2"/>
  <c r="D1411" i="2"/>
  <c r="G1411" i="2"/>
  <c r="G1410" i="2"/>
  <c r="D1410" i="2"/>
  <c r="G1409" i="2"/>
  <c r="D1409" i="2"/>
  <c r="G1408" i="2"/>
  <c r="D1408" i="2"/>
  <c r="G1407" i="2"/>
  <c r="D1407" i="2"/>
  <c r="G1406" i="2"/>
  <c r="D1406" i="2"/>
  <c r="G1405" i="2"/>
  <c r="D1405" i="2"/>
  <c r="D1404" i="2"/>
  <c r="G1404" i="2"/>
  <c r="G1403" i="2"/>
  <c r="D1403" i="2"/>
  <c r="G1402" i="2"/>
  <c r="D1402" i="2"/>
  <c r="G1401" i="2"/>
  <c r="D1401" i="2"/>
  <c r="G1400" i="2"/>
  <c r="D1400" i="2"/>
  <c r="D1399" i="2"/>
  <c r="G1399" i="2"/>
  <c r="D1398" i="2"/>
  <c r="G1398" i="2"/>
  <c r="D1397" i="2"/>
  <c r="G1397" i="2"/>
  <c r="D1396" i="2"/>
  <c r="G1396" i="2"/>
  <c r="D1395" i="2"/>
  <c r="G1395" i="2"/>
  <c r="D1394" i="2"/>
  <c r="G1394" i="2"/>
  <c r="D1393" i="2"/>
  <c r="G1393" i="2"/>
  <c r="D1392" i="2"/>
  <c r="G1392" i="2"/>
  <c r="D1391" i="2"/>
  <c r="G1391" i="2"/>
  <c r="D1390" i="2"/>
  <c r="G1390" i="2"/>
  <c r="G1389" i="2"/>
  <c r="D1389" i="2"/>
  <c r="D1388" i="2"/>
  <c r="G1388" i="2"/>
  <c r="D1387" i="2"/>
  <c r="G1387" i="2"/>
  <c r="G1386" i="2"/>
  <c r="D1386" i="2"/>
  <c r="G1385" i="2"/>
  <c r="D1385" i="2"/>
  <c r="D1384" i="2"/>
  <c r="G1384" i="2"/>
  <c r="G1383" i="2"/>
  <c r="D1383" i="2"/>
  <c r="G1382" i="2"/>
  <c r="D1382" i="2"/>
  <c r="D1381" i="2"/>
  <c r="G1381" i="2"/>
  <c r="G1380" i="2"/>
  <c r="D1380" i="2"/>
  <c r="G1379" i="2"/>
  <c r="D1379" i="2"/>
  <c r="D1378" i="2"/>
  <c r="G1378" i="2"/>
  <c r="D1377" i="2"/>
  <c r="G1377" i="2"/>
  <c r="D1376" i="2"/>
  <c r="G1376" i="2"/>
  <c r="G1375" i="2"/>
  <c r="D1375" i="2"/>
  <c r="G1374" i="2"/>
  <c r="D1374" i="2"/>
  <c r="G1373" i="2"/>
  <c r="D1373" i="2"/>
  <c r="G1372" i="2"/>
  <c r="D1372" i="2"/>
  <c r="G1371" i="2"/>
  <c r="D1371" i="2"/>
  <c r="G1370" i="2"/>
  <c r="D1370" i="2"/>
  <c r="G1369" i="2"/>
  <c r="D1369" i="2"/>
  <c r="G1368" i="2"/>
  <c r="D1368" i="2"/>
  <c r="G1367" i="2"/>
  <c r="D1367" i="2"/>
  <c r="G1366" i="2"/>
  <c r="D1366" i="2"/>
  <c r="G1365" i="2"/>
  <c r="D1365" i="2"/>
  <c r="G1364" i="2"/>
  <c r="D1364" i="2"/>
  <c r="D1363" i="2"/>
  <c r="G1363" i="2"/>
  <c r="G1362" i="2"/>
  <c r="D1362" i="2"/>
  <c r="D1361" i="2"/>
  <c r="G1361" i="2"/>
  <c r="G1360" i="2"/>
  <c r="D1360" i="2"/>
  <c r="D1359" i="2"/>
  <c r="G1359" i="2"/>
  <c r="D1358" i="2"/>
  <c r="G1358" i="2"/>
  <c r="G1357" i="2"/>
  <c r="D1357" i="2"/>
  <c r="D1356" i="2"/>
  <c r="G1356" i="2"/>
  <c r="G1355" i="2"/>
  <c r="D1355" i="2"/>
  <c r="G1354" i="2"/>
  <c r="D1354" i="2"/>
  <c r="G1353" i="2"/>
  <c r="D1353" i="2"/>
  <c r="G1352" i="2"/>
  <c r="D1352" i="2"/>
  <c r="D1351" i="2"/>
  <c r="G1351" i="2"/>
  <c r="G1350" i="2"/>
  <c r="D1350" i="2"/>
  <c r="D1349" i="2"/>
  <c r="G1349" i="2"/>
  <c r="D1348" i="2"/>
  <c r="G1348" i="2"/>
  <c r="G1347" i="2"/>
  <c r="D1347" i="2"/>
  <c r="G1346" i="2"/>
  <c r="D1346" i="2"/>
  <c r="D1345" i="2"/>
  <c r="G1345" i="2"/>
  <c r="D1344" i="2"/>
  <c r="G1344" i="2"/>
  <c r="D1343" i="2"/>
  <c r="G1343" i="2"/>
  <c r="G1342" i="2"/>
  <c r="D1342" i="2"/>
  <c r="D1341" i="2"/>
  <c r="G1341" i="2"/>
  <c r="D1340" i="2"/>
  <c r="G1340" i="2"/>
  <c r="D1339" i="2"/>
  <c r="G1339" i="2"/>
  <c r="D1338" i="2"/>
  <c r="G1338" i="2"/>
  <c r="G1337" i="2"/>
  <c r="D1337" i="2"/>
  <c r="G1336" i="2"/>
  <c r="D1336" i="2"/>
  <c r="D1335" i="2"/>
  <c r="G1335" i="2"/>
  <c r="D1334" i="2"/>
  <c r="G1334" i="2"/>
  <c r="D1333" i="2"/>
  <c r="G1333" i="2"/>
  <c r="D1332" i="2"/>
  <c r="G1332" i="2"/>
  <c r="D1331" i="2"/>
  <c r="G1331" i="2"/>
  <c r="D1330" i="2"/>
  <c r="G1330" i="2"/>
  <c r="G1329" i="2"/>
  <c r="D1329" i="2"/>
  <c r="G1328" i="2"/>
  <c r="D1328" i="2"/>
  <c r="D1327" i="2"/>
  <c r="G1327" i="2"/>
  <c r="G1326" i="2"/>
  <c r="D1326" i="2"/>
  <c r="G1325" i="2"/>
  <c r="D1325" i="2"/>
  <c r="G1324" i="2"/>
  <c r="D1324" i="2"/>
  <c r="G1323" i="2"/>
  <c r="D1323" i="2"/>
  <c r="D1322" i="2"/>
  <c r="G1322" i="2"/>
  <c r="G1321" i="2"/>
  <c r="D1321" i="2"/>
  <c r="D1320" i="2"/>
  <c r="G1320" i="2"/>
  <c r="D1319" i="2"/>
  <c r="G1319" i="2"/>
  <c r="D1318" i="2"/>
  <c r="G1318" i="2"/>
  <c r="D1317" i="2"/>
  <c r="G1317" i="2"/>
  <c r="D1316" i="2"/>
  <c r="G1316" i="2"/>
  <c r="D1315" i="2"/>
  <c r="G1315" i="2"/>
  <c r="D1314" i="2"/>
  <c r="G1314" i="2"/>
  <c r="G1313" i="2"/>
  <c r="D1313" i="2"/>
  <c r="D1312" i="2"/>
  <c r="G1312" i="2"/>
  <c r="G1311" i="2"/>
  <c r="D1311" i="2"/>
  <c r="G1310" i="2"/>
  <c r="D1310" i="2"/>
  <c r="G1309" i="2"/>
  <c r="D1309" i="2"/>
  <c r="G1308" i="2"/>
  <c r="D1308" i="2"/>
  <c r="D1307" i="2"/>
  <c r="G1307" i="2"/>
  <c r="G1306" i="2"/>
  <c r="D1306" i="2"/>
  <c r="D1305" i="2"/>
  <c r="G1305" i="2"/>
  <c r="D1304" i="2"/>
  <c r="G1304" i="2"/>
  <c r="D1303" i="2"/>
  <c r="G1303" i="2"/>
  <c r="G1302" i="2"/>
  <c r="D1302" i="2"/>
  <c r="D1301" i="2"/>
  <c r="G1301" i="2"/>
  <c r="D1300" i="2"/>
  <c r="G1300" i="2"/>
  <c r="G1299" i="2"/>
  <c r="D1299" i="2"/>
  <c r="G1298" i="2"/>
  <c r="D1298" i="2"/>
  <c r="G1297" i="2"/>
  <c r="D1297" i="2"/>
  <c r="G1296" i="2"/>
  <c r="D1296" i="2"/>
  <c r="D1295" i="2"/>
  <c r="G1295" i="2"/>
  <c r="G1294" i="2"/>
  <c r="D1294" i="2"/>
  <c r="G1293" i="2"/>
  <c r="D1293" i="2"/>
  <c r="G1292" i="2"/>
  <c r="D1292" i="2"/>
  <c r="G1291" i="2"/>
  <c r="D1291" i="2"/>
  <c r="G1290" i="2"/>
  <c r="D1290" i="2"/>
  <c r="G1289" i="2"/>
  <c r="D1289" i="2"/>
  <c r="G1288" i="2"/>
  <c r="D1288" i="2"/>
  <c r="G1287" i="2"/>
  <c r="D1287" i="2"/>
  <c r="G1286" i="2"/>
  <c r="D1286" i="2"/>
  <c r="G1285" i="2"/>
  <c r="D1285" i="2"/>
  <c r="G1284" i="2"/>
  <c r="D1284" i="2"/>
  <c r="D1283" i="2"/>
  <c r="G1283" i="2"/>
  <c r="G1282" i="2"/>
  <c r="D1282" i="2"/>
  <c r="D1281" i="2"/>
  <c r="G1281" i="2"/>
  <c r="G1280" i="2"/>
  <c r="D1280" i="2"/>
  <c r="D1279" i="2"/>
  <c r="G1279" i="2"/>
  <c r="D1278" i="2"/>
  <c r="G1278" i="2"/>
  <c r="D1277" i="2"/>
  <c r="G1277" i="2"/>
  <c r="D1276" i="2"/>
  <c r="G1276" i="2"/>
  <c r="D1275" i="2"/>
  <c r="G1275" i="2"/>
  <c r="D1274" i="2"/>
  <c r="G1274" i="2"/>
  <c r="G1273" i="2"/>
  <c r="D1273" i="2"/>
  <c r="G1272" i="2"/>
  <c r="D1272" i="2"/>
  <c r="G1271" i="2"/>
  <c r="D1271" i="2"/>
  <c r="G1270" i="2"/>
  <c r="D1270" i="2"/>
  <c r="G1269" i="2"/>
  <c r="D1269" i="2"/>
  <c r="D1268" i="2"/>
  <c r="G1268" i="2"/>
  <c r="G1267" i="2"/>
  <c r="D1267" i="2"/>
  <c r="D1266" i="2"/>
  <c r="G1266" i="2"/>
  <c r="G1265" i="2"/>
  <c r="D1265" i="2"/>
  <c r="G1264" i="2"/>
  <c r="D1264" i="2"/>
  <c r="G1263" i="2"/>
  <c r="D1263" i="2"/>
  <c r="G1262" i="2"/>
  <c r="D1262" i="2"/>
  <c r="D1261" i="2"/>
  <c r="G1261" i="2"/>
  <c r="D1260" i="2"/>
  <c r="G1260" i="2"/>
  <c r="G1259" i="2"/>
  <c r="D1259" i="2"/>
  <c r="D1258" i="2"/>
  <c r="G1258" i="2"/>
  <c r="G1257" i="2"/>
  <c r="D1257" i="2"/>
  <c r="G1256" i="2"/>
  <c r="D1256" i="2"/>
  <c r="G1255" i="2"/>
  <c r="D1255" i="2"/>
  <c r="G1254" i="2"/>
  <c r="D1254" i="2"/>
  <c r="D1253" i="2"/>
  <c r="G1253" i="2"/>
  <c r="G1252" i="2"/>
  <c r="D1252" i="2"/>
  <c r="G1251" i="2"/>
  <c r="D1251" i="2"/>
  <c r="D1250" i="2"/>
  <c r="G1250" i="2"/>
  <c r="G1249" i="2"/>
  <c r="D1249" i="2"/>
  <c r="G1248" i="2"/>
  <c r="D1248" i="2"/>
  <c r="G1247" i="2"/>
  <c r="D1247" i="2"/>
  <c r="G1246" i="2"/>
  <c r="D1246" i="2"/>
  <c r="D1245" i="2"/>
  <c r="G1245" i="2"/>
  <c r="D1244" i="2"/>
  <c r="G1244" i="2"/>
  <c r="D1243" i="2"/>
  <c r="G1243" i="2"/>
  <c r="G1242" i="2"/>
  <c r="D1242" i="2"/>
  <c r="G1241" i="2"/>
  <c r="D1241" i="2"/>
  <c r="G1240" i="2"/>
  <c r="D1240" i="2"/>
  <c r="G1239" i="2"/>
  <c r="D1239" i="2"/>
  <c r="G1238" i="2"/>
  <c r="D1238" i="2"/>
  <c r="D1237" i="2"/>
  <c r="G1237" i="2"/>
  <c r="D1236" i="2"/>
  <c r="G1236" i="2"/>
  <c r="D1235" i="2"/>
  <c r="G1235" i="2"/>
  <c r="D1234" i="2"/>
  <c r="G1234" i="2"/>
  <c r="D1233" i="2"/>
  <c r="G1233" i="2"/>
  <c r="D1232" i="2"/>
  <c r="G1232" i="2"/>
  <c r="G1231" i="2"/>
  <c r="D1231" i="2"/>
  <c r="G1230" i="2"/>
  <c r="D1230" i="2"/>
  <c r="G1229" i="2"/>
  <c r="D1229" i="2"/>
  <c r="D1228" i="2"/>
  <c r="G1228" i="2"/>
  <c r="D1227" i="2"/>
  <c r="G1227" i="2"/>
  <c r="G1226" i="2"/>
  <c r="D1226" i="2"/>
  <c r="G1225" i="2"/>
  <c r="D1225" i="2"/>
  <c r="G1224" i="2"/>
  <c r="D1224" i="2"/>
  <c r="G1223" i="2"/>
  <c r="D1223" i="2"/>
  <c r="G1222" i="2"/>
  <c r="D1222" i="2"/>
  <c r="G1221" i="2"/>
  <c r="D1221" i="2"/>
  <c r="G1220" i="2"/>
  <c r="D1220" i="2"/>
  <c r="G1219" i="2"/>
  <c r="D1219" i="2"/>
  <c r="G1218" i="2"/>
  <c r="D1218" i="2"/>
  <c r="G1217" i="2"/>
  <c r="D1217" i="2"/>
  <c r="G1216" i="2"/>
  <c r="D1216" i="2"/>
  <c r="D1215" i="2"/>
  <c r="G1215" i="2"/>
  <c r="D1214" i="2"/>
  <c r="G1214" i="2"/>
  <c r="D1213" i="2"/>
  <c r="G1213" i="2"/>
  <c r="D1212" i="2"/>
  <c r="G1212" i="2"/>
  <c r="G1211" i="2"/>
  <c r="D1211" i="2"/>
  <c r="G1210" i="2"/>
  <c r="D1210" i="2"/>
  <c r="G1209" i="2"/>
  <c r="D1209" i="2"/>
  <c r="D1208" i="2"/>
  <c r="G1208" i="2"/>
  <c r="G1207" i="2"/>
  <c r="D1207" i="2"/>
  <c r="G1206" i="2"/>
  <c r="D1206" i="2"/>
  <c r="D1205" i="2"/>
  <c r="G1205" i="2"/>
  <c r="G1204" i="2"/>
  <c r="D1204" i="2"/>
  <c r="G1203" i="2"/>
  <c r="D1203" i="2"/>
  <c r="G1202" i="2"/>
  <c r="D1202" i="2"/>
  <c r="D1201" i="2"/>
  <c r="G1201" i="2"/>
  <c r="G1200" i="2"/>
  <c r="D1200" i="2"/>
  <c r="D1199" i="2"/>
  <c r="G1199" i="2"/>
  <c r="D1198" i="2"/>
  <c r="G1198" i="2"/>
  <c r="G1197" i="2"/>
  <c r="D1197" i="2"/>
  <c r="D1196" i="2"/>
  <c r="G1196" i="2"/>
  <c r="D1195" i="2"/>
  <c r="G1195" i="2"/>
  <c r="D1194" i="2"/>
  <c r="G1194" i="2"/>
  <c r="D1193" i="2"/>
  <c r="G1193" i="2"/>
  <c r="D1192" i="2"/>
  <c r="G1192" i="2"/>
  <c r="G1191" i="2"/>
  <c r="D1191" i="2"/>
  <c r="G1190" i="2"/>
  <c r="D1190" i="2"/>
  <c r="G1189" i="2"/>
  <c r="D1189" i="2"/>
  <c r="G1188" i="2"/>
  <c r="D1188" i="2"/>
  <c r="G1187" i="2"/>
  <c r="D1187" i="2"/>
  <c r="G1186" i="2"/>
  <c r="D1186" i="2"/>
  <c r="G1185" i="2"/>
  <c r="D1185" i="2"/>
  <c r="G1184" i="2"/>
  <c r="D1184" i="2"/>
  <c r="G1183" i="2"/>
  <c r="D1183" i="2"/>
  <c r="G1182" i="2"/>
  <c r="D1182" i="2"/>
  <c r="G1181" i="2"/>
  <c r="D1181" i="2"/>
  <c r="G1180" i="2"/>
  <c r="D1180" i="2"/>
  <c r="G1179" i="2"/>
  <c r="D1179" i="2"/>
  <c r="G1178" i="2"/>
  <c r="D1178" i="2"/>
  <c r="G1177" i="2"/>
  <c r="D1177" i="2"/>
  <c r="G1176" i="2"/>
  <c r="D1176" i="2"/>
  <c r="D1175" i="2"/>
  <c r="G1175" i="2"/>
  <c r="G1174" i="2"/>
  <c r="D1174" i="2"/>
  <c r="G1173" i="2"/>
  <c r="D1173" i="2"/>
  <c r="G1172" i="2"/>
  <c r="D1172" i="2"/>
  <c r="G1171" i="2"/>
  <c r="D1171" i="2"/>
  <c r="G1170" i="2"/>
  <c r="D1170" i="2"/>
  <c r="G1169" i="2"/>
  <c r="D1169" i="2"/>
  <c r="G1168" i="2"/>
  <c r="D1168" i="2"/>
  <c r="D1167" i="2"/>
  <c r="G1167" i="2"/>
  <c r="G1166" i="2"/>
  <c r="D1166" i="2"/>
  <c r="G1165" i="2"/>
  <c r="D1165" i="2"/>
  <c r="G1164" i="2"/>
  <c r="D1164" i="2"/>
  <c r="G1163" i="2"/>
  <c r="D1163" i="2"/>
  <c r="G1162" i="2"/>
  <c r="D1162" i="2"/>
  <c r="G1161" i="2"/>
  <c r="D1161" i="2"/>
  <c r="D1160" i="2"/>
  <c r="G1160" i="2"/>
  <c r="D1159" i="2"/>
  <c r="G1159" i="2"/>
  <c r="G1158" i="2"/>
  <c r="D1158" i="2"/>
  <c r="G1157" i="2"/>
  <c r="D1157" i="2"/>
  <c r="D1156" i="2"/>
  <c r="G1156" i="2"/>
  <c r="G1155" i="2"/>
  <c r="D1155" i="2"/>
  <c r="G1154" i="2"/>
  <c r="D1154" i="2"/>
  <c r="D1153" i="2"/>
  <c r="G1153" i="2"/>
  <c r="G1152" i="2"/>
  <c r="D1152" i="2"/>
  <c r="G1150" i="2"/>
  <c r="D1150" i="2"/>
  <c r="G1149" i="2"/>
  <c r="D1149" i="2"/>
  <c r="D1148" i="2"/>
  <c r="G1148" i="2"/>
  <c r="D1146" i="2"/>
  <c r="G1146" i="2"/>
  <c r="D1137" i="2"/>
  <c r="G1137" i="2"/>
  <c r="D1133" i="2"/>
  <c r="G1133" i="2"/>
  <c r="D1131" i="2"/>
  <c r="G1131" i="2"/>
  <c r="D1129" i="2"/>
  <c r="G1129" i="2"/>
  <c r="G1128" i="2"/>
  <c r="D1128" i="2"/>
  <c r="D1126" i="2"/>
  <c r="G1126" i="2"/>
  <c r="D1125" i="2"/>
  <c r="G1125" i="2"/>
  <c r="D1119" i="2"/>
  <c r="G1119" i="2"/>
  <c r="G1117" i="2"/>
  <c r="D1117" i="2"/>
  <c r="G1116" i="2"/>
  <c r="D1116" i="2"/>
  <c r="G1114" i="2"/>
  <c r="D1114" i="2"/>
  <c r="D1113" i="2"/>
  <c r="G1113" i="2"/>
  <c r="D1109" i="2"/>
  <c r="G1109" i="2"/>
  <c r="G1107" i="2"/>
  <c r="D1107" i="2"/>
  <c r="G1105" i="2"/>
  <c r="D1105" i="2"/>
  <c r="D1104" i="2"/>
  <c r="G1104" i="2"/>
  <c r="G1103" i="2"/>
  <c r="D1103" i="2"/>
  <c r="D1097" i="2"/>
  <c r="G1097" i="2"/>
  <c r="D1094" i="2"/>
  <c r="G1094" i="2"/>
  <c r="D1089" i="2"/>
  <c r="G1089" i="2"/>
  <c r="G1086" i="2"/>
  <c r="D1086" i="2"/>
  <c r="G1081" i="2"/>
  <c r="D1081" i="2"/>
  <c r="D1080" i="2"/>
  <c r="G1080" i="2"/>
  <c r="G1078" i="2"/>
  <c r="D1078" i="2"/>
  <c r="D1077" i="2"/>
  <c r="G1077" i="2"/>
  <c r="G1076" i="2"/>
  <c r="D1076" i="2"/>
  <c r="D1073" i="2"/>
  <c r="G1073" i="2"/>
  <c r="G1072" i="2"/>
  <c r="D1072" i="2"/>
  <c r="G1069" i="2"/>
  <c r="D1069" i="2"/>
  <c r="D1065" i="2"/>
  <c r="G1065" i="2"/>
  <c r="G1064" i="2"/>
  <c r="D1064" i="2"/>
  <c r="D1059" i="2"/>
  <c r="G1059" i="2"/>
  <c r="D1055" i="2"/>
  <c r="G1055" i="2"/>
  <c r="D1051" i="2"/>
  <c r="G1051" i="2"/>
  <c r="D1050" i="2"/>
  <c r="G1050" i="2"/>
  <c r="G1045" i="2"/>
  <c r="D1045" i="2"/>
  <c r="D1041" i="2"/>
  <c r="G1041" i="2"/>
  <c r="D1038" i="2"/>
  <c r="G1038" i="2"/>
  <c r="D1037" i="2"/>
  <c r="G1037" i="2"/>
  <c r="D1033" i="2"/>
  <c r="G1033" i="2"/>
  <c r="D1032" i="2"/>
  <c r="G1032" i="2"/>
  <c r="D1029" i="2"/>
  <c r="G1029" i="2"/>
  <c r="G1027" i="2"/>
  <c r="D1027" i="2"/>
  <c r="D1025" i="2"/>
  <c r="G1025" i="2"/>
  <c r="D1020" i="2"/>
  <c r="G1020" i="2"/>
  <c r="D1018" i="2"/>
  <c r="G1018" i="2"/>
  <c r="G1017" i="2"/>
  <c r="D1017" i="2"/>
  <c r="D1013" i="2"/>
  <c r="G1013" i="2"/>
  <c r="D1012" i="2"/>
  <c r="G1012" i="2"/>
  <c r="G1011" i="2"/>
  <c r="D1011" i="2"/>
  <c r="D1006" i="2"/>
  <c r="G1006" i="2"/>
  <c r="G1005" i="2"/>
  <c r="D1005" i="2"/>
  <c r="D1004" i="2"/>
  <c r="G1004" i="2"/>
  <c r="D1001" i="2"/>
  <c r="G1001" i="2"/>
  <c r="D997" i="2"/>
  <c r="G997" i="2"/>
  <c r="D993" i="2"/>
  <c r="G993" i="2"/>
  <c r="G989" i="2"/>
  <c r="D989" i="2"/>
  <c r="D987" i="2"/>
  <c r="G987" i="2"/>
  <c r="D977" i="2"/>
  <c r="G977" i="2"/>
  <c r="D973" i="2"/>
  <c r="G973" i="2"/>
  <c r="D965" i="2"/>
  <c r="G965" i="2"/>
  <c r="G964" i="2"/>
  <c r="D964" i="2"/>
  <c r="D963" i="2"/>
  <c r="G963" i="2"/>
  <c r="G961" i="2"/>
  <c r="D961" i="2"/>
  <c r="D957" i="2"/>
  <c r="G957" i="2"/>
  <c r="D953" i="2"/>
  <c r="G953" i="2"/>
  <c r="G952" i="2"/>
  <c r="D952" i="2"/>
  <c r="G950" i="2"/>
  <c r="D950" i="2"/>
  <c r="G947" i="2"/>
  <c r="D947" i="2"/>
  <c r="D946" i="2"/>
  <c r="G946" i="2"/>
  <c r="D944" i="2"/>
  <c r="G944" i="2"/>
  <c r="G943" i="2"/>
  <c r="D943" i="2"/>
  <c r="D942" i="2"/>
  <c r="G942" i="2"/>
  <c r="D939" i="2"/>
  <c r="G939" i="2"/>
  <c r="D937" i="2"/>
  <c r="G937" i="2"/>
  <c r="D935" i="2"/>
  <c r="G935" i="2"/>
  <c r="G931" i="2"/>
  <c r="D931" i="2"/>
  <c r="D925" i="2"/>
  <c r="G925" i="2"/>
  <c r="D923" i="2"/>
  <c r="G923" i="2"/>
  <c r="G921" i="2"/>
  <c r="D921" i="2"/>
  <c r="G920" i="2"/>
  <c r="D920" i="2"/>
  <c r="D917" i="2"/>
  <c r="G917" i="2"/>
  <c r="G915" i="2"/>
  <c r="D915" i="2"/>
  <c r="G912" i="2"/>
  <c r="D912" i="2"/>
  <c r="G909" i="2"/>
  <c r="D909" i="2"/>
  <c r="D905" i="2"/>
  <c r="G905" i="2"/>
  <c r="G901" i="2"/>
  <c r="D901" i="2"/>
  <c r="G894" i="2"/>
  <c r="D894" i="2"/>
  <c r="G893" i="2"/>
  <c r="D893" i="2"/>
  <c r="G891" i="2"/>
  <c r="D891" i="2"/>
  <c r="G890" i="2"/>
  <c r="D890" i="2"/>
  <c r="D889" i="2"/>
  <c r="G889" i="2"/>
  <c r="D888" i="2"/>
  <c r="G888" i="2"/>
  <c r="D885" i="2"/>
  <c r="G885" i="2"/>
  <c r="G884" i="2"/>
  <c r="D884" i="2"/>
  <c r="G883" i="2"/>
  <c r="D883" i="2"/>
  <c r="G882" i="2"/>
  <c r="D882" i="2"/>
  <c r="G876" i="2"/>
  <c r="D876" i="2"/>
  <c r="D875" i="2"/>
  <c r="G875" i="2"/>
  <c r="D873" i="2"/>
  <c r="G873" i="2"/>
  <c r="G871" i="2"/>
  <c r="D871" i="2"/>
  <c r="G870" i="2"/>
  <c r="D870" i="2"/>
  <c r="G867" i="2"/>
  <c r="D867" i="2"/>
  <c r="G866" i="2"/>
  <c r="D866" i="2"/>
  <c r="G865" i="2"/>
  <c r="D865" i="2"/>
  <c r="G861" i="2"/>
  <c r="D861" i="2"/>
  <c r="G860" i="2"/>
  <c r="D860" i="2"/>
  <c r="D859" i="2"/>
  <c r="G859" i="2"/>
  <c r="G852" i="2"/>
  <c r="D852" i="2"/>
  <c r="G849" i="2"/>
  <c r="D849" i="2"/>
  <c r="D848" i="2"/>
  <c r="G848" i="2"/>
  <c r="G847" i="2"/>
  <c r="D847" i="2"/>
  <c r="G846" i="2"/>
  <c r="D846" i="2"/>
  <c r="D844" i="2"/>
  <c r="G844" i="2"/>
  <c r="G842" i="2"/>
  <c r="D842" i="2"/>
  <c r="G841" i="2"/>
  <c r="D841" i="2"/>
  <c r="G832" i="2"/>
  <c r="D832" i="2"/>
  <c r="G828" i="2"/>
  <c r="D828" i="2"/>
  <c r="D826" i="2"/>
  <c r="G826" i="2"/>
  <c r="D822" i="2"/>
  <c r="G822" i="2"/>
  <c r="G821" i="2"/>
  <c r="D821" i="2"/>
  <c r="D820" i="2"/>
  <c r="G820" i="2"/>
  <c r="D817" i="2"/>
  <c r="G817" i="2"/>
  <c r="D814" i="2"/>
  <c r="G814" i="2"/>
  <c r="D812" i="2"/>
  <c r="G812" i="2"/>
  <c r="G809" i="2"/>
  <c r="D809" i="2"/>
  <c r="G807" i="2"/>
  <c r="D807" i="2"/>
  <c r="G805" i="2"/>
  <c r="D805" i="2"/>
  <c r="D803" i="2"/>
  <c r="G803" i="2"/>
  <c r="D801" i="2"/>
  <c r="G801" i="2"/>
  <c r="D795" i="2"/>
  <c r="G795" i="2"/>
  <c r="G794" i="2"/>
  <c r="D794" i="2"/>
  <c r="G792" i="2"/>
  <c r="D792" i="2"/>
  <c r="D787" i="2"/>
  <c r="G787" i="2"/>
  <c r="G786" i="2"/>
  <c r="D786" i="2"/>
  <c r="G782" i="2"/>
  <c r="D782" i="2"/>
  <c r="D781" i="2"/>
  <c r="G781" i="2"/>
  <c r="D780" i="2"/>
  <c r="G780" i="2"/>
  <c r="G779" i="2"/>
  <c r="D779" i="2"/>
  <c r="G778" i="2"/>
  <c r="D778" i="2"/>
  <c r="D774" i="2"/>
  <c r="G774" i="2"/>
  <c r="G773" i="2"/>
  <c r="D773" i="2"/>
  <c r="D772" i="2"/>
  <c r="G772" i="2"/>
  <c r="D770" i="2"/>
  <c r="G770" i="2"/>
  <c r="D769" i="2"/>
  <c r="G769" i="2"/>
  <c r="D766" i="2"/>
  <c r="G766" i="2"/>
  <c r="G758" i="2"/>
  <c r="D758" i="2"/>
  <c r="D757" i="2"/>
  <c r="G757" i="2"/>
  <c r="D753" i="2"/>
  <c r="G753" i="2"/>
  <c r="G751" i="2"/>
  <c r="D751" i="2"/>
  <c r="D749" i="2"/>
  <c r="G749" i="2"/>
  <c r="G747" i="2"/>
  <c r="D747" i="2"/>
  <c r="G746" i="2"/>
  <c r="D746" i="2"/>
  <c r="D744" i="2"/>
  <c r="G744" i="2"/>
  <c r="D739" i="2"/>
  <c r="G739" i="2"/>
  <c r="D734" i="2"/>
  <c r="G734" i="2"/>
  <c r="G731" i="2"/>
  <c r="D731" i="2"/>
  <c r="D729" i="2"/>
  <c r="G729" i="2"/>
  <c r="G728" i="2"/>
  <c r="D728" i="2"/>
  <c r="D723" i="2"/>
  <c r="G723" i="2"/>
  <c r="G722" i="2"/>
  <c r="D722" i="2"/>
  <c r="D720" i="2"/>
  <c r="G720" i="2"/>
  <c r="G718" i="2"/>
  <c r="D718" i="2"/>
  <c r="D716" i="2"/>
  <c r="G716" i="2"/>
  <c r="D714" i="2"/>
  <c r="G714" i="2"/>
  <c r="D713" i="2"/>
  <c r="G713" i="2"/>
  <c r="G708" i="2"/>
  <c r="D708" i="2"/>
  <c r="G707" i="2"/>
  <c r="D707" i="2"/>
  <c r="D706" i="2"/>
  <c r="G706" i="2"/>
  <c r="D705" i="2"/>
  <c r="G705" i="2"/>
  <c r="G704" i="2"/>
  <c r="D704" i="2"/>
  <c r="D700" i="2"/>
  <c r="G700" i="2"/>
  <c r="D696" i="2"/>
  <c r="G696" i="2"/>
  <c r="G694" i="2"/>
  <c r="D694" i="2"/>
  <c r="D690" i="2"/>
  <c r="G690" i="2"/>
  <c r="G689" i="2"/>
  <c r="D689" i="2"/>
  <c r="G686" i="2"/>
  <c r="D686" i="2"/>
  <c r="D685" i="2"/>
  <c r="G685" i="2"/>
  <c r="D684" i="2"/>
  <c r="G684" i="2"/>
  <c r="D683" i="2"/>
  <c r="G683" i="2"/>
  <c r="G679" i="2"/>
  <c r="D679" i="2"/>
  <c r="D678" i="2"/>
  <c r="G678" i="2"/>
  <c r="G677" i="2"/>
  <c r="D677" i="2"/>
  <c r="D672" i="2"/>
  <c r="G672" i="2"/>
  <c r="D668" i="2"/>
  <c r="G668" i="2"/>
  <c r="G667" i="2"/>
  <c r="D667" i="2"/>
  <c r="G665" i="2"/>
  <c r="D665" i="2"/>
  <c r="G663" i="2"/>
  <c r="D663" i="2"/>
  <c r="D658" i="2"/>
  <c r="G658" i="2"/>
  <c r="D655" i="2"/>
  <c r="G655" i="2"/>
  <c r="G654" i="2"/>
  <c r="D654" i="2"/>
  <c r="G648" i="2"/>
  <c r="D648" i="2"/>
  <c r="D647" i="2"/>
  <c r="G647" i="2"/>
  <c r="G646" i="2"/>
  <c r="D646" i="2"/>
  <c r="D644" i="2"/>
  <c r="G644" i="2"/>
  <c r="G642" i="2"/>
  <c r="D642" i="2"/>
  <c r="D641" i="2"/>
  <c r="G641" i="2"/>
  <c r="D640" i="2"/>
  <c r="G640" i="2"/>
  <c r="D638" i="2"/>
  <c r="G638" i="2"/>
  <c r="G633" i="2"/>
  <c r="D633" i="2"/>
  <c r="G631" i="2"/>
  <c r="D631" i="2"/>
  <c r="G630" i="2"/>
  <c r="D630" i="2"/>
  <c r="G626" i="2"/>
  <c r="D626" i="2"/>
  <c r="G625" i="2"/>
  <c r="D625" i="2"/>
  <c r="G624" i="2"/>
  <c r="D624" i="2"/>
  <c r="G623" i="2"/>
  <c r="D623" i="2"/>
  <c r="G622" i="2"/>
  <c r="D622" i="2"/>
  <c r="D621" i="2"/>
  <c r="G621" i="2"/>
  <c r="D620" i="2"/>
  <c r="G620" i="2"/>
  <c r="G619" i="2"/>
  <c r="D619" i="2"/>
  <c r="G618" i="2"/>
  <c r="D618" i="2"/>
  <c r="D617" i="2"/>
  <c r="G617" i="2"/>
  <c r="G616" i="2"/>
  <c r="D616" i="2"/>
  <c r="G615" i="2"/>
  <c r="D615" i="2"/>
  <c r="G614" i="2"/>
  <c r="D614" i="2"/>
  <c r="G613" i="2"/>
  <c r="D613" i="2"/>
  <c r="D612" i="2"/>
  <c r="G612" i="2"/>
  <c r="G611" i="2"/>
  <c r="D611" i="2"/>
  <c r="D610" i="2"/>
  <c r="G610" i="2"/>
  <c r="D609" i="2"/>
  <c r="G609" i="2"/>
  <c r="D608" i="2"/>
  <c r="G608" i="2"/>
  <c r="D607" i="2"/>
  <c r="G607" i="2"/>
  <c r="D606" i="2"/>
  <c r="G606" i="2"/>
  <c r="D605" i="2"/>
  <c r="G605" i="2"/>
  <c r="G604" i="2"/>
  <c r="D604" i="2"/>
  <c r="D603" i="2"/>
  <c r="G603" i="2"/>
  <c r="D602" i="2"/>
  <c r="G602" i="2"/>
  <c r="G601" i="2"/>
  <c r="D601" i="2"/>
  <c r="D600" i="2"/>
  <c r="G600" i="2"/>
  <c r="D599" i="2"/>
  <c r="G599" i="2"/>
  <c r="G598" i="2"/>
  <c r="D598" i="2"/>
  <c r="G597" i="2"/>
  <c r="D597" i="2"/>
  <c r="G596" i="2"/>
  <c r="D596" i="2"/>
  <c r="G595" i="2"/>
  <c r="D595" i="2"/>
  <c r="G594" i="2"/>
  <c r="D594" i="2"/>
  <c r="G593" i="2"/>
  <c r="D593" i="2"/>
  <c r="D592" i="2"/>
  <c r="G592" i="2"/>
  <c r="G591" i="2"/>
  <c r="D591" i="2"/>
  <c r="G590" i="2"/>
  <c r="D590" i="2"/>
  <c r="D589" i="2"/>
  <c r="G589" i="2"/>
  <c r="G588" i="2"/>
  <c r="D588" i="2"/>
  <c r="D587" i="2"/>
  <c r="G587" i="2"/>
  <c r="D586" i="2"/>
  <c r="G586" i="2"/>
  <c r="D585" i="2"/>
  <c r="G585" i="2"/>
  <c r="D584" i="2"/>
  <c r="G584" i="2"/>
  <c r="G583" i="2"/>
  <c r="D583" i="2"/>
  <c r="G582" i="2"/>
  <c r="D582" i="2"/>
  <c r="G581" i="2"/>
  <c r="D581" i="2"/>
  <c r="G580" i="2"/>
  <c r="D580" i="2"/>
  <c r="D579" i="2"/>
  <c r="G579" i="2"/>
  <c r="D578" i="2"/>
  <c r="G578" i="2"/>
  <c r="D577" i="2"/>
  <c r="G577" i="2"/>
  <c r="G576" i="2"/>
  <c r="D576" i="2"/>
  <c r="G575" i="2"/>
  <c r="D575" i="2"/>
  <c r="G574" i="2"/>
  <c r="D574" i="2"/>
  <c r="G573" i="2"/>
  <c r="D573" i="2"/>
  <c r="D572" i="2"/>
  <c r="G572" i="2"/>
  <c r="D571" i="2"/>
  <c r="G571" i="2"/>
  <c r="D570" i="2"/>
  <c r="G570" i="2"/>
  <c r="D569" i="2"/>
  <c r="G569" i="2"/>
  <c r="D568" i="2"/>
  <c r="G568" i="2"/>
  <c r="G567" i="2"/>
  <c r="D567" i="2"/>
  <c r="D566" i="2"/>
  <c r="G566" i="2"/>
  <c r="D565" i="2"/>
  <c r="G565" i="2"/>
  <c r="G564" i="2"/>
  <c r="D564" i="2"/>
  <c r="D563" i="2"/>
  <c r="G563" i="2"/>
  <c r="G562" i="2"/>
  <c r="D562" i="2"/>
  <c r="G561" i="2"/>
  <c r="D561" i="2"/>
  <c r="G560" i="2"/>
  <c r="D560" i="2"/>
  <c r="G559" i="2"/>
  <c r="D559" i="2"/>
  <c r="G558" i="2"/>
  <c r="D558" i="2"/>
  <c r="G557" i="2"/>
  <c r="D557" i="2"/>
  <c r="D556" i="2"/>
  <c r="G556" i="2"/>
  <c r="D555" i="2"/>
  <c r="G555" i="2"/>
  <c r="G554" i="2"/>
  <c r="D554" i="2"/>
  <c r="G553" i="2"/>
  <c r="D553" i="2"/>
  <c r="G552" i="2"/>
  <c r="D552" i="2"/>
  <c r="G551" i="2"/>
  <c r="D551" i="2"/>
  <c r="G550" i="2"/>
  <c r="D550" i="2"/>
  <c r="G549" i="2"/>
  <c r="D549" i="2"/>
  <c r="D548" i="2"/>
  <c r="G548" i="2"/>
  <c r="D547" i="2"/>
  <c r="G547" i="2"/>
  <c r="G546" i="2"/>
  <c r="D546" i="2"/>
  <c r="G545" i="2"/>
  <c r="D545" i="2"/>
  <c r="G544" i="2"/>
  <c r="D544" i="2"/>
  <c r="D543" i="2"/>
  <c r="G543" i="2"/>
  <c r="G542" i="2"/>
  <c r="D542" i="2"/>
  <c r="G541" i="2"/>
  <c r="D541" i="2"/>
  <c r="G540" i="2"/>
  <c r="D540" i="2"/>
  <c r="D539" i="2"/>
  <c r="G539" i="2"/>
  <c r="D538" i="2"/>
  <c r="G538" i="2"/>
  <c r="G537" i="2"/>
  <c r="D537" i="2"/>
  <c r="G536" i="2"/>
  <c r="D536" i="2"/>
  <c r="G535" i="2"/>
  <c r="D535" i="2"/>
  <c r="G534" i="2"/>
  <c r="D534" i="2"/>
  <c r="D533" i="2"/>
  <c r="G533" i="2"/>
  <c r="D532" i="2"/>
  <c r="G532" i="2"/>
  <c r="G531" i="2"/>
  <c r="D531" i="2"/>
  <c r="D530" i="2"/>
  <c r="G530" i="2"/>
  <c r="D529" i="2"/>
  <c r="G529" i="2"/>
  <c r="D528" i="2"/>
  <c r="G528" i="2"/>
  <c r="D527" i="2"/>
  <c r="G527" i="2"/>
  <c r="G526" i="2"/>
  <c r="D526" i="2"/>
  <c r="D525" i="2"/>
  <c r="G525" i="2"/>
  <c r="G524" i="2"/>
  <c r="D524" i="2"/>
  <c r="G523" i="2"/>
  <c r="D523" i="2"/>
  <c r="G522" i="2"/>
  <c r="D522" i="2"/>
  <c r="D521" i="2"/>
  <c r="G521" i="2"/>
  <c r="G520" i="2"/>
  <c r="D520" i="2"/>
  <c r="G519" i="2"/>
  <c r="D519" i="2"/>
  <c r="G518" i="2"/>
  <c r="D518" i="2"/>
  <c r="G517" i="2"/>
  <c r="D517" i="2"/>
  <c r="G516" i="2"/>
  <c r="D516" i="2"/>
  <c r="D515" i="2"/>
  <c r="G515" i="2"/>
  <c r="G514" i="2"/>
  <c r="D514" i="2"/>
  <c r="G513" i="2"/>
  <c r="D513" i="2"/>
  <c r="D512" i="2"/>
  <c r="G512" i="2"/>
  <c r="G511" i="2"/>
  <c r="D511" i="2"/>
  <c r="G510" i="2"/>
  <c r="D510" i="2"/>
  <c r="D509" i="2"/>
  <c r="G509" i="2"/>
  <c r="D508" i="2"/>
  <c r="G508" i="2"/>
  <c r="D507" i="2"/>
  <c r="G507" i="2"/>
  <c r="D506" i="2"/>
  <c r="G506" i="2"/>
  <c r="D505" i="2"/>
  <c r="G505" i="2"/>
  <c r="D504" i="2"/>
  <c r="G504" i="2"/>
  <c r="G503" i="2"/>
  <c r="D503" i="2"/>
  <c r="G502" i="2"/>
  <c r="D502" i="2"/>
  <c r="G501" i="2"/>
  <c r="D501" i="2"/>
  <c r="D500" i="2"/>
  <c r="G500" i="2"/>
  <c r="D499" i="2"/>
  <c r="G499" i="2"/>
  <c r="G498" i="2"/>
  <c r="D498" i="2"/>
  <c r="D497" i="2"/>
  <c r="G497" i="2"/>
  <c r="G496" i="2"/>
  <c r="D496" i="2"/>
  <c r="D495" i="2"/>
  <c r="G495" i="2"/>
  <c r="G494" i="2"/>
  <c r="D494" i="2"/>
  <c r="D493" i="2"/>
  <c r="G493" i="2"/>
  <c r="D492" i="2"/>
  <c r="G492" i="2"/>
  <c r="G491" i="2"/>
  <c r="D491" i="2"/>
  <c r="G490" i="2"/>
  <c r="D490" i="2"/>
  <c r="G489" i="2"/>
  <c r="D489" i="2"/>
  <c r="G488" i="2"/>
  <c r="D488" i="2"/>
  <c r="G487" i="2"/>
  <c r="D487" i="2"/>
  <c r="D486" i="2"/>
  <c r="G486" i="2"/>
  <c r="G485" i="2"/>
  <c r="D485" i="2"/>
  <c r="D484" i="2"/>
  <c r="G484" i="2"/>
  <c r="G483" i="2"/>
  <c r="D483" i="2"/>
  <c r="D482" i="2"/>
  <c r="G482" i="2"/>
  <c r="G481" i="2"/>
  <c r="D481" i="2"/>
  <c r="G480" i="2"/>
  <c r="D480" i="2"/>
  <c r="G479" i="2"/>
  <c r="D479" i="2"/>
  <c r="G478" i="2"/>
  <c r="D478" i="2"/>
  <c r="G477" i="2"/>
  <c r="D477" i="2"/>
  <c r="G476" i="2"/>
  <c r="D476" i="2"/>
  <c r="D475" i="2"/>
  <c r="G475" i="2"/>
  <c r="G474" i="2"/>
  <c r="D474" i="2"/>
  <c r="G473" i="2"/>
  <c r="D473" i="2"/>
  <c r="G472" i="2"/>
  <c r="D472" i="2"/>
  <c r="G471" i="2"/>
  <c r="D471" i="2"/>
  <c r="G470" i="2"/>
  <c r="D470" i="2"/>
  <c r="G469" i="2"/>
  <c r="D469" i="2"/>
  <c r="G468" i="2"/>
  <c r="D468" i="2"/>
  <c r="G467" i="2"/>
  <c r="D467" i="2"/>
  <c r="G466" i="2"/>
  <c r="D466" i="2"/>
  <c r="G465" i="2"/>
  <c r="D465" i="2"/>
  <c r="G464" i="2"/>
  <c r="D464" i="2"/>
  <c r="G463" i="2"/>
  <c r="D463" i="2"/>
  <c r="D462" i="2"/>
  <c r="G462" i="2"/>
  <c r="G461" i="2"/>
  <c r="D461" i="2"/>
  <c r="D460" i="2"/>
  <c r="G460" i="2"/>
  <c r="G459" i="2"/>
  <c r="D459" i="2"/>
  <c r="G458" i="2"/>
  <c r="D458" i="2"/>
  <c r="G457" i="2"/>
  <c r="D457" i="2"/>
  <c r="G456" i="2"/>
  <c r="D456" i="2"/>
  <c r="D455" i="2"/>
  <c r="G455" i="2"/>
  <c r="D454" i="2"/>
  <c r="G454" i="2"/>
  <c r="G453" i="2"/>
  <c r="D453" i="2"/>
  <c r="G452" i="2"/>
  <c r="D452" i="2"/>
  <c r="G451" i="2"/>
  <c r="D451" i="2"/>
  <c r="G450" i="2"/>
  <c r="D450" i="2"/>
  <c r="G449" i="2"/>
  <c r="D449" i="2"/>
  <c r="G448" i="2"/>
  <c r="D448" i="2"/>
  <c r="G447" i="2"/>
  <c r="D447" i="2"/>
  <c r="G446" i="2"/>
  <c r="D446" i="2"/>
  <c r="G445" i="2"/>
  <c r="D445" i="2"/>
  <c r="G444" i="2"/>
  <c r="D444" i="2"/>
  <c r="G443" i="2"/>
  <c r="D443" i="2"/>
  <c r="G442" i="2"/>
  <c r="D442" i="2"/>
  <c r="G441" i="2"/>
  <c r="D441" i="2"/>
  <c r="G440" i="2"/>
  <c r="D440" i="2"/>
  <c r="G439" i="2"/>
  <c r="D439" i="2"/>
  <c r="G438" i="2"/>
  <c r="D438" i="2"/>
  <c r="G437" i="2"/>
  <c r="D437" i="2"/>
  <c r="G436" i="2"/>
  <c r="D436" i="2"/>
  <c r="G435" i="2"/>
  <c r="D435" i="2"/>
  <c r="G434" i="2"/>
  <c r="D434" i="2"/>
  <c r="G433" i="2"/>
  <c r="D433" i="2"/>
  <c r="G432" i="2"/>
  <c r="D432" i="2"/>
  <c r="G431" i="2"/>
  <c r="D431" i="2"/>
  <c r="G430" i="2"/>
  <c r="D430" i="2"/>
  <c r="G429" i="2"/>
  <c r="D429" i="2"/>
  <c r="G428" i="2"/>
  <c r="D428" i="2"/>
  <c r="G427" i="2"/>
  <c r="D427" i="2"/>
  <c r="G426" i="2"/>
  <c r="D426" i="2"/>
  <c r="G425" i="2"/>
  <c r="D425" i="2"/>
  <c r="G424" i="2"/>
  <c r="D424" i="2"/>
  <c r="G423" i="2"/>
  <c r="D423" i="2"/>
  <c r="G422" i="2"/>
  <c r="D422" i="2"/>
  <c r="G421" i="2"/>
  <c r="D421" i="2"/>
  <c r="G420" i="2"/>
  <c r="D420" i="2"/>
  <c r="G419" i="2"/>
  <c r="D419" i="2"/>
  <c r="G418" i="2"/>
  <c r="D418" i="2"/>
  <c r="G417" i="2"/>
  <c r="D417" i="2"/>
  <c r="G416" i="2"/>
  <c r="D416" i="2"/>
  <c r="G415" i="2"/>
  <c r="D415" i="2"/>
  <c r="G414" i="2"/>
  <c r="D414" i="2"/>
  <c r="G413" i="2"/>
  <c r="D413" i="2"/>
  <c r="G412" i="2"/>
  <c r="D412" i="2"/>
  <c r="G411" i="2"/>
  <c r="D411" i="2"/>
  <c r="G410" i="2"/>
  <c r="D410" i="2"/>
  <c r="G409" i="2"/>
  <c r="D409" i="2"/>
  <c r="G408" i="2"/>
  <c r="D408" i="2"/>
  <c r="G407" i="2"/>
  <c r="D407" i="2"/>
  <c r="G406" i="2"/>
  <c r="D406" i="2"/>
  <c r="G405" i="2"/>
  <c r="D405" i="2"/>
  <c r="G404" i="2"/>
  <c r="D404" i="2"/>
  <c r="G403" i="2"/>
  <c r="D403" i="2"/>
  <c r="G402" i="2"/>
  <c r="D402" i="2"/>
  <c r="G401" i="2"/>
  <c r="D401" i="2"/>
  <c r="G400" i="2"/>
  <c r="D400" i="2"/>
  <c r="G399" i="2"/>
  <c r="D399" i="2"/>
  <c r="G398" i="2"/>
  <c r="D398" i="2"/>
  <c r="G397" i="2"/>
  <c r="D397" i="2"/>
  <c r="G396" i="2"/>
  <c r="D396" i="2"/>
  <c r="G395" i="2"/>
  <c r="D395" i="2"/>
  <c r="G394" i="2"/>
  <c r="D394" i="2"/>
  <c r="G393" i="2"/>
  <c r="D393" i="2"/>
  <c r="G392" i="2"/>
  <c r="D392" i="2"/>
  <c r="G391" i="2"/>
  <c r="D391" i="2"/>
  <c r="G390" i="2"/>
  <c r="D390" i="2"/>
  <c r="G389" i="2"/>
  <c r="D389" i="2"/>
  <c r="G388" i="2"/>
  <c r="D388" i="2"/>
  <c r="G387" i="2"/>
  <c r="D387" i="2"/>
  <c r="G386" i="2"/>
  <c r="D386" i="2"/>
  <c r="G385" i="2"/>
  <c r="D385" i="2"/>
  <c r="G384" i="2"/>
  <c r="D384" i="2"/>
  <c r="G383" i="2"/>
  <c r="D383" i="2"/>
  <c r="D382" i="2"/>
  <c r="G382" i="2"/>
  <c r="G381" i="2"/>
  <c r="D381" i="2"/>
  <c r="D380" i="2"/>
  <c r="G380" i="2"/>
  <c r="D379" i="2"/>
  <c r="G379" i="2"/>
  <c r="G378" i="2"/>
  <c r="D378" i="2"/>
  <c r="D377" i="2"/>
  <c r="G377" i="2"/>
  <c r="D376" i="2"/>
  <c r="G376" i="2"/>
  <c r="D375" i="2"/>
  <c r="G375" i="2"/>
  <c r="G374" i="2"/>
  <c r="D374" i="2"/>
  <c r="G373" i="2"/>
  <c r="D373" i="2"/>
  <c r="G372" i="2"/>
  <c r="D372" i="2"/>
  <c r="G371" i="2"/>
  <c r="D371" i="2"/>
  <c r="D370" i="2"/>
  <c r="G370" i="2"/>
  <c r="G369" i="2"/>
  <c r="D369" i="2"/>
  <c r="G368" i="2"/>
  <c r="D368" i="2"/>
  <c r="G367" i="2"/>
  <c r="D367" i="2"/>
  <c r="D366" i="2"/>
  <c r="G366" i="2"/>
  <c r="G365" i="2"/>
  <c r="D365" i="2"/>
  <c r="G364" i="2"/>
  <c r="D364" i="2"/>
  <c r="G363" i="2"/>
  <c r="D363" i="2"/>
  <c r="G362" i="2"/>
  <c r="D362" i="2"/>
  <c r="D361" i="2"/>
  <c r="G361" i="2"/>
  <c r="D360" i="2"/>
  <c r="G360" i="2"/>
  <c r="D359" i="2"/>
  <c r="G359" i="2"/>
  <c r="D358" i="2"/>
  <c r="G358" i="2"/>
  <c r="D357" i="2"/>
  <c r="G357" i="2"/>
  <c r="D356" i="2"/>
  <c r="G356" i="2"/>
  <c r="G355" i="2"/>
  <c r="D355" i="2"/>
  <c r="D354" i="2"/>
  <c r="G354" i="2"/>
  <c r="D353" i="2"/>
  <c r="G353" i="2"/>
  <c r="G352" i="2"/>
  <c r="D352" i="2"/>
  <c r="D351" i="2"/>
  <c r="G351" i="2"/>
  <c r="D350" i="2"/>
  <c r="G350" i="2"/>
  <c r="G349" i="2"/>
  <c r="D349" i="2"/>
  <c r="G348" i="2"/>
  <c r="D348" i="2"/>
  <c r="G347" i="2"/>
  <c r="D347" i="2"/>
  <c r="D346" i="2"/>
  <c r="G346" i="2"/>
  <c r="G345" i="2"/>
  <c r="D345" i="2"/>
  <c r="G344" i="2"/>
  <c r="D344" i="2"/>
  <c r="D343" i="2"/>
  <c r="G343" i="2"/>
  <c r="G342" i="2"/>
  <c r="D342" i="2"/>
  <c r="D341" i="2"/>
  <c r="G341" i="2"/>
  <c r="G340" i="2"/>
  <c r="D340" i="2"/>
  <c r="G339" i="2"/>
  <c r="D339" i="2"/>
  <c r="G338" i="2"/>
  <c r="D338" i="2"/>
  <c r="G337" i="2"/>
  <c r="D337" i="2"/>
  <c r="G336" i="2"/>
  <c r="D336" i="2"/>
  <c r="G335" i="2"/>
  <c r="D335" i="2"/>
  <c r="D334" i="2"/>
  <c r="G334" i="2"/>
  <c r="G333" i="2"/>
  <c r="D333" i="2"/>
  <c r="D332" i="2"/>
  <c r="G332" i="2"/>
  <c r="D331" i="2"/>
  <c r="G331" i="2"/>
  <c r="G330" i="2"/>
  <c r="D330" i="2"/>
  <c r="G329" i="2"/>
  <c r="D329" i="2"/>
  <c r="G328" i="2"/>
  <c r="D328" i="2"/>
  <c r="G327" i="2"/>
  <c r="D327" i="2"/>
  <c r="G326" i="2"/>
  <c r="D326" i="2"/>
  <c r="D325" i="2"/>
  <c r="G325" i="2"/>
  <c r="D324" i="2"/>
  <c r="G324" i="2"/>
  <c r="G323" i="2"/>
  <c r="D323" i="2"/>
  <c r="D322" i="2"/>
  <c r="G322" i="2"/>
  <c r="D321" i="2"/>
  <c r="G321" i="2"/>
  <c r="D320" i="2"/>
  <c r="G320" i="2"/>
  <c r="G319" i="2"/>
  <c r="D319" i="2"/>
  <c r="G318" i="2"/>
  <c r="D318" i="2"/>
  <c r="D317" i="2"/>
  <c r="G317" i="2"/>
  <c r="G316" i="2"/>
  <c r="D316" i="2"/>
  <c r="G315" i="2"/>
  <c r="D315" i="2"/>
  <c r="G314" i="2"/>
  <c r="D314" i="2"/>
  <c r="G313" i="2"/>
  <c r="D313" i="2"/>
  <c r="G312" i="2"/>
  <c r="D312" i="2"/>
  <c r="G311" i="2"/>
  <c r="D311" i="2"/>
  <c r="D310" i="2"/>
  <c r="G310" i="2"/>
  <c r="G309" i="2"/>
  <c r="D309" i="2"/>
  <c r="G308" i="2"/>
  <c r="D308" i="2"/>
  <c r="G307" i="2"/>
  <c r="D307" i="2"/>
  <c r="G306" i="2"/>
  <c r="D306" i="2"/>
  <c r="D305" i="2"/>
  <c r="G305" i="2"/>
  <c r="D304" i="2"/>
  <c r="G304" i="2"/>
  <c r="G303" i="2"/>
  <c r="D303" i="2"/>
  <c r="G302" i="2"/>
  <c r="D302" i="2"/>
  <c r="G301" i="2"/>
  <c r="D301" i="2"/>
  <c r="G300" i="2"/>
  <c r="D300" i="2"/>
  <c r="G299" i="2"/>
  <c r="D299" i="2"/>
  <c r="D298" i="2"/>
  <c r="G298" i="2"/>
  <c r="D297" i="2"/>
  <c r="G297" i="2"/>
  <c r="G296" i="2"/>
  <c r="D296" i="2"/>
  <c r="G295" i="2"/>
  <c r="D295" i="2"/>
  <c r="G294" i="2"/>
  <c r="D294" i="2"/>
  <c r="G293" i="2"/>
  <c r="D293" i="2"/>
  <c r="D292" i="2"/>
  <c r="G292" i="2"/>
  <c r="D291" i="2"/>
  <c r="G291" i="2"/>
  <c r="G290" i="2"/>
  <c r="D290" i="2"/>
  <c r="G289" i="2"/>
  <c r="D289" i="2"/>
  <c r="D288" i="2"/>
  <c r="G288" i="2"/>
  <c r="G287" i="2"/>
  <c r="D287" i="2"/>
  <c r="G286" i="2"/>
  <c r="D286" i="2"/>
  <c r="G285" i="2"/>
  <c r="D285" i="2"/>
  <c r="G284" i="2"/>
  <c r="D284" i="2"/>
  <c r="D283" i="2"/>
  <c r="G283" i="2"/>
  <c r="G282" i="2"/>
  <c r="D282" i="2"/>
  <c r="G281" i="2"/>
  <c r="D281" i="2"/>
  <c r="G280" i="2"/>
  <c r="D280" i="2"/>
  <c r="G279" i="2"/>
  <c r="D279" i="2"/>
  <c r="G278" i="2"/>
  <c r="D278" i="2"/>
  <c r="G277" i="2"/>
  <c r="D277" i="2"/>
  <c r="G276" i="2"/>
  <c r="D276" i="2"/>
  <c r="D275" i="2"/>
  <c r="G275" i="2"/>
  <c r="G274" i="2"/>
  <c r="D274" i="2"/>
  <c r="G273" i="2"/>
  <c r="D273" i="2"/>
  <c r="D272" i="2"/>
  <c r="G272" i="2"/>
  <c r="D271" i="2"/>
  <c r="G271" i="2"/>
  <c r="D270" i="2"/>
  <c r="G270" i="2"/>
  <c r="D269" i="2"/>
  <c r="G269" i="2"/>
  <c r="D268" i="2"/>
  <c r="G268" i="2"/>
  <c r="D267" i="2"/>
  <c r="G267" i="2"/>
  <c r="G266" i="2"/>
  <c r="D266" i="2"/>
  <c r="G265" i="2"/>
  <c r="D265" i="2"/>
  <c r="G264" i="2"/>
  <c r="D264" i="2"/>
  <c r="D263" i="2"/>
  <c r="G263" i="2"/>
  <c r="D262" i="2"/>
  <c r="G262" i="2"/>
  <c r="D261" i="2"/>
  <c r="G261" i="2"/>
  <c r="D260" i="2"/>
  <c r="G260" i="2"/>
  <c r="D259" i="2"/>
  <c r="G259" i="2"/>
  <c r="G258" i="2"/>
  <c r="D258" i="2"/>
  <c r="G257" i="2"/>
  <c r="D257" i="2"/>
  <c r="G256" i="2"/>
  <c r="D256" i="2"/>
  <c r="G255" i="2"/>
  <c r="D255" i="2"/>
  <c r="G254" i="2"/>
  <c r="D254" i="2"/>
  <c r="G253" i="2"/>
  <c r="D253" i="2"/>
  <c r="G252" i="2"/>
  <c r="D252" i="2"/>
  <c r="D251" i="2"/>
  <c r="G251" i="2"/>
  <c r="G250" i="2"/>
  <c r="D250" i="2"/>
  <c r="G249" i="2"/>
  <c r="D249" i="2"/>
  <c r="D248" i="2"/>
  <c r="G248" i="2"/>
  <c r="G247" i="2"/>
  <c r="D247" i="2"/>
  <c r="D246" i="2"/>
  <c r="G246" i="2"/>
  <c r="G245" i="2"/>
  <c r="D245" i="2"/>
  <c r="D244" i="2"/>
  <c r="G244" i="2"/>
  <c r="D243" i="2"/>
  <c r="G243" i="2"/>
  <c r="D242" i="2"/>
  <c r="G242" i="2"/>
  <c r="D241" i="2"/>
  <c r="G241" i="2"/>
  <c r="G240" i="2"/>
  <c r="D240" i="2"/>
  <c r="D239" i="2"/>
  <c r="G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D227" i="2"/>
  <c r="G227" i="2"/>
  <c r="G226" i="2"/>
  <c r="D226" i="2"/>
  <c r="D225" i="2"/>
  <c r="G225" i="2"/>
  <c r="D224" i="2"/>
  <c r="G224" i="2"/>
  <c r="D223" i="2"/>
  <c r="G223" i="2"/>
  <c r="G222" i="2"/>
  <c r="D222" i="2"/>
  <c r="G221" i="2"/>
  <c r="D221" i="2"/>
  <c r="G220" i="2"/>
  <c r="D220" i="2"/>
  <c r="G219" i="2"/>
  <c r="D219" i="2"/>
  <c r="D218" i="2"/>
  <c r="G218" i="2"/>
  <c r="D217" i="2"/>
  <c r="G217" i="2"/>
  <c r="D216" i="2"/>
  <c r="G216" i="2"/>
  <c r="D215" i="2"/>
  <c r="G215" i="2"/>
  <c r="G214" i="2"/>
  <c r="D214" i="2"/>
  <c r="G213" i="2"/>
  <c r="D213" i="2"/>
  <c r="G212" i="2"/>
  <c r="D212" i="2"/>
  <c r="D211" i="2"/>
  <c r="G211" i="2"/>
  <c r="G210" i="2"/>
  <c r="D210" i="2"/>
  <c r="G209" i="2"/>
  <c r="D209" i="2"/>
  <c r="G208" i="2"/>
  <c r="D208" i="2"/>
  <c r="G207" i="2"/>
  <c r="D207" i="2"/>
  <c r="D206" i="2"/>
  <c r="G206" i="2"/>
  <c r="G205" i="2"/>
  <c r="D205" i="2"/>
  <c r="G204" i="2"/>
  <c r="D204" i="2"/>
  <c r="G203" i="2"/>
  <c r="D203" i="2"/>
  <c r="G202" i="2"/>
  <c r="D202" i="2"/>
  <c r="D201" i="2"/>
  <c r="G201" i="2"/>
  <c r="D200" i="2"/>
  <c r="G200" i="2"/>
  <c r="D199" i="2"/>
  <c r="G199" i="2"/>
  <c r="G198" i="2"/>
  <c r="D198" i="2"/>
  <c r="G197" i="2"/>
  <c r="D197" i="2"/>
  <c r="G196" i="2"/>
  <c r="D196" i="2"/>
  <c r="G195" i="2"/>
  <c r="D195" i="2"/>
  <c r="G194" i="2"/>
  <c r="D194" i="2"/>
  <c r="D193" i="2"/>
  <c r="G193" i="2"/>
  <c r="G192" i="2"/>
  <c r="D192" i="2"/>
  <c r="D191" i="2"/>
  <c r="G191" i="2"/>
  <c r="G190" i="2"/>
  <c r="D190" i="2"/>
  <c r="G189" i="2"/>
  <c r="D189" i="2"/>
  <c r="D188" i="2"/>
  <c r="G188" i="2"/>
  <c r="D187" i="2"/>
  <c r="G187" i="2"/>
  <c r="G186" i="2"/>
  <c r="D186" i="2"/>
  <c r="D185" i="2"/>
  <c r="G185" i="2"/>
  <c r="D184" i="2"/>
  <c r="G184" i="2"/>
  <c r="G183" i="2"/>
  <c r="D183" i="2"/>
  <c r="D182" i="2"/>
  <c r="G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D171" i="2"/>
  <c r="G171" i="2"/>
  <c r="D170" i="2"/>
  <c r="G170" i="2"/>
  <c r="D169" i="2"/>
  <c r="G169" i="2"/>
  <c r="G168" i="2"/>
  <c r="D168" i="2"/>
  <c r="G167" i="2"/>
  <c r="D167" i="2"/>
  <c r="G166" i="2"/>
  <c r="D166" i="2"/>
  <c r="D165" i="2"/>
  <c r="G165" i="2"/>
  <c r="G164" i="2"/>
  <c r="D164" i="2"/>
  <c r="D163" i="2"/>
  <c r="G163" i="2"/>
  <c r="D162" i="2"/>
  <c r="G162" i="2"/>
  <c r="G161" i="2"/>
  <c r="D161" i="2"/>
  <c r="G160" i="2"/>
  <c r="D160" i="2"/>
  <c r="G159" i="2"/>
  <c r="D159" i="2"/>
  <c r="D158" i="2"/>
  <c r="G158" i="2"/>
  <c r="D157" i="2"/>
  <c r="G157" i="2"/>
  <c r="D156" i="2"/>
  <c r="G156" i="2"/>
  <c r="D155" i="2"/>
  <c r="G155" i="2"/>
  <c r="G154" i="2"/>
  <c r="D154" i="2"/>
  <c r="D153" i="2"/>
  <c r="G153" i="2"/>
  <c r="D152" i="2"/>
  <c r="G152" i="2"/>
  <c r="G151" i="2"/>
  <c r="D151" i="2"/>
  <c r="G150" i="2"/>
  <c r="D150" i="2"/>
  <c r="D149" i="2"/>
  <c r="G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D142" i="2"/>
  <c r="G142" i="2"/>
  <c r="D141" i="2"/>
  <c r="G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D113" i="2"/>
  <c r="G112" i="2"/>
  <c r="D112" i="2"/>
  <c r="G111" i="2"/>
  <c r="D111" i="2"/>
  <c r="G110" i="2"/>
  <c r="D110" i="2"/>
  <c r="D109" i="2"/>
  <c r="G109" i="2"/>
  <c r="D108" i="2"/>
  <c r="G108" i="2"/>
  <c r="G107" i="2"/>
  <c r="D107" i="2"/>
  <c r="G106" i="2"/>
  <c r="D106" i="2"/>
  <c r="D105" i="2"/>
  <c r="G105" i="2"/>
  <c r="D104" i="2"/>
  <c r="G104" i="2"/>
  <c r="G103" i="2"/>
  <c r="D103" i="2"/>
  <c r="D102" i="2"/>
  <c r="G102" i="2"/>
  <c r="D101" i="2"/>
  <c r="G101" i="2"/>
  <c r="D100" i="2"/>
  <c r="G100" i="2"/>
  <c r="D99" i="2"/>
  <c r="G99" i="2"/>
  <c r="D98" i="2"/>
  <c r="G98" i="2"/>
  <c r="D97" i="2"/>
  <c r="G97" i="2"/>
  <c r="G96" i="2"/>
  <c r="D96" i="2"/>
  <c r="G95" i="2"/>
  <c r="D95" i="2"/>
  <c r="G94" i="2"/>
  <c r="D94" i="2"/>
  <c r="G93" i="2"/>
  <c r="D93" i="2"/>
  <c r="G92" i="2"/>
  <c r="D92" i="2"/>
  <c r="D91" i="2"/>
  <c r="G91" i="2"/>
  <c r="G90" i="2"/>
  <c r="D90" i="2"/>
  <c r="G89" i="2"/>
  <c r="D89" i="2"/>
  <c r="G88" i="2"/>
  <c r="D88" i="2"/>
  <c r="G87" i="2"/>
  <c r="D87" i="2"/>
  <c r="G86" i="2"/>
  <c r="D86" i="2"/>
  <c r="G85" i="2"/>
  <c r="D85" i="2"/>
  <c r="D84" i="2"/>
  <c r="G84" i="2"/>
  <c r="G83" i="2"/>
  <c r="D83" i="2"/>
  <c r="D82" i="2"/>
  <c r="G82" i="2"/>
  <c r="G81" i="2"/>
  <c r="D81" i="2"/>
  <c r="G80" i="2"/>
  <c r="D80" i="2"/>
  <c r="D79" i="2"/>
  <c r="G79" i="2"/>
  <c r="D78" i="2"/>
  <c r="G78" i="2"/>
  <c r="D77" i="2"/>
  <c r="G77" i="2"/>
  <c r="G76" i="2"/>
  <c r="D76" i="2"/>
  <c r="D75" i="2"/>
  <c r="G75" i="2"/>
  <c r="D74" i="2"/>
  <c r="G74" i="2"/>
  <c r="D73" i="2"/>
  <c r="G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D65" i="2"/>
  <c r="G65" i="2"/>
  <c r="G64" i="2"/>
  <c r="D64" i="2"/>
  <c r="G63" i="2"/>
  <c r="D63" i="2"/>
  <c r="G62" i="2"/>
  <c r="D62" i="2"/>
  <c r="G61" i="2"/>
  <c r="D61" i="2"/>
  <c r="G60" i="2"/>
  <c r="D60" i="2"/>
  <c r="D59" i="2"/>
  <c r="G59" i="2"/>
  <c r="G58" i="2"/>
  <c r="D58" i="2"/>
  <c r="D57" i="2"/>
  <c r="G57" i="2"/>
  <c r="G56" i="2"/>
  <c r="D56" i="2"/>
  <c r="D55" i="2"/>
  <c r="G55" i="2"/>
  <c r="D54" i="2"/>
  <c r="G54" i="2"/>
  <c r="D53" i="2"/>
  <c r="G53" i="2"/>
  <c r="G52" i="2"/>
  <c r="D52" i="2"/>
  <c r="G51" i="2"/>
  <c r="D51" i="2"/>
  <c r="D50" i="2"/>
  <c r="G50" i="2"/>
  <c r="D49" i="2"/>
  <c r="G49" i="2"/>
  <c r="G48" i="2"/>
  <c r="D48" i="2"/>
  <c r="G47" i="2"/>
  <c r="D47" i="2"/>
  <c r="D46" i="2"/>
  <c r="G46" i="2"/>
  <c r="G45" i="2"/>
  <c r="D45" i="2"/>
  <c r="G44" i="2"/>
  <c r="D44" i="2"/>
  <c r="G43" i="2"/>
  <c r="D43" i="2"/>
  <c r="D42" i="2"/>
  <c r="G42" i="2"/>
  <c r="D41" i="2"/>
  <c r="G41" i="2"/>
  <c r="G40" i="2"/>
  <c r="D40" i="2"/>
  <c r="G39" i="2"/>
  <c r="D39" i="2"/>
  <c r="G38" i="2"/>
  <c r="D38" i="2"/>
  <c r="G37" i="2"/>
  <c r="D37" i="2"/>
  <c r="G36" i="2"/>
  <c r="D36" i="2"/>
  <c r="G35" i="2"/>
  <c r="D35" i="2"/>
  <c r="D34" i="2"/>
  <c r="G34" i="2"/>
  <c r="D33" i="2"/>
  <c r="G33" i="2"/>
  <c r="D32" i="2"/>
  <c r="G32" i="2"/>
  <c r="G31" i="2"/>
  <c r="D31" i="2"/>
  <c r="G30" i="2"/>
  <c r="D30" i="2"/>
  <c r="D29" i="2"/>
  <c r="G29" i="2"/>
  <c r="D28" i="2"/>
  <c r="G28" i="2"/>
  <c r="G27" i="2"/>
  <c r="D27" i="2"/>
  <c r="D26" i="2"/>
  <c r="G26" i="2"/>
  <c r="D25" i="2"/>
  <c r="G25" i="2"/>
  <c r="G24" i="2"/>
  <c r="D24" i="2"/>
  <c r="D23" i="2"/>
  <c r="G23" i="2"/>
  <c r="D22" i="2"/>
  <c r="G22" i="2"/>
  <c r="G21" i="2"/>
  <c r="D21" i="2"/>
  <c r="D20" i="2"/>
  <c r="G20" i="2"/>
  <c r="G19" i="2"/>
  <c r="D19" i="2"/>
  <c r="D18" i="2"/>
  <c r="G18" i="2"/>
  <c r="D17" i="2"/>
  <c r="G17" i="2"/>
  <c r="G16" i="2"/>
  <c r="D16" i="2"/>
  <c r="D15" i="2"/>
  <c r="G15" i="2"/>
  <c r="G14" i="2"/>
  <c r="D14" i="2"/>
  <c r="D13" i="2"/>
  <c r="G13" i="2"/>
  <c r="G12" i="2"/>
  <c r="D12" i="2"/>
  <c r="D11" i="2"/>
  <c r="G11" i="2"/>
  <c r="D10" i="2"/>
  <c r="G10" i="2"/>
  <c r="G9" i="2"/>
  <c r="D9" i="2"/>
  <c r="D8" i="2"/>
  <c r="G8" i="2"/>
  <c r="G7" i="2"/>
  <c r="D7" i="2"/>
  <c r="G6" i="2"/>
  <c r="D6" i="2"/>
  <c r="G5" i="2"/>
  <c r="D5" i="2"/>
  <c r="G4" i="2"/>
  <c r="D4" i="2"/>
  <c r="G3" i="2"/>
  <c r="D3" i="2"/>
  <c r="D2" i="2"/>
  <c r="G2" i="2"/>
  <c r="G959" i="2"/>
  <c r="G903" i="2"/>
  <c r="G670" i="2"/>
  <c r="G998" i="2"/>
  <c r="G6257" i="2"/>
  <c r="G896" i="2"/>
  <c r="G850" i="2"/>
  <c r="G1053" i="2"/>
  <c r="G886" i="2"/>
  <c r="G1026" i="2"/>
  <c r="G1067" i="2"/>
  <c r="G918" i="2"/>
  <c r="G919" i="2"/>
  <c r="G831" i="2"/>
  <c r="G815" i="2"/>
  <c r="G806" i="2"/>
  <c r="G829" i="2"/>
  <c r="C29" i="1" l="1"/>
  <c r="C30" i="1"/>
</calcChain>
</file>

<file path=xl/sharedStrings.xml><?xml version="1.0" encoding="utf-8"?>
<sst xmlns="http://schemas.openxmlformats.org/spreadsheetml/2006/main" count="30037" uniqueCount="11869">
  <si>
    <t>10,000 valuations at origination</t>
  </si>
  <si>
    <t>Open and calculate</t>
  </si>
  <si>
    <t>Load quantsupport.xll and its matching QuantSupport.Ribbon64.xll in 64-bit Windows Excel. This workbook opens in Manual mode. Use QuantSupport &gt; Refresh Pricing and wait for the pending results to finish.</t>
  </si>
  <si>
    <t>What is being valued</t>
  </si>
  <si>
    <t>10,000 different five-year receive-fixed USD SOFR swaps, 10,000 distinct origination dates and 10,000 separate contexts. Every PV uses its own row's origination date, from 1990-01-01 through 2017-05-18.</t>
  </si>
  <si>
    <t>Follow one row</t>
  </si>
  <si>
    <t>A: valuation/origination date. C: dated context. D: curve contribution owned by C. E: swap. F: trade anchored at origination. G: PV. Select any formula to inspect its actual inputs.</t>
  </si>
  <si>
    <t>Synthetic market</t>
  </si>
  <si>
    <t>All dates use the same six synthetic calibration rates in K2:L7. Each context independently bootstraps its own dated SOFR curve. These are illustrative rates, not historical observations.</t>
  </si>
  <si>
    <t>Editable assumptions</t>
  </si>
  <si>
    <t>Blue cells hold dates, notionals, fixed rates and market rates. Swap effective dates are seven days after origination to avoid requiring past fixings. Origination remains the valuation date.</t>
  </si>
  <si>
    <t>Background results</t>
  </si>
  <si>
    <t>Blank prices in an uncalculated file and #N/A while pending are expected. Green cells show completed prices. Context handles stay stable when market inputs change. Manual mode is retained; Refresh Pricing also updates dependent formulas.</t>
  </si>
  <si>
    <t>Benchmark this workbook</t>
  </si>
  <si>
    <t>Run examples/scripts/benchmark_async.py with --count 10000 and paths to the matching XLL and a JSON report. It measures cold and unchanged recalculation, context/curve builds, worksheet delivery, memory and COM responsiveness.</t>
  </si>
  <si>
    <t>Open the 10,000 valuation rows →</t>
  </si>
  <si>
    <t>Completed numeric PVs</t>
  </si>
  <si>
    <t>Sum of PVs (USD)</t>
  </si>
  <si>
    <t>Engine status</t>
  </si>
  <si>
    <t>Origination / as of</t>
  </si>
  <si>
    <t>Maturity</t>
  </si>
  <si>
    <t>Context</t>
  </si>
  <si>
    <t>Market contribution</t>
  </si>
  <si>
    <t>Instrument</t>
  </si>
  <si>
    <t>Trade</t>
  </si>
  <si>
    <t>PV at origination (USD)</t>
  </si>
  <si>
    <t>Effective date</t>
  </si>
  <si>
    <t>Notional (USD)</t>
  </si>
  <si>
    <t>Fixed rate</t>
  </si>
  <si>
    <t>Calibration instrument</t>
  </si>
  <si>
    <t>Market rate</t>
  </si>
  <si>
    <t>FixedRateDeposit_USD_SOFR_1D</t>
  </si>
  <si>
    <t>OIS_USD_SOFR_1Y</t>
  </si>
  <si>
    <t>OIS_USD_SOFR_2Y</t>
  </si>
  <si>
    <t>OIS_USD_SOFR_5Y</t>
  </si>
  <si>
    <t>OIS_USD_SOFR_10Y</t>
  </si>
  <si>
    <t>OIS_USD_SOFR_20Y</t>
  </si>
  <si>
    <t>1990-01-01</t>
  </si>
  <si>
    <t>1995-01-08</t>
  </si>
  <si>
    <t>1990-01-08</t>
  </si>
  <si>
    <t>1990-01-02</t>
  </si>
  <si>
    <t>1995-01-09</t>
  </si>
  <si>
    <t>1990-01-09</t>
  </si>
  <si>
    <t>1990-01-03</t>
  </si>
  <si>
    <t>1995-01-10</t>
  </si>
  <si>
    <t>1990-01-10</t>
  </si>
  <si>
    <t>1990-01-04</t>
  </si>
  <si>
    <t>1995-01-11</t>
  </si>
  <si>
    <t>1990-01-11</t>
  </si>
  <si>
    <t>1990-01-05</t>
  </si>
  <si>
    <t>1995-01-12</t>
  </si>
  <si>
    <t>1990-01-12</t>
  </si>
  <si>
    <t>1990-01-06</t>
  </si>
  <si>
    <t>1995-01-13</t>
  </si>
  <si>
    <t>1990-01-13</t>
  </si>
  <si>
    <t>1990-01-07</t>
  </si>
  <si>
    <t>1995-01-14</t>
  </si>
  <si>
    <t>1990-01-14</t>
  </si>
  <si>
    <t>1995-01-15</t>
  </si>
  <si>
    <t>1990-01-15</t>
  </si>
  <si>
    <t>1995-01-16</t>
  </si>
  <si>
    <t>1990-01-16</t>
  </si>
  <si>
    <t>1995-01-17</t>
  </si>
  <si>
    <t>1990-01-17</t>
  </si>
  <si>
    <t>1995-01-18</t>
  </si>
  <si>
    <t>1990-01-18</t>
  </si>
  <si>
    <t>1995-01-19</t>
  </si>
  <si>
    <t>1990-01-19</t>
  </si>
  <si>
    <t>1995-01-20</t>
  </si>
  <si>
    <t>1990-01-20</t>
  </si>
  <si>
    <t>1995-01-21</t>
  </si>
  <si>
    <t>1990-01-21</t>
  </si>
  <si>
    <t>1995-01-22</t>
  </si>
  <si>
    <t>1990-01-22</t>
  </si>
  <si>
    <t>1995-01-23</t>
  </si>
  <si>
    <t>1990-01-23</t>
  </si>
  <si>
    <t>1995-01-24</t>
  </si>
  <si>
    <t>1990-01-24</t>
  </si>
  <si>
    <t>1995-01-25</t>
  </si>
  <si>
    <t>1990-01-25</t>
  </si>
  <si>
    <t>1995-01-26</t>
  </si>
  <si>
    <t>1990-01-26</t>
  </si>
  <si>
    <t>1995-01-27</t>
  </si>
  <si>
    <t>1990-01-27</t>
  </si>
  <si>
    <t>1995-01-28</t>
  </si>
  <si>
    <t>1990-01-28</t>
  </si>
  <si>
    <t>1995-01-29</t>
  </si>
  <si>
    <t>1990-01-29</t>
  </si>
  <si>
    <t>1995-01-30</t>
  </si>
  <si>
    <t>1990-01-30</t>
  </si>
  <si>
    <t>1995-01-31</t>
  </si>
  <si>
    <t>1990-01-31</t>
  </si>
  <si>
    <t>1995-02-01</t>
  </si>
  <si>
    <t>1990-02-01</t>
  </si>
  <si>
    <t>1995-02-02</t>
  </si>
  <si>
    <t>1990-02-02</t>
  </si>
  <si>
    <t>1995-02-03</t>
  </si>
  <si>
    <t>1990-02-03</t>
  </si>
  <si>
    <t>1995-02-04</t>
  </si>
  <si>
    <t>1990-02-04</t>
  </si>
  <si>
    <t>1995-02-05</t>
  </si>
  <si>
    <t>1990-02-05</t>
  </si>
  <si>
    <t>1995-02-06</t>
  </si>
  <si>
    <t>1990-02-06</t>
  </si>
  <si>
    <t>1995-02-07</t>
  </si>
  <si>
    <t>1990-02-07</t>
  </si>
  <si>
    <t>1995-02-08</t>
  </si>
  <si>
    <t>1990-02-08</t>
  </si>
  <si>
    <t>1995-02-09</t>
  </si>
  <si>
    <t>1990-02-09</t>
  </si>
  <si>
    <t>1995-02-10</t>
  </si>
  <si>
    <t>1990-02-10</t>
  </si>
  <si>
    <t>1995-02-11</t>
  </si>
  <si>
    <t>1990-02-11</t>
  </si>
  <si>
    <t>1995-02-12</t>
  </si>
  <si>
    <t>1990-02-12</t>
  </si>
  <si>
    <t>1995-02-13</t>
  </si>
  <si>
    <t>1990-02-13</t>
  </si>
  <si>
    <t>1995-02-14</t>
  </si>
  <si>
    <t>1990-02-14</t>
  </si>
  <si>
    <t>1995-02-15</t>
  </si>
  <si>
    <t>1990-02-15</t>
  </si>
  <si>
    <t>1995-02-16</t>
  </si>
  <si>
    <t>1990-02-16</t>
  </si>
  <si>
    <t>1995-02-17</t>
  </si>
  <si>
    <t>1990-02-17</t>
  </si>
  <si>
    <t>1995-02-18</t>
  </si>
  <si>
    <t>1990-02-18</t>
  </si>
  <si>
    <t>1995-02-19</t>
  </si>
  <si>
    <t>1990-02-19</t>
  </si>
  <si>
    <t>1995-02-20</t>
  </si>
  <si>
    <t>1990-02-20</t>
  </si>
  <si>
    <t>1995-02-21</t>
  </si>
  <si>
    <t>1990-02-21</t>
  </si>
  <si>
    <t>1995-02-22</t>
  </si>
  <si>
    <t>1990-02-22</t>
  </si>
  <si>
    <t>1995-02-23</t>
  </si>
  <si>
    <t>1990-02-23</t>
  </si>
  <si>
    <t>1995-02-24</t>
  </si>
  <si>
    <t>1990-02-24</t>
  </si>
  <si>
    <t>1995-02-25</t>
  </si>
  <si>
    <t>1990-02-25</t>
  </si>
  <si>
    <t>1995-02-26</t>
  </si>
  <si>
    <t>1990-02-26</t>
  </si>
  <si>
    <t>1995-02-27</t>
  </si>
  <si>
    <t>1990-02-27</t>
  </si>
  <si>
    <t>1995-02-28</t>
  </si>
  <si>
    <t>1990-02-28</t>
  </si>
  <si>
    <t>1995-03-01</t>
  </si>
  <si>
    <t>1990-03-01</t>
  </si>
  <si>
    <t>1995-03-02</t>
  </si>
  <si>
    <t>1990-03-02</t>
  </si>
  <si>
    <t>1995-03-03</t>
  </si>
  <si>
    <t>1990-03-03</t>
  </si>
  <si>
    <t>1995-03-04</t>
  </si>
  <si>
    <t>1990-03-04</t>
  </si>
  <si>
    <t>1995-03-05</t>
  </si>
  <si>
    <t>1990-03-05</t>
  </si>
  <si>
    <t>1995-03-06</t>
  </si>
  <si>
    <t>1990-03-06</t>
  </si>
  <si>
    <t>1995-03-07</t>
  </si>
  <si>
    <t>1990-03-07</t>
  </si>
  <si>
    <t>1995-03-08</t>
  </si>
  <si>
    <t>1990-03-08</t>
  </si>
  <si>
    <t>1995-03-09</t>
  </si>
  <si>
    <t>1990-03-09</t>
  </si>
  <si>
    <t>1995-03-10</t>
  </si>
  <si>
    <t>1990-03-10</t>
  </si>
  <si>
    <t>1995-03-11</t>
  </si>
  <si>
    <t>1990-03-11</t>
  </si>
  <si>
    <t>1995-03-12</t>
  </si>
  <si>
    <t>1990-03-12</t>
  </si>
  <si>
    <t>1995-03-13</t>
  </si>
  <si>
    <t>1990-03-13</t>
  </si>
  <si>
    <t>1995-03-14</t>
  </si>
  <si>
    <t>1990-03-14</t>
  </si>
  <si>
    <t>1995-03-15</t>
  </si>
  <si>
    <t>1990-03-15</t>
  </si>
  <si>
    <t>1995-03-16</t>
  </si>
  <si>
    <t>1990-03-16</t>
  </si>
  <si>
    <t>1995-03-17</t>
  </si>
  <si>
    <t>1990-03-17</t>
  </si>
  <si>
    <t>1995-03-18</t>
  </si>
  <si>
    <t>1990-03-18</t>
  </si>
  <si>
    <t>1995-03-19</t>
  </si>
  <si>
    <t>1990-03-19</t>
  </si>
  <si>
    <t>1995-03-20</t>
  </si>
  <si>
    <t>1990-03-20</t>
  </si>
  <si>
    <t>1995-03-21</t>
  </si>
  <si>
    <t>1990-03-21</t>
  </si>
  <si>
    <t>1995-03-22</t>
  </si>
  <si>
    <t>1990-03-22</t>
  </si>
  <si>
    <t>1995-03-23</t>
  </si>
  <si>
    <t>1990-03-23</t>
  </si>
  <si>
    <t>1995-03-24</t>
  </si>
  <si>
    <t>1990-03-24</t>
  </si>
  <si>
    <t>1995-03-25</t>
  </si>
  <si>
    <t>1990-03-25</t>
  </si>
  <si>
    <t>1995-03-26</t>
  </si>
  <si>
    <t>1990-03-26</t>
  </si>
  <si>
    <t>1995-03-27</t>
  </si>
  <si>
    <t>1990-03-27</t>
  </si>
  <si>
    <t>1995-03-28</t>
  </si>
  <si>
    <t>1990-03-28</t>
  </si>
  <si>
    <t>1995-03-29</t>
  </si>
  <si>
    <t>1990-03-29</t>
  </si>
  <si>
    <t>1995-03-30</t>
  </si>
  <si>
    <t>1990-03-30</t>
  </si>
  <si>
    <t>1995-03-31</t>
  </si>
  <si>
    <t>1990-03-31</t>
  </si>
  <si>
    <t>1995-04-01</t>
  </si>
  <si>
    <t>1990-04-01</t>
  </si>
  <si>
    <t>1995-04-02</t>
  </si>
  <si>
    <t>1990-04-02</t>
  </si>
  <si>
    <t>1995-04-03</t>
  </si>
  <si>
    <t>1990-04-03</t>
  </si>
  <si>
    <t>1995-04-04</t>
  </si>
  <si>
    <t>1990-04-04</t>
  </si>
  <si>
    <t>1995-04-05</t>
  </si>
  <si>
    <t>1990-04-05</t>
  </si>
  <si>
    <t>1995-04-06</t>
  </si>
  <si>
    <t>1990-04-06</t>
  </si>
  <si>
    <t>1995-04-07</t>
  </si>
  <si>
    <t>1990-04-07</t>
  </si>
  <si>
    <t>1995-04-08</t>
  </si>
  <si>
    <t>1990-04-08</t>
  </si>
  <si>
    <t>1995-04-09</t>
  </si>
  <si>
    <t>1990-04-09</t>
  </si>
  <si>
    <t>1995-04-10</t>
  </si>
  <si>
    <t>1990-04-10</t>
  </si>
  <si>
    <t>1995-04-11</t>
  </si>
  <si>
    <t>1990-04-11</t>
  </si>
  <si>
    <t>1995-04-12</t>
  </si>
  <si>
    <t>1990-04-12</t>
  </si>
  <si>
    <t>1995-04-13</t>
  </si>
  <si>
    <t>1990-04-13</t>
  </si>
  <si>
    <t>1995-04-14</t>
  </si>
  <si>
    <t>1990-04-14</t>
  </si>
  <si>
    <t>1995-04-15</t>
  </si>
  <si>
    <t>1990-04-15</t>
  </si>
  <si>
    <t>1995-04-16</t>
  </si>
  <si>
    <t>1990-04-16</t>
  </si>
  <si>
    <t>1995-04-17</t>
  </si>
  <si>
    <t>1990-04-17</t>
  </si>
  <si>
    <t>1995-04-18</t>
  </si>
  <si>
    <t>1990-04-18</t>
  </si>
  <si>
    <t>1995-04-19</t>
  </si>
  <si>
    <t>1990-04-19</t>
  </si>
  <si>
    <t>1995-04-20</t>
  </si>
  <si>
    <t>1990-04-20</t>
  </si>
  <si>
    <t>1995-04-21</t>
  </si>
  <si>
    <t>1990-04-21</t>
  </si>
  <si>
    <t>1995-04-22</t>
  </si>
  <si>
    <t>1990-04-22</t>
  </si>
  <si>
    <t>1995-04-23</t>
  </si>
  <si>
    <t>1990-04-23</t>
  </si>
  <si>
    <t>1995-04-24</t>
  </si>
  <si>
    <t>1990-04-24</t>
  </si>
  <si>
    <t>1995-04-25</t>
  </si>
  <si>
    <t>1990-04-25</t>
  </si>
  <si>
    <t>1995-04-26</t>
  </si>
  <si>
    <t>1990-04-26</t>
  </si>
  <si>
    <t>1995-04-27</t>
  </si>
  <si>
    <t>1990-04-27</t>
  </si>
  <si>
    <t>1995-04-28</t>
  </si>
  <si>
    <t>1990-04-28</t>
  </si>
  <si>
    <t>1995-04-29</t>
  </si>
  <si>
    <t>1990-04-29</t>
  </si>
  <si>
    <t>1995-04-30</t>
  </si>
  <si>
    <t>1990-04-30</t>
  </si>
  <si>
    <t>1995-05-01</t>
  </si>
  <si>
    <t>1990-05-01</t>
  </si>
  <si>
    <t>1995-05-02</t>
  </si>
  <si>
    <t>1990-05-02</t>
  </si>
  <si>
    <t>1995-05-03</t>
  </si>
  <si>
    <t>1990-05-03</t>
  </si>
  <si>
    <t>1995-05-04</t>
  </si>
  <si>
    <t>1990-05-04</t>
  </si>
  <si>
    <t>1995-05-05</t>
  </si>
  <si>
    <t>1990-05-05</t>
  </si>
  <si>
    <t>1995-05-06</t>
  </si>
  <si>
    <t>1990-05-06</t>
  </si>
  <si>
    <t>1995-05-07</t>
  </si>
  <si>
    <t>1990-05-07</t>
  </si>
  <si>
    <t>1995-05-08</t>
  </si>
  <si>
    <t>1990-05-08</t>
  </si>
  <si>
    <t>1995-05-09</t>
  </si>
  <si>
    <t>1990-05-09</t>
  </si>
  <si>
    <t>1995-05-10</t>
  </si>
  <si>
    <t>1990-05-10</t>
  </si>
  <si>
    <t>1995-05-11</t>
  </si>
  <si>
    <t>1990-05-11</t>
  </si>
  <si>
    <t>1995-05-12</t>
  </si>
  <si>
    <t>1990-05-12</t>
  </si>
  <si>
    <t>1995-05-13</t>
  </si>
  <si>
    <t>1990-05-13</t>
  </si>
  <si>
    <t>1995-05-14</t>
  </si>
  <si>
    <t>1990-05-14</t>
  </si>
  <si>
    <t>1995-05-15</t>
  </si>
  <si>
    <t>1990-05-15</t>
  </si>
  <si>
    <t>1995-05-16</t>
  </si>
  <si>
    <t>1990-05-16</t>
  </si>
  <si>
    <t>1995-05-17</t>
  </si>
  <si>
    <t>1990-05-17</t>
  </si>
  <si>
    <t>1995-05-18</t>
  </si>
  <si>
    <t>1990-05-18</t>
  </si>
  <si>
    <t>1995-05-19</t>
  </si>
  <si>
    <t>1990-05-19</t>
  </si>
  <si>
    <t>1995-05-20</t>
  </si>
  <si>
    <t>1990-05-20</t>
  </si>
  <si>
    <t>1995-05-21</t>
  </si>
  <si>
    <t>1990-05-21</t>
  </si>
  <si>
    <t>1995-05-22</t>
  </si>
  <si>
    <t>1990-05-22</t>
  </si>
  <si>
    <t>1995-05-23</t>
  </si>
  <si>
    <t>1990-05-23</t>
  </si>
  <si>
    <t>1995-05-24</t>
  </si>
  <si>
    <t>1990-05-24</t>
  </si>
  <si>
    <t>1995-05-25</t>
  </si>
  <si>
    <t>1990-05-25</t>
  </si>
  <si>
    <t>1995-05-26</t>
  </si>
  <si>
    <t>1990-05-26</t>
  </si>
  <si>
    <t>1995-05-27</t>
  </si>
  <si>
    <t>1990-05-27</t>
  </si>
  <si>
    <t>1995-05-28</t>
  </si>
  <si>
    <t>1990-05-28</t>
  </si>
  <si>
    <t>1995-05-29</t>
  </si>
  <si>
    <t>1990-05-29</t>
  </si>
  <si>
    <t>1995-05-30</t>
  </si>
  <si>
    <t>1990-05-30</t>
  </si>
  <si>
    <t>1995-05-31</t>
  </si>
  <si>
    <t>1990-05-31</t>
  </si>
  <si>
    <t>1995-06-01</t>
  </si>
  <si>
    <t>1990-06-01</t>
  </si>
  <si>
    <t>1995-06-02</t>
  </si>
  <si>
    <t>1990-06-02</t>
  </si>
  <si>
    <t>1995-06-03</t>
  </si>
  <si>
    <t>1990-06-03</t>
  </si>
  <si>
    <t>1995-06-04</t>
  </si>
  <si>
    <t>1990-06-04</t>
  </si>
  <si>
    <t>1995-06-05</t>
  </si>
  <si>
    <t>1990-06-05</t>
  </si>
  <si>
    <t>1995-06-06</t>
  </si>
  <si>
    <t>1990-06-06</t>
  </si>
  <si>
    <t>1995-06-07</t>
  </si>
  <si>
    <t>1990-06-07</t>
  </si>
  <si>
    <t>1995-06-08</t>
  </si>
  <si>
    <t>1990-06-08</t>
  </si>
  <si>
    <t>1995-06-09</t>
  </si>
  <si>
    <t>1990-06-09</t>
  </si>
  <si>
    <t>1995-06-10</t>
  </si>
  <si>
    <t>1990-06-10</t>
  </si>
  <si>
    <t>1995-06-11</t>
  </si>
  <si>
    <t>1990-06-11</t>
  </si>
  <si>
    <t>1995-06-12</t>
  </si>
  <si>
    <t>1990-06-12</t>
  </si>
  <si>
    <t>1995-06-13</t>
  </si>
  <si>
    <t>1990-06-13</t>
  </si>
  <si>
    <t>1995-06-14</t>
  </si>
  <si>
    <t>1990-06-14</t>
  </si>
  <si>
    <t>1995-06-15</t>
  </si>
  <si>
    <t>1990-06-15</t>
  </si>
  <si>
    <t>1995-06-16</t>
  </si>
  <si>
    <t>1990-06-16</t>
  </si>
  <si>
    <t>1995-06-17</t>
  </si>
  <si>
    <t>1990-06-17</t>
  </si>
  <si>
    <t>1995-06-18</t>
  </si>
  <si>
    <t>1990-06-18</t>
  </si>
  <si>
    <t>1995-06-19</t>
  </si>
  <si>
    <t>1990-06-19</t>
  </si>
  <si>
    <t>1995-06-20</t>
  </si>
  <si>
    <t>1990-06-20</t>
  </si>
  <si>
    <t>1995-06-21</t>
  </si>
  <si>
    <t>1990-06-21</t>
  </si>
  <si>
    <t>1995-06-22</t>
  </si>
  <si>
    <t>1990-06-22</t>
  </si>
  <si>
    <t>1995-06-23</t>
  </si>
  <si>
    <t>1990-06-23</t>
  </si>
  <si>
    <t>1995-06-24</t>
  </si>
  <si>
    <t>1990-06-24</t>
  </si>
  <si>
    <t>1995-06-25</t>
  </si>
  <si>
    <t>1990-06-25</t>
  </si>
  <si>
    <t>1995-06-26</t>
  </si>
  <si>
    <t>1990-06-26</t>
  </si>
  <si>
    <t>1995-06-27</t>
  </si>
  <si>
    <t>1990-06-27</t>
  </si>
  <si>
    <t>1995-06-28</t>
  </si>
  <si>
    <t>1990-06-28</t>
  </si>
  <si>
    <t>1995-06-29</t>
  </si>
  <si>
    <t>1990-06-29</t>
  </si>
  <si>
    <t>1995-06-30</t>
  </si>
  <si>
    <t>1990-06-30</t>
  </si>
  <si>
    <t>1995-07-01</t>
  </si>
  <si>
    <t>1990-07-01</t>
  </si>
  <si>
    <t>1995-07-02</t>
  </si>
  <si>
    <t>1990-07-02</t>
  </si>
  <si>
    <t>1995-07-03</t>
  </si>
  <si>
    <t>1990-07-03</t>
  </si>
  <si>
    <t>1995-07-04</t>
  </si>
  <si>
    <t>1990-07-04</t>
  </si>
  <si>
    <t>1995-07-05</t>
  </si>
  <si>
    <t>1990-07-05</t>
  </si>
  <si>
    <t>1995-07-06</t>
  </si>
  <si>
    <t>1990-07-06</t>
  </si>
  <si>
    <t>1995-07-07</t>
  </si>
  <si>
    <t>1990-07-07</t>
  </si>
  <si>
    <t>1995-07-08</t>
  </si>
  <si>
    <t>1990-07-08</t>
  </si>
  <si>
    <t>1995-07-09</t>
  </si>
  <si>
    <t>1990-07-09</t>
  </si>
  <si>
    <t>1995-07-10</t>
  </si>
  <si>
    <t>1990-07-10</t>
  </si>
  <si>
    <t>1995-07-11</t>
  </si>
  <si>
    <t>1990-07-11</t>
  </si>
  <si>
    <t>1995-07-12</t>
  </si>
  <si>
    <t>1990-07-12</t>
  </si>
  <si>
    <t>1995-07-13</t>
  </si>
  <si>
    <t>1990-07-13</t>
  </si>
  <si>
    <t>1995-07-14</t>
  </si>
  <si>
    <t>1990-07-14</t>
  </si>
  <si>
    <t>1995-07-15</t>
  </si>
  <si>
    <t>1990-07-15</t>
  </si>
  <si>
    <t>1995-07-16</t>
  </si>
  <si>
    <t>1990-07-16</t>
  </si>
  <si>
    <t>1995-07-17</t>
  </si>
  <si>
    <t>1990-07-17</t>
  </si>
  <si>
    <t>1995-07-18</t>
  </si>
  <si>
    <t>1990-07-18</t>
  </si>
  <si>
    <t>1995-07-19</t>
  </si>
  <si>
    <t>1990-07-19</t>
  </si>
  <si>
    <t>1995-07-20</t>
  </si>
  <si>
    <t>1990-07-20</t>
  </si>
  <si>
    <t>1995-07-21</t>
  </si>
  <si>
    <t>1990-07-21</t>
  </si>
  <si>
    <t>1995-07-22</t>
  </si>
  <si>
    <t>1990-07-22</t>
  </si>
  <si>
    <t>1995-07-23</t>
  </si>
  <si>
    <t>1990-07-23</t>
  </si>
  <si>
    <t>1995-07-24</t>
  </si>
  <si>
    <t>1990-07-24</t>
  </si>
  <si>
    <t>1995-07-25</t>
  </si>
  <si>
    <t>1990-07-25</t>
  </si>
  <si>
    <t>1995-07-26</t>
  </si>
  <si>
    <t>1990-07-26</t>
  </si>
  <si>
    <t>1995-07-27</t>
  </si>
  <si>
    <t>1990-07-27</t>
  </si>
  <si>
    <t>1995-07-28</t>
  </si>
  <si>
    <t>1990-07-28</t>
  </si>
  <si>
    <t>1995-07-29</t>
  </si>
  <si>
    <t>1990-07-29</t>
  </si>
  <si>
    <t>1995-07-30</t>
  </si>
  <si>
    <t>1990-07-30</t>
  </si>
  <si>
    <t>1995-07-31</t>
  </si>
  <si>
    <t>1990-07-31</t>
  </si>
  <si>
    <t>1995-08-01</t>
  </si>
  <si>
    <t>1990-08-01</t>
  </si>
  <si>
    <t>1995-08-02</t>
  </si>
  <si>
    <t>1990-08-02</t>
  </si>
  <si>
    <t>1995-08-03</t>
  </si>
  <si>
    <t>1990-08-03</t>
  </si>
  <si>
    <t>1995-08-04</t>
  </si>
  <si>
    <t>1990-08-04</t>
  </si>
  <si>
    <t>1995-08-05</t>
  </si>
  <si>
    <t>1990-08-05</t>
  </si>
  <si>
    <t>1995-08-06</t>
  </si>
  <si>
    <t>1990-08-06</t>
  </si>
  <si>
    <t>1995-08-07</t>
  </si>
  <si>
    <t>1990-08-07</t>
  </si>
  <si>
    <t>1995-08-08</t>
  </si>
  <si>
    <t>1990-08-08</t>
  </si>
  <si>
    <t>1995-08-09</t>
  </si>
  <si>
    <t>1990-08-09</t>
  </si>
  <si>
    <t>1995-08-10</t>
  </si>
  <si>
    <t>1990-08-10</t>
  </si>
  <si>
    <t>1995-08-11</t>
  </si>
  <si>
    <t>1990-08-11</t>
  </si>
  <si>
    <t>1995-08-12</t>
  </si>
  <si>
    <t>1990-08-12</t>
  </si>
  <si>
    <t>1995-08-13</t>
  </si>
  <si>
    <t>1990-08-13</t>
  </si>
  <si>
    <t>1995-08-14</t>
  </si>
  <si>
    <t>1990-08-14</t>
  </si>
  <si>
    <t>1995-08-15</t>
  </si>
  <si>
    <t>1990-08-15</t>
  </si>
  <si>
    <t>1995-08-16</t>
  </si>
  <si>
    <t>1990-08-16</t>
  </si>
  <si>
    <t>1995-08-17</t>
  </si>
  <si>
    <t>1990-08-17</t>
  </si>
  <si>
    <t>1995-08-18</t>
  </si>
  <si>
    <t>1990-08-18</t>
  </si>
  <si>
    <t>1995-08-19</t>
  </si>
  <si>
    <t>1990-08-19</t>
  </si>
  <si>
    <t>1995-08-20</t>
  </si>
  <si>
    <t>1990-08-20</t>
  </si>
  <si>
    <t>1995-08-21</t>
  </si>
  <si>
    <t>1990-08-21</t>
  </si>
  <si>
    <t>1995-08-22</t>
  </si>
  <si>
    <t>1990-08-22</t>
  </si>
  <si>
    <t>1995-08-23</t>
  </si>
  <si>
    <t>1990-08-23</t>
  </si>
  <si>
    <t>1995-08-24</t>
  </si>
  <si>
    <t>1990-08-24</t>
  </si>
  <si>
    <t>1995-08-25</t>
  </si>
  <si>
    <t>1990-08-25</t>
  </si>
  <si>
    <t>1995-08-26</t>
  </si>
  <si>
    <t>1990-08-26</t>
  </si>
  <si>
    <t>1995-08-27</t>
  </si>
  <si>
    <t>1990-08-27</t>
  </si>
  <si>
    <t>1995-08-28</t>
  </si>
  <si>
    <t>1990-08-28</t>
  </si>
  <si>
    <t>1995-08-29</t>
  </si>
  <si>
    <t>1990-08-29</t>
  </si>
  <si>
    <t>1995-08-30</t>
  </si>
  <si>
    <t>1990-08-30</t>
  </si>
  <si>
    <t>1995-08-31</t>
  </si>
  <si>
    <t>1990-08-31</t>
  </si>
  <si>
    <t>1995-09-01</t>
  </si>
  <si>
    <t>1990-09-01</t>
  </si>
  <si>
    <t>1995-09-02</t>
  </si>
  <si>
    <t>1990-09-02</t>
  </si>
  <si>
    <t>1995-09-03</t>
  </si>
  <si>
    <t>1990-09-03</t>
  </si>
  <si>
    <t>1995-09-04</t>
  </si>
  <si>
    <t>1990-09-04</t>
  </si>
  <si>
    <t>1995-09-05</t>
  </si>
  <si>
    <t>1990-09-05</t>
  </si>
  <si>
    <t>1995-09-06</t>
  </si>
  <si>
    <t>1990-09-06</t>
  </si>
  <si>
    <t>1995-09-07</t>
  </si>
  <si>
    <t>1990-09-07</t>
  </si>
  <si>
    <t>1995-09-08</t>
  </si>
  <si>
    <t>1990-09-08</t>
  </si>
  <si>
    <t>1995-09-09</t>
  </si>
  <si>
    <t>1990-09-09</t>
  </si>
  <si>
    <t>1995-09-10</t>
  </si>
  <si>
    <t>1990-09-10</t>
  </si>
  <si>
    <t>1995-09-11</t>
  </si>
  <si>
    <t>1990-09-11</t>
  </si>
  <si>
    <t>1995-09-12</t>
  </si>
  <si>
    <t>1990-09-12</t>
  </si>
  <si>
    <t>1995-09-13</t>
  </si>
  <si>
    <t>1990-09-13</t>
  </si>
  <si>
    <t>1995-09-14</t>
  </si>
  <si>
    <t>1990-09-14</t>
  </si>
  <si>
    <t>1995-09-15</t>
  </si>
  <si>
    <t>1990-09-15</t>
  </si>
  <si>
    <t>1995-09-16</t>
  </si>
  <si>
    <t>1990-09-16</t>
  </si>
  <si>
    <t>1995-09-17</t>
  </si>
  <si>
    <t>1990-09-17</t>
  </si>
  <si>
    <t>1995-09-18</t>
  </si>
  <si>
    <t>1990-09-18</t>
  </si>
  <si>
    <t>1995-09-19</t>
  </si>
  <si>
    <t>1990-09-19</t>
  </si>
  <si>
    <t>1995-09-20</t>
  </si>
  <si>
    <t>1990-09-20</t>
  </si>
  <si>
    <t>1995-09-21</t>
  </si>
  <si>
    <t>1990-09-21</t>
  </si>
  <si>
    <t>1995-09-22</t>
  </si>
  <si>
    <t>1990-09-22</t>
  </si>
  <si>
    <t>1995-09-23</t>
  </si>
  <si>
    <t>1990-09-23</t>
  </si>
  <si>
    <t>1995-09-24</t>
  </si>
  <si>
    <t>1990-09-24</t>
  </si>
  <si>
    <t>1995-09-25</t>
  </si>
  <si>
    <t>1990-09-25</t>
  </si>
  <si>
    <t>1995-09-26</t>
  </si>
  <si>
    <t>1990-09-26</t>
  </si>
  <si>
    <t>1995-09-27</t>
  </si>
  <si>
    <t>1990-09-27</t>
  </si>
  <si>
    <t>1995-09-28</t>
  </si>
  <si>
    <t>1990-09-28</t>
  </si>
  <si>
    <t>1995-09-29</t>
  </si>
  <si>
    <t>1990-09-29</t>
  </si>
  <si>
    <t>1995-09-30</t>
  </si>
  <si>
    <t>1990-09-30</t>
  </si>
  <si>
    <t>1995-10-01</t>
  </si>
  <si>
    <t>1990-10-01</t>
  </si>
  <si>
    <t>1995-10-02</t>
  </si>
  <si>
    <t>1990-10-02</t>
  </si>
  <si>
    <t>1995-10-03</t>
  </si>
  <si>
    <t>1990-10-03</t>
  </si>
  <si>
    <t>1995-10-04</t>
  </si>
  <si>
    <t>1990-10-04</t>
  </si>
  <si>
    <t>1995-10-05</t>
  </si>
  <si>
    <t>1990-10-05</t>
  </si>
  <si>
    <t>1995-10-06</t>
  </si>
  <si>
    <t>1990-10-06</t>
  </si>
  <si>
    <t>1995-10-07</t>
  </si>
  <si>
    <t>1990-10-07</t>
  </si>
  <si>
    <t>1995-10-08</t>
  </si>
  <si>
    <t>1990-10-08</t>
  </si>
  <si>
    <t>1995-10-09</t>
  </si>
  <si>
    <t>1990-10-09</t>
  </si>
  <si>
    <t>1995-10-10</t>
  </si>
  <si>
    <t>1990-10-10</t>
  </si>
  <si>
    <t>1995-10-11</t>
  </si>
  <si>
    <t>1990-10-11</t>
  </si>
  <si>
    <t>1995-10-12</t>
  </si>
  <si>
    <t>1990-10-12</t>
  </si>
  <si>
    <t>1995-10-13</t>
  </si>
  <si>
    <t>1990-10-13</t>
  </si>
  <si>
    <t>1995-10-14</t>
  </si>
  <si>
    <t>1990-10-14</t>
  </si>
  <si>
    <t>1995-10-15</t>
  </si>
  <si>
    <t>1990-10-15</t>
  </si>
  <si>
    <t>1995-10-16</t>
  </si>
  <si>
    <t>1990-10-16</t>
  </si>
  <si>
    <t>1995-10-17</t>
  </si>
  <si>
    <t>1990-10-17</t>
  </si>
  <si>
    <t>1995-10-18</t>
  </si>
  <si>
    <t>1990-10-18</t>
  </si>
  <si>
    <t>1995-10-19</t>
  </si>
  <si>
    <t>1990-10-19</t>
  </si>
  <si>
    <t>1995-10-20</t>
  </si>
  <si>
    <t>1990-10-20</t>
  </si>
  <si>
    <t>1995-10-21</t>
  </si>
  <si>
    <t>1990-10-21</t>
  </si>
  <si>
    <t>1995-10-22</t>
  </si>
  <si>
    <t>1990-10-22</t>
  </si>
  <si>
    <t>1995-10-23</t>
  </si>
  <si>
    <t>1990-10-23</t>
  </si>
  <si>
    <t>1995-10-24</t>
  </si>
  <si>
    <t>1990-10-24</t>
  </si>
  <si>
    <t>1995-10-25</t>
  </si>
  <si>
    <t>1990-10-25</t>
  </si>
  <si>
    <t>1995-10-26</t>
  </si>
  <si>
    <t>1990-10-26</t>
  </si>
  <si>
    <t>1995-10-27</t>
  </si>
  <si>
    <t>1990-10-27</t>
  </si>
  <si>
    <t>1995-10-28</t>
  </si>
  <si>
    <t>1990-10-28</t>
  </si>
  <si>
    <t>1995-10-29</t>
  </si>
  <si>
    <t>1990-10-29</t>
  </si>
  <si>
    <t>1995-10-30</t>
  </si>
  <si>
    <t>1990-10-30</t>
  </si>
  <si>
    <t>1995-10-31</t>
  </si>
  <si>
    <t>1990-10-31</t>
  </si>
  <si>
    <t>1995-11-01</t>
  </si>
  <si>
    <t>1990-11-01</t>
  </si>
  <si>
    <t>1995-11-02</t>
  </si>
  <si>
    <t>1990-11-02</t>
  </si>
  <si>
    <t>1995-11-03</t>
  </si>
  <si>
    <t>1990-11-03</t>
  </si>
  <si>
    <t>1995-11-04</t>
  </si>
  <si>
    <t>1990-11-04</t>
  </si>
  <si>
    <t>1995-11-05</t>
  </si>
  <si>
    <t>1990-11-05</t>
  </si>
  <si>
    <t>1995-11-06</t>
  </si>
  <si>
    <t>1990-11-06</t>
  </si>
  <si>
    <t>1995-11-07</t>
  </si>
  <si>
    <t>1990-11-07</t>
  </si>
  <si>
    <t>1995-11-08</t>
  </si>
  <si>
    <t>1990-11-08</t>
  </si>
  <si>
    <t>1995-11-09</t>
  </si>
  <si>
    <t>1990-11-09</t>
  </si>
  <si>
    <t>1995-11-10</t>
  </si>
  <si>
    <t>1990-11-10</t>
  </si>
  <si>
    <t>1995-11-11</t>
  </si>
  <si>
    <t>1990-11-11</t>
  </si>
  <si>
    <t>1995-11-12</t>
  </si>
  <si>
    <t>1990-11-12</t>
  </si>
  <si>
    <t>1995-11-13</t>
  </si>
  <si>
    <t>1990-11-13</t>
  </si>
  <si>
    <t>1995-11-14</t>
  </si>
  <si>
    <t>1990-11-14</t>
  </si>
  <si>
    <t>1995-11-15</t>
  </si>
  <si>
    <t>1990-11-15</t>
  </si>
  <si>
    <t>1995-11-16</t>
  </si>
  <si>
    <t>1990-11-16</t>
  </si>
  <si>
    <t>1995-11-17</t>
  </si>
  <si>
    <t>1990-11-17</t>
  </si>
  <si>
    <t>1995-11-18</t>
  </si>
  <si>
    <t>1990-11-18</t>
  </si>
  <si>
    <t>1995-11-19</t>
  </si>
  <si>
    <t>1990-11-19</t>
  </si>
  <si>
    <t>1995-11-20</t>
  </si>
  <si>
    <t>1990-11-20</t>
  </si>
  <si>
    <t>1995-11-21</t>
  </si>
  <si>
    <t>1990-11-21</t>
  </si>
  <si>
    <t>1995-11-22</t>
  </si>
  <si>
    <t>1990-11-22</t>
  </si>
  <si>
    <t>1995-11-23</t>
  </si>
  <si>
    <t>1990-11-23</t>
  </si>
  <si>
    <t>1995-11-24</t>
  </si>
  <si>
    <t>1990-11-24</t>
  </si>
  <si>
    <t>1995-11-25</t>
  </si>
  <si>
    <t>1990-11-25</t>
  </si>
  <si>
    <t>1995-11-26</t>
  </si>
  <si>
    <t>1990-11-26</t>
  </si>
  <si>
    <t>1995-11-27</t>
  </si>
  <si>
    <t>1990-11-27</t>
  </si>
  <si>
    <t>1995-11-28</t>
  </si>
  <si>
    <t>1990-11-28</t>
  </si>
  <si>
    <t>1995-11-29</t>
  </si>
  <si>
    <t>1990-11-29</t>
  </si>
  <si>
    <t>1995-11-30</t>
  </si>
  <si>
    <t>1990-11-30</t>
  </si>
  <si>
    <t>1995-12-01</t>
  </si>
  <si>
    <t>1990-12-01</t>
  </si>
  <si>
    <t>1995-12-02</t>
  </si>
  <si>
    <t>1990-12-02</t>
  </si>
  <si>
    <t>1995-12-03</t>
  </si>
  <si>
    <t>1990-12-03</t>
  </si>
  <si>
    <t>1995-12-04</t>
  </si>
  <si>
    <t>1990-12-04</t>
  </si>
  <si>
    <t>1995-12-05</t>
  </si>
  <si>
    <t>1990-12-05</t>
  </si>
  <si>
    <t>1995-12-06</t>
  </si>
  <si>
    <t>1990-12-06</t>
  </si>
  <si>
    <t>1995-12-07</t>
  </si>
  <si>
    <t>1990-12-07</t>
  </si>
  <si>
    <t>1995-12-08</t>
  </si>
  <si>
    <t>1990-12-08</t>
  </si>
  <si>
    <t>1995-12-09</t>
  </si>
  <si>
    <t>1990-12-09</t>
  </si>
  <si>
    <t>1995-12-10</t>
  </si>
  <si>
    <t>1990-12-10</t>
  </si>
  <si>
    <t>1995-12-11</t>
  </si>
  <si>
    <t>1990-12-11</t>
  </si>
  <si>
    <t>1995-12-12</t>
  </si>
  <si>
    <t>1990-12-12</t>
  </si>
  <si>
    <t>1995-12-13</t>
  </si>
  <si>
    <t>1990-12-13</t>
  </si>
  <si>
    <t>1995-12-14</t>
  </si>
  <si>
    <t>1990-12-14</t>
  </si>
  <si>
    <t>1995-12-15</t>
  </si>
  <si>
    <t>1990-12-15</t>
  </si>
  <si>
    <t>1995-12-16</t>
  </si>
  <si>
    <t>1990-12-16</t>
  </si>
  <si>
    <t>1995-12-17</t>
  </si>
  <si>
    <t>1990-12-17</t>
  </si>
  <si>
    <t>1995-12-18</t>
  </si>
  <si>
    <t>1990-12-18</t>
  </si>
  <si>
    <t>1995-12-19</t>
  </si>
  <si>
    <t>1990-12-19</t>
  </si>
  <si>
    <t>1995-12-20</t>
  </si>
  <si>
    <t>1990-12-20</t>
  </si>
  <si>
    <t>1995-12-21</t>
  </si>
  <si>
    <t>1990-12-21</t>
  </si>
  <si>
    <t>1995-12-22</t>
  </si>
  <si>
    <t>1990-12-22</t>
  </si>
  <si>
    <t>1995-12-23</t>
  </si>
  <si>
    <t>1990-12-23</t>
  </si>
  <si>
    <t>1995-12-24</t>
  </si>
  <si>
    <t>1990-12-24</t>
  </si>
  <si>
    <t>1995-12-25</t>
  </si>
  <si>
    <t>1990-12-25</t>
  </si>
  <si>
    <t>1995-12-26</t>
  </si>
  <si>
    <t>1990-12-26</t>
  </si>
  <si>
    <t>1995-12-27</t>
  </si>
  <si>
    <t>1990-12-27</t>
  </si>
  <si>
    <t>1995-12-28</t>
  </si>
  <si>
    <t>1990-12-28</t>
  </si>
  <si>
    <t>1995-12-29</t>
  </si>
  <si>
    <t>1990-12-29</t>
  </si>
  <si>
    <t>1995-12-30</t>
  </si>
  <si>
    <t>1990-12-30</t>
  </si>
  <si>
    <t>1995-12-31</t>
  </si>
  <si>
    <t>1990-12-31</t>
  </si>
  <si>
    <t>1996-01-01</t>
  </si>
  <si>
    <t>1991-01-01</t>
  </si>
  <si>
    <t>1996-01-02</t>
  </si>
  <si>
    <t>1991-01-02</t>
  </si>
  <si>
    <t>1996-01-03</t>
  </si>
  <si>
    <t>1991-01-03</t>
  </si>
  <si>
    <t>1996-01-04</t>
  </si>
  <si>
    <t>1991-01-04</t>
  </si>
  <si>
    <t>1996-01-05</t>
  </si>
  <si>
    <t>1991-01-05</t>
  </si>
  <si>
    <t>1996-01-06</t>
  </si>
  <si>
    <t>1991-01-06</t>
  </si>
  <si>
    <t>1996-01-07</t>
  </si>
  <si>
    <t>1991-01-07</t>
  </si>
  <si>
    <t>1996-01-08</t>
  </si>
  <si>
    <t>1991-01-08</t>
  </si>
  <si>
    <t>1996-01-09</t>
  </si>
  <si>
    <t>1991-01-09</t>
  </si>
  <si>
    <t>1996-01-10</t>
  </si>
  <si>
    <t>1991-01-10</t>
  </si>
  <si>
    <t>1996-01-11</t>
  </si>
  <si>
    <t>1991-01-11</t>
  </si>
  <si>
    <t>1996-01-12</t>
  </si>
  <si>
    <t>1991-01-12</t>
  </si>
  <si>
    <t>1996-01-13</t>
  </si>
  <si>
    <t>1991-01-13</t>
  </si>
  <si>
    <t>1996-01-14</t>
  </si>
  <si>
    <t>1991-01-14</t>
  </si>
  <si>
    <t>1996-01-15</t>
  </si>
  <si>
    <t>1991-01-15</t>
  </si>
  <si>
    <t>1996-01-16</t>
  </si>
  <si>
    <t>1991-01-16</t>
  </si>
  <si>
    <t>1996-01-17</t>
  </si>
  <si>
    <t>1991-01-17</t>
  </si>
  <si>
    <t>1996-01-18</t>
  </si>
  <si>
    <t>1991-01-18</t>
  </si>
  <si>
    <t>1996-01-19</t>
  </si>
  <si>
    <t>1991-01-19</t>
  </si>
  <si>
    <t>1996-01-20</t>
  </si>
  <si>
    <t>1991-01-20</t>
  </si>
  <si>
    <t>1996-01-21</t>
  </si>
  <si>
    <t>1991-01-21</t>
  </si>
  <si>
    <t>1996-01-22</t>
  </si>
  <si>
    <t>1991-01-22</t>
  </si>
  <si>
    <t>1996-01-23</t>
  </si>
  <si>
    <t>1991-01-23</t>
  </si>
  <si>
    <t>1996-01-24</t>
  </si>
  <si>
    <t>1991-01-24</t>
  </si>
  <si>
    <t>1996-01-25</t>
  </si>
  <si>
    <t>1991-01-25</t>
  </si>
  <si>
    <t>1996-01-26</t>
  </si>
  <si>
    <t>1991-01-26</t>
  </si>
  <si>
    <t>1996-01-27</t>
  </si>
  <si>
    <t>1991-01-27</t>
  </si>
  <si>
    <t>1996-01-28</t>
  </si>
  <si>
    <t>1991-01-28</t>
  </si>
  <si>
    <t>1996-01-29</t>
  </si>
  <si>
    <t>1991-01-29</t>
  </si>
  <si>
    <t>1996-01-30</t>
  </si>
  <si>
    <t>1991-01-30</t>
  </si>
  <si>
    <t>1996-01-31</t>
  </si>
  <si>
    <t>1991-01-31</t>
  </si>
  <si>
    <t>1996-02-01</t>
  </si>
  <si>
    <t>1991-02-01</t>
  </si>
  <si>
    <t>1996-02-02</t>
  </si>
  <si>
    <t>1991-02-02</t>
  </si>
  <si>
    <t>1996-02-03</t>
  </si>
  <si>
    <t>1991-02-03</t>
  </si>
  <si>
    <t>1996-02-04</t>
  </si>
  <si>
    <t>1991-02-04</t>
  </si>
  <si>
    <t>1996-02-05</t>
  </si>
  <si>
    <t>1991-02-05</t>
  </si>
  <si>
    <t>1996-02-06</t>
  </si>
  <si>
    <t>1991-02-06</t>
  </si>
  <si>
    <t>1996-02-07</t>
  </si>
  <si>
    <t>1991-02-07</t>
  </si>
  <si>
    <t>1996-02-08</t>
  </si>
  <si>
    <t>1991-02-08</t>
  </si>
  <si>
    <t>1996-02-09</t>
  </si>
  <si>
    <t>1991-02-09</t>
  </si>
  <si>
    <t>1996-02-10</t>
  </si>
  <si>
    <t>1991-02-10</t>
  </si>
  <si>
    <t>1996-02-11</t>
  </si>
  <si>
    <t>1991-02-11</t>
  </si>
  <si>
    <t>1996-02-12</t>
  </si>
  <si>
    <t>1991-02-12</t>
  </si>
  <si>
    <t>1996-02-13</t>
  </si>
  <si>
    <t>1991-02-13</t>
  </si>
  <si>
    <t>1996-02-14</t>
  </si>
  <si>
    <t>1991-02-14</t>
  </si>
  <si>
    <t>1996-02-15</t>
  </si>
  <si>
    <t>1991-02-15</t>
  </si>
  <si>
    <t>1996-02-16</t>
  </si>
  <si>
    <t>1991-02-16</t>
  </si>
  <si>
    <t>1996-02-17</t>
  </si>
  <si>
    <t>1991-02-17</t>
  </si>
  <si>
    <t>1996-02-18</t>
  </si>
  <si>
    <t>1991-02-18</t>
  </si>
  <si>
    <t>1996-02-19</t>
  </si>
  <si>
    <t>1991-02-19</t>
  </si>
  <si>
    <t>1996-02-20</t>
  </si>
  <si>
    <t>1991-02-20</t>
  </si>
  <si>
    <t>1996-02-21</t>
  </si>
  <si>
    <t>1991-02-21</t>
  </si>
  <si>
    <t>1996-02-22</t>
  </si>
  <si>
    <t>1991-02-22</t>
  </si>
  <si>
    <t>1996-02-23</t>
  </si>
  <si>
    <t>1991-02-23</t>
  </si>
  <si>
    <t>1996-02-24</t>
  </si>
  <si>
    <t>1991-02-24</t>
  </si>
  <si>
    <t>1996-02-25</t>
  </si>
  <si>
    <t>1991-02-25</t>
  </si>
  <si>
    <t>1996-02-26</t>
  </si>
  <si>
    <t>1991-02-26</t>
  </si>
  <si>
    <t>1996-02-27</t>
  </si>
  <si>
    <t>1991-02-27</t>
  </si>
  <si>
    <t>1996-02-28</t>
  </si>
  <si>
    <t>1991-02-28</t>
  </si>
  <si>
    <t>1996-03-01</t>
  </si>
  <si>
    <t>1991-03-01</t>
  </si>
  <si>
    <t>1996-03-02</t>
  </si>
  <si>
    <t>1991-03-02</t>
  </si>
  <si>
    <t>1996-03-03</t>
  </si>
  <si>
    <t>1991-03-03</t>
  </si>
  <si>
    <t>1996-03-04</t>
  </si>
  <si>
    <t>1991-03-04</t>
  </si>
  <si>
    <t>1996-03-05</t>
  </si>
  <si>
    <t>1991-03-05</t>
  </si>
  <si>
    <t>1996-03-06</t>
  </si>
  <si>
    <t>1991-03-06</t>
  </si>
  <si>
    <t>1996-03-07</t>
  </si>
  <si>
    <t>1991-03-07</t>
  </si>
  <si>
    <t>1996-03-08</t>
  </si>
  <si>
    <t>1991-03-08</t>
  </si>
  <si>
    <t>1996-03-09</t>
  </si>
  <si>
    <t>1991-03-09</t>
  </si>
  <si>
    <t>1996-03-10</t>
  </si>
  <si>
    <t>1991-03-10</t>
  </si>
  <si>
    <t>1996-03-11</t>
  </si>
  <si>
    <t>1991-03-11</t>
  </si>
  <si>
    <t>1996-03-12</t>
  </si>
  <si>
    <t>1991-03-12</t>
  </si>
  <si>
    <t>1996-03-13</t>
  </si>
  <si>
    <t>1991-03-13</t>
  </si>
  <si>
    <t>1996-03-14</t>
  </si>
  <si>
    <t>1991-03-14</t>
  </si>
  <si>
    <t>1996-03-15</t>
  </si>
  <si>
    <t>1991-03-15</t>
  </si>
  <si>
    <t>1996-03-16</t>
  </si>
  <si>
    <t>1991-03-16</t>
  </si>
  <si>
    <t>1996-03-17</t>
  </si>
  <si>
    <t>1991-03-17</t>
  </si>
  <si>
    <t>1996-03-18</t>
  </si>
  <si>
    <t>1991-03-18</t>
  </si>
  <si>
    <t>1996-03-19</t>
  </si>
  <si>
    <t>1991-03-19</t>
  </si>
  <si>
    <t>1996-03-20</t>
  </si>
  <si>
    <t>1991-03-20</t>
  </si>
  <si>
    <t>1996-03-21</t>
  </si>
  <si>
    <t>1991-03-21</t>
  </si>
  <si>
    <t>1996-03-22</t>
  </si>
  <si>
    <t>1991-03-22</t>
  </si>
  <si>
    <t>1996-03-23</t>
  </si>
  <si>
    <t>1991-03-23</t>
  </si>
  <si>
    <t>1996-03-24</t>
  </si>
  <si>
    <t>1991-03-24</t>
  </si>
  <si>
    <t>1996-03-25</t>
  </si>
  <si>
    <t>1991-03-25</t>
  </si>
  <si>
    <t>1996-03-26</t>
  </si>
  <si>
    <t>1991-03-26</t>
  </si>
  <si>
    <t>1996-03-27</t>
  </si>
  <si>
    <t>1991-03-27</t>
  </si>
  <si>
    <t>1996-03-28</t>
  </si>
  <si>
    <t>1991-03-28</t>
  </si>
  <si>
    <t>1996-03-29</t>
  </si>
  <si>
    <t>1991-03-29</t>
  </si>
  <si>
    <t>1996-03-30</t>
  </si>
  <si>
    <t>1991-03-30</t>
  </si>
  <si>
    <t>1996-03-31</t>
  </si>
  <si>
    <t>1991-03-31</t>
  </si>
  <si>
    <t>1996-04-01</t>
  </si>
  <si>
    <t>1991-04-01</t>
  </si>
  <si>
    <t>1996-04-02</t>
  </si>
  <si>
    <t>1991-04-02</t>
  </si>
  <si>
    <t>1996-04-03</t>
  </si>
  <si>
    <t>1991-04-03</t>
  </si>
  <si>
    <t>1996-04-04</t>
  </si>
  <si>
    <t>1991-04-04</t>
  </si>
  <si>
    <t>1996-04-05</t>
  </si>
  <si>
    <t>1991-04-05</t>
  </si>
  <si>
    <t>1996-04-06</t>
  </si>
  <si>
    <t>1991-04-06</t>
  </si>
  <si>
    <t>1996-04-07</t>
  </si>
  <si>
    <t>1991-04-07</t>
  </si>
  <si>
    <t>1996-04-08</t>
  </si>
  <si>
    <t>1991-04-08</t>
  </si>
  <si>
    <t>1996-04-09</t>
  </si>
  <si>
    <t>1991-04-09</t>
  </si>
  <si>
    <t>1996-04-10</t>
  </si>
  <si>
    <t>1991-04-10</t>
  </si>
  <si>
    <t>1996-04-11</t>
  </si>
  <si>
    <t>1991-04-11</t>
  </si>
  <si>
    <t>1996-04-12</t>
  </si>
  <si>
    <t>1991-04-12</t>
  </si>
  <si>
    <t>1996-04-13</t>
  </si>
  <si>
    <t>1991-04-13</t>
  </si>
  <si>
    <t>1996-04-14</t>
  </si>
  <si>
    <t>1991-04-14</t>
  </si>
  <si>
    <t>1996-04-15</t>
  </si>
  <si>
    <t>1991-04-15</t>
  </si>
  <si>
    <t>1996-04-16</t>
  </si>
  <si>
    <t>1991-04-16</t>
  </si>
  <si>
    <t>1996-04-17</t>
  </si>
  <si>
    <t>1991-04-17</t>
  </si>
  <si>
    <t>1996-04-18</t>
  </si>
  <si>
    <t>1991-04-18</t>
  </si>
  <si>
    <t>1996-04-19</t>
  </si>
  <si>
    <t>1991-04-19</t>
  </si>
  <si>
    <t>1996-04-20</t>
  </si>
  <si>
    <t>1991-04-20</t>
  </si>
  <si>
    <t>1996-04-21</t>
  </si>
  <si>
    <t>1991-04-21</t>
  </si>
  <si>
    <t>1996-04-22</t>
  </si>
  <si>
    <t>1991-04-22</t>
  </si>
  <si>
    <t>1996-04-23</t>
  </si>
  <si>
    <t>1991-04-23</t>
  </si>
  <si>
    <t>1996-04-24</t>
  </si>
  <si>
    <t>1991-04-24</t>
  </si>
  <si>
    <t>1996-04-25</t>
  </si>
  <si>
    <t>1991-04-25</t>
  </si>
  <si>
    <t>1996-04-26</t>
  </si>
  <si>
    <t>1991-04-26</t>
  </si>
  <si>
    <t>1996-04-27</t>
  </si>
  <si>
    <t>1991-04-27</t>
  </si>
  <si>
    <t>1996-04-28</t>
  </si>
  <si>
    <t>1991-04-28</t>
  </si>
  <si>
    <t>1996-04-29</t>
  </si>
  <si>
    <t>1991-04-29</t>
  </si>
  <si>
    <t>1996-04-30</t>
  </si>
  <si>
    <t>1991-04-30</t>
  </si>
  <si>
    <t>1996-05-01</t>
  </si>
  <si>
    <t>1991-05-01</t>
  </si>
  <si>
    <t>1996-05-02</t>
  </si>
  <si>
    <t>1991-05-02</t>
  </si>
  <si>
    <t>1996-05-03</t>
  </si>
  <si>
    <t>1991-05-03</t>
  </si>
  <si>
    <t>1996-05-04</t>
  </si>
  <si>
    <t>1991-05-04</t>
  </si>
  <si>
    <t>1996-05-05</t>
  </si>
  <si>
    <t>1991-05-05</t>
  </si>
  <si>
    <t>1996-05-06</t>
  </si>
  <si>
    <t>1991-05-06</t>
  </si>
  <si>
    <t>1996-05-07</t>
  </si>
  <si>
    <t>1991-05-07</t>
  </si>
  <si>
    <t>1996-05-08</t>
  </si>
  <si>
    <t>1991-05-08</t>
  </si>
  <si>
    <t>1996-05-09</t>
  </si>
  <si>
    <t>1991-05-09</t>
  </si>
  <si>
    <t>1996-05-10</t>
  </si>
  <si>
    <t>1991-05-10</t>
  </si>
  <si>
    <t>1996-05-11</t>
  </si>
  <si>
    <t>1991-05-11</t>
  </si>
  <si>
    <t>1996-05-12</t>
  </si>
  <si>
    <t>1991-05-12</t>
  </si>
  <si>
    <t>1996-05-13</t>
  </si>
  <si>
    <t>1991-05-13</t>
  </si>
  <si>
    <t>1996-05-14</t>
  </si>
  <si>
    <t>1991-05-14</t>
  </si>
  <si>
    <t>1996-05-15</t>
  </si>
  <si>
    <t>1991-05-15</t>
  </si>
  <si>
    <t>1996-05-16</t>
  </si>
  <si>
    <t>1991-05-16</t>
  </si>
  <si>
    <t>1996-05-17</t>
  </si>
  <si>
    <t>1991-05-17</t>
  </si>
  <si>
    <t>1996-05-18</t>
  </si>
  <si>
    <t>1991-05-18</t>
  </si>
  <si>
    <t>1996-05-19</t>
  </si>
  <si>
    <t>1991-05-19</t>
  </si>
  <si>
    <t>1996-05-20</t>
  </si>
  <si>
    <t>1991-05-20</t>
  </si>
  <si>
    <t>1996-05-21</t>
  </si>
  <si>
    <t>1991-05-21</t>
  </si>
  <si>
    <t>1996-05-22</t>
  </si>
  <si>
    <t>1991-05-22</t>
  </si>
  <si>
    <t>1996-05-23</t>
  </si>
  <si>
    <t>1991-05-23</t>
  </si>
  <si>
    <t>1996-05-24</t>
  </si>
  <si>
    <t>1991-05-24</t>
  </si>
  <si>
    <t>1996-05-25</t>
  </si>
  <si>
    <t>1991-05-25</t>
  </si>
  <si>
    <t>1996-05-26</t>
  </si>
  <si>
    <t>1991-05-26</t>
  </si>
  <si>
    <t>1996-05-27</t>
  </si>
  <si>
    <t>1991-05-27</t>
  </si>
  <si>
    <t>1996-05-28</t>
  </si>
  <si>
    <t>1991-05-28</t>
  </si>
  <si>
    <t>1996-05-29</t>
  </si>
  <si>
    <t>1991-05-29</t>
  </si>
  <si>
    <t>1996-05-30</t>
  </si>
  <si>
    <t>1991-05-30</t>
  </si>
  <si>
    <t>1996-05-31</t>
  </si>
  <si>
    <t>1991-05-31</t>
  </si>
  <si>
    <t>1996-06-01</t>
  </si>
  <si>
    <t>1991-06-01</t>
  </si>
  <si>
    <t>1996-06-02</t>
  </si>
  <si>
    <t>1991-06-02</t>
  </si>
  <si>
    <t>1996-06-03</t>
  </si>
  <si>
    <t>1991-06-03</t>
  </si>
  <si>
    <t>1996-06-04</t>
  </si>
  <si>
    <t>1991-06-04</t>
  </si>
  <si>
    <t>1996-06-05</t>
  </si>
  <si>
    <t>1991-06-05</t>
  </si>
  <si>
    <t>1996-06-06</t>
  </si>
  <si>
    <t>1991-06-06</t>
  </si>
  <si>
    <t>1996-06-07</t>
  </si>
  <si>
    <t>1991-06-07</t>
  </si>
  <si>
    <t>1996-06-08</t>
  </si>
  <si>
    <t>1991-06-08</t>
  </si>
  <si>
    <t>1996-06-09</t>
  </si>
  <si>
    <t>1991-06-09</t>
  </si>
  <si>
    <t>1996-06-10</t>
  </si>
  <si>
    <t>1991-06-10</t>
  </si>
  <si>
    <t>1996-06-11</t>
  </si>
  <si>
    <t>1991-06-11</t>
  </si>
  <si>
    <t>1996-06-12</t>
  </si>
  <si>
    <t>1991-06-12</t>
  </si>
  <si>
    <t>1996-06-13</t>
  </si>
  <si>
    <t>1991-06-13</t>
  </si>
  <si>
    <t>1996-06-14</t>
  </si>
  <si>
    <t>1991-06-14</t>
  </si>
  <si>
    <t>1996-06-15</t>
  </si>
  <si>
    <t>1991-06-15</t>
  </si>
  <si>
    <t>1996-06-16</t>
  </si>
  <si>
    <t>1991-06-16</t>
  </si>
  <si>
    <t>1996-06-17</t>
  </si>
  <si>
    <t>1991-06-17</t>
  </si>
  <si>
    <t>1996-06-18</t>
  </si>
  <si>
    <t>1991-06-18</t>
  </si>
  <si>
    <t>1996-06-19</t>
  </si>
  <si>
    <t>1991-06-19</t>
  </si>
  <si>
    <t>1996-06-20</t>
  </si>
  <si>
    <t>1991-06-20</t>
  </si>
  <si>
    <t>1996-06-21</t>
  </si>
  <si>
    <t>1991-06-21</t>
  </si>
  <si>
    <t>1996-06-22</t>
  </si>
  <si>
    <t>1991-06-22</t>
  </si>
  <si>
    <t>1996-06-23</t>
  </si>
  <si>
    <t>1991-06-23</t>
  </si>
  <si>
    <t>1996-06-24</t>
  </si>
  <si>
    <t>1991-06-24</t>
  </si>
  <si>
    <t>1996-06-25</t>
  </si>
  <si>
    <t>1991-06-25</t>
  </si>
  <si>
    <t>1996-06-26</t>
  </si>
  <si>
    <t>1991-06-26</t>
  </si>
  <si>
    <t>1996-06-27</t>
  </si>
  <si>
    <t>1991-06-27</t>
  </si>
  <si>
    <t>1996-06-28</t>
  </si>
  <si>
    <t>1991-06-28</t>
  </si>
  <si>
    <t>1996-06-29</t>
  </si>
  <si>
    <t>1991-06-29</t>
  </si>
  <si>
    <t>1996-06-30</t>
  </si>
  <si>
    <t>1991-06-30</t>
  </si>
  <si>
    <t>1996-07-01</t>
  </si>
  <si>
    <t>1991-07-01</t>
  </si>
  <si>
    <t>1996-07-02</t>
  </si>
  <si>
    <t>1991-07-02</t>
  </si>
  <si>
    <t>1996-07-03</t>
  </si>
  <si>
    <t>1991-07-03</t>
  </si>
  <si>
    <t>1996-07-04</t>
  </si>
  <si>
    <t>1991-07-04</t>
  </si>
  <si>
    <t>1996-07-05</t>
  </si>
  <si>
    <t>1991-07-05</t>
  </si>
  <si>
    <t>1996-07-06</t>
  </si>
  <si>
    <t>1991-07-06</t>
  </si>
  <si>
    <t>1996-07-07</t>
  </si>
  <si>
    <t>1991-07-07</t>
  </si>
  <si>
    <t>1996-07-08</t>
  </si>
  <si>
    <t>1991-07-08</t>
  </si>
  <si>
    <t>1996-07-09</t>
  </si>
  <si>
    <t>1991-07-09</t>
  </si>
  <si>
    <t>1996-07-10</t>
  </si>
  <si>
    <t>1991-07-10</t>
  </si>
  <si>
    <t>1996-07-11</t>
  </si>
  <si>
    <t>1991-07-11</t>
  </si>
  <si>
    <t>1996-07-12</t>
  </si>
  <si>
    <t>1991-07-12</t>
  </si>
  <si>
    <t>1996-07-13</t>
  </si>
  <si>
    <t>1991-07-13</t>
  </si>
  <si>
    <t>1996-07-14</t>
  </si>
  <si>
    <t>1991-07-14</t>
  </si>
  <si>
    <t>1996-07-15</t>
  </si>
  <si>
    <t>1991-07-15</t>
  </si>
  <si>
    <t>1996-07-16</t>
  </si>
  <si>
    <t>1991-07-16</t>
  </si>
  <si>
    <t>1996-07-17</t>
  </si>
  <si>
    <t>1991-07-17</t>
  </si>
  <si>
    <t>1996-07-18</t>
  </si>
  <si>
    <t>1991-07-18</t>
  </si>
  <si>
    <t>1996-07-19</t>
  </si>
  <si>
    <t>1991-07-19</t>
  </si>
  <si>
    <t>1996-07-20</t>
  </si>
  <si>
    <t>1991-07-20</t>
  </si>
  <si>
    <t>1996-07-21</t>
  </si>
  <si>
    <t>1991-07-21</t>
  </si>
  <si>
    <t>1996-07-22</t>
  </si>
  <si>
    <t>1991-07-22</t>
  </si>
  <si>
    <t>1996-07-23</t>
  </si>
  <si>
    <t>1991-07-23</t>
  </si>
  <si>
    <t>1996-07-24</t>
  </si>
  <si>
    <t>1991-07-24</t>
  </si>
  <si>
    <t>1996-07-25</t>
  </si>
  <si>
    <t>1991-07-25</t>
  </si>
  <si>
    <t>1996-07-26</t>
  </si>
  <si>
    <t>1991-07-26</t>
  </si>
  <si>
    <t>1996-07-27</t>
  </si>
  <si>
    <t>1991-07-27</t>
  </si>
  <si>
    <t>1996-07-28</t>
  </si>
  <si>
    <t>1991-07-28</t>
  </si>
  <si>
    <t>1996-07-29</t>
  </si>
  <si>
    <t>1991-07-29</t>
  </si>
  <si>
    <t>1996-07-30</t>
  </si>
  <si>
    <t>1991-07-30</t>
  </si>
  <si>
    <t>1996-07-31</t>
  </si>
  <si>
    <t>1991-07-31</t>
  </si>
  <si>
    <t>1996-08-01</t>
  </si>
  <si>
    <t>1991-08-01</t>
  </si>
  <si>
    <t>1996-08-02</t>
  </si>
  <si>
    <t>1991-08-02</t>
  </si>
  <si>
    <t>1996-08-03</t>
  </si>
  <si>
    <t>1991-08-03</t>
  </si>
  <si>
    <t>1996-08-04</t>
  </si>
  <si>
    <t>1991-08-04</t>
  </si>
  <si>
    <t>1996-08-05</t>
  </si>
  <si>
    <t>1991-08-05</t>
  </si>
  <si>
    <t>1996-08-06</t>
  </si>
  <si>
    <t>1991-08-06</t>
  </si>
  <si>
    <t>1996-08-07</t>
  </si>
  <si>
    <t>1991-08-07</t>
  </si>
  <si>
    <t>1996-08-08</t>
  </si>
  <si>
    <t>1991-08-08</t>
  </si>
  <si>
    <t>1996-08-09</t>
  </si>
  <si>
    <t>1991-08-09</t>
  </si>
  <si>
    <t>1996-08-10</t>
  </si>
  <si>
    <t>1991-08-10</t>
  </si>
  <si>
    <t>1996-08-11</t>
  </si>
  <si>
    <t>1991-08-11</t>
  </si>
  <si>
    <t>1996-08-12</t>
  </si>
  <si>
    <t>1991-08-12</t>
  </si>
  <si>
    <t>1996-08-13</t>
  </si>
  <si>
    <t>1991-08-13</t>
  </si>
  <si>
    <t>1996-08-14</t>
  </si>
  <si>
    <t>1991-08-14</t>
  </si>
  <si>
    <t>1996-08-15</t>
  </si>
  <si>
    <t>1991-08-15</t>
  </si>
  <si>
    <t>1996-08-16</t>
  </si>
  <si>
    <t>1991-08-16</t>
  </si>
  <si>
    <t>1996-08-17</t>
  </si>
  <si>
    <t>1991-08-17</t>
  </si>
  <si>
    <t>1996-08-18</t>
  </si>
  <si>
    <t>1991-08-18</t>
  </si>
  <si>
    <t>1996-08-19</t>
  </si>
  <si>
    <t>1991-08-19</t>
  </si>
  <si>
    <t>1996-08-20</t>
  </si>
  <si>
    <t>1991-08-20</t>
  </si>
  <si>
    <t>1996-08-21</t>
  </si>
  <si>
    <t>1991-08-21</t>
  </si>
  <si>
    <t>1996-08-22</t>
  </si>
  <si>
    <t>1991-08-22</t>
  </si>
  <si>
    <t>1996-08-23</t>
  </si>
  <si>
    <t>1991-08-23</t>
  </si>
  <si>
    <t>1996-08-24</t>
  </si>
  <si>
    <t>1991-08-24</t>
  </si>
  <si>
    <t>1996-08-25</t>
  </si>
  <si>
    <t>1991-08-25</t>
  </si>
  <si>
    <t>1996-08-26</t>
  </si>
  <si>
    <t>1991-08-26</t>
  </si>
  <si>
    <t>1996-08-27</t>
  </si>
  <si>
    <t>1991-08-27</t>
  </si>
  <si>
    <t>1996-08-28</t>
  </si>
  <si>
    <t>1991-08-28</t>
  </si>
  <si>
    <t>1996-08-29</t>
  </si>
  <si>
    <t>1991-08-29</t>
  </si>
  <si>
    <t>1996-08-30</t>
  </si>
  <si>
    <t>1991-08-30</t>
  </si>
  <si>
    <t>1996-08-31</t>
  </si>
  <si>
    <t>1991-08-31</t>
  </si>
  <si>
    <t>1996-09-01</t>
  </si>
  <si>
    <t>1991-09-01</t>
  </si>
  <si>
    <t>1996-09-02</t>
  </si>
  <si>
    <t>1991-09-02</t>
  </si>
  <si>
    <t>1996-09-03</t>
  </si>
  <si>
    <t>1991-09-03</t>
  </si>
  <si>
    <t>1996-09-04</t>
  </si>
  <si>
    <t>1991-09-04</t>
  </si>
  <si>
    <t>1996-09-05</t>
  </si>
  <si>
    <t>1991-09-05</t>
  </si>
  <si>
    <t>1996-09-06</t>
  </si>
  <si>
    <t>1991-09-06</t>
  </si>
  <si>
    <t>1996-09-07</t>
  </si>
  <si>
    <t>1991-09-07</t>
  </si>
  <si>
    <t>1996-09-08</t>
  </si>
  <si>
    <t>1991-09-08</t>
  </si>
  <si>
    <t>1996-09-09</t>
  </si>
  <si>
    <t>1991-09-09</t>
  </si>
  <si>
    <t>1996-09-10</t>
  </si>
  <si>
    <t>1991-09-10</t>
  </si>
  <si>
    <t>1996-09-11</t>
  </si>
  <si>
    <t>1991-09-11</t>
  </si>
  <si>
    <t>1996-09-12</t>
  </si>
  <si>
    <t>1991-09-12</t>
  </si>
  <si>
    <t>1996-09-13</t>
  </si>
  <si>
    <t>1991-09-13</t>
  </si>
  <si>
    <t>1996-09-14</t>
  </si>
  <si>
    <t>1991-09-14</t>
  </si>
  <si>
    <t>1996-09-15</t>
  </si>
  <si>
    <t>1991-09-15</t>
  </si>
  <si>
    <t>1996-09-16</t>
  </si>
  <si>
    <t>1991-09-16</t>
  </si>
  <si>
    <t>1996-09-17</t>
  </si>
  <si>
    <t>1991-09-17</t>
  </si>
  <si>
    <t>1996-09-18</t>
  </si>
  <si>
    <t>1991-09-18</t>
  </si>
  <si>
    <t>1996-09-19</t>
  </si>
  <si>
    <t>1991-09-19</t>
  </si>
  <si>
    <t>1996-09-20</t>
  </si>
  <si>
    <t>1991-09-20</t>
  </si>
  <si>
    <t>1996-09-21</t>
  </si>
  <si>
    <t>1991-09-21</t>
  </si>
  <si>
    <t>1996-09-22</t>
  </si>
  <si>
    <t>1991-09-22</t>
  </si>
  <si>
    <t>1996-09-23</t>
  </si>
  <si>
    <t>1991-09-23</t>
  </si>
  <si>
    <t>1996-09-24</t>
  </si>
  <si>
    <t>1991-09-24</t>
  </si>
  <si>
    <t>1996-09-25</t>
  </si>
  <si>
    <t>1991-09-25</t>
  </si>
  <si>
    <t>1996-09-26</t>
  </si>
  <si>
    <t>1991-09-26</t>
  </si>
  <si>
    <t>1996-09-27</t>
  </si>
  <si>
    <t>1991-09-27</t>
  </si>
  <si>
    <t>1996-09-28</t>
  </si>
  <si>
    <t>1991-09-28</t>
  </si>
  <si>
    <t>1996-09-29</t>
  </si>
  <si>
    <t>1991-09-29</t>
  </si>
  <si>
    <t>1996-09-30</t>
  </si>
  <si>
    <t>1991-09-30</t>
  </si>
  <si>
    <t>1996-10-01</t>
  </si>
  <si>
    <t>1991-10-01</t>
  </si>
  <si>
    <t>1996-10-02</t>
  </si>
  <si>
    <t>1991-10-02</t>
  </si>
  <si>
    <t>1996-10-03</t>
  </si>
  <si>
    <t>1991-10-03</t>
  </si>
  <si>
    <t>1996-10-04</t>
  </si>
  <si>
    <t>1991-10-04</t>
  </si>
  <si>
    <t>1996-10-05</t>
  </si>
  <si>
    <t>1991-10-05</t>
  </si>
  <si>
    <t>1996-10-06</t>
  </si>
  <si>
    <t>1991-10-06</t>
  </si>
  <si>
    <t>1996-10-07</t>
  </si>
  <si>
    <t>1991-10-07</t>
  </si>
  <si>
    <t>1996-10-08</t>
  </si>
  <si>
    <t>1991-10-08</t>
  </si>
  <si>
    <t>1996-10-09</t>
  </si>
  <si>
    <t>1991-10-09</t>
  </si>
  <si>
    <t>1996-10-10</t>
  </si>
  <si>
    <t>1991-10-10</t>
  </si>
  <si>
    <t>1996-10-11</t>
  </si>
  <si>
    <t>1991-10-11</t>
  </si>
  <si>
    <t>1996-10-12</t>
  </si>
  <si>
    <t>1991-10-12</t>
  </si>
  <si>
    <t>1996-10-13</t>
  </si>
  <si>
    <t>1991-10-13</t>
  </si>
  <si>
    <t>1996-10-14</t>
  </si>
  <si>
    <t>1991-10-14</t>
  </si>
  <si>
    <t>1996-10-15</t>
  </si>
  <si>
    <t>1991-10-15</t>
  </si>
  <si>
    <t>1996-10-16</t>
  </si>
  <si>
    <t>1991-10-16</t>
  </si>
  <si>
    <t>1996-10-17</t>
  </si>
  <si>
    <t>1991-10-17</t>
  </si>
  <si>
    <t>1996-10-18</t>
  </si>
  <si>
    <t>1991-10-18</t>
  </si>
  <si>
    <t>1996-10-19</t>
  </si>
  <si>
    <t>1991-10-19</t>
  </si>
  <si>
    <t>1996-10-20</t>
  </si>
  <si>
    <t>1991-10-20</t>
  </si>
  <si>
    <t>1996-10-21</t>
  </si>
  <si>
    <t>1991-10-21</t>
  </si>
  <si>
    <t>1996-10-22</t>
  </si>
  <si>
    <t>1991-10-22</t>
  </si>
  <si>
    <t>1996-10-23</t>
  </si>
  <si>
    <t>1991-10-23</t>
  </si>
  <si>
    <t>1996-10-24</t>
  </si>
  <si>
    <t>1991-10-24</t>
  </si>
  <si>
    <t>1996-10-25</t>
  </si>
  <si>
    <t>1991-10-25</t>
  </si>
  <si>
    <t>1996-10-26</t>
  </si>
  <si>
    <t>1991-10-26</t>
  </si>
  <si>
    <t>1996-10-27</t>
  </si>
  <si>
    <t>1991-10-27</t>
  </si>
  <si>
    <t>1996-10-28</t>
  </si>
  <si>
    <t>1991-10-28</t>
  </si>
  <si>
    <t>1996-10-29</t>
  </si>
  <si>
    <t>1991-10-29</t>
  </si>
  <si>
    <t>1996-10-30</t>
  </si>
  <si>
    <t>1991-10-30</t>
  </si>
  <si>
    <t>1996-10-31</t>
  </si>
  <si>
    <t>1991-10-31</t>
  </si>
  <si>
    <t>1996-11-01</t>
  </si>
  <si>
    <t>1991-11-01</t>
  </si>
  <si>
    <t>1996-11-02</t>
  </si>
  <si>
    <t>1991-11-02</t>
  </si>
  <si>
    <t>1996-11-03</t>
  </si>
  <si>
    <t>1991-11-03</t>
  </si>
  <si>
    <t>1996-11-04</t>
  </si>
  <si>
    <t>1991-11-04</t>
  </si>
  <si>
    <t>1996-11-05</t>
  </si>
  <si>
    <t>1991-11-05</t>
  </si>
  <si>
    <t>1996-11-06</t>
  </si>
  <si>
    <t>1991-11-06</t>
  </si>
  <si>
    <t>1996-11-07</t>
  </si>
  <si>
    <t>1991-11-07</t>
  </si>
  <si>
    <t>1996-11-08</t>
  </si>
  <si>
    <t>1991-11-08</t>
  </si>
  <si>
    <t>1996-11-09</t>
  </si>
  <si>
    <t>1991-11-09</t>
  </si>
  <si>
    <t>1996-11-10</t>
  </si>
  <si>
    <t>1991-11-10</t>
  </si>
  <si>
    <t>1996-11-11</t>
  </si>
  <si>
    <t>1991-11-11</t>
  </si>
  <si>
    <t>1996-11-12</t>
  </si>
  <si>
    <t>1991-11-12</t>
  </si>
  <si>
    <t>1996-11-13</t>
  </si>
  <si>
    <t>1991-11-13</t>
  </si>
  <si>
    <t>1996-11-14</t>
  </si>
  <si>
    <t>1991-11-14</t>
  </si>
  <si>
    <t>1996-11-15</t>
  </si>
  <si>
    <t>1991-11-15</t>
  </si>
  <si>
    <t>1996-11-16</t>
  </si>
  <si>
    <t>1991-11-16</t>
  </si>
  <si>
    <t>1996-11-17</t>
  </si>
  <si>
    <t>1991-11-17</t>
  </si>
  <si>
    <t>1996-11-18</t>
  </si>
  <si>
    <t>1991-11-18</t>
  </si>
  <si>
    <t>1996-11-19</t>
  </si>
  <si>
    <t>1991-11-19</t>
  </si>
  <si>
    <t>1996-11-20</t>
  </si>
  <si>
    <t>1991-11-20</t>
  </si>
  <si>
    <t>1996-11-21</t>
  </si>
  <si>
    <t>1991-11-21</t>
  </si>
  <si>
    <t>1996-11-22</t>
  </si>
  <si>
    <t>1991-11-22</t>
  </si>
  <si>
    <t>1996-11-23</t>
  </si>
  <si>
    <t>1991-11-23</t>
  </si>
  <si>
    <t>1996-11-24</t>
  </si>
  <si>
    <t>1991-11-24</t>
  </si>
  <si>
    <t>1996-11-25</t>
  </si>
  <si>
    <t>1991-11-25</t>
  </si>
  <si>
    <t>1996-11-26</t>
  </si>
  <si>
    <t>1991-11-26</t>
  </si>
  <si>
    <t>1996-11-27</t>
  </si>
  <si>
    <t>1991-11-27</t>
  </si>
  <si>
    <t>1996-11-28</t>
  </si>
  <si>
    <t>1991-11-28</t>
  </si>
  <si>
    <t>1996-11-29</t>
  </si>
  <si>
    <t>1991-11-29</t>
  </si>
  <si>
    <t>1996-11-30</t>
  </si>
  <si>
    <t>1991-11-30</t>
  </si>
  <si>
    <t>1996-12-01</t>
  </si>
  <si>
    <t>1991-12-01</t>
  </si>
  <si>
    <t>1996-12-02</t>
  </si>
  <si>
    <t>1991-12-02</t>
  </si>
  <si>
    <t>1996-12-03</t>
  </si>
  <si>
    <t>1991-12-03</t>
  </si>
  <si>
    <t>1996-12-04</t>
  </si>
  <si>
    <t>1991-12-04</t>
  </si>
  <si>
    <t>1996-12-05</t>
  </si>
  <si>
    <t>1991-12-05</t>
  </si>
  <si>
    <t>1996-12-06</t>
  </si>
  <si>
    <t>1991-12-06</t>
  </si>
  <si>
    <t>1996-12-07</t>
  </si>
  <si>
    <t>1991-12-07</t>
  </si>
  <si>
    <t>1996-12-08</t>
  </si>
  <si>
    <t>1991-12-08</t>
  </si>
  <si>
    <t>1996-12-09</t>
  </si>
  <si>
    <t>1991-12-09</t>
  </si>
  <si>
    <t>1996-12-10</t>
  </si>
  <si>
    <t>1991-12-10</t>
  </si>
  <si>
    <t>1996-12-11</t>
  </si>
  <si>
    <t>1991-12-11</t>
  </si>
  <si>
    <t>1996-12-12</t>
  </si>
  <si>
    <t>1991-12-12</t>
  </si>
  <si>
    <t>1996-12-13</t>
  </si>
  <si>
    <t>1991-12-13</t>
  </si>
  <si>
    <t>1996-12-14</t>
  </si>
  <si>
    <t>1991-12-14</t>
  </si>
  <si>
    <t>1996-12-15</t>
  </si>
  <si>
    <t>1991-12-15</t>
  </si>
  <si>
    <t>1996-12-16</t>
  </si>
  <si>
    <t>1991-12-16</t>
  </si>
  <si>
    <t>1996-12-17</t>
  </si>
  <si>
    <t>1991-12-17</t>
  </si>
  <si>
    <t>1996-12-18</t>
  </si>
  <si>
    <t>1991-12-18</t>
  </si>
  <si>
    <t>1996-12-19</t>
  </si>
  <si>
    <t>1991-12-19</t>
  </si>
  <si>
    <t>1996-12-20</t>
  </si>
  <si>
    <t>1991-12-20</t>
  </si>
  <si>
    <t>1996-12-21</t>
  </si>
  <si>
    <t>1991-12-21</t>
  </si>
  <si>
    <t>1996-12-22</t>
  </si>
  <si>
    <t>1991-12-22</t>
  </si>
  <si>
    <t>1996-12-23</t>
  </si>
  <si>
    <t>1991-12-23</t>
  </si>
  <si>
    <t>1996-12-24</t>
  </si>
  <si>
    <t>1991-12-24</t>
  </si>
  <si>
    <t>1996-12-25</t>
  </si>
  <si>
    <t>1991-12-25</t>
  </si>
  <si>
    <t>1996-12-26</t>
  </si>
  <si>
    <t>1991-12-26</t>
  </si>
  <si>
    <t>1996-12-27</t>
  </si>
  <si>
    <t>1991-12-27</t>
  </si>
  <si>
    <t>1996-12-28</t>
  </si>
  <si>
    <t>1991-12-28</t>
  </si>
  <si>
    <t>1996-12-29</t>
  </si>
  <si>
    <t>1991-12-29</t>
  </si>
  <si>
    <t>1996-12-30</t>
  </si>
  <si>
    <t>1991-12-30</t>
  </si>
  <si>
    <t>1996-12-31</t>
  </si>
  <si>
    <t>1991-12-31</t>
  </si>
  <si>
    <t>1997-01-01</t>
  </si>
  <si>
    <t>1992-01-01</t>
  </si>
  <si>
    <t>1997-01-02</t>
  </si>
  <si>
    <t>1992-01-02</t>
  </si>
  <si>
    <t>1997-01-03</t>
  </si>
  <si>
    <t>1992-01-03</t>
  </si>
  <si>
    <t>1997-01-04</t>
  </si>
  <si>
    <t>1992-01-04</t>
  </si>
  <si>
    <t>1997-01-05</t>
  </si>
  <si>
    <t>1992-01-05</t>
  </si>
  <si>
    <t>1997-01-06</t>
  </si>
  <si>
    <t>1992-01-06</t>
  </si>
  <si>
    <t>1997-01-07</t>
  </si>
  <si>
    <t>1992-01-07</t>
  </si>
  <si>
    <t>1997-01-08</t>
  </si>
  <si>
    <t>1992-01-08</t>
  </si>
  <si>
    <t>1997-01-09</t>
  </si>
  <si>
    <t>1992-01-09</t>
  </si>
  <si>
    <t>1997-01-10</t>
  </si>
  <si>
    <t>1992-01-10</t>
  </si>
  <si>
    <t>1997-01-11</t>
  </si>
  <si>
    <t>1992-01-11</t>
  </si>
  <si>
    <t>1997-01-12</t>
  </si>
  <si>
    <t>1992-01-12</t>
  </si>
  <si>
    <t>1997-01-13</t>
  </si>
  <si>
    <t>1992-01-13</t>
  </si>
  <si>
    <t>1997-01-14</t>
  </si>
  <si>
    <t>1992-01-14</t>
  </si>
  <si>
    <t>1997-01-15</t>
  </si>
  <si>
    <t>1992-01-15</t>
  </si>
  <si>
    <t>1997-01-16</t>
  </si>
  <si>
    <t>1992-01-16</t>
  </si>
  <si>
    <t>1997-01-17</t>
  </si>
  <si>
    <t>1992-01-17</t>
  </si>
  <si>
    <t>1997-01-18</t>
  </si>
  <si>
    <t>1992-01-18</t>
  </si>
  <si>
    <t>1997-01-19</t>
  </si>
  <si>
    <t>1992-01-19</t>
  </si>
  <si>
    <t>1997-01-20</t>
  </si>
  <si>
    <t>1992-01-20</t>
  </si>
  <si>
    <t>1997-01-21</t>
  </si>
  <si>
    <t>1992-01-21</t>
  </si>
  <si>
    <t>1997-01-22</t>
  </si>
  <si>
    <t>1992-01-22</t>
  </si>
  <si>
    <t>1997-01-23</t>
  </si>
  <si>
    <t>1992-01-23</t>
  </si>
  <si>
    <t>1997-01-24</t>
  </si>
  <si>
    <t>1992-01-24</t>
  </si>
  <si>
    <t>1997-01-25</t>
  </si>
  <si>
    <t>1992-01-25</t>
  </si>
  <si>
    <t>1997-01-26</t>
  </si>
  <si>
    <t>1992-01-26</t>
  </si>
  <si>
    <t>1997-01-27</t>
  </si>
  <si>
    <t>1992-01-27</t>
  </si>
  <si>
    <t>1997-01-28</t>
  </si>
  <si>
    <t>1992-01-28</t>
  </si>
  <si>
    <t>1997-01-29</t>
  </si>
  <si>
    <t>1992-01-29</t>
  </si>
  <si>
    <t>1997-01-30</t>
  </si>
  <si>
    <t>1992-01-30</t>
  </si>
  <si>
    <t>1997-01-31</t>
  </si>
  <si>
    <t>1992-01-31</t>
  </si>
  <si>
    <t>1997-02-01</t>
  </si>
  <si>
    <t>1992-02-01</t>
  </si>
  <si>
    <t>1997-02-02</t>
  </si>
  <si>
    <t>1992-02-02</t>
  </si>
  <si>
    <t>1997-02-03</t>
  </si>
  <si>
    <t>1992-02-03</t>
  </si>
  <si>
    <t>1997-02-04</t>
  </si>
  <si>
    <t>1992-02-04</t>
  </si>
  <si>
    <t>1997-02-05</t>
  </si>
  <si>
    <t>1992-02-05</t>
  </si>
  <si>
    <t>1997-02-06</t>
  </si>
  <si>
    <t>1992-02-06</t>
  </si>
  <si>
    <t>1997-02-07</t>
  </si>
  <si>
    <t>1992-02-07</t>
  </si>
  <si>
    <t>1997-02-08</t>
  </si>
  <si>
    <t>1992-02-08</t>
  </si>
  <si>
    <t>1997-02-09</t>
  </si>
  <si>
    <t>1992-02-09</t>
  </si>
  <si>
    <t>1997-02-10</t>
  </si>
  <si>
    <t>1992-02-10</t>
  </si>
  <si>
    <t>1997-02-11</t>
  </si>
  <si>
    <t>1992-02-11</t>
  </si>
  <si>
    <t>1997-02-12</t>
  </si>
  <si>
    <t>1992-02-12</t>
  </si>
  <si>
    <t>1997-02-13</t>
  </si>
  <si>
    <t>1992-02-13</t>
  </si>
  <si>
    <t>1997-02-14</t>
  </si>
  <si>
    <t>1992-02-14</t>
  </si>
  <si>
    <t>1997-02-15</t>
  </si>
  <si>
    <t>1992-02-15</t>
  </si>
  <si>
    <t>1997-02-16</t>
  </si>
  <si>
    <t>1992-02-16</t>
  </si>
  <si>
    <t>1997-02-17</t>
  </si>
  <si>
    <t>1992-02-17</t>
  </si>
  <si>
    <t>1997-02-18</t>
  </si>
  <si>
    <t>1992-02-18</t>
  </si>
  <si>
    <t>1997-02-19</t>
  </si>
  <si>
    <t>1992-02-19</t>
  </si>
  <si>
    <t>1997-02-20</t>
  </si>
  <si>
    <t>1992-02-20</t>
  </si>
  <si>
    <t>1997-02-21</t>
  </si>
  <si>
    <t>1992-02-21</t>
  </si>
  <si>
    <t>1997-02-22</t>
  </si>
  <si>
    <t>1992-02-22</t>
  </si>
  <si>
    <t>1997-02-23</t>
  </si>
  <si>
    <t>1992-02-23</t>
  </si>
  <si>
    <t>1997-02-24</t>
  </si>
  <si>
    <t>1992-02-24</t>
  </si>
  <si>
    <t>1997-02-25</t>
  </si>
  <si>
    <t>1992-02-25</t>
  </si>
  <si>
    <t>1997-02-26</t>
  </si>
  <si>
    <t>1992-02-26</t>
  </si>
  <si>
    <t>1997-02-27</t>
  </si>
  <si>
    <t>1992-02-27</t>
  </si>
  <si>
    <t>1997-02-28</t>
  </si>
  <si>
    <t>1992-02-28</t>
  </si>
  <si>
    <t>1992-02-29</t>
  </si>
  <si>
    <t>1997-03-01</t>
  </si>
  <si>
    <t>1992-03-01</t>
  </si>
  <si>
    <t>1997-03-02</t>
  </si>
  <si>
    <t>1992-03-02</t>
  </si>
  <si>
    <t>1997-03-03</t>
  </si>
  <si>
    <t>1992-03-03</t>
  </si>
  <si>
    <t>1997-03-04</t>
  </si>
  <si>
    <t>1992-03-04</t>
  </si>
  <si>
    <t>1997-03-05</t>
  </si>
  <si>
    <t>1992-03-05</t>
  </si>
  <si>
    <t>1997-03-06</t>
  </si>
  <si>
    <t>1992-03-06</t>
  </si>
  <si>
    <t>1997-03-07</t>
  </si>
  <si>
    <t>1992-03-07</t>
  </si>
  <si>
    <t>1997-03-08</t>
  </si>
  <si>
    <t>1992-03-08</t>
  </si>
  <si>
    <t>1997-03-09</t>
  </si>
  <si>
    <t>1992-03-09</t>
  </si>
  <si>
    <t>1997-03-10</t>
  </si>
  <si>
    <t>1992-03-10</t>
  </si>
  <si>
    <t>1997-03-11</t>
  </si>
  <si>
    <t>1992-03-11</t>
  </si>
  <si>
    <t>1997-03-12</t>
  </si>
  <si>
    <t>1992-03-12</t>
  </si>
  <si>
    <t>1997-03-13</t>
  </si>
  <si>
    <t>1992-03-13</t>
  </si>
  <si>
    <t>1997-03-14</t>
  </si>
  <si>
    <t>1992-03-14</t>
  </si>
  <si>
    <t>1997-03-15</t>
  </si>
  <si>
    <t>1992-03-15</t>
  </si>
  <si>
    <t>1997-03-16</t>
  </si>
  <si>
    <t>1992-03-16</t>
  </si>
  <si>
    <t>1997-03-17</t>
  </si>
  <si>
    <t>1992-03-17</t>
  </si>
  <si>
    <t>1997-03-18</t>
  </si>
  <si>
    <t>1992-03-18</t>
  </si>
  <si>
    <t>1997-03-19</t>
  </si>
  <si>
    <t>1992-03-19</t>
  </si>
  <si>
    <t>1997-03-20</t>
  </si>
  <si>
    <t>1992-03-20</t>
  </si>
  <si>
    <t>1997-03-21</t>
  </si>
  <si>
    <t>1992-03-21</t>
  </si>
  <si>
    <t>1997-03-22</t>
  </si>
  <si>
    <t>1992-03-22</t>
  </si>
  <si>
    <t>1997-03-23</t>
  </si>
  <si>
    <t>1992-03-23</t>
  </si>
  <si>
    <t>1997-03-24</t>
  </si>
  <si>
    <t>1992-03-24</t>
  </si>
  <si>
    <t>1997-03-25</t>
  </si>
  <si>
    <t>1992-03-25</t>
  </si>
  <si>
    <t>1997-03-26</t>
  </si>
  <si>
    <t>1992-03-26</t>
  </si>
  <si>
    <t>1997-03-27</t>
  </si>
  <si>
    <t>1992-03-27</t>
  </si>
  <si>
    <t>1997-03-28</t>
  </si>
  <si>
    <t>1992-03-28</t>
  </si>
  <si>
    <t>1997-03-29</t>
  </si>
  <si>
    <t>1992-03-29</t>
  </si>
  <si>
    <t>1997-03-30</t>
  </si>
  <si>
    <t>1992-03-30</t>
  </si>
  <si>
    <t>1997-03-31</t>
  </si>
  <si>
    <t>1992-03-31</t>
  </si>
  <si>
    <t>1997-04-01</t>
  </si>
  <si>
    <t>1992-04-01</t>
  </si>
  <si>
    <t>1997-04-02</t>
  </si>
  <si>
    <t>1992-04-02</t>
  </si>
  <si>
    <t>1997-04-03</t>
  </si>
  <si>
    <t>1992-04-03</t>
  </si>
  <si>
    <t>1997-04-04</t>
  </si>
  <si>
    <t>1992-04-04</t>
  </si>
  <si>
    <t>1997-04-05</t>
  </si>
  <si>
    <t>1992-04-05</t>
  </si>
  <si>
    <t>1997-04-06</t>
  </si>
  <si>
    <t>1992-04-06</t>
  </si>
  <si>
    <t>1997-04-07</t>
  </si>
  <si>
    <t>1992-04-07</t>
  </si>
  <si>
    <t>1997-04-08</t>
  </si>
  <si>
    <t>1992-04-08</t>
  </si>
  <si>
    <t>1997-04-09</t>
  </si>
  <si>
    <t>1992-04-09</t>
  </si>
  <si>
    <t>1997-04-10</t>
  </si>
  <si>
    <t>1992-04-10</t>
  </si>
  <si>
    <t>1997-04-11</t>
  </si>
  <si>
    <t>1992-04-11</t>
  </si>
  <si>
    <t>1997-04-12</t>
  </si>
  <si>
    <t>1992-04-12</t>
  </si>
  <si>
    <t>1997-04-13</t>
  </si>
  <si>
    <t>1992-04-13</t>
  </si>
  <si>
    <t>1997-04-14</t>
  </si>
  <si>
    <t>1992-04-14</t>
  </si>
  <si>
    <t>1997-04-15</t>
  </si>
  <si>
    <t>1992-04-15</t>
  </si>
  <si>
    <t>1997-04-16</t>
  </si>
  <si>
    <t>1992-04-16</t>
  </si>
  <si>
    <t>1997-04-17</t>
  </si>
  <si>
    <t>1992-04-17</t>
  </si>
  <si>
    <t>1997-04-18</t>
  </si>
  <si>
    <t>1992-04-18</t>
  </si>
  <si>
    <t>1997-04-19</t>
  </si>
  <si>
    <t>1992-04-19</t>
  </si>
  <si>
    <t>1997-04-20</t>
  </si>
  <si>
    <t>1992-04-20</t>
  </si>
  <si>
    <t>1997-04-21</t>
  </si>
  <si>
    <t>1992-04-21</t>
  </si>
  <si>
    <t>1997-04-22</t>
  </si>
  <si>
    <t>1992-04-22</t>
  </si>
  <si>
    <t>1997-04-23</t>
  </si>
  <si>
    <t>1992-04-23</t>
  </si>
  <si>
    <t>1997-04-24</t>
  </si>
  <si>
    <t>1992-04-24</t>
  </si>
  <si>
    <t>1997-04-25</t>
  </si>
  <si>
    <t>1992-04-25</t>
  </si>
  <si>
    <t>1997-04-26</t>
  </si>
  <si>
    <t>1992-04-26</t>
  </si>
  <si>
    <t>1997-04-27</t>
  </si>
  <si>
    <t>1992-04-27</t>
  </si>
  <si>
    <t>1997-04-28</t>
  </si>
  <si>
    <t>1992-04-28</t>
  </si>
  <si>
    <t>1997-04-29</t>
  </si>
  <si>
    <t>1992-04-29</t>
  </si>
  <si>
    <t>1997-04-30</t>
  </si>
  <si>
    <t>1992-04-30</t>
  </si>
  <si>
    <t>1997-05-01</t>
  </si>
  <si>
    <t>1992-05-01</t>
  </si>
  <si>
    <t>1997-05-02</t>
  </si>
  <si>
    <t>1992-05-02</t>
  </si>
  <si>
    <t>1997-05-03</t>
  </si>
  <si>
    <t>1992-05-03</t>
  </si>
  <si>
    <t>1997-05-04</t>
  </si>
  <si>
    <t>1992-05-04</t>
  </si>
  <si>
    <t>1997-05-05</t>
  </si>
  <si>
    <t>1992-05-05</t>
  </si>
  <si>
    <t>1997-05-06</t>
  </si>
  <si>
    <t>1992-05-06</t>
  </si>
  <si>
    <t>1997-05-07</t>
  </si>
  <si>
    <t>1992-05-07</t>
  </si>
  <si>
    <t>1997-05-08</t>
  </si>
  <si>
    <t>1992-05-08</t>
  </si>
  <si>
    <t>1997-05-09</t>
  </si>
  <si>
    <t>1992-05-09</t>
  </si>
  <si>
    <t>1997-05-10</t>
  </si>
  <si>
    <t>1992-05-10</t>
  </si>
  <si>
    <t>1997-05-11</t>
  </si>
  <si>
    <t>1992-05-11</t>
  </si>
  <si>
    <t>1997-05-12</t>
  </si>
  <si>
    <t>1992-05-12</t>
  </si>
  <si>
    <t>1997-05-13</t>
  </si>
  <si>
    <t>1992-05-13</t>
  </si>
  <si>
    <t>1997-05-14</t>
  </si>
  <si>
    <t>1992-05-14</t>
  </si>
  <si>
    <t>1997-05-15</t>
  </si>
  <si>
    <t>1992-05-15</t>
  </si>
  <si>
    <t>1997-05-16</t>
  </si>
  <si>
    <t>1992-05-16</t>
  </si>
  <si>
    <t>1997-05-17</t>
  </si>
  <si>
    <t>1992-05-17</t>
  </si>
  <si>
    <t>1997-05-18</t>
  </si>
  <si>
    <t>1992-05-18</t>
  </si>
  <si>
    <t>1997-05-19</t>
  </si>
  <si>
    <t>1992-05-19</t>
  </si>
  <si>
    <t>1997-05-20</t>
  </si>
  <si>
    <t>1992-05-20</t>
  </si>
  <si>
    <t>1997-05-21</t>
  </si>
  <si>
    <t>1992-05-21</t>
  </si>
  <si>
    <t>1997-05-22</t>
  </si>
  <si>
    <t>1992-05-22</t>
  </si>
  <si>
    <t>1997-05-23</t>
  </si>
  <si>
    <t>1992-05-23</t>
  </si>
  <si>
    <t>1997-05-24</t>
  </si>
  <si>
    <t>1992-05-24</t>
  </si>
  <si>
    <t>1997-05-25</t>
  </si>
  <si>
    <t>1992-05-25</t>
  </si>
  <si>
    <t>1997-05-26</t>
  </si>
  <si>
    <t>1992-05-26</t>
  </si>
  <si>
    <t>1997-05-27</t>
  </si>
  <si>
    <t>1992-05-27</t>
  </si>
  <si>
    <t>1997-05-28</t>
  </si>
  <si>
    <t>1992-05-28</t>
  </si>
  <si>
    <t>1997-05-29</t>
  </si>
  <si>
    <t>1992-05-29</t>
  </si>
  <si>
    <t>1997-05-30</t>
  </si>
  <si>
    <t>1992-05-30</t>
  </si>
  <si>
    <t>1997-05-31</t>
  </si>
  <si>
    <t>1992-05-31</t>
  </si>
  <si>
    <t>1997-06-01</t>
  </si>
  <si>
    <t>1992-06-01</t>
  </si>
  <si>
    <t>1997-06-02</t>
  </si>
  <si>
    <t>1992-06-02</t>
  </si>
  <si>
    <t>1997-06-03</t>
  </si>
  <si>
    <t>1992-06-03</t>
  </si>
  <si>
    <t>1997-06-04</t>
  </si>
  <si>
    <t>1992-06-04</t>
  </si>
  <si>
    <t>1997-06-05</t>
  </si>
  <si>
    <t>1992-06-05</t>
  </si>
  <si>
    <t>1997-06-06</t>
  </si>
  <si>
    <t>1992-06-06</t>
  </si>
  <si>
    <t>1997-06-07</t>
  </si>
  <si>
    <t>1992-06-07</t>
  </si>
  <si>
    <t>1997-06-08</t>
  </si>
  <si>
    <t>1992-06-08</t>
  </si>
  <si>
    <t>1997-06-09</t>
  </si>
  <si>
    <t>1992-06-09</t>
  </si>
  <si>
    <t>1997-06-10</t>
  </si>
  <si>
    <t>1992-06-10</t>
  </si>
  <si>
    <t>1997-06-11</t>
  </si>
  <si>
    <t>1992-06-11</t>
  </si>
  <si>
    <t>1997-06-12</t>
  </si>
  <si>
    <t>1992-06-12</t>
  </si>
  <si>
    <t>1997-06-13</t>
  </si>
  <si>
    <t>1992-06-13</t>
  </si>
  <si>
    <t>1997-06-14</t>
  </si>
  <si>
    <t>1992-06-14</t>
  </si>
  <si>
    <t>1997-06-15</t>
  </si>
  <si>
    <t>1992-06-15</t>
  </si>
  <si>
    <t>1997-06-16</t>
  </si>
  <si>
    <t>1992-06-16</t>
  </si>
  <si>
    <t>1997-06-17</t>
  </si>
  <si>
    <t>1992-06-17</t>
  </si>
  <si>
    <t>1997-06-18</t>
  </si>
  <si>
    <t>1992-06-18</t>
  </si>
  <si>
    <t>1997-06-19</t>
  </si>
  <si>
    <t>1992-06-19</t>
  </si>
  <si>
    <t>1997-06-20</t>
  </si>
  <si>
    <t>1992-06-20</t>
  </si>
  <si>
    <t>1997-06-21</t>
  </si>
  <si>
    <t>1992-06-21</t>
  </si>
  <si>
    <t>1997-06-22</t>
  </si>
  <si>
    <t>1992-06-22</t>
  </si>
  <si>
    <t>1997-06-23</t>
  </si>
  <si>
    <t>1992-06-23</t>
  </si>
  <si>
    <t>1997-06-24</t>
  </si>
  <si>
    <t>1992-06-24</t>
  </si>
  <si>
    <t>1997-06-25</t>
  </si>
  <si>
    <t>1992-06-25</t>
  </si>
  <si>
    <t>1997-06-26</t>
  </si>
  <si>
    <t>1992-06-26</t>
  </si>
  <si>
    <t>1997-06-27</t>
  </si>
  <si>
    <t>1992-06-27</t>
  </si>
  <si>
    <t>1997-06-28</t>
  </si>
  <si>
    <t>1992-06-28</t>
  </si>
  <si>
    <t>1997-06-29</t>
  </si>
  <si>
    <t>1992-06-29</t>
  </si>
  <si>
    <t>1997-06-30</t>
  </si>
  <si>
    <t>1992-06-30</t>
  </si>
  <si>
    <t>1997-07-01</t>
  </si>
  <si>
    <t>1992-07-01</t>
  </si>
  <si>
    <t>1997-07-02</t>
  </si>
  <si>
    <t>1992-07-02</t>
  </si>
  <si>
    <t>1997-07-03</t>
  </si>
  <si>
    <t>1992-07-03</t>
  </si>
  <si>
    <t>1997-07-04</t>
  </si>
  <si>
    <t>1992-07-04</t>
  </si>
  <si>
    <t>1997-07-05</t>
  </si>
  <si>
    <t>1992-07-05</t>
  </si>
  <si>
    <t>1997-07-06</t>
  </si>
  <si>
    <t>1992-07-06</t>
  </si>
  <si>
    <t>1997-07-07</t>
  </si>
  <si>
    <t>1992-07-07</t>
  </si>
  <si>
    <t>1997-07-08</t>
  </si>
  <si>
    <t>1992-07-08</t>
  </si>
  <si>
    <t>1997-07-09</t>
  </si>
  <si>
    <t>1992-07-09</t>
  </si>
  <si>
    <t>1997-07-10</t>
  </si>
  <si>
    <t>1992-07-10</t>
  </si>
  <si>
    <t>1997-07-11</t>
  </si>
  <si>
    <t>1992-07-11</t>
  </si>
  <si>
    <t>1997-07-12</t>
  </si>
  <si>
    <t>1992-07-12</t>
  </si>
  <si>
    <t>1997-07-13</t>
  </si>
  <si>
    <t>1992-07-13</t>
  </si>
  <si>
    <t>1997-07-14</t>
  </si>
  <si>
    <t>1992-07-14</t>
  </si>
  <si>
    <t>1997-07-15</t>
  </si>
  <si>
    <t>1992-07-15</t>
  </si>
  <si>
    <t>1997-07-16</t>
  </si>
  <si>
    <t>1992-07-16</t>
  </si>
  <si>
    <t>1997-07-17</t>
  </si>
  <si>
    <t>1992-07-17</t>
  </si>
  <si>
    <t>1997-07-18</t>
  </si>
  <si>
    <t>1992-07-18</t>
  </si>
  <si>
    <t>1997-07-19</t>
  </si>
  <si>
    <t>1992-07-19</t>
  </si>
  <si>
    <t>1997-07-20</t>
  </si>
  <si>
    <t>1992-07-20</t>
  </si>
  <si>
    <t>1997-07-21</t>
  </si>
  <si>
    <t>1992-07-21</t>
  </si>
  <si>
    <t>1997-07-22</t>
  </si>
  <si>
    <t>1992-07-22</t>
  </si>
  <si>
    <t>1997-07-23</t>
  </si>
  <si>
    <t>1992-07-23</t>
  </si>
  <si>
    <t>1997-07-24</t>
  </si>
  <si>
    <t>1992-07-24</t>
  </si>
  <si>
    <t>1997-07-25</t>
  </si>
  <si>
    <t>1992-07-25</t>
  </si>
  <si>
    <t>1997-07-26</t>
  </si>
  <si>
    <t>1992-07-26</t>
  </si>
  <si>
    <t>1997-07-27</t>
  </si>
  <si>
    <t>1992-07-27</t>
  </si>
  <si>
    <t>1997-07-28</t>
  </si>
  <si>
    <t>1992-07-28</t>
  </si>
  <si>
    <t>1997-07-29</t>
  </si>
  <si>
    <t>1992-07-29</t>
  </si>
  <si>
    <t>1997-07-30</t>
  </si>
  <si>
    <t>1992-07-30</t>
  </si>
  <si>
    <t>1997-07-31</t>
  </si>
  <si>
    <t>1992-07-31</t>
  </si>
  <si>
    <t>1997-08-01</t>
  </si>
  <si>
    <t>1992-08-01</t>
  </si>
  <si>
    <t>1997-08-02</t>
  </si>
  <si>
    <t>1992-08-02</t>
  </si>
  <si>
    <t>1997-08-03</t>
  </si>
  <si>
    <t>1992-08-03</t>
  </si>
  <si>
    <t>1997-08-04</t>
  </si>
  <si>
    <t>1992-08-04</t>
  </si>
  <si>
    <t>1997-08-05</t>
  </si>
  <si>
    <t>1992-08-05</t>
  </si>
  <si>
    <t>1997-08-06</t>
  </si>
  <si>
    <t>1992-08-06</t>
  </si>
  <si>
    <t>1997-08-07</t>
  </si>
  <si>
    <t>1992-08-07</t>
  </si>
  <si>
    <t>1997-08-08</t>
  </si>
  <si>
    <t>1992-08-08</t>
  </si>
  <si>
    <t>1997-08-09</t>
  </si>
  <si>
    <t>1992-08-09</t>
  </si>
  <si>
    <t>1997-08-10</t>
  </si>
  <si>
    <t>1992-08-10</t>
  </si>
  <si>
    <t>1997-08-11</t>
  </si>
  <si>
    <t>1992-08-11</t>
  </si>
  <si>
    <t>1997-08-12</t>
  </si>
  <si>
    <t>1992-08-12</t>
  </si>
  <si>
    <t>1997-08-13</t>
  </si>
  <si>
    <t>1992-08-13</t>
  </si>
  <si>
    <t>1997-08-14</t>
  </si>
  <si>
    <t>1992-08-14</t>
  </si>
  <si>
    <t>1997-08-15</t>
  </si>
  <si>
    <t>1992-08-15</t>
  </si>
  <si>
    <t>1997-08-16</t>
  </si>
  <si>
    <t>1992-08-16</t>
  </si>
  <si>
    <t>1997-08-17</t>
  </si>
  <si>
    <t>1992-08-17</t>
  </si>
  <si>
    <t>1997-08-18</t>
  </si>
  <si>
    <t>1992-08-18</t>
  </si>
  <si>
    <t>1997-08-19</t>
  </si>
  <si>
    <t>1992-08-19</t>
  </si>
  <si>
    <t>1997-08-20</t>
  </si>
  <si>
    <t>1992-08-20</t>
  </si>
  <si>
    <t>1997-08-21</t>
  </si>
  <si>
    <t>1992-08-21</t>
  </si>
  <si>
    <t>1997-08-22</t>
  </si>
  <si>
    <t>1992-08-22</t>
  </si>
  <si>
    <t>1997-08-23</t>
  </si>
  <si>
    <t>1992-08-23</t>
  </si>
  <si>
    <t>1997-08-24</t>
  </si>
  <si>
    <t>1992-08-24</t>
  </si>
  <si>
    <t>1997-08-25</t>
  </si>
  <si>
    <t>1992-08-25</t>
  </si>
  <si>
    <t>1997-08-26</t>
  </si>
  <si>
    <t>1992-08-26</t>
  </si>
  <si>
    <t>1997-08-27</t>
  </si>
  <si>
    <t>1992-08-27</t>
  </si>
  <si>
    <t>1997-08-28</t>
  </si>
  <si>
    <t>1992-08-28</t>
  </si>
  <si>
    <t>1997-08-29</t>
  </si>
  <si>
    <t>1992-08-29</t>
  </si>
  <si>
    <t>1997-08-30</t>
  </si>
  <si>
    <t>1992-08-30</t>
  </si>
  <si>
    <t>1997-08-31</t>
  </si>
  <si>
    <t>1992-08-31</t>
  </si>
  <si>
    <t>1997-09-01</t>
  </si>
  <si>
    <t>1992-09-01</t>
  </si>
  <si>
    <t>1997-09-02</t>
  </si>
  <si>
    <t>1992-09-02</t>
  </si>
  <si>
    <t>1997-09-03</t>
  </si>
  <si>
    <t>1992-09-03</t>
  </si>
  <si>
    <t>1997-09-04</t>
  </si>
  <si>
    <t>1992-09-04</t>
  </si>
  <si>
    <t>1997-09-05</t>
  </si>
  <si>
    <t>1992-09-05</t>
  </si>
  <si>
    <t>1997-09-06</t>
  </si>
  <si>
    <t>1992-09-06</t>
  </si>
  <si>
    <t>1997-09-07</t>
  </si>
  <si>
    <t>1992-09-07</t>
  </si>
  <si>
    <t>1997-09-08</t>
  </si>
  <si>
    <t>1992-09-08</t>
  </si>
  <si>
    <t>1997-09-09</t>
  </si>
  <si>
    <t>1992-09-09</t>
  </si>
  <si>
    <t>1997-09-10</t>
  </si>
  <si>
    <t>1992-09-10</t>
  </si>
  <si>
    <t>1997-09-11</t>
  </si>
  <si>
    <t>1992-09-11</t>
  </si>
  <si>
    <t>1997-09-12</t>
  </si>
  <si>
    <t>1992-09-12</t>
  </si>
  <si>
    <t>1997-09-13</t>
  </si>
  <si>
    <t>1992-09-13</t>
  </si>
  <si>
    <t>1997-09-14</t>
  </si>
  <si>
    <t>1992-09-14</t>
  </si>
  <si>
    <t>1997-09-15</t>
  </si>
  <si>
    <t>1992-09-15</t>
  </si>
  <si>
    <t>1997-09-16</t>
  </si>
  <si>
    <t>1992-09-16</t>
  </si>
  <si>
    <t>1997-09-17</t>
  </si>
  <si>
    <t>1992-09-17</t>
  </si>
  <si>
    <t>1997-09-18</t>
  </si>
  <si>
    <t>1992-09-18</t>
  </si>
  <si>
    <t>1997-09-19</t>
  </si>
  <si>
    <t>1992-09-19</t>
  </si>
  <si>
    <t>1997-09-20</t>
  </si>
  <si>
    <t>1992-09-20</t>
  </si>
  <si>
    <t>1997-09-21</t>
  </si>
  <si>
    <t>1992-09-21</t>
  </si>
  <si>
    <t>1997-09-22</t>
  </si>
  <si>
    <t>1992-09-22</t>
  </si>
  <si>
    <t>1997-09-23</t>
  </si>
  <si>
    <t>1992-09-23</t>
  </si>
  <si>
    <t>1997-09-24</t>
  </si>
  <si>
    <t>1992-09-24</t>
  </si>
  <si>
    <t>1997-09-25</t>
  </si>
  <si>
    <t>1992-09-25</t>
  </si>
  <si>
    <t>1997-09-26</t>
  </si>
  <si>
    <t>1992-09-26</t>
  </si>
  <si>
    <t>1997-09-27</t>
  </si>
  <si>
    <t>1992-09-27</t>
  </si>
  <si>
    <t>1997-09-28</t>
  </si>
  <si>
    <t>1992-09-28</t>
  </si>
  <si>
    <t>1997-09-29</t>
  </si>
  <si>
    <t>1992-09-29</t>
  </si>
  <si>
    <t>1997-09-30</t>
  </si>
  <si>
    <t>1992-09-30</t>
  </si>
  <si>
    <t>1997-10-01</t>
  </si>
  <si>
    <t>1992-10-01</t>
  </si>
  <si>
    <t>1997-10-02</t>
  </si>
  <si>
    <t>1992-10-02</t>
  </si>
  <si>
    <t>1997-10-03</t>
  </si>
  <si>
    <t>1992-10-03</t>
  </si>
  <si>
    <t>1997-10-04</t>
  </si>
  <si>
    <t>1992-10-04</t>
  </si>
  <si>
    <t>1997-10-05</t>
  </si>
  <si>
    <t>1992-10-05</t>
  </si>
  <si>
    <t>1997-10-06</t>
  </si>
  <si>
    <t>1992-10-06</t>
  </si>
  <si>
    <t>1997-10-07</t>
  </si>
  <si>
    <t>1992-10-07</t>
  </si>
  <si>
    <t>1997-10-08</t>
  </si>
  <si>
    <t>1992-10-08</t>
  </si>
  <si>
    <t>1997-10-09</t>
  </si>
  <si>
    <t>1992-10-09</t>
  </si>
  <si>
    <t>1997-10-10</t>
  </si>
  <si>
    <t>1992-10-10</t>
  </si>
  <si>
    <t>1997-10-11</t>
  </si>
  <si>
    <t>1992-10-11</t>
  </si>
  <si>
    <t>1997-10-12</t>
  </si>
  <si>
    <t>1992-10-12</t>
  </si>
  <si>
    <t>1997-10-13</t>
  </si>
  <si>
    <t>1992-10-13</t>
  </si>
  <si>
    <t>1997-10-14</t>
  </si>
  <si>
    <t>1992-10-14</t>
  </si>
  <si>
    <t>1997-10-15</t>
  </si>
  <si>
    <t>1992-10-15</t>
  </si>
  <si>
    <t>1997-10-16</t>
  </si>
  <si>
    <t>1992-10-16</t>
  </si>
  <si>
    <t>1997-10-17</t>
  </si>
  <si>
    <t>1992-10-17</t>
  </si>
  <si>
    <t>1997-10-18</t>
  </si>
  <si>
    <t>1992-10-18</t>
  </si>
  <si>
    <t>1997-10-19</t>
  </si>
  <si>
    <t>1992-10-19</t>
  </si>
  <si>
    <t>1997-10-20</t>
  </si>
  <si>
    <t>1992-10-20</t>
  </si>
  <si>
    <t>1997-10-21</t>
  </si>
  <si>
    <t>1992-10-21</t>
  </si>
  <si>
    <t>1997-10-22</t>
  </si>
  <si>
    <t>1992-10-22</t>
  </si>
  <si>
    <t>1997-10-23</t>
  </si>
  <si>
    <t>1992-10-23</t>
  </si>
  <si>
    <t>1997-10-24</t>
  </si>
  <si>
    <t>1992-10-24</t>
  </si>
  <si>
    <t>1997-10-25</t>
  </si>
  <si>
    <t>1992-10-25</t>
  </si>
  <si>
    <t>1997-10-26</t>
  </si>
  <si>
    <t>1992-10-26</t>
  </si>
  <si>
    <t>1997-10-27</t>
  </si>
  <si>
    <t>1992-10-27</t>
  </si>
  <si>
    <t>1997-10-28</t>
  </si>
  <si>
    <t>1992-10-28</t>
  </si>
  <si>
    <t>1997-10-29</t>
  </si>
  <si>
    <t>1992-10-29</t>
  </si>
  <si>
    <t>1997-10-30</t>
  </si>
  <si>
    <t>1992-10-30</t>
  </si>
  <si>
    <t>1997-10-31</t>
  </si>
  <si>
    <t>1992-10-31</t>
  </si>
  <si>
    <t>1997-11-01</t>
  </si>
  <si>
    <t>1992-11-01</t>
  </si>
  <si>
    <t>1997-11-02</t>
  </si>
  <si>
    <t>1992-11-02</t>
  </si>
  <si>
    <t>1997-11-03</t>
  </si>
  <si>
    <t>1992-11-03</t>
  </si>
  <si>
    <t>1997-11-04</t>
  </si>
  <si>
    <t>1992-11-04</t>
  </si>
  <si>
    <t>1997-11-05</t>
  </si>
  <si>
    <t>1992-11-05</t>
  </si>
  <si>
    <t>1997-11-06</t>
  </si>
  <si>
    <t>1992-11-06</t>
  </si>
  <si>
    <t>1997-11-07</t>
  </si>
  <si>
    <t>1992-11-07</t>
  </si>
  <si>
    <t>1997-11-08</t>
  </si>
  <si>
    <t>1992-11-08</t>
  </si>
  <si>
    <t>1997-11-09</t>
  </si>
  <si>
    <t>1992-11-09</t>
  </si>
  <si>
    <t>1997-11-10</t>
  </si>
  <si>
    <t>1992-11-10</t>
  </si>
  <si>
    <t>1997-11-11</t>
  </si>
  <si>
    <t>1992-11-11</t>
  </si>
  <si>
    <t>1997-11-12</t>
  </si>
  <si>
    <t>1992-11-12</t>
  </si>
  <si>
    <t>1997-11-13</t>
  </si>
  <si>
    <t>1992-11-13</t>
  </si>
  <si>
    <t>1997-11-14</t>
  </si>
  <si>
    <t>1992-11-14</t>
  </si>
  <si>
    <t>1997-11-15</t>
  </si>
  <si>
    <t>1992-11-15</t>
  </si>
  <si>
    <t>1997-11-16</t>
  </si>
  <si>
    <t>1992-11-16</t>
  </si>
  <si>
    <t>1997-11-17</t>
  </si>
  <si>
    <t>1992-11-17</t>
  </si>
  <si>
    <t>1997-11-18</t>
  </si>
  <si>
    <t>1992-11-18</t>
  </si>
  <si>
    <t>1997-11-19</t>
  </si>
  <si>
    <t>1992-11-19</t>
  </si>
  <si>
    <t>1997-11-20</t>
  </si>
  <si>
    <t>1992-11-20</t>
  </si>
  <si>
    <t>1997-11-21</t>
  </si>
  <si>
    <t>1992-11-21</t>
  </si>
  <si>
    <t>1997-11-22</t>
  </si>
  <si>
    <t>1992-11-22</t>
  </si>
  <si>
    <t>1997-11-23</t>
  </si>
  <si>
    <t>1992-11-23</t>
  </si>
  <si>
    <t>1997-11-24</t>
  </si>
  <si>
    <t>1992-11-24</t>
  </si>
  <si>
    <t>1997-11-25</t>
  </si>
  <si>
    <t>1992-11-25</t>
  </si>
  <si>
    <t>1997-11-26</t>
  </si>
  <si>
    <t>1992-11-26</t>
  </si>
  <si>
    <t>1997-11-27</t>
  </si>
  <si>
    <t>1992-11-27</t>
  </si>
  <si>
    <t>1997-11-28</t>
  </si>
  <si>
    <t>1992-11-28</t>
  </si>
  <si>
    <t>1997-11-29</t>
  </si>
  <si>
    <t>1992-11-29</t>
  </si>
  <si>
    <t>1997-11-30</t>
  </si>
  <si>
    <t>1992-11-30</t>
  </si>
  <si>
    <t>1997-12-01</t>
  </si>
  <si>
    <t>1992-12-01</t>
  </si>
  <si>
    <t>1997-12-02</t>
  </si>
  <si>
    <t>1992-12-02</t>
  </si>
  <si>
    <t>1997-12-03</t>
  </si>
  <si>
    <t>1992-12-03</t>
  </si>
  <si>
    <t>1997-12-04</t>
  </si>
  <si>
    <t>1992-12-04</t>
  </si>
  <si>
    <t>1997-12-05</t>
  </si>
  <si>
    <t>1992-12-05</t>
  </si>
  <si>
    <t>1997-12-06</t>
  </si>
  <si>
    <t>1992-12-06</t>
  </si>
  <si>
    <t>1997-12-07</t>
  </si>
  <si>
    <t>1992-12-07</t>
  </si>
  <si>
    <t>1997-12-08</t>
  </si>
  <si>
    <t>1992-12-08</t>
  </si>
  <si>
    <t>1997-12-09</t>
  </si>
  <si>
    <t>1992-12-09</t>
  </si>
  <si>
    <t>1997-12-10</t>
  </si>
  <si>
    <t>1992-12-10</t>
  </si>
  <si>
    <t>1997-12-11</t>
  </si>
  <si>
    <t>1992-12-11</t>
  </si>
  <si>
    <t>1997-12-12</t>
  </si>
  <si>
    <t>1992-12-12</t>
  </si>
  <si>
    <t>1997-12-13</t>
  </si>
  <si>
    <t>1992-12-13</t>
  </si>
  <si>
    <t>1997-12-14</t>
  </si>
  <si>
    <t>1992-12-14</t>
  </si>
  <si>
    <t>1997-12-15</t>
  </si>
  <si>
    <t>1992-12-15</t>
  </si>
  <si>
    <t>1997-12-16</t>
  </si>
  <si>
    <t>1992-12-16</t>
  </si>
  <si>
    <t>1997-12-17</t>
  </si>
  <si>
    <t>1992-12-17</t>
  </si>
  <si>
    <t>1997-12-18</t>
  </si>
  <si>
    <t>1992-12-18</t>
  </si>
  <si>
    <t>1997-12-19</t>
  </si>
  <si>
    <t>1992-12-19</t>
  </si>
  <si>
    <t>1997-12-20</t>
  </si>
  <si>
    <t>1992-12-20</t>
  </si>
  <si>
    <t>1997-12-21</t>
  </si>
  <si>
    <t>1992-12-21</t>
  </si>
  <si>
    <t>1997-12-22</t>
  </si>
  <si>
    <t>1992-12-22</t>
  </si>
  <si>
    <t>1997-12-23</t>
  </si>
  <si>
    <t>1992-12-23</t>
  </si>
  <si>
    <t>1997-12-24</t>
  </si>
  <si>
    <t>1992-12-24</t>
  </si>
  <si>
    <t>1997-12-25</t>
  </si>
  <si>
    <t>1992-12-25</t>
  </si>
  <si>
    <t>1997-12-26</t>
  </si>
  <si>
    <t>1992-12-26</t>
  </si>
  <si>
    <t>1997-12-27</t>
  </si>
  <si>
    <t>1992-12-27</t>
  </si>
  <si>
    <t>1997-12-28</t>
  </si>
  <si>
    <t>1992-12-28</t>
  </si>
  <si>
    <t>1997-12-29</t>
  </si>
  <si>
    <t>1992-12-29</t>
  </si>
  <si>
    <t>1997-12-30</t>
  </si>
  <si>
    <t>1992-12-30</t>
  </si>
  <si>
    <t>1997-12-31</t>
  </si>
  <si>
    <t>1992-12-31</t>
  </si>
  <si>
    <t>1998-01-01</t>
  </si>
  <si>
    <t>1993-01-01</t>
  </si>
  <si>
    <t>1998-01-02</t>
  </si>
  <si>
    <t>1993-01-02</t>
  </si>
  <si>
    <t>1998-01-03</t>
  </si>
  <si>
    <t>1993-01-03</t>
  </si>
  <si>
    <t>1998-01-04</t>
  </si>
  <si>
    <t>1993-01-04</t>
  </si>
  <si>
    <t>1998-01-05</t>
  </si>
  <si>
    <t>1993-01-05</t>
  </si>
  <si>
    <t>1998-01-06</t>
  </si>
  <si>
    <t>1993-01-06</t>
  </si>
  <si>
    <t>1998-01-07</t>
  </si>
  <si>
    <t>1993-01-07</t>
  </si>
  <si>
    <t>1998-01-08</t>
  </si>
  <si>
    <t>1993-01-08</t>
  </si>
  <si>
    <t>1998-01-09</t>
  </si>
  <si>
    <t>1993-01-09</t>
  </si>
  <si>
    <t>1998-01-10</t>
  </si>
  <si>
    <t>1993-01-10</t>
  </si>
  <si>
    <t>1998-01-11</t>
  </si>
  <si>
    <t>1993-01-11</t>
  </si>
  <si>
    <t>1998-01-12</t>
  </si>
  <si>
    <t>1993-01-12</t>
  </si>
  <si>
    <t>1998-01-13</t>
  </si>
  <si>
    <t>1993-01-13</t>
  </si>
  <si>
    <t>1998-01-14</t>
  </si>
  <si>
    <t>1993-01-14</t>
  </si>
  <si>
    <t>1998-01-15</t>
  </si>
  <si>
    <t>1993-01-15</t>
  </si>
  <si>
    <t>1998-01-16</t>
  </si>
  <si>
    <t>1993-01-16</t>
  </si>
  <si>
    <t>1998-01-17</t>
  </si>
  <si>
    <t>1993-01-17</t>
  </si>
  <si>
    <t>1998-01-18</t>
  </si>
  <si>
    <t>1993-01-18</t>
  </si>
  <si>
    <t>1998-01-19</t>
  </si>
  <si>
    <t>1993-01-19</t>
  </si>
  <si>
    <t>1998-01-20</t>
  </si>
  <si>
    <t>1993-01-20</t>
  </si>
  <si>
    <t>1998-01-21</t>
  </si>
  <si>
    <t>1993-01-21</t>
  </si>
  <si>
    <t>1998-01-22</t>
  </si>
  <si>
    <t>1993-01-22</t>
  </si>
  <si>
    <t>1998-01-23</t>
  </si>
  <si>
    <t>1993-01-23</t>
  </si>
  <si>
    <t>1998-01-24</t>
  </si>
  <si>
    <t>1993-01-24</t>
  </si>
  <si>
    <t>1998-01-25</t>
  </si>
  <si>
    <t>1993-01-25</t>
  </si>
  <si>
    <t>1998-01-26</t>
  </si>
  <si>
    <t>1993-01-26</t>
  </si>
  <si>
    <t>1998-01-27</t>
  </si>
  <si>
    <t>1993-01-27</t>
  </si>
  <si>
    <t>1998-01-28</t>
  </si>
  <si>
    <t>1993-01-28</t>
  </si>
  <si>
    <t>1998-01-29</t>
  </si>
  <si>
    <t>1993-01-29</t>
  </si>
  <si>
    <t>1998-01-30</t>
  </si>
  <si>
    <t>1993-01-30</t>
  </si>
  <si>
    <t>1998-01-31</t>
  </si>
  <si>
    <t>1993-01-31</t>
  </si>
  <si>
    <t>1998-02-01</t>
  </si>
  <si>
    <t>1993-02-01</t>
  </si>
  <si>
    <t>1998-02-02</t>
  </si>
  <si>
    <t>1993-02-02</t>
  </si>
  <si>
    <t>1998-02-03</t>
  </si>
  <si>
    <t>1993-02-03</t>
  </si>
  <si>
    <t>1998-02-04</t>
  </si>
  <si>
    <t>1993-02-04</t>
  </si>
  <si>
    <t>1998-02-05</t>
  </si>
  <si>
    <t>1993-02-05</t>
  </si>
  <si>
    <t>1998-02-06</t>
  </si>
  <si>
    <t>1993-02-06</t>
  </si>
  <si>
    <t>1998-02-07</t>
  </si>
  <si>
    <t>1993-02-07</t>
  </si>
  <si>
    <t>1998-02-08</t>
  </si>
  <si>
    <t>1993-02-08</t>
  </si>
  <si>
    <t>1998-02-09</t>
  </si>
  <si>
    <t>1993-02-09</t>
  </si>
  <si>
    <t>1998-02-10</t>
  </si>
  <si>
    <t>1993-02-10</t>
  </si>
  <si>
    <t>1998-02-11</t>
  </si>
  <si>
    <t>1993-02-11</t>
  </si>
  <si>
    <t>1998-02-12</t>
  </si>
  <si>
    <t>1993-02-12</t>
  </si>
  <si>
    <t>1998-02-13</t>
  </si>
  <si>
    <t>1993-02-13</t>
  </si>
  <si>
    <t>1998-02-14</t>
  </si>
  <si>
    <t>1993-02-14</t>
  </si>
  <si>
    <t>1998-02-15</t>
  </si>
  <si>
    <t>1993-02-15</t>
  </si>
  <si>
    <t>1998-02-16</t>
  </si>
  <si>
    <t>1993-02-16</t>
  </si>
  <si>
    <t>1998-02-17</t>
  </si>
  <si>
    <t>1993-02-17</t>
  </si>
  <si>
    <t>1998-02-18</t>
  </si>
  <si>
    <t>1993-02-18</t>
  </si>
  <si>
    <t>1998-02-19</t>
  </si>
  <si>
    <t>1993-02-19</t>
  </si>
  <si>
    <t>1998-02-20</t>
  </si>
  <si>
    <t>1993-02-20</t>
  </si>
  <si>
    <t>1998-02-21</t>
  </si>
  <si>
    <t>1993-02-21</t>
  </si>
  <si>
    <t>1998-02-22</t>
  </si>
  <si>
    <t>1993-02-22</t>
  </si>
  <si>
    <t>1998-02-23</t>
  </si>
  <si>
    <t>1993-02-23</t>
  </si>
  <si>
    <t>1998-02-24</t>
  </si>
  <si>
    <t>1993-02-24</t>
  </si>
  <si>
    <t>1998-02-25</t>
  </si>
  <si>
    <t>1993-02-25</t>
  </si>
  <si>
    <t>1998-02-26</t>
  </si>
  <si>
    <t>1993-02-26</t>
  </si>
  <si>
    <t>1998-02-27</t>
  </si>
  <si>
    <t>1993-02-27</t>
  </si>
  <si>
    <t>1998-02-28</t>
  </si>
  <si>
    <t>1993-02-28</t>
  </si>
  <si>
    <t>1998-03-01</t>
  </si>
  <si>
    <t>1993-03-01</t>
  </si>
  <si>
    <t>1998-03-02</t>
  </si>
  <si>
    <t>1993-03-02</t>
  </si>
  <si>
    <t>1998-03-03</t>
  </si>
  <si>
    <t>1993-03-03</t>
  </si>
  <si>
    <t>1998-03-04</t>
  </si>
  <si>
    <t>1993-03-04</t>
  </si>
  <si>
    <t>1998-03-05</t>
  </si>
  <si>
    <t>1993-03-05</t>
  </si>
  <si>
    <t>1998-03-06</t>
  </si>
  <si>
    <t>1993-03-06</t>
  </si>
  <si>
    <t>1998-03-07</t>
  </si>
  <si>
    <t>1993-03-07</t>
  </si>
  <si>
    <t>1998-03-08</t>
  </si>
  <si>
    <t>1993-03-08</t>
  </si>
  <si>
    <t>1998-03-09</t>
  </si>
  <si>
    <t>1993-03-09</t>
  </si>
  <si>
    <t>1998-03-10</t>
  </si>
  <si>
    <t>1993-03-10</t>
  </si>
  <si>
    <t>1998-03-11</t>
  </si>
  <si>
    <t>1993-03-11</t>
  </si>
  <si>
    <t>1998-03-12</t>
  </si>
  <si>
    <t>1993-03-12</t>
  </si>
  <si>
    <t>1998-03-13</t>
  </si>
  <si>
    <t>1993-03-13</t>
  </si>
  <si>
    <t>1998-03-14</t>
  </si>
  <si>
    <t>1993-03-14</t>
  </si>
  <si>
    <t>1998-03-15</t>
  </si>
  <si>
    <t>1993-03-15</t>
  </si>
  <si>
    <t>1998-03-16</t>
  </si>
  <si>
    <t>1993-03-16</t>
  </si>
  <si>
    <t>1998-03-17</t>
  </si>
  <si>
    <t>1993-03-17</t>
  </si>
  <si>
    <t>1998-03-18</t>
  </si>
  <si>
    <t>1993-03-18</t>
  </si>
  <si>
    <t>1998-03-19</t>
  </si>
  <si>
    <t>1993-03-19</t>
  </si>
  <si>
    <t>1998-03-20</t>
  </si>
  <si>
    <t>1993-03-20</t>
  </si>
  <si>
    <t>1998-03-21</t>
  </si>
  <si>
    <t>1993-03-21</t>
  </si>
  <si>
    <t>1998-03-22</t>
  </si>
  <si>
    <t>1993-03-22</t>
  </si>
  <si>
    <t>1998-03-23</t>
  </si>
  <si>
    <t>1993-03-23</t>
  </si>
  <si>
    <t>1998-03-24</t>
  </si>
  <si>
    <t>1993-03-24</t>
  </si>
  <si>
    <t>1998-03-25</t>
  </si>
  <si>
    <t>1993-03-25</t>
  </si>
  <si>
    <t>1998-03-26</t>
  </si>
  <si>
    <t>1993-03-26</t>
  </si>
  <si>
    <t>1998-03-27</t>
  </si>
  <si>
    <t>1993-03-27</t>
  </si>
  <si>
    <t>1998-03-28</t>
  </si>
  <si>
    <t>1993-03-28</t>
  </si>
  <si>
    <t>1998-03-29</t>
  </si>
  <si>
    <t>1993-03-29</t>
  </si>
  <si>
    <t>1998-03-30</t>
  </si>
  <si>
    <t>1993-03-30</t>
  </si>
  <si>
    <t>1998-03-31</t>
  </si>
  <si>
    <t>1993-03-31</t>
  </si>
  <si>
    <t>1998-04-01</t>
  </si>
  <si>
    <t>1993-04-01</t>
  </si>
  <si>
    <t>1998-04-02</t>
  </si>
  <si>
    <t>1993-04-02</t>
  </si>
  <si>
    <t>1998-04-03</t>
  </si>
  <si>
    <t>1993-04-03</t>
  </si>
  <si>
    <t>1998-04-04</t>
  </si>
  <si>
    <t>1993-04-04</t>
  </si>
  <si>
    <t>1998-04-05</t>
  </si>
  <si>
    <t>1993-04-05</t>
  </si>
  <si>
    <t>1998-04-06</t>
  </si>
  <si>
    <t>1993-04-06</t>
  </si>
  <si>
    <t>1998-04-07</t>
  </si>
  <si>
    <t>1993-04-07</t>
  </si>
  <si>
    <t>1998-04-08</t>
  </si>
  <si>
    <t>1993-04-08</t>
  </si>
  <si>
    <t>1998-04-09</t>
  </si>
  <si>
    <t>1993-04-09</t>
  </si>
  <si>
    <t>1998-04-10</t>
  </si>
  <si>
    <t>1993-04-10</t>
  </si>
  <si>
    <t>1998-04-11</t>
  </si>
  <si>
    <t>1993-04-11</t>
  </si>
  <si>
    <t>1998-04-12</t>
  </si>
  <si>
    <t>1993-04-12</t>
  </si>
  <si>
    <t>1998-04-13</t>
  </si>
  <si>
    <t>1993-04-13</t>
  </si>
  <si>
    <t>1998-04-14</t>
  </si>
  <si>
    <t>1993-04-14</t>
  </si>
  <si>
    <t>1998-04-15</t>
  </si>
  <si>
    <t>1993-04-15</t>
  </si>
  <si>
    <t>1998-04-16</t>
  </si>
  <si>
    <t>1993-04-16</t>
  </si>
  <si>
    <t>1998-04-17</t>
  </si>
  <si>
    <t>1993-04-17</t>
  </si>
  <si>
    <t>1998-04-18</t>
  </si>
  <si>
    <t>1993-04-18</t>
  </si>
  <si>
    <t>1998-04-19</t>
  </si>
  <si>
    <t>1993-04-19</t>
  </si>
  <si>
    <t>1998-04-20</t>
  </si>
  <si>
    <t>1993-04-20</t>
  </si>
  <si>
    <t>1998-04-21</t>
  </si>
  <si>
    <t>1993-04-21</t>
  </si>
  <si>
    <t>1998-04-22</t>
  </si>
  <si>
    <t>1993-04-22</t>
  </si>
  <si>
    <t>1998-04-23</t>
  </si>
  <si>
    <t>1993-04-23</t>
  </si>
  <si>
    <t>1998-04-24</t>
  </si>
  <si>
    <t>1993-04-24</t>
  </si>
  <si>
    <t>1998-04-25</t>
  </si>
  <si>
    <t>1993-04-25</t>
  </si>
  <si>
    <t>1998-04-26</t>
  </si>
  <si>
    <t>1993-04-26</t>
  </si>
  <si>
    <t>1998-04-27</t>
  </si>
  <si>
    <t>1993-04-27</t>
  </si>
  <si>
    <t>1998-04-28</t>
  </si>
  <si>
    <t>1993-04-28</t>
  </si>
  <si>
    <t>1998-04-29</t>
  </si>
  <si>
    <t>1993-04-29</t>
  </si>
  <si>
    <t>1998-04-30</t>
  </si>
  <si>
    <t>1993-04-30</t>
  </si>
  <si>
    <t>1998-05-01</t>
  </si>
  <si>
    <t>1993-05-01</t>
  </si>
  <si>
    <t>1998-05-02</t>
  </si>
  <si>
    <t>1993-05-02</t>
  </si>
  <si>
    <t>1998-05-03</t>
  </si>
  <si>
    <t>1993-05-03</t>
  </si>
  <si>
    <t>1998-05-04</t>
  </si>
  <si>
    <t>1993-05-04</t>
  </si>
  <si>
    <t>1998-05-05</t>
  </si>
  <si>
    <t>1993-05-05</t>
  </si>
  <si>
    <t>1998-05-06</t>
  </si>
  <si>
    <t>1993-05-06</t>
  </si>
  <si>
    <t>1998-05-07</t>
  </si>
  <si>
    <t>1993-05-07</t>
  </si>
  <si>
    <t>1998-05-08</t>
  </si>
  <si>
    <t>1993-05-08</t>
  </si>
  <si>
    <t>1998-05-09</t>
  </si>
  <si>
    <t>1993-05-09</t>
  </si>
  <si>
    <t>1998-05-10</t>
  </si>
  <si>
    <t>1993-05-10</t>
  </si>
  <si>
    <t>1998-05-11</t>
  </si>
  <si>
    <t>1993-05-11</t>
  </si>
  <si>
    <t>1998-05-12</t>
  </si>
  <si>
    <t>1993-05-12</t>
  </si>
  <si>
    <t>1998-05-13</t>
  </si>
  <si>
    <t>1993-05-13</t>
  </si>
  <si>
    <t>1998-05-14</t>
  </si>
  <si>
    <t>1993-05-14</t>
  </si>
  <si>
    <t>1998-05-15</t>
  </si>
  <si>
    <t>1993-05-15</t>
  </si>
  <si>
    <t>1998-05-16</t>
  </si>
  <si>
    <t>1993-05-16</t>
  </si>
  <si>
    <t>1998-05-17</t>
  </si>
  <si>
    <t>1993-05-17</t>
  </si>
  <si>
    <t>1998-05-18</t>
  </si>
  <si>
    <t>1993-05-18</t>
  </si>
  <si>
    <t>1998-05-19</t>
  </si>
  <si>
    <t>1993-05-19</t>
  </si>
  <si>
    <t>1998-05-20</t>
  </si>
  <si>
    <t>1993-05-20</t>
  </si>
  <si>
    <t>1998-05-21</t>
  </si>
  <si>
    <t>1993-05-21</t>
  </si>
  <si>
    <t>1998-05-22</t>
  </si>
  <si>
    <t>1993-05-22</t>
  </si>
  <si>
    <t>1998-05-23</t>
  </si>
  <si>
    <t>1993-05-23</t>
  </si>
  <si>
    <t>1998-05-24</t>
  </si>
  <si>
    <t>1993-05-24</t>
  </si>
  <si>
    <t>1998-05-25</t>
  </si>
  <si>
    <t>1993-05-25</t>
  </si>
  <si>
    <t>1998-05-26</t>
  </si>
  <si>
    <t>1993-05-26</t>
  </si>
  <si>
    <t>1998-05-27</t>
  </si>
  <si>
    <t>1993-05-27</t>
  </si>
  <si>
    <t>1998-05-28</t>
  </si>
  <si>
    <t>1993-05-28</t>
  </si>
  <si>
    <t>1998-05-29</t>
  </si>
  <si>
    <t>1993-05-29</t>
  </si>
  <si>
    <t>1998-05-30</t>
  </si>
  <si>
    <t>1993-05-30</t>
  </si>
  <si>
    <t>1998-05-31</t>
  </si>
  <si>
    <t>1993-05-31</t>
  </si>
  <si>
    <t>1998-06-01</t>
  </si>
  <si>
    <t>1993-06-01</t>
  </si>
  <si>
    <t>1998-06-02</t>
  </si>
  <si>
    <t>1993-06-02</t>
  </si>
  <si>
    <t>1998-06-03</t>
  </si>
  <si>
    <t>1993-06-03</t>
  </si>
  <si>
    <t>1998-06-04</t>
  </si>
  <si>
    <t>1993-06-04</t>
  </si>
  <si>
    <t>1998-06-05</t>
  </si>
  <si>
    <t>1993-06-05</t>
  </si>
  <si>
    <t>1998-06-06</t>
  </si>
  <si>
    <t>1993-06-06</t>
  </si>
  <si>
    <t>1998-06-07</t>
  </si>
  <si>
    <t>1993-06-07</t>
  </si>
  <si>
    <t>1998-06-08</t>
  </si>
  <si>
    <t>1993-06-08</t>
  </si>
  <si>
    <t>1998-06-09</t>
  </si>
  <si>
    <t>1993-06-09</t>
  </si>
  <si>
    <t>1998-06-10</t>
  </si>
  <si>
    <t>1993-06-10</t>
  </si>
  <si>
    <t>1998-06-11</t>
  </si>
  <si>
    <t>1993-06-11</t>
  </si>
  <si>
    <t>1998-06-12</t>
  </si>
  <si>
    <t>1993-06-12</t>
  </si>
  <si>
    <t>1998-06-13</t>
  </si>
  <si>
    <t>1993-06-13</t>
  </si>
  <si>
    <t>1998-06-14</t>
  </si>
  <si>
    <t>1993-06-14</t>
  </si>
  <si>
    <t>1998-06-15</t>
  </si>
  <si>
    <t>1993-06-15</t>
  </si>
  <si>
    <t>1998-06-16</t>
  </si>
  <si>
    <t>1993-06-16</t>
  </si>
  <si>
    <t>1998-06-17</t>
  </si>
  <si>
    <t>1993-06-17</t>
  </si>
  <si>
    <t>1998-06-18</t>
  </si>
  <si>
    <t>1993-06-18</t>
  </si>
  <si>
    <t>1998-06-19</t>
  </si>
  <si>
    <t>1993-06-19</t>
  </si>
  <si>
    <t>1998-06-20</t>
  </si>
  <si>
    <t>1993-06-20</t>
  </si>
  <si>
    <t>1998-06-21</t>
  </si>
  <si>
    <t>1993-06-21</t>
  </si>
  <si>
    <t>1998-06-22</t>
  </si>
  <si>
    <t>1993-06-22</t>
  </si>
  <si>
    <t>1998-06-23</t>
  </si>
  <si>
    <t>1993-06-23</t>
  </si>
  <si>
    <t>1998-06-24</t>
  </si>
  <si>
    <t>1993-06-24</t>
  </si>
  <si>
    <t>1998-06-25</t>
  </si>
  <si>
    <t>1993-06-25</t>
  </si>
  <si>
    <t>1998-06-26</t>
  </si>
  <si>
    <t>1993-06-26</t>
  </si>
  <si>
    <t>1998-06-27</t>
  </si>
  <si>
    <t>1993-06-27</t>
  </si>
  <si>
    <t>1998-06-28</t>
  </si>
  <si>
    <t>1993-06-28</t>
  </si>
  <si>
    <t>1998-06-29</t>
  </si>
  <si>
    <t>1993-06-29</t>
  </si>
  <si>
    <t>1998-06-30</t>
  </si>
  <si>
    <t>1993-06-30</t>
  </si>
  <si>
    <t>1998-07-01</t>
  </si>
  <si>
    <t>1993-07-01</t>
  </si>
  <si>
    <t>1998-07-02</t>
  </si>
  <si>
    <t>1993-07-02</t>
  </si>
  <si>
    <t>1998-07-03</t>
  </si>
  <si>
    <t>1993-07-03</t>
  </si>
  <si>
    <t>1998-07-04</t>
  </si>
  <si>
    <t>1993-07-04</t>
  </si>
  <si>
    <t>1998-07-05</t>
  </si>
  <si>
    <t>1993-07-05</t>
  </si>
  <si>
    <t>1998-07-06</t>
  </si>
  <si>
    <t>1993-07-06</t>
  </si>
  <si>
    <t>1998-07-07</t>
  </si>
  <si>
    <t>1993-07-07</t>
  </si>
  <si>
    <t>1998-07-08</t>
  </si>
  <si>
    <t>1993-07-08</t>
  </si>
  <si>
    <t>1998-07-09</t>
  </si>
  <si>
    <t>1993-07-09</t>
  </si>
  <si>
    <t>1998-07-10</t>
  </si>
  <si>
    <t>1993-07-10</t>
  </si>
  <si>
    <t>1998-07-11</t>
  </si>
  <si>
    <t>1993-07-11</t>
  </si>
  <si>
    <t>1998-07-12</t>
  </si>
  <si>
    <t>1993-07-12</t>
  </si>
  <si>
    <t>1998-07-13</t>
  </si>
  <si>
    <t>1993-07-13</t>
  </si>
  <si>
    <t>1998-07-14</t>
  </si>
  <si>
    <t>1993-07-14</t>
  </si>
  <si>
    <t>1998-07-15</t>
  </si>
  <si>
    <t>1993-07-15</t>
  </si>
  <si>
    <t>1998-07-16</t>
  </si>
  <si>
    <t>1993-07-16</t>
  </si>
  <si>
    <t>1998-07-17</t>
  </si>
  <si>
    <t>1993-07-17</t>
  </si>
  <si>
    <t>1998-07-18</t>
  </si>
  <si>
    <t>1993-07-18</t>
  </si>
  <si>
    <t>1998-07-19</t>
  </si>
  <si>
    <t>1993-07-19</t>
  </si>
  <si>
    <t>1998-07-20</t>
  </si>
  <si>
    <t>1993-07-20</t>
  </si>
  <si>
    <t>1998-07-21</t>
  </si>
  <si>
    <t>1993-07-21</t>
  </si>
  <si>
    <t>1998-07-22</t>
  </si>
  <si>
    <t>1993-07-22</t>
  </si>
  <si>
    <t>1998-07-23</t>
  </si>
  <si>
    <t>1993-07-23</t>
  </si>
  <si>
    <t>1998-07-24</t>
  </si>
  <si>
    <t>1993-07-24</t>
  </si>
  <si>
    <t>1998-07-25</t>
  </si>
  <si>
    <t>1993-07-25</t>
  </si>
  <si>
    <t>1998-07-26</t>
  </si>
  <si>
    <t>1993-07-26</t>
  </si>
  <si>
    <t>1998-07-27</t>
  </si>
  <si>
    <t>1993-07-27</t>
  </si>
  <si>
    <t>1998-07-28</t>
  </si>
  <si>
    <t>1993-07-28</t>
  </si>
  <si>
    <t>1998-07-29</t>
  </si>
  <si>
    <t>1993-07-29</t>
  </si>
  <si>
    <t>1998-07-30</t>
  </si>
  <si>
    <t>1993-07-30</t>
  </si>
  <si>
    <t>1998-07-31</t>
  </si>
  <si>
    <t>1993-07-31</t>
  </si>
  <si>
    <t>1998-08-01</t>
  </si>
  <si>
    <t>1993-08-01</t>
  </si>
  <si>
    <t>1998-08-02</t>
  </si>
  <si>
    <t>1993-08-02</t>
  </si>
  <si>
    <t>1998-08-03</t>
  </si>
  <si>
    <t>1993-08-03</t>
  </si>
  <si>
    <t>1998-08-04</t>
  </si>
  <si>
    <t>1993-08-04</t>
  </si>
  <si>
    <t>1998-08-05</t>
  </si>
  <si>
    <t>1993-08-05</t>
  </si>
  <si>
    <t>1998-08-06</t>
  </si>
  <si>
    <t>1993-08-06</t>
  </si>
  <si>
    <t>1998-08-07</t>
  </si>
  <si>
    <t>1993-08-07</t>
  </si>
  <si>
    <t>1998-08-08</t>
  </si>
  <si>
    <t>1993-08-08</t>
  </si>
  <si>
    <t>1998-08-09</t>
  </si>
  <si>
    <t>1993-08-09</t>
  </si>
  <si>
    <t>1998-08-10</t>
  </si>
  <si>
    <t>1993-08-10</t>
  </si>
  <si>
    <t>1998-08-11</t>
  </si>
  <si>
    <t>1993-08-11</t>
  </si>
  <si>
    <t>1998-08-12</t>
  </si>
  <si>
    <t>1993-08-12</t>
  </si>
  <si>
    <t>1998-08-13</t>
  </si>
  <si>
    <t>1993-08-13</t>
  </si>
  <si>
    <t>1998-08-14</t>
  </si>
  <si>
    <t>1993-08-14</t>
  </si>
  <si>
    <t>1998-08-15</t>
  </si>
  <si>
    <t>1993-08-15</t>
  </si>
  <si>
    <t>1998-08-16</t>
  </si>
  <si>
    <t>1993-08-16</t>
  </si>
  <si>
    <t>1998-08-17</t>
  </si>
  <si>
    <t>1993-08-17</t>
  </si>
  <si>
    <t>1998-08-18</t>
  </si>
  <si>
    <t>1993-08-18</t>
  </si>
  <si>
    <t>1998-08-19</t>
  </si>
  <si>
    <t>1993-08-19</t>
  </si>
  <si>
    <t>1998-08-20</t>
  </si>
  <si>
    <t>1993-08-20</t>
  </si>
  <si>
    <t>1998-08-21</t>
  </si>
  <si>
    <t>1993-08-21</t>
  </si>
  <si>
    <t>1998-08-22</t>
  </si>
  <si>
    <t>1993-08-22</t>
  </si>
  <si>
    <t>1998-08-23</t>
  </si>
  <si>
    <t>1993-08-23</t>
  </si>
  <si>
    <t>1998-08-24</t>
  </si>
  <si>
    <t>1993-08-24</t>
  </si>
  <si>
    <t>1998-08-25</t>
  </si>
  <si>
    <t>1993-08-25</t>
  </si>
  <si>
    <t>1998-08-26</t>
  </si>
  <si>
    <t>1993-08-26</t>
  </si>
  <si>
    <t>1998-08-27</t>
  </si>
  <si>
    <t>1993-08-27</t>
  </si>
  <si>
    <t>1998-08-28</t>
  </si>
  <si>
    <t>1993-08-28</t>
  </si>
  <si>
    <t>1998-08-29</t>
  </si>
  <si>
    <t>1993-08-29</t>
  </si>
  <si>
    <t>1998-08-30</t>
  </si>
  <si>
    <t>1993-08-30</t>
  </si>
  <si>
    <t>1998-08-31</t>
  </si>
  <si>
    <t>1993-08-31</t>
  </si>
  <si>
    <t>1998-09-01</t>
  </si>
  <si>
    <t>1993-09-01</t>
  </si>
  <si>
    <t>1998-09-02</t>
  </si>
  <si>
    <t>1993-09-02</t>
  </si>
  <si>
    <t>1998-09-03</t>
  </si>
  <si>
    <t>1993-09-03</t>
  </si>
  <si>
    <t>1998-09-04</t>
  </si>
  <si>
    <t>1993-09-04</t>
  </si>
  <si>
    <t>1998-09-05</t>
  </si>
  <si>
    <t>1993-09-05</t>
  </si>
  <si>
    <t>1998-09-06</t>
  </si>
  <si>
    <t>1993-09-06</t>
  </si>
  <si>
    <t>1998-09-07</t>
  </si>
  <si>
    <t>1993-09-07</t>
  </si>
  <si>
    <t>1998-09-08</t>
  </si>
  <si>
    <t>1993-09-08</t>
  </si>
  <si>
    <t>1998-09-09</t>
  </si>
  <si>
    <t>1993-09-09</t>
  </si>
  <si>
    <t>1998-09-10</t>
  </si>
  <si>
    <t>1993-09-10</t>
  </si>
  <si>
    <t>1998-09-11</t>
  </si>
  <si>
    <t>1993-09-11</t>
  </si>
  <si>
    <t>1998-09-12</t>
  </si>
  <si>
    <t>1993-09-12</t>
  </si>
  <si>
    <t>1998-09-13</t>
  </si>
  <si>
    <t>1993-09-13</t>
  </si>
  <si>
    <t>1998-09-14</t>
  </si>
  <si>
    <t>1993-09-14</t>
  </si>
  <si>
    <t>1998-09-15</t>
  </si>
  <si>
    <t>1993-09-15</t>
  </si>
  <si>
    <t>1998-09-16</t>
  </si>
  <si>
    <t>1993-09-16</t>
  </si>
  <si>
    <t>1998-09-17</t>
  </si>
  <si>
    <t>1993-09-17</t>
  </si>
  <si>
    <t>1998-09-18</t>
  </si>
  <si>
    <t>1993-09-18</t>
  </si>
  <si>
    <t>1998-09-19</t>
  </si>
  <si>
    <t>1993-09-19</t>
  </si>
  <si>
    <t>1998-09-20</t>
  </si>
  <si>
    <t>1993-09-20</t>
  </si>
  <si>
    <t>1998-09-21</t>
  </si>
  <si>
    <t>1993-09-21</t>
  </si>
  <si>
    <t>1998-09-22</t>
  </si>
  <si>
    <t>1993-09-22</t>
  </si>
  <si>
    <t>1998-09-23</t>
  </si>
  <si>
    <t>1993-09-23</t>
  </si>
  <si>
    <t>1998-09-24</t>
  </si>
  <si>
    <t>1993-09-24</t>
  </si>
  <si>
    <t>1998-09-25</t>
  </si>
  <si>
    <t>1993-09-25</t>
  </si>
  <si>
    <t>1998-09-26</t>
  </si>
  <si>
    <t>1993-09-26</t>
  </si>
  <si>
    <t>1998-09-27</t>
  </si>
  <si>
    <t>1993-09-27</t>
  </si>
  <si>
    <t>1998-09-28</t>
  </si>
  <si>
    <t>1993-09-28</t>
  </si>
  <si>
    <t>1998-09-29</t>
  </si>
  <si>
    <t>1993-09-29</t>
  </si>
  <si>
    <t>1998-09-30</t>
  </si>
  <si>
    <t>1993-09-30</t>
  </si>
  <si>
    <t>1998-10-01</t>
  </si>
  <si>
    <t>1993-10-01</t>
  </si>
  <si>
    <t>1998-10-02</t>
  </si>
  <si>
    <t>1993-10-02</t>
  </si>
  <si>
    <t>1998-10-03</t>
  </si>
  <si>
    <t>1993-10-03</t>
  </si>
  <si>
    <t>1998-10-04</t>
  </si>
  <si>
    <t>1993-10-04</t>
  </si>
  <si>
    <t>1998-10-05</t>
  </si>
  <si>
    <t>1993-10-05</t>
  </si>
  <si>
    <t>1998-10-06</t>
  </si>
  <si>
    <t>1993-10-06</t>
  </si>
  <si>
    <t>1998-10-07</t>
  </si>
  <si>
    <t>1993-10-07</t>
  </si>
  <si>
    <t>1998-10-08</t>
  </si>
  <si>
    <t>1993-10-08</t>
  </si>
  <si>
    <t>1998-10-09</t>
  </si>
  <si>
    <t>1993-10-09</t>
  </si>
  <si>
    <t>1998-10-10</t>
  </si>
  <si>
    <t>1993-10-10</t>
  </si>
  <si>
    <t>1998-10-11</t>
  </si>
  <si>
    <t>1993-10-11</t>
  </si>
  <si>
    <t>1998-10-12</t>
  </si>
  <si>
    <t>1993-10-12</t>
  </si>
  <si>
    <t>1998-10-13</t>
  </si>
  <si>
    <t>1993-10-13</t>
  </si>
  <si>
    <t>1998-10-14</t>
  </si>
  <si>
    <t>1993-10-14</t>
  </si>
  <si>
    <t>1998-10-15</t>
  </si>
  <si>
    <t>1993-10-15</t>
  </si>
  <si>
    <t>1998-10-16</t>
  </si>
  <si>
    <t>1993-10-16</t>
  </si>
  <si>
    <t>1998-10-17</t>
  </si>
  <si>
    <t>1993-10-17</t>
  </si>
  <si>
    <t>1998-10-18</t>
  </si>
  <si>
    <t>1993-10-18</t>
  </si>
  <si>
    <t>1998-10-19</t>
  </si>
  <si>
    <t>1993-10-19</t>
  </si>
  <si>
    <t>1998-10-20</t>
  </si>
  <si>
    <t>1993-10-20</t>
  </si>
  <si>
    <t>1998-10-21</t>
  </si>
  <si>
    <t>1993-10-21</t>
  </si>
  <si>
    <t>1998-10-22</t>
  </si>
  <si>
    <t>1993-10-22</t>
  </si>
  <si>
    <t>1998-10-23</t>
  </si>
  <si>
    <t>1993-10-23</t>
  </si>
  <si>
    <t>1998-10-24</t>
  </si>
  <si>
    <t>1993-10-24</t>
  </si>
  <si>
    <t>1998-10-25</t>
  </si>
  <si>
    <t>1993-10-25</t>
  </si>
  <si>
    <t>1998-10-26</t>
  </si>
  <si>
    <t>1993-10-26</t>
  </si>
  <si>
    <t>1998-10-27</t>
  </si>
  <si>
    <t>1993-10-27</t>
  </si>
  <si>
    <t>1998-10-28</t>
  </si>
  <si>
    <t>1993-10-28</t>
  </si>
  <si>
    <t>1998-10-29</t>
  </si>
  <si>
    <t>1993-10-29</t>
  </si>
  <si>
    <t>1998-10-30</t>
  </si>
  <si>
    <t>1993-10-30</t>
  </si>
  <si>
    <t>1998-10-31</t>
  </si>
  <si>
    <t>1993-10-31</t>
  </si>
  <si>
    <t>1998-11-01</t>
  </si>
  <si>
    <t>1993-11-01</t>
  </si>
  <si>
    <t>1998-11-02</t>
  </si>
  <si>
    <t>1993-11-02</t>
  </si>
  <si>
    <t>1998-11-03</t>
  </si>
  <si>
    <t>1993-11-03</t>
  </si>
  <si>
    <t>1998-11-04</t>
  </si>
  <si>
    <t>1993-11-04</t>
  </si>
  <si>
    <t>1998-11-05</t>
  </si>
  <si>
    <t>1993-11-05</t>
  </si>
  <si>
    <t>1998-11-06</t>
  </si>
  <si>
    <t>1993-11-06</t>
  </si>
  <si>
    <t>1998-11-07</t>
  </si>
  <si>
    <t>1993-11-07</t>
  </si>
  <si>
    <t>1998-11-08</t>
  </si>
  <si>
    <t>1993-11-08</t>
  </si>
  <si>
    <t>1998-11-09</t>
  </si>
  <si>
    <t>1993-11-09</t>
  </si>
  <si>
    <t>1998-11-10</t>
  </si>
  <si>
    <t>1993-11-10</t>
  </si>
  <si>
    <t>1998-11-11</t>
  </si>
  <si>
    <t>1993-11-11</t>
  </si>
  <si>
    <t>1998-11-12</t>
  </si>
  <si>
    <t>1993-11-12</t>
  </si>
  <si>
    <t>1998-11-13</t>
  </si>
  <si>
    <t>1993-11-13</t>
  </si>
  <si>
    <t>1998-11-14</t>
  </si>
  <si>
    <t>1993-11-14</t>
  </si>
  <si>
    <t>1998-11-15</t>
  </si>
  <si>
    <t>1993-11-15</t>
  </si>
  <si>
    <t>1998-11-16</t>
  </si>
  <si>
    <t>1993-11-16</t>
  </si>
  <si>
    <t>1998-11-17</t>
  </si>
  <si>
    <t>1993-11-17</t>
  </si>
  <si>
    <t>1998-11-18</t>
  </si>
  <si>
    <t>1993-11-18</t>
  </si>
  <si>
    <t>1998-11-19</t>
  </si>
  <si>
    <t>1993-11-19</t>
  </si>
  <si>
    <t>1998-11-20</t>
  </si>
  <si>
    <t>1993-11-20</t>
  </si>
  <si>
    <t>1998-11-21</t>
  </si>
  <si>
    <t>1993-11-21</t>
  </si>
  <si>
    <t>1998-11-22</t>
  </si>
  <si>
    <t>1993-11-22</t>
  </si>
  <si>
    <t>1998-11-23</t>
  </si>
  <si>
    <t>1993-11-23</t>
  </si>
  <si>
    <t>1998-11-24</t>
  </si>
  <si>
    <t>1993-11-24</t>
  </si>
  <si>
    <t>1998-11-25</t>
  </si>
  <si>
    <t>1993-11-25</t>
  </si>
  <si>
    <t>1998-11-26</t>
  </si>
  <si>
    <t>1993-11-26</t>
  </si>
  <si>
    <t>1998-11-27</t>
  </si>
  <si>
    <t>1993-11-27</t>
  </si>
  <si>
    <t>1998-11-28</t>
  </si>
  <si>
    <t>1993-11-28</t>
  </si>
  <si>
    <t>1998-11-29</t>
  </si>
  <si>
    <t>1993-11-29</t>
  </si>
  <si>
    <t>1998-11-30</t>
  </si>
  <si>
    <t>1993-11-30</t>
  </si>
  <si>
    <t>1998-12-01</t>
  </si>
  <si>
    <t>1993-12-01</t>
  </si>
  <si>
    <t>1998-12-02</t>
  </si>
  <si>
    <t>1993-12-02</t>
  </si>
  <si>
    <t>1998-12-03</t>
  </si>
  <si>
    <t>1993-12-03</t>
  </si>
  <si>
    <t>1998-12-04</t>
  </si>
  <si>
    <t>1993-12-04</t>
  </si>
  <si>
    <t>1998-12-05</t>
  </si>
  <si>
    <t>1993-12-05</t>
  </si>
  <si>
    <t>1998-12-06</t>
  </si>
  <si>
    <t>1993-12-06</t>
  </si>
  <si>
    <t>1998-12-07</t>
  </si>
  <si>
    <t>1993-12-07</t>
  </si>
  <si>
    <t>1998-12-08</t>
  </si>
  <si>
    <t>1993-12-08</t>
  </si>
  <si>
    <t>1998-12-09</t>
  </si>
  <si>
    <t>1993-12-09</t>
  </si>
  <si>
    <t>1998-12-10</t>
  </si>
  <si>
    <t>1993-12-10</t>
  </si>
  <si>
    <t>1998-12-11</t>
  </si>
  <si>
    <t>1993-12-11</t>
  </si>
  <si>
    <t>1998-12-12</t>
  </si>
  <si>
    <t>1993-12-12</t>
  </si>
  <si>
    <t>1998-12-13</t>
  </si>
  <si>
    <t>1993-12-13</t>
  </si>
  <si>
    <t>1998-12-14</t>
  </si>
  <si>
    <t>1993-12-14</t>
  </si>
  <si>
    <t>1998-12-15</t>
  </si>
  <si>
    <t>1993-12-15</t>
  </si>
  <si>
    <t>1998-12-16</t>
  </si>
  <si>
    <t>1993-12-16</t>
  </si>
  <si>
    <t>1998-12-17</t>
  </si>
  <si>
    <t>1993-12-17</t>
  </si>
  <si>
    <t>1998-12-18</t>
  </si>
  <si>
    <t>1993-12-18</t>
  </si>
  <si>
    <t>1998-12-19</t>
  </si>
  <si>
    <t>1993-12-19</t>
  </si>
  <si>
    <t>1998-12-20</t>
  </si>
  <si>
    <t>1993-12-20</t>
  </si>
  <si>
    <t>1998-12-21</t>
  </si>
  <si>
    <t>1993-12-21</t>
  </si>
  <si>
    <t>1998-12-22</t>
  </si>
  <si>
    <t>1993-12-22</t>
  </si>
  <si>
    <t>1998-12-23</t>
  </si>
  <si>
    <t>1993-12-23</t>
  </si>
  <si>
    <t>1998-12-24</t>
  </si>
  <si>
    <t>1993-12-24</t>
  </si>
  <si>
    <t>1998-12-25</t>
  </si>
  <si>
    <t>1993-12-25</t>
  </si>
  <si>
    <t>1998-12-26</t>
  </si>
  <si>
    <t>1993-12-26</t>
  </si>
  <si>
    <t>1998-12-27</t>
  </si>
  <si>
    <t>1993-12-27</t>
  </si>
  <si>
    <t>1998-12-28</t>
  </si>
  <si>
    <t>1993-12-28</t>
  </si>
  <si>
    <t>1998-12-29</t>
  </si>
  <si>
    <t>1993-12-29</t>
  </si>
  <si>
    <t>1998-12-30</t>
  </si>
  <si>
    <t>1993-12-30</t>
  </si>
  <si>
    <t>1998-12-31</t>
  </si>
  <si>
    <t>1993-12-31</t>
  </si>
  <si>
    <t>1999-01-01</t>
  </si>
  <si>
    <t>1994-01-01</t>
  </si>
  <si>
    <t>1999-01-02</t>
  </si>
  <si>
    <t>1994-01-02</t>
  </si>
  <si>
    <t>1999-01-03</t>
  </si>
  <si>
    <t>1994-01-03</t>
  </si>
  <si>
    <t>1999-01-04</t>
  </si>
  <si>
    <t>1994-01-04</t>
  </si>
  <si>
    <t>1999-01-05</t>
  </si>
  <si>
    <t>1994-01-05</t>
  </si>
  <si>
    <t>1999-01-06</t>
  </si>
  <si>
    <t>1994-01-06</t>
  </si>
  <si>
    <t>1999-01-07</t>
  </si>
  <si>
    <t>1994-01-07</t>
  </si>
  <si>
    <t>1999-01-08</t>
  </si>
  <si>
    <t>1994-01-08</t>
  </si>
  <si>
    <t>1999-01-09</t>
  </si>
  <si>
    <t>1994-01-09</t>
  </si>
  <si>
    <t>1999-01-10</t>
  </si>
  <si>
    <t>1994-01-10</t>
  </si>
  <si>
    <t>1999-01-11</t>
  </si>
  <si>
    <t>1994-01-11</t>
  </si>
  <si>
    <t>1999-01-12</t>
  </si>
  <si>
    <t>1994-01-12</t>
  </si>
  <si>
    <t>1999-01-13</t>
  </si>
  <si>
    <t>1994-01-13</t>
  </si>
  <si>
    <t>1999-01-14</t>
  </si>
  <si>
    <t>1994-01-14</t>
  </si>
  <si>
    <t>1999-01-15</t>
  </si>
  <si>
    <t>1994-01-15</t>
  </si>
  <si>
    <t>1999-01-16</t>
  </si>
  <si>
    <t>1994-01-16</t>
  </si>
  <si>
    <t>1999-01-17</t>
  </si>
  <si>
    <t>1994-01-17</t>
  </si>
  <si>
    <t>1999-01-18</t>
  </si>
  <si>
    <t>1994-01-18</t>
  </si>
  <si>
    <t>1999-01-19</t>
  </si>
  <si>
    <t>1994-01-19</t>
  </si>
  <si>
    <t>1999-01-20</t>
  </si>
  <si>
    <t>1994-01-20</t>
  </si>
  <si>
    <t>1999-01-21</t>
  </si>
  <si>
    <t>1994-01-21</t>
  </si>
  <si>
    <t>1999-01-22</t>
  </si>
  <si>
    <t>1994-01-22</t>
  </si>
  <si>
    <t>1999-01-23</t>
  </si>
  <si>
    <t>1994-01-23</t>
  </si>
  <si>
    <t>1999-01-24</t>
  </si>
  <si>
    <t>1994-01-24</t>
  </si>
  <si>
    <t>1999-01-25</t>
  </si>
  <si>
    <t>1994-01-25</t>
  </si>
  <si>
    <t>1999-01-26</t>
  </si>
  <si>
    <t>1994-01-26</t>
  </si>
  <si>
    <t>1999-01-27</t>
  </si>
  <si>
    <t>1994-01-27</t>
  </si>
  <si>
    <t>1999-01-28</t>
  </si>
  <si>
    <t>1994-01-28</t>
  </si>
  <si>
    <t>1999-01-29</t>
  </si>
  <si>
    <t>1994-01-29</t>
  </si>
  <si>
    <t>1999-01-30</t>
  </si>
  <si>
    <t>1994-01-30</t>
  </si>
  <si>
    <t>1999-01-31</t>
  </si>
  <si>
    <t>1994-01-31</t>
  </si>
  <si>
    <t>1999-02-01</t>
  </si>
  <si>
    <t>1994-02-01</t>
  </si>
  <si>
    <t>1999-02-02</t>
  </si>
  <si>
    <t>1994-02-02</t>
  </si>
  <si>
    <t>1999-02-03</t>
  </si>
  <si>
    <t>1994-02-03</t>
  </si>
  <si>
    <t>1999-02-04</t>
  </si>
  <si>
    <t>1994-02-04</t>
  </si>
  <si>
    <t>1999-02-05</t>
  </si>
  <si>
    <t>1994-02-05</t>
  </si>
  <si>
    <t>1999-02-06</t>
  </si>
  <si>
    <t>1994-02-06</t>
  </si>
  <si>
    <t>1999-02-07</t>
  </si>
  <si>
    <t>1994-02-07</t>
  </si>
  <si>
    <t>1999-02-08</t>
  </si>
  <si>
    <t>1994-02-08</t>
  </si>
  <si>
    <t>1999-02-09</t>
  </si>
  <si>
    <t>1994-02-09</t>
  </si>
  <si>
    <t>1999-02-10</t>
  </si>
  <si>
    <t>1994-02-10</t>
  </si>
  <si>
    <t>1999-02-11</t>
  </si>
  <si>
    <t>1994-02-11</t>
  </si>
  <si>
    <t>1999-02-12</t>
  </si>
  <si>
    <t>1994-02-12</t>
  </si>
  <si>
    <t>1999-02-13</t>
  </si>
  <si>
    <t>1994-02-13</t>
  </si>
  <si>
    <t>1999-02-14</t>
  </si>
  <si>
    <t>1994-02-14</t>
  </si>
  <si>
    <t>1999-02-15</t>
  </si>
  <si>
    <t>1994-02-15</t>
  </si>
  <si>
    <t>1999-02-16</t>
  </si>
  <si>
    <t>1994-02-16</t>
  </si>
  <si>
    <t>1999-02-17</t>
  </si>
  <si>
    <t>1994-02-17</t>
  </si>
  <si>
    <t>1999-02-18</t>
  </si>
  <si>
    <t>1994-02-18</t>
  </si>
  <si>
    <t>1999-02-19</t>
  </si>
  <si>
    <t>1994-02-19</t>
  </si>
  <si>
    <t>1999-02-20</t>
  </si>
  <si>
    <t>1994-02-20</t>
  </si>
  <si>
    <t>1999-02-21</t>
  </si>
  <si>
    <t>1994-02-21</t>
  </si>
  <si>
    <t>1999-02-22</t>
  </si>
  <si>
    <t>1994-02-22</t>
  </si>
  <si>
    <t>1999-02-23</t>
  </si>
  <si>
    <t>1994-02-23</t>
  </si>
  <si>
    <t>1999-02-24</t>
  </si>
  <si>
    <t>1994-02-24</t>
  </si>
  <si>
    <t>1999-02-25</t>
  </si>
  <si>
    <t>1994-02-25</t>
  </si>
  <si>
    <t>1999-02-26</t>
  </si>
  <si>
    <t>1994-02-26</t>
  </si>
  <si>
    <t>1999-02-27</t>
  </si>
  <si>
    <t>1994-02-27</t>
  </si>
  <si>
    <t>1999-02-28</t>
  </si>
  <si>
    <t>1994-02-28</t>
  </si>
  <si>
    <t>1999-03-01</t>
  </si>
  <si>
    <t>1994-03-01</t>
  </si>
  <si>
    <t>1999-03-02</t>
  </si>
  <si>
    <t>1994-03-02</t>
  </si>
  <si>
    <t>1999-03-03</t>
  </si>
  <si>
    <t>1994-03-03</t>
  </si>
  <si>
    <t>1999-03-04</t>
  </si>
  <si>
    <t>1994-03-04</t>
  </si>
  <si>
    <t>1999-03-05</t>
  </si>
  <si>
    <t>1994-03-05</t>
  </si>
  <si>
    <t>1999-03-06</t>
  </si>
  <si>
    <t>1994-03-06</t>
  </si>
  <si>
    <t>1999-03-07</t>
  </si>
  <si>
    <t>1994-03-07</t>
  </si>
  <si>
    <t>1999-03-08</t>
  </si>
  <si>
    <t>1994-03-08</t>
  </si>
  <si>
    <t>1999-03-09</t>
  </si>
  <si>
    <t>1994-03-09</t>
  </si>
  <si>
    <t>1999-03-10</t>
  </si>
  <si>
    <t>1994-03-10</t>
  </si>
  <si>
    <t>1999-03-11</t>
  </si>
  <si>
    <t>1994-03-11</t>
  </si>
  <si>
    <t>1999-03-12</t>
  </si>
  <si>
    <t>1994-03-12</t>
  </si>
  <si>
    <t>1999-03-13</t>
  </si>
  <si>
    <t>1994-03-13</t>
  </si>
  <si>
    <t>1999-03-14</t>
  </si>
  <si>
    <t>1994-03-14</t>
  </si>
  <si>
    <t>1999-03-15</t>
  </si>
  <si>
    <t>1994-03-15</t>
  </si>
  <si>
    <t>1999-03-16</t>
  </si>
  <si>
    <t>1994-03-16</t>
  </si>
  <si>
    <t>1999-03-17</t>
  </si>
  <si>
    <t>1994-03-17</t>
  </si>
  <si>
    <t>1999-03-18</t>
  </si>
  <si>
    <t>1994-03-18</t>
  </si>
  <si>
    <t>1999-03-19</t>
  </si>
  <si>
    <t>1994-03-19</t>
  </si>
  <si>
    <t>1999-03-20</t>
  </si>
  <si>
    <t>1994-03-20</t>
  </si>
  <si>
    <t>1999-03-21</t>
  </si>
  <si>
    <t>1994-03-21</t>
  </si>
  <si>
    <t>1999-03-22</t>
  </si>
  <si>
    <t>1994-03-22</t>
  </si>
  <si>
    <t>1999-03-23</t>
  </si>
  <si>
    <t>1994-03-23</t>
  </si>
  <si>
    <t>1999-03-24</t>
  </si>
  <si>
    <t>1994-03-24</t>
  </si>
  <si>
    <t>1999-03-25</t>
  </si>
  <si>
    <t>1994-03-25</t>
  </si>
  <si>
    <t>1999-03-26</t>
  </si>
  <si>
    <t>1994-03-26</t>
  </si>
  <si>
    <t>1999-03-27</t>
  </si>
  <si>
    <t>1994-03-27</t>
  </si>
  <si>
    <t>1999-03-28</t>
  </si>
  <si>
    <t>1994-03-28</t>
  </si>
  <si>
    <t>1999-03-29</t>
  </si>
  <si>
    <t>1994-03-29</t>
  </si>
  <si>
    <t>1999-03-30</t>
  </si>
  <si>
    <t>1994-03-30</t>
  </si>
  <si>
    <t>1999-03-31</t>
  </si>
  <si>
    <t>1994-03-31</t>
  </si>
  <si>
    <t>1999-04-01</t>
  </si>
  <si>
    <t>1994-04-01</t>
  </si>
  <si>
    <t>1999-04-02</t>
  </si>
  <si>
    <t>1994-04-02</t>
  </si>
  <si>
    <t>1999-04-03</t>
  </si>
  <si>
    <t>1994-04-03</t>
  </si>
  <si>
    <t>1999-04-04</t>
  </si>
  <si>
    <t>1994-04-04</t>
  </si>
  <si>
    <t>1999-04-05</t>
  </si>
  <si>
    <t>1994-04-05</t>
  </si>
  <si>
    <t>1999-04-06</t>
  </si>
  <si>
    <t>1994-04-06</t>
  </si>
  <si>
    <t>1999-04-07</t>
  </si>
  <si>
    <t>1994-04-07</t>
  </si>
  <si>
    <t>1999-04-08</t>
  </si>
  <si>
    <t>1994-04-08</t>
  </si>
  <si>
    <t>1999-04-09</t>
  </si>
  <si>
    <t>1994-04-09</t>
  </si>
  <si>
    <t>1999-04-10</t>
  </si>
  <si>
    <t>1994-04-10</t>
  </si>
  <si>
    <t>1999-04-11</t>
  </si>
  <si>
    <t>1994-04-11</t>
  </si>
  <si>
    <t>1999-04-12</t>
  </si>
  <si>
    <t>1994-04-12</t>
  </si>
  <si>
    <t>1999-04-13</t>
  </si>
  <si>
    <t>1994-04-13</t>
  </si>
  <si>
    <t>1999-04-14</t>
  </si>
  <si>
    <t>1994-04-14</t>
  </si>
  <si>
    <t>1999-04-15</t>
  </si>
  <si>
    <t>1994-04-15</t>
  </si>
  <si>
    <t>1999-04-16</t>
  </si>
  <si>
    <t>1994-04-16</t>
  </si>
  <si>
    <t>1999-04-17</t>
  </si>
  <si>
    <t>1994-04-17</t>
  </si>
  <si>
    <t>1999-04-18</t>
  </si>
  <si>
    <t>1994-04-18</t>
  </si>
  <si>
    <t>1999-04-19</t>
  </si>
  <si>
    <t>1994-04-19</t>
  </si>
  <si>
    <t>1999-04-20</t>
  </si>
  <si>
    <t>1994-04-20</t>
  </si>
  <si>
    <t>1999-04-21</t>
  </si>
  <si>
    <t>1994-04-21</t>
  </si>
  <si>
    <t>1999-04-22</t>
  </si>
  <si>
    <t>1994-04-22</t>
  </si>
  <si>
    <t>1999-04-23</t>
  </si>
  <si>
    <t>1994-04-23</t>
  </si>
  <si>
    <t>1999-04-24</t>
  </si>
  <si>
    <t>1994-04-24</t>
  </si>
  <si>
    <t>1999-04-25</t>
  </si>
  <si>
    <t>1994-04-25</t>
  </si>
  <si>
    <t>1999-04-26</t>
  </si>
  <si>
    <t>1994-04-26</t>
  </si>
  <si>
    <t>1999-04-27</t>
  </si>
  <si>
    <t>1994-04-27</t>
  </si>
  <si>
    <t>1999-04-28</t>
  </si>
  <si>
    <t>1994-04-28</t>
  </si>
  <si>
    <t>1999-04-29</t>
  </si>
  <si>
    <t>1994-04-29</t>
  </si>
  <si>
    <t>1999-04-30</t>
  </si>
  <si>
    <t>1994-04-30</t>
  </si>
  <si>
    <t>1999-05-01</t>
  </si>
  <si>
    <t>1994-05-01</t>
  </si>
  <si>
    <t>1999-05-02</t>
  </si>
  <si>
    <t>1994-05-02</t>
  </si>
  <si>
    <t>1999-05-03</t>
  </si>
  <si>
    <t>1994-05-03</t>
  </si>
  <si>
    <t>1999-05-04</t>
  </si>
  <si>
    <t>1994-05-04</t>
  </si>
  <si>
    <t>1999-05-05</t>
  </si>
  <si>
    <t>1994-05-05</t>
  </si>
  <si>
    <t>1999-05-06</t>
  </si>
  <si>
    <t>1994-05-06</t>
  </si>
  <si>
    <t>1999-05-07</t>
  </si>
  <si>
    <t>1994-05-07</t>
  </si>
  <si>
    <t>1999-05-08</t>
  </si>
  <si>
    <t>1994-05-08</t>
  </si>
  <si>
    <t>1999-05-09</t>
  </si>
  <si>
    <t>1994-05-09</t>
  </si>
  <si>
    <t>1999-05-10</t>
  </si>
  <si>
    <t>1994-05-10</t>
  </si>
  <si>
    <t>1999-05-11</t>
  </si>
  <si>
    <t>1994-05-11</t>
  </si>
  <si>
    <t>1999-05-12</t>
  </si>
  <si>
    <t>1994-05-12</t>
  </si>
  <si>
    <t>1999-05-13</t>
  </si>
  <si>
    <t>1994-05-13</t>
  </si>
  <si>
    <t>1999-05-14</t>
  </si>
  <si>
    <t>1994-05-14</t>
  </si>
  <si>
    <t>1999-05-15</t>
  </si>
  <si>
    <t>1994-05-15</t>
  </si>
  <si>
    <t>1999-05-16</t>
  </si>
  <si>
    <t>1994-05-16</t>
  </si>
  <si>
    <t>1999-05-17</t>
  </si>
  <si>
    <t>1994-05-17</t>
  </si>
  <si>
    <t>1999-05-18</t>
  </si>
  <si>
    <t>1994-05-18</t>
  </si>
  <si>
    <t>1999-05-19</t>
  </si>
  <si>
    <t>1994-05-19</t>
  </si>
  <si>
    <t>1999-05-20</t>
  </si>
  <si>
    <t>1994-05-20</t>
  </si>
  <si>
    <t>1999-05-21</t>
  </si>
  <si>
    <t>1994-05-21</t>
  </si>
  <si>
    <t>1999-05-22</t>
  </si>
  <si>
    <t>1994-05-22</t>
  </si>
  <si>
    <t>1999-05-23</t>
  </si>
  <si>
    <t>1994-05-23</t>
  </si>
  <si>
    <t>1999-05-24</t>
  </si>
  <si>
    <t>1994-05-24</t>
  </si>
  <si>
    <t>1999-05-25</t>
  </si>
  <si>
    <t>1994-05-25</t>
  </si>
  <si>
    <t>1999-05-26</t>
  </si>
  <si>
    <t>1994-05-26</t>
  </si>
  <si>
    <t>1999-05-27</t>
  </si>
  <si>
    <t>1994-05-27</t>
  </si>
  <si>
    <t>1999-05-28</t>
  </si>
  <si>
    <t>1994-05-28</t>
  </si>
  <si>
    <t>1999-05-29</t>
  </si>
  <si>
    <t>1994-05-29</t>
  </si>
  <si>
    <t>1999-05-30</t>
  </si>
  <si>
    <t>1994-05-30</t>
  </si>
  <si>
    <t>1999-05-31</t>
  </si>
  <si>
    <t>1994-05-31</t>
  </si>
  <si>
    <t>1999-06-01</t>
  </si>
  <si>
    <t>1994-06-01</t>
  </si>
  <si>
    <t>1999-06-02</t>
  </si>
  <si>
    <t>1994-06-02</t>
  </si>
  <si>
    <t>1999-06-03</t>
  </si>
  <si>
    <t>1994-06-03</t>
  </si>
  <si>
    <t>1999-06-04</t>
  </si>
  <si>
    <t>1994-06-04</t>
  </si>
  <si>
    <t>1999-06-05</t>
  </si>
  <si>
    <t>1994-06-05</t>
  </si>
  <si>
    <t>1999-06-06</t>
  </si>
  <si>
    <t>1994-06-06</t>
  </si>
  <si>
    <t>1999-06-07</t>
  </si>
  <si>
    <t>1994-06-07</t>
  </si>
  <si>
    <t>1999-06-08</t>
  </si>
  <si>
    <t>1994-06-08</t>
  </si>
  <si>
    <t>1999-06-09</t>
  </si>
  <si>
    <t>1994-06-09</t>
  </si>
  <si>
    <t>1999-06-10</t>
  </si>
  <si>
    <t>1994-06-10</t>
  </si>
  <si>
    <t>1999-06-11</t>
  </si>
  <si>
    <t>1994-06-11</t>
  </si>
  <si>
    <t>1999-06-12</t>
  </si>
  <si>
    <t>1994-06-12</t>
  </si>
  <si>
    <t>1999-06-13</t>
  </si>
  <si>
    <t>1994-06-13</t>
  </si>
  <si>
    <t>1999-06-14</t>
  </si>
  <si>
    <t>1994-06-14</t>
  </si>
  <si>
    <t>1999-06-15</t>
  </si>
  <si>
    <t>1994-06-15</t>
  </si>
  <si>
    <t>1999-06-16</t>
  </si>
  <si>
    <t>1994-06-16</t>
  </si>
  <si>
    <t>1999-06-17</t>
  </si>
  <si>
    <t>1994-06-17</t>
  </si>
  <si>
    <t>1999-06-18</t>
  </si>
  <si>
    <t>1994-06-18</t>
  </si>
  <si>
    <t>1999-06-19</t>
  </si>
  <si>
    <t>1994-06-19</t>
  </si>
  <si>
    <t>1999-06-20</t>
  </si>
  <si>
    <t>1994-06-20</t>
  </si>
  <si>
    <t>1999-06-21</t>
  </si>
  <si>
    <t>1994-06-21</t>
  </si>
  <si>
    <t>1999-06-22</t>
  </si>
  <si>
    <t>1994-06-22</t>
  </si>
  <si>
    <t>1999-06-23</t>
  </si>
  <si>
    <t>1994-06-23</t>
  </si>
  <si>
    <t>1999-06-24</t>
  </si>
  <si>
    <t>1994-06-24</t>
  </si>
  <si>
    <t>1999-06-25</t>
  </si>
  <si>
    <t>1994-06-25</t>
  </si>
  <si>
    <t>1999-06-26</t>
  </si>
  <si>
    <t>1994-06-26</t>
  </si>
  <si>
    <t>1999-06-27</t>
  </si>
  <si>
    <t>1994-06-27</t>
  </si>
  <si>
    <t>1999-06-28</t>
  </si>
  <si>
    <t>1994-06-28</t>
  </si>
  <si>
    <t>1999-06-29</t>
  </si>
  <si>
    <t>1994-06-29</t>
  </si>
  <si>
    <t>1999-06-30</t>
  </si>
  <si>
    <t>1994-06-30</t>
  </si>
  <si>
    <t>1999-07-01</t>
  </si>
  <si>
    <t>1994-07-01</t>
  </si>
  <si>
    <t>1999-07-02</t>
  </si>
  <si>
    <t>1994-07-02</t>
  </si>
  <si>
    <t>1999-07-03</t>
  </si>
  <si>
    <t>1994-07-03</t>
  </si>
  <si>
    <t>1999-07-04</t>
  </si>
  <si>
    <t>1994-07-04</t>
  </si>
  <si>
    <t>1999-07-05</t>
  </si>
  <si>
    <t>1994-07-05</t>
  </si>
  <si>
    <t>1999-07-06</t>
  </si>
  <si>
    <t>1994-07-06</t>
  </si>
  <si>
    <t>1999-07-07</t>
  </si>
  <si>
    <t>1994-07-07</t>
  </si>
  <si>
    <t>1999-07-08</t>
  </si>
  <si>
    <t>1994-07-08</t>
  </si>
  <si>
    <t>1999-07-09</t>
  </si>
  <si>
    <t>1994-07-09</t>
  </si>
  <si>
    <t>1999-07-10</t>
  </si>
  <si>
    <t>1994-07-10</t>
  </si>
  <si>
    <t>1999-07-11</t>
  </si>
  <si>
    <t>1994-07-11</t>
  </si>
  <si>
    <t>1999-07-12</t>
  </si>
  <si>
    <t>1994-07-12</t>
  </si>
  <si>
    <t>1999-07-13</t>
  </si>
  <si>
    <t>1994-07-13</t>
  </si>
  <si>
    <t>1999-07-14</t>
  </si>
  <si>
    <t>1994-07-14</t>
  </si>
  <si>
    <t>1999-07-15</t>
  </si>
  <si>
    <t>1994-07-15</t>
  </si>
  <si>
    <t>1999-07-16</t>
  </si>
  <si>
    <t>1994-07-16</t>
  </si>
  <si>
    <t>1999-07-17</t>
  </si>
  <si>
    <t>1994-07-17</t>
  </si>
  <si>
    <t>1999-07-18</t>
  </si>
  <si>
    <t>1994-07-18</t>
  </si>
  <si>
    <t>1999-07-19</t>
  </si>
  <si>
    <t>1994-07-19</t>
  </si>
  <si>
    <t>1999-07-20</t>
  </si>
  <si>
    <t>1994-07-20</t>
  </si>
  <si>
    <t>1999-07-21</t>
  </si>
  <si>
    <t>1994-07-21</t>
  </si>
  <si>
    <t>1999-07-22</t>
  </si>
  <si>
    <t>1994-07-22</t>
  </si>
  <si>
    <t>1999-07-23</t>
  </si>
  <si>
    <t>1994-07-23</t>
  </si>
  <si>
    <t>1999-07-24</t>
  </si>
  <si>
    <t>1994-07-24</t>
  </si>
  <si>
    <t>1999-07-25</t>
  </si>
  <si>
    <t>1994-07-25</t>
  </si>
  <si>
    <t>1999-07-26</t>
  </si>
  <si>
    <t>1994-07-26</t>
  </si>
  <si>
    <t>1999-07-27</t>
  </si>
  <si>
    <t>1994-07-27</t>
  </si>
  <si>
    <t>1999-07-28</t>
  </si>
  <si>
    <t>1994-07-28</t>
  </si>
  <si>
    <t>1999-07-29</t>
  </si>
  <si>
    <t>1994-07-29</t>
  </si>
  <si>
    <t>1999-07-30</t>
  </si>
  <si>
    <t>1994-07-30</t>
  </si>
  <si>
    <t>1999-07-31</t>
  </si>
  <si>
    <t>1994-07-31</t>
  </si>
  <si>
    <t>1999-08-01</t>
  </si>
  <si>
    <t>1994-08-01</t>
  </si>
  <si>
    <t>1999-08-02</t>
  </si>
  <si>
    <t>1994-08-02</t>
  </si>
  <si>
    <t>1999-08-03</t>
  </si>
  <si>
    <t>1994-08-03</t>
  </si>
  <si>
    <t>1999-08-04</t>
  </si>
  <si>
    <t>1994-08-04</t>
  </si>
  <si>
    <t>1999-08-05</t>
  </si>
  <si>
    <t>1994-08-05</t>
  </si>
  <si>
    <t>1999-08-06</t>
  </si>
  <si>
    <t>1994-08-06</t>
  </si>
  <si>
    <t>1999-08-07</t>
  </si>
  <si>
    <t>1994-08-07</t>
  </si>
  <si>
    <t>1999-08-08</t>
  </si>
  <si>
    <t>1994-08-08</t>
  </si>
  <si>
    <t>1999-08-09</t>
  </si>
  <si>
    <t>1994-08-09</t>
  </si>
  <si>
    <t>1999-08-10</t>
  </si>
  <si>
    <t>1994-08-10</t>
  </si>
  <si>
    <t>1999-08-11</t>
  </si>
  <si>
    <t>1994-08-11</t>
  </si>
  <si>
    <t>1999-08-12</t>
  </si>
  <si>
    <t>1994-08-12</t>
  </si>
  <si>
    <t>1999-08-13</t>
  </si>
  <si>
    <t>1994-08-13</t>
  </si>
  <si>
    <t>1999-08-14</t>
  </si>
  <si>
    <t>1994-08-14</t>
  </si>
  <si>
    <t>1999-08-15</t>
  </si>
  <si>
    <t>1994-08-15</t>
  </si>
  <si>
    <t>1999-08-16</t>
  </si>
  <si>
    <t>1994-08-16</t>
  </si>
  <si>
    <t>1999-08-17</t>
  </si>
  <si>
    <t>1994-08-17</t>
  </si>
  <si>
    <t>1999-08-18</t>
  </si>
  <si>
    <t>1994-08-18</t>
  </si>
  <si>
    <t>1999-08-19</t>
  </si>
  <si>
    <t>1994-08-19</t>
  </si>
  <si>
    <t>1999-08-20</t>
  </si>
  <si>
    <t>1994-08-20</t>
  </si>
  <si>
    <t>1999-08-21</t>
  </si>
  <si>
    <t>1994-08-21</t>
  </si>
  <si>
    <t>1999-08-22</t>
  </si>
  <si>
    <t>1994-08-22</t>
  </si>
  <si>
    <t>1999-08-23</t>
  </si>
  <si>
    <t>1994-08-23</t>
  </si>
  <si>
    <t>1999-08-24</t>
  </si>
  <si>
    <t>1994-08-24</t>
  </si>
  <si>
    <t>1999-08-25</t>
  </si>
  <si>
    <t>1994-08-25</t>
  </si>
  <si>
    <t>1999-08-26</t>
  </si>
  <si>
    <t>1994-08-26</t>
  </si>
  <si>
    <t>1999-08-27</t>
  </si>
  <si>
    <t>1994-08-27</t>
  </si>
  <si>
    <t>1999-08-28</t>
  </si>
  <si>
    <t>1994-08-28</t>
  </si>
  <si>
    <t>1999-08-29</t>
  </si>
  <si>
    <t>1994-08-29</t>
  </si>
  <si>
    <t>1999-08-30</t>
  </si>
  <si>
    <t>1994-08-30</t>
  </si>
  <si>
    <t>1999-08-31</t>
  </si>
  <si>
    <t>1994-08-31</t>
  </si>
  <si>
    <t>1999-09-01</t>
  </si>
  <si>
    <t>1994-09-01</t>
  </si>
  <si>
    <t>1999-09-02</t>
  </si>
  <si>
    <t>1994-09-02</t>
  </si>
  <si>
    <t>1999-09-03</t>
  </si>
  <si>
    <t>1994-09-03</t>
  </si>
  <si>
    <t>1999-09-04</t>
  </si>
  <si>
    <t>1994-09-04</t>
  </si>
  <si>
    <t>1999-09-05</t>
  </si>
  <si>
    <t>1994-09-05</t>
  </si>
  <si>
    <t>1999-09-06</t>
  </si>
  <si>
    <t>1994-09-06</t>
  </si>
  <si>
    <t>1999-09-07</t>
  </si>
  <si>
    <t>1994-09-07</t>
  </si>
  <si>
    <t>1999-09-08</t>
  </si>
  <si>
    <t>1994-09-08</t>
  </si>
  <si>
    <t>1999-09-09</t>
  </si>
  <si>
    <t>1994-09-09</t>
  </si>
  <si>
    <t>1999-09-10</t>
  </si>
  <si>
    <t>1994-09-10</t>
  </si>
  <si>
    <t>1999-09-11</t>
  </si>
  <si>
    <t>1994-09-11</t>
  </si>
  <si>
    <t>1999-09-12</t>
  </si>
  <si>
    <t>1994-09-12</t>
  </si>
  <si>
    <t>1999-09-13</t>
  </si>
  <si>
    <t>1994-09-13</t>
  </si>
  <si>
    <t>1999-09-14</t>
  </si>
  <si>
    <t>1994-09-14</t>
  </si>
  <si>
    <t>1999-09-15</t>
  </si>
  <si>
    <t>1994-09-15</t>
  </si>
  <si>
    <t>1999-09-16</t>
  </si>
  <si>
    <t>1994-09-16</t>
  </si>
  <si>
    <t>1999-09-17</t>
  </si>
  <si>
    <t>1994-09-17</t>
  </si>
  <si>
    <t>1999-09-18</t>
  </si>
  <si>
    <t>1994-09-18</t>
  </si>
  <si>
    <t>1999-09-19</t>
  </si>
  <si>
    <t>1994-09-19</t>
  </si>
  <si>
    <t>1999-09-20</t>
  </si>
  <si>
    <t>1994-09-20</t>
  </si>
  <si>
    <t>1999-09-21</t>
  </si>
  <si>
    <t>1994-09-21</t>
  </si>
  <si>
    <t>1999-09-22</t>
  </si>
  <si>
    <t>1994-09-22</t>
  </si>
  <si>
    <t>1999-09-23</t>
  </si>
  <si>
    <t>1994-09-23</t>
  </si>
  <si>
    <t>1999-09-24</t>
  </si>
  <si>
    <t>1994-09-24</t>
  </si>
  <si>
    <t>1999-09-25</t>
  </si>
  <si>
    <t>1994-09-25</t>
  </si>
  <si>
    <t>1999-09-26</t>
  </si>
  <si>
    <t>1994-09-26</t>
  </si>
  <si>
    <t>1999-09-27</t>
  </si>
  <si>
    <t>1994-09-27</t>
  </si>
  <si>
    <t>1999-09-28</t>
  </si>
  <si>
    <t>1994-09-28</t>
  </si>
  <si>
    <t>1999-09-29</t>
  </si>
  <si>
    <t>1994-09-29</t>
  </si>
  <si>
    <t>1999-09-30</t>
  </si>
  <si>
    <t>1994-09-30</t>
  </si>
  <si>
    <t>1999-10-01</t>
  </si>
  <si>
    <t>1994-10-01</t>
  </si>
  <si>
    <t>1999-10-02</t>
  </si>
  <si>
    <t>1994-10-02</t>
  </si>
  <si>
    <t>1999-10-03</t>
  </si>
  <si>
    <t>1994-10-03</t>
  </si>
  <si>
    <t>1999-10-04</t>
  </si>
  <si>
    <t>1994-10-04</t>
  </si>
  <si>
    <t>1999-10-05</t>
  </si>
  <si>
    <t>1994-10-05</t>
  </si>
  <si>
    <t>1999-10-06</t>
  </si>
  <si>
    <t>1994-10-06</t>
  </si>
  <si>
    <t>1999-10-07</t>
  </si>
  <si>
    <t>1994-10-07</t>
  </si>
  <si>
    <t>1999-10-08</t>
  </si>
  <si>
    <t>1994-10-08</t>
  </si>
  <si>
    <t>1999-10-09</t>
  </si>
  <si>
    <t>1994-10-09</t>
  </si>
  <si>
    <t>1999-10-10</t>
  </si>
  <si>
    <t>1994-10-10</t>
  </si>
  <si>
    <t>1999-10-11</t>
  </si>
  <si>
    <t>1994-10-11</t>
  </si>
  <si>
    <t>1999-10-12</t>
  </si>
  <si>
    <t>1994-10-12</t>
  </si>
  <si>
    <t>1999-10-13</t>
  </si>
  <si>
    <t>1994-10-13</t>
  </si>
  <si>
    <t>1999-10-14</t>
  </si>
  <si>
    <t>1994-10-14</t>
  </si>
  <si>
    <t>1999-10-15</t>
  </si>
  <si>
    <t>1994-10-15</t>
  </si>
  <si>
    <t>1999-10-16</t>
  </si>
  <si>
    <t>1994-10-16</t>
  </si>
  <si>
    <t>1999-10-17</t>
  </si>
  <si>
    <t>1994-10-17</t>
  </si>
  <si>
    <t>1999-10-18</t>
  </si>
  <si>
    <t>1994-10-18</t>
  </si>
  <si>
    <t>1999-10-19</t>
  </si>
  <si>
    <t>1994-10-19</t>
  </si>
  <si>
    <t>1999-10-20</t>
  </si>
  <si>
    <t>1994-10-20</t>
  </si>
  <si>
    <t>1999-10-21</t>
  </si>
  <si>
    <t>1994-10-21</t>
  </si>
  <si>
    <t>1999-10-22</t>
  </si>
  <si>
    <t>1994-10-22</t>
  </si>
  <si>
    <t>1999-10-23</t>
  </si>
  <si>
    <t>1994-10-23</t>
  </si>
  <si>
    <t>1999-10-24</t>
  </si>
  <si>
    <t>1994-10-24</t>
  </si>
  <si>
    <t>1999-10-25</t>
  </si>
  <si>
    <t>1994-10-25</t>
  </si>
  <si>
    <t>1999-10-26</t>
  </si>
  <si>
    <t>1994-10-26</t>
  </si>
  <si>
    <t>1999-10-27</t>
  </si>
  <si>
    <t>1994-10-27</t>
  </si>
  <si>
    <t>1999-10-28</t>
  </si>
  <si>
    <t>1994-10-28</t>
  </si>
  <si>
    <t>1999-10-29</t>
  </si>
  <si>
    <t>1994-10-29</t>
  </si>
  <si>
    <t>1999-10-30</t>
  </si>
  <si>
    <t>1994-10-30</t>
  </si>
  <si>
    <t>1999-10-31</t>
  </si>
  <si>
    <t>1994-10-31</t>
  </si>
  <si>
    <t>1999-11-01</t>
  </si>
  <si>
    <t>1994-11-01</t>
  </si>
  <si>
    <t>1999-11-02</t>
  </si>
  <si>
    <t>1994-11-02</t>
  </si>
  <si>
    <t>1999-11-03</t>
  </si>
  <si>
    <t>1994-11-03</t>
  </si>
  <si>
    <t>1999-11-04</t>
  </si>
  <si>
    <t>1994-11-04</t>
  </si>
  <si>
    <t>1999-11-05</t>
  </si>
  <si>
    <t>1994-11-05</t>
  </si>
  <si>
    <t>1999-11-06</t>
  </si>
  <si>
    <t>1994-11-06</t>
  </si>
  <si>
    <t>1999-11-07</t>
  </si>
  <si>
    <t>1994-11-07</t>
  </si>
  <si>
    <t>1999-11-08</t>
  </si>
  <si>
    <t>1994-11-08</t>
  </si>
  <si>
    <t>1999-11-09</t>
  </si>
  <si>
    <t>1994-11-09</t>
  </si>
  <si>
    <t>1999-11-10</t>
  </si>
  <si>
    <t>1994-11-10</t>
  </si>
  <si>
    <t>1999-11-11</t>
  </si>
  <si>
    <t>1994-11-11</t>
  </si>
  <si>
    <t>1999-11-12</t>
  </si>
  <si>
    <t>1994-11-12</t>
  </si>
  <si>
    <t>1999-11-13</t>
  </si>
  <si>
    <t>1994-11-13</t>
  </si>
  <si>
    <t>1999-11-14</t>
  </si>
  <si>
    <t>1994-11-14</t>
  </si>
  <si>
    <t>1999-11-15</t>
  </si>
  <si>
    <t>1994-11-15</t>
  </si>
  <si>
    <t>1999-11-16</t>
  </si>
  <si>
    <t>1994-11-16</t>
  </si>
  <si>
    <t>1999-11-17</t>
  </si>
  <si>
    <t>1994-11-17</t>
  </si>
  <si>
    <t>1999-11-18</t>
  </si>
  <si>
    <t>1994-11-18</t>
  </si>
  <si>
    <t>1999-11-19</t>
  </si>
  <si>
    <t>1994-11-19</t>
  </si>
  <si>
    <t>1999-11-20</t>
  </si>
  <si>
    <t>1994-11-20</t>
  </si>
  <si>
    <t>1999-11-21</t>
  </si>
  <si>
    <t>1994-11-21</t>
  </si>
  <si>
    <t>1999-11-22</t>
  </si>
  <si>
    <t>1994-11-22</t>
  </si>
  <si>
    <t>1999-11-23</t>
  </si>
  <si>
    <t>1994-11-23</t>
  </si>
  <si>
    <t>1999-11-24</t>
  </si>
  <si>
    <t>1994-11-24</t>
  </si>
  <si>
    <t>1999-11-25</t>
  </si>
  <si>
    <t>1994-11-25</t>
  </si>
  <si>
    <t>1999-11-26</t>
  </si>
  <si>
    <t>1994-11-26</t>
  </si>
  <si>
    <t>1999-11-27</t>
  </si>
  <si>
    <t>1994-11-27</t>
  </si>
  <si>
    <t>1999-11-28</t>
  </si>
  <si>
    <t>1994-11-28</t>
  </si>
  <si>
    <t>1999-11-29</t>
  </si>
  <si>
    <t>1994-11-29</t>
  </si>
  <si>
    <t>1999-11-30</t>
  </si>
  <si>
    <t>1994-11-30</t>
  </si>
  <si>
    <t>1999-12-01</t>
  </si>
  <si>
    <t>1994-12-01</t>
  </si>
  <si>
    <t>1999-12-02</t>
  </si>
  <si>
    <t>1994-12-02</t>
  </si>
  <si>
    <t>1999-12-03</t>
  </si>
  <si>
    <t>1994-12-03</t>
  </si>
  <si>
    <t>1999-12-04</t>
  </si>
  <si>
    <t>1994-12-04</t>
  </si>
  <si>
    <t>1999-12-05</t>
  </si>
  <si>
    <t>1994-12-05</t>
  </si>
  <si>
    <t>1999-12-06</t>
  </si>
  <si>
    <t>1994-12-06</t>
  </si>
  <si>
    <t>1999-12-07</t>
  </si>
  <si>
    <t>1994-12-07</t>
  </si>
  <si>
    <t>1999-12-08</t>
  </si>
  <si>
    <t>1994-12-08</t>
  </si>
  <si>
    <t>1999-12-09</t>
  </si>
  <si>
    <t>1994-12-09</t>
  </si>
  <si>
    <t>1999-12-10</t>
  </si>
  <si>
    <t>1994-12-10</t>
  </si>
  <si>
    <t>1999-12-11</t>
  </si>
  <si>
    <t>1994-12-11</t>
  </si>
  <si>
    <t>1999-12-12</t>
  </si>
  <si>
    <t>1994-12-12</t>
  </si>
  <si>
    <t>1999-12-13</t>
  </si>
  <si>
    <t>1994-12-13</t>
  </si>
  <si>
    <t>1999-12-14</t>
  </si>
  <si>
    <t>1994-12-14</t>
  </si>
  <si>
    <t>1999-12-15</t>
  </si>
  <si>
    <t>1994-12-15</t>
  </si>
  <si>
    <t>1999-12-16</t>
  </si>
  <si>
    <t>1994-12-16</t>
  </si>
  <si>
    <t>1999-12-17</t>
  </si>
  <si>
    <t>1994-12-17</t>
  </si>
  <si>
    <t>1999-12-18</t>
  </si>
  <si>
    <t>1994-12-18</t>
  </si>
  <si>
    <t>1999-12-19</t>
  </si>
  <si>
    <t>1994-12-19</t>
  </si>
  <si>
    <t>1999-12-20</t>
  </si>
  <si>
    <t>1994-12-20</t>
  </si>
  <si>
    <t>1999-12-21</t>
  </si>
  <si>
    <t>1994-12-21</t>
  </si>
  <si>
    <t>1999-12-22</t>
  </si>
  <si>
    <t>1994-12-22</t>
  </si>
  <si>
    <t>1999-12-23</t>
  </si>
  <si>
    <t>1994-12-23</t>
  </si>
  <si>
    <t>1999-12-24</t>
  </si>
  <si>
    <t>1994-12-24</t>
  </si>
  <si>
    <t>1999-12-25</t>
  </si>
  <si>
    <t>1994-12-25</t>
  </si>
  <si>
    <t>1999-12-26</t>
  </si>
  <si>
    <t>1994-12-26</t>
  </si>
  <si>
    <t>1999-12-27</t>
  </si>
  <si>
    <t>1994-12-27</t>
  </si>
  <si>
    <t>1999-12-28</t>
  </si>
  <si>
    <t>1994-12-28</t>
  </si>
  <si>
    <t>1999-12-29</t>
  </si>
  <si>
    <t>1994-12-29</t>
  </si>
  <si>
    <t>1999-12-30</t>
  </si>
  <si>
    <t>1994-12-30</t>
  </si>
  <si>
    <t>1999-12-31</t>
  </si>
  <si>
    <t>1994-12-31</t>
  </si>
  <si>
    <t>2000-01-01</t>
  </si>
  <si>
    <t>1995-01-01</t>
  </si>
  <si>
    <t>2000-01-02</t>
  </si>
  <si>
    <t>1995-01-02</t>
  </si>
  <si>
    <t>2000-01-03</t>
  </si>
  <si>
    <t>1995-01-03</t>
  </si>
  <si>
    <t>2000-01-04</t>
  </si>
  <si>
    <t>1995-01-04</t>
  </si>
  <si>
    <t>2000-01-05</t>
  </si>
  <si>
    <t>1995-01-05</t>
  </si>
  <si>
    <t>2000-01-06</t>
  </si>
  <si>
    <t>1995-01-06</t>
  </si>
  <si>
    <t>2000-01-07</t>
  </si>
  <si>
    <t>1995-01-07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</si>
  <si>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</si>
  <si>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</si>
  <si>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</si>
  <si>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</si>
  <si>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</si>
  <si>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</si>
  <si>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</si>
  <si>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</si>
  <si>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</si>
  <si>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</si>
  <si>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</si>
  <si>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</si>
  <si>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</si>
  <si>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</si>
  <si>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</si>
  <si>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</si>
  <si>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</si>
  <si>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</si>
  <si>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</si>
  <si>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</si>
  <si>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</si>
  <si>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</si>
  <si>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</si>
  <si>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</si>
  <si>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</si>
  <si>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</si>
  <si>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</si>
  <si>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</si>
  <si>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</si>
  <si>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</si>
  <si>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</si>
  <si>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</si>
  <si>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</si>
  <si>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</si>
  <si>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</si>
  <si>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</si>
  <si>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</si>
  <si>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</si>
  <si>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</si>
  <si>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</si>
  <si>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</si>
  <si>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</si>
  <si>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</si>
  <si>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</si>
  <si>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</si>
  <si>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</si>
  <si>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</si>
  <si>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</si>
  <si>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</si>
  <si>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</si>
  <si>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</si>
  <si>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</si>
  <si>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</si>
  <si>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</si>
  <si>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</si>
  <si>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</si>
  <si>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</si>
  <si>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</si>
  <si>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</si>
  <si>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</si>
  <si>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</si>
  <si>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</si>
  <si>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</si>
  <si>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</si>
  <si>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</si>
  <si>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</si>
  <si>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</si>
  <si>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</si>
  <si>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</si>
  <si>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</si>
  <si>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</si>
  <si>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</si>
  <si>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</si>
  <si>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</si>
  <si>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</si>
  <si>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</si>
  <si>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</si>
  <si>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</si>
  <si>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</si>
  <si>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</si>
  <si>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</si>
  <si>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</si>
  <si>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</si>
  <si>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</si>
  <si>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</si>
  <si>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</si>
  <si>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</si>
  <si>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</si>
  <si>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</si>
  <si>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</si>
  <si>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</si>
  <si>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</si>
  <si>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</si>
  <si>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</si>
  <si>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</si>
  <si>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</si>
  <si>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</si>
  <si>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</si>
  <si>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</si>
  <si>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</si>
  <si>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</si>
  <si>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</si>
  <si>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</si>
  <si>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</si>
  <si>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</si>
  <si>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</si>
  <si>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</si>
  <si>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</si>
  <si>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</si>
  <si>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</si>
  <si>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</si>
  <si>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</si>
  <si>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</si>
  <si>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</si>
  <si>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</si>
  <si>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</si>
  <si>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</si>
  <si>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</si>
  <si>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</si>
  <si>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</si>
  <si>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</si>
  <si>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</si>
  <si>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</si>
  <si>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</si>
  <si>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</si>
  <si>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</si>
  <si>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</si>
  <si>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</si>
  <si>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</si>
  <si>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</si>
  <si>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</si>
  <si>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</si>
  <si>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</si>
  <si>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</si>
  <si>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</si>
  <si>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</si>
  <si>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</si>
  <si>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</si>
  <si>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</si>
  <si>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</si>
  <si>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</si>
  <si>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</si>
  <si>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</si>
  <si>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</si>
  <si>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</si>
  <si>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</si>
  <si>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</si>
  <si>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</si>
  <si>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</si>
  <si>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</si>
  <si>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</si>
  <si>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</si>
  <si>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</si>
  <si>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</si>
  <si>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</si>
  <si>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</si>
  <si>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</si>
  <si>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</si>
  <si>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</si>
  <si>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</si>
  <si>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</si>
  <si>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</si>
  <si>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</si>
  <si>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</si>
  <si>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</si>
  <si>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</si>
  <si>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</si>
  <si>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</si>
  <si>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</si>
  <si>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</si>
  <si>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</si>
  <si>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</si>
  <si>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</si>
  <si>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</si>
  <si>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</si>
  <si>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</si>
  <si>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</si>
  <si>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</si>
  <si>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</si>
  <si>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</si>
  <si>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</si>
  <si>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</si>
  <si>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</si>
  <si>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</si>
  <si>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</si>
  <si>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</si>
  <si>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</si>
  <si>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</si>
  <si>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</si>
  <si>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</si>
  <si>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</si>
  <si>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</si>
  <si>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</si>
  <si>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</si>
  <si>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</si>
  <si>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</si>
  <si>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</si>
  <si>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</si>
  <si>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</si>
  <si>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</si>
  <si>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</si>
  <si>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</si>
  <si>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</si>
  <si>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</si>
  <si>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</si>
  <si>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</si>
  <si>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</si>
  <si>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</si>
  <si>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</si>
  <si>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</si>
  <si>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</si>
  <si>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</si>
  <si>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</si>
  <si>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</si>
  <si>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</si>
  <si>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</si>
  <si>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</si>
  <si>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</si>
  <si>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</si>
  <si>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</si>
  <si>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</si>
  <si>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</si>
  <si>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</si>
  <si>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</si>
  <si>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</si>
  <si>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</si>
  <si>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</si>
  <si>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</si>
  <si>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</si>
  <si>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</si>
  <si>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</si>
  <si>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</si>
  <si>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</si>
  <si>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</si>
  <si>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</si>
  <si>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</si>
  <si>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</si>
  <si>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</si>
  <si>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</si>
  <si>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</si>
  <si>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</si>
  <si>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</si>
  <si>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</si>
  <si>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</si>
  <si>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</si>
  <si>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</si>
  <si>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</si>
  <si>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</si>
  <si>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</si>
  <si>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</si>
  <si>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</si>
  <si>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</si>
  <si>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</si>
  <si>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</si>
  <si>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</si>
  <si>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</si>
  <si>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</si>
  <si>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</si>
  <si>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</si>
  <si>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</si>
  <si>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</si>
  <si>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</si>
  <si>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</si>
  <si>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</si>
  <si>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</si>
  <si>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</si>
  <si>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</si>
  <si>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</si>
  <si>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</si>
  <si>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</si>
  <si>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</si>
  <si>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</si>
  <si>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</si>
  <si>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</si>
  <si>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</si>
  <si>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</si>
  <si>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</si>
  <si>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</si>
  <si>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</si>
  <si>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</si>
  <si>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</si>
  <si>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</si>
  <si>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</si>
  <si>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</si>
  <si>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</si>
  <si>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</si>
  <si>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</si>
  <si>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</si>
  <si>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</si>
  <si>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</si>
  <si>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</si>
  <si>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</si>
  <si>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</si>
  <si>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</si>
  <si>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</si>
  <si>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</si>
  <si>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</si>
  <si>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</si>
  <si>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</si>
  <si>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</si>
  <si>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</si>
  <si>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</si>
  <si>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</si>
  <si>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</si>
  <si>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</si>
  <si>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</si>
  <si>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</si>
  <si>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</si>
  <si>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</si>
  <si>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</si>
  <si>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</si>
  <si>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</si>
  <si>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</si>
  <si>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</si>
  <si>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</si>
  <si>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</si>
  <si>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</si>
  <si>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</si>
  <si>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</si>
  <si>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</si>
  <si>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</si>
  <si>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</si>
  <si>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</si>
  <si>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</si>
  <si>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</si>
  <si>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</si>
  <si>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</si>
  <si>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</si>
  <si>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</si>
  <si>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</si>
  <si>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</si>
  <si>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</si>
  <si>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</si>
  <si>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</si>
  <si>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</si>
  <si>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</si>
  <si>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</si>
  <si>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</si>
  <si>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</si>
  <si>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</si>
  <si>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</si>
  <si>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</si>
  <si>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</si>
  <si>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</si>
  <si>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</si>
  <si>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</si>
  <si>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</si>
  <si>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</si>
  <si>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</si>
  <si>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</si>
  <si>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</si>
  <si>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</si>
  <si>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</si>
  <si>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</si>
  <si>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</si>
  <si>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</si>
  <si>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</si>
  <si>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</si>
  <si>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</si>
  <si>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</si>
  <si>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</si>
  <si>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</si>
  <si>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</si>
  <si>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</si>
  <si>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</si>
  <si>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</si>
  <si>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</si>
  <si>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</si>
  <si>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</si>
  <si>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</si>
  <si>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</si>
  <si>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</si>
  <si>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</si>
  <si>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</si>
  <si>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</si>
  <si>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</si>
  <si>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</si>
  <si>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</si>
  <si>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</si>
  <si>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</si>
  <si>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</si>
  <si>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</si>
  <si>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</si>
  <si>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</si>
  <si>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</si>
  <si>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</si>
  <si>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</si>
  <si>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</si>
  <si>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</si>
  <si>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</si>
  <si>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</si>
  <si>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</si>
  <si>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</si>
  <si>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</si>
  <si>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</si>
  <si>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</si>
  <si>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</si>
  <si>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</si>
  <si>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</si>
  <si>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</si>
  <si>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</si>
  <si>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</si>
  <si>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</si>
  <si>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</si>
  <si>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</si>
  <si>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</si>
  <si>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</si>
  <si>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</si>
  <si>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</si>
  <si>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</si>
  <si>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</si>
  <si>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</si>
  <si>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</si>
  <si>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</si>
  <si>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</si>
  <si>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</si>
  <si>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</si>
  <si>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1996-02-29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</si>
  <si>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</si>
  <si>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</si>
  <si>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</si>
  <si>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</si>
  <si>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</si>
  <si>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</si>
  <si>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</si>
  <si>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</si>
  <si>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</si>
  <si>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</si>
  <si>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</si>
  <si>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</si>
  <si>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</si>
  <si>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</si>
  <si>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</si>
  <si>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</si>
  <si>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</si>
  <si>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</si>
  <si>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</si>
  <si>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</si>
  <si>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</si>
  <si>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</si>
  <si>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</si>
  <si>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</si>
  <si>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</si>
  <si>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</si>
  <si>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</si>
  <si>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</si>
  <si>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</si>
  <si>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</si>
  <si>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</si>
  <si>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</si>
  <si>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</si>
  <si>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</si>
  <si>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</si>
  <si>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</si>
  <si>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</si>
  <si>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</si>
  <si>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</si>
  <si>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</si>
  <si>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</si>
  <si>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</si>
  <si>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</si>
  <si>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</si>
  <si>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</si>
  <si>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</si>
  <si>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</si>
  <si>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</si>
  <si>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</si>
  <si>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</si>
  <si>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</si>
  <si>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</si>
  <si>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</si>
  <si>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</si>
  <si>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</si>
  <si>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</si>
  <si>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</si>
  <si>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</si>
  <si>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</si>
  <si>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</si>
  <si>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</si>
  <si>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</si>
  <si>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</si>
  <si>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</si>
  <si>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</si>
  <si>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</si>
  <si>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</si>
  <si>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</si>
  <si>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</si>
  <si>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</si>
  <si>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</si>
  <si>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</si>
  <si>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</si>
  <si>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</si>
  <si>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</si>
  <si>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</si>
  <si>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</si>
  <si>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</si>
  <si>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</si>
  <si>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</si>
  <si>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</si>
  <si>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</si>
  <si>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</si>
  <si>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</si>
  <si>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</si>
  <si>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</si>
  <si>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</si>
  <si>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</si>
  <si>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</si>
  <si>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</si>
  <si>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</si>
  <si>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</si>
  <si>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</si>
  <si>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</si>
  <si>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</si>
  <si>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</si>
  <si>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</si>
  <si>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</si>
  <si>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</si>
  <si>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</si>
  <si>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</si>
  <si>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</si>
  <si>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</si>
  <si>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</si>
  <si>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</si>
  <si>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</si>
  <si>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</si>
  <si>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</si>
  <si>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</si>
  <si>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</si>
  <si>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</si>
  <si>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</si>
  <si>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</si>
  <si>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</si>
  <si>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</si>
  <si>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</si>
  <si>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</si>
  <si>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</si>
  <si>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</si>
  <si>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</si>
  <si>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</si>
  <si>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</si>
  <si>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</si>
  <si>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</si>
  <si>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</si>
  <si>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</si>
  <si>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</si>
  <si>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</si>
  <si>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</si>
  <si>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</si>
  <si>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</si>
  <si>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</si>
  <si>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</si>
  <si>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</si>
  <si>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</si>
  <si>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</si>
  <si>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</si>
  <si>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</si>
  <si>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</si>
  <si>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</si>
  <si>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</si>
  <si>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</si>
  <si>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</si>
  <si>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</si>
  <si>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</si>
  <si>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</si>
  <si>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</si>
  <si>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</si>
  <si>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</si>
  <si>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</si>
  <si>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</si>
  <si>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</si>
  <si>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</si>
  <si>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</si>
  <si>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</si>
  <si>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</si>
  <si>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</si>
  <si>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</si>
  <si>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</si>
  <si>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</si>
  <si>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</si>
  <si>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</si>
  <si>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</si>
  <si>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</si>
  <si>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</si>
  <si>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</si>
  <si>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</si>
  <si>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</si>
  <si>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</si>
  <si>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</si>
  <si>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</si>
  <si>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</si>
  <si>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</si>
  <si>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</si>
  <si>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</si>
  <si>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</si>
  <si>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</si>
  <si>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</si>
  <si>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</si>
  <si>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</si>
  <si>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</si>
  <si>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</si>
  <si>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</si>
  <si>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</si>
  <si>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</si>
  <si>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</si>
  <si>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</si>
  <si>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</si>
  <si>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</si>
  <si>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</si>
  <si>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</si>
  <si>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</si>
  <si>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</si>
  <si>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</si>
  <si>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</si>
  <si>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</si>
  <si>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</si>
  <si>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</si>
  <si>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</si>
  <si>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</si>
  <si>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</si>
  <si>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</si>
  <si>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</si>
  <si>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</si>
  <si>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</si>
  <si>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</si>
  <si>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</si>
  <si>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</si>
  <si>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</si>
  <si>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</si>
  <si>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</si>
  <si>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</si>
  <si>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</si>
  <si>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</si>
  <si>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</si>
  <si>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</si>
  <si>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</si>
  <si>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</si>
  <si>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</si>
  <si>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</si>
  <si>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</si>
  <si>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</si>
  <si>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</si>
  <si>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</si>
  <si>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</si>
  <si>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</si>
  <si>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</si>
  <si>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</si>
  <si>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</si>
  <si>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</si>
  <si>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</si>
  <si>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</si>
  <si>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</si>
  <si>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</si>
  <si>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</si>
  <si>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</si>
  <si>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</si>
  <si>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</si>
  <si>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</si>
  <si>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</si>
  <si>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</si>
  <si>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</si>
  <si>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</si>
  <si>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</si>
  <si>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</si>
  <si>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</si>
  <si>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</si>
  <si>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</si>
  <si>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</si>
  <si>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</si>
  <si>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</si>
  <si>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</si>
  <si>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</si>
  <si>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</si>
  <si>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</si>
  <si>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</si>
  <si>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</si>
  <si>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</si>
  <si>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</si>
  <si>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</si>
  <si>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</si>
  <si>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</si>
  <si>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</si>
  <si>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</si>
  <si>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</si>
  <si>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</si>
  <si>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</si>
  <si>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</si>
  <si>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</si>
  <si>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</si>
  <si>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</si>
  <si>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</si>
  <si>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</si>
  <si>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</si>
  <si>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</si>
  <si>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</si>
  <si>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</si>
  <si>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</si>
  <si>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</si>
  <si>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</si>
  <si>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</si>
  <si>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</si>
  <si>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</si>
  <si>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</si>
  <si>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</si>
  <si>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</si>
  <si>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</si>
  <si>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</si>
  <si>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</si>
  <si>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</si>
  <si>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</si>
  <si>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</si>
  <si>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</si>
  <si>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</si>
  <si>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</si>
  <si>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</si>
  <si>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</si>
  <si>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</si>
  <si>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</si>
  <si>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</si>
  <si>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</si>
  <si>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</si>
  <si>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</si>
  <si>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</si>
  <si>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</si>
  <si>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</si>
  <si>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</si>
  <si>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</si>
  <si>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</si>
  <si>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</si>
  <si>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</si>
  <si>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</si>
  <si>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</si>
  <si>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</si>
  <si>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</si>
  <si>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</si>
  <si>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</si>
  <si>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</si>
  <si>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</si>
  <si>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</si>
  <si>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</si>
  <si>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</si>
  <si>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</si>
  <si>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</si>
  <si>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</si>
  <si>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</si>
  <si>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</si>
  <si>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</si>
  <si>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</si>
  <si>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</si>
  <si>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</si>
  <si>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</si>
  <si>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</si>
  <si>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</si>
  <si>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</si>
  <si>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</si>
  <si>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</si>
  <si>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</si>
  <si>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</si>
  <si>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</si>
  <si>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</si>
  <si>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</si>
  <si>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</si>
  <si>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</si>
  <si>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</si>
  <si>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</si>
  <si>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</si>
  <si>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</si>
  <si>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</si>
  <si>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</si>
  <si>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</si>
  <si>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</si>
  <si>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</si>
  <si>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</si>
  <si>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</si>
  <si>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</si>
  <si>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</si>
  <si>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</si>
  <si>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</si>
  <si>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</si>
  <si>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</si>
  <si>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</si>
  <si>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</si>
  <si>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</si>
  <si>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</si>
  <si>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</si>
  <si>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</si>
  <si>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</si>
  <si>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</si>
  <si>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</si>
  <si>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</si>
  <si>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</si>
  <si>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</si>
  <si>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</si>
  <si>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</si>
  <si>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</si>
  <si>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</si>
  <si>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</si>
  <si>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</si>
  <si>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</si>
  <si>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</si>
  <si>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</si>
  <si>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</si>
  <si>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</si>
  <si>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</si>
  <si>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</si>
  <si>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</si>
  <si>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</si>
  <si>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</si>
  <si>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</si>
  <si>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</si>
  <si>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</si>
  <si>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</si>
  <si>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</si>
  <si>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</si>
  <si>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</si>
  <si>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</si>
  <si>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</si>
  <si>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</si>
  <si>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</si>
  <si>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</si>
  <si>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</si>
  <si>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</si>
  <si>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</si>
  <si>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</si>
  <si>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</si>
  <si>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</si>
  <si>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</si>
  <si>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</si>
  <si>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</si>
  <si>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</si>
  <si>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</si>
  <si>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</si>
  <si>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</si>
  <si>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</si>
  <si>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</si>
  <si>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</si>
  <si>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</si>
  <si>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</si>
  <si>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</si>
  <si>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</si>
  <si>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</si>
  <si>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</si>
  <si>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</si>
  <si>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</si>
  <si>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</si>
  <si>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</si>
  <si>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</si>
  <si>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</si>
  <si>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</si>
  <si>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</si>
  <si>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</si>
  <si>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</si>
  <si>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</si>
  <si>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</si>
  <si>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</si>
  <si>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</si>
  <si>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</si>
  <si>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</si>
  <si>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</si>
  <si>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</si>
  <si>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</si>
  <si>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</si>
  <si>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</si>
  <si>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</si>
  <si>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</si>
  <si>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</si>
  <si>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</si>
  <si>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</si>
  <si>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</si>
  <si>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</si>
  <si>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</si>
  <si>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</si>
  <si>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</si>
  <si>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</si>
  <si>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</si>
  <si>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</si>
  <si>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</si>
  <si>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</si>
  <si>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</si>
  <si>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</si>
  <si>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</si>
  <si>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</si>
  <si>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</si>
  <si>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</si>
  <si>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</si>
  <si>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</si>
  <si>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</si>
  <si>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</si>
  <si>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</si>
  <si>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</si>
  <si>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</si>
  <si>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</si>
  <si>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</si>
  <si>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</si>
  <si>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</si>
  <si>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</si>
  <si>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</si>
  <si>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</si>
  <si>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</si>
  <si>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</si>
  <si>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</si>
  <si>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</si>
  <si>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</si>
  <si>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</si>
  <si>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</si>
  <si>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</si>
  <si>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</si>
  <si>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</si>
  <si>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</si>
  <si>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</si>
  <si>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</si>
  <si>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</si>
  <si>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</si>
  <si>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</si>
  <si>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</si>
  <si>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</si>
  <si>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</si>
  <si>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</si>
  <si>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</si>
  <si>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</si>
  <si>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</si>
  <si>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</si>
  <si>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</si>
  <si>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</si>
  <si>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</si>
  <si>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</si>
  <si>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</si>
  <si>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</si>
  <si>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</si>
  <si>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</si>
  <si>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</si>
  <si>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</si>
  <si>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</si>
  <si>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</si>
  <si>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</si>
  <si>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</si>
  <si>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</si>
  <si>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</si>
  <si>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</si>
  <si>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</si>
  <si>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</si>
  <si>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</si>
  <si>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</si>
  <si>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</si>
  <si>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</si>
  <si>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</si>
  <si>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</si>
  <si>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</si>
  <si>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</si>
  <si>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</si>
  <si>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</si>
  <si>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</si>
  <si>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</si>
  <si>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</si>
  <si>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</si>
  <si>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</si>
  <si>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</si>
  <si>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</si>
  <si>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</si>
  <si>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</si>
  <si>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</si>
  <si>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</si>
  <si>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</si>
  <si>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</si>
  <si>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</si>
  <si>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</si>
  <si>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</si>
  <si>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</si>
  <si>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</si>
  <si>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</si>
  <si>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</si>
  <si>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</si>
  <si>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</si>
  <si>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</si>
  <si>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</si>
  <si>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</si>
  <si>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</si>
  <si>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</si>
  <si>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</si>
  <si>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</si>
  <si>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</si>
  <si>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</si>
  <si>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</si>
  <si>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</si>
  <si>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</si>
  <si>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</si>
  <si>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</si>
  <si>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</si>
  <si>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</si>
  <si>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</si>
  <si>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</si>
  <si>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</si>
  <si>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</si>
  <si>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</si>
  <si>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</si>
  <si>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</si>
  <si>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</si>
  <si>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</si>
  <si>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</si>
  <si>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</si>
  <si>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</si>
  <si>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</si>
  <si>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</si>
  <si>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</si>
  <si>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</si>
  <si>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</si>
  <si>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</si>
  <si>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</si>
  <si>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</si>
  <si>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</si>
  <si>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</si>
  <si>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</si>
  <si>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</si>
  <si>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</si>
  <si>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</si>
  <si>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</si>
  <si>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</si>
  <si>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</si>
  <si>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</si>
  <si>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</si>
  <si>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</si>
  <si>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</si>
  <si>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</si>
  <si>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</si>
  <si>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</si>
  <si>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</si>
  <si>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</si>
  <si>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</si>
  <si>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</si>
  <si>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</si>
  <si>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</si>
  <si>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</si>
  <si>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</si>
  <si>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</si>
  <si>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</si>
  <si>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</si>
  <si>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</si>
  <si>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</si>
  <si>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</si>
  <si>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</si>
  <si>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</si>
  <si>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</si>
  <si>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</si>
  <si>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</si>
  <si>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</si>
  <si>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</si>
  <si>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</si>
  <si>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</si>
  <si>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</si>
  <si>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</si>
  <si>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</si>
  <si>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</si>
  <si>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</si>
  <si>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</si>
  <si>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</si>
  <si>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</si>
  <si>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</si>
  <si>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</si>
  <si>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</si>
  <si>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</si>
  <si>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</si>
  <si>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</si>
  <si>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</si>
  <si>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</si>
  <si>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</si>
  <si>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</si>
  <si>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</si>
  <si>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</si>
  <si>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</si>
  <si>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</si>
  <si>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</si>
  <si>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</si>
  <si>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</si>
  <si>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</si>
  <si>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</si>
  <si>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</si>
  <si>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</si>
  <si>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</si>
  <si>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</si>
  <si>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</si>
  <si>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</si>
  <si>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</si>
  <si>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</si>
  <si>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</si>
  <si>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</si>
  <si>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</si>
  <si>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</si>
  <si>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</si>
  <si>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</si>
  <si>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</si>
  <si>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</si>
  <si>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</si>
  <si>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</si>
  <si>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</si>
  <si>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</si>
  <si>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</si>
  <si>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</si>
  <si>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</si>
  <si>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</si>
  <si>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</si>
  <si>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</si>
  <si>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</si>
  <si>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</si>
  <si>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</si>
  <si>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</si>
  <si>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</si>
  <si>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</si>
  <si>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</si>
  <si>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</si>
  <si>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</si>
  <si>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</si>
  <si>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</si>
  <si>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</si>
  <si>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</si>
  <si>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</si>
  <si>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</si>
  <si>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</si>
  <si>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</si>
  <si>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</si>
  <si>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</si>
  <si>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</si>
  <si>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</si>
  <si>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</si>
  <si>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</si>
  <si>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</si>
  <si>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</si>
  <si>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</si>
  <si>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</si>
  <si>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</si>
  <si>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</si>
  <si>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</si>
  <si>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</si>
  <si>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</si>
  <si>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</si>
  <si>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</si>
  <si>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</si>
  <si>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</si>
  <si>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</si>
  <si>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</si>
  <si>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</si>
  <si>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</si>
  <si>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</si>
  <si>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</si>
  <si>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</si>
  <si>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</si>
  <si>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</si>
  <si>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</si>
  <si>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</si>
  <si>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</si>
  <si>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</si>
  <si>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</si>
  <si>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</si>
  <si>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</si>
  <si>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</si>
  <si>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</si>
  <si>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</si>
  <si>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</si>
  <si>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</si>
  <si>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</si>
  <si>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</si>
  <si>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</si>
  <si>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</si>
  <si>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</si>
  <si>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</si>
  <si>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</si>
  <si>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</si>
  <si>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</si>
  <si>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</si>
  <si>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</si>
  <si>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</si>
  <si>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</si>
  <si>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</si>
  <si>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</si>
  <si>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</si>
  <si>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</si>
  <si>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</si>
  <si>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</si>
  <si>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</si>
  <si>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</si>
  <si>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</si>
  <si>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</si>
  <si>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</si>
  <si>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</si>
  <si>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</si>
  <si>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</si>
  <si>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</si>
  <si>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</si>
  <si>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</si>
  <si>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</si>
  <si>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</si>
  <si>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</si>
  <si>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</si>
  <si>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</si>
  <si>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</si>
  <si>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</si>
  <si>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</si>
  <si>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</si>
  <si>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</si>
  <si>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</si>
  <si>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</si>
  <si>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</si>
  <si>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</si>
  <si>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</si>
  <si>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</si>
  <si>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</si>
  <si>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</si>
  <si>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</si>
  <si>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</si>
  <si>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</si>
  <si>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</si>
  <si>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</si>
  <si>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</si>
  <si>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</si>
  <si>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</si>
  <si>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</si>
  <si>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</si>
  <si>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</si>
  <si>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</si>
  <si>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</si>
  <si>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</si>
  <si>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</si>
  <si>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</si>
  <si>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</si>
  <si>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</si>
  <si>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</si>
  <si>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</si>
  <si>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</si>
  <si>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</si>
  <si>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</si>
  <si>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</si>
  <si>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</si>
  <si>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</si>
  <si>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</si>
  <si>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</si>
  <si>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</si>
  <si>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</si>
  <si>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</si>
  <si>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</si>
  <si>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</si>
  <si>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</si>
  <si>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</si>
  <si>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</si>
  <si>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</si>
  <si>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</si>
  <si>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</si>
  <si>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</si>
  <si>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</si>
  <si>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</si>
  <si>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</si>
  <si>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</si>
  <si>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</si>
  <si>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</si>
  <si>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</si>
  <si>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</si>
  <si>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</si>
  <si>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</si>
  <si>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</si>
  <si>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</si>
  <si>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</si>
  <si>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</si>
  <si>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</si>
  <si>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</si>
  <si>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</si>
  <si>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</si>
  <si>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</si>
  <si>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</si>
  <si>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</si>
  <si>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</si>
  <si>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</si>
  <si>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</si>
  <si>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</si>
  <si>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</si>
  <si>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</si>
  <si>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</si>
  <si>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</si>
  <si>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</si>
  <si>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</si>
  <si>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</si>
  <si>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</si>
  <si>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</si>
  <si>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</si>
  <si>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</si>
  <si>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</si>
  <si>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</si>
  <si>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</si>
  <si>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</si>
  <si>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</si>
  <si>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</si>
  <si>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</si>
  <si>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</si>
  <si>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</si>
  <si>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</si>
  <si>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</si>
  <si>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</si>
  <si>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</si>
  <si>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</si>
  <si>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</si>
  <si>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</si>
  <si>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</si>
  <si>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</si>
  <si>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</si>
  <si>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</si>
  <si>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</si>
  <si>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</si>
  <si>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</si>
  <si>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</si>
  <si>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</si>
  <si>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</si>
  <si>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</si>
  <si>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</si>
  <si>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</si>
  <si>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</si>
  <si>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</si>
  <si>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</si>
  <si>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</si>
  <si>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</si>
  <si>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</si>
  <si>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</si>
  <si>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</si>
  <si>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</si>
  <si>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</si>
  <si>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</si>
  <si>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</si>
  <si>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</si>
  <si>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</si>
  <si>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</si>
  <si>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</si>
  <si>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</si>
  <si>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</si>
  <si>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</si>
  <si>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</si>
  <si>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</si>
  <si>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</si>
  <si>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</si>
  <si>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</si>
  <si>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</si>
  <si>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</si>
  <si>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</si>
  <si>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</si>
  <si>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</si>
  <si>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</si>
  <si>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</si>
  <si>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</si>
  <si>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</si>
  <si>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</si>
  <si>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</si>
  <si>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</si>
  <si>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</si>
  <si>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</si>
  <si>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</si>
  <si>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</si>
  <si>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</si>
  <si>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</si>
  <si>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</si>
  <si>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</si>
  <si>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</si>
  <si>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</si>
  <si>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</si>
  <si>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</si>
  <si>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</si>
  <si>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</si>
  <si>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</si>
  <si>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</si>
  <si>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</si>
  <si>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</si>
  <si>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</si>
  <si>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</si>
  <si>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</si>
  <si>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</si>
  <si>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</si>
  <si>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</si>
  <si>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</si>
  <si>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</si>
  <si>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</si>
  <si>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</si>
  <si>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</si>
  <si>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</si>
  <si>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</si>
  <si>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</si>
  <si>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</si>
  <si>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</si>
  <si>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</si>
  <si>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</si>
  <si>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</si>
  <si>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</si>
  <si>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</si>
  <si>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</si>
  <si>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</si>
  <si>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</si>
  <si>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</si>
  <si>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</si>
  <si>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</si>
  <si>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</si>
  <si>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</si>
  <si>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</si>
  <si>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</si>
  <si>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</si>
  <si>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</si>
  <si>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</si>
  <si>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</si>
  <si>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</si>
  <si>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</si>
  <si>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</si>
  <si>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</si>
  <si>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</si>
  <si>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</si>
  <si>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</si>
  <si>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</si>
  <si>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</si>
  <si>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</si>
  <si>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</si>
  <si>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</si>
  <si>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</si>
  <si>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</si>
  <si>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</si>
  <si>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</si>
  <si>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</si>
  <si>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</si>
  <si>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</si>
  <si>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</si>
  <si>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</si>
  <si>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</si>
  <si>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</si>
  <si>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</si>
  <si>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</si>
  <si>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</si>
  <si>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</si>
  <si>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</si>
  <si>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</si>
  <si>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</si>
  <si>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</si>
  <si>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</si>
  <si>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</si>
  <si>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</si>
  <si>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</si>
  <si>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</si>
  <si>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</si>
  <si>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</si>
  <si>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</si>
  <si>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</si>
  <si>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</si>
  <si>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</si>
  <si>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</si>
  <si>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</si>
  <si>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</si>
  <si>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</si>
  <si>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</si>
  <si>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</si>
  <si>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</si>
  <si>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</si>
  <si>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</si>
  <si>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</si>
  <si>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</si>
  <si>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</si>
  <si>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</si>
  <si>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</si>
  <si>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</si>
  <si>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</si>
  <si>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</si>
  <si>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</si>
  <si>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</si>
  <si>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</si>
  <si>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</si>
  <si>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</si>
  <si>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</si>
  <si>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</si>
  <si>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</si>
  <si>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</si>
  <si>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</si>
  <si>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</si>
  <si>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</si>
  <si>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</si>
  <si>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</si>
  <si>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</si>
  <si>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</si>
  <si>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</si>
  <si>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</si>
  <si>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</si>
  <si>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</si>
  <si>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</si>
  <si>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</si>
  <si>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</si>
  <si>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</si>
  <si>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</si>
  <si>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</si>
  <si>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</si>
  <si>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</si>
  <si>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</si>
  <si>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</si>
  <si>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</si>
  <si>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</si>
  <si>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</si>
  <si>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</si>
  <si>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</si>
  <si>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</si>
  <si>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</si>
  <si>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</si>
  <si>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</si>
  <si>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</si>
  <si>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</si>
  <si>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</si>
  <si>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</si>
  <si>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</si>
  <si>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</si>
  <si>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</si>
  <si>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</si>
  <si>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</si>
  <si>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</si>
  <si>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</si>
  <si>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</si>
  <si>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</si>
  <si>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</si>
  <si>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</si>
  <si>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</si>
  <si>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</si>
  <si>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</si>
  <si>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</si>
  <si>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</si>
  <si>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</si>
  <si>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</si>
  <si>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</si>
  <si>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</si>
  <si>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</si>
  <si>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</si>
  <si>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</si>
  <si>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</si>
  <si>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</si>
  <si>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</si>
  <si>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</si>
  <si>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</si>
  <si>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</si>
  <si>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</si>
  <si>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</si>
  <si>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</si>
  <si>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</si>
  <si>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</si>
  <si>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</si>
  <si>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</si>
  <si>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</si>
  <si>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</si>
  <si>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</si>
  <si>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</si>
  <si>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</si>
  <si>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</si>
  <si>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</si>
  <si>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</si>
  <si>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</si>
  <si>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</si>
  <si>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</si>
  <si>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</si>
  <si>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</si>
  <si>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</si>
  <si>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</si>
  <si>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</si>
  <si>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</si>
  <si>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</si>
  <si>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</si>
  <si>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</si>
  <si>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</si>
  <si>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</si>
  <si>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</si>
  <si>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</si>
  <si>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</si>
  <si>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</si>
  <si>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</si>
  <si>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</si>
  <si>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</si>
  <si>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</si>
  <si>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</si>
  <si>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</si>
  <si>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</si>
  <si>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</si>
  <si>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</si>
  <si>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</si>
  <si>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</si>
  <si>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</si>
  <si>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</si>
  <si>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</si>
  <si>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</si>
  <si>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</si>
  <si>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</si>
  <si>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</si>
  <si>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</si>
  <si>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</si>
  <si>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</si>
  <si>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</si>
  <si>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</si>
  <si>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</si>
  <si>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</si>
  <si>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</si>
  <si>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</si>
  <si>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</si>
  <si>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</si>
  <si>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</si>
  <si>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</si>
  <si>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</si>
  <si>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</si>
  <si>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</si>
  <si>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</si>
  <si>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</si>
  <si>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</si>
  <si>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</si>
  <si>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</si>
  <si>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</si>
  <si>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</si>
  <si>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</si>
  <si>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</si>
  <si>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</si>
  <si>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</si>
  <si>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</si>
  <si>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</si>
  <si>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</si>
  <si>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</si>
  <si>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</si>
  <si>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</si>
  <si>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</si>
  <si>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</si>
  <si>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</si>
  <si>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</si>
  <si>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</si>
  <si>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</si>
  <si>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</si>
  <si>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</si>
  <si>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</si>
  <si>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</si>
  <si>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</si>
  <si>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</si>
  <si>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</si>
  <si>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</si>
  <si>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</si>
  <si>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</si>
  <si>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</si>
  <si>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</si>
  <si>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</si>
  <si>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</si>
  <si>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</si>
  <si>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</si>
  <si>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</si>
  <si>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</si>
  <si>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</si>
  <si>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</si>
  <si>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</si>
  <si>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</si>
  <si>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</si>
  <si>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</si>
  <si>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</si>
  <si>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</si>
  <si>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</si>
  <si>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</si>
  <si>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</si>
  <si>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</si>
  <si>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</si>
  <si>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</si>
  <si>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</si>
  <si>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</si>
  <si>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</si>
  <si>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</si>
  <si>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</si>
  <si>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</si>
  <si>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</si>
  <si>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</si>
  <si>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</si>
  <si>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</si>
  <si>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</si>
  <si>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</si>
  <si>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</si>
  <si>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</si>
  <si>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</si>
  <si>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</si>
  <si>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</si>
  <si>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</si>
  <si>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</si>
  <si>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</si>
  <si>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</si>
  <si>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</si>
  <si>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</si>
  <si>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</si>
  <si>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</si>
  <si>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</si>
  <si>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</si>
  <si>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</si>
  <si>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</si>
  <si>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</si>
  <si>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</si>
  <si>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</si>
  <si>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</si>
  <si>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</si>
  <si>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</si>
  <si>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</si>
  <si>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</si>
  <si>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</si>
  <si>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</si>
  <si>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</si>
  <si>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</si>
  <si>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</si>
  <si>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</si>
  <si>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</si>
  <si>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</si>
  <si>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</si>
  <si>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</si>
  <si>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</si>
  <si>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</si>
  <si>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</si>
  <si>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</si>
  <si>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</si>
  <si>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</si>
  <si>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</si>
  <si>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</si>
  <si>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</si>
  <si>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</si>
  <si>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</si>
  <si>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</si>
  <si>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</si>
  <si>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</si>
  <si>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</si>
  <si>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</si>
  <si>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</si>
  <si>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</si>
  <si>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</si>
  <si>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</si>
  <si>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</si>
  <si>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</si>
  <si>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</si>
  <si>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</si>
  <si>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</si>
  <si>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</si>
  <si>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</si>
  <si>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</si>
  <si>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</si>
  <si>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</si>
  <si>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</si>
  <si>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</si>
  <si>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</si>
  <si>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</si>
  <si>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</si>
  <si>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</si>
  <si>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</si>
  <si>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</si>
  <si>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</si>
  <si>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</si>
  <si>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</si>
  <si>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</si>
  <si>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</si>
  <si>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</si>
  <si>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</si>
  <si>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</si>
  <si>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</si>
  <si>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</si>
  <si>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</si>
  <si>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</si>
  <si>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</si>
  <si>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</si>
  <si>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</si>
  <si>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</si>
  <si>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</si>
  <si>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</si>
  <si>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</si>
  <si>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</si>
  <si>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</si>
  <si>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</si>
  <si>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</si>
  <si>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</si>
  <si>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</si>
  <si>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</si>
  <si>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</si>
  <si>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</si>
  <si>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</si>
  <si>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</si>
  <si>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</si>
  <si>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</si>
  <si>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</si>
  <si>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</si>
  <si>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</si>
  <si>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</si>
  <si>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</si>
  <si>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</si>
  <si>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</si>
  <si>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</si>
  <si>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</si>
  <si>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</si>
  <si>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</si>
  <si>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</si>
  <si>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</si>
  <si>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</si>
  <si>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</si>
  <si>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</si>
  <si>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</si>
  <si>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</si>
  <si>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</si>
  <si>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</si>
  <si>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</si>
  <si>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</si>
  <si>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</si>
  <si>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</si>
  <si>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</si>
  <si>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</si>
  <si>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</si>
  <si>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</si>
  <si>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</si>
  <si>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</si>
  <si>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</si>
  <si>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</si>
  <si>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</si>
  <si>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</si>
  <si>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</si>
  <si>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</si>
  <si>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</si>
  <si>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</si>
  <si>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</si>
  <si>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</si>
  <si>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</si>
  <si>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</si>
  <si>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</si>
  <si>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</si>
  <si>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</si>
  <si>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</si>
  <si>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</si>
  <si>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</si>
  <si>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</si>
  <si>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</si>
  <si>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</si>
  <si>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</si>
  <si>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</si>
  <si>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</si>
  <si>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</si>
  <si>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</si>
  <si>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</si>
  <si>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</si>
  <si>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</si>
  <si>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</si>
  <si>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</si>
  <si>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</si>
  <si>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</si>
  <si>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</si>
  <si>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</si>
  <si>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</si>
  <si>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</si>
  <si>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</si>
  <si>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</si>
  <si>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</si>
  <si>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</si>
  <si>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</si>
  <si>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</si>
  <si>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</si>
  <si>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</si>
  <si>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</si>
  <si>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</si>
  <si>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</si>
  <si>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</si>
  <si>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</si>
  <si>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</si>
  <si>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</si>
  <si>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</si>
  <si>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</si>
  <si>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</si>
  <si>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</si>
  <si>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</si>
  <si>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</si>
  <si>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</si>
  <si>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</si>
  <si>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</si>
  <si>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</si>
  <si>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</si>
  <si>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</si>
  <si>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</si>
  <si>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</si>
  <si>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</si>
  <si>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</si>
  <si>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</si>
  <si>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</si>
  <si>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</si>
  <si>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</si>
  <si>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</si>
  <si>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</si>
  <si>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</si>
  <si>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</si>
  <si>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</si>
  <si>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</si>
  <si>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</si>
  <si>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2000-02-29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</si>
  <si>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</si>
  <si>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</si>
  <si>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</si>
  <si>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</si>
  <si>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</si>
  <si>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</si>
  <si>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</si>
  <si>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</si>
  <si>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</si>
  <si>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</si>
  <si>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</si>
  <si>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</si>
  <si>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</si>
  <si>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</si>
  <si>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</si>
  <si>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</si>
  <si>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</si>
  <si>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</si>
  <si>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</si>
  <si>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</si>
  <si>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</si>
  <si>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</si>
  <si>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</si>
  <si>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</si>
  <si>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</si>
  <si>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</si>
  <si>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</si>
  <si>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</si>
  <si>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</si>
  <si>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</si>
  <si>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</si>
  <si>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</si>
  <si>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</si>
  <si>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</si>
  <si>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</si>
  <si>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</si>
  <si>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</si>
  <si>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</si>
  <si>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</si>
  <si>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</si>
  <si>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</si>
  <si>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</si>
  <si>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</si>
  <si>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</si>
  <si>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</si>
  <si>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</si>
  <si>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</si>
  <si>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</si>
  <si>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</si>
  <si>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</si>
  <si>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</si>
  <si>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</si>
  <si>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</si>
  <si>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</si>
  <si>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</si>
  <si>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</si>
  <si>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</si>
  <si>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</si>
  <si>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</si>
  <si>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</si>
  <si>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</si>
  <si>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</si>
  <si>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</si>
  <si>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</si>
  <si>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</si>
  <si>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</si>
  <si>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</si>
  <si>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</si>
  <si>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</si>
  <si>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</si>
  <si>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</si>
  <si>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</si>
  <si>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</si>
  <si>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</si>
  <si>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</si>
  <si>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</si>
  <si>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</si>
  <si>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</si>
  <si>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</si>
  <si>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</si>
  <si>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</si>
  <si>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</si>
  <si>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</si>
  <si>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</si>
  <si>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</si>
  <si>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</si>
  <si>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</si>
  <si>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</si>
  <si>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</si>
  <si>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</si>
  <si>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</si>
  <si>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</si>
  <si>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</si>
  <si>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</si>
  <si>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</si>
  <si>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</si>
  <si>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</si>
  <si>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</si>
  <si>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</si>
  <si>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</si>
  <si>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</si>
  <si>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</si>
  <si>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</si>
  <si>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</si>
  <si>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</si>
  <si>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</si>
  <si>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</si>
  <si>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</si>
  <si>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</si>
  <si>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</si>
  <si>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</si>
  <si>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</si>
  <si>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</si>
  <si>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</si>
  <si>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</si>
  <si>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</si>
  <si>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</si>
  <si>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</si>
  <si>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</si>
  <si>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</si>
  <si>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</si>
  <si>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</si>
  <si>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</si>
  <si>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</si>
  <si>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</si>
  <si>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</si>
  <si>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</si>
  <si>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</si>
  <si>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</si>
  <si>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</si>
  <si>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</si>
  <si>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</si>
  <si>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</si>
  <si>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</si>
  <si>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</si>
  <si>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</si>
  <si>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</si>
  <si>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</si>
  <si>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</si>
  <si>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</si>
  <si>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</si>
  <si>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</si>
  <si>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</si>
  <si>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</si>
  <si>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</si>
  <si>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</si>
  <si>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</si>
  <si>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</si>
  <si>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</si>
  <si>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</si>
  <si>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</si>
  <si>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</si>
  <si>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</si>
  <si>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</si>
  <si>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</si>
  <si>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</si>
  <si>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</si>
  <si>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</si>
  <si>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</si>
  <si>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</si>
  <si>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</si>
  <si>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</si>
  <si>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</si>
  <si>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</si>
  <si>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</si>
  <si>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</si>
  <si>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</si>
  <si>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</si>
  <si>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</si>
  <si>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</si>
  <si>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</si>
  <si>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</si>
  <si>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</si>
  <si>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</si>
  <si>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</si>
  <si>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</si>
  <si>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</si>
  <si>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</si>
  <si>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</si>
  <si>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</si>
  <si>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</si>
  <si>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</si>
  <si>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</si>
  <si>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</si>
  <si>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</si>
  <si>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</si>
  <si>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</si>
  <si>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</si>
  <si>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</si>
  <si>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</si>
  <si>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</si>
  <si>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</si>
  <si>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</si>
  <si>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</si>
  <si>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</si>
  <si>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</si>
  <si>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</si>
  <si>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</si>
  <si>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</si>
  <si>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</si>
  <si>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</si>
  <si>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</si>
  <si>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</si>
  <si>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</si>
  <si>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</si>
  <si>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</si>
  <si>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</si>
  <si>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</si>
  <si>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</si>
  <si>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</si>
  <si>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</si>
  <si>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</si>
  <si>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</si>
  <si>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</si>
  <si>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</si>
  <si>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</si>
  <si>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</si>
  <si>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</si>
  <si>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</si>
  <si>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</si>
  <si>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</si>
  <si>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</si>
  <si>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</si>
  <si>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</si>
  <si>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</si>
  <si>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</si>
  <si>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</si>
  <si>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</si>
  <si>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</si>
  <si>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</si>
  <si>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</si>
  <si>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</si>
  <si>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</si>
  <si>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</si>
  <si>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</si>
  <si>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</si>
  <si>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</si>
  <si>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</si>
  <si>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</si>
  <si>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</si>
  <si>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</si>
  <si>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</si>
  <si>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</si>
  <si>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</si>
  <si>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</si>
  <si>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</si>
  <si>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</si>
  <si>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</si>
  <si>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</si>
  <si>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</si>
  <si>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</si>
  <si>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</si>
  <si>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</si>
  <si>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</si>
  <si>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</si>
  <si>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</si>
  <si>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</si>
  <si>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</si>
  <si>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</si>
  <si>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</si>
  <si>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</si>
  <si>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</si>
  <si>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</si>
  <si>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</si>
  <si>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</si>
  <si>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</si>
  <si>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</si>
  <si>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</si>
  <si>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</si>
  <si>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</si>
  <si>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</si>
  <si>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</si>
  <si>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</si>
  <si>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</si>
  <si>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</si>
  <si>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</si>
  <si>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</si>
  <si>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</si>
  <si>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</si>
  <si>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</si>
  <si>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</si>
  <si>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</si>
  <si>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</si>
  <si>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</si>
  <si>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</si>
  <si>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</si>
  <si>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</si>
  <si>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</si>
  <si>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</si>
  <si>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</si>
  <si>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</si>
  <si>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</si>
  <si>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</si>
  <si>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</si>
  <si>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</si>
  <si>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</si>
  <si>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</si>
  <si>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</si>
  <si>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</si>
  <si>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</si>
  <si>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</si>
  <si>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</si>
  <si>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</si>
  <si>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</si>
  <si>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</si>
  <si>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</si>
  <si>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</si>
  <si>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</si>
  <si>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</si>
  <si>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</si>
  <si>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</si>
  <si>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</si>
  <si>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</si>
  <si>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</si>
  <si>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</si>
  <si>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</si>
  <si>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</si>
  <si>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</si>
  <si>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</si>
  <si>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</si>
  <si>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</si>
  <si>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</si>
  <si>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</si>
  <si>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</si>
  <si>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</si>
  <si>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</si>
  <si>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</si>
  <si>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</si>
  <si>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</si>
  <si>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</si>
  <si>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</si>
  <si>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</si>
  <si>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</si>
  <si>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</si>
  <si>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</si>
  <si>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</si>
  <si>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</si>
  <si>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</si>
  <si>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</si>
  <si>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</si>
  <si>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</si>
  <si>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</si>
  <si>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</si>
  <si>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</si>
  <si>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</si>
  <si>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</si>
  <si>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</si>
  <si>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</si>
  <si>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</si>
  <si>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</si>
  <si>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</si>
  <si>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</si>
  <si>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</si>
  <si>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</si>
  <si>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</si>
  <si>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</si>
  <si>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</si>
  <si>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</si>
  <si>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</si>
  <si>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</si>
  <si>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</si>
  <si>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</si>
  <si>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</si>
  <si>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</si>
  <si>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</si>
  <si>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</si>
  <si>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</si>
  <si>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</si>
  <si>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</si>
  <si>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</si>
  <si>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</si>
  <si>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</si>
  <si>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</si>
  <si>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</si>
  <si>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</si>
  <si>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</si>
  <si>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</si>
  <si>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</si>
  <si>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</si>
  <si>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</si>
  <si>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</si>
  <si>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</si>
  <si>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</si>
  <si>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</si>
  <si>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</si>
  <si>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</si>
  <si>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</si>
  <si>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</si>
  <si>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</si>
  <si>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</si>
  <si>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</si>
  <si>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</si>
  <si>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</si>
  <si>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</si>
  <si>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</si>
  <si>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</si>
  <si>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</si>
  <si>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</si>
  <si>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</si>
  <si>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</si>
  <si>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</si>
  <si>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</si>
  <si>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</si>
  <si>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</si>
  <si>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</si>
  <si>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</si>
  <si>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</si>
  <si>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</si>
  <si>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</si>
  <si>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</si>
  <si>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</si>
  <si>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</si>
  <si>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</si>
  <si>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</si>
  <si>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</si>
  <si>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</si>
  <si>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</si>
  <si>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</si>
  <si>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</si>
  <si>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</si>
  <si>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</si>
  <si>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</si>
  <si>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</si>
  <si>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</si>
  <si>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</si>
  <si>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</si>
  <si>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</si>
  <si>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</si>
  <si>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</si>
  <si>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</si>
  <si>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</si>
  <si>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</si>
  <si>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</si>
  <si>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</si>
  <si>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</si>
  <si>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</si>
  <si>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</si>
  <si>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</si>
  <si>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</si>
  <si>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</si>
  <si>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</si>
  <si>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</si>
  <si>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</si>
  <si>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</si>
  <si>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</si>
  <si>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</si>
  <si>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</si>
  <si>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</si>
  <si>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</si>
  <si>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</si>
  <si>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</si>
  <si>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</si>
  <si>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</si>
  <si>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</si>
  <si>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</si>
  <si>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</si>
  <si>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</si>
  <si>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</si>
  <si>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</si>
  <si>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</si>
  <si>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</si>
  <si>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</si>
  <si>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</si>
  <si>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</si>
  <si>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</si>
  <si>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</si>
  <si>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</si>
  <si>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</si>
  <si>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</si>
  <si>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</si>
  <si>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</si>
  <si>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</si>
  <si>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</si>
  <si>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</si>
  <si>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</si>
  <si>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</si>
  <si>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</si>
  <si>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</si>
  <si>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</si>
  <si>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</si>
  <si>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</si>
  <si>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</si>
  <si>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</si>
  <si>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</si>
  <si>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</si>
  <si>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</si>
  <si>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</si>
  <si>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</si>
  <si>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</si>
  <si>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</si>
  <si>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</si>
  <si>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</si>
  <si>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</si>
  <si>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</si>
  <si>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</si>
  <si>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</si>
  <si>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</si>
  <si>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</si>
  <si>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</si>
  <si>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</si>
  <si>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</si>
  <si>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</si>
  <si>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</si>
  <si>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</si>
  <si>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</si>
  <si>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</si>
  <si>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</si>
  <si>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</si>
  <si>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</si>
  <si>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</si>
  <si>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</si>
  <si>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</si>
  <si>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</si>
  <si>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</si>
  <si>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</si>
  <si>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</si>
  <si>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</si>
  <si>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</si>
  <si>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</si>
  <si>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</si>
  <si>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</si>
  <si>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</si>
  <si>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</si>
  <si>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</si>
  <si>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</si>
  <si>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</si>
  <si>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</si>
  <si>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</si>
  <si>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</si>
  <si>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</si>
  <si>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</si>
  <si>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</si>
  <si>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</si>
  <si>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</si>
  <si>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</si>
  <si>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</si>
  <si>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</si>
  <si>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</si>
  <si>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</si>
  <si>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</si>
  <si>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</si>
  <si>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</si>
  <si>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</si>
  <si>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</si>
  <si>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</si>
  <si>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</si>
  <si>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</si>
  <si>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</si>
  <si>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</si>
  <si>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</si>
  <si>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</si>
  <si>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</si>
  <si>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</si>
  <si>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</si>
  <si>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</si>
  <si>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</si>
  <si>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</si>
  <si>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</si>
  <si>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</si>
  <si>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</si>
  <si>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</si>
  <si>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</si>
  <si>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</si>
  <si>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</si>
  <si>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</si>
  <si>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</si>
  <si>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</si>
  <si>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</si>
  <si>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</si>
  <si>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</si>
  <si>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</si>
  <si>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</si>
  <si>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</si>
  <si>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</si>
  <si>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</si>
  <si>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</si>
  <si>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</si>
  <si>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</si>
  <si>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</si>
  <si>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</si>
  <si>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</si>
  <si>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</si>
  <si>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</si>
  <si>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</si>
  <si>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</si>
  <si>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</si>
  <si>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</si>
  <si>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</si>
  <si>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</si>
  <si>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</si>
  <si>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</si>
  <si>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</si>
  <si>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</si>
  <si>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</si>
  <si>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</si>
  <si>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</si>
  <si>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</si>
  <si>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</si>
  <si>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</si>
  <si>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</si>
  <si>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</si>
  <si>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</si>
  <si>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</si>
  <si>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</si>
  <si>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</si>
  <si>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</si>
  <si>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</si>
  <si>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</si>
  <si>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</si>
  <si>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</si>
  <si>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</si>
  <si>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</si>
  <si>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</si>
  <si>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</si>
  <si>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</si>
  <si>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</si>
  <si>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</si>
  <si>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</si>
  <si>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</si>
  <si>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</si>
  <si>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</si>
  <si>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</si>
  <si>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</si>
  <si>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</si>
  <si>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</si>
  <si>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</si>
  <si>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</si>
  <si>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</si>
  <si>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</si>
  <si>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</si>
  <si>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</si>
  <si>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</si>
  <si>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</si>
  <si>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</si>
  <si>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</si>
  <si>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</si>
  <si>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</si>
  <si>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</si>
  <si>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</si>
  <si>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</si>
  <si>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</si>
  <si>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</si>
  <si>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</si>
  <si>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</si>
  <si>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</si>
  <si>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</si>
  <si>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</si>
  <si>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</si>
  <si>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</si>
  <si>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</si>
  <si>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</si>
  <si>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</si>
  <si>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</si>
  <si>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</si>
  <si>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</si>
  <si>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</si>
  <si>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</si>
  <si>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</si>
  <si>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</si>
  <si>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</si>
  <si>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</si>
  <si>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</si>
  <si>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</si>
  <si>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</si>
  <si>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</si>
  <si>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</si>
  <si>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</si>
  <si>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</si>
  <si>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</si>
  <si>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</si>
  <si>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</si>
  <si>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</si>
  <si>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</si>
  <si>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</si>
  <si>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</si>
  <si>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</si>
  <si>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</si>
  <si>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</si>
  <si>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</si>
  <si>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</si>
  <si>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</si>
  <si>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</si>
  <si>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</si>
  <si>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</si>
  <si>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</si>
  <si>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</si>
  <si>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</si>
  <si>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</si>
  <si>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</si>
  <si>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</si>
  <si>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</si>
  <si>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</si>
  <si>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</si>
  <si>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</si>
  <si>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</si>
  <si>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</si>
  <si>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</si>
  <si>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</si>
  <si>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</si>
  <si>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</si>
  <si>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</si>
  <si>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</si>
  <si>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</si>
  <si>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</si>
  <si>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</si>
  <si>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</si>
  <si>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</si>
  <si>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</si>
  <si>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</si>
  <si>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</si>
  <si>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</si>
  <si>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</si>
  <si>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</si>
  <si>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</si>
  <si>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</si>
  <si>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</si>
  <si>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</si>
  <si>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</si>
  <si>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</si>
  <si>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</si>
  <si>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</si>
  <si>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</si>
  <si>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</si>
  <si>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</si>
  <si>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</si>
  <si>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</si>
  <si>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</si>
  <si>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</si>
  <si>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</si>
  <si>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</si>
  <si>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</si>
  <si>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</si>
  <si>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</si>
  <si>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</si>
  <si>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</si>
  <si>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</si>
  <si>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</si>
  <si>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</si>
  <si>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</si>
  <si>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</si>
  <si>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</si>
  <si>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</si>
  <si>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</si>
  <si>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</si>
  <si>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</si>
  <si>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</si>
  <si>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</si>
  <si>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</si>
  <si>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</si>
  <si>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</si>
  <si>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</si>
  <si>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</si>
  <si>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</si>
  <si>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</si>
  <si>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</si>
  <si>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</si>
  <si>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</si>
  <si>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</si>
  <si>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</si>
  <si>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</si>
  <si>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</si>
  <si>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</si>
  <si>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</si>
  <si>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</si>
  <si>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</si>
  <si>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</si>
  <si>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</si>
  <si>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</si>
  <si>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</si>
  <si>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</si>
  <si>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</si>
  <si>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</si>
  <si>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</si>
  <si>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</si>
  <si>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</si>
  <si>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</si>
  <si>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</si>
  <si>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</si>
  <si>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</si>
  <si>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</si>
  <si>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</si>
  <si>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</si>
  <si>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</si>
  <si>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</si>
  <si>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</si>
  <si>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</si>
  <si>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</si>
  <si>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</si>
  <si>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</si>
  <si>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</si>
  <si>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</si>
  <si>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</si>
  <si>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</si>
  <si>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</si>
  <si>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</si>
  <si>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</si>
  <si>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</si>
  <si>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</si>
  <si>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</si>
  <si>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</si>
  <si>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</si>
  <si>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</si>
  <si>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</si>
  <si>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</si>
  <si>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</si>
  <si>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</si>
  <si>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</si>
  <si>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</si>
  <si>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</si>
  <si>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</si>
  <si>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</si>
  <si>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</si>
  <si>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</si>
  <si>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</si>
  <si>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</si>
  <si>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</si>
  <si>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</si>
  <si>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</si>
  <si>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</si>
  <si>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</si>
  <si>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</si>
  <si>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</si>
  <si>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</si>
  <si>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</si>
  <si>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</si>
  <si>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</si>
  <si>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</si>
  <si>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</si>
  <si>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</si>
  <si>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</si>
  <si>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</si>
  <si>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</si>
  <si>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</si>
  <si>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</si>
  <si>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</si>
  <si>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</si>
  <si>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</si>
  <si>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</si>
  <si>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</si>
  <si>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</si>
  <si>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</si>
  <si>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</si>
  <si>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</si>
  <si>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</si>
  <si>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</si>
  <si>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</si>
  <si>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</si>
  <si>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</si>
  <si>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</si>
  <si>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</si>
  <si>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</si>
  <si>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</si>
  <si>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</si>
  <si>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</si>
  <si>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</si>
  <si>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</si>
  <si>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</si>
  <si>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</si>
  <si>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</si>
  <si>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</si>
  <si>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</si>
  <si>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</si>
  <si>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</si>
  <si>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</si>
  <si>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</si>
  <si>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</si>
  <si>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</si>
  <si>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</si>
  <si>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</si>
  <si>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</si>
  <si>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</si>
  <si>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</si>
  <si>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</si>
  <si>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</si>
  <si>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</si>
  <si>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</si>
  <si>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</si>
  <si>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</si>
  <si>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</si>
  <si>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</si>
  <si>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</si>
  <si>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</si>
  <si>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</si>
  <si>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</si>
  <si>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</si>
  <si>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</si>
  <si>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</si>
  <si>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</si>
  <si>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</si>
  <si>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</si>
  <si>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</si>
  <si>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</si>
  <si>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</si>
  <si>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</si>
  <si>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</si>
  <si>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</si>
  <si>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</si>
  <si>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</si>
  <si>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</si>
  <si>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</si>
  <si>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</si>
  <si>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</si>
  <si>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</si>
  <si>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</si>
  <si>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</si>
  <si>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</si>
  <si>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</si>
  <si>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</si>
  <si>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</si>
  <si>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</si>
  <si>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</si>
  <si>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</si>
  <si>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</si>
  <si>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</si>
  <si>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</si>
  <si>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</si>
  <si>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</si>
  <si>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</si>
  <si>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</si>
  <si>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</si>
  <si>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</si>
  <si>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</si>
  <si>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</si>
  <si>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</si>
  <si>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</si>
  <si>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</si>
  <si>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</si>
  <si>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</si>
  <si>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</si>
  <si>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</si>
  <si>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</si>
  <si>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</si>
  <si>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</si>
  <si>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</si>
  <si>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</si>
  <si>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</si>
  <si>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</si>
  <si>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</si>
  <si>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</si>
  <si>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</si>
  <si>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</si>
  <si>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</si>
  <si>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</si>
  <si>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</si>
  <si>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</si>
  <si>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</si>
  <si>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</si>
  <si>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</si>
  <si>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</si>
  <si>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</si>
  <si>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</si>
  <si>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</si>
  <si>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</si>
  <si>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</si>
  <si>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</si>
  <si>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</si>
  <si>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</si>
  <si>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</si>
  <si>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</si>
  <si>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</si>
  <si>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</si>
  <si>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</si>
  <si>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</si>
  <si>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</si>
  <si>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</si>
  <si>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</si>
  <si>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</si>
  <si>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</si>
  <si>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</si>
  <si>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</si>
  <si>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</si>
  <si>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</si>
  <si>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</si>
  <si>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</si>
  <si>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</si>
  <si>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</si>
  <si>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</si>
  <si>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</si>
  <si>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</si>
  <si>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</si>
  <si>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</si>
  <si>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</si>
  <si>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</si>
  <si>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</si>
  <si>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</si>
  <si>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</si>
  <si>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</si>
  <si>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</si>
  <si>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</si>
  <si>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</si>
  <si>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</si>
  <si>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</si>
  <si>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</si>
  <si>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</si>
  <si>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</si>
  <si>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</si>
  <si>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</si>
  <si>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</si>
  <si>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</si>
  <si>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</si>
  <si>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</si>
  <si>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</si>
  <si>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</si>
  <si>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</si>
  <si>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</si>
  <si>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</si>
  <si>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</si>
  <si>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</si>
  <si>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</si>
  <si>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</si>
  <si>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</si>
  <si>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</si>
  <si>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</si>
  <si>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</si>
  <si>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</si>
  <si>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</si>
  <si>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</si>
  <si>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</si>
  <si>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</si>
  <si>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</si>
  <si>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</si>
  <si>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</si>
  <si>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</si>
  <si>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</si>
  <si>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</si>
  <si>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</si>
  <si>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</si>
  <si>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</si>
  <si>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</si>
  <si>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</si>
  <si>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</si>
  <si>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</si>
  <si>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</si>
  <si>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</si>
  <si>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</si>
  <si>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</si>
  <si>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</si>
  <si>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</si>
  <si>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</si>
  <si>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</si>
  <si>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</si>
  <si>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</si>
  <si>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</si>
  <si>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</si>
  <si>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</si>
  <si>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</si>
  <si>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</si>
  <si>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</si>
  <si>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</si>
  <si>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</si>
  <si>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</si>
  <si>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</si>
  <si>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</si>
  <si>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</si>
  <si>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</si>
  <si>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</si>
  <si>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</si>
  <si>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</si>
  <si>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</si>
  <si>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</si>
  <si>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</si>
  <si>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</si>
  <si>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</si>
  <si>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</si>
  <si>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</si>
  <si>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</si>
  <si>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</si>
  <si>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</si>
  <si>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</si>
  <si>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</si>
  <si>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</si>
  <si>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</si>
  <si>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</si>
  <si>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</si>
  <si>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</si>
  <si>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</si>
  <si>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</si>
  <si>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</si>
  <si>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</si>
  <si>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</si>
  <si>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</si>
  <si>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</si>
  <si>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</si>
  <si>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</si>
  <si>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</si>
  <si>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</si>
  <si>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</si>
  <si>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</si>
  <si>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</si>
  <si>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</si>
  <si>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</si>
  <si>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</si>
  <si>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</si>
  <si>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</si>
  <si>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</si>
  <si>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</si>
  <si>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</si>
  <si>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</si>
  <si>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</si>
  <si>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</si>
  <si>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</si>
  <si>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</si>
  <si>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</si>
  <si>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</si>
  <si>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</si>
  <si>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</si>
  <si>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</si>
  <si>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</si>
  <si>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</si>
  <si>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</si>
  <si>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</si>
  <si>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</si>
  <si>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</si>
  <si>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</si>
  <si>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</si>
  <si>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</si>
  <si>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</si>
  <si>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</si>
  <si>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</si>
  <si>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</si>
  <si>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</si>
  <si>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</si>
  <si>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</si>
  <si>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</si>
  <si>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</si>
  <si>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</si>
  <si>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</si>
  <si>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</si>
  <si>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</si>
  <si>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</si>
  <si>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</si>
  <si>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</si>
  <si>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</si>
  <si>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</si>
  <si>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</si>
  <si>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</si>
  <si>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</si>
  <si>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</si>
  <si>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</si>
  <si>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</si>
  <si>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</si>
  <si>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</si>
  <si>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</si>
  <si>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</si>
  <si>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</si>
  <si>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</si>
  <si>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</si>
  <si>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</si>
  <si>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</si>
  <si>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</si>
  <si>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</si>
  <si>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</si>
  <si>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</si>
  <si>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</si>
  <si>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</si>
  <si>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</si>
  <si>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</si>
  <si>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</si>
  <si>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</si>
  <si>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</si>
  <si>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</si>
  <si>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</si>
  <si>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</si>
  <si>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</si>
  <si>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</si>
  <si>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</si>
  <si>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</si>
  <si>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</si>
  <si>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</si>
  <si>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</si>
  <si>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</si>
  <si>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</si>
  <si>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</si>
  <si>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</si>
  <si>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</si>
  <si>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</si>
  <si>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</si>
  <si>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</si>
  <si>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</si>
  <si>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</si>
  <si>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</si>
  <si>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</si>
  <si>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</si>
  <si>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</si>
  <si>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</si>
  <si>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</si>
  <si>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</si>
  <si>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</si>
  <si>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</si>
  <si>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</si>
  <si>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</si>
  <si>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</si>
  <si>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</si>
  <si>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</si>
  <si>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</si>
  <si>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</si>
  <si>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</si>
  <si>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</si>
  <si>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</si>
  <si>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</si>
  <si>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</si>
  <si>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</si>
  <si>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</si>
  <si>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</si>
  <si>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</si>
  <si>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</si>
  <si>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</si>
  <si>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</si>
  <si>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</si>
  <si>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</si>
  <si>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</si>
  <si>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</si>
  <si>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</si>
  <si>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</si>
  <si>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</si>
  <si>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</si>
  <si>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</si>
  <si>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</si>
  <si>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</si>
  <si>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</si>
  <si>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</si>
  <si>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</si>
  <si>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</si>
  <si>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</si>
  <si>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</si>
  <si>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</si>
  <si>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</si>
  <si>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</si>
  <si>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</si>
  <si>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</si>
  <si>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</si>
  <si>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</si>
  <si>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</si>
  <si>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</si>
  <si>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</si>
  <si>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</si>
  <si>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</si>
  <si>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</si>
  <si>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</si>
  <si>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</si>
  <si>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</si>
  <si>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</si>
  <si>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</si>
  <si>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</si>
  <si>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</si>
  <si>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</si>
  <si>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</si>
  <si>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</si>
  <si>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</si>
  <si>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</si>
  <si>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</si>
  <si>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</si>
  <si>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</si>
  <si>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</si>
  <si>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</si>
  <si>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</si>
  <si>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</si>
  <si>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</si>
  <si>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</si>
  <si>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</si>
  <si>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</si>
  <si>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</si>
  <si>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</si>
  <si>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</si>
  <si>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</si>
  <si>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</si>
  <si>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</si>
  <si>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</si>
  <si>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</si>
  <si>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</si>
  <si>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</si>
  <si>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</si>
  <si>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</si>
  <si>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</si>
  <si>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</si>
  <si>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</si>
  <si>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</si>
  <si>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</si>
  <si>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</si>
  <si>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</si>
  <si>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</si>
  <si>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</si>
  <si>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</si>
  <si>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</si>
  <si>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</si>
  <si>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</si>
  <si>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</si>
  <si>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</si>
  <si>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</si>
  <si>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</si>
  <si>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</si>
  <si>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</si>
  <si>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</si>
  <si>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</si>
  <si>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</si>
  <si>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</si>
  <si>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</si>
  <si>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</si>
  <si>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</si>
  <si>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</si>
  <si>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</si>
  <si>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</si>
  <si>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</si>
  <si>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</si>
  <si>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</si>
  <si>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</si>
  <si>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</si>
  <si>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</si>
  <si>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</si>
  <si>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</si>
  <si>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</si>
  <si>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</si>
  <si>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</si>
  <si>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</si>
  <si>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</si>
  <si>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</si>
  <si>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</si>
  <si>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</si>
  <si>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</si>
  <si>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</si>
  <si>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</si>
  <si>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</si>
  <si>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</si>
  <si>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</si>
  <si>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</si>
  <si>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</si>
  <si>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</si>
  <si>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</si>
  <si>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</si>
  <si>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</si>
  <si>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</si>
  <si>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</si>
  <si>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</si>
  <si>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</si>
  <si>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</si>
  <si>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</si>
  <si>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</si>
  <si>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</si>
  <si>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</si>
  <si>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</si>
  <si>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</si>
  <si>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</si>
  <si>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</si>
  <si>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</si>
  <si>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</si>
  <si>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</si>
  <si>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</si>
  <si>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</si>
  <si>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</si>
  <si>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</si>
  <si>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</si>
  <si>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</si>
  <si>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</si>
  <si>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</si>
  <si>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</si>
  <si>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</si>
  <si>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</si>
  <si>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</si>
  <si>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</si>
  <si>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</si>
  <si>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</si>
  <si>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</si>
  <si>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</si>
  <si>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</si>
  <si>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</si>
  <si>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</si>
  <si>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</si>
  <si>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</si>
  <si>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</si>
  <si>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</si>
  <si>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</si>
  <si>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</si>
  <si>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</si>
  <si>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</si>
  <si>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</si>
  <si>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</si>
  <si>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</si>
  <si>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</si>
  <si>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</si>
  <si>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</si>
  <si>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</si>
  <si>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</si>
  <si>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</si>
  <si>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</si>
  <si>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</si>
  <si>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</si>
  <si>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</si>
  <si>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</si>
  <si>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</si>
  <si>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</si>
  <si>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</si>
  <si>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</si>
  <si>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</si>
  <si>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</si>
  <si>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</si>
  <si>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</si>
  <si>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</si>
  <si>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</si>
  <si>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</si>
  <si>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</si>
  <si>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</si>
  <si>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</si>
  <si>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</si>
  <si>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</si>
  <si>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</si>
  <si>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</si>
  <si>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</si>
  <si>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</si>
  <si>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</si>
  <si>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</si>
  <si>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</si>
  <si>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</si>
  <si>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</si>
  <si>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</si>
  <si>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</si>
  <si>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</si>
  <si>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</si>
  <si>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</si>
  <si>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</si>
  <si>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</si>
  <si>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</si>
  <si>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</si>
  <si>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</si>
  <si>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</si>
  <si>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</si>
  <si>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</si>
  <si>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</si>
  <si>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</si>
  <si>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</si>
  <si>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</si>
  <si>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</si>
  <si>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</si>
  <si>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</si>
  <si>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</si>
  <si>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</si>
  <si>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</si>
  <si>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</si>
  <si>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</si>
  <si>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</si>
  <si>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</si>
  <si>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</si>
  <si>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</si>
  <si>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</si>
  <si>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</si>
  <si>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</si>
  <si>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</si>
  <si>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</si>
  <si>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</si>
  <si>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</si>
  <si>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</si>
  <si>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</si>
  <si>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</si>
  <si>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</si>
  <si>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</si>
  <si>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</si>
  <si>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</si>
  <si>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</si>
  <si>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</si>
  <si>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</si>
  <si>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</si>
  <si>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2004-02-29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</si>
  <si>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</si>
  <si>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</si>
  <si>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</si>
  <si>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</si>
  <si>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</si>
  <si>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</si>
  <si>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</si>
  <si>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</si>
  <si>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</si>
  <si>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</si>
  <si>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</si>
  <si>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</si>
  <si>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</si>
  <si>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</si>
  <si>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</si>
  <si>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</si>
  <si>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</si>
  <si>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</si>
  <si>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</si>
  <si>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</si>
  <si>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</si>
  <si>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</si>
  <si>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</si>
  <si>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</si>
  <si>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</si>
  <si>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</si>
  <si>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</si>
  <si>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</si>
  <si>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</si>
  <si>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</si>
  <si>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</si>
  <si>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</si>
  <si>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</si>
  <si>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</si>
  <si>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</si>
  <si>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</si>
  <si>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</si>
  <si>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</si>
  <si>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</si>
  <si>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</si>
  <si>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</si>
  <si>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</si>
  <si>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</si>
  <si>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</si>
  <si>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</si>
  <si>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</si>
  <si>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</si>
  <si>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</si>
  <si>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</si>
  <si>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</si>
  <si>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</si>
  <si>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</si>
  <si>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</si>
  <si>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</si>
  <si>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</si>
  <si>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</si>
  <si>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</si>
  <si>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</si>
  <si>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</si>
  <si>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</si>
  <si>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</si>
  <si>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</si>
  <si>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</si>
  <si>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</si>
  <si>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</si>
  <si>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</si>
  <si>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</si>
  <si>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</si>
  <si>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</si>
  <si>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</si>
  <si>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</si>
  <si>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</si>
  <si>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</si>
  <si>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</si>
  <si>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</si>
  <si>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</si>
  <si>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</si>
  <si>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</si>
  <si>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</si>
  <si>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</si>
  <si>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</si>
  <si>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</si>
  <si>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</si>
  <si>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</si>
  <si>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</si>
  <si>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</si>
  <si>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</si>
  <si>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</si>
  <si>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</si>
  <si>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</si>
  <si>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</si>
  <si>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</si>
  <si>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</si>
  <si>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</si>
  <si>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</si>
  <si>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</si>
  <si>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</si>
  <si>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</si>
  <si>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</si>
  <si>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</si>
  <si>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</si>
  <si>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</si>
  <si>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</si>
  <si>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</si>
  <si>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</si>
  <si>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</si>
  <si>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</si>
  <si>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</si>
  <si>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</si>
  <si>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</si>
  <si>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</si>
  <si>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</si>
  <si>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</si>
  <si>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</si>
  <si>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</si>
  <si>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</si>
  <si>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</si>
  <si>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</si>
  <si>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</si>
  <si>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</si>
  <si>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</si>
  <si>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</si>
  <si>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</si>
  <si>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</si>
  <si>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</si>
  <si>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</si>
  <si>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</si>
  <si>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</si>
  <si>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</si>
  <si>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</si>
  <si>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</si>
  <si>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</si>
  <si>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</si>
  <si>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</si>
  <si>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</si>
  <si>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</si>
  <si>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</si>
  <si>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</si>
  <si>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</si>
  <si>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</si>
  <si>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</si>
  <si>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</si>
  <si>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</si>
  <si>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</si>
  <si>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</si>
  <si>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</si>
  <si>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</si>
  <si>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</si>
  <si>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</si>
  <si>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</si>
  <si>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</si>
  <si>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</si>
  <si>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</si>
  <si>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</si>
  <si>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</si>
  <si>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</si>
  <si>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</si>
  <si>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</si>
  <si>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</si>
  <si>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</si>
  <si>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</si>
  <si>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</si>
  <si>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</si>
  <si>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</si>
  <si>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</si>
  <si>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</si>
  <si>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</si>
  <si>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</si>
  <si>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</si>
  <si>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</si>
  <si>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</si>
  <si>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</si>
  <si>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</si>
  <si>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</si>
  <si>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</si>
  <si>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</si>
  <si>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</si>
  <si>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</si>
  <si>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</si>
  <si>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</si>
  <si>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</si>
  <si>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</si>
  <si>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</si>
  <si>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</si>
  <si>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</si>
  <si>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</si>
  <si>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</si>
  <si>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</si>
  <si>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</si>
  <si>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</si>
  <si>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</si>
  <si>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</si>
  <si>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</si>
  <si>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</si>
  <si>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</si>
  <si>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</si>
  <si>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</si>
  <si>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</si>
  <si>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</si>
  <si>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</si>
  <si>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</si>
  <si>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</si>
  <si>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</si>
  <si>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</si>
  <si>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</si>
  <si>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</si>
  <si>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</si>
  <si>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</si>
  <si>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</si>
  <si>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</si>
  <si>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</si>
  <si>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</si>
  <si>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</si>
  <si>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</si>
  <si>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</si>
  <si>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</si>
  <si>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</si>
  <si>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</si>
  <si>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</si>
  <si>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</si>
  <si>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</si>
  <si>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</si>
  <si>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</si>
  <si>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</si>
  <si>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</si>
  <si>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</si>
  <si>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</si>
  <si>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</si>
  <si>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</si>
  <si>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</si>
  <si>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</si>
  <si>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</si>
  <si>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</si>
  <si>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</si>
  <si>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</si>
  <si>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</si>
  <si>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</si>
  <si>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</si>
  <si>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</si>
  <si>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</si>
  <si>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</si>
  <si>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</si>
  <si>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</si>
  <si>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</si>
  <si>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</si>
  <si>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</si>
  <si>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</si>
  <si>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</si>
  <si>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</si>
  <si>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</si>
  <si>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</si>
  <si>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</si>
  <si>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</si>
  <si>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</si>
  <si>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</si>
  <si>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</si>
  <si>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</si>
  <si>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</si>
  <si>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</si>
  <si>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</si>
  <si>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</si>
  <si>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</si>
  <si>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</si>
  <si>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</si>
  <si>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</si>
  <si>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</si>
  <si>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</si>
  <si>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</si>
  <si>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</si>
  <si>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</si>
  <si>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</si>
  <si>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</si>
  <si>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</si>
  <si>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</si>
  <si>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</si>
  <si>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</si>
  <si>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</si>
  <si>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</si>
  <si>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</si>
  <si>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</si>
  <si>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</si>
  <si>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</si>
  <si>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</si>
  <si>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</si>
  <si>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</si>
  <si>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</si>
  <si>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</si>
  <si>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</si>
  <si>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</si>
  <si>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</si>
  <si>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</si>
  <si>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</si>
  <si>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</si>
  <si>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</si>
  <si>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</si>
  <si>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</si>
  <si>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</si>
  <si>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</si>
  <si>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</si>
  <si>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</si>
  <si>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</si>
  <si>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</si>
  <si>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</si>
  <si>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</si>
  <si>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</si>
  <si>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</si>
  <si>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</si>
  <si>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</si>
  <si>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</si>
  <si>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</si>
  <si>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</si>
  <si>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</si>
  <si>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</si>
  <si>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</si>
  <si>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</si>
  <si>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</si>
  <si>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</si>
  <si>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</si>
  <si>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</si>
  <si>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</si>
  <si>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</si>
  <si>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</si>
  <si>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</si>
  <si>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</si>
  <si>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</si>
  <si>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</si>
  <si>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</si>
  <si>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</si>
  <si>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</si>
  <si>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</si>
  <si>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</si>
  <si>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</si>
  <si>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</si>
  <si>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</si>
  <si>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</si>
  <si>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</si>
  <si>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</si>
  <si>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</si>
  <si>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</si>
  <si>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</si>
  <si>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</si>
  <si>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</si>
  <si>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</si>
  <si>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</si>
  <si>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</si>
  <si>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</si>
  <si>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</si>
  <si>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</si>
  <si>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</si>
  <si>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</si>
  <si>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</si>
  <si>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</si>
  <si>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</si>
  <si>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</si>
  <si>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</si>
  <si>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</si>
  <si>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</si>
  <si>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</si>
  <si>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</si>
  <si>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</si>
  <si>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</si>
  <si>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</si>
  <si>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</si>
  <si>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</si>
  <si>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</si>
  <si>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</si>
  <si>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</si>
  <si>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</si>
  <si>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</si>
  <si>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</si>
  <si>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</si>
  <si>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</si>
  <si>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</si>
  <si>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</si>
  <si>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</si>
  <si>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</si>
  <si>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</si>
  <si>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</si>
  <si>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</si>
  <si>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</si>
  <si>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</si>
  <si>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</si>
  <si>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</si>
  <si>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</si>
  <si>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</si>
  <si>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</si>
  <si>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</si>
  <si>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</si>
  <si>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</si>
  <si>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</si>
  <si>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</si>
  <si>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</si>
  <si>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</si>
  <si>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</si>
  <si>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</si>
  <si>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</si>
  <si>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</si>
  <si>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</si>
  <si>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</si>
  <si>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</si>
  <si>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</si>
  <si>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</si>
  <si>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</si>
  <si>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</si>
  <si>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</si>
  <si>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</si>
  <si>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</si>
  <si>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</si>
  <si>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</si>
  <si>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</si>
  <si>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</si>
  <si>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</si>
  <si>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</si>
  <si>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</si>
  <si>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</si>
  <si>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</si>
  <si>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</si>
  <si>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</si>
  <si>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</si>
  <si>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</si>
  <si>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</si>
  <si>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</si>
  <si>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</si>
  <si>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</si>
  <si>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</si>
  <si>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</si>
  <si>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</si>
  <si>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</si>
  <si>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</si>
  <si>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</si>
  <si>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</si>
  <si>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</si>
  <si>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</si>
  <si>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</si>
  <si>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</si>
  <si>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</si>
  <si>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</si>
  <si>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</si>
  <si>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</si>
  <si>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</si>
  <si>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</si>
  <si>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</si>
  <si>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</si>
  <si>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</si>
  <si>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</si>
  <si>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</si>
  <si>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</si>
  <si>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</si>
  <si>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</si>
  <si>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</si>
  <si>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</si>
  <si>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</si>
  <si>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</si>
  <si>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</si>
  <si>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</si>
  <si>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</si>
  <si>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</si>
  <si>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</si>
  <si>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</si>
  <si>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</si>
  <si>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</si>
  <si>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</si>
  <si>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</si>
  <si>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</si>
  <si>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</si>
  <si>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</si>
  <si>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</si>
  <si>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</si>
  <si>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</si>
  <si>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</si>
  <si>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</si>
  <si>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</si>
  <si>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</si>
  <si>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</si>
  <si>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</si>
  <si>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</si>
  <si>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</si>
  <si>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</si>
  <si>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</si>
  <si>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</si>
  <si>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</si>
  <si>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</si>
  <si>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</si>
  <si>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</si>
  <si>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</si>
  <si>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</si>
  <si>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</si>
  <si>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</si>
  <si>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</si>
  <si>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</si>
  <si>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</si>
  <si>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</si>
  <si>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</si>
  <si>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</si>
  <si>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</si>
  <si>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</si>
  <si>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</si>
  <si>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</si>
  <si>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</si>
  <si>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</si>
  <si>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</si>
  <si>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</si>
  <si>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</si>
  <si>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</si>
  <si>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</si>
  <si>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</si>
  <si>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</si>
  <si>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</si>
  <si>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</si>
  <si>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</si>
  <si>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</si>
  <si>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</si>
  <si>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</si>
  <si>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</si>
  <si>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</si>
  <si>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</si>
  <si>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</si>
  <si>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</si>
  <si>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</si>
  <si>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</si>
  <si>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</si>
  <si>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</si>
  <si>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</si>
  <si>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</si>
  <si>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</si>
  <si>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</si>
  <si>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</si>
  <si>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</si>
  <si>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</si>
  <si>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</si>
  <si>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</si>
  <si>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</si>
  <si>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</si>
  <si>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</si>
  <si>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</si>
  <si>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</si>
  <si>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</si>
  <si>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</si>
  <si>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</si>
  <si>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</si>
  <si>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</si>
  <si>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</si>
  <si>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</si>
  <si>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</si>
  <si>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</si>
  <si>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</si>
  <si>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</si>
  <si>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</si>
  <si>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</si>
  <si>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</si>
  <si>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</si>
  <si>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</si>
  <si>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</si>
  <si>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</si>
  <si>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</si>
  <si>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</si>
  <si>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</si>
  <si>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</si>
  <si>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</si>
  <si>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</si>
  <si>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</si>
  <si>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</si>
  <si>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</si>
  <si>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</si>
  <si>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</si>
  <si>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</si>
  <si>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</si>
  <si>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</si>
  <si>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</si>
  <si>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</si>
  <si>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</si>
  <si>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</si>
  <si>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</si>
  <si>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</si>
  <si>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</si>
  <si>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</si>
  <si>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</si>
  <si>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</si>
  <si>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</si>
  <si>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</si>
  <si>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</si>
  <si>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</si>
  <si>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</si>
  <si>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</si>
  <si>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</si>
  <si>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</si>
  <si>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</si>
  <si>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</si>
  <si>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</si>
  <si>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</si>
  <si>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</si>
  <si>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</si>
  <si>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</si>
  <si>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</si>
  <si>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</si>
  <si>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</si>
  <si>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</si>
  <si>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</si>
  <si>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</si>
  <si>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</si>
  <si>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</si>
  <si>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</si>
  <si>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</si>
  <si>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</si>
  <si>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</si>
  <si>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</si>
  <si>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</si>
  <si>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</si>
  <si>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</si>
  <si>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</si>
  <si>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</si>
  <si>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</si>
  <si>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</si>
  <si>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</si>
  <si>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</si>
  <si>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</si>
  <si>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</si>
  <si>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</si>
  <si>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</si>
  <si>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</si>
  <si>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</si>
  <si>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</si>
  <si>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</si>
  <si>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</si>
  <si>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</si>
  <si>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</si>
  <si>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</si>
  <si>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</si>
  <si>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</si>
  <si>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</si>
  <si>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</si>
  <si>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</si>
  <si>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</si>
  <si>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</si>
  <si>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</si>
  <si>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</si>
  <si>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</si>
  <si>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</si>
  <si>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</si>
  <si>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</si>
  <si>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</si>
  <si>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</si>
  <si>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</si>
  <si>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</si>
  <si>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</si>
  <si>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</si>
  <si>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</si>
  <si>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</si>
  <si>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</si>
  <si>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</si>
  <si>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</si>
  <si>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</si>
  <si>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</si>
  <si>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</si>
  <si>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</si>
  <si>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</si>
  <si>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</si>
  <si>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</si>
  <si>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</si>
  <si>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</si>
  <si>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</si>
  <si>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</si>
  <si>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</si>
  <si>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</si>
  <si>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</si>
  <si>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</si>
  <si>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</si>
  <si>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</si>
  <si>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</si>
  <si>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</si>
  <si>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</si>
  <si>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</si>
  <si>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</si>
  <si>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</si>
  <si>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</si>
  <si>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</si>
  <si>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</si>
  <si>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</si>
  <si>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</si>
  <si>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</si>
  <si>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</si>
  <si>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</si>
  <si>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</si>
  <si>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</si>
  <si>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</si>
  <si>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</si>
  <si>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</si>
  <si>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</si>
  <si>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</si>
  <si>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</si>
  <si>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</si>
  <si>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</si>
  <si>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</si>
  <si>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</si>
  <si>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</si>
  <si>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</si>
  <si>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</si>
  <si>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</si>
  <si>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</si>
  <si>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</si>
  <si>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</si>
  <si>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</si>
  <si>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</si>
  <si>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</si>
  <si>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</si>
  <si>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</si>
  <si>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</si>
  <si>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</si>
  <si>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</si>
  <si>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</si>
  <si>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</si>
  <si>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</si>
  <si>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</si>
  <si>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</si>
  <si>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</si>
  <si>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</si>
  <si>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</si>
  <si>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</si>
  <si>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</si>
  <si>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</si>
  <si>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</si>
  <si>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</si>
  <si>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</si>
  <si>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</si>
  <si>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</si>
  <si>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</si>
  <si>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</si>
  <si>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</si>
  <si>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</si>
  <si>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</si>
  <si>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</si>
  <si>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</si>
  <si>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</si>
  <si>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</si>
  <si>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</si>
  <si>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</si>
  <si>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</si>
  <si>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</si>
  <si>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</si>
  <si>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</si>
  <si>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</si>
  <si>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</si>
  <si>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</si>
  <si>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</si>
  <si>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</si>
  <si>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</si>
  <si>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</si>
  <si>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</si>
  <si>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</si>
  <si>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</si>
  <si>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</si>
  <si>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</si>
  <si>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</si>
  <si>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</si>
  <si>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</si>
  <si>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</si>
  <si>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</si>
  <si>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</si>
  <si>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</si>
  <si>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</si>
  <si>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</si>
  <si>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</si>
  <si>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</si>
  <si>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</si>
  <si>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</si>
  <si>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</si>
  <si>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</si>
  <si>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</si>
  <si>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</si>
  <si>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</si>
  <si>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</si>
  <si>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</si>
  <si>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</si>
  <si>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</si>
  <si>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</si>
  <si>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</si>
  <si>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</si>
  <si>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</si>
  <si>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</si>
  <si>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</si>
  <si>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</si>
  <si>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</si>
  <si>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</si>
  <si>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</si>
  <si>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</si>
  <si>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</si>
  <si>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</si>
  <si>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</si>
  <si>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</si>
  <si>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</si>
  <si>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</si>
  <si>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</si>
  <si>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</si>
  <si>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</si>
  <si>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</si>
  <si>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</si>
  <si>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</si>
  <si>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</si>
  <si>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</si>
  <si>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</si>
  <si>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</si>
  <si>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</si>
  <si>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</si>
  <si>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</si>
  <si>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</si>
  <si>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</si>
  <si>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</si>
  <si>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</si>
  <si>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</si>
  <si>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</si>
  <si>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</si>
  <si>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</si>
  <si>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</si>
  <si>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</si>
  <si>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</si>
  <si>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</si>
  <si>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</si>
  <si>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</si>
  <si>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</si>
  <si>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</si>
  <si>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</si>
  <si>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</si>
  <si>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</si>
  <si>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</si>
  <si>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</si>
  <si>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</si>
  <si>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</si>
  <si>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</si>
  <si>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</si>
  <si>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</si>
  <si>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</si>
  <si>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</si>
  <si>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</si>
  <si>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</si>
  <si>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</si>
  <si>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</si>
  <si>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</si>
  <si>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</si>
  <si>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</si>
  <si>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</si>
  <si>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</si>
  <si>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</si>
  <si>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</si>
  <si>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</si>
  <si>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</si>
  <si>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</si>
  <si>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</si>
  <si>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</si>
  <si>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</si>
  <si>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</si>
  <si>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</si>
  <si>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</si>
  <si>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</si>
  <si>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</si>
  <si>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</si>
  <si>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</si>
  <si>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</si>
  <si>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</si>
  <si>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</si>
  <si>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</si>
  <si>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</si>
  <si>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</si>
  <si>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</si>
  <si>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</si>
  <si>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</si>
  <si>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</si>
  <si>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</si>
  <si>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</si>
  <si>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</si>
  <si>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</si>
  <si>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</si>
  <si>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</si>
  <si>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</si>
  <si>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</si>
  <si>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</si>
  <si>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</si>
  <si>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</si>
  <si>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</si>
  <si>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</si>
  <si>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</si>
  <si>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</si>
  <si>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</si>
  <si>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</si>
  <si>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</si>
  <si>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</si>
  <si>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</si>
  <si>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</si>
  <si>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</si>
  <si>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</si>
  <si>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</si>
  <si>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</si>
  <si>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</si>
  <si>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</si>
  <si>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</si>
  <si>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</si>
  <si>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</si>
  <si>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</si>
  <si>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</si>
  <si>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</si>
  <si>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</si>
  <si>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</si>
  <si>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</si>
  <si>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</si>
  <si>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</si>
  <si>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</si>
  <si>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</si>
  <si>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</si>
  <si>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</si>
  <si>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</si>
  <si>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</si>
  <si>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</si>
  <si>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</si>
  <si>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</si>
  <si>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</si>
  <si>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</si>
  <si>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</si>
  <si>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</si>
  <si>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</si>
  <si>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</si>
  <si>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</si>
  <si>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</si>
  <si>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</si>
  <si>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</si>
  <si>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</si>
  <si>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</si>
  <si>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</si>
  <si>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</si>
  <si>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</si>
  <si>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</si>
  <si>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</si>
  <si>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</si>
  <si>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</si>
  <si>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</si>
  <si>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</si>
  <si>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</si>
  <si>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</si>
  <si>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</si>
  <si>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</si>
  <si>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</si>
  <si>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</si>
  <si>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</si>
  <si>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</si>
  <si>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</si>
  <si>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</si>
  <si>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</si>
  <si>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</si>
  <si>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</si>
  <si>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</si>
  <si>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</si>
  <si>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</si>
  <si>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</si>
  <si>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</si>
  <si>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</si>
  <si>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</si>
  <si>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</si>
  <si>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</si>
  <si>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</si>
  <si>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</si>
  <si>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</si>
  <si>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</si>
  <si>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</si>
  <si>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</si>
  <si>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</si>
  <si>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</si>
  <si>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</si>
  <si>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</si>
  <si>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</si>
  <si>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</si>
  <si>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</si>
  <si>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</si>
  <si>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</si>
  <si>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</si>
  <si>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</si>
  <si>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</si>
  <si>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</si>
  <si>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</si>
  <si>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</si>
  <si>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</si>
  <si>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</si>
  <si>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</si>
  <si>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</si>
  <si>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</si>
  <si>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</si>
  <si>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</si>
  <si>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</si>
  <si>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</si>
  <si>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</si>
  <si>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</si>
  <si>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</si>
  <si>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</si>
  <si>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</si>
  <si>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</si>
  <si>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</si>
  <si>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</si>
  <si>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</si>
  <si>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</si>
  <si>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</si>
  <si>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</si>
  <si>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</si>
  <si>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</si>
  <si>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</si>
  <si>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</si>
  <si>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</si>
  <si>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</si>
  <si>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</si>
  <si>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</si>
  <si>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</si>
  <si>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</si>
  <si>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</si>
  <si>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</si>
  <si>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</si>
  <si>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</si>
  <si>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</si>
  <si>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</si>
  <si>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</si>
  <si>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</si>
  <si>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</si>
  <si>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</si>
  <si>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</si>
  <si>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</si>
  <si>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</si>
  <si>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</si>
  <si>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</si>
  <si>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</si>
  <si>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</si>
  <si>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</si>
  <si>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</si>
  <si>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</si>
  <si>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</si>
  <si>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</si>
  <si>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</si>
  <si>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</si>
  <si>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</si>
  <si>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</si>
  <si>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</si>
  <si>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</si>
  <si>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</si>
  <si>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</si>
  <si>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</si>
  <si>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</si>
  <si>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</si>
  <si>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</si>
  <si>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</si>
  <si>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</si>
  <si>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</si>
  <si>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</si>
  <si>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</si>
  <si>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</si>
  <si>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</si>
  <si>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</si>
  <si>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</si>
  <si>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</si>
  <si>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</si>
  <si>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</si>
  <si>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</si>
  <si>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</si>
  <si>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</si>
  <si>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</si>
  <si>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</si>
  <si>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</si>
  <si>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</si>
  <si>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</si>
  <si>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</si>
  <si>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</si>
  <si>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</si>
  <si>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</si>
  <si>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</si>
  <si>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</si>
  <si>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</si>
  <si>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</si>
  <si>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</si>
  <si>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</si>
  <si>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</si>
  <si>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</si>
  <si>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</si>
  <si>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</si>
  <si>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</si>
  <si>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</si>
  <si>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</si>
  <si>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</si>
  <si>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</si>
  <si>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</si>
  <si>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</si>
  <si>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</si>
  <si>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</si>
  <si>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</si>
  <si>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</si>
  <si>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</si>
  <si>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</si>
  <si>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</si>
  <si>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</si>
  <si>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</si>
  <si>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</si>
  <si>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</si>
  <si>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</si>
  <si>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</si>
  <si>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</si>
  <si>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</si>
  <si>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</si>
  <si>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</si>
  <si>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</si>
  <si>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</si>
  <si>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</si>
  <si>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</si>
  <si>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</si>
  <si>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</si>
  <si>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</si>
  <si>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</si>
  <si>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</si>
  <si>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</si>
  <si>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</si>
  <si>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</si>
  <si>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</si>
  <si>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</si>
  <si>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</si>
  <si>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</si>
  <si>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</si>
  <si>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</si>
  <si>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</si>
  <si>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</si>
  <si>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</si>
  <si>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</si>
  <si>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</si>
  <si>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</si>
  <si>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</si>
  <si>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</si>
  <si>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</si>
  <si>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</si>
  <si>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</si>
  <si>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</si>
  <si>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</si>
  <si>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</si>
  <si>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</si>
  <si>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</si>
  <si>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</si>
  <si>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</si>
  <si>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</si>
  <si>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</si>
  <si>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</si>
  <si>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</si>
  <si>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</si>
  <si>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</si>
  <si>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</si>
  <si>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</si>
  <si>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</si>
  <si>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</si>
  <si>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</si>
  <si>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</si>
  <si>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</si>
  <si>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</si>
  <si>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</si>
  <si>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</si>
  <si>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</si>
  <si>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</si>
  <si>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</si>
  <si>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</si>
  <si>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</si>
  <si>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</si>
  <si>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</si>
  <si>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</si>
  <si>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</si>
  <si>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</si>
  <si>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</si>
  <si>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</si>
  <si>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</si>
  <si>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</si>
  <si>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</si>
  <si>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</si>
  <si>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</si>
  <si>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</si>
  <si>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</si>
  <si>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</si>
  <si>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</si>
  <si>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</si>
  <si>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</si>
  <si>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</si>
  <si>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</si>
  <si>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</si>
  <si>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</si>
  <si>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</si>
  <si>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</si>
  <si>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</si>
  <si>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</si>
  <si>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</si>
  <si>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</si>
  <si>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</si>
  <si>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</si>
  <si>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</si>
  <si>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</si>
  <si>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</si>
  <si>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</si>
  <si>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</si>
  <si>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</si>
  <si>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</si>
  <si>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</si>
  <si>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</si>
  <si>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</si>
  <si>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</si>
  <si>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</si>
  <si>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</si>
  <si>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</si>
  <si>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</si>
  <si>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</si>
  <si>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</si>
  <si>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</si>
  <si>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</si>
  <si>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</si>
  <si>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</si>
  <si>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</si>
  <si>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</si>
  <si>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</si>
  <si>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</si>
  <si>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</si>
  <si>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</si>
  <si>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</si>
  <si>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</si>
  <si>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</si>
  <si>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</si>
  <si>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</si>
  <si>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</si>
  <si>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</si>
  <si>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</si>
  <si>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</si>
  <si>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</si>
  <si>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</si>
  <si>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</si>
  <si>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</si>
  <si>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</si>
  <si>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</si>
  <si>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</si>
  <si>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</si>
  <si>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</si>
  <si>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</si>
  <si>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</si>
  <si>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</si>
  <si>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</si>
  <si>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</si>
  <si>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</si>
  <si>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</si>
  <si>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</si>
  <si>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</si>
  <si>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</si>
  <si>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</si>
  <si>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</si>
  <si>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</si>
  <si>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</si>
  <si>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</si>
  <si>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</si>
  <si>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</si>
  <si>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</si>
  <si>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</si>
  <si>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</si>
  <si>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</si>
  <si>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</si>
  <si>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</si>
  <si>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</si>
  <si>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</si>
  <si>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</si>
  <si>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</si>
  <si>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</si>
  <si>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</si>
  <si>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</si>
  <si>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</si>
  <si>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</si>
  <si>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</si>
  <si>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</si>
  <si>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</si>
  <si>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</si>
  <si>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</si>
  <si>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</si>
  <si>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</si>
  <si>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</si>
  <si>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</si>
  <si>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</si>
  <si>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</si>
  <si>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</si>
  <si>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</si>
  <si>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</si>
  <si>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</si>
  <si>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</si>
  <si>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</si>
  <si>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</si>
  <si>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</si>
  <si>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</si>
  <si>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</si>
  <si>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</si>
  <si>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</si>
  <si>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</si>
  <si>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</si>
  <si>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</si>
  <si>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</si>
  <si>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</si>
  <si>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</si>
  <si>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</si>
  <si>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</si>
  <si>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</si>
  <si>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</si>
  <si>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</si>
  <si>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</si>
  <si>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</si>
  <si>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</si>
  <si>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</si>
  <si>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</si>
  <si>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</si>
  <si>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</si>
  <si>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</si>
  <si>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</si>
  <si>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</si>
  <si>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</si>
  <si>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</si>
  <si>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</si>
  <si>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</si>
  <si>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</si>
  <si>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</si>
  <si>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</si>
  <si>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</si>
  <si>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</si>
  <si>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</si>
  <si>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</si>
  <si>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</si>
  <si>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</si>
  <si>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</si>
  <si>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</si>
  <si>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</si>
  <si>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</si>
  <si>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</si>
  <si>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</si>
  <si>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</si>
  <si>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</si>
  <si>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</si>
  <si>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</si>
  <si>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</si>
  <si>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</si>
  <si>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</si>
  <si>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</si>
  <si>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</si>
  <si>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</si>
  <si>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</si>
  <si>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</si>
  <si>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</si>
  <si>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</si>
  <si>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</si>
  <si>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</si>
  <si>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</si>
  <si>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</si>
  <si>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</si>
  <si>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</si>
  <si>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</si>
  <si>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</si>
  <si>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</si>
  <si>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</si>
  <si>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</si>
  <si>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</si>
  <si>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</si>
  <si>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</si>
  <si>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</si>
  <si>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</si>
  <si>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</si>
  <si>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</si>
  <si>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</si>
  <si>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</si>
  <si>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</si>
  <si>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</si>
  <si>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</si>
  <si>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</si>
  <si>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</si>
  <si>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</si>
  <si>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</si>
  <si>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</si>
  <si>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</si>
  <si>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</si>
  <si>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</si>
  <si>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</si>
  <si>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</si>
  <si>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</si>
  <si>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</si>
  <si>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</si>
  <si>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</si>
  <si>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</si>
  <si>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</si>
  <si>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</si>
  <si>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</si>
  <si>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</si>
  <si>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</si>
  <si>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</si>
  <si>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</si>
  <si>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</si>
  <si>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</si>
  <si>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</si>
  <si>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</si>
  <si>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</si>
  <si>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</si>
  <si>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</si>
  <si>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</si>
  <si>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</si>
  <si>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</si>
  <si>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</si>
  <si>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</si>
  <si>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</si>
  <si>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</si>
  <si>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</si>
  <si>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</si>
  <si>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</si>
  <si>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</si>
  <si>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</si>
  <si>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</si>
  <si>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</si>
  <si>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</si>
  <si>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</si>
  <si>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</si>
  <si>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</si>
  <si>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</si>
  <si>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</si>
  <si>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</si>
  <si>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</si>
  <si>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</si>
  <si>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</si>
  <si>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</si>
  <si>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</si>
  <si>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</si>
  <si>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</si>
  <si>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</si>
  <si>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</si>
  <si>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</si>
  <si>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</si>
  <si>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</si>
  <si>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</si>
  <si>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</si>
  <si>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</si>
  <si>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</si>
  <si>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</si>
  <si>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</si>
  <si>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</si>
  <si>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</si>
  <si>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</si>
  <si>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</si>
  <si>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</si>
  <si>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</si>
  <si>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</si>
  <si>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</si>
  <si>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</si>
  <si>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</si>
  <si>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</si>
  <si>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</si>
  <si>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</si>
  <si>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</si>
  <si>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</si>
  <si>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</si>
  <si>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</si>
  <si>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</si>
  <si>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</si>
  <si>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</si>
  <si>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</si>
  <si>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</si>
  <si>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</si>
  <si>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</si>
  <si>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</si>
  <si>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</si>
  <si>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</si>
  <si>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</si>
  <si>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2008-02-29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</si>
  <si>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</si>
  <si>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</si>
  <si>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</si>
  <si>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</si>
  <si>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</si>
  <si>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</si>
  <si>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</si>
  <si>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</si>
  <si>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</si>
  <si>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</si>
  <si>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</si>
  <si>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</si>
  <si>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</si>
  <si>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</si>
  <si>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</si>
  <si>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</si>
  <si>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</si>
  <si>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</si>
  <si>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</si>
  <si>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</si>
  <si>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</si>
  <si>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</si>
  <si>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</si>
  <si>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</si>
  <si>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</si>
  <si>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</si>
  <si>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</si>
  <si>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</si>
  <si>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</si>
  <si>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</si>
  <si>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</si>
  <si>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</si>
  <si>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</si>
  <si>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</si>
  <si>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</si>
  <si>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</si>
  <si>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</si>
  <si>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</si>
  <si>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</si>
  <si>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</si>
  <si>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</si>
  <si>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</si>
  <si>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</si>
  <si>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</si>
  <si>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</si>
  <si>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</si>
  <si>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</si>
  <si>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</si>
  <si>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</si>
  <si>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</si>
  <si>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</si>
  <si>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</si>
  <si>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</si>
  <si>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</si>
  <si>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</si>
  <si>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</si>
  <si>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</si>
  <si>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</si>
  <si>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</si>
  <si>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</si>
  <si>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</si>
  <si>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</si>
  <si>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</si>
  <si>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</si>
  <si>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</si>
  <si>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</si>
  <si>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</si>
  <si>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</si>
  <si>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</si>
  <si>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</si>
  <si>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</si>
  <si>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</si>
  <si>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</si>
  <si>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</si>
  <si>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</si>
  <si>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</si>
  <si>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</si>
  <si>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</si>
  <si>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</si>
  <si>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</si>
  <si>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</si>
  <si>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</si>
  <si>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</si>
  <si>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</si>
  <si>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</si>
  <si>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</si>
  <si>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</si>
  <si>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</si>
  <si>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</si>
  <si>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</si>
  <si>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</si>
  <si>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</si>
  <si>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</si>
  <si>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</si>
  <si>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</si>
  <si>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</si>
  <si>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</si>
  <si>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</si>
  <si>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</si>
  <si>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</si>
  <si>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</si>
  <si>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</si>
  <si>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</si>
  <si>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</si>
  <si>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</si>
  <si>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</si>
  <si>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</si>
  <si>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</si>
  <si>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</si>
  <si>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</si>
  <si>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</si>
  <si>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</si>
  <si>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</si>
  <si>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</si>
  <si>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</si>
  <si>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</si>
  <si>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</si>
  <si>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</si>
  <si>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</si>
  <si>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</si>
  <si>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</si>
  <si>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</si>
  <si>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</si>
  <si>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</si>
  <si>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</si>
  <si>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</si>
  <si>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</si>
  <si>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</si>
  <si>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</si>
  <si>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</si>
  <si>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</si>
  <si>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</si>
  <si>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</si>
  <si>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</si>
  <si>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</si>
  <si>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</si>
  <si>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</si>
  <si>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</si>
  <si>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</si>
  <si>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</si>
  <si>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</si>
  <si>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</si>
  <si>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</si>
  <si>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</si>
  <si>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</si>
  <si>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</si>
  <si>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</si>
  <si>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</si>
  <si>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</si>
  <si>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</si>
  <si>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</si>
  <si>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</si>
  <si>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</si>
  <si>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</si>
  <si>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</si>
  <si>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</si>
  <si>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</si>
  <si>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</si>
  <si>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</si>
  <si>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</si>
  <si>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</si>
  <si>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</si>
  <si>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</si>
  <si>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</si>
  <si>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</si>
  <si>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</si>
  <si>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</si>
  <si>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</si>
  <si>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</si>
  <si>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</si>
  <si>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</si>
  <si>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</si>
  <si>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</si>
  <si>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</si>
  <si>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</si>
  <si>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</si>
  <si>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</si>
  <si>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</si>
  <si>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</si>
  <si>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</si>
  <si>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</si>
  <si>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</si>
  <si>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</si>
  <si>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</si>
  <si>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</si>
  <si>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</si>
  <si>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</si>
  <si>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</si>
  <si>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</si>
  <si>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</si>
  <si>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</si>
  <si>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</si>
  <si>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</si>
  <si>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</si>
  <si>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</si>
  <si>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</si>
  <si>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</si>
  <si>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</si>
  <si>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</si>
  <si>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</si>
  <si>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</si>
  <si>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</si>
  <si>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</si>
  <si>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</si>
  <si>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</si>
  <si>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</si>
  <si>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</si>
  <si>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</si>
  <si>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</si>
  <si>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</si>
  <si>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</si>
  <si>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</si>
  <si>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</si>
  <si>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</si>
  <si>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</si>
  <si>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</si>
  <si>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</si>
  <si>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</si>
  <si>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</si>
  <si>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</si>
  <si>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</si>
  <si>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</si>
  <si>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</si>
  <si>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</si>
  <si>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</si>
  <si>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</si>
  <si>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</si>
  <si>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</si>
  <si>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</si>
  <si>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</si>
  <si>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</si>
  <si>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</si>
  <si>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</si>
  <si>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</si>
  <si>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</si>
  <si>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</si>
  <si>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</si>
  <si>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</si>
  <si>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</si>
  <si>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</si>
  <si>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</si>
  <si>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</si>
  <si>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</si>
  <si>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</si>
  <si>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</si>
  <si>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</si>
  <si>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</si>
  <si>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</si>
  <si>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</si>
  <si>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</si>
  <si>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</si>
  <si>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</si>
  <si>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</si>
  <si>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</si>
  <si>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</si>
  <si>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</si>
  <si>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</si>
  <si>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</si>
  <si>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</si>
  <si>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</si>
  <si>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</si>
  <si>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</si>
  <si>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</si>
  <si>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</si>
  <si>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</si>
  <si>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</si>
  <si>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</si>
  <si>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</si>
  <si>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</si>
  <si>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</si>
  <si>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</si>
  <si>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</si>
  <si>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</si>
  <si>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</si>
  <si>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</si>
  <si>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</si>
  <si>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</si>
  <si>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</si>
  <si>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</si>
  <si>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</si>
  <si>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</si>
  <si>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</si>
  <si>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</si>
  <si>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</si>
  <si>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</si>
  <si>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</si>
  <si>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</si>
  <si>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</si>
  <si>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</si>
  <si>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</si>
  <si>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</si>
  <si>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</si>
  <si>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</si>
  <si>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</si>
  <si>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</si>
  <si>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</si>
  <si>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</si>
  <si>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</si>
  <si>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</si>
  <si>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</si>
  <si>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</si>
  <si>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</si>
  <si>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</si>
  <si>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</si>
  <si>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</si>
  <si>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</si>
  <si>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</si>
  <si>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</si>
  <si>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</si>
  <si>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</si>
  <si>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</si>
  <si>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</si>
  <si>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</si>
  <si>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</si>
  <si>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</si>
  <si>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</si>
  <si>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</si>
  <si>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</si>
  <si>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</si>
  <si>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</si>
  <si>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</si>
  <si>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</si>
  <si>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</si>
  <si>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</si>
  <si>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</si>
  <si>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</si>
  <si>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</si>
  <si>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</si>
  <si>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</si>
  <si>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</si>
  <si>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</si>
  <si>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</si>
  <si>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</si>
  <si>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</si>
  <si>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</si>
  <si>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</si>
  <si>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</si>
  <si>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</si>
  <si>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</si>
  <si>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</si>
  <si>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</si>
  <si>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</si>
  <si>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</si>
  <si>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</si>
  <si>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</si>
  <si>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</si>
  <si>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</si>
  <si>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</si>
  <si>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</si>
  <si>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</si>
  <si>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</si>
  <si>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</si>
  <si>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</si>
  <si>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</si>
  <si>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</si>
  <si>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</si>
  <si>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</si>
  <si>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</si>
  <si>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</si>
  <si>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</si>
  <si>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</si>
  <si>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</si>
  <si>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</si>
  <si>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</si>
  <si>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</si>
  <si>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</si>
  <si>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</si>
  <si>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</si>
  <si>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</si>
  <si>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</si>
  <si>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</si>
  <si>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</si>
  <si>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</si>
  <si>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</si>
  <si>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</si>
  <si>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</si>
  <si>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</si>
  <si>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</si>
  <si>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</si>
  <si>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</si>
  <si>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</si>
  <si>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</si>
  <si>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</si>
  <si>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</si>
  <si>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</si>
  <si>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</si>
  <si>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</si>
  <si>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</si>
  <si>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</si>
  <si>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</si>
  <si>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</si>
  <si>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</si>
  <si>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</si>
  <si>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</si>
  <si>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</si>
  <si>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</si>
  <si>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</si>
  <si>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</si>
  <si>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</si>
  <si>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</si>
  <si>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</si>
  <si>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</si>
  <si>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</si>
  <si>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</si>
  <si>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</si>
  <si>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</si>
  <si>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</si>
  <si>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</si>
  <si>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</si>
  <si>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</si>
  <si>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</si>
  <si>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</si>
  <si>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</si>
  <si>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</si>
  <si>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</si>
  <si>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</si>
  <si>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</si>
  <si>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</si>
  <si>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</si>
  <si>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</si>
  <si>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</si>
  <si>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</si>
  <si>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</si>
  <si>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</si>
  <si>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</si>
  <si>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</si>
  <si>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</si>
  <si>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</si>
  <si>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</si>
  <si>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</si>
  <si>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</si>
  <si>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</si>
  <si>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</si>
  <si>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</si>
  <si>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</si>
  <si>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</si>
  <si>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</si>
  <si>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</si>
  <si>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</si>
  <si>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</si>
  <si>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</si>
  <si>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</si>
  <si>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</si>
  <si>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</si>
  <si>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</si>
  <si>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</si>
  <si>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</si>
  <si>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</si>
  <si>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</si>
  <si>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</si>
  <si>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</si>
  <si>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</si>
  <si>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</si>
  <si>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</si>
  <si>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</si>
  <si>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</si>
  <si>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</si>
  <si>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</si>
  <si>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</si>
  <si>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</si>
  <si>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</si>
  <si>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</si>
  <si>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</si>
  <si>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</si>
  <si>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</si>
  <si>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</si>
  <si>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</si>
  <si>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</si>
  <si>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</si>
  <si>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</si>
  <si>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</si>
  <si>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</si>
  <si>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</si>
  <si>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</si>
  <si>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</si>
  <si>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</si>
  <si>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</si>
  <si>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</si>
  <si>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</si>
  <si>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</si>
  <si>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</si>
  <si>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</si>
  <si>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</si>
  <si>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</si>
  <si>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</si>
  <si>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</si>
  <si>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</si>
  <si>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</si>
  <si>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</si>
  <si>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</si>
  <si>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</si>
  <si>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</si>
  <si>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</si>
  <si>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</si>
  <si>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</si>
  <si>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</si>
  <si>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</si>
  <si>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</si>
  <si>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</si>
  <si>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</si>
  <si>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</si>
  <si>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</si>
  <si>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</si>
  <si>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</si>
  <si>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</si>
  <si>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</si>
  <si>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</si>
  <si>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</si>
  <si>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</si>
  <si>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</si>
  <si>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</si>
  <si>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</si>
  <si>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</si>
  <si>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</si>
  <si>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</si>
  <si>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</si>
  <si>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</si>
  <si>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</si>
  <si>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</si>
  <si>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</si>
  <si>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</si>
  <si>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</si>
  <si>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</si>
  <si>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</si>
  <si>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</si>
  <si>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</si>
  <si>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</si>
  <si>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</si>
  <si>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</si>
  <si>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</si>
  <si>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</si>
  <si>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</si>
  <si>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</si>
  <si>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</si>
  <si>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</si>
  <si>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</si>
  <si>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</si>
  <si>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</si>
  <si>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</si>
  <si>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</si>
  <si>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</si>
  <si>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</si>
  <si>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</si>
  <si>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</si>
  <si>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</si>
  <si>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</si>
  <si>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</si>
  <si>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</si>
  <si>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</si>
  <si>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</si>
  <si>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</si>
  <si>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</si>
  <si>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</si>
  <si>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</si>
  <si>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</si>
  <si>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</si>
  <si>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</si>
  <si>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</si>
  <si>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</si>
  <si>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</si>
  <si>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</si>
  <si>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</si>
  <si>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</si>
  <si>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</si>
  <si>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</si>
  <si>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</si>
  <si>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</si>
  <si>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</si>
  <si>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</si>
  <si>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</si>
  <si>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</si>
  <si>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</si>
  <si>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</si>
  <si>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</si>
  <si>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</si>
  <si>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</si>
  <si>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</si>
  <si>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</si>
  <si>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</si>
  <si>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</si>
  <si>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</si>
  <si>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</si>
  <si>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</si>
  <si>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</si>
  <si>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</si>
  <si>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</si>
  <si>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</si>
  <si>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</si>
  <si>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</si>
  <si>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</si>
  <si>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</si>
  <si>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</si>
  <si>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</si>
  <si>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</si>
  <si>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</si>
  <si>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</si>
  <si>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</si>
  <si>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</si>
  <si>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</si>
  <si>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</si>
  <si>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</si>
  <si>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</si>
  <si>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</si>
  <si>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</si>
  <si>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</si>
  <si>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</si>
  <si>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</si>
  <si>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</si>
  <si>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</si>
  <si>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</si>
  <si>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</si>
  <si>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</si>
  <si>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</si>
  <si>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</si>
  <si>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</si>
  <si>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</si>
  <si>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</si>
  <si>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</si>
  <si>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</si>
  <si>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</si>
  <si>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</si>
  <si>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</si>
  <si>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</si>
  <si>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</si>
  <si>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</si>
  <si>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</si>
  <si>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</si>
  <si>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</si>
  <si>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</si>
  <si>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</si>
  <si>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</si>
  <si>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</si>
  <si>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</si>
  <si>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</si>
  <si>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</si>
  <si>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</si>
  <si>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</si>
  <si>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</si>
  <si>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</si>
  <si>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</si>
  <si>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</si>
  <si>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</si>
  <si>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</si>
  <si>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</si>
  <si>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</si>
  <si>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</si>
  <si>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</si>
  <si>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</si>
  <si>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</si>
  <si>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</si>
  <si>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</si>
  <si>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</si>
  <si>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</si>
  <si>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</si>
  <si>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</si>
  <si>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</si>
  <si>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</si>
  <si>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</si>
  <si>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</si>
  <si>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</si>
  <si>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</si>
  <si>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</si>
  <si>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</si>
  <si>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</si>
  <si>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</si>
  <si>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</si>
  <si>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</si>
  <si>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</si>
  <si>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</si>
  <si>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</si>
  <si>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</si>
  <si>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</si>
  <si>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</si>
  <si>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</si>
  <si>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</si>
  <si>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</si>
  <si>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</si>
  <si>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</si>
  <si>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</si>
  <si>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</si>
  <si>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</si>
  <si>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</si>
  <si>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</si>
  <si>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</si>
  <si>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</si>
  <si>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</si>
  <si>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</si>
  <si>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</si>
  <si>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</si>
  <si>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</si>
  <si>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</si>
  <si>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</si>
  <si>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</si>
  <si>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</si>
  <si>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</si>
  <si>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</si>
  <si>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</si>
  <si>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</si>
  <si>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</si>
  <si>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</si>
  <si>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</si>
  <si>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</si>
  <si>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</si>
  <si>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</si>
  <si>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</si>
  <si>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</si>
  <si>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</si>
  <si>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</si>
  <si>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</si>
  <si>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</si>
  <si>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</si>
  <si>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</si>
  <si>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</si>
  <si>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</si>
  <si>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</si>
  <si>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</si>
  <si>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</si>
  <si>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</si>
  <si>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</si>
  <si>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</si>
  <si>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</si>
  <si>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</si>
  <si>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</si>
  <si>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</si>
  <si>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</si>
  <si>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</si>
  <si>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</si>
  <si>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</si>
  <si>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</si>
  <si>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</si>
  <si>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</si>
  <si>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</si>
  <si>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</si>
  <si>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</si>
  <si>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</si>
  <si>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</si>
  <si>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</si>
  <si>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</si>
  <si>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</si>
  <si>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</si>
  <si>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</si>
  <si>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</si>
  <si>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</si>
  <si>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</si>
  <si>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</si>
  <si>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</si>
  <si>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</si>
  <si>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</si>
  <si>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</si>
  <si>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</si>
  <si>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</si>
  <si>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</si>
  <si>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</si>
  <si>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</si>
  <si>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</si>
  <si>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</si>
  <si>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</si>
  <si>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</si>
  <si>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</si>
  <si>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</si>
  <si>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</si>
  <si>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</si>
  <si>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</si>
  <si>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</si>
  <si>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</si>
  <si>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</si>
  <si>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</si>
  <si>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</si>
  <si>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</si>
  <si>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</si>
  <si>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</si>
  <si>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</si>
  <si>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</si>
  <si>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</si>
  <si>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</si>
  <si>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</si>
  <si>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</si>
  <si>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</si>
  <si>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</si>
  <si>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</si>
  <si>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</si>
  <si>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</si>
  <si>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</si>
  <si>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</si>
  <si>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</si>
  <si>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</si>
  <si>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</si>
  <si>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</si>
  <si>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</si>
  <si>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</si>
  <si>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</si>
  <si>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</si>
  <si>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</si>
  <si>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</si>
  <si>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</si>
  <si>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</si>
  <si>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</si>
  <si>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</si>
  <si>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</si>
  <si>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</si>
  <si>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</si>
  <si>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</si>
  <si>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</si>
  <si>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</si>
  <si>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</si>
  <si>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</si>
  <si>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</si>
  <si>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</si>
  <si>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</si>
  <si>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</si>
  <si>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</si>
  <si>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</si>
  <si>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</si>
  <si>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</si>
  <si>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</si>
  <si>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</si>
  <si>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</si>
  <si>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</si>
  <si>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</si>
  <si>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</si>
  <si>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</si>
  <si>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</si>
  <si>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</si>
  <si>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</si>
  <si>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</si>
  <si>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</si>
  <si>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</si>
  <si>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</si>
  <si>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</si>
  <si>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</si>
  <si>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</si>
  <si>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</si>
  <si>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</si>
  <si>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</si>
  <si>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</si>
  <si>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</si>
  <si>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</si>
  <si>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</si>
  <si>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</si>
  <si>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</si>
  <si>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</si>
  <si>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</si>
  <si>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</si>
  <si>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</si>
  <si>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</si>
  <si>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</si>
  <si>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</si>
  <si>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</si>
  <si>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</si>
  <si>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</si>
  <si>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</si>
  <si>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</si>
  <si>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</si>
  <si>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</si>
  <si>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</si>
  <si>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</si>
  <si>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</si>
  <si>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</si>
  <si>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</si>
  <si>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</si>
  <si>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</si>
  <si>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</si>
  <si>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</si>
  <si>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</si>
  <si>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</si>
  <si>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</si>
  <si>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</si>
  <si>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</si>
  <si>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</si>
  <si>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</si>
  <si>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</si>
  <si>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</si>
  <si>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</si>
  <si>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</si>
  <si>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</si>
  <si>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</si>
  <si>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</si>
  <si>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</si>
  <si>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</si>
  <si>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</si>
  <si>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</si>
  <si>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</si>
  <si>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</si>
  <si>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</si>
  <si>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</si>
  <si>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</si>
  <si>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</si>
  <si>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</si>
  <si>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</si>
  <si>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</si>
  <si>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</si>
  <si>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</si>
  <si>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</si>
  <si>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</si>
  <si>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</si>
  <si>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</si>
  <si>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</si>
  <si>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</si>
  <si>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</si>
  <si>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</si>
  <si>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</si>
  <si>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</si>
  <si>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</si>
  <si>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</si>
  <si>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</si>
  <si>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</si>
  <si>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</si>
  <si>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</si>
  <si>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</si>
  <si>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</si>
  <si>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</si>
  <si>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</si>
  <si>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</si>
  <si>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</si>
  <si>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</si>
  <si>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</si>
  <si>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</si>
  <si>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</si>
  <si>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</si>
  <si>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</si>
  <si>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</si>
  <si>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</si>
  <si>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</si>
  <si>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</si>
  <si>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</si>
  <si>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</si>
  <si>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</si>
  <si>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</si>
  <si>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</si>
  <si>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</si>
  <si>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</si>
  <si>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</si>
  <si>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</si>
  <si>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</si>
  <si>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</si>
  <si>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</si>
  <si>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</si>
  <si>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</si>
  <si>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</si>
  <si>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</si>
  <si>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</si>
  <si>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</si>
  <si>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</si>
  <si>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</si>
  <si>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</si>
  <si>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</si>
  <si>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</si>
  <si>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</si>
  <si>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</si>
  <si>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</si>
  <si>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</si>
  <si>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</si>
  <si>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</si>
  <si>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</si>
  <si>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</si>
  <si>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</si>
  <si>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</si>
  <si>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</si>
  <si>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</si>
  <si>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</si>
  <si>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</si>
  <si>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</si>
  <si>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</si>
  <si>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</si>
  <si>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</si>
  <si>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</si>
  <si>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</si>
  <si>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</si>
  <si>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</si>
  <si>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</si>
  <si>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</si>
  <si>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</si>
  <si>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</si>
  <si>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</si>
  <si>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</si>
  <si>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</si>
  <si>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</si>
  <si>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</si>
  <si>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</si>
  <si>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</si>
  <si>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</si>
  <si>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</si>
  <si>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</si>
  <si>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</si>
  <si>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</si>
  <si>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</si>
  <si>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</si>
  <si>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</si>
  <si>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</si>
  <si>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</si>
  <si>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</si>
  <si>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</si>
  <si>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</si>
  <si>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</si>
  <si>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</si>
  <si>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</si>
  <si>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</si>
  <si>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</si>
  <si>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</si>
  <si>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</si>
  <si>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</si>
  <si>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</si>
  <si>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</si>
  <si>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</si>
  <si>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</si>
  <si>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</si>
  <si>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</si>
  <si>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</si>
  <si>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</si>
  <si>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</si>
  <si>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</si>
  <si>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</si>
  <si>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</si>
  <si>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</si>
  <si>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</si>
  <si>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</si>
  <si>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</si>
  <si>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</si>
  <si>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</si>
  <si>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</si>
  <si>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</si>
  <si>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</si>
  <si>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</si>
  <si>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</si>
  <si>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</si>
  <si>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</si>
  <si>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</si>
  <si>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</si>
  <si>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</si>
  <si>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</si>
  <si>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</si>
  <si>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</si>
  <si>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</si>
  <si>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</si>
  <si>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</si>
  <si>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</si>
  <si>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</si>
  <si>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</si>
  <si>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</si>
  <si>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</si>
  <si>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</si>
  <si>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</si>
  <si>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</si>
  <si>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</si>
  <si>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</si>
  <si>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</si>
  <si>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</si>
  <si>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</si>
  <si>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</si>
  <si>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</si>
  <si>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</si>
  <si>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</si>
  <si>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</si>
  <si>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</si>
  <si>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</si>
  <si>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</si>
  <si>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</si>
  <si>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</si>
  <si>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</si>
  <si>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</si>
  <si>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</si>
  <si>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</si>
  <si>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</si>
  <si>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</si>
  <si>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</si>
  <si>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</si>
  <si>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</si>
  <si>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</si>
  <si>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</si>
  <si>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</si>
  <si>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</si>
  <si>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</si>
  <si>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</si>
  <si>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</si>
  <si>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</si>
  <si>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</si>
  <si>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</si>
  <si>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</si>
  <si>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</si>
  <si>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</si>
  <si>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</si>
  <si>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</si>
  <si>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</si>
  <si>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</si>
  <si>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</si>
  <si>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</si>
  <si>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</si>
  <si>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</si>
  <si>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</si>
  <si>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</si>
  <si>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</si>
  <si>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</si>
  <si>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</si>
  <si>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</si>
  <si>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</si>
  <si>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</si>
  <si>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</si>
  <si>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</si>
  <si>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</si>
  <si>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</si>
  <si>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</si>
  <si>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</si>
  <si>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</si>
  <si>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</si>
  <si>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</si>
  <si>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</si>
  <si>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</si>
  <si>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</si>
  <si>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</si>
  <si>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</si>
  <si>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</si>
  <si>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</si>
  <si>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</si>
  <si>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</si>
  <si>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</si>
  <si>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</si>
  <si>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</si>
  <si>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</si>
  <si>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</si>
  <si>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</si>
  <si>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</si>
  <si>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</si>
  <si>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</si>
  <si>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</si>
  <si>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</si>
  <si>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</si>
  <si>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</si>
  <si>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</si>
  <si>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</si>
  <si>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</si>
  <si>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</si>
  <si>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</si>
  <si>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</si>
  <si>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</si>
  <si>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</si>
  <si>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</si>
  <si>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</si>
  <si>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</si>
  <si>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</si>
  <si>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</si>
  <si>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</si>
  <si>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</si>
  <si>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</si>
  <si>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</si>
  <si>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</si>
  <si>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</si>
  <si>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</si>
  <si>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</si>
  <si>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</si>
  <si>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</si>
  <si>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</si>
  <si>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</si>
  <si>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</si>
  <si>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</si>
  <si>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</si>
  <si>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</si>
  <si>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</si>
  <si>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</si>
  <si>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</si>
  <si>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</si>
  <si>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</si>
  <si>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</si>
  <si>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</si>
  <si>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</si>
  <si>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</si>
  <si>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</si>
  <si>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</si>
  <si>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</si>
  <si>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</si>
  <si>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</si>
  <si>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</si>
  <si>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</si>
  <si>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</si>
  <si>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</si>
  <si>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</si>
  <si>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</si>
  <si>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</si>
  <si>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</si>
  <si>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</si>
  <si>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</si>
  <si>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</si>
  <si>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</si>
  <si>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</si>
  <si>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</si>
  <si>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</si>
  <si>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</si>
  <si>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</si>
  <si>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</si>
  <si>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</si>
  <si>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</si>
  <si>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</si>
  <si>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</si>
  <si>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</si>
  <si>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</si>
  <si>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</si>
  <si>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</si>
  <si>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</si>
  <si>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</si>
  <si>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</si>
  <si>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</si>
  <si>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</si>
  <si>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</si>
  <si>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</si>
  <si>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</si>
  <si>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</si>
  <si>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</si>
  <si>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</si>
  <si>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</si>
  <si>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</si>
  <si>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</si>
  <si>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</si>
  <si>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</si>
  <si>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</si>
  <si>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</si>
  <si>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</si>
  <si>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</si>
  <si>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</si>
  <si>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</si>
  <si>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</si>
  <si>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</si>
  <si>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</si>
  <si>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</si>
  <si>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</si>
  <si>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</si>
  <si>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</si>
  <si>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</si>
  <si>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</si>
  <si>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</si>
  <si>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</si>
  <si>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</si>
  <si>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</si>
  <si>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</si>
  <si>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</si>
  <si>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</si>
  <si>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</si>
  <si>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</si>
  <si>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</si>
  <si>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</si>
  <si>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</si>
  <si>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</si>
  <si>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</si>
  <si>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</si>
  <si>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</si>
  <si>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</si>
  <si>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</si>
  <si>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</si>
  <si>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</si>
  <si>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</si>
  <si>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</si>
  <si>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</si>
  <si>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</si>
  <si>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</si>
  <si>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</si>
  <si>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</si>
  <si>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</si>
  <si>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</si>
  <si>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</si>
  <si>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</si>
  <si>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</si>
  <si>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</si>
  <si>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</si>
  <si>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</si>
  <si>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</si>
  <si>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</si>
  <si>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</si>
  <si>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</si>
  <si>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</si>
  <si>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</si>
  <si>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</si>
  <si>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</si>
  <si>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</si>
  <si>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</si>
  <si>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</si>
  <si>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</si>
  <si>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</si>
  <si>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</si>
  <si>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</si>
  <si>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</si>
  <si>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</si>
  <si>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</si>
  <si>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</si>
  <si>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</si>
  <si>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</si>
  <si>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</si>
  <si>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</si>
  <si>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</si>
  <si>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</si>
  <si>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</si>
  <si>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</si>
  <si>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</si>
  <si>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</si>
  <si>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</si>
  <si>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</si>
  <si>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</si>
  <si>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</si>
  <si>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</si>
  <si>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</si>
  <si>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</si>
  <si>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</si>
  <si>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</si>
  <si>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</si>
  <si>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</si>
  <si>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</si>
  <si>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</si>
  <si>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</si>
  <si>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</si>
  <si>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</si>
  <si>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</si>
  <si>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</si>
  <si>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</si>
  <si>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</si>
  <si>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</si>
  <si>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</si>
  <si>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</si>
  <si>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</si>
  <si>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</si>
  <si>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</si>
  <si>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</si>
  <si>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</si>
  <si>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</si>
  <si>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</si>
  <si>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</si>
  <si>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</si>
  <si>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</si>
  <si>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</si>
  <si>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</si>
  <si>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</si>
  <si>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</si>
  <si>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</si>
  <si>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</si>
  <si>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</si>
  <si>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</si>
  <si>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</si>
  <si>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</si>
  <si>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</si>
  <si>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</si>
  <si>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</si>
  <si>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</si>
  <si>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</si>
  <si>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</si>
  <si>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</si>
  <si>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</si>
  <si>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</si>
  <si>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</si>
  <si>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</si>
  <si>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</si>
  <si>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</si>
  <si>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</si>
  <si>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</si>
  <si>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</si>
  <si>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</si>
  <si>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</si>
  <si>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</si>
  <si>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</si>
  <si>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</si>
  <si>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</si>
  <si>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</si>
  <si>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</si>
  <si>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</si>
  <si>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</si>
  <si>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</si>
  <si>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</si>
  <si>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</si>
  <si>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</si>
  <si>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</si>
  <si>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</si>
  <si>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</si>
  <si>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</si>
  <si>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</si>
  <si>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</si>
  <si>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</si>
  <si>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</si>
  <si>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</si>
  <si>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</si>
  <si>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</si>
  <si>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</si>
  <si>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</si>
  <si>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</si>
  <si>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</si>
  <si>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</si>
  <si>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</si>
  <si>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</si>
  <si>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</si>
  <si>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</si>
  <si>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</si>
  <si>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</si>
  <si>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</si>
  <si>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</si>
  <si>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</si>
  <si>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</si>
  <si>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</si>
  <si>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</si>
  <si>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</si>
  <si>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</si>
  <si>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</si>
  <si>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</si>
  <si>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</si>
  <si>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</si>
  <si>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</si>
  <si>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</si>
  <si>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</si>
  <si>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</si>
  <si>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</si>
  <si>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</si>
  <si>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</si>
  <si>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</si>
  <si>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</si>
  <si>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</si>
  <si>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</si>
  <si>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</si>
  <si>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</si>
  <si>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</si>
  <si>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</si>
  <si>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</si>
  <si>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</si>
  <si>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</si>
  <si>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</si>
  <si>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</si>
  <si>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</si>
  <si>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</si>
  <si>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</si>
  <si>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</si>
  <si>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</si>
  <si>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</si>
  <si>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</si>
  <si>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</si>
  <si>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</si>
  <si>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</si>
  <si>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</si>
  <si>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</si>
  <si>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</si>
  <si>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</si>
  <si>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</si>
  <si>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</si>
  <si>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</si>
  <si>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</si>
  <si>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</si>
  <si>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</si>
  <si>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</si>
  <si>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</si>
  <si>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</si>
  <si>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</si>
  <si>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</si>
  <si>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</si>
  <si>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</si>
  <si>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</si>
  <si>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</si>
  <si>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</si>
  <si>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</si>
  <si>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</si>
  <si>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</si>
  <si>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</si>
  <si>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</si>
  <si>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</si>
  <si>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</si>
  <si>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</si>
  <si>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</si>
  <si>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</si>
  <si>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</si>
  <si>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</si>
  <si>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2012-02-29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</si>
  <si>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</si>
  <si>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</si>
  <si>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</si>
  <si>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</si>
  <si>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</si>
  <si>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</si>
  <si>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</si>
  <si>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</si>
  <si>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</si>
  <si>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</si>
  <si>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</si>
  <si>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</si>
  <si>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</si>
  <si>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</si>
  <si>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</si>
  <si>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</si>
  <si>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</si>
  <si>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</si>
  <si>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</si>
  <si>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</si>
  <si>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</si>
  <si>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</si>
  <si>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</si>
  <si>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</si>
  <si>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</si>
  <si>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</si>
  <si>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</si>
  <si>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</si>
  <si>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</si>
  <si>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</si>
  <si>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</si>
  <si>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</si>
  <si>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</si>
  <si>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</si>
  <si>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</si>
  <si>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</si>
  <si>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</si>
  <si>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</si>
  <si>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</si>
  <si>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</si>
  <si>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</si>
  <si>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</si>
  <si>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</si>
  <si>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</si>
  <si>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</si>
  <si>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</si>
  <si>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</si>
  <si>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</si>
  <si>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</si>
  <si>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</si>
  <si>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</si>
  <si>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</si>
  <si>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</si>
  <si>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</si>
  <si>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</si>
  <si>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</si>
  <si>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</si>
  <si>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</si>
  <si>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</si>
  <si>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</si>
  <si>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</si>
  <si>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</si>
  <si>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</si>
  <si>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</si>
  <si>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</si>
  <si>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</si>
  <si>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</si>
  <si>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</si>
  <si>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</si>
  <si>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</si>
  <si>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</si>
  <si>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</si>
  <si>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</si>
  <si>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</si>
  <si>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</si>
  <si>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</si>
  <si>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</si>
  <si>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</si>
  <si>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</si>
  <si>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</si>
  <si>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</si>
  <si>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</si>
  <si>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</si>
  <si>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</si>
  <si>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</si>
  <si>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</si>
  <si>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</si>
  <si>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</si>
  <si>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</si>
  <si>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</si>
  <si>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</si>
  <si>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</si>
  <si>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</si>
  <si>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</si>
  <si>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</si>
  <si>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</si>
  <si>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</si>
  <si>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</si>
  <si>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</si>
  <si>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</si>
  <si>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</si>
  <si>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</si>
  <si>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</si>
  <si>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</si>
  <si>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</si>
  <si>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</si>
  <si>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</si>
  <si>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</si>
  <si>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</si>
  <si>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</si>
  <si>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</si>
  <si>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</si>
  <si>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</si>
  <si>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</si>
  <si>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</si>
  <si>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</si>
  <si>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</si>
  <si>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</si>
  <si>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</si>
  <si>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</si>
  <si>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</si>
  <si>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</si>
  <si>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</si>
  <si>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</si>
  <si>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</si>
  <si>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</si>
  <si>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</si>
  <si>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</si>
  <si>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</si>
  <si>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</si>
  <si>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</si>
  <si>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</si>
  <si>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</si>
  <si>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</si>
  <si>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</si>
  <si>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</si>
  <si>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</si>
  <si>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</si>
  <si>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</si>
  <si>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</si>
  <si>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</si>
  <si>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</si>
  <si>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</si>
  <si>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</si>
  <si>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</si>
  <si>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</si>
  <si>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</si>
  <si>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</si>
  <si>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</si>
  <si>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</si>
  <si>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</si>
  <si>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</si>
  <si>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</si>
  <si>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</si>
  <si>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</si>
  <si>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</si>
  <si>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</si>
  <si>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</si>
  <si>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</si>
  <si>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</si>
  <si>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</si>
  <si>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</si>
  <si>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</si>
  <si>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</si>
  <si>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</si>
  <si>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</si>
  <si>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</si>
  <si>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</si>
  <si>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</si>
  <si>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</si>
  <si>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</si>
  <si>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</si>
  <si>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</si>
  <si>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</si>
  <si>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</si>
  <si>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</si>
  <si>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</si>
  <si>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</si>
  <si>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</si>
  <si>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</si>
  <si>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</si>
  <si>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</si>
  <si>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</si>
  <si>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</si>
  <si>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</si>
  <si>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</si>
  <si>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</si>
  <si>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</si>
  <si>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</si>
  <si>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</si>
  <si>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</si>
  <si>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</si>
  <si>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</si>
  <si>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</si>
  <si>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</si>
  <si>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</si>
  <si>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</si>
  <si>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</si>
  <si>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</si>
  <si>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</si>
  <si>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</si>
  <si>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</si>
  <si>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</si>
  <si>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</si>
  <si>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</si>
  <si>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</si>
  <si>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</si>
  <si>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</si>
  <si>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</si>
  <si>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</si>
  <si>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</si>
  <si>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</si>
  <si>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</si>
  <si>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</si>
  <si>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</si>
  <si>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</si>
  <si>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</si>
  <si>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</si>
  <si>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</si>
  <si>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</si>
  <si>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</si>
  <si>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</si>
  <si>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</si>
  <si>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</si>
  <si>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</si>
  <si>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</si>
  <si>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</si>
  <si>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</si>
  <si>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</si>
  <si>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</si>
  <si>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</si>
  <si>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</si>
  <si>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</si>
  <si>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</si>
  <si>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</si>
  <si>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</si>
  <si>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</si>
  <si>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</si>
  <si>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</si>
  <si>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</si>
  <si>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</si>
  <si>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</si>
  <si>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</si>
  <si>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</si>
  <si>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</si>
  <si>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</si>
  <si>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</si>
  <si>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</si>
  <si>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</si>
  <si>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</si>
  <si>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</si>
  <si>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</si>
  <si>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</si>
  <si>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</si>
  <si>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</si>
  <si>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</si>
  <si>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</si>
  <si>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</si>
  <si>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</si>
  <si>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</si>
  <si>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</si>
  <si>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</si>
  <si>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</si>
  <si>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</si>
  <si>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</si>
  <si>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</si>
  <si>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</si>
  <si>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</si>
  <si>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</si>
  <si>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</si>
  <si>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</si>
  <si>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</si>
  <si>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</si>
  <si>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</si>
  <si>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</si>
  <si>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</si>
  <si>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</si>
  <si>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</si>
  <si>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</si>
  <si>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</si>
  <si>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</si>
  <si>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</si>
  <si>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</si>
  <si>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</si>
  <si>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</si>
  <si>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</si>
  <si>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</si>
  <si>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</si>
  <si>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</si>
  <si>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</si>
  <si>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</si>
  <si>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</si>
  <si>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</si>
  <si>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</si>
  <si>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</si>
  <si>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</si>
  <si>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</si>
  <si>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</si>
  <si>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</si>
  <si>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</si>
  <si>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</si>
  <si>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</si>
  <si>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</si>
  <si>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</si>
  <si>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</si>
  <si>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</si>
  <si>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</si>
  <si>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</si>
  <si>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</si>
  <si>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</si>
  <si>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</si>
  <si>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</si>
  <si>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</si>
  <si>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</si>
  <si>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</si>
  <si>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</si>
  <si>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</si>
  <si>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</si>
  <si>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</si>
  <si>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</si>
  <si>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</si>
  <si>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</si>
  <si>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</si>
  <si>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</si>
  <si>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</si>
  <si>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</si>
  <si>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</si>
  <si>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</si>
  <si>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</si>
  <si>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</si>
  <si>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</si>
  <si>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</si>
  <si>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</si>
  <si>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</si>
  <si>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</si>
  <si>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</si>
  <si>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</si>
  <si>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</si>
  <si>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</si>
  <si>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</si>
  <si>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</si>
  <si>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</si>
  <si>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</si>
  <si>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</si>
  <si>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</si>
  <si>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</si>
  <si>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</si>
  <si>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</si>
  <si>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</si>
  <si>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</si>
  <si>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</si>
  <si>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</si>
  <si>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</si>
  <si>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</si>
  <si>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</si>
  <si>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</si>
  <si>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</si>
  <si>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</si>
  <si>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</si>
  <si>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</si>
  <si>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</si>
  <si>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</si>
  <si>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</si>
  <si>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</si>
  <si>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</si>
  <si>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</si>
  <si>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</si>
  <si>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</si>
  <si>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</si>
  <si>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</si>
  <si>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</si>
  <si>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</si>
  <si>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</si>
  <si>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</si>
  <si>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</si>
  <si>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</si>
  <si>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</si>
  <si>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</si>
  <si>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</si>
  <si>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</si>
  <si>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</si>
  <si>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</si>
  <si>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</si>
  <si>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</si>
  <si>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</si>
  <si>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</si>
  <si>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</si>
  <si>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</si>
  <si>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</si>
  <si>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</si>
  <si>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</si>
  <si>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</si>
  <si>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</si>
  <si>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</si>
  <si>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</si>
  <si>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</si>
  <si>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</si>
  <si>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</si>
  <si>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</si>
  <si>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</si>
  <si>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</si>
  <si>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</si>
  <si>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</si>
  <si>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</si>
  <si>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</si>
  <si>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</si>
  <si>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</si>
  <si>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</si>
  <si>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</si>
  <si>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</si>
  <si>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</si>
  <si>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</si>
  <si>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</si>
  <si>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</si>
  <si>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</si>
  <si>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</si>
  <si>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</si>
  <si>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</si>
  <si>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</si>
  <si>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</si>
  <si>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</si>
  <si>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</si>
  <si>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</si>
  <si>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</si>
  <si>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</si>
  <si>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</si>
  <si>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</si>
  <si>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</si>
  <si>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</si>
  <si>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</si>
  <si>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</si>
  <si>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</si>
  <si>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</si>
  <si>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</si>
  <si>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</si>
  <si>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</si>
  <si>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</si>
  <si>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</si>
  <si>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</si>
  <si>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</si>
  <si>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</si>
  <si>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</si>
  <si>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</si>
  <si>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</si>
  <si>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</si>
  <si>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</si>
  <si>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</si>
  <si>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</si>
  <si>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</si>
  <si>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</si>
  <si>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</si>
  <si>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</si>
  <si>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</si>
  <si>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</si>
  <si>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</si>
  <si>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</si>
  <si>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</si>
  <si>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</si>
  <si>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</si>
  <si>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</si>
  <si>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</si>
  <si>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</si>
  <si>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</si>
  <si>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</si>
  <si>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</si>
  <si>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</si>
  <si>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</si>
  <si>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</si>
  <si>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</si>
  <si>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</si>
  <si>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</si>
  <si>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</si>
  <si>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</si>
  <si>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</si>
  <si>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</si>
  <si>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</si>
  <si>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</si>
  <si>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</si>
  <si>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</si>
  <si>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</si>
  <si>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</si>
  <si>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</si>
  <si>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</si>
  <si>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</si>
  <si>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</si>
  <si>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</si>
  <si>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</si>
  <si>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</si>
  <si>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</si>
  <si>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</si>
  <si>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</si>
  <si>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</si>
  <si>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</si>
  <si>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</si>
  <si>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</si>
  <si>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</si>
  <si>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</si>
  <si>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</si>
  <si>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</si>
  <si>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</si>
  <si>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</si>
  <si>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</si>
  <si>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</si>
  <si>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</si>
  <si>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</si>
  <si>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</si>
  <si>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</si>
  <si>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</si>
  <si>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</si>
  <si>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</si>
  <si>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</si>
  <si>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</si>
  <si>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</si>
  <si>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</si>
  <si>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</si>
  <si>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</si>
  <si>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</si>
  <si>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</si>
  <si>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</si>
  <si>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</si>
  <si>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</si>
  <si>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</si>
  <si>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</si>
  <si>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</si>
  <si>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</si>
  <si>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</si>
  <si>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</si>
  <si>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</si>
  <si>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</si>
  <si>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</si>
  <si>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</si>
  <si>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</si>
  <si>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</si>
  <si>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</si>
  <si>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</si>
  <si>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</si>
  <si>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</si>
  <si>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</si>
  <si>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</si>
  <si>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</si>
  <si>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</si>
  <si>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</si>
  <si>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</si>
  <si>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</si>
  <si>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</si>
  <si>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</si>
  <si>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</si>
  <si>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</si>
  <si>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</si>
  <si>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</si>
  <si>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</si>
  <si>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</si>
  <si>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</si>
  <si>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</si>
  <si>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</si>
  <si>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</si>
  <si>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</si>
  <si>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</si>
  <si>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</si>
  <si>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</si>
  <si>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</si>
  <si>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</si>
  <si>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</si>
  <si>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</si>
  <si>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</si>
  <si>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</si>
  <si>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</si>
  <si>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</si>
  <si>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</si>
  <si>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</si>
  <si>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</si>
  <si>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</si>
  <si>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</si>
  <si>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</si>
  <si>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</si>
  <si>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</si>
  <si>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</si>
  <si>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</si>
  <si>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</si>
  <si>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</si>
  <si>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</si>
  <si>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</si>
  <si>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</si>
  <si>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</si>
  <si>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</si>
  <si>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</si>
  <si>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</si>
  <si>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</si>
  <si>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</si>
  <si>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</si>
  <si>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</si>
  <si>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</si>
  <si>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</si>
  <si>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</si>
  <si>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</si>
  <si>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</si>
  <si>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</si>
  <si>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</si>
  <si>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</si>
  <si>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</si>
  <si>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</si>
  <si>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</si>
  <si>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</si>
  <si>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</si>
  <si>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</si>
  <si>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</si>
  <si>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</si>
  <si>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</si>
  <si>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</si>
  <si>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</si>
  <si>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</si>
  <si>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</si>
  <si>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</si>
  <si>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</si>
  <si>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</si>
  <si>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</si>
  <si>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</si>
  <si>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</si>
  <si>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</si>
  <si>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</si>
  <si>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</si>
  <si>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</si>
  <si>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</si>
  <si>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</si>
  <si>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</si>
  <si>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</si>
  <si>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</si>
  <si>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</si>
  <si>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</si>
  <si>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</si>
  <si>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</si>
  <si>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</si>
  <si>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</si>
  <si>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</si>
  <si>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</si>
  <si>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</si>
  <si>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</si>
  <si>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</si>
  <si>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</si>
  <si>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</si>
  <si>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</si>
  <si>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</si>
  <si>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</si>
  <si>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</si>
  <si>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</si>
  <si>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</si>
  <si>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</si>
  <si>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</si>
  <si>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</si>
  <si>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</si>
  <si>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</si>
  <si>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</si>
  <si>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</si>
  <si>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</si>
  <si>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</si>
  <si>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</si>
  <si>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</si>
  <si>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</si>
  <si>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</si>
  <si>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</si>
  <si>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</si>
  <si>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</si>
  <si>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</si>
  <si>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</si>
  <si>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</si>
  <si>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</si>
  <si>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</si>
  <si>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</si>
  <si>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</si>
  <si>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</si>
  <si>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</si>
  <si>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</si>
  <si>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</si>
  <si>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</si>
  <si>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</si>
  <si>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</si>
  <si>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</si>
  <si>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</si>
  <si>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</si>
  <si>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</si>
  <si>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</si>
  <si>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</si>
  <si>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</si>
  <si>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</si>
  <si>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</si>
  <si>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</si>
  <si>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</si>
  <si>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</si>
  <si>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</si>
  <si>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</si>
  <si>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</si>
  <si>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</si>
  <si>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</si>
  <si>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</si>
  <si>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</si>
  <si>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</si>
  <si>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</si>
  <si>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</si>
  <si>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</si>
  <si>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</si>
  <si>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</si>
  <si>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</si>
  <si>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</si>
  <si>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</si>
  <si>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</si>
  <si>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</si>
  <si>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</si>
  <si>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</si>
  <si>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</si>
  <si>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</si>
  <si>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</si>
  <si>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</si>
  <si>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</si>
  <si>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</si>
  <si>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</si>
  <si>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</si>
  <si>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</si>
  <si>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</si>
  <si>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</si>
  <si>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</si>
  <si>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</si>
  <si>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</si>
  <si>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</si>
  <si>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</si>
  <si>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</si>
  <si>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</si>
  <si>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</si>
  <si>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</si>
  <si>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</si>
  <si>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</si>
  <si>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</si>
  <si>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</si>
  <si>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</si>
  <si>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</si>
  <si>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</si>
  <si>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</si>
  <si>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</si>
  <si>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</si>
  <si>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</si>
  <si>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</si>
  <si>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</si>
  <si>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</si>
  <si>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</si>
  <si>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</si>
  <si>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</si>
  <si>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</si>
  <si>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</si>
  <si>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</si>
  <si>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</si>
  <si>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</si>
  <si>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</si>
  <si>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</si>
  <si>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</si>
  <si>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</si>
  <si>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</si>
  <si>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</si>
  <si>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</si>
  <si>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</si>
  <si>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</si>
  <si>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</si>
  <si>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</si>
  <si>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</si>
  <si>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</si>
  <si>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</si>
  <si>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</si>
  <si>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</si>
  <si>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</si>
  <si>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</si>
  <si>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</si>
  <si>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</si>
  <si>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</si>
  <si>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</si>
  <si>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</si>
  <si>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</si>
  <si>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</si>
  <si>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</si>
  <si>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</si>
  <si>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</si>
  <si>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</si>
  <si>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</si>
  <si>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</si>
  <si>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</si>
  <si>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</si>
  <si>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</si>
  <si>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</si>
  <si>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</si>
  <si>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</si>
  <si>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</si>
  <si>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</si>
  <si>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</si>
  <si>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</si>
  <si>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</si>
  <si>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</si>
  <si>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</si>
  <si>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</si>
  <si>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</si>
  <si>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</si>
  <si>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</si>
  <si>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</si>
  <si>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</si>
  <si>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</si>
  <si>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</si>
  <si>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</si>
  <si>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</si>
  <si>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</si>
  <si>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</si>
  <si>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</si>
  <si>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</si>
  <si>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</si>
  <si>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</si>
  <si>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</si>
  <si>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</si>
  <si>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</si>
  <si>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</si>
  <si>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</si>
  <si>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</si>
  <si>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</si>
  <si>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</si>
  <si>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</si>
  <si>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</si>
  <si>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</si>
  <si>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</si>
  <si>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</si>
  <si>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</si>
  <si>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</si>
  <si>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</si>
  <si>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</si>
  <si>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</si>
  <si>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</si>
  <si>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</si>
  <si>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</si>
  <si>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</si>
  <si>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</si>
  <si>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</si>
  <si>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</si>
  <si>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</si>
  <si>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</si>
  <si>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</si>
  <si>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</si>
  <si>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</si>
  <si>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</si>
  <si>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</si>
  <si>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</si>
  <si>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</si>
  <si>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</si>
  <si>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</si>
  <si>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</si>
  <si>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</si>
  <si>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</si>
  <si>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</si>
  <si>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</si>
  <si>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</si>
  <si>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</si>
  <si>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</si>
  <si>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</si>
  <si>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</si>
  <si>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</si>
  <si>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</si>
  <si>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</si>
  <si>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</si>
  <si>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</si>
  <si>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</si>
  <si>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</si>
  <si>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</si>
  <si>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</si>
  <si>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</si>
  <si>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</si>
  <si>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</si>
  <si>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</si>
  <si>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</si>
  <si>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</si>
  <si>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</si>
  <si>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</si>
  <si>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</si>
  <si>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</si>
  <si>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</si>
  <si>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</si>
  <si>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</si>
  <si>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</si>
  <si>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</si>
  <si>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</si>
  <si>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</si>
  <si>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</si>
  <si>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</si>
  <si>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</si>
  <si>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</si>
  <si>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</si>
  <si>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</si>
  <si>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</si>
  <si>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</si>
  <si>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</si>
  <si>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</si>
  <si>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</si>
  <si>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</si>
  <si>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</si>
  <si>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</si>
  <si>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</si>
  <si>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</si>
  <si>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</si>
  <si>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</si>
  <si>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</si>
  <si>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</si>
  <si>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</si>
  <si>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</si>
  <si>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</si>
  <si>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</si>
  <si>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</si>
  <si>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</si>
  <si>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</si>
  <si>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</si>
  <si>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</si>
  <si>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</si>
  <si>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</si>
  <si>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</si>
  <si>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</si>
  <si>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</si>
  <si>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</si>
  <si>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</si>
  <si>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</si>
  <si>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</si>
  <si>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</si>
  <si>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</si>
  <si>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</si>
  <si>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</si>
  <si>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</si>
  <si>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</si>
  <si>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</si>
  <si>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</si>
  <si>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</si>
  <si>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</si>
  <si>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</si>
  <si>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</si>
  <si>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</si>
  <si>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</si>
  <si>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</si>
  <si>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</si>
  <si>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</si>
  <si>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</si>
  <si>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</si>
  <si>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</si>
  <si>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</si>
  <si>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</si>
  <si>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</si>
  <si>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</si>
  <si>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</si>
  <si>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</si>
  <si>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</si>
  <si>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</si>
  <si>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</si>
  <si>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</si>
  <si>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</si>
  <si>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</si>
  <si>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</si>
  <si>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</si>
  <si>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</si>
  <si>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</si>
  <si>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</si>
  <si>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</si>
  <si>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</si>
  <si>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</si>
  <si>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</si>
  <si>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</si>
  <si>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</si>
  <si>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</si>
  <si>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</si>
  <si>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</si>
  <si>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</si>
  <si>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</si>
  <si>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</si>
  <si>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</si>
  <si>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</si>
  <si>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</si>
  <si>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</si>
  <si>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</si>
  <si>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</si>
  <si>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</si>
  <si>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</si>
  <si>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</si>
  <si>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</si>
  <si>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</si>
  <si>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</si>
  <si>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</si>
  <si>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</si>
  <si>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</si>
  <si>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</si>
  <si>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</si>
  <si>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</si>
  <si>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</si>
  <si>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</si>
  <si>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</si>
  <si>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</si>
  <si>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</si>
  <si>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</si>
  <si>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</si>
  <si>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</si>
  <si>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</si>
  <si>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</si>
  <si>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</si>
  <si>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</si>
  <si>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</si>
  <si>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</si>
  <si>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</si>
  <si>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</si>
  <si>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</si>
  <si>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</si>
  <si>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</si>
  <si>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</si>
  <si>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</si>
  <si>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</si>
  <si>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</si>
  <si>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</si>
  <si>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</si>
  <si>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</si>
  <si>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</si>
  <si>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</si>
  <si>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</si>
  <si>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</si>
  <si>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</si>
  <si>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</si>
  <si>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</si>
  <si>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</si>
  <si>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</si>
  <si>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</si>
  <si>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</si>
  <si>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</si>
  <si>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</si>
  <si>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</si>
  <si>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</si>
  <si>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</si>
  <si>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</si>
  <si>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</si>
  <si>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</si>
  <si>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</si>
  <si>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</si>
  <si>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</si>
  <si>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</si>
  <si>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</si>
  <si>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</si>
  <si>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</si>
  <si>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</si>
  <si>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</si>
  <si>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</si>
  <si>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</si>
  <si>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</si>
  <si>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</si>
  <si>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</si>
  <si>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</si>
  <si>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</si>
  <si>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</si>
  <si>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</si>
  <si>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</si>
  <si>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</si>
  <si>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</si>
  <si>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</si>
  <si>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</si>
  <si>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</si>
  <si>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</si>
  <si>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</si>
  <si>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</si>
  <si>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</si>
  <si>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</si>
  <si>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</si>
  <si>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</si>
  <si>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</si>
  <si>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</si>
  <si>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</si>
  <si>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</si>
  <si>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</si>
  <si>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</si>
  <si>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</si>
  <si>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</si>
  <si>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</si>
  <si>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</si>
  <si>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</si>
  <si>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</si>
  <si>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</si>
  <si>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</si>
  <si>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</si>
  <si>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</si>
  <si>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</si>
  <si>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</si>
  <si>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</si>
  <si>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</si>
  <si>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</si>
  <si>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</si>
  <si>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</si>
  <si>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</si>
  <si>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</si>
  <si>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</si>
  <si>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</si>
  <si>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</si>
  <si>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</si>
  <si>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</si>
  <si>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</si>
  <si>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</si>
  <si>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</si>
  <si>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</si>
  <si>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</si>
  <si>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</si>
  <si>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</si>
  <si>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</si>
  <si>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</si>
  <si>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</si>
  <si>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</si>
  <si>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</si>
  <si>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</si>
  <si>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</si>
  <si>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</si>
  <si>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</si>
  <si>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</si>
  <si>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</si>
  <si>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</si>
  <si>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</si>
  <si>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</si>
  <si>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</si>
  <si>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</si>
  <si>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</si>
  <si>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</si>
  <si>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</si>
  <si>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</si>
  <si>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</si>
  <si>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</si>
  <si>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</si>
  <si>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</si>
  <si>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</si>
  <si>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</si>
  <si>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</si>
  <si>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</si>
  <si>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</si>
  <si>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</si>
  <si>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</si>
  <si>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</si>
  <si>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</si>
  <si>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</si>
  <si>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</si>
  <si>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</si>
  <si>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</si>
  <si>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</si>
  <si>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</si>
  <si>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</si>
  <si>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</si>
  <si>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</si>
  <si>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</si>
  <si>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</si>
  <si>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</si>
  <si>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</si>
  <si>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</si>
  <si>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</si>
  <si>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</si>
  <si>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</si>
  <si>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</si>
  <si>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</si>
  <si>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</si>
  <si>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</si>
  <si>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</si>
  <si>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</si>
  <si>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</si>
  <si>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</si>
  <si>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</si>
  <si>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</si>
  <si>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</si>
  <si>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</si>
  <si>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</si>
  <si>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</si>
  <si>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</si>
  <si>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</si>
  <si>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</si>
  <si>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</si>
  <si>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</si>
  <si>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</si>
  <si>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</si>
  <si>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</si>
  <si>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</si>
  <si>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</si>
  <si>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</si>
  <si>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</si>
  <si>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</si>
  <si>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</si>
  <si>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</si>
  <si>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</si>
  <si>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</si>
  <si>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</si>
  <si>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</si>
  <si>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</si>
  <si>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</si>
  <si>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</si>
  <si>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</si>
  <si>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</si>
  <si>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</si>
  <si>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</si>
  <si>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</si>
  <si>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</si>
  <si>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</si>
  <si>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</si>
  <si>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</si>
  <si>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</si>
  <si>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</si>
  <si>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</si>
  <si>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</si>
  <si>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</si>
  <si>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</si>
  <si>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</si>
  <si>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</si>
  <si>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</si>
  <si>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</si>
  <si>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</si>
  <si>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</si>
  <si>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</si>
  <si>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</si>
  <si>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</si>
  <si>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</si>
  <si>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</si>
  <si>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</si>
  <si>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</si>
  <si>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</si>
  <si>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</si>
  <si>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</si>
  <si>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</si>
  <si>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</si>
  <si>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</si>
  <si>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</si>
  <si>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</si>
  <si>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</si>
  <si>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</si>
  <si>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</si>
  <si>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</si>
  <si>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</si>
  <si>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</si>
  <si>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</si>
  <si>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</si>
  <si>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</si>
  <si>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</si>
  <si>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</si>
  <si>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</si>
  <si>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</si>
  <si>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</si>
  <si>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</si>
  <si>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</si>
  <si>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</si>
  <si>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</si>
  <si>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</si>
  <si>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</si>
  <si>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</si>
  <si>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</si>
  <si>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</si>
  <si>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</si>
  <si>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</si>
  <si>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</si>
  <si>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</si>
  <si>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</si>
  <si>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</si>
  <si>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</si>
  <si>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</si>
  <si>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</si>
  <si>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</si>
  <si>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</si>
  <si>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</si>
  <si>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</si>
  <si>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</si>
  <si>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</si>
  <si>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</si>
  <si>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</si>
  <si>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</si>
  <si>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</si>
  <si>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</si>
  <si>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</si>
  <si>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</si>
  <si>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</si>
  <si>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</si>
  <si>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</si>
  <si>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</si>
  <si>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</si>
  <si>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</si>
  <si>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</si>
  <si>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</si>
  <si>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</si>
  <si>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</si>
  <si>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</si>
  <si>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</si>
  <si>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</si>
  <si>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</si>
  <si>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</si>
  <si>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</si>
  <si>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</si>
  <si>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</si>
  <si>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</si>
  <si>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</si>
  <si>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</si>
  <si>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</si>
  <si>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</si>
  <si>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</si>
  <si>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</si>
  <si>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</si>
  <si>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</si>
  <si>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</si>
  <si>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</si>
  <si>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</si>
  <si>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</si>
  <si>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</si>
  <si>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</si>
  <si>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</si>
  <si>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</si>
  <si>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</si>
  <si>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</si>
  <si>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</si>
  <si>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</si>
  <si>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</si>
  <si>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</si>
  <si>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</si>
  <si>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</si>
  <si>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</si>
  <si>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</si>
  <si>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</si>
  <si>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</si>
  <si>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</si>
  <si>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</si>
  <si>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</si>
  <si>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</si>
  <si>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</si>
  <si>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</si>
  <si>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</si>
  <si>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</si>
  <si>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</si>
  <si>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</si>
  <si>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</si>
  <si>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</si>
  <si>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</si>
  <si>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</si>
  <si>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</si>
  <si>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</si>
  <si>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</si>
  <si>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</si>
  <si>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</si>
  <si>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</si>
  <si>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</si>
  <si>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</si>
  <si>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</si>
  <si>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</si>
  <si>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</si>
  <si>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</si>
  <si>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</si>
  <si>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</si>
  <si>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</si>
  <si>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</si>
  <si>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</si>
  <si>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</si>
  <si>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</si>
  <si>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</si>
  <si>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</si>
  <si>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</si>
  <si>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</si>
  <si>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</si>
  <si>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</si>
  <si>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</si>
  <si>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</si>
  <si>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</si>
  <si>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</si>
  <si>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</si>
  <si>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</si>
  <si>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</si>
  <si>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</si>
  <si>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</si>
  <si>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</si>
  <si>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</si>
  <si>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</si>
  <si>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</si>
  <si>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</si>
  <si>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</si>
  <si>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</si>
  <si>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</si>
  <si>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</si>
  <si>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</si>
  <si>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</si>
  <si>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</si>
  <si>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</si>
  <si>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</si>
  <si>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</si>
  <si>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</si>
  <si>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</si>
  <si>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</si>
  <si>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</si>
  <si>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</si>
  <si>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</si>
  <si>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</si>
  <si>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</si>
  <si>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</si>
  <si>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</si>
  <si>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</si>
  <si>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</si>
  <si>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</si>
  <si>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</si>
  <si>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</si>
  <si>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</si>
  <si>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</si>
  <si>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</si>
  <si>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</si>
  <si>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</si>
  <si>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</si>
  <si>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</si>
  <si>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</si>
  <si>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</si>
  <si>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</si>
  <si>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</si>
  <si>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</si>
  <si>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</si>
  <si>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</si>
  <si>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</si>
  <si>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</si>
  <si>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</si>
  <si>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</si>
  <si>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</si>
  <si>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</si>
  <si>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</si>
  <si>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</si>
  <si>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</si>
  <si>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</si>
  <si>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</si>
  <si>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</si>
  <si>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</si>
  <si>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</si>
  <si>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</si>
  <si>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</si>
  <si>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</si>
  <si>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</si>
  <si>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</si>
  <si>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</si>
  <si>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</si>
  <si>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</si>
  <si>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</si>
  <si>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</si>
  <si>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</si>
  <si>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</si>
  <si>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</si>
  <si>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</si>
  <si>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</si>
  <si>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</si>
  <si>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</si>
  <si>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</si>
  <si>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</si>
  <si>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</si>
  <si>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</si>
  <si>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</si>
  <si>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</si>
  <si>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</si>
  <si>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</si>
  <si>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</si>
  <si>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</si>
  <si>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</si>
  <si>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</si>
  <si>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</si>
  <si>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</si>
  <si>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</si>
  <si>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</si>
  <si>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</si>
  <si>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</si>
  <si>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</si>
  <si>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</si>
  <si>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</si>
  <si>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</si>
  <si>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</si>
  <si>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2016-02-29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</si>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</sst>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7" x14ac:knownFonts="1">
    <font>
      <sz val="11"/>
      <color theme="1"/>
      <name val="Calibri"/>
      <family val="2"/>
      <scheme val="minor"/>
    </font>
    <font>
      <b/>
      <sz val="22"/>
      <color rgb="FF17365D"/>
      <name val="Calibri"/>
      <family val="2"/>
      <scheme val="minor"/>
    </font>
    <font>
      <b/>
      <sz val="11"/>
      <color rgb="FF17365D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1763A6"/>
      <name val="Calibri"/>
      <family val="2"/>
      <scheme val="minor"/>
    </font>
    <font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0" xfId="0" applyFont="1"/>
    <xf numFmtId="0" fontId="3" fillId="0" borderId="0" xfId="1" applyAlignment="1" applyProtection="1"/>
    <xf numFmtId="164" fontId="0" fillId="2" borderId="0" xfId="0" applyNumberFormat="1" applyFill="1"/>
    <xf numFmtId="0" fontId="4" fillId="3" borderId="0" xfId="0" applyFont="1" applyFill="1" applyAlignment="1">
      <alignment wrapText="1"/>
    </xf>
    <xf numFmtId="49" fontId="5" fillId="0" borderId="0" xfId="0" applyNumberFormat="1" applyFont="1"/>
    <xf numFmtId="0" fontId="6" fillId="4" borderId="0" xfId="0" applyFont="1" applyFill="1"/>
    <xf numFmtId="3" fontId="5" fillId="0" borderId="0" xfId="0" applyNumberFormat="1" applyFont="1"/>
    <xf numFmtId="10" fontId="5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a82eb5a1fc404542a18b1336b70d2c4e">
      <tp>
        <v>5</v>
        <stp/>
        <stp>054b9fcf-7567-4f61-a4ca-73e412bc528f</stp>
        <tr r="G4705" s="2"/>
      </tp>
      <tp>
        <v>5</v>
        <stp/>
        <stp>56f8be0d-c528-48e7-8bce-d689edf073df</stp>
        <tr r="G9345" s="2"/>
      </tp>
    </main>
    <main first="rtdsrv_a82eb5a1fc404542a18b1336b70d2c4e">
      <tp>
        <v>5</v>
        <stp/>
        <stp>31426dd7-439a-429b-b193-c8b9b39d1472</stp>
        <tr r="G2318" s="2"/>
      </tp>
    </main>
    <main first="rtdsrv_a82eb5a1fc404542a18b1336b70d2c4e">
      <tp>
        <v>5</v>
        <stp/>
        <stp>e420bc91-3c5f-4277-9dbd-05d3a8e1c915</stp>
        <tr r="G259" s="2"/>
      </tp>
      <tp>
        <v>5</v>
        <stp/>
        <stp>b71a14dd-3732-4e50-9cf9-5aa820c8b2ec</stp>
        <tr r="G1432" s="2"/>
      </tp>
    </main>
    <main first="rtdsrv_a82eb5a1fc404542a18b1336b70d2c4e">
      <tp>
        <v>5</v>
        <stp/>
        <stp>cc940377-6b0b-487f-bdf1-cf5c8cd57f06</stp>
        <tr r="G6543" s="2"/>
      </tp>
      <tp>
        <v>5</v>
        <stp/>
        <stp>16f6263a-c097-4c43-bf26-278774411dcc</stp>
        <tr r="G9983" s="2"/>
      </tp>
      <tp>
        <v>5</v>
        <stp/>
        <stp>a0cb6810-c868-4daf-a7a5-246b18a12e48</stp>
        <tr r="G1519" s="2"/>
      </tp>
    </main>
    <main first="rtdsrv_a82eb5a1fc404542a18b1336b70d2c4e">
      <tp>
        <v>5</v>
        <stp/>
        <stp>93d3ec82-5b7a-4a71-be9a-080e11c42a01</stp>
        <tr r="G5143" s="2"/>
      </tp>
      <tp>
        <v>5</v>
        <stp/>
        <stp>6111b0e2-541b-4836-9809-7f3e1beb933a</stp>
        <tr r="G2827" s="2"/>
      </tp>
    </main>
    <main first="rtdsrv_a82eb5a1fc404542a18b1336b70d2c4e">
      <tp>
        <v>5</v>
        <stp/>
        <stp>857a02cc-54d1-4e19-a4dc-2fca45d3498f</stp>
        <tr r="G4254" s="2"/>
      </tp>
      <tp>
        <v>5</v>
        <stp/>
        <stp>6a15f5bd-43f0-416f-a64a-0785f95c390f</stp>
        <tr r="G803" s="2"/>
      </tp>
      <tp>
        <v>5</v>
        <stp/>
        <stp>6ec61537-721c-4392-8fb6-31882e3f2fc4</stp>
        <tr r="G7263" s="2"/>
      </tp>
      <tp>
        <v>5</v>
        <stp/>
        <stp>589a81fc-5bcb-4045-9a9b-05df44eb24b1</stp>
        <tr r="G3686" s="2"/>
      </tp>
    </main>
    <main first="rtdsrv_a82eb5a1fc404542a18b1336b70d2c4e">
      <tp>
        <v>5</v>
        <stp/>
        <stp>30f13306-7401-4806-b920-7131fbe55f86</stp>
        <tr r="G5822" s="2"/>
      </tp>
      <tp>
        <v>5</v>
        <stp/>
        <stp>3be7282c-faf0-4898-b6ce-2f9baab4ae4a</stp>
        <tr r="G7123" s="2"/>
      </tp>
    </main>
    <main first="rtdsrv_a82eb5a1fc404542a18b1336b70d2c4e">
      <tp>
        <v>5</v>
        <stp/>
        <stp>3eae38cb-0036-4107-8f08-bf7fb8209133</stp>
        <tr r="G9054" s="2"/>
      </tp>
    </main>
    <main first="rtdsrv_a82eb5a1fc404542a18b1336b70d2c4e">
      <tp>
        <v>5</v>
        <stp/>
        <stp>01fe5f39-cc6b-4a1f-bf67-0d2caf6fec96</stp>
        <tr r="G4262" s="2"/>
      </tp>
    </main>
    <main first="rtdsrv_a82eb5a1fc404542a18b1336b70d2c4e">
      <tp>
        <v>5</v>
        <stp/>
        <stp>9acbe034-3c94-42e5-a06e-9a8984ac312b</stp>
        <tr r="G4565" s="2"/>
      </tp>
    </main>
    <main first="rtdsrv_a82eb5a1fc404542a18b1336b70d2c4e">
      <tp>
        <v>5</v>
        <stp/>
        <stp>26956e35-28dc-4db4-b366-c0970300be0f</stp>
        <tr r="G7682" s="2"/>
      </tp>
    </main>
    <main first="rtdsrv_a82eb5a1fc404542a18b1336b70d2c4e">
      <tp>
        <v>5</v>
        <stp/>
        <stp>868bc911-ba06-4188-9914-28f0bac008de</stp>
        <tr r="G5905" s="2"/>
      </tp>
    </main>
    <main first="rtdsrv_a82eb5a1fc404542a18b1336b70d2c4e">
      <tp>
        <v>5</v>
        <stp/>
        <stp>7ca94194-319b-4bba-8ccc-bc913781826f</stp>
        <tr r="G9105" s="2"/>
      </tp>
      <tp>
        <v>5</v>
        <stp/>
        <stp>776b507c-c938-4565-9c14-8c33a1058721</stp>
        <tr r="G3222" s="2"/>
      </tp>
    </main>
    <main first="rtdsrv_a82eb5a1fc404542a18b1336b70d2c4e">
      <tp>
        <v>5</v>
        <stp/>
        <stp>512b4aae-1c5b-45e2-9ac8-e61bd1093243</stp>
        <tr r="G6438" s="2"/>
      </tp>
    </main>
    <main first="rtdsrv_a82eb5a1fc404542a18b1336b70d2c4e">
      <tp>
        <v>5</v>
        <stp/>
        <stp>afdd9e2d-d968-4668-990a-ef74197d3533</stp>
        <tr r="G9475" s="2"/>
      </tp>
      <tp>
        <v>5</v>
        <stp/>
        <stp>22df9ab3-6b0e-492c-8ee8-3e6880c1e346</stp>
        <tr r="G9179" s="2"/>
      </tp>
      <tp>
        <v>5</v>
        <stp/>
        <stp>d49d9d17-c2ed-41f6-b9b8-0d4d84945210</stp>
        <tr r="G578" s="2"/>
      </tp>
      <tp>
        <v>5</v>
        <stp/>
        <stp>bd5eeac8-316e-415a-b605-acb786916779</stp>
        <tr r="G7583" s="2"/>
      </tp>
      <tp>
        <v>5</v>
        <stp/>
        <stp>1bedc4b8-525b-412a-8639-882fd857d456</stp>
        <tr r="G9286" s="2"/>
      </tp>
    </main>
    <main first="rtdsrv_a82eb5a1fc404542a18b1336b70d2c4e">
      <tp>
        <v>5</v>
        <stp/>
        <stp>d1814ab4-4b08-4f8b-854b-8e747e09b7ce</stp>
        <tr r="G2264" s="2"/>
      </tp>
    </main>
    <main first="rtdsrv_a82eb5a1fc404542a18b1336b70d2c4e">
      <tp>
        <v>5</v>
        <stp/>
        <stp>638b956a-ad28-4876-ab01-6e1d10d3d103</stp>
        <tr r="G5585" s="2"/>
      </tp>
    </main>
    <main first="rtdsrv_a82eb5a1fc404542a18b1336b70d2c4e">
      <tp>
        <v>5</v>
        <stp/>
        <stp>306c8ccf-581e-4548-9ef5-344bc1d0786d</stp>
        <tr r="G4363" s="2"/>
      </tp>
      <tp>
        <v>5</v>
        <stp/>
        <stp>ba874087-034e-41e6-907d-e3c4958fcc2a</stp>
        <tr r="G9310" s="2"/>
      </tp>
    </main>
    <main first="rtdsrv_a82eb5a1fc404542a18b1336b70d2c4e">
      <tp>
        <v>5</v>
        <stp/>
        <stp>0100b8e8-e69a-4503-81bd-c7be589097b9</stp>
        <tr r="G7154" s="2"/>
      </tp>
      <tp>
        <v>5</v>
        <stp/>
        <stp>58b6f79e-7632-4c14-ad2f-d147f83a822d</stp>
        <tr r="G2105" s="2"/>
      </tp>
      <tp>
        <v>5</v>
        <stp/>
        <stp>1a1d0c33-ca7d-496c-8830-ff23a693ddf0</stp>
        <tr r="G1475" s="2"/>
      </tp>
    </main>
    <main first="rtdsrv_a82eb5a1fc404542a18b1336b70d2c4e">
      <tp>
        <v>5</v>
        <stp/>
        <stp>aa9c9481-01ce-496a-af92-4987cbe6dca6</stp>
        <tr r="G64" s="2"/>
      </tp>
    </main>
    <main first="rtdsrv_a82eb5a1fc404542a18b1336b70d2c4e">
      <tp>
        <v>5</v>
        <stp/>
        <stp>b58609d3-d2be-4d74-8901-8d21347c19d2</stp>
        <tr r="G6412" s="2"/>
      </tp>
      <tp>
        <v>5</v>
        <stp/>
        <stp>cf59c38a-3060-45ce-8a06-51d8a2c1c521</stp>
        <tr r="G9465" s="2"/>
      </tp>
    </main>
    <main first="rtdsrv_a82eb5a1fc404542a18b1336b70d2c4e">
      <tp>
        <v>5</v>
        <stp/>
        <stp>c58e96f3-1b41-4e93-ac7c-8a3d8cb74112</stp>
        <tr r="G821" s="2"/>
      </tp>
      <tp>
        <v>5</v>
        <stp/>
        <stp>96360e8c-53a3-433a-b125-3f29041d0b18</stp>
        <tr r="G4957" s="2"/>
      </tp>
    </main>
    <main first="rtdsrv_a82eb5a1fc404542a18b1336b70d2c4e">
      <tp>
        <v>5</v>
        <stp/>
        <stp>a9623f42-d368-46d3-ba78-63267163c82d</stp>
        <tr r="G7838" s="2"/>
      </tp>
    </main>
    <main first="rtdsrv_a82eb5a1fc404542a18b1336b70d2c4e">
      <tp>
        <v>5</v>
        <stp/>
        <stp>c4d28fe0-3dcf-4e4a-ba39-9ba9754c1a62</stp>
        <tr r="G9850" s="2"/>
      </tp>
    </main>
    <main first="rtdsrv_a82eb5a1fc404542a18b1336b70d2c4e">
      <tp>
        <v>5</v>
        <stp/>
        <stp>26e13e70-1986-4b86-89f6-1aeeb4554b2e</stp>
        <tr r="G6469" s="2"/>
      </tp>
    </main>
    <main first="rtdsrv_a82eb5a1fc404542a18b1336b70d2c4e">
      <tp>
        <v>5</v>
        <stp/>
        <stp>24c994f9-32dc-4326-b6b6-23cddf98a7d4</stp>
        <tr r="G9011" s="2"/>
      </tp>
    </main>
    <main first="rtdsrv_a82eb5a1fc404542a18b1336b70d2c4e">
      <tp>
        <v>5</v>
        <stp/>
        <stp>bc6a9b2c-f531-4f30-ab58-7b06e33c162b</stp>
        <tr r="G8225" s="2"/>
      </tp>
    </main>
    <main first="rtdsrv_a82eb5a1fc404542a18b1336b70d2c4e">
      <tp>
        <v>5</v>
        <stp/>
        <stp>54e8cd5d-396c-4094-b243-1b0776a4a230</stp>
        <tr r="G5712" s="2"/>
      </tp>
    </main>
    <main first="rtdsrv_a82eb5a1fc404542a18b1336b70d2c4e">
      <tp>
        <v>5</v>
        <stp/>
        <stp>e73f05b9-bba8-43cd-a5b8-bd70f60f014f</stp>
        <tr r="G4940" s="2"/>
      </tp>
    </main>
    <main first="rtdsrv_a82eb5a1fc404542a18b1336b70d2c4e">
      <tp>
        <v>5</v>
        <stp/>
        <stp>5c32f25b-11e0-4d0e-8ba4-59be39a49a8a</stp>
        <tr r="G6159" s="2"/>
      </tp>
      <tp>
        <v>5</v>
        <stp/>
        <stp>90e0031c-59e6-43f1-82a7-2fd71c1faf76</stp>
        <tr r="G3601" s="2"/>
      </tp>
    </main>
    <main first="rtdsrv_a82eb5a1fc404542a18b1336b70d2c4e">
      <tp>
        <v>5</v>
        <stp/>
        <stp>fe977692-df2c-43a7-9ea6-d6cc11959c37</stp>
        <tr r="G9576" s="2"/>
      </tp>
    </main>
    <main first="rtdsrv_a82eb5a1fc404542a18b1336b70d2c4e">
      <tp>
        <v>5</v>
        <stp/>
        <stp>f5707d39-481c-4e0f-9d07-9cf0b767fbb8</stp>
        <tr r="G3744" s="2"/>
      </tp>
    </main>
    <main first="rtdsrv_a82eb5a1fc404542a18b1336b70d2c4e">
      <tp>
        <v>5</v>
        <stp/>
        <stp>99804367-8d9b-4ea9-98fe-84659d6da856</stp>
        <tr r="G6195" s="2"/>
      </tp>
      <tp>
        <v>5</v>
        <stp/>
        <stp>931bcf81-d34e-417c-adcd-3602e05532a7</stp>
        <tr r="G865" s="2"/>
      </tp>
    </main>
    <main first="rtdsrv_a82eb5a1fc404542a18b1336b70d2c4e">
      <tp>
        <v>5</v>
        <stp/>
        <stp>642b70a8-c7f7-498d-847b-2b0dde5b4695</stp>
        <tr r="G2027" s="2"/>
      </tp>
    </main>
    <main first="rtdsrv_a82eb5a1fc404542a18b1336b70d2c4e">
      <tp>
        <v>5</v>
        <stp/>
        <stp>5e17b1bf-4958-4b72-9157-f623b707ace1</stp>
        <tr r="G9755" s="2"/>
      </tp>
    </main>
    <main first="rtdsrv_a82eb5a1fc404542a18b1336b70d2c4e">
      <tp>
        <v>5</v>
        <stp/>
        <stp>dcaa400e-79f7-4c3b-9ca6-b2f5d474bd52</stp>
        <tr r="G6937" s="2"/>
      </tp>
    </main>
    <main first="rtdsrv_a82eb5a1fc404542a18b1336b70d2c4e">
      <tp>
        <v>5</v>
        <stp/>
        <stp>8aca6673-fd87-410e-866f-b15cbba1648e</stp>
        <tr r="G5628" s="2"/>
      </tp>
      <tp>
        <v>5</v>
        <stp/>
        <stp>a3d13d70-cff5-45f3-9932-ad969ea9c0e1</stp>
        <tr r="G3149" s="2"/>
      </tp>
      <tp>
        <v>5</v>
        <stp/>
        <stp>dbc647d4-f1c2-4cd1-aacb-a182f4703aa7</stp>
        <tr r="G2036" s="2"/>
      </tp>
      <tp>
        <v>5</v>
        <stp/>
        <stp>4e0975ca-d452-428d-b186-c626ebad7988</stp>
        <tr r="G8845" s="2"/>
      </tp>
      <tp>
        <v>5</v>
        <stp/>
        <stp>ff587c96-aa53-41de-8ec9-1d9d22ab116e</stp>
        <tr r="G3564" s="2"/>
      </tp>
      <tp>
        <v>5</v>
        <stp/>
        <stp>a9eb2692-80b4-43ff-b5b7-ac167b6177f5</stp>
        <tr r="G3131" s="2"/>
      </tp>
    </main>
    <main first="rtdsrv_a82eb5a1fc404542a18b1336b70d2c4e">
      <tp>
        <v>5</v>
        <stp/>
        <stp>755c8362-2b18-4f2f-b90a-d7243c90d318</stp>
        <tr r="G9148" s="2"/>
      </tp>
      <tp>
        <v>5</v>
        <stp/>
        <stp>b0964efb-d4cc-4b23-b7aa-f07180a91fff</stp>
        <tr r="G5530" s="2"/>
      </tp>
    </main>
    <main first="rtdsrv_a82eb5a1fc404542a18b1336b70d2c4e">
      <tp>
        <v>5</v>
        <stp/>
        <stp>71ee6d02-11cf-4f67-a974-2b8a7b0a9ac6</stp>
        <tr r="G2031" s="2"/>
      </tp>
    </main>
    <main first="rtdsrv_a82eb5a1fc404542a18b1336b70d2c4e">
      <tp>
        <v>5</v>
        <stp/>
        <stp>e3ab6d36-4cb3-427c-a47a-42612a832aef</stp>
        <tr r="G513" s="2"/>
      </tp>
      <tp>
        <v>5</v>
        <stp/>
        <stp>c90df83b-1405-43ec-b1a8-a45cd5207637</stp>
        <tr r="G9096" s="2"/>
      </tp>
      <tp>
        <v>5</v>
        <stp/>
        <stp>ea4bda06-ff49-415d-852b-3d95c72f5f06</stp>
        <tr r="G1543" s="2"/>
      </tp>
    </main>
    <main first="rtdsrv_a82eb5a1fc404542a18b1336b70d2c4e">
      <tp>
        <v>5</v>
        <stp/>
        <stp>1f8743d6-5441-4ff6-871f-12f59e72d5d8</stp>
        <tr r="G2682" s="2"/>
      </tp>
      <tp>
        <v>5</v>
        <stp/>
        <stp>3671107b-d038-451b-bb22-6d43eb5c6180</stp>
        <tr r="G3894" s="2"/>
      </tp>
    </main>
    <main first="rtdsrv_a82eb5a1fc404542a18b1336b70d2c4e">
      <tp>
        <v>5</v>
        <stp/>
        <stp>1b79b08f-f04a-4307-b76e-81f4b061911a</stp>
        <tr r="G2199" s="2"/>
      </tp>
    </main>
    <main first="rtdsrv_a82eb5a1fc404542a18b1336b70d2c4e">
      <tp>
        <v>5</v>
        <stp/>
        <stp>8775b274-58c2-4b6d-955a-16864e9697cf</stp>
        <tr r="G6079" s="2"/>
      </tp>
    </main>
    <main first="rtdsrv_a82eb5a1fc404542a18b1336b70d2c4e">
      <tp>
        <v>5</v>
        <stp/>
        <stp>f492b873-52b7-41bf-bd58-38a5063b8abc</stp>
        <tr r="G658" s="2"/>
      </tp>
    </main>
    <main first="rtdsrv_a82eb5a1fc404542a18b1336b70d2c4e">
      <tp>
        <v>5</v>
        <stp/>
        <stp>0bbb815f-dc4a-436a-a7ce-a2b9fd4a4f38</stp>
        <tr r="G2151" s="2"/>
      </tp>
      <tp>
        <v>5</v>
        <stp/>
        <stp>1c949128-b889-42e4-8e03-9c250fecd4cd</stp>
        <tr r="G1851" s="2"/>
      </tp>
      <tp>
        <v>5</v>
        <stp/>
        <stp>189e2395-37ef-4a0b-a2f2-3866c708b676</stp>
        <tr r="G7347" s="2"/>
      </tp>
      <tp>
        <v>5</v>
        <stp/>
        <stp>c248d96e-dd77-469f-86ff-e24909b37abd</stp>
        <tr r="G7699" s="2"/>
      </tp>
    </main>
    <main first="rtdsrv_a82eb5a1fc404542a18b1336b70d2c4e">
      <tp>
        <v>5</v>
        <stp/>
        <stp>8a66ad3a-8166-40ea-b4a8-8946c355129e</stp>
        <tr r="G1001" s="2"/>
      </tp>
      <tp>
        <v>5</v>
        <stp/>
        <stp>21863c54-cb8c-42c3-842a-8cd71d8c32f2</stp>
        <tr r="G182" s="2"/>
      </tp>
    </main>
    <main first="rtdsrv_a82eb5a1fc404542a18b1336b70d2c4e">
      <tp>
        <v>5</v>
        <stp/>
        <stp>560e766a-17c3-4443-bddb-92dbc2786c41</stp>
        <tr r="G2957" s="2"/>
      </tp>
    </main>
    <main first="rtdsrv_a82eb5a1fc404542a18b1336b70d2c4e">
      <tp>
        <v>5</v>
        <stp/>
        <stp>1c7c9018-b8b6-4027-8af4-fbf3ac85ada1</stp>
        <tr r="G7541" s="2"/>
      </tp>
      <tp>
        <v>5</v>
        <stp/>
        <stp>b7ffdf9d-3fb3-4e7f-b569-b122a0e226be</stp>
        <tr r="G4568" s="2"/>
      </tp>
    </main>
    <main first="rtdsrv_a82eb5a1fc404542a18b1336b70d2c4e">
      <tp>
        <v>5</v>
        <stp/>
        <stp>5449322c-c46e-4674-ad70-4136d43a1f7b</stp>
        <tr r="G1041" s="2"/>
      </tp>
    </main>
    <main first="rtdsrv_a82eb5a1fc404542a18b1336b70d2c4e">
      <tp>
        <v>5</v>
        <stp/>
        <stp>4c161650-2ce4-42bf-bd54-d3c86c0eba5f</stp>
        <tr r="G8508" s="2"/>
      </tp>
      <tp>
        <v>5</v>
        <stp/>
        <stp>771ee8e6-857b-404d-85ce-b0dad36e36cb</stp>
        <tr r="G4603" s="2"/>
      </tp>
      <tp>
        <v>5</v>
        <stp/>
        <stp>a0ac6219-eae7-46f1-a106-34db12721ea3</stp>
        <tr r="G6387" s="2"/>
      </tp>
    </main>
    <main first="rtdsrv_a82eb5a1fc404542a18b1336b70d2c4e">
      <tp>
        <v>5</v>
        <stp/>
        <stp>cac53a65-fd82-4f5c-9820-1cc2aec3f441</stp>
        <tr r="G9299" s="2"/>
      </tp>
    </main>
    <main first="rtdsrv_a82eb5a1fc404542a18b1336b70d2c4e">
      <tp>
        <v>5</v>
        <stp/>
        <stp>8e9951e0-2c3b-445c-a77c-b42800c8f381</stp>
        <tr r="G4436" s="2"/>
      </tp>
      <tp>
        <v>5</v>
        <stp/>
        <stp>7e2c13d3-a5fe-4691-9737-76bd8eb7eca4</stp>
        <tr r="G9409" s="2"/>
      </tp>
      <tp>
        <v>5</v>
        <stp/>
        <stp>ddc9d357-5cf9-4683-b512-7945480d8d63</stp>
        <tr r="G6475" s="2"/>
      </tp>
      <tp>
        <v>5</v>
        <stp/>
        <stp>09198d69-628e-45c5-af9c-4e5574b66340</stp>
        <tr r="G7928" s="2"/>
      </tp>
    </main>
    <main first="rtdsrv_a82eb5a1fc404542a18b1336b70d2c4e">
      <tp>
        <v>5</v>
        <stp/>
        <stp>d264f7ea-c6ff-4810-b07e-eb0a4be8ddc7</stp>
        <tr r="G5751" s="2"/>
      </tp>
    </main>
    <main first="rtdsrv_a82eb5a1fc404542a18b1336b70d2c4e">
      <tp>
        <v>5</v>
        <stp/>
        <stp>06f2f0e3-ee19-4eec-b42a-8c345220ef01</stp>
        <tr r="G8638" s="2"/>
      </tp>
      <tp>
        <v>5</v>
        <stp/>
        <stp>a6ef23ed-4f3d-4316-a9a1-4b5d46dcd70f</stp>
        <tr r="G467" s="2"/>
      </tp>
      <tp>
        <v>5</v>
        <stp/>
        <stp>9aeb0036-425e-41ff-9e1e-81d6ebb76d1d</stp>
        <tr r="G4441" s="2"/>
      </tp>
      <tp>
        <v>5</v>
        <stp/>
        <stp>be9d9464-b0eb-4d4d-aa55-9ce9f28f96ab</stp>
        <tr r="G1947" s="2"/>
      </tp>
    </main>
    <main first="rtdsrv_a82eb5a1fc404542a18b1336b70d2c4e">
      <tp>
        <v>5</v>
        <stp/>
        <stp>ea1154b9-aa76-4b1f-abc5-1be64dcad27c</stp>
        <tr r="G4369" s="2"/>
      </tp>
      <tp>
        <v>5</v>
        <stp/>
        <stp>204c52af-ec0f-4199-92ae-10e0c9077303</stp>
        <tr r="G2653" s="2"/>
      </tp>
      <tp>
        <v>5</v>
        <stp/>
        <stp>93a6c487-ea52-47fd-9c6b-9415728553e0</stp>
        <tr r="G4215" s="2"/>
      </tp>
    </main>
    <main first="rtdsrv_a82eb5a1fc404542a18b1336b70d2c4e">
      <tp>
        <v>5</v>
        <stp/>
        <stp>d61861b5-7dd7-4d2d-bdbc-d1e55760a51a</stp>
        <tr r="G6964" s="2"/>
      </tp>
    </main>
    <main first="rtdsrv_a82eb5a1fc404542a18b1336b70d2c4e">
      <tp>
        <v>5</v>
        <stp/>
        <stp>582f4776-b504-4179-91f1-4a559d305218</stp>
        <tr r="G8003" s="2"/>
      </tp>
    </main>
    <main first="rtdsrv_a82eb5a1fc404542a18b1336b70d2c4e">
      <tp>
        <v>5</v>
        <stp/>
        <stp>2edeb948-8082-48a4-a2b3-d41ac16692b2</stp>
        <tr r="G558" s="2"/>
      </tp>
    </main>
    <main first="rtdsrv_a82eb5a1fc404542a18b1336b70d2c4e">
      <tp>
        <v>5</v>
        <stp/>
        <stp>ca1f138b-b9bc-4623-8525-4909f9dc04f5</stp>
        <tr r="G7976" s="2"/>
      </tp>
    </main>
    <main first="rtdsrv_a82eb5a1fc404542a18b1336b70d2c4e">
      <tp>
        <v>5</v>
        <stp/>
        <stp>3fcc7fe9-073a-4df6-8867-45bec02ed0a5</stp>
        <tr r="G9825" s="2"/>
      </tp>
      <tp>
        <v>5</v>
        <stp/>
        <stp>d59dc65f-4048-482d-9a2e-67cd9695ae4d</stp>
        <tr r="G1626" s="2"/>
      </tp>
    </main>
    <main first="rtdsrv_a82eb5a1fc404542a18b1336b70d2c4e">
      <tp>
        <v>5</v>
        <stp/>
        <stp>a9d188b4-8ea6-46e6-9df4-f8e6abc2f6fc</stp>
        <tr r="G1668" s="2"/>
      </tp>
      <tp>
        <v>5</v>
        <stp/>
        <stp>f9152b34-3ca9-43b8-b244-ea52bd398dd4</stp>
        <tr r="G1197" s="2"/>
      </tp>
      <tp>
        <v>5</v>
        <stp/>
        <stp>d8443fff-0f1e-4011-8f90-8e0fadb55ba7</stp>
        <tr r="G714" s="2"/>
      </tp>
    </main>
    <main first="rtdsrv_a82eb5a1fc404542a18b1336b70d2c4e">
      <tp>
        <v>5</v>
        <stp/>
        <stp>c7e113c2-0a07-4765-a52e-805ea67c9077</stp>
        <tr r="G6692" s="2"/>
      </tp>
      <tp>
        <v>5</v>
        <stp/>
        <stp>089ab405-a8bb-4022-a9fd-33f6e7210866</stp>
        <tr r="G3816" s="2"/>
      </tp>
      <tp>
        <v>5</v>
        <stp/>
        <stp>e8400087-f588-460d-82b8-6544795e3a76</stp>
        <tr r="G748" s="2"/>
      </tp>
    </main>
    <main first="rtdsrv_a82eb5a1fc404542a18b1336b70d2c4e">
      <tp>
        <v>5</v>
        <stp/>
        <stp>5d267a02-8307-47e0-a28f-e9f4a1285842</stp>
        <tr r="G2432" s="2"/>
      </tp>
    </main>
    <main first="rtdsrv_a82eb5a1fc404542a18b1336b70d2c4e">
      <tp>
        <v>5</v>
        <stp/>
        <stp>f7c6831d-f4f4-4c42-96f1-276b925236cc</stp>
        <tr r="G3517" s="2"/>
      </tp>
      <tp>
        <v>5</v>
        <stp/>
        <stp>a568c9ee-e447-4fec-8892-ffb88d45f44d</stp>
        <tr r="G1081" s="2"/>
      </tp>
    </main>
    <main first="rtdsrv_a82eb5a1fc404542a18b1336b70d2c4e">
      <tp>
        <v>5</v>
        <stp/>
        <stp>c2535bf2-69b1-4535-bb6c-ed280382274e</stp>
        <tr r="G3572" s="2"/>
      </tp>
      <tp>
        <v>5</v>
        <stp/>
        <stp>6dcf80ca-71cf-42bb-803b-6b266ec9602f</stp>
        <tr r="G3348" s="2"/>
      </tp>
      <tp>
        <v>5</v>
        <stp/>
        <stp>33c616e5-7180-4c31-a660-a526604c951a</stp>
        <tr r="G9998" s="2"/>
      </tp>
      <tp>
        <v>5</v>
        <stp/>
        <stp>75451632-302a-4c9a-8ffc-0bdb525c4b5a</stp>
        <tr r="G6441" s="2"/>
      </tp>
      <tp>
        <v>5</v>
        <stp/>
        <stp>4dfe9eb9-fa32-47cb-81cf-4c65210f2158</stp>
        <tr r="G2336" s="2"/>
      </tp>
    </main>
    <main first="rtdsrv_a82eb5a1fc404542a18b1336b70d2c4e">
      <tp>
        <v>5</v>
        <stp/>
        <stp>fa354c6e-0b9f-4622-9b1c-e3f5443243a6</stp>
        <tr r="G8407" s="2"/>
      </tp>
      <tp>
        <v>5</v>
        <stp/>
        <stp>4a6a59c9-48af-4247-999a-0aea548f92ae</stp>
        <tr r="G4058" s="2"/>
      </tp>
    </main>
    <main first="rtdsrv_a82eb5a1fc404542a18b1336b70d2c4e">
      <tp>
        <v>5</v>
        <stp/>
        <stp>5d431e35-4112-431f-8349-fc02276e5699</stp>
        <tr r="G6301" s="2"/>
      </tp>
      <tp>
        <v>5</v>
        <stp/>
        <stp>e43cb0ca-d4a3-42f2-943d-a65934273f75</stp>
        <tr r="G7530" s="2"/>
      </tp>
      <tp>
        <v>5</v>
        <stp/>
        <stp>44a70ce9-4b4d-4fed-a6da-73bbefa7b345</stp>
        <tr r="G6073" s="2"/>
      </tp>
      <tp>
        <v>5</v>
        <stp/>
        <stp>3a2e838c-20e4-4ca3-9fec-c3352cb7cc8f</stp>
        <tr r="G5985" s="2"/>
      </tp>
    </main>
    <main first="rtdsrv_a82eb5a1fc404542a18b1336b70d2c4e">
      <tp>
        <v>5</v>
        <stp/>
        <stp>85b73cdc-015b-49eb-98f7-7df1dff90e01</stp>
        <tr r="G547" s="2"/>
      </tp>
    </main>
    <main first="rtdsrv_a82eb5a1fc404542a18b1336b70d2c4e">
      <tp>
        <v>5</v>
        <stp/>
        <stp>794b2f0e-874d-4b72-862c-060eeca7c71a</stp>
        <tr r="G843" s="2"/>
      </tp>
      <tp>
        <v>5</v>
        <stp/>
        <stp>a0ceb1dd-5a9b-4bb6-a1a3-fbe2b6e7b2ed</stp>
        <tr r="G4826" s="2"/>
      </tp>
      <tp>
        <v>5</v>
        <stp/>
        <stp>9c515759-b23c-441e-a27c-46e62be6b5a4</stp>
        <tr r="G521" s="2"/>
      </tp>
    </main>
    <main first="rtdsrv_a82eb5a1fc404542a18b1336b70d2c4e">
      <tp>
        <v>5</v>
        <stp/>
        <stp>2b15500a-7bc2-4d82-a2de-4553a4a407c5</stp>
        <tr r="G4099" s="2"/>
      </tp>
    </main>
    <main first="rtdsrv_a82eb5a1fc404542a18b1336b70d2c4e">
      <tp>
        <v>5</v>
        <stp/>
        <stp>bf75318e-273b-45fe-ad24-6ce02f9222a9</stp>
        <tr r="G9512" s="2"/>
      </tp>
      <tp>
        <v>5</v>
        <stp/>
        <stp>a102e170-45c5-484c-9191-8b964839118c</stp>
        <tr r="G5815" s="2"/>
      </tp>
    </main>
    <main first="rtdsrv_a82eb5a1fc404542a18b1336b70d2c4e">
      <tp>
        <v>5</v>
        <stp/>
        <stp>da780f91-f70b-45ae-a966-bb1b6b7b4789</stp>
        <tr r="G2002" s="2"/>
      </tp>
      <tp>
        <v>5</v>
        <stp/>
        <stp>cac38866-7aa1-48a1-9c47-d1805f2af98a</stp>
        <tr r="G139" s="2"/>
      </tp>
      <tp>
        <v>5</v>
        <stp/>
        <stp>4b6dc329-6a53-4296-9d65-5e6d015756be</stp>
        <tr r="G5179" s="2"/>
      </tp>
      <tp>
        <v>5</v>
        <stp/>
        <stp>878122ee-081b-4f9c-b7a5-a407f6e73047</stp>
        <tr r="G3928" s="2"/>
      </tp>
      <tp>
        <v>5</v>
        <stp/>
        <stp>97d855b8-54cc-4bcb-873e-c42e31c86f72</stp>
        <tr r="G8915" s="2"/>
      </tp>
    </main>
    <main first="rtdsrv_a82eb5a1fc404542a18b1336b70d2c4e">
      <tp>
        <v>5</v>
        <stp/>
        <stp>213e00f6-6a13-45d4-ba54-9d1e16b92ab5</stp>
        <tr r="G3604" s="2"/>
      </tp>
      <tp>
        <v>5</v>
        <stp/>
        <stp>bf5aacbd-fcf2-4333-8ffb-6fd59a318401</stp>
        <tr r="G8214" s="2"/>
      </tp>
    </main>
    <main first="rtdsrv_a82eb5a1fc404542a18b1336b70d2c4e">
      <tp>
        <v>5</v>
        <stp/>
        <stp>36f4dab1-1051-42cd-a303-677343084317</stp>
        <tr r="G6814" s="2"/>
      </tp>
      <tp>
        <v>5</v>
        <stp/>
        <stp>add3b737-3123-42c0-96c1-3e6677a2fd1f</stp>
        <tr r="G3974" s="2"/>
      </tp>
    </main>
    <main first="rtdsrv_a82eb5a1fc404542a18b1336b70d2c4e">
      <tp>
        <v>5</v>
        <stp/>
        <stp>ebbb7bca-2f87-4edc-a402-4ea55560143e</stp>
        <tr r="G8489" s="2"/>
      </tp>
    </main>
    <main first="rtdsrv_a82eb5a1fc404542a18b1336b70d2c4e">
      <tp>
        <v>5</v>
        <stp/>
        <stp>0846fb31-3127-48eb-bb55-87759403c850</stp>
        <tr r="G8682" s="2"/>
      </tp>
      <tp>
        <v>5</v>
        <stp/>
        <stp>34100229-0454-491e-8024-21df8a0f14fd</stp>
        <tr r="G2661" s="2"/>
      </tp>
      <tp>
        <v>5</v>
        <stp/>
        <stp>ba362939-3010-4069-a2e0-91fcb260d1b8</stp>
        <tr r="G5808" s="2"/>
      </tp>
      <tp>
        <v>5</v>
        <stp/>
        <stp>fbfe3e87-4d63-4ed6-a3bc-9adcc76bc49e</stp>
        <tr r="G8844" s="2"/>
      </tp>
      <tp>
        <v>5</v>
        <stp/>
        <stp>3e44241b-754c-4ada-bc42-840722c760cd</stp>
        <tr r="G5031" s="2"/>
      </tp>
    </main>
    <main first="rtdsrv_a82eb5a1fc404542a18b1336b70d2c4e">
      <tp>
        <v>5</v>
        <stp/>
        <stp>25c701c4-2dec-48e3-a4c7-7db9e100e635</stp>
        <tr r="G8367" s="2"/>
      </tp>
    </main>
    <main first="rtdsrv_a82eb5a1fc404542a18b1336b70d2c4e">
      <tp>
        <v>5</v>
        <stp/>
        <stp>66e63e07-6ed2-46fa-9072-2c3bb1fbbdec</stp>
        <tr r="G5169" s="2"/>
      </tp>
      <tp>
        <v>5</v>
        <stp/>
        <stp>e6e6d58f-1a39-4c82-aba8-1db940ab5050</stp>
        <tr r="G2282" s="2"/>
      </tp>
      <tp>
        <v>5</v>
        <stp/>
        <stp>ee420d68-b1cf-4ccb-be63-c149721bf17f</stp>
        <tr r="G3397" s="2"/>
      </tp>
      <tp>
        <v>5</v>
        <stp/>
        <stp>446a624c-9b54-4213-b6ac-bfc7386b06dd</stp>
        <tr r="G2854" s="2"/>
      </tp>
      <tp>
        <v>5</v>
        <stp/>
        <stp>e4d59bd0-b01d-4b67-bd72-b7c102a1f42c</stp>
        <tr r="G5451" s="2"/>
      </tp>
      <tp>
        <v>5</v>
        <stp/>
        <stp>2c578e80-c61c-4026-bd62-fd2284917007</stp>
        <tr r="G5534" s="2"/>
      </tp>
      <tp>
        <v>5</v>
        <stp/>
        <stp>84f4e01f-abd3-4854-bdfe-290dd9c0221e</stp>
        <tr r="G742" s="2"/>
      </tp>
      <tp>
        <v>5</v>
        <stp/>
        <stp>bdc76514-1bb5-44f0-9463-d7573c472705</stp>
        <tr r="G35" s="2"/>
      </tp>
      <tp>
        <v>5</v>
        <stp/>
        <stp>ff91d439-26cb-4493-9f5a-1b5ab0b3d190</stp>
        <tr r="G9805" s="2"/>
      </tp>
      <tp>
        <v>5</v>
        <stp/>
        <stp>2ba74f6c-eeb2-436f-b344-56fd7aaeea2c</stp>
        <tr r="G9536" s="2"/>
      </tp>
      <tp>
        <v>5</v>
        <stp/>
        <stp>e10a767e-4e4c-450d-99f2-ec5943ce4d5e</stp>
        <tr r="G7758" s="2"/>
      </tp>
    </main>
    <main first="rtdsrv_a82eb5a1fc404542a18b1336b70d2c4e">
      <tp>
        <v>5</v>
        <stp/>
        <stp>250dbe39-0ab7-4b0f-b010-494a584eb3a9</stp>
        <tr r="G2679" s="2"/>
      </tp>
      <tp>
        <v>5</v>
        <stp/>
        <stp>78aa6c59-9013-4db3-9fe1-eec88f532203</stp>
        <tr r="G8311" s="2"/>
      </tp>
    </main>
    <main first="rtdsrv_a82eb5a1fc404542a18b1336b70d2c4e">
      <tp>
        <v>5</v>
        <stp/>
        <stp>5c529ab9-2dd7-4185-8045-773b4705e46e</stp>
        <tr r="G5604" s="2"/>
      </tp>
    </main>
    <main first="rtdsrv_a82eb5a1fc404542a18b1336b70d2c4e">
      <tp>
        <v>5</v>
        <stp/>
        <stp>839a4f16-f0f2-4515-9f45-e075348e6311</stp>
        <tr r="G4728" s="2"/>
      </tp>
      <tp>
        <v>5</v>
        <stp/>
        <stp>cc22dc73-0162-482a-a654-4e03220f863e</stp>
        <tr r="G1942" s="2"/>
      </tp>
      <tp>
        <v>5</v>
        <stp/>
        <stp>7db30914-a3ae-4da5-9ffc-a81203e7eada</stp>
        <tr r="G3250" s="2"/>
      </tp>
      <tp>
        <v>5</v>
        <stp/>
        <stp>83da1bdd-9a73-498f-960c-c95f60e2a2a9</stp>
        <tr r="G9631" s="2"/>
      </tp>
    </main>
    <main first="rtdsrv_a82eb5a1fc404542a18b1336b70d2c4e">
      <tp>
        <v>5</v>
        <stp/>
        <stp>cb72647e-05ac-42dc-aa19-51252bbbeb05</stp>
        <tr r="G3405" s="2"/>
      </tp>
      <tp>
        <v>5</v>
        <stp/>
        <stp>07e6fe30-ac0b-4cd7-af9f-eb639c8d391c</stp>
        <tr r="G806" s="2"/>
      </tp>
    </main>
    <main first="rtdsrv_a82eb5a1fc404542a18b1336b70d2c4e">
      <tp>
        <v>5</v>
        <stp/>
        <stp>9d47275e-ac96-4a54-90e8-ba7c5672616a</stp>
        <tr r="G6016" s="2"/>
      </tp>
    </main>
    <main first="rtdsrv_a82eb5a1fc404542a18b1336b70d2c4e">
      <tp>
        <v>5</v>
        <stp/>
        <stp>67165995-1609-4fb9-9445-bd2dd1ff5b3b</stp>
        <tr r="G5153" s="2"/>
      </tp>
      <tp>
        <v>5</v>
        <stp/>
        <stp>a68ec21f-1611-49e4-b332-a428e7aa4429</stp>
        <tr r="G7210" s="2"/>
      </tp>
      <tp>
        <v>5</v>
        <stp/>
        <stp>6fa38f4d-f877-44ca-b0e2-f6d284eafe23</stp>
        <tr r="G1026" s="2"/>
      </tp>
      <tp>
        <v>5</v>
        <stp/>
        <stp>8127a526-b2bc-4d05-8708-16fd7c390335</stp>
        <tr r="G9734" s="2"/>
      </tp>
    </main>
    <main first="rtdsrv_a82eb5a1fc404542a18b1336b70d2c4e">
      <tp>
        <v>5</v>
        <stp/>
        <stp>fa7068a1-a0c5-4210-ad1c-116c7491e9f9</stp>
        <tr r="G5170" s="2"/>
      </tp>
      <tp>
        <v>5</v>
        <stp/>
        <stp>c467d06d-64a6-45b1-8bac-c4818f77b54c</stp>
        <tr r="G446" s="2"/>
      </tp>
    </main>
    <main first="rtdsrv_a82eb5a1fc404542a18b1336b70d2c4e">
      <tp>
        <v>5</v>
        <stp/>
        <stp>d53f86db-9270-4568-ac11-e36e5081f573</stp>
        <tr r="G5646" s="2"/>
      </tp>
      <tp>
        <v>5</v>
        <stp/>
        <stp>582c3ecc-2201-4e90-9c5b-0d1f28d28399</stp>
        <tr r="G7392" s="2"/>
      </tp>
      <tp>
        <v>5</v>
        <stp/>
        <stp>b2bac7f1-0cc7-497f-85c8-83be2c4bfed4</stp>
        <tr r="G608" s="2"/>
      </tp>
      <tp>
        <v>5</v>
        <stp/>
        <stp>85c0d9eb-5f93-4c49-8225-c79db4d054ef</stp>
        <tr r="G9535" s="2"/>
      </tp>
      <tp>
        <v>5</v>
        <stp/>
        <stp>a0601035-0e61-421f-a7c9-5143273bb633</stp>
        <tr r="G9351" s="2"/>
      </tp>
      <tp>
        <v>5</v>
        <stp/>
        <stp>9d219286-f3ad-41f5-baca-e20b13132b4f</stp>
        <tr r="G5142" s="2"/>
      </tp>
    </main>
    <main first="rtdsrv_a82eb5a1fc404542a18b1336b70d2c4e">
      <tp>
        <v>5</v>
        <stp/>
        <stp>d1c21b90-f8f5-47e5-90fc-df94a0e1650a</stp>
        <tr r="G1547" s="2"/>
      </tp>
      <tp>
        <v>5</v>
        <stp/>
        <stp>05aa3ea1-6670-42fa-8a98-f631a853b5ef</stp>
        <tr r="G6480" s="2"/>
      </tp>
    </main>
    <main first="rtdsrv_a82eb5a1fc404542a18b1336b70d2c4e">
      <tp>
        <v>5</v>
        <stp/>
        <stp>003c1d3f-8326-4c84-863b-1ebd598752f6</stp>
        <tr r="G4642" s="2"/>
      </tp>
      <tp>
        <v>5</v>
        <stp/>
        <stp>402dc3e3-df99-4caf-b700-0c93bbb7e57a</stp>
        <tr r="G6399" s="2"/>
      </tp>
      <tp>
        <v>5</v>
        <stp/>
        <stp>da638546-8b97-4ed1-83c5-7a304b87d832</stp>
        <tr r="G4339" s="2"/>
      </tp>
      <tp>
        <v>5</v>
        <stp/>
        <stp>a8f798fe-cf02-48cc-8b5d-e25b31b2738f</stp>
        <tr r="G6852" s="2"/>
      </tp>
      <tp>
        <v>5</v>
        <stp/>
        <stp>92b59d9d-dedf-4d91-b4cd-67d9cb2de0a9</stp>
        <tr r="G7180" s="2"/>
      </tp>
      <tp>
        <v>5</v>
        <stp/>
        <stp>15fa28f3-6420-4b59-9328-8737b2fb7043</stp>
        <tr r="G4354" s="2"/>
      </tp>
    </main>
    <main first="rtdsrv_a82eb5a1fc404542a18b1336b70d2c4e">
      <tp>
        <v>5</v>
        <stp/>
        <stp>0d9640f7-2ad4-49c8-b7a1-5ab9cc44e870</stp>
        <tr r="G9814" s="2"/>
      </tp>
    </main>
    <main first="rtdsrv_a82eb5a1fc404542a18b1336b70d2c4e">
      <tp>
        <v>5</v>
        <stp/>
        <stp>aea9b6a2-989c-4a0d-87b1-53bb5bf878c9</stp>
        <tr r="G6394" s="2"/>
      </tp>
    </main>
    <main first="rtdsrv_a82eb5a1fc404542a18b1336b70d2c4e">
      <tp>
        <v>5</v>
        <stp/>
        <stp>f6fa2b3c-0585-455d-a55a-6bf7dc80011b</stp>
        <tr r="G6847" s="2"/>
      </tp>
      <tp>
        <v>5</v>
        <stp/>
        <stp>6ed5d540-29a4-4a73-9d9a-9047b9c98d1f</stp>
        <tr r="G4248" s="2"/>
      </tp>
    </main>
    <main first="rtdsrv_a82eb5a1fc404542a18b1336b70d2c4e">
      <tp>
        <v>5</v>
        <stp/>
        <stp>6b003a49-b9a1-4777-91e3-25711be3ca28</stp>
        <tr r="G9844" s="2"/>
      </tp>
    </main>
    <main first="rtdsrv_a82eb5a1fc404542a18b1336b70d2c4e">
      <tp>
        <v>5</v>
        <stp/>
        <stp>47188df9-85ef-4091-8889-a7453c935382</stp>
        <tr r="G7511" s="2"/>
      </tp>
      <tp>
        <v>5</v>
        <stp/>
        <stp>bfa3a6e2-bde1-479d-80a6-680b338fb904</stp>
        <tr r="G5338" s="2"/>
      </tp>
      <tp>
        <v>5</v>
        <stp/>
        <stp>f8158d8d-670b-424e-be23-09f0a466f522</stp>
        <tr r="G4809" s="2"/>
      </tp>
    </main>
    <main first="rtdsrv_a82eb5a1fc404542a18b1336b70d2c4e">
      <tp>
        <v>5</v>
        <stp/>
        <stp>fb81a268-ef79-4bd7-9b3a-340dea455ab3</stp>
        <tr r="G491" s="2"/>
      </tp>
      <tp>
        <v>5</v>
        <stp/>
        <stp>cb90c9ea-dd97-46a5-ac70-875976bb490e</stp>
        <tr r="G1624" s="2"/>
      </tp>
    </main>
    <main first="rtdsrv_a82eb5a1fc404542a18b1336b70d2c4e">
      <tp>
        <v>5</v>
        <stp/>
        <stp>1f100c2a-e1ca-4d5e-a4a5-44f94f9fd37e</stp>
        <tr r="G7932" s="2"/>
      </tp>
      <tp>
        <v>5</v>
        <stp/>
        <stp>88a1fd56-d96e-4219-a2f6-dda0653dd3f9</stp>
        <tr r="G2190" s="2"/>
      </tp>
      <tp>
        <v>5</v>
        <stp/>
        <stp>249b6537-ce07-4427-bf8b-42b2cc288921</stp>
        <tr r="G2723" s="2"/>
      </tp>
    </main>
    <main first="rtdsrv_a82eb5a1fc404542a18b1336b70d2c4e">
      <tp>
        <v>5</v>
        <stp/>
        <stp>f849852b-391e-4f67-ae47-c9f6087b2962</stp>
        <tr r="G7855" s="2"/>
      </tp>
    </main>
    <main first="rtdsrv_a82eb5a1fc404542a18b1336b70d2c4e">
      <tp>
        <v>5</v>
        <stp/>
        <stp>28c8841b-653e-4a7f-9484-8bbef28421f2</stp>
        <tr r="G4572" s="2"/>
      </tp>
    </main>
    <main first="rtdsrv_a82eb5a1fc404542a18b1336b70d2c4e">
      <tp>
        <v>5</v>
        <stp/>
        <stp>0c3014e6-fe07-4e9e-a4f2-71701c8fdefa</stp>
        <tr r="G2728" s="2"/>
      </tp>
      <tp>
        <v>5</v>
        <stp/>
        <stp>3889395a-0dda-4874-aedb-d2570aa1d77e</stp>
        <tr r="G9823" s="2"/>
      </tp>
    </main>
    <main first="rtdsrv_a82eb5a1fc404542a18b1336b70d2c4e">
      <tp>
        <v>5</v>
        <stp/>
        <stp>0e3ca989-2ffa-4db1-aa0e-28d716fcbdbf</stp>
        <tr r="G3958" s="2"/>
      </tp>
    </main>
    <main first="rtdsrv_a82eb5a1fc404542a18b1336b70d2c4e">
      <tp>
        <v>5</v>
        <stp/>
        <stp>b69a717b-1ba3-4ef0-a033-8d932d707091</stp>
        <tr r="G8891" s="2"/>
      </tp>
    </main>
    <main first="rtdsrv_a82eb5a1fc404542a18b1336b70d2c4e">
      <tp>
        <v>5</v>
        <stp/>
        <stp>e4e75a09-e3aa-4ca2-8088-b452892d4214</stp>
        <tr r="G1309" s="2"/>
      </tp>
      <tp>
        <v>5</v>
        <stp/>
        <stp>33a6fbf6-d109-4b77-af4e-552db1996709</stp>
        <tr r="G7986" s="2"/>
      </tp>
      <tp>
        <v>5</v>
        <stp/>
        <stp>56462015-33da-4976-83d1-4b9088ca585f</stp>
        <tr r="G5330" s="2"/>
      </tp>
    </main>
    <main first="rtdsrv_a82eb5a1fc404542a18b1336b70d2c4e">
      <tp>
        <v>5</v>
        <stp/>
        <stp>fcf9241a-fd4e-407c-bead-e569a58a8618</stp>
        <tr r="G2921" s="2"/>
      </tp>
    </main>
    <main first="rtdsrv_a82eb5a1fc404542a18b1336b70d2c4e">
      <tp>
        <v>5</v>
        <stp/>
        <stp>ca6306f6-a7d8-448b-954e-f30df48ffbb1</stp>
        <tr r="G5283" s="2"/>
      </tp>
      <tp>
        <v>5</v>
        <stp/>
        <stp>ce017434-0f37-4cf3-806f-ebdeef912e6b</stp>
        <tr r="G1936" s="2"/>
      </tp>
    </main>
    <main first="rtdsrv_a82eb5a1fc404542a18b1336b70d2c4e">
      <tp>
        <v>5</v>
        <stp/>
        <stp>1e711373-3383-4fae-a639-c6aca119713a</stp>
        <tr r="G6389" s="2"/>
      </tp>
    </main>
    <main first="rtdsrv_a82eb5a1fc404542a18b1336b70d2c4e">
      <tp>
        <v>5</v>
        <stp/>
        <stp>d8c12880-3097-40b6-9f39-9d62e3813d55</stp>
        <tr r="G434" s="2"/>
      </tp>
      <tp>
        <v>5</v>
        <stp/>
        <stp>e3666f5a-b921-4120-8262-fe03fc7d62f9</stp>
        <tr r="G9922" s="2"/>
      </tp>
      <tp>
        <v>5</v>
        <stp/>
        <stp>f55c5743-aa48-4216-92b5-b48955f683bc</stp>
        <tr r="G4373" s="2"/>
      </tp>
      <tp>
        <v>5</v>
        <stp/>
        <stp>99595688-e7c0-49a7-a3a0-48b495906483</stp>
        <tr r="G173" s="2"/>
      </tp>
      <tp>
        <v>5</v>
        <stp/>
        <stp>78b544f5-0032-43a0-869f-5d87a7a65cb7</stp>
        <tr r="G4544" s="2"/>
      </tp>
    </main>
    <main first="rtdsrv_a82eb5a1fc404542a18b1336b70d2c4e">
      <tp>
        <v>5</v>
        <stp/>
        <stp>1ae6e56d-e957-49a6-a9d7-2d12a151e306</stp>
        <tr r="G3140" s="2"/>
      </tp>
    </main>
    <main first="rtdsrv_a82eb5a1fc404542a18b1336b70d2c4e">
      <tp>
        <v>5</v>
        <stp/>
        <stp>319ceebf-3eaf-4aee-952d-1a188c26b70a</stp>
        <tr r="G8208" s="2"/>
      </tp>
      <tp>
        <v>5</v>
        <stp/>
        <stp>78396b11-a7dc-4f86-b88d-c28440586258</stp>
        <tr r="G5313" s="2"/>
      </tp>
      <tp>
        <v>5</v>
        <stp/>
        <stp>3ec8836c-3c4b-4bf0-be2d-0e916c136d30</stp>
        <tr r="G1731" s="2"/>
      </tp>
    </main>
    <main first="rtdsrv_a82eb5a1fc404542a18b1336b70d2c4e">
      <tp>
        <v>5</v>
        <stp/>
        <stp>8888f99f-c9ec-4280-bbc4-a2c17c5cae3c</stp>
        <tr r="G9066" s="2"/>
      </tp>
    </main>
    <main first="rtdsrv_a82eb5a1fc404542a18b1336b70d2c4e">
      <tp>
        <v>5</v>
        <stp/>
        <stp>2b0a5a50-58a2-45b5-a70f-ca2106bffaa6</stp>
        <tr r="G2286" s="2"/>
      </tp>
      <tp>
        <v>5</v>
        <stp/>
        <stp>8ded4a9c-d5d6-4021-b23f-bad765d5e2e6</stp>
        <tr r="G8042" s="2"/>
      </tp>
    </main>
    <main first="rtdsrv_a82eb5a1fc404542a18b1336b70d2c4e">
      <tp>
        <v>5</v>
        <stp/>
        <stp>579fe695-9075-443b-8a35-8885961c3bf1</stp>
        <tr r="G3628" s="2"/>
      </tp>
      <tp>
        <v>5</v>
        <stp/>
        <stp>b66b0192-3fbe-4789-926b-67f0f9e810ba</stp>
        <tr r="G9871" s="2"/>
      </tp>
      <tp>
        <v>5</v>
        <stp/>
        <stp>cd3a331b-d8fe-4ff7-ab52-cc6f03c74d7d</stp>
        <tr r="G7195" s="2"/>
      </tp>
      <tp>
        <v>5</v>
        <stp/>
        <stp>a43eafdf-e4cb-42fc-b6cc-f201a8b5688c</stp>
        <tr r="G9" s="2"/>
      </tp>
      <tp>
        <v>5</v>
        <stp/>
        <stp>7a69bc18-8851-49e4-a792-b26f3c792cfa</stp>
        <tr r="G8145" s="2"/>
      </tp>
      <tp>
        <v>5</v>
        <stp/>
        <stp>bcf9dad2-e25b-4ce6-9ef4-956c56ac3196</stp>
        <tr r="G7642" s="2"/>
      </tp>
      <tp>
        <v>5</v>
        <stp/>
        <stp>3bbccc7c-28ed-4be1-93c0-7eca3704f6d9</stp>
        <tr r="G4187" s="2"/>
      </tp>
    </main>
    <main first="rtdsrv_a82eb5a1fc404542a18b1336b70d2c4e">
      <tp>
        <v>5</v>
        <stp/>
        <stp>f06c0bb8-babc-43a7-9ca0-8d5075b4528e</stp>
        <tr r="G2582" s="2"/>
      </tp>
      <tp>
        <v>5</v>
        <stp/>
        <stp>0afcde54-61ff-41b3-b3cf-a792ab19c2f4</stp>
        <tr r="G8666" s="2"/>
      </tp>
    </main>
    <main first="rtdsrv_a82eb5a1fc404542a18b1336b70d2c4e">
      <tp>
        <v>5</v>
        <stp/>
        <stp>81bcf6ed-7014-482e-a3aa-625aa10fe297</stp>
        <tr r="G2335" s="2"/>
      </tp>
      <tp>
        <v>5</v>
        <stp/>
        <stp>24f749b5-89cc-4391-82ae-f76cca6e9624</stp>
        <tr r="G7677" s="2"/>
      </tp>
      <tp>
        <v>5</v>
        <stp/>
        <stp>5857a3f3-3b5e-4c0c-8a82-e63105c2ae91</stp>
        <tr r="G6362" s="2"/>
      </tp>
    </main>
    <main first="rtdsrv_a82eb5a1fc404542a18b1336b70d2c4e">
      <tp>
        <v>5</v>
        <stp/>
        <stp>1b1102bd-cc3c-4716-9611-cb6b3b99e1e5</stp>
        <tr r="G8448" s="2"/>
      </tp>
    </main>
    <main first="rtdsrv_a82eb5a1fc404542a18b1336b70d2c4e">
      <tp>
        <v>5</v>
        <stp/>
        <stp>ca30d273-6dfb-4154-b87b-bba7f195b019</stp>
        <tr r="G5164" s="2"/>
      </tp>
      <tp>
        <v>5</v>
        <stp/>
        <stp>ace24555-524e-4710-a172-f18c3f58c660</stp>
        <tr r="G4949" s="2"/>
      </tp>
      <tp>
        <v>5</v>
        <stp/>
        <stp>5433f7d6-2432-4f69-8389-43b1cc7a2ed0</stp>
        <tr r="G4755" s="2"/>
      </tp>
    </main>
    <main first="rtdsrv_a82eb5a1fc404542a18b1336b70d2c4e">
      <tp>
        <v>5</v>
        <stp/>
        <stp>358687ef-134e-428a-a3e4-45a834ab731d</stp>
        <tr r="G5443" s="2"/>
      </tp>
      <tp>
        <v>5</v>
        <stp/>
        <stp>9dce7e64-b963-41c7-b41a-219c2398fbfd</stp>
        <tr r="G5519" s="2"/>
      </tp>
    </main>
    <main first="rtdsrv_a82eb5a1fc404542a18b1336b70d2c4e">
      <tp>
        <v>5</v>
        <stp/>
        <stp>171b2409-a2d2-49d5-af28-212364001eb2</stp>
        <tr r="G6952" s="2"/>
      </tp>
      <tp>
        <v>5</v>
        <stp/>
        <stp>6bc5c0a9-e84d-4165-95ff-3df67ccb0f25</stp>
        <tr r="G6218" s="2"/>
      </tp>
    </main>
    <main first="rtdsrv_a82eb5a1fc404542a18b1336b70d2c4e">
      <tp>
        <v>5</v>
        <stp/>
        <stp>a47e0578-be2e-49f5-80f1-71a3258221f3</stp>
        <tr r="G4639" s="2"/>
      </tp>
    </main>
    <main first="rtdsrv_a82eb5a1fc404542a18b1336b70d2c4e">
      <tp>
        <v>5</v>
        <stp/>
        <stp>431a5e06-1f46-4f75-8ad4-06685c6b0f7b</stp>
        <tr r="G5601" s="2"/>
      </tp>
      <tp>
        <v>5</v>
        <stp/>
        <stp>8ad81edf-8794-4d01-bd5d-8963d5bb11c5</stp>
        <tr r="G6992" s="2"/>
      </tp>
    </main>
    <main first="rtdsrv_a82eb5a1fc404542a18b1336b70d2c4e">
      <tp>
        <v>5</v>
        <stp/>
        <stp>aa6bfc3d-f21b-428c-b2b8-9b86cfc17d0a</stp>
        <tr r="G5076" s="2"/>
      </tp>
    </main>
    <main first="rtdsrv_a82eb5a1fc404542a18b1336b70d2c4e">
      <tp>
        <v>5</v>
        <stp/>
        <stp>840d07f3-5d6c-4c2f-839a-73ffefbf5934</stp>
        <tr r="G829" s="2"/>
      </tp>
      <tp>
        <v>5</v>
        <stp/>
        <stp>5655d532-de94-4ad5-b484-33356eb6c9b1</stp>
        <tr r="G9984" s="2"/>
      </tp>
      <tp>
        <v>5</v>
        <stp/>
        <stp>5034f1b1-3492-4313-be33-6006c40f9322</stp>
        <tr r="G8444" s="2"/>
      </tp>
      <tp>
        <v>5</v>
        <stp/>
        <stp>936fc53c-68b0-4d69-8325-cdee1c9e7903</stp>
        <tr r="G5576" s="2"/>
      </tp>
      <tp>
        <v>5</v>
        <stp/>
        <stp>374e379e-03af-457f-b5d9-8f072de7a56b</stp>
        <tr r="G3163" s="2"/>
      </tp>
      <tp>
        <v>5</v>
        <stp/>
        <stp>7e18c1ae-2153-43f6-9010-dea31557e4a1</stp>
        <tr r="G1848" s="2"/>
      </tp>
      <tp>
        <v>5</v>
        <stp/>
        <stp>7b92b739-9acb-4d2f-8e5b-faf1ab8b2936</stp>
        <tr r="G4160" s="2"/>
      </tp>
      <tp>
        <v>5</v>
        <stp/>
        <stp>c753a470-4528-4fb1-adf4-7f6ad12d52cb</stp>
        <tr r="G2879" s="2"/>
      </tp>
    </main>
    <main first="rtdsrv_a82eb5a1fc404542a18b1336b70d2c4e">
      <tp>
        <v>5</v>
        <stp/>
        <stp>7de25c47-1d8b-4c9b-b44e-1c4b53a9f5a9</stp>
        <tr r="G9621" s="2"/>
      </tp>
    </main>
    <main first="rtdsrv_a82eb5a1fc404542a18b1336b70d2c4e">
      <tp>
        <v>5</v>
        <stp/>
        <stp>77123df2-82b3-4f39-a456-acda80d8217e</stp>
        <tr r="G5135" s="2"/>
      </tp>
    </main>
    <main first="rtdsrv_a82eb5a1fc404542a18b1336b70d2c4e">
      <tp>
        <v>5</v>
        <stp/>
        <stp>ef3e02bd-db05-4284-8a2d-dff0f415eade</stp>
        <tr r="G3263" s="2"/>
      </tp>
    </main>
    <main first="rtdsrv_a82eb5a1fc404542a18b1336b70d2c4e">
      <tp>
        <v>5</v>
        <stp/>
        <stp>c297af57-38e1-46c9-bc86-b25d6dc7451a</stp>
        <tr r="G2302" s="2"/>
      </tp>
    </main>
    <main first="rtdsrv_a82eb5a1fc404542a18b1336b70d2c4e">
      <tp>
        <v>5</v>
        <stp/>
        <stp>6bc0eaa3-90c1-4008-8a31-efab974bce3f</stp>
        <tr r="G6410" s="2"/>
      </tp>
    </main>
    <main first="rtdsrv_a82eb5a1fc404542a18b1336b70d2c4e">
      <tp>
        <v>5</v>
        <stp/>
        <stp>7e744787-5ff0-441f-962f-a373069243da</stp>
        <tr r="G1196" s="2"/>
      </tp>
      <tp>
        <v>5</v>
        <stp/>
        <stp>69b13908-3c7e-4c05-967e-a37c96771118</stp>
        <tr r="G1745" s="2"/>
      </tp>
      <tp>
        <v>5</v>
        <stp/>
        <stp>1e89dfc3-b113-4748-a5ba-dabf9f910953</stp>
        <tr r="G6248" s="2"/>
      </tp>
    </main>
    <main first="rtdsrv_a82eb5a1fc404542a18b1336b70d2c4e">
      <tp>
        <v>5</v>
        <stp/>
        <stp>92dc4770-03af-445e-b0f1-5e694c34e51c</stp>
        <tr r="G6856" s="2"/>
      </tp>
    </main>
    <main first="rtdsrv_a82eb5a1fc404542a18b1336b70d2c4e">
      <tp>
        <v>5</v>
        <stp/>
        <stp>f22169c1-797e-4fe9-a128-9f3a46c1bbe2</stp>
        <tr r="G6264" s="2"/>
      </tp>
    </main>
    <main first="rtdsrv_a82eb5a1fc404542a18b1336b70d2c4e">
      <tp>
        <v>5</v>
        <stp/>
        <stp>d5ad83c7-2c75-4109-82ec-4957bae82571</stp>
        <tr r="G8865" s="2"/>
      </tp>
    </main>
    <main first="rtdsrv_a82eb5a1fc404542a18b1336b70d2c4e">
      <tp>
        <v>5</v>
        <stp/>
        <stp>3c261c7a-ab78-472c-bbbc-dcb5727f7448</stp>
        <tr r="G7124" s="2"/>
      </tp>
    </main>
    <main first="rtdsrv_a82eb5a1fc404542a18b1336b70d2c4e">
      <tp>
        <v>5</v>
        <stp/>
        <stp>9d611717-5069-4f0e-98e3-9a5374a0b655</stp>
        <tr r="G836" s="2"/>
      </tp>
      <tp>
        <v>5</v>
        <stp/>
        <stp>28dc83e5-6ff9-4af8-9eb9-675ffb82e758</stp>
        <tr r="G5637" s="2"/>
      </tp>
      <tp>
        <v>5</v>
        <stp/>
        <stp>b8048f76-e6d1-4e6a-ae21-88858a8554ff</stp>
        <tr r="G8370" s="2"/>
      </tp>
    </main>
    <main first="rtdsrv_a82eb5a1fc404542a18b1336b70d2c4e">
      <tp>
        <v>5</v>
        <stp/>
        <stp>059ecb4b-7a09-4ac2-9ad9-a2b6484889ef</stp>
        <tr r="G3712" s="2"/>
      </tp>
    </main>
    <main first="rtdsrv_a82eb5a1fc404542a18b1336b70d2c4e">
      <tp>
        <v>5</v>
        <stp/>
        <stp>deffc7ac-35a7-47c9-a337-93d0f9b76de9</stp>
        <tr r="G9357" s="2"/>
      </tp>
      <tp>
        <v>5</v>
        <stp/>
        <stp>14e84015-10da-458d-b754-6b4c2402f72d</stp>
        <tr r="G7504" s="2"/>
      </tp>
    </main>
    <main first="rtdsrv_a82eb5a1fc404542a18b1336b70d2c4e">
      <tp>
        <v>5</v>
        <stp/>
        <stp>72acfe47-f0a2-49d0-9402-827fec6dbe0c</stp>
        <tr r="G2731" s="2"/>
      </tp>
      <tp>
        <v>5</v>
        <stp/>
        <stp>b945332e-e869-4858-937b-81f0bbd0a682</stp>
        <tr r="G7692" s="2"/>
      </tp>
      <tp>
        <v>5</v>
        <stp/>
        <stp>2cfda343-e1d1-46fc-8ae2-b1480f018a3f</stp>
        <tr r="G5703" s="2"/>
      </tp>
    </main>
    <main first="rtdsrv_a82eb5a1fc404542a18b1336b70d2c4e">
      <tp>
        <v>5</v>
        <stp/>
        <stp>b540c9e7-ff5e-4a2e-bc09-19bd8132e294</stp>
        <tr r="G4235" s="2"/>
      </tp>
    </main>
    <main first="rtdsrv_a82eb5a1fc404542a18b1336b70d2c4e">
      <tp>
        <v>5</v>
        <stp/>
        <stp>1b7f1274-6097-4ee7-8555-626a81461ba2</stp>
        <tr r="G7989" s="2"/>
      </tp>
      <tp>
        <v>5</v>
        <stp/>
        <stp>61569ea2-e38d-4fa0-9e24-451b6ba86aed</stp>
        <tr r="G5150" s="2"/>
      </tp>
    </main>
    <main first="rtdsrv_a82eb5a1fc404542a18b1336b70d2c4e">
      <tp>
        <v>5</v>
        <stp/>
        <stp>d75fd2d2-3f5a-4889-a314-79966c858ade</stp>
        <tr r="G8254" s="2"/>
      </tp>
      <tp>
        <v>5</v>
        <stp/>
        <stp>8c4d20b6-06b5-4d83-88c4-83d1bc216fd3</stp>
        <tr r="G1667" s="2"/>
      </tp>
      <tp>
        <v>5</v>
        <stp/>
        <stp>f3c87b70-3300-41d4-936f-0aa8b7bac3d0</stp>
        <tr r="G8588" s="2"/>
      </tp>
    </main>
    <main first="rtdsrv_a82eb5a1fc404542a18b1336b70d2c4e">
      <tp>
        <v>5</v>
        <stp/>
        <stp>7efbba7a-2bc3-4cd2-b273-b242cb5e4ff3</stp>
        <tr r="G3424" s="2"/>
      </tp>
      <tp>
        <v>5</v>
        <stp/>
        <stp>2cb3a370-2d3a-409a-b3e9-b305019a6af6</stp>
        <tr r="G7000" s="2"/>
      </tp>
      <tp>
        <v>5</v>
        <stp/>
        <stp>ddee4aa9-d872-4c94-83f9-31fc2651811c</stp>
        <tr r="G461" s="2"/>
      </tp>
      <tp>
        <v>5</v>
        <stp/>
        <stp>80d27352-060e-4e2c-9b00-aa29a76e4341</stp>
        <tr r="G9527" s="2"/>
      </tp>
      <tp>
        <v>5</v>
        <stp/>
        <stp>6e0b1be1-70cd-49d3-a8ba-8c48772bf0e0</stp>
        <tr r="G6328" s="2"/>
      </tp>
      <tp>
        <v>5</v>
        <stp/>
        <stp>f05a9cbf-ae19-4a00-830a-f5c39dec5f21</stp>
        <tr r="G1323" s="2"/>
      </tp>
      <tp>
        <v>5</v>
        <stp/>
        <stp>f77e7c81-1ffb-4cc2-9c58-eef5a54cd7d1</stp>
        <tr r="G5426" s="2"/>
      </tp>
    </main>
    <main first="rtdsrv_a82eb5a1fc404542a18b1336b70d2c4e">
      <tp>
        <v>5</v>
        <stp/>
        <stp>dca7f935-3066-424b-9c9d-4e7dcd01a6fe</stp>
        <tr r="G2950" s="2"/>
      </tp>
      <tp>
        <v>5</v>
        <stp/>
        <stp>73c40dc1-dced-42aa-81ab-02f6f632b23a</stp>
        <tr r="G2133" s="2"/>
      </tp>
    </main>
    <main first="rtdsrv_a82eb5a1fc404542a18b1336b70d2c4e">
      <tp>
        <v>5</v>
        <stp/>
        <stp>d7b20f0c-117d-4870-870c-10fa4349df54</stp>
        <tr r="G8074" s="2"/>
      </tp>
    </main>
    <main first="rtdsrv_a82eb5a1fc404542a18b1336b70d2c4e">
      <tp>
        <v>5</v>
        <stp/>
        <stp>c0a71123-5043-4bd1-b20c-f164a2d5835e</stp>
        <tr r="G7152" s="2"/>
      </tp>
    </main>
    <main first="rtdsrv_a82eb5a1fc404542a18b1336b70d2c4e">
      <tp>
        <v>5</v>
        <stp/>
        <stp>fb9da562-4335-4217-b1cf-8d53b40eab84</stp>
        <tr r="G9029" s="2"/>
      </tp>
      <tp>
        <v>5</v>
        <stp/>
        <stp>e3dd7d14-16b3-4bad-a0d3-12b26570fdbb</stp>
        <tr r="G80" s="2"/>
      </tp>
    </main>
    <main first="rtdsrv_a82eb5a1fc404542a18b1336b70d2c4e">
      <tp>
        <v>5</v>
        <stp/>
        <stp>6fdc84bd-3b48-4e17-8020-7fcc0e2d1bb4</stp>
        <tr r="G5677" s="2"/>
      </tp>
      <tp>
        <v>5</v>
        <stp/>
        <stp>c7441fea-aa4e-40e5-97df-9bf0c237b4d1</stp>
        <tr r="G8246" s="2"/>
      </tp>
    </main>
    <main first="rtdsrv_a82eb5a1fc404542a18b1336b70d2c4e">
      <tp>
        <v>5</v>
        <stp/>
        <stp>4e5b07ce-9924-4691-a162-bb810230196c</stp>
        <tr r="G3192" s="2"/>
      </tp>
    </main>
    <main first="rtdsrv_a82eb5a1fc404542a18b1336b70d2c4e">
      <tp>
        <v>5</v>
        <stp/>
        <stp>25d98215-0ad2-401e-8a65-afa25acbdfc2</stp>
        <tr r="G2545" s="2"/>
      </tp>
      <tp>
        <v>5</v>
        <stp/>
        <stp>dba61b7d-9947-46ea-a884-43563c78a592</stp>
        <tr r="G8825" s="2"/>
      </tp>
    </main>
    <main first="rtdsrv_a82eb5a1fc404542a18b1336b70d2c4e">
      <tp>
        <v>5</v>
        <stp/>
        <stp>4b3973af-e07f-461e-856f-15f663418d67</stp>
        <tr r="G2726" s="2"/>
      </tp>
      <tp>
        <v>5</v>
        <stp/>
        <stp>7b0b1660-2d6c-4ffc-a25f-032ef423c2dc</stp>
        <tr r="G6726" s="2"/>
      </tp>
      <tp>
        <v>5</v>
        <stp/>
        <stp>03d5d709-0f92-419d-aa3c-0e5250762337</stp>
        <tr r="G9035" s="2"/>
      </tp>
    </main>
    <main first="rtdsrv_a82eb5a1fc404542a18b1336b70d2c4e">
      <tp>
        <v>5</v>
        <stp/>
        <stp>63ee4bf1-01d4-4305-94e5-37d70f2b8e13</stp>
        <tr r="G2427" s="2"/>
      </tp>
    </main>
    <main first="rtdsrv_a82eb5a1fc404542a18b1336b70d2c4e">
      <tp>
        <v>5</v>
        <stp/>
        <stp>089a9703-f218-41fe-87d9-bcfdb8e5e6aa</stp>
        <tr r="G6112" s="2"/>
      </tp>
    </main>
    <main first="rtdsrv_a82eb5a1fc404542a18b1336b70d2c4e">
      <tp>
        <v>5</v>
        <stp/>
        <stp>4643c4fd-424e-4ce6-9f05-ad06f2a91ce3</stp>
        <tr r="G9897" s="2"/>
      </tp>
      <tp>
        <v>5</v>
        <stp/>
        <stp>029253ce-d82f-4bbc-b6b1-e5359f42525d</stp>
        <tr r="G3068" s="2"/>
      </tp>
    </main>
    <main first="rtdsrv_a82eb5a1fc404542a18b1336b70d2c4e">
      <tp>
        <v>5</v>
        <stp/>
        <stp>e75ccc62-ee25-4ca3-91ca-10005be8c636</stp>
        <tr r="G2539" s="2"/>
      </tp>
      <tp>
        <v>5</v>
        <stp/>
        <stp>c8791828-f11c-443a-b82e-1ed664a4ba5d</stp>
        <tr r="G6981" s="2"/>
      </tp>
      <tp>
        <v>5</v>
        <stp/>
        <stp>cffaf31a-2bba-4cc4-a8c6-ea76c6bf0b72</stp>
        <tr r="G8280" s="2"/>
      </tp>
    </main>
    <main first="rtdsrv_a82eb5a1fc404542a18b1336b70d2c4e">
      <tp>
        <v>5</v>
        <stp/>
        <stp>217facf3-e19d-4714-a0f7-60da821ccbc5</stp>
        <tr r="G100" s="2"/>
      </tp>
      <tp>
        <v>5</v>
        <stp/>
        <stp>9e8e173a-8c44-4f2f-a495-3c8052786a32</stp>
        <tr r="G7086" s="2"/>
      </tp>
      <tp>
        <v>5</v>
        <stp/>
        <stp>fb525df2-0c62-41d0-94f2-e4e3103faa5e</stp>
        <tr r="G468" s="2"/>
      </tp>
    </main>
    <main first="rtdsrv_a82eb5a1fc404542a18b1336b70d2c4e">
      <tp>
        <v>5</v>
        <stp/>
        <stp>0f6810dc-0f38-4017-a04e-32f29f21d4d5</stp>
        <tr r="G9193" s="2"/>
      </tp>
      <tp>
        <v>5</v>
        <stp/>
        <stp>b12ef5e2-e2bc-4d2b-aeeb-3c18a61016f1</stp>
        <tr r="G7403" s="2"/>
      </tp>
      <tp>
        <v>5</v>
        <stp/>
        <stp>8306fa40-2e8e-4ae2-b2a4-7d2271543c30</stp>
        <tr r="G8159" s="2"/>
      </tp>
      <tp>
        <v>5</v>
        <stp/>
        <stp>eb82bd0f-0851-422f-ab72-2eb8c7b9d0cd</stp>
        <tr r="G8584" s="2"/>
      </tp>
      <tp>
        <v>5</v>
        <stp/>
        <stp>b768dee2-f1db-4bc2-b7c2-aad365b9c473</stp>
        <tr r="G8578" s="2"/>
      </tp>
      <tp>
        <v>5</v>
        <stp/>
        <stp>103b046c-7f98-4df5-9c9c-980e6430f6ba</stp>
        <tr r="G9098" s="2"/>
      </tp>
    </main>
    <main first="rtdsrv_a82eb5a1fc404542a18b1336b70d2c4e">
      <tp>
        <v>5</v>
        <stp/>
        <stp>7bea709c-18dc-40cf-821d-e30e5f2a6dc6</stp>
        <tr r="G6898" s="2"/>
      </tp>
      <tp>
        <v>5</v>
        <stp/>
        <stp>fcec54f9-5e56-4fbf-9355-24264319531b</stp>
        <tr r="G8418" s="2"/>
      </tp>
    </main>
    <main first="rtdsrv_a82eb5a1fc404542a18b1336b70d2c4e">
      <tp>
        <v>5</v>
        <stp/>
        <stp>57224ebb-2318-4853-bf09-3d9e9741b560</stp>
        <tr r="G7531" s="2"/>
      </tp>
      <tp>
        <v>5</v>
        <stp/>
        <stp>680de48f-ef93-4699-afd7-1a213d323490</stp>
        <tr r="G5758" s="2"/>
      </tp>
    </main>
    <main first="rtdsrv_a82eb5a1fc404542a18b1336b70d2c4e">
      <tp>
        <v>5</v>
        <stp/>
        <stp>01cc0871-062d-4de7-9541-c92ee6413040</stp>
        <tr r="G6504" s="2"/>
      </tp>
    </main>
    <main first="rtdsrv_a82eb5a1fc404542a18b1336b70d2c4e">
      <tp>
        <v>5</v>
        <stp/>
        <stp>a9631f87-196e-41e9-b42c-fbe3cd0c3fc7</stp>
        <tr r="G3345" s="2"/>
      </tp>
      <tp>
        <v>5</v>
        <stp/>
        <stp>2d65b9d3-ebc2-40bb-8a12-585a9ba8b442</stp>
        <tr r="G8956" s="2"/>
      </tp>
    </main>
    <main first="rtdsrv_a82eb5a1fc404542a18b1336b70d2c4e">
      <tp>
        <v>5</v>
        <stp/>
        <stp>8ea74c6c-bdb1-4b73-b322-7db6e6027213</stp>
        <tr r="G4695" s="2"/>
      </tp>
      <tp>
        <v>5</v>
        <stp/>
        <stp>6dc48638-8f80-4884-b9f7-c1b975c7f9ba</stp>
        <tr r="G1815" s="2"/>
      </tp>
      <tp>
        <v>5</v>
        <stp/>
        <stp>069aa574-3cb9-43fe-b66d-0eed8a882b69</stp>
        <tr r="G7384" s="2"/>
      </tp>
    </main>
    <main first="rtdsrv_a82eb5a1fc404542a18b1336b70d2c4e">
      <tp>
        <v>5</v>
        <stp/>
        <stp>5b50d034-7d9f-449f-bf62-af01cb0f2422</stp>
        <tr r="G7202" s="2"/>
      </tp>
      <tp>
        <v>5</v>
        <stp/>
        <stp>dc833f16-fc06-4e9b-9608-dcbf6b7735e6</stp>
        <tr r="G4182" s="2"/>
      </tp>
    </main>
    <main first="rtdsrv_a82eb5a1fc404542a18b1336b70d2c4e">
      <tp>
        <v>5</v>
        <stp/>
        <stp>77b2ead0-343d-4392-8f4f-cad1be4f1bff</stp>
        <tr r="G2134" s="2"/>
      </tp>
      <tp>
        <v>5</v>
        <stp/>
        <stp>6f30b574-a5f0-46f9-ab14-6704214d69c0</stp>
        <tr r="G4741" s="2"/>
      </tp>
      <tp>
        <v>5</v>
        <stp/>
        <stp>cd03cad2-eb0c-4d56-af52-870d17deef2e</stp>
        <tr r="G3884" s="2"/>
      </tp>
      <tp>
        <v>5</v>
        <stp/>
        <stp>ce3deff9-c663-4eb4-b2aa-bfb51b780451</stp>
        <tr r="G487" s="2"/>
      </tp>
      <tp>
        <v>5</v>
        <stp/>
        <stp>86967f95-3ae9-4277-a673-df6bc3e4f3c2</stp>
        <tr r="G3943" s="2"/>
      </tp>
    </main>
    <main first="rtdsrv_a82eb5a1fc404542a18b1336b70d2c4e">
      <tp>
        <v>5</v>
        <stp/>
        <stp>d2167ca9-f563-447d-86d0-05d2ad2e6ca0</stp>
        <tr r="G2662" s="2"/>
      </tp>
    </main>
    <main first="rtdsrv_a82eb5a1fc404542a18b1336b70d2c4e">
      <tp>
        <v>5</v>
        <stp/>
        <stp>1c5e4304-45f7-47b5-bcde-3b42eeb817a6</stp>
        <tr r="G1968" s="2"/>
      </tp>
    </main>
    <main first="rtdsrv_a82eb5a1fc404542a18b1336b70d2c4e">
      <tp>
        <v>5</v>
        <stp/>
        <stp>347e2257-c1c1-4515-84cd-b15140a457af</stp>
        <tr r="G2329" s="2"/>
      </tp>
      <tp>
        <v>5</v>
        <stp/>
        <stp>ce4b29d0-d5c8-43b9-83f1-27ea9ff4a355</stp>
        <tr r="G8316" s="2"/>
      </tp>
      <tp>
        <v>5</v>
        <stp/>
        <stp>8af766de-09af-4aa8-a899-ac598abf2a76</stp>
        <tr r="G561" s="2"/>
      </tp>
    </main>
    <main first="rtdsrv_a82eb5a1fc404542a18b1336b70d2c4e">
      <tp>
        <v>5</v>
        <stp/>
        <stp>c737f1ff-3e13-4bfc-89e4-77002e1c2dfd</stp>
        <tr r="G4204" s="2"/>
      </tp>
      <tp>
        <v>5</v>
        <stp/>
        <stp>c0723b2a-e995-435f-a8f2-e3cb7e8d9d61</stp>
        <tr r="G5807" s="2"/>
      </tp>
      <tp>
        <v>5</v>
        <stp/>
        <stp>458f8c11-e8f1-478e-b63a-a9a7b87b3ae8</stp>
        <tr r="G9508" s="2"/>
      </tp>
      <tp>
        <v>5</v>
        <stp/>
        <stp>56220efe-cfc5-4d0b-9268-1ea4518eb502</stp>
        <tr r="G3331" s="2"/>
      </tp>
      <tp>
        <v>5</v>
        <stp/>
        <stp>3e47f64a-915f-46d8-b1f0-47587e2bdcef</stp>
        <tr r="G723" s="2"/>
      </tp>
      <tp>
        <v>5</v>
        <stp/>
        <stp>8e06be85-29a8-4926-989c-38347a5bba7a</stp>
        <tr r="G6931" s="2"/>
      </tp>
    </main>
    <main first="rtdsrv_a82eb5a1fc404542a18b1336b70d2c4e">
      <tp>
        <v>5</v>
        <stp/>
        <stp>a934a8a0-858c-498d-9969-6b85f54f0911</stp>
        <tr r="G6689" s="2"/>
      </tp>
    </main>
    <main first="rtdsrv_a82eb5a1fc404542a18b1336b70d2c4e">
      <tp>
        <v>5</v>
        <stp/>
        <stp>e184d7e1-dfe5-490f-a7b3-2c71d347a278</stp>
        <tr r="G688" s="2"/>
      </tp>
    </main>
    <main first="rtdsrv_a82eb5a1fc404542a18b1336b70d2c4e">
      <tp>
        <v>5</v>
        <stp/>
        <stp>e8ab8e7c-4a39-4060-a806-9c369867068e</stp>
        <tr r="G8743" s="2"/>
      </tp>
    </main>
    <main first="rtdsrv_a82eb5a1fc404542a18b1336b70d2c4e">
      <tp>
        <v>5</v>
        <stp/>
        <stp>e470efe4-4405-4af6-bd6d-f5e7c6c65a87</stp>
        <tr r="G8070" s="2"/>
      </tp>
    </main>
    <main first="rtdsrv_a82eb5a1fc404542a18b1336b70d2c4e">
      <tp>
        <v>5</v>
        <stp/>
        <stp>abe88525-dc38-4828-8a16-183080972646</stp>
        <tr r="G9498" s="2"/>
      </tp>
    </main>
    <main first="rtdsrv_a82eb5a1fc404542a18b1336b70d2c4e">
      <tp>
        <v>5</v>
        <stp/>
        <stp>1399ba63-a4d1-4b16-a71d-d271965484ab</stp>
        <tr r="G8395" s="2"/>
      </tp>
    </main>
    <main first="rtdsrv_a82eb5a1fc404542a18b1336b70d2c4e">
      <tp>
        <v>5</v>
        <stp/>
        <stp>603e1db0-e048-41d6-a575-eb87fa54d7ee</stp>
        <tr r="G7381" s="2"/>
      </tp>
    </main>
    <main first="rtdsrv_a82eb5a1fc404542a18b1336b70d2c4e">
      <tp>
        <v>5</v>
        <stp/>
        <stp>d062850e-9be3-4fd9-87ed-20b7c2f0af89</stp>
        <tr r="G7697" s="2"/>
      </tp>
      <tp>
        <v>5</v>
        <stp/>
        <stp>4c0623dd-617c-4a46-be50-c2944eeef65d</stp>
        <tr r="G8264" s="2"/>
      </tp>
    </main>
    <main first="rtdsrv_a82eb5a1fc404542a18b1336b70d2c4e">
      <tp>
        <v>5</v>
        <stp/>
        <stp>2b854d68-055e-4166-8ed6-30462cd813af</stp>
        <tr r="G3733" s="2"/>
      </tp>
    </main>
    <main first="rtdsrv_a82eb5a1fc404542a18b1336b70d2c4e">
      <tp>
        <v>5</v>
        <stp/>
        <stp>fd81eea4-5cf5-497e-9a0e-015315e57a2f</stp>
        <tr r="G9371" s="2"/>
      </tp>
    </main>
    <main first="rtdsrv_a82eb5a1fc404542a18b1336b70d2c4e">
      <tp>
        <v>5</v>
        <stp/>
        <stp>1f825cea-5a2b-436f-9243-c0a2d3639eed</stp>
        <tr r="G1300" s="2"/>
      </tp>
    </main>
    <main first="rtdsrv_a82eb5a1fc404542a18b1336b70d2c4e">
      <tp>
        <v>5</v>
        <stp/>
        <stp>9164768a-44a9-4d5b-a33b-6aa0c5ee12a2</stp>
        <tr r="G1411" s="2"/>
      </tp>
      <tp>
        <v>5</v>
        <stp/>
        <stp>8db853cd-0b63-41b1-9e4c-2b1f958ff145</stp>
        <tr r="G8856" s="2"/>
      </tp>
      <tp>
        <v>5</v>
        <stp/>
        <stp>ccdd7710-7419-40c0-b6a8-bad10623fa2b</stp>
        <tr r="G4370" s="2"/>
      </tp>
    </main>
    <main first="rtdsrv_a82eb5a1fc404542a18b1336b70d2c4e">
      <tp>
        <v>5</v>
        <stp/>
        <stp>198a2826-31c0-41e2-acf4-db6a2b7f5b31</stp>
        <tr r="G9032" s="2"/>
      </tp>
    </main>
    <main first="rtdsrv_a82eb5a1fc404542a18b1336b70d2c4e">
      <tp>
        <v>5</v>
        <stp/>
        <stp>61e6f26e-3193-4422-ac25-66b4ac87fa0e</stp>
        <tr r="G8602" s="2"/>
      </tp>
      <tp>
        <v>5</v>
        <stp/>
        <stp>bb5c8011-25e8-424b-80d0-41940b36e16d</stp>
        <tr r="G5251" s="2"/>
      </tp>
      <tp>
        <v>5</v>
        <stp/>
        <stp>e29ffd67-da82-4ad5-9aef-76cd85fbbe30</stp>
        <tr r="G5756" s="2"/>
      </tp>
    </main>
    <main first="rtdsrv_a82eb5a1fc404542a18b1336b70d2c4e">
      <tp>
        <v>5</v>
        <stp/>
        <stp>c6181edb-f717-45db-bf8e-c9e6ced34788</stp>
        <tr r="G2372" s="2"/>
      </tp>
      <tp>
        <v>5</v>
        <stp/>
        <stp>21628e00-5dc2-4184-8bf5-664cd18cb0ed</stp>
        <tr r="G7067" s="2"/>
      </tp>
    </main>
    <main first="rtdsrv_a82eb5a1fc404542a18b1336b70d2c4e">
      <tp>
        <v>5</v>
        <stp/>
        <stp>617e00c1-192b-428d-8f0d-335a9f351516</stp>
        <tr r="G5531" s="2"/>
      </tp>
      <tp>
        <v>5</v>
        <stp/>
        <stp>de0a7bd2-3b63-4112-8d4d-4d53548dffa4</stp>
        <tr r="G5373" s="2"/>
      </tp>
      <tp>
        <v>5</v>
        <stp/>
        <stp>408a434b-0fcf-4f6a-99c6-516b2a7a4ec4</stp>
        <tr r="G5623" s="2"/>
      </tp>
      <tp>
        <v>5</v>
        <stp/>
        <stp>406ab196-b5b1-4637-91e9-c0a5e796f2e0</stp>
        <tr r="G3524" s="2"/>
      </tp>
    </main>
    <main first="rtdsrv_a82eb5a1fc404542a18b1336b70d2c4e">
      <tp>
        <v>5</v>
        <stp/>
        <stp>6f4bd0ad-fd16-494f-9ab6-3792cacf4fc6</stp>
        <tr r="G599" s="2"/>
      </tp>
      <tp>
        <v>5</v>
        <stp/>
        <stp>3299fef1-9655-4b11-9377-7c7a58a3d76b</stp>
        <tr r="G1856" s="2"/>
      </tp>
      <tp>
        <v>5</v>
        <stp/>
        <stp>24a328e5-1417-4883-9aee-4689b8afaa29</stp>
        <tr r="G9836" s="2"/>
      </tp>
    </main>
    <main first="rtdsrv_a82eb5a1fc404542a18b1336b70d2c4e">
      <tp>
        <v>5</v>
        <stp/>
        <stp>92907d9a-522f-4451-9d9a-a989a0a36f47</stp>
        <tr r="G5694" s="2"/>
      </tp>
    </main>
    <main first="rtdsrv_a82eb5a1fc404542a18b1336b70d2c4e">
      <tp>
        <v>5</v>
        <stp/>
        <stp>04938f83-8cc0-4717-9543-989fecbd8640</stp>
        <tr r="G2739" s="2"/>
      </tp>
    </main>
    <main first="rtdsrv_a82eb5a1fc404542a18b1336b70d2c4e">
      <tp>
        <v>5</v>
        <stp/>
        <stp>2909c8bc-c176-43f7-b042-15bac4816d56</stp>
        <tr r="G5490" s="2"/>
      </tp>
      <tp>
        <v>5</v>
        <stp/>
        <stp>f243d47c-2d7d-4e0f-94cd-a79de5f4c7b1</stp>
        <tr r="G1593" s="2"/>
      </tp>
    </main>
    <main first="rtdsrv_a82eb5a1fc404542a18b1336b70d2c4e">
      <tp>
        <v>5</v>
        <stp/>
        <stp>6b3b10cf-7792-47c4-9923-33d790773d87</stp>
        <tr r="G2074" s="2"/>
      </tp>
    </main>
    <main first="rtdsrv_a82eb5a1fc404542a18b1336b70d2c4e">
      <tp>
        <v>5</v>
        <stp/>
        <stp>9989e9b0-de8c-45d0-adff-6c5f1ec00002</stp>
        <tr r="G2219" s="2"/>
      </tp>
      <tp>
        <v>5</v>
        <stp/>
        <stp>c4a9eade-13a4-4d86-92e3-9785ba120e3e</stp>
        <tr r="G4200" s="2"/>
      </tp>
      <tp>
        <v>5</v>
        <stp/>
        <stp>14a008ad-6fb4-429f-ab84-b3e6220fca87</stp>
        <tr r="G6603" s="2"/>
      </tp>
    </main>
    <main first="rtdsrv_a82eb5a1fc404542a18b1336b70d2c4e">
      <tp>
        <v>5</v>
        <stp/>
        <stp>71867a5c-ef55-4f41-9774-56bed92d6803</stp>
        <tr r="G7598" s="2"/>
      </tp>
    </main>
    <main first="rtdsrv_a82eb5a1fc404542a18b1336b70d2c4e">
      <tp>
        <v>5</v>
        <stp/>
        <stp>556b0051-018d-4f2f-a3a2-7eda30bdac9f</stp>
        <tr r="G8180" s="2"/>
      </tp>
    </main>
    <main first="rtdsrv_a82eb5a1fc404542a18b1336b70d2c4e">
      <tp>
        <v>5</v>
        <stp/>
        <stp>75bef924-6601-45b2-8879-38df1a004b42</stp>
        <tr r="G2614" s="2"/>
      </tp>
      <tp>
        <v>5</v>
        <stp/>
        <stp>fdb58f9c-7d6d-4d6f-8976-f6cf93ea8e00</stp>
        <tr r="G3705" s="2"/>
      </tp>
    </main>
    <main first="rtdsrv_a82eb5a1fc404542a18b1336b70d2c4e">
      <tp>
        <v>5</v>
        <stp/>
        <stp>fc54132e-38db-4d02-b1da-f121641ff4b1</stp>
        <tr r="G9410" s="2"/>
      </tp>
      <tp>
        <v>5</v>
        <stp/>
        <stp>611838c9-ae86-4127-8c6b-b13aa887eda3</stp>
        <tr r="G5022" s="2"/>
      </tp>
      <tp>
        <v>5</v>
        <stp/>
        <stp>a83b570b-2410-43e2-bb91-573701379490</stp>
        <tr r="G1878" s="2"/>
      </tp>
    </main>
    <main first="rtdsrv_a82eb5a1fc404542a18b1336b70d2c4e">
      <tp>
        <v>5</v>
        <stp/>
        <stp>b68d0ab8-52ab-41d8-98a4-cb30ee28d8ba</stp>
        <tr r="G7823" s="2"/>
      </tp>
      <tp>
        <v>5</v>
        <stp/>
        <stp>d9108109-23c8-4d88-b019-871e6366433a</stp>
        <tr r="G88" s="2"/>
      </tp>
    </main>
    <main first="rtdsrv_a82eb5a1fc404542a18b1336b70d2c4e">
      <tp>
        <v>5</v>
        <stp/>
        <stp>0017faab-093c-4e24-b426-92bcf0302a65</stp>
        <tr r="G8154" s="2"/>
      </tp>
    </main>
    <main first="rtdsrv_a82eb5a1fc404542a18b1336b70d2c4e">
      <tp>
        <v>5</v>
        <stp/>
        <stp>d59eef50-45a5-474d-8427-7ea932272be7</stp>
        <tr r="G9839" s="2"/>
      </tp>
    </main>
    <main first="rtdsrv_a82eb5a1fc404542a18b1336b70d2c4e">
      <tp>
        <v>5</v>
        <stp/>
        <stp>4e572db5-6813-4062-9df3-7d8e7283f1db</stp>
        <tr r="G9721" s="2"/>
      </tp>
    </main>
    <main first="rtdsrv_a82eb5a1fc404542a18b1336b70d2c4e">
      <tp>
        <v>5</v>
        <stp/>
        <stp>14a924a5-666c-4de4-b149-6ba53ce27333</stp>
        <tr r="G8313" s="2"/>
      </tp>
      <tp>
        <v>5</v>
        <stp/>
        <stp>87ed76e4-3673-4bce-b21e-d99f29381ba0</stp>
        <tr r="G5073" s="2"/>
      </tp>
      <tp>
        <v>5</v>
        <stp/>
        <stp>18115724-5e55-4409-aef1-d02bc3dd4b97</stp>
        <tr r="G8601" s="2"/>
      </tp>
      <tp>
        <v>5</v>
        <stp/>
        <stp>db05e578-5f31-4b7b-b459-a16e0b259bd8</stp>
        <tr r="G7028" s="2"/>
      </tp>
      <tp>
        <v>5</v>
        <stp/>
        <stp>1823d722-983d-4440-aded-d265c7d65b64</stp>
        <tr r="G2403" s="2"/>
      </tp>
    </main>
    <main first="rtdsrv_a82eb5a1fc404542a18b1336b70d2c4e">
      <tp>
        <v>5</v>
        <stp/>
        <stp>8b3ef24c-80d3-412b-9104-ae137c838823</stp>
        <tr r="G7736" s="2"/>
      </tp>
      <tp>
        <v>5</v>
        <stp/>
        <stp>a095686c-048e-49f3-956c-296cda2c3ad4</stp>
        <tr r="G1845" s="2"/>
      </tp>
    </main>
    <main first="rtdsrv_a82eb5a1fc404542a18b1336b70d2c4e">
      <tp>
        <v>5</v>
        <stp/>
        <stp>2af849a3-6065-4e78-a1d6-eeb2cf93a5c8</stp>
        <tr r="G51" s="2"/>
      </tp>
    </main>
    <main first="rtdsrv_a82eb5a1fc404542a18b1336b70d2c4e">
      <tp>
        <v>5</v>
        <stp/>
        <stp>225f3cf0-2bc3-44f3-8cf9-1e4eaac246fb</stp>
        <tr r="G2564" s="2"/>
      </tp>
      <tp>
        <v>5</v>
        <stp/>
        <stp>2d7d2716-a60e-49eb-9da0-ce864c8c139f</stp>
        <tr r="G6376" s="2"/>
      </tp>
      <tp>
        <v>5</v>
        <stp/>
        <stp>c4ca1489-a372-4327-8a43-ac46305fd5ce</stp>
        <tr r="G802" s="2"/>
      </tp>
      <tp>
        <v>5</v>
        <stp/>
        <stp>3087712c-a72d-4026-a816-97efb7d76c35</stp>
        <tr r="G2275" s="2"/>
      </tp>
    </main>
    <main first="rtdsrv_a82eb5a1fc404542a18b1336b70d2c4e">
      <tp>
        <v>5</v>
        <stp/>
        <stp>dc7cdc7e-4863-4134-8079-3b8bdaeaf0eb</stp>
        <tr r="G2315" s="2"/>
      </tp>
    </main>
    <main first="rtdsrv_a82eb5a1fc404542a18b1336b70d2c4e">
      <tp>
        <v>5</v>
        <stp/>
        <stp>8f926a73-b003-46ef-8c40-efd810143ea6</stp>
        <tr r="G637" s="2"/>
      </tp>
    </main>
    <main first="rtdsrv_a82eb5a1fc404542a18b1336b70d2c4e">
      <tp>
        <v>5</v>
        <stp/>
        <stp>ea85851b-7f7e-45c8-bd9c-9b304fa85bd8</stp>
        <tr r="G9397" s="2"/>
      </tp>
    </main>
    <main first="rtdsrv_a82eb5a1fc404542a18b1336b70d2c4e">
      <tp>
        <v>5</v>
        <stp/>
        <stp>aee040a3-74e5-4e8c-88d6-c6824f0a714e</stp>
        <tr r="G2186" s="2"/>
      </tp>
      <tp>
        <v>5</v>
        <stp/>
        <stp>91c07c2b-9697-4e29-9928-5518df5327a2</stp>
        <tr r="G1088" s="2"/>
      </tp>
    </main>
    <main first="rtdsrv_a82eb5a1fc404542a18b1336b70d2c4e">
      <tp>
        <v>5</v>
        <stp/>
        <stp>cbb556fa-bbac-4895-8ffb-747a50057e97</stp>
        <tr r="G7637" s="2"/>
      </tp>
    </main>
    <main first="rtdsrv_a82eb5a1fc404542a18b1336b70d2c4e">
      <tp>
        <v>5</v>
        <stp/>
        <stp>855b5d84-bdfe-4983-80a3-f7982083dbae</stp>
        <tr r="G1901" s="2"/>
      </tp>
      <tp>
        <v>5</v>
        <stp/>
        <stp>89376504-20cb-4be9-8129-9d3a0d678153</stp>
        <tr r="G3714" s="2"/>
      </tp>
    </main>
    <main first="rtdsrv_a82eb5a1fc404542a18b1336b70d2c4e">
      <tp>
        <v>5</v>
        <stp/>
        <stp>d796d73a-1e91-4fb1-a777-1a3df7292eb7</stp>
        <tr r="G6672" s="2"/>
      </tp>
      <tp>
        <v>5</v>
        <stp/>
        <stp>adda3586-77b9-47ce-b37e-58c62139a9ec</stp>
        <tr r="G2189" s="2"/>
      </tp>
    </main>
    <main first="rtdsrv_a82eb5a1fc404542a18b1336b70d2c4e">
      <tp>
        <v>5</v>
        <stp/>
        <stp>fbf238ad-1244-4928-be58-4ee0740b73cc</stp>
        <tr r="G425" s="2"/>
      </tp>
    </main>
    <main first="rtdsrv_a82eb5a1fc404542a18b1336b70d2c4e">
      <tp>
        <v>5</v>
        <stp/>
        <stp>98a4a2eb-f96d-4093-9726-15b768e9ed73</stp>
        <tr r="G8636" s="2"/>
      </tp>
    </main>
    <main first="rtdsrv_a82eb5a1fc404542a18b1336b70d2c4e">
      <tp>
        <v>5</v>
        <stp/>
        <stp>f4cd5e19-e308-4430-add9-92577e4a73b8</stp>
        <tr r="G4744" s="2"/>
      </tp>
      <tp>
        <v>5</v>
        <stp/>
        <stp>b9887e55-3340-4b7d-b9a3-e718da51e82f</stp>
        <tr r="G2091" s="2"/>
      </tp>
      <tp>
        <v>5</v>
        <stp/>
        <stp>4b73b81e-8990-4db0-9b6c-4510272fcbd6</stp>
        <tr r="G7412" s="2"/>
      </tp>
    </main>
    <main first="rtdsrv_a82eb5a1fc404542a18b1336b70d2c4e">
      <tp>
        <v>5</v>
        <stp/>
        <stp>7bc16b5f-9403-4241-8102-b09c753d19a7</stp>
        <tr r="G3130" s="2"/>
      </tp>
    </main>
    <main first="rtdsrv_a82eb5a1fc404542a18b1336b70d2c4e">
      <tp>
        <v>5</v>
        <stp/>
        <stp>a5a46f33-3f99-417e-a103-aa8f0becc2a5</stp>
        <tr r="G2880" s="2"/>
      </tp>
    </main>
    <main first="rtdsrv_a82eb5a1fc404542a18b1336b70d2c4e">
      <tp>
        <v>5</v>
        <stp/>
        <stp>6991c92a-70bd-4437-b80c-68b1f8958489</stp>
        <tr r="G2766" s="2"/>
      </tp>
      <tp>
        <v>5</v>
        <stp/>
        <stp>46fa5436-06b3-4acb-a748-87a9bbbe55c2</stp>
        <tr r="G4227" s="2"/>
      </tp>
    </main>
    <main first="rtdsrv_a82eb5a1fc404542a18b1336b70d2c4e">
      <tp>
        <v>5</v>
        <stp/>
        <stp>b623dd79-ab6e-45a1-ab05-8f241ce8431c</stp>
        <tr r="G5464" s="2"/>
      </tp>
    </main>
    <main first="rtdsrv_a82eb5a1fc404542a18b1336b70d2c4e">
      <tp>
        <v>5</v>
        <stp/>
        <stp>47fec479-3d9f-4835-84df-05d49c6d1357</stp>
        <tr r="G9989" s="2"/>
      </tp>
      <tp>
        <v>5</v>
        <stp/>
        <stp>15dc17be-1432-4053-a5da-a24df1f56c56</stp>
        <tr r="G2102" s="2"/>
      </tp>
      <tp>
        <v>5</v>
        <stp/>
        <stp>b00db168-b6ec-45bd-a17b-b33d0b034ee2</stp>
        <tr r="G7648" s="2"/>
      </tp>
      <tp>
        <v>5</v>
        <stp/>
        <stp>5c8b0242-cf38-4167-8ed8-5def65f074e5</stp>
        <tr r="G6241" s="2"/>
      </tp>
      <tp>
        <v>5</v>
        <stp/>
        <stp>215bf044-cc9b-4c38-9083-47782d7275e6</stp>
        <tr r="G4437" s="2"/>
      </tp>
      <tp>
        <v>5</v>
        <stp/>
        <stp>91c72e26-5d5f-4219-b773-4028f8c71ccb</stp>
        <tr r="G6792" s="2"/>
      </tp>
      <tp>
        <v>5</v>
        <stp/>
        <stp>7027ce37-1d3e-4536-8fbc-145f4ee1bebb</stp>
        <tr r="G6853" s="2"/>
      </tp>
      <tp>
        <v>5</v>
        <stp/>
        <stp>2448c60b-0650-423c-9776-9a0326021505</stp>
        <tr r="G7389" s="2"/>
      </tp>
      <tp>
        <v>5</v>
        <stp/>
        <stp>3b27f01d-d0f6-4c4c-be66-6a3c7727c101</stp>
        <tr r="G6754" s="2"/>
      </tp>
      <tp>
        <v>5</v>
        <stp/>
        <stp>62e33014-b6d5-42ef-82ea-c1662dd5e2e9</stp>
        <tr r="G7120" s="2"/>
      </tp>
      <tp>
        <v>5</v>
        <stp/>
        <stp>74b6bb3d-604c-4f78-884c-cb250964d32e</stp>
        <tr r="G8756" s="2"/>
      </tp>
      <tp>
        <v>5</v>
        <stp/>
        <stp>0fb3aea1-cc4e-4505-b467-9f00adf60e59</stp>
        <tr r="G897" s="2"/>
      </tp>
      <tp>
        <v>5</v>
        <stp/>
        <stp>cb4c9132-9377-4014-8da5-296e03f081ee</stp>
        <tr r="G2542" s="2"/>
      </tp>
      <tp>
        <v>5</v>
        <stp/>
        <stp>1e032f23-5e86-405e-bdcc-e21320209630</stp>
        <tr r="G9513" s="2"/>
      </tp>
      <tp>
        <v>5</v>
        <stp/>
        <stp>f9572e33-a0af-44bc-99d7-10bb99d6273f</stp>
        <tr r="G6695" s="2"/>
      </tp>
      <tp>
        <v>5</v>
        <stp/>
        <stp>c4901207-12a5-4f43-816d-15cb0418d78f</stp>
        <tr r="G3560" s="2"/>
      </tp>
    </main>
    <main first="rtdsrv_a82eb5a1fc404542a18b1336b70d2c4e">
      <tp>
        <v>5</v>
        <stp/>
        <stp>cbdbd242-3dbb-44a9-a6b5-2197055e4886</stp>
        <tr r="G7266" s="2"/>
      </tp>
    </main>
    <main first="rtdsrv_a82eb5a1fc404542a18b1336b70d2c4e">
      <tp>
        <v>5</v>
        <stp/>
        <stp>5b2c6c90-13d3-4c8e-8ae6-279075a506ce</stp>
        <tr r="G6282" s="2"/>
      </tp>
    </main>
    <main first="rtdsrv_a82eb5a1fc404542a18b1336b70d2c4e">
      <tp>
        <v>5</v>
        <stp/>
        <stp>f399e9f5-fbff-4726-9ea8-499f71132789</stp>
        <tr r="G7420" s="2"/>
      </tp>
      <tp>
        <v>5</v>
        <stp/>
        <stp>efcfec44-3234-4c7f-8a5f-7bfe35eb4657</stp>
        <tr r="G9470" s="2"/>
      </tp>
    </main>
    <main first="rtdsrv_a82eb5a1fc404542a18b1336b70d2c4e">
      <tp>
        <v>5</v>
        <stp/>
        <stp>2206dce6-57e5-4ac3-a337-242092e3af74</stp>
        <tr r="G4220" s="2"/>
      </tp>
      <tp>
        <v>5</v>
        <stp/>
        <stp>df43a0f7-02eb-4e67-8543-ddbecf414c05</stp>
        <tr r="G8121" s="2"/>
      </tp>
      <tp>
        <v>5</v>
        <stp/>
        <stp>a71680bd-94bc-4bc6-9bfc-b76c19563d2c</stp>
        <tr r="G9573" s="2"/>
      </tp>
    </main>
    <main first="rtdsrv_a82eb5a1fc404542a18b1336b70d2c4e">
      <tp>
        <v>5</v>
        <stp/>
        <stp>138d7b13-7acc-418e-8535-a6e55754058b</stp>
        <tr r="G4108" s="2"/>
      </tp>
      <tp>
        <v>5</v>
        <stp/>
        <stp>4bffea45-a5fd-43cb-8854-37cab702b152</stp>
        <tr r="G287" s="2"/>
      </tp>
      <tp>
        <v>5</v>
        <stp/>
        <stp>c6566ebc-4386-4f55-ba2e-44253c3f135e</stp>
        <tr r="G5938" s="2"/>
      </tp>
    </main>
    <main first="rtdsrv_a82eb5a1fc404542a18b1336b70d2c4e">
      <tp>
        <v>5</v>
        <stp/>
        <stp>87620f31-dc67-4d9b-99a3-5f0f7b1236ad</stp>
        <tr r="G8477" s="2"/>
      </tp>
      <tp>
        <v>5</v>
        <stp/>
        <stp>774b7e7f-2ef5-4d42-9b2f-932293612d1e</stp>
        <tr r="G2595" s="2"/>
      </tp>
    </main>
    <main first="rtdsrv_a82eb5a1fc404542a18b1336b70d2c4e">
      <tp>
        <v>5</v>
        <stp/>
        <stp>f57148e0-46a5-4680-953a-c57e423c3942</stp>
        <tr r="G7844" s="2"/>
      </tp>
    </main>
    <main first="rtdsrv_a82eb5a1fc404542a18b1336b70d2c4e">
      <tp>
        <v>5</v>
        <stp/>
        <stp>d0bc37ee-5fe2-444e-99d5-d74bff07fff6</stp>
        <tr r="G8686" s="2"/>
      </tp>
    </main>
    <main first="rtdsrv_a82eb5a1fc404542a18b1336b70d2c4e">
      <tp>
        <v>5</v>
        <stp/>
        <stp>666af7eb-fd8b-4eef-9c4e-4ff8a1c0afad</stp>
        <tr r="G96" s="2"/>
      </tp>
      <tp>
        <v>5</v>
        <stp/>
        <stp>dfb3cb00-4452-4866-82ef-dac313ccf562</stp>
        <tr r="G2986" s="2"/>
      </tp>
    </main>
    <main first="rtdsrv_a82eb5a1fc404542a18b1336b70d2c4e">
      <tp>
        <v>5</v>
        <stp/>
        <stp>6fbf30ac-e027-4a53-a7d7-8d5ad17c650d</stp>
        <tr r="G7378" s="2"/>
      </tp>
      <tp>
        <v>5</v>
        <stp/>
        <stp>739c5532-11d8-43a7-8143-f7689190f61d</stp>
        <tr r="G1349" s="2"/>
      </tp>
    </main>
    <main first="rtdsrv_a82eb5a1fc404542a18b1336b70d2c4e">
      <tp>
        <v>5</v>
        <stp/>
        <stp>0d069840-8f7c-4911-9f58-668c61b4cc65</stp>
        <tr r="G3649" s="2"/>
      </tp>
    </main>
    <main first="rtdsrv_a82eb5a1fc404542a18b1336b70d2c4e">
      <tp>
        <v>5</v>
        <stp/>
        <stp>5a838f65-8d8e-42e4-97e4-5990f67b0ef9</stp>
        <tr r="G3261" s="2"/>
      </tp>
    </main>
    <main first="rtdsrv_a82eb5a1fc404542a18b1336b70d2c4e">
      <tp>
        <v>5</v>
        <stp/>
        <stp>bd1418d8-a066-4135-8392-e4b6bb395c0f</stp>
        <tr r="G8451" s="2"/>
      </tp>
    </main>
    <main first="rtdsrv_a82eb5a1fc404542a18b1336b70d2c4e">
      <tp>
        <v>5</v>
        <stp/>
        <stp>2aef5690-d263-4cc2-add3-ac869fec3d72</stp>
        <tr r="G7221" s="2"/>
      </tp>
      <tp>
        <v>5</v>
        <stp/>
        <stp>a22276b3-11f2-473d-bf0b-c76a53a17acd</stp>
        <tr r="G6956" s="2"/>
      </tp>
      <tp>
        <v>5</v>
        <stp/>
        <stp>44ec843d-e61a-44e4-b2ea-51e0067747da</stp>
        <tr r="G4701" s="2"/>
      </tp>
      <tp>
        <v>5</v>
        <stp/>
        <stp>522d4912-1e12-4dd9-95df-ac1c890bb966</stp>
        <tr r="G7587" s="2"/>
      </tp>
    </main>
    <main first="rtdsrv_a82eb5a1fc404542a18b1336b70d2c4e">
      <tp>
        <v>5</v>
        <stp/>
        <stp>f47593e2-4495-46af-befd-11ec6bb39d24</stp>
        <tr r="G9415" s="2"/>
      </tp>
      <tp>
        <v>5</v>
        <stp/>
        <stp>e8e529b8-82c9-401b-a67d-cbfd2810b21e</stp>
        <tr r="G3049" s="2"/>
      </tp>
    </main>
    <main first="rtdsrv_a82eb5a1fc404542a18b1336b70d2c4e">
      <tp>
        <v>5</v>
        <stp/>
        <stp>b4527d7a-ebf6-4c5d-90e9-262b309cd6ed</stp>
        <tr r="G4961" s="2"/>
      </tp>
    </main>
    <main first="rtdsrv_a82eb5a1fc404542a18b1336b70d2c4e">
      <tp>
        <v>5</v>
        <stp/>
        <stp>d320489a-9925-41c9-b08d-b24dd64b23ae</stp>
        <tr r="G9464" s="2"/>
      </tp>
    </main>
    <main first="rtdsrv_a82eb5a1fc404542a18b1336b70d2c4e">
      <tp>
        <v>5</v>
        <stp/>
        <stp>35b705e7-5e19-4e9c-8daf-016b6373012a</stp>
        <tr r="G5187" s="2"/>
      </tp>
    </main>
    <main first="rtdsrv_a82eb5a1fc404542a18b1336b70d2c4e">
      <tp>
        <v>5</v>
        <stp/>
        <stp>0acfdf63-ba83-4a10-9a45-fd0c7549f420</stp>
        <tr r="G5086" s="2"/>
      </tp>
      <tp>
        <v>5</v>
        <stp/>
        <stp>7dba4e3b-131d-4e22-8d6e-624485669722</stp>
        <tr r="G7300" s="2"/>
      </tp>
      <tp>
        <v>5</v>
        <stp/>
        <stp>fe6f5f9b-6abd-47e6-b20d-a731cc85dc17</stp>
        <tr r="G9887" s="2"/>
      </tp>
    </main>
    <main first="rtdsrv_a82eb5a1fc404542a18b1336b70d2c4e">
      <tp>
        <v>5</v>
        <stp/>
        <stp>a22720d4-0256-4edb-ba9a-29621aa9b5b6</stp>
        <tr r="G7291" s="2"/>
      </tp>
      <tp>
        <v>5</v>
        <stp/>
        <stp>cdfbe362-a373-43c2-9452-fd1c2b40c3d3</stp>
        <tr r="G5669" s="2"/>
      </tp>
    </main>
    <main first="rtdsrv_a82eb5a1fc404542a18b1336b70d2c4e">
      <tp>
        <v>5</v>
        <stp/>
        <stp>beb2e203-3ed5-41c1-aaff-2b4f8149fdac</stp>
        <tr r="G5009" s="2"/>
      </tp>
    </main>
    <main first="rtdsrv_a82eb5a1fc404542a18b1336b70d2c4e">
      <tp>
        <v>5</v>
        <stp/>
        <stp>a77542cd-e924-424f-b140-368b01eef10f</stp>
        <tr r="G9899" s="2"/>
      </tp>
    </main>
    <main first="rtdsrv_a82eb5a1fc404542a18b1336b70d2c4e">
      <tp>
        <v>5</v>
        <stp/>
        <stp>6abda9ac-552b-4847-8257-4d14863d7938</stp>
        <tr r="G2362" s="2"/>
      </tp>
    </main>
    <main first="rtdsrv_a82eb5a1fc404542a18b1336b70d2c4e">
      <tp>
        <v>5</v>
        <stp/>
        <stp>66ad3d67-0d15-48ea-a1f7-bab3ff522fce</stp>
        <tr r="G7495" s="2"/>
      </tp>
    </main>
    <main first="rtdsrv_a82eb5a1fc404542a18b1336b70d2c4e">
      <tp>
        <v>5</v>
        <stp/>
        <stp>859fc011-7f83-43d7-8bf3-f9a578530f8c</stp>
        <tr r="G5327" s="2"/>
      </tp>
      <tp>
        <v>5</v>
        <stp/>
        <stp>d11f9b00-a61f-4c0b-b9d3-49c3d9cea052</stp>
        <tr r="G2996" s="2"/>
      </tp>
      <tp>
        <v>5</v>
        <stp/>
        <stp>a1dd4cb5-70c8-4967-8572-b2d586b01e34</stp>
        <tr r="G2790" s="2"/>
      </tp>
    </main>
    <main first="rtdsrv_a82eb5a1fc404542a18b1336b70d2c4e">
      <tp>
        <v>5</v>
        <stp/>
        <stp>e4d8cb70-ef4a-46e2-b54b-c71ad54ea3ca</stp>
        <tr r="G2914" s="2"/>
      </tp>
    </main>
    <main first="rtdsrv_a82eb5a1fc404542a18b1336b70d2c4e">
      <tp>
        <v>5</v>
        <stp/>
        <stp>16540145-7639-4c5f-a51e-e5e49dc942e2</stp>
        <tr r="G2454" s="2"/>
      </tp>
      <tp>
        <v>5</v>
        <stp/>
        <stp>b8300dab-3c64-4a20-9ab0-b76cc84e5622</stp>
        <tr r="G3607" s="2"/>
      </tp>
      <tp>
        <v>5</v>
        <stp/>
        <stp>2ff34ff5-dcab-4982-a546-1f6e6ca2cc3a</stp>
        <tr r="G6172" s="2"/>
      </tp>
      <tp>
        <v>5</v>
        <stp/>
        <stp>bf229236-d18c-4dc3-ac5c-d65df1e27529</stp>
        <tr r="G710" s="2"/>
      </tp>
      <tp>
        <v>5</v>
        <stp/>
        <stp>50b446f3-b2c9-46ee-adaa-4c5ed6d17170</stp>
        <tr r="G4394" s="2"/>
      </tp>
    </main>
    <main first="rtdsrv_a82eb5a1fc404542a18b1336b70d2c4e">
      <tp>
        <v>5</v>
        <stp/>
        <stp>47c3b0f9-3242-45d1-80cd-63a89fb517ac</stp>
        <tr r="G1657" s="2"/>
      </tp>
    </main>
    <main first="rtdsrv_a82eb5a1fc404542a18b1336b70d2c4e">
      <tp>
        <v>5</v>
        <stp/>
        <stp>497e4560-5286-43cd-a114-7817565aff26</stp>
        <tr r="G3316" s="2"/>
      </tp>
      <tp>
        <v>5</v>
        <stp/>
        <stp>9b761c49-835d-43d5-9c4f-fd451ab9f91d</stp>
        <tr r="G6148" s="2"/>
      </tp>
    </main>
    <main first="rtdsrv_a82eb5a1fc404542a18b1336b70d2c4e">
      <tp>
        <v>5</v>
        <stp/>
        <stp>2c2c550d-50ac-488a-b3da-4a64ff513eb6</stp>
        <tr r="G822" s="2"/>
      </tp>
      <tp>
        <v>5</v>
        <stp/>
        <stp>93542691-dd02-4a7a-8aa0-a4af7d9e652f</stp>
        <tr r="G4749" s="2"/>
      </tp>
      <tp>
        <v>5</v>
        <stp/>
        <stp>20a8cb77-a52b-4a2b-984e-5f233bb8fedd</stp>
        <tr r="G697" s="2"/>
      </tp>
      <tp>
        <v>5</v>
        <stp/>
        <stp>997b9f1d-769a-4c2e-a083-6621a24d957b</stp>
        <tr r="G5214" s="2"/>
      </tp>
      <tp>
        <v>5</v>
        <stp/>
        <stp>4a33af91-0c13-4c16-a42e-ad7ca21a3a88</stp>
        <tr r="G9741" s="2"/>
      </tp>
      <tp>
        <v>5</v>
        <stp/>
        <stp>e07a26e2-a523-4ad4-9ab3-4209b62841d3</stp>
        <tr r="G376" s="2"/>
      </tp>
    </main>
    <main first="rtdsrv_a82eb5a1fc404542a18b1336b70d2c4e">
      <tp>
        <v>5</v>
        <stp/>
        <stp>59bd91c9-e493-43b0-bfe7-43ce191fa6ba</stp>
        <tr r="G9928" s="2"/>
      </tp>
      <tp>
        <v>5</v>
        <stp/>
        <stp>396698dd-5c93-4b4d-98f5-ce665c90b49a</stp>
        <tr r="G8085" s="2"/>
      </tp>
    </main>
    <main first="rtdsrv_a82eb5a1fc404542a18b1336b70d2c4e">
      <tp>
        <v>5</v>
        <stp/>
        <stp>566e9e6b-2e9f-4818-af87-f6255a62b2d1</stp>
        <tr r="G6281" s="2"/>
      </tp>
      <tp>
        <v>5</v>
        <stp/>
        <stp>85be90fb-0f17-4c7e-83ff-e33320250178</stp>
        <tr r="G9740" s="2"/>
      </tp>
      <tp>
        <v>5</v>
        <stp/>
        <stp>ff7fff0d-6371-429f-affa-143d03e5f51d</stp>
        <tr r="G4596" s="2"/>
      </tp>
      <tp>
        <v>5</v>
        <stp/>
        <stp>b123b5cd-af4f-4fd8-a8b0-ed45ff999985</stp>
        <tr r="G674" s="2"/>
      </tp>
    </main>
    <main first="rtdsrv_a82eb5a1fc404542a18b1336b70d2c4e">
      <tp>
        <v>5</v>
        <stp/>
        <stp>30310f7f-2702-44f7-84f5-4aa1afe00602</stp>
        <tr r="G4345" s="2"/>
      </tp>
    </main>
    <main first="rtdsrv_a82eb5a1fc404542a18b1336b70d2c4e">
      <tp>
        <v>5</v>
        <stp/>
        <stp>9537f42f-27c6-4997-b662-c77304634572</stp>
        <tr r="G3276" s="2"/>
      </tp>
    </main>
    <main first="rtdsrv_a82eb5a1fc404542a18b1336b70d2c4e">
      <tp>
        <v>5</v>
        <stp/>
        <stp>d1c513b5-83fc-48cd-8d35-79bb61f64a05</stp>
        <tr r="G18" s="2"/>
      </tp>
    </main>
    <main first="rtdsrv_a82eb5a1fc404542a18b1336b70d2c4e">
      <tp>
        <v>5</v>
        <stp/>
        <stp>f3e9f1af-d334-4104-8306-874b20247a42</stp>
        <tr r="G6906" s="2"/>
      </tp>
    </main>
    <main first="rtdsrv_a82eb5a1fc404542a18b1336b70d2c4e">
      <tp>
        <v>5</v>
        <stp/>
        <stp>4f65e637-8a42-476f-89f0-98b12173ee27</stp>
        <tr r="G6828" s="2"/>
      </tp>
    </main>
    <main first="rtdsrv_a82eb5a1fc404542a18b1336b70d2c4e">
      <tp>
        <v>5</v>
        <stp/>
        <stp>c3f6d38c-99b3-4245-95ff-977b48d0daac</stp>
        <tr r="G4582" s="2"/>
      </tp>
    </main>
    <main first="rtdsrv_a82eb5a1fc404542a18b1336b70d2c4e">
      <tp>
        <v>5</v>
        <stp/>
        <stp>03c07842-6d64-4af2-b590-d4f33e333cec</stp>
        <tr r="G3737" s="2"/>
      </tp>
      <tp>
        <v>5</v>
        <stp/>
        <stp>c4507169-1837-436c-b0c1-438e263b6529</stp>
        <tr r="G5326" s="2"/>
      </tp>
    </main>
    <main first="rtdsrv_a82eb5a1fc404542a18b1336b70d2c4e">
      <tp>
        <v>5</v>
        <stp/>
        <stp>7855a453-0b69-4c5e-ac80-3c7577f3410a</stp>
        <tr r="G7074" s="2"/>
      </tp>
      <tp>
        <v>5</v>
        <stp/>
        <stp>e23a18fa-e786-444c-af1c-17a607d9c973</stp>
        <tr r="G4693" s="2"/>
      </tp>
      <tp>
        <v>5</v>
        <stp/>
        <stp>517acfe6-c5a3-45df-858c-6ab2890df6e1</stp>
        <tr r="G5323" s="2"/>
      </tp>
    </main>
    <main first="rtdsrv_a82eb5a1fc404542a18b1336b70d2c4e">
      <tp>
        <v>5</v>
        <stp/>
        <stp>f84c7af2-b38b-4a90-9b3f-1678723c7805</stp>
        <tr r="G7853" s="2"/>
      </tp>
    </main>
    <main first="rtdsrv_a82eb5a1fc404542a18b1336b70d2c4e">
      <tp>
        <v>5</v>
        <stp/>
        <stp>14ebc788-e3c7-42d5-9d81-2c5664e068c1</stp>
        <tr r="G3318" s="2"/>
      </tp>
    </main>
    <main first="rtdsrv_a82eb5a1fc404542a18b1336b70d2c4e">
      <tp>
        <v>5</v>
        <stp/>
        <stp>8be561ff-1c81-4293-880b-27828f08a4fa</stp>
        <tr r="G4730" s="2"/>
      </tp>
      <tp>
        <v>5</v>
        <stp/>
        <stp>a337a3fb-c850-4aad-8f6b-6ce290695f08</stp>
        <tr r="G2131" s="2"/>
      </tp>
      <tp>
        <v>5</v>
        <stp/>
        <stp>e849f18c-8e82-4410-9c0a-6b2d24deec2e</stp>
        <tr r="G1643" s="2"/>
      </tp>
      <tp>
        <v>5</v>
        <stp/>
        <stp>1cf4245d-4265-454b-a265-edf1e3f5ed8c</stp>
        <tr r="G8470" s="2"/>
      </tp>
    </main>
    <main first="rtdsrv_a82eb5a1fc404542a18b1336b70d2c4e">
      <tp>
        <v>5</v>
        <stp/>
        <stp>b3cb7451-6ce4-4f64-b200-0cf27e8e0775</stp>
        <tr r="G4039" s="2"/>
      </tp>
      <tp>
        <v>5</v>
        <stp/>
        <stp>ff7a7cc2-d9d5-45dd-aa32-561925530179</stp>
        <tr r="G4960" s="2"/>
      </tp>
    </main>
    <main first="rtdsrv_a82eb5a1fc404542a18b1336b70d2c4e">
      <tp>
        <v>5</v>
        <stp/>
        <stp>1093b649-a569-4abc-8c47-4a718de5d110</stp>
        <tr r="G3329" s="2"/>
      </tp>
      <tp>
        <v>5</v>
        <stp/>
        <stp>6472ff38-0040-4a96-9038-d37b0bd7523b</stp>
        <tr r="G2926" s="2"/>
      </tp>
      <tp>
        <v>5</v>
        <stp/>
        <stp>0d158a8f-5e13-458e-bda3-2e253d04911f</stp>
        <tr r="G5094" s="2"/>
      </tp>
    </main>
    <main first="rtdsrv_a82eb5a1fc404542a18b1336b70d2c4e">
      <tp>
        <v>5</v>
        <stp/>
        <stp>5b75d26d-ad05-4151-8839-061a5190f08c</stp>
        <tr r="G6746" s="2"/>
      </tp>
      <tp>
        <v>5</v>
        <stp/>
        <stp>6a63db5f-1904-4e47-9eb9-b3db3b817231</stp>
        <tr r="G2244" s="2"/>
      </tp>
      <tp>
        <v>5</v>
        <stp/>
        <stp>8cf771ce-ef93-46fb-b0fd-1180a0ff6652</stp>
        <tr r="G4782" s="2"/>
      </tp>
    </main>
    <main first="rtdsrv_a82eb5a1fc404542a18b1336b70d2c4e">
      <tp>
        <v>5</v>
        <stp/>
        <stp>0bf0e3f6-60e6-462d-862c-6d8c94390e59</stp>
        <tr r="G6319" s="2"/>
      </tp>
      <tp>
        <v>5</v>
        <stp/>
        <stp>8de63e29-f655-48ae-b2b0-f1389b90676f</stp>
        <tr r="G9183" s="2"/>
      </tp>
      <tp>
        <v>5</v>
        <stp/>
        <stp>20cc6b30-4d4b-475e-8508-97d191fd61c5</stp>
        <tr r="G4688" s="2"/>
      </tp>
    </main>
    <main first="rtdsrv_a82eb5a1fc404542a18b1336b70d2c4e">
      <tp>
        <v>5</v>
        <stp/>
        <stp>9d84f1d4-5b3d-4cec-8037-25dcf259c358</stp>
        <tr r="G721" s="2"/>
      </tp>
    </main>
    <main first="rtdsrv_a82eb5a1fc404542a18b1336b70d2c4e">
      <tp>
        <v>5</v>
        <stp/>
        <stp>6c27138a-93c6-480d-88af-5a9220380984</stp>
        <tr r="G8189" s="2"/>
      </tp>
    </main>
    <main first="rtdsrv_a82eb5a1fc404542a18b1336b70d2c4e">
      <tp>
        <v>5</v>
        <stp/>
        <stp>a1213f96-331a-4373-b5ed-01ddbfc1fa6b</stp>
        <tr r="G6823" s="2"/>
      </tp>
    </main>
    <main first="rtdsrv_a82eb5a1fc404542a18b1336b70d2c4e">
      <tp>
        <v>5</v>
        <stp/>
        <stp>946c6df8-c804-4e25-b5cf-9ce076582437</stp>
        <tr r="G715" s="2"/>
      </tp>
      <tp>
        <v>5</v>
        <stp/>
        <stp>12a2c903-018a-427f-969c-5b54fac3dc8f</stp>
        <tr r="G983" s="2"/>
      </tp>
      <tp>
        <v>5</v>
        <stp/>
        <stp>843612e6-0c77-4cf0-88d9-66dc925a8b02</stp>
        <tr r="G6056" s="2"/>
      </tp>
    </main>
    <main first="rtdsrv_a82eb5a1fc404542a18b1336b70d2c4e">
      <tp>
        <v>5</v>
        <stp/>
        <stp>9eb3968b-ec13-4db6-8102-de35e4e1ee0e</stp>
        <tr r="G6101" s="2"/>
      </tp>
      <tp>
        <v>5</v>
        <stp/>
        <stp>2522ee9b-4a6e-4cef-9d6a-ea67d4bbae26</stp>
        <tr r="G816" s="2"/>
      </tp>
    </main>
    <main first="rtdsrv_a82eb5a1fc404542a18b1336b70d2c4e">
      <tp>
        <v>5</v>
        <stp/>
        <stp>81461e7c-657a-42b3-94ef-e5073f557c83</stp>
        <tr r="G1706" s="2"/>
      </tp>
      <tp>
        <v>5</v>
        <stp/>
        <stp>2f9cc13a-8f25-44b6-8c07-8ebe415989a9</stp>
        <tr r="G5976" s="2"/>
      </tp>
    </main>
    <main first="rtdsrv_a82eb5a1fc404542a18b1336b70d2c4e">
      <tp>
        <v>5</v>
        <stp/>
        <stp>7c8421c6-5ccd-4434-8c1f-8e016b0a7a09</stp>
        <tr r="G1192" s="2"/>
      </tp>
      <tp>
        <v>5</v>
        <stp/>
        <stp>fa9372a3-3495-473c-9b04-421af05d7524</stp>
        <tr r="G9435" s="2"/>
      </tp>
      <tp>
        <v>5</v>
        <stp/>
        <stp>71553a17-efeb-46ff-ba5f-e28c9b1b92c5</stp>
        <tr r="G8137" s="2"/>
      </tp>
      <tp>
        <v>5</v>
        <stp/>
        <stp>129a442f-d3d4-4d84-a171-532f8bd09417</stp>
        <tr r="G3703" s="2"/>
      </tp>
    </main>
    <main first="rtdsrv_a82eb5a1fc404542a18b1336b70d2c4e">
      <tp>
        <v>5</v>
        <stp/>
        <stp>42b01c9f-b6e5-4efa-9514-1b521325b60d</stp>
        <tr r="G5631" s="2"/>
      </tp>
    </main>
    <main first="rtdsrv_a82eb5a1fc404542a18b1336b70d2c4e">
      <tp>
        <v>5</v>
        <stp/>
        <stp>f778ee0c-04c9-491e-9913-914271cca29c</stp>
        <tr r="G1490" s="2"/>
      </tp>
    </main>
    <main first="rtdsrv_a82eb5a1fc404542a18b1336b70d2c4e">
      <tp>
        <v>5</v>
        <stp/>
        <stp>e98e6787-6dba-4017-b4e3-5888ad612279</stp>
        <tr r="G6925" s="2"/>
      </tp>
      <tp>
        <v>5</v>
        <stp/>
        <stp>92146afe-4671-4d1b-8756-029295ebf3e4</stp>
        <tr r="G5192" s="2"/>
      </tp>
    </main>
    <main first="rtdsrv_a82eb5a1fc404542a18b1336b70d2c4e">
      <tp>
        <v>5</v>
        <stp/>
        <stp>88a4873b-08ed-472b-8b58-205348043d9c</stp>
        <tr r="G7246" s="2"/>
      </tp>
    </main>
    <main first="rtdsrv_a82eb5a1fc404542a18b1336b70d2c4e">
      <tp>
        <v>5</v>
        <stp/>
        <stp>bfbbb27c-5745-4513-943a-c3b6758fbc73</stp>
        <tr r="G6005" s="2"/>
      </tp>
    </main>
    <main first="rtdsrv_a82eb5a1fc404542a18b1336b70d2c4e">
      <tp>
        <v>5</v>
        <stp/>
        <stp>f26526d9-2452-4bb3-8df8-7beb0c755fc1</stp>
        <tr r="G9986" s="2"/>
      </tp>
      <tp>
        <v>5</v>
        <stp/>
        <stp>ca1fabfc-4632-4c18-9708-05888780596e</stp>
        <tr r="G544" s="2"/>
      </tp>
      <tp>
        <v>5</v>
        <stp/>
        <stp>ba702196-4abf-40ae-a8b0-83a580a7ad05</stp>
        <tr r="G4935" s="2"/>
      </tp>
      <tp>
        <v>5</v>
        <stp/>
        <stp>225af722-7a91-42fb-8054-d07d9e973430</stp>
        <tr r="G3388" s="2"/>
      </tp>
      <tp>
        <v>5</v>
        <stp/>
        <stp>37c20833-dcf0-48ad-b1e1-3e7683bbf88f</stp>
        <tr r="G520" s="2"/>
      </tp>
    </main>
    <main first="rtdsrv_a82eb5a1fc404542a18b1336b70d2c4e">
      <tp>
        <v>5</v>
        <stp/>
        <stp>e6fdbae7-3625-436b-8012-8bb0dd22958c</stp>
        <tr r="G5927" s="2"/>
      </tp>
      <tp>
        <v>5</v>
        <stp/>
        <stp>2aa7bf29-2790-4303-a349-387d68092653</stp>
        <tr r="G8126" s="2"/>
      </tp>
      <tp>
        <v>5</v>
        <stp/>
        <stp>730e71e8-d0e8-4096-bdab-e4963870d9f8</stp>
        <tr r="G5863" s="2"/>
      </tp>
    </main>
    <main first="rtdsrv_a82eb5a1fc404542a18b1336b70d2c4e">
      <tp>
        <v>5</v>
        <stp/>
        <stp>4dcc5467-ce87-4dbf-aec9-f5e91a4b2f7d</stp>
        <tr r="G4490" s="2"/>
      </tp>
    </main>
    <main first="rtdsrv_a82eb5a1fc404542a18b1336b70d2c4e">
      <tp>
        <v>5</v>
        <stp/>
        <stp>19635986-d5b6-4a58-bbb4-4c0f8adfd845</stp>
        <tr r="G4623" s="2"/>
      </tp>
    </main>
    <main first="rtdsrv_a82eb5a1fc404542a18b1336b70d2c4e">
      <tp>
        <v>5</v>
        <stp/>
        <stp>e1ca0466-43b4-4941-bf3a-2334f282b6c5</stp>
        <tr r="G1184" s="2"/>
      </tp>
      <tp>
        <v>5</v>
        <stp/>
        <stp>56f193e0-dc28-4de9-a48d-ebb80692600b</stp>
        <tr r="G5876" s="2"/>
      </tp>
    </main>
    <main first="rtdsrv_a82eb5a1fc404542a18b1336b70d2c4e">
      <tp>
        <v>5</v>
        <stp/>
        <stp>82e76c8e-7c66-47bf-adf4-227affc6e66b</stp>
        <tr r="G9606" s="2"/>
      </tp>
      <tp>
        <v>5</v>
        <stp/>
        <stp>70fdd1e5-6846-4ec8-a7b6-626f2c6158e5</stp>
        <tr r="G5606" s="2"/>
      </tp>
      <tp>
        <v>5</v>
        <stp/>
        <stp>c240fb8f-72a1-46d3-bbc5-8d21deafc208</stp>
        <tr r="G7188" s="2"/>
      </tp>
      <tp>
        <v>5</v>
        <stp/>
        <stp>da67ff56-78ab-43f0-a5a3-b2f12de863c5</stp>
        <tr r="G3035" s="2"/>
      </tp>
    </main>
    <main first="rtdsrv_a82eb5a1fc404542a18b1336b70d2c4e">
      <tp>
        <v>5</v>
        <stp/>
        <stp>1c979bad-3a07-41ff-a394-ae48044748e6</stp>
        <tr r="G7493" s="2"/>
      </tp>
    </main>
    <main first="rtdsrv_a82eb5a1fc404542a18b1336b70d2c4e">
      <tp>
        <v>5</v>
        <stp/>
        <stp>cb510d3b-9c61-46e7-84fc-dacd688f6358</stp>
        <tr r="G6520" s="2"/>
      </tp>
      <tp>
        <v>5</v>
        <stp/>
        <stp>bb45a4af-7c73-460c-beb8-fcd9547a7359</stp>
        <tr r="G7574" s="2"/>
      </tp>
    </main>
    <main first="rtdsrv_a82eb5a1fc404542a18b1336b70d2c4e">
      <tp>
        <v>5</v>
        <stp/>
        <stp>7f2d072c-a981-43db-9a7c-f0ac53ae4b2a</stp>
        <tr r="G6313" s="2"/>
      </tp>
    </main>
    <main first="rtdsrv_a82eb5a1fc404542a18b1336b70d2c4e">
      <tp>
        <v>5</v>
        <stp/>
        <stp>2e5fa51e-ea89-48b6-909e-e9eb6c9b6d4f</stp>
        <tr r="G4463" s="2"/>
      </tp>
      <tp>
        <v>5</v>
        <stp/>
        <stp>4bc149b5-6957-43cd-9675-d80e00e1e202</stp>
        <tr r="G8570" s="2"/>
      </tp>
      <tp>
        <v>5</v>
        <stp/>
        <stp>13616e56-73c8-41ad-9d2b-b197133d810b</stp>
        <tr r="G9701" s="2"/>
      </tp>
      <tp>
        <v>5</v>
        <stp/>
        <stp>c83ec906-08b4-4f03-9a21-1b905bcea48e</stp>
        <tr r="G4452" s="2"/>
      </tp>
      <tp>
        <v>5</v>
        <stp/>
        <stp>c924d779-aa02-46b8-ac69-42d70b4ca5ea</stp>
        <tr r="G6029" s="2"/>
      </tp>
      <tp>
        <v>5</v>
        <stp/>
        <stp>1cce07a8-fe8e-485f-b7e9-6552645f9464</stp>
        <tr r="G4417" s="2"/>
      </tp>
    </main>
    <main first="rtdsrv_a82eb5a1fc404542a18b1336b70d2c4e">
      <tp>
        <v>5</v>
        <stp/>
        <stp>b581e686-5160-4952-b9a9-9040b7045fd7</stp>
        <tr r="G2566" s="2"/>
      </tp>
      <tp>
        <v>5</v>
        <stp/>
        <stp>1f839c76-6b90-47bc-8c92-3ae8b5ec0972</stp>
        <tr r="G1875" s="2"/>
      </tp>
      <tp>
        <v>5</v>
        <stp/>
        <stp>ec3c4755-f60f-4b40-a6c8-c1118a2b15b3</stp>
        <tr r="G1831" s="2"/>
      </tp>
      <tp>
        <v>5</v>
        <stp/>
        <stp>8349819f-c052-4e2a-8b25-7543d035d3f7</stp>
        <tr r="G4174" s="2"/>
      </tp>
      <tp>
        <v>5</v>
        <stp/>
        <stp>cd8db81f-ab2e-42a1-8545-19345c211f68</stp>
        <tr r="G3608" s="2"/>
      </tp>
      <tp>
        <v>5</v>
        <stp/>
        <stp>9f82321b-96da-4d9b-8f9f-9767316d2408</stp>
        <tr r="G1125" s="2"/>
      </tp>
      <tp>
        <v>5</v>
        <stp/>
        <stp>c6c74c64-04e8-4e2c-973f-0045d691d7c3</stp>
        <tr r="G2388" s="2"/>
      </tp>
      <tp>
        <v>5</v>
        <stp/>
        <stp>0c410a87-4e29-4ac1-97a0-be35cd35ec0a</stp>
        <tr r="G2462" s="2"/>
      </tp>
    </main>
    <main first="rtdsrv_a82eb5a1fc404542a18b1336b70d2c4e">
      <tp>
        <v>5</v>
        <stp/>
        <stp>46b67364-97ff-40b4-a011-ab809fe829f4</stp>
        <tr r="G7170" s="2"/>
      </tp>
      <tp>
        <v>5</v>
        <stp/>
        <stp>eadbddfd-4ad5-4184-a287-b9844a24fa78</stp>
        <tr r="G3790" s="2"/>
      </tp>
      <tp>
        <v>5</v>
        <stp/>
        <stp>3d20346a-8d34-4906-83ef-89956e369ce4</stp>
        <tr r="G7371" s="2"/>
      </tp>
      <tp>
        <v>5</v>
        <stp/>
        <stp>71801c3e-2dc6-4fd0-a908-419f01501d20</stp>
        <tr r="G2721" s="2"/>
      </tp>
    </main>
    <main first="rtdsrv_a82eb5a1fc404542a18b1336b70d2c4e">
      <tp>
        <v>5</v>
        <stp/>
        <stp>83a247c3-c8d3-447f-a5f7-37ae2bccb6e0</stp>
        <tr r="G2349" s="2"/>
      </tp>
      <tp>
        <v>5</v>
        <stp/>
        <stp>d4addce5-088b-4124-9c4d-742594bb4cb7</stp>
        <tr r="G7956" s="2"/>
      </tp>
    </main>
    <main first="rtdsrv_a82eb5a1fc404542a18b1336b70d2c4e">
      <tp>
        <v>5</v>
        <stp/>
        <stp>42151716-4cb0-4cfd-9ca3-e75dce7d2b88</stp>
        <tr r="G5074" s="2"/>
      </tp>
      <tp>
        <v>5</v>
        <stp/>
        <stp>d6bf5894-5cda-4e68-b025-eaf0c729bc34</stp>
        <tr r="G2576" s="2"/>
      </tp>
      <tp>
        <v>5</v>
        <stp/>
        <stp>2ac47c49-3e53-4323-b1c9-3037fb7ab7e2</stp>
        <tr r="G8302" s="2"/>
      </tp>
      <tp>
        <v>5</v>
        <stp/>
        <stp>1232ba20-dbe0-44a7-91c6-bed0069064ba</stp>
        <tr r="G7218" s="2"/>
      </tp>
      <tp>
        <v>5</v>
        <stp/>
        <stp>58f09710-4624-4e50-9700-c18309188723</stp>
        <tr r="G1663" s="2"/>
      </tp>
      <tp>
        <v>5</v>
        <stp/>
        <stp>cd07a49a-23e3-4c0e-ba6d-58fe951028c6</stp>
        <tr r="G4203" s="2"/>
      </tp>
      <tp>
        <v>5</v>
        <stp/>
        <stp>72acda99-2651-4a74-861e-93c39e6d2643</stp>
        <tr r="G1381" s="2"/>
      </tp>
    </main>
    <main first="rtdsrv_a82eb5a1fc404542a18b1336b70d2c4e">
      <tp>
        <v>5</v>
        <stp/>
        <stp>dd847560-0fa8-4b55-8ac5-635ea276d254</stp>
        <tr r="G5965" s="2"/>
      </tp>
    </main>
    <main first="rtdsrv_a82eb5a1fc404542a18b1336b70d2c4e">
      <tp>
        <v>5</v>
        <stp/>
        <stp>c0cc31b4-476e-49d6-b5e8-bff5d7a113ce</stp>
        <tr r="G5590" s="2"/>
      </tp>
      <tp>
        <v>5</v>
        <stp/>
        <stp>3cf5b6c9-98ce-41b3-8ddf-6c3149b3feac</stp>
        <tr r="G5615" s="2"/>
      </tp>
    </main>
    <main first="rtdsrv_a82eb5a1fc404542a18b1336b70d2c4e">
      <tp>
        <v>5</v>
        <stp/>
        <stp>f92a0099-2674-4ae9-98a6-39f3381b5f7d</stp>
        <tr r="G5575" s="2"/>
      </tp>
    </main>
    <main first="rtdsrv_a82eb5a1fc404542a18b1336b70d2c4e">
      <tp>
        <v>5</v>
        <stp/>
        <stp>b6656df8-0f74-4f5a-b9da-7e9a7267743c</stp>
        <tr r="G3864" s="2"/>
      </tp>
    </main>
    <main first="rtdsrv_a82eb5a1fc404542a18b1336b70d2c4e">
      <tp>
        <v>5</v>
        <stp/>
        <stp>aa3def88-0fec-43cd-8a4d-957f0c0ce5eb</stp>
        <tr r="G2047" s="2"/>
      </tp>
    </main>
    <main first="rtdsrv_a82eb5a1fc404542a18b1336b70d2c4e">
      <tp>
        <v>5</v>
        <stp/>
        <stp>319c42d0-0c2c-40fd-bf30-dae6b5a874ad</stp>
        <tr r="G7885" s="2"/>
      </tp>
    </main>
    <main first="rtdsrv_a82eb5a1fc404542a18b1336b70d2c4e">
      <tp>
        <v>5</v>
        <stp/>
        <stp>29229649-9849-4307-9211-c37b43e2b49a</stp>
        <tr r="G8387" s="2"/>
      </tp>
    </main>
    <main first="rtdsrv_a82eb5a1fc404542a18b1336b70d2c4e">
      <tp>
        <v>5</v>
        <stp/>
        <stp>bf83e922-25eb-4396-a71c-888de0ef6fe1</stp>
        <tr r="G7455" s="2"/>
      </tp>
    </main>
    <main first="rtdsrv_a82eb5a1fc404542a18b1336b70d2c4e">
      <tp>
        <v>5</v>
        <stp/>
        <stp>3f79d0bc-9a83-4ae8-a512-c636967ffbf2</stp>
        <tr r="G6573" s="2"/>
      </tp>
      <tp>
        <v>5</v>
        <stp/>
        <stp>e27154bb-d25b-47c3-86db-840986d3835a</stp>
        <tr r="G6316" s="2"/>
      </tp>
    </main>
    <main first="rtdsrv_a82eb5a1fc404542a18b1336b70d2c4e">
      <tp>
        <v>5</v>
        <stp/>
        <stp>7fcdcc75-02ae-4e7d-a31a-1ca2a304d42d</stp>
        <tr r="G9472" s="2"/>
      </tp>
      <tp>
        <v>5</v>
        <stp/>
        <stp>7eee26eb-42f5-472f-83f6-2804ccc8b833</stp>
        <tr r="G8655" s="2"/>
      </tp>
      <tp>
        <v>5</v>
        <stp/>
        <stp>77457745-b37b-41a5-8b0f-e53c7af1b7d0</stp>
        <tr r="G3688" s="2"/>
      </tp>
    </main>
    <main first="rtdsrv_a82eb5a1fc404542a18b1336b70d2c4e">
      <tp>
        <v>5</v>
        <stp/>
        <stp>a2c8ea5e-fe72-4dbc-97a9-6b8e5df93504</stp>
        <tr r="G5887" s="2"/>
      </tp>
    </main>
    <main first="rtdsrv_a82eb5a1fc404542a18b1336b70d2c4e">
      <tp>
        <v>5</v>
        <stp/>
        <stp>7d5b0d89-a8f5-42ac-8c42-ce084f1381bc</stp>
        <tr r="G2737" s="2"/>
      </tp>
    </main>
    <main first="rtdsrv_a82eb5a1fc404542a18b1336b70d2c4e">
      <tp>
        <v>5</v>
        <stp/>
        <stp>99608d0b-1612-4f35-9d9e-3fdd54bf267d</stp>
        <tr r="G6864" s="2"/>
      </tp>
    </main>
    <main first="rtdsrv_a82eb5a1fc404542a18b1336b70d2c4e">
      <tp>
        <v>5</v>
        <stp/>
        <stp>dabc4baf-dd1a-42e2-a801-8a1f02f342d5</stp>
        <tr r="G7621" s="2"/>
      </tp>
      <tp>
        <v>5</v>
        <stp/>
        <stp>c10fa723-7b52-4ff4-af27-5df2f62bdaf0</stp>
        <tr r="G7376" s="2"/>
      </tp>
      <tp>
        <v>5</v>
        <stp/>
        <stp>0b373cef-3469-40b0-a56d-550cd252c7ff</stp>
        <tr r="G8963" s="2"/>
      </tp>
      <tp>
        <v>5</v>
        <stp/>
        <stp>25ecf43a-b3f3-474e-aafa-c0a12a874587</stp>
        <tr r="G2453" s="2"/>
      </tp>
    </main>
    <main first="rtdsrv_a82eb5a1fc404542a18b1336b70d2c4e">
      <tp>
        <v>5</v>
        <stp/>
        <stp>5dd75931-0a3e-45e4-a17b-e64ac9226e79</stp>
        <tr r="G7889" s="2"/>
      </tp>
    </main>
    <main first="rtdsrv_a82eb5a1fc404542a18b1336b70d2c4e">
      <tp>
        <v>5</v>
        <stp/>
        <stp>0275ace7-33f7-4983-b70c-52a8b2dbceb1</stp>
        <tr r="G2040" s="2"/>
      </tp>
    </main>
    <main first="rtdsrv_a82eb5a1fc404542a18b1336b70d2c4e">
      <tp>
        <v>5</v>
        <stp/>
        <stp>8cc8d84e-92e7-4ca2-85e2-22300ada1bed</stp>
        <tr r="G5014" s="2"/>
      </tp>
      <tp>
        <v>5</v>
        <stp/>
        <stp>deac839b-96e4-4263-90ce-d0ec2832c38b</stp>
        <tr r="G451" s="2"/>
      </tp>
      <tp>
        <v>5</v>
        <stp/>
        <stp>dfef4cec-e878-4a96-87b7-a59f15d7107e</stp>
        <tr r="G2823" s="2"/>
      </tp>
      <tp>
        <v>5</v>
        <stp/>
        <stp>d04806cb-13ae-4325-ae66-bd7b55760a7e</stp>
        <tr r="G10001" s="2"/>
      </tp>
    </main>
    <main first="rtdsrv_a82eb5a1fc404542a18b1336b70d2c4e">
      <tp>
        <v>5</v>
        <stp/>
        <stp>01e3bd12-d8bf-427c-a9c0-284a7575e89a</stp>
        <tr r="G5789" s="2"/>
      </tp>
      <tp>
        <v>5</v>
        <stp/>
        <stp>97e98af8-4ac9-45bb-917c-7e7f24c4cb39</stp>
        <tr r="G8077" s="2"/>
      </tp>
    </main>
    <main first="rtdsrv_a82eb5a1fc404542a18b1336b70d2c4e">
      <tp>
        <v>5</v>
        <stp/>
        <stp>156f50ef-336b-4ebd-b106-06e1e2caeb6f</stp>
        <tr r="G2109" s="2"/>
      </tp>
      <tp>
        <v>5</v>
        <stp/>
        <stp>4a7f407b-173c-435f-a47e-75fc644d04fb</stp>
        <tr r="G3322" s="2"/>
      </tp>
      <tp>
        <v>5</v>
        <stp/>
        <stp>7f41c0a3-8b82-4e24-b7d2-6227f103a9a9</stp>
        <tr r="G1206" s="2"/>
      </tp>
      <tp>
        <v>5</v>
        <stp/>
        <stp>74beafd4-35b9-4475-9166-fcc816fac3ff</stp>
        <tr r="G6329" s="2"/>
      </tp>
    </main>
    <main first="rtdsrv_a82eb5a1fc404542a18b1336b70d2c4e">
      <tp>
        <v>5</v>
        <stp/>
        <stp>7dd21ec0-efd0-4379-a92f-23fb096d8a10</stp>
        <tr r="G2236" s="2"/>
      </tp>
      <tp>
        <v>5</v>
        <stp/>
        <stp>fb3ddda7-5832-42a3-8518-ed72f00daa32</stp>
        <tr r="G8973" s="2"/>
      </tp>
    </main>
    <main first="rtdsrv_a82eb5a1fc404542a18b1336b70d2c4e">
      <tp>
        <v>5</v>
        <stp/>
        <stp>8c1e39fe-5e0a-4198-bf3f-d1aaac6282e8</stp>
        <tr r="G2581" s="2"/>
      </tp>
      <tp>
        <v>5</v>
        <stp/>
        <stp>9f63c3f6-b549-4cf7-b13f-2961681926b2</stp>
        <tr r="G2990" s="2"/>
      </tp>
    </main>
    <main first="rtdsrv_a82eb5a1fc404542a18b1336b70d2c4e">
      <tp>
        <v>5</v>
        <stp/>
        <stp>c4215675-6771-4f6d-825b-ad704f909c8f</stp>
        <tr r="G47" s="2"/>
      </tp>
      <tp>
        <v>5</v>
        <stp/>
        <stp>3626f348-e1bc-4f5e-8b3d-eac47be7c13f</stp>
        <tr r="G4145" s="2"/>
      </tp>
      <tp>
        <v>5</v>
        <stp/>
        <stp>a564b6af-35d2-401c-b7ee-320ffde3fd4f</stp>
        <tr r="G2623" s="2"/>
      </tp>
      <tp>
        <v>5</v>
        <stp/>
        <stp>dd2b8bcc-ec4f-4171-ac85-12ea0d62b82a</stp>
        <tr r="G5019" s="2"/>
      </tp>
    </main>
    <main first="rtdsrv_a82eb5a1fc404542a18b1336b70d2c4e">
      <tp>
        <v>5</v>
        <stp/>
        <stp>5edb914f-db5c-4757-aa23-8cf171ee8cdb</stp>
        <tr r="G3671" s="2"/>
      </tp>
      <tp>
        <v>5</v>
        <stp/>
        <stp>9fb9d976-67b4-4345-93c5-f8d1f7b32476</stp>
        <tr r="G4758" s="2"/>
      </tp>
    </main>
    <main first="rtdsrv_a82eb5a1fc404542a18b1336b70d2c4e">
      <tp>
        <v>5</v>
        <stp/>
        <stp>d2764ecd-0c02-41e8-9de5-f6df39dcd1d3</stp>
        <tr r="G5378" s="2"/>
      </tp>
      <tp>
        <v>5</v>
        <stp/>
        <stp>3651f74f-cdd2-44f3-a06d-b238a2e7bc14</stp>
        <tr r="G2516" s="2"/>
      </tp>
    </main>
    <main first="rtdsrv_a82eb5a1fc404542a18b1336b70d2c4e">
      <tp>
        <v>5</v>
        <stp/>
        <stp>05ab8faa-c4f4-464a-b72e-bfb8197bb8b5</stp>
        <tr r="G8650" s="2"/>
      </tp>
      <tp>
        <v>5</v>
        <stp/>
        <stp>bb768a7b-0798-4737-bed4-4338120a7ef9</stp>
        <tr r="G2125" s="2"/>
      </tp>
      <tp>
        <v>5</v>
        <stp/>
        <stp>31f7459f-b9b2-4593-92a7-3926e811e14b</stp>
        <tr r="G8718" s="2"/>
      </tp>
    </main>
    <main first="rtdsrv_a82eb5a1fc404542a18b1336b70d2c4e">
      <tp>
        <v>5</v>
        <stp/>
        <stp>ac30b6b0-259f-4f41-b337-da2c884fe83c</stp>
        <tr r="G9915" s="2"/>
      </tp>
    </main>
    <main first="rtdsrv_a82eb5a1fc404542a18b1336b70d2c4e">
      <tp>
        <v>5</v>
        <stp/>
        <stp>e0ca5b4b-8b05-4b34-a590-6be236c677d7</stp>
        <tr r="G9605" s="2"/>
      </tp>
    </main>
    <main first="rtdsrv_a82eb5a1fc404542a18b1336b70d2c4e">
      <tp>
        <v>5</v>
        <stp/>
        <stp>355f7d47-84cc-4d19-930e-7c716721c02a</stp>
        <tr r="G4271" s="2"/>
      </tp>
    </main>
    <main first="rtdsrv_a82eb5a1fc404542a18b1336b70d2c4e">
      <tp>
        <v>5</v>
        <stp/>
        <stp>c03d200f-b7d3-44a6-a407-9bbfdc304a52</stp>
        <tr r="G9160" s="2"/>
      </tp>
    </main>
    <main first="rtdsrv_a82eb5a1fc404542a18b1336b70d2c4e">
      <tp>
        <v>5</v>
        <stp/>
        <stp>478f911b-cc38-4546-80cd-7c7d02f21e80</stp>
        <tr r="G9227" s="2"/>
      </tp>
    </main>
    <main first="rtdsrv_a82eb5a1fc404542a18b1336b70d2c4e">
      <tp>
        <v>5</v>
        <stp/>
        <stp>7b711168-239d-4cec-8d35-c113ffe71b46</stp>
        <tr r="G1989" s="2"/>
      </tp>
      <tp>
        <v>5</v>
        <stp/>
        <stp>613c1fcc-4ea6-416b-8de9-5a1166cba79b</stp>
        <tr r="G3002" s="2"/>
      </tp>
    </main>
    <main first="rtdsrv_a82eb5a1fc404542a18b1336b70d2c4e">
      <tp>
        <v>5</v>
        <stp/>
        <stp>4d1ad30a-0311-4e30-b127-46cd6604ba6b</stp>
        <tr r="G3989" s="2"/>
      </tp>
      <tp>
        <v>5</v>
        <stp/>
        <stp>8638ede0-92ff-4e12-b383-6898ae90787a</stp>
        <tr r="G9394" s="2"/>
      </tp>
      <tp>
        <v>5</v>
        <stp/>
        <stp>96bce3c1-d2a1-4675-be35-3734fbbb3671</stp>
        <tr r="G4122" s="2"/>
      </tp>
    </main>
    <main first="rtdsrv_a82eb5a1fc404542a18b1336b70d2c4e">
      <tp>
        <v>5</v>
        <stp/>
        <stp>0aa4a4ff-41c7-484b-84cc-57526bfda1ff</stp>
        <tr r="G6050" s="2"/>
      </tp>
    </main>
    <main first="rtdsrv_a82eb5a1fc404542a18b1336b70d2c4e">
      <tp>
        <v>5</v>
        <stp/>
        <stp>bb7299f5-0159-4c49-9ba6-b52f5ff70db5</stp>
        <tr r="G7098" s="2"/>
      </tp>
    </main>
    <main first="rtdsrv_a82eb5a1fc404542a18b1336b70d2c4e">
      <tp>
        <v>5</v>
        <stp/>
        <stp>eb34a6d5-2542-483f-8f1a-fe53b5383ee0</stp>
        <tr r="G5748" s="2"/>
      </tp>
      <tp>
        <v>5</v>
        <stp/>
        <stp>7aaa225a-8388-48b7-98b1-ceb30fb13965</stp>
        <tr r="G5465" s="2"/>
      </tp>
      <tp>
        <v>5</v>
        <stp/>
        <stp>4edd6e48-afde-45f1-aad7-8574b5bbc043</stp>
        <tr r="G2862" s="2"/>
      </tp>
    </main>
    <main first="rtdsrv_a82eb5a1fc404542a18b1336b70d2c4e">
      <tp>
        <v>5</v>
        <stp/>
        <stp>25f6b1a4-2563-436e-bcfa-d469d653730e</stp>
        <tr r="G3486" s="2"/>
      </tp>
    </main>
    <main first="rtdsrv_a82eb5a1fc404542a18b1336b70d2c4e">
      <tp>
        <v>5</v>
        <stp/>
        <stp>2fe9a835-d48d-4cb4-ad9a-43dcb6d5e6c4</stp>
        <tr r="G3046" s="2"/>
      </tp>
      <tp>
        <v>5</v>
        <stp/>
        <stp>a454523e-cdcc-419c-a835-6747f2bf14ae</stp>
        <tr r="G8976" s="2"/>
      </tp>
      <tp>
        <v>5</v>
        <stp/>
        <stp>d1ccd275-628c-4acf-a01d-53bf74ef6ae8</stp>
        <tr r="G8227" s="2"/>
      </tp>
      <tp>
        <v>5</v>
        <stp/>
        <stp>99c939bd-1e12-4458-9f5f-5a9c5ab0c89d</stp>
        <tr r="G7739" s="2"/>
      </tp>
    </main>
    <main first="rtdsrv_a82eb5a1fc404542a18b1336b70d2c4e">
      <tp>
        <v>5</v>
        <stp/>
        <stp>148447d7-fa88-4434-9a78-322035e7be2a</stp>
        <tr r="G9911" s="2"/>
      </tp>
      <tp>
        <v>5</v>
        <stp/>
        <stp>8456c54f-c145-44e9-b383-b052e4dd1c25</stp>
        <tr r="G2667" s="2"/>
      </tp>
      <tp>
        <v>5</v>
        <stp/>
        <stp>f45c2e35-09d3-46f1-a037-de83f76545f1</stp>
        <tr r="G191" s="2"/>
      </tp>
      <tp>
        <v>5</v>
        <stp/>
        <stp>10440283-c303-46d0-9f23-f190753cecf9</stp>
        <tr r="G3936" s="2"/>
      </tp>
      <tp>
        <v>5</v>
        <stp/>
        <stp>5cc216cc-8f85-42e7-8084-0f8de037909b</stp>
        <tr r="G4290" s="2"/>
      </tp>
    </main>
    <main first="rtdsrv_a82eb5a1fc404542a18b1336b70d2c4e">
      <tp>
        <v>5</v>
        <stp/>
        <stp>7e34cd0b-158e-46c0-907c-d5af42f00430</stp>
        <tr r="G6911" s="2"/>
      </tp>
      <tp>
        <v>5</v>
        <stp/>
        <stp>6d3f0cb7-e274-40ac-a7e6-461f6ac527fd</stp>
        <tr r="G6" s="2"/>
      </tp>
    </main>
    <main first="rtdsrv_a82eb5a1fc404542a18b1336b70d2c4e">
      <tp>
        <v>5</v>
        <stp/>
        <stp>12d19f4c-2a0f-4a3e-9e54-32d0ba778a72</stp>
        <tr r="G5693" s="2"/>
      </tp>
      <tp>
        <v>5</v>
        <stp/>
        <stp>7f4ac3bd-99be-4762-a454-29f753902ee9</stp>
        <tr r="G1679" s="2"/>
      </tp>
    </main>
    <main first="rtdsrv_a82eb5a1fc404542a18b1336b70d2c4e">
      <tp>
        <v>5</v>
        <stp/>
        <stp>53864b98-3443-48af-9341-4fb43c4cf13f</stp>
        <tr r="G501" s="2"/>
      </tp>
      <tp>
        <v>5</v>
        <stp/>
        <stp>0346678c-c6a2-4aaa-a97a-4825c480490e</stp>
        <tr r="G6289" s="2"/>
      </tp>
      <tp>
        <v>5</v>
        <stp/>
        <stp>80bf714b-85e6-47ff-960c-0829a013dcb0</stp>
        <tr r="G2279" s="2"/>
      </tp>
    </main>
    <main first="rtdsrv_a82eb5a1fc404542a18b1336b70d2c4e">
      <tp>
        <v>5</v>
        <stp/>
        <stp>d586f6aa-2103-43ba-beb9-8c0c7c1fa61e</stp>
        <tr r="G4718" s="2"/>
      </tp>
      <tp>
        <v>5</v>
        <stp/>
        <stp>eab5ac1d-aa79-4065-9d74-7e7e9ce98c5d</stp>
        <tr r="G7822" s="2"/>
      </tp>
      <tp>
        <v>5</v>
        <stp/>
        <stp>59436bac-b094-49e6-a311-788b4f93cd41</stp>
        <tr r="G7653" s="2"/>
      </tp>
      <tp>
        <v>5</v>
        <stp/>
        <stp>f15b4185-a0f2-4717-9434-5139b49f4db3</stp>
        <tr r="G5205" s="2"/>
      </tp>
    </main>
    <main first="rtdsrv_a82eb5a1fc404542a18b1336b70d2c4e">
      <tp>
        <v>5</v>
        <stp/>
        <stp>f2761077-5ec1-4622-891f-e156f81d29fd</stp>
        <tr r="G4011" s="2"/>
      </tp>
    </main>
    <main first="rtdsrv_a82eb5a1fc404542a18b1336b70d2c4e">
      <tp>
        <v>5</v>
        <stp/>
        <stp>9b119566-0bb4-4de4-b867-2c4f0fef1db8</stp>
        <tr r="G6960" s="2"/>
      </tp>
      <tp>
        <v>5</v>
        <stp/>
        <stp>28361c53-e546-4027-8095-a35d961521c3</stp>
        <tr r="G9699" s="2"/>
      </tp>
      <tp>
        <v>5</v>
        <stp/>
        <stp>613ee0e5-11ef-4327-bb6f-9333521eb4a6</stp>
        <tr r="G6708" s="2"/>
      </tp>
    </main>
    <main first="rtdsrv_a82eb5a1fc404542a18b1336b70d2c4e">
      <tp>
        <v>5</v>
        <stp/>
        <stp>61fe623c-989c-48d6-be8a-a144e69a77c7</stp>
        <tr r="G3960" s="2"/>
      </tp>
      <tp>
        <v>5</v>
        <stp/>
        <stp>9f3bb7f0-4ac2-4787-9b03-be80c29c41da</stp>
        <tr r="G9336" s="2"/>
      </tp>
      <tp>
        <v>5</v>
        <stp/>
        <stp>3d17c7d0-f5fe-4367-bb47-79d9480d73ac</stp>
        <tr r="G838" s="2"/>
      </tp>
    </main>
    <main first="rtdsrv_a82eb5a1fc404542a18b1336b70d2c4e">
      <tp>
        <v>5</v>
        <stp/>
        <stp>41902b4c-1d75-479a-9418-b1b3cf5a6ad7</stp>
        <tr r="G1854" s="2"/>
      </tp>
      <tp>
        <v>5</v>
        <stp/>
        <stp>7efe37f1-67cd-40ff-9bd2-94c08756ca11</stp>
        <tr r="G6967" s="2"/>
      </tp>
      <tp>
        <v>5</v>
        <stp/>
        <stp>3c1631a3-f733-4ef5-9b2e-82b7673b3216</stp>
        <tr r="G9719" s="2"/>
      </tp>
      <tp>
        <v>5</v>
        <stp/>
        <stp>0ede66a9-e342-4de4-96c0-534595a3ac19</stp>
        <tr r="G2111" s="2"/>
      </tp>
      <tp>
        <v>5</v>
        <stp/>
        <stp>e2c2b82e-a254-4e65-8126-fc4a8800333e</stp>
        <tr r="G5548" s="2"/>
      </tp>
      <tp>
        <v>5</v>
        <stp/>
        <stp>1030aa0c-eacf-4e6c-bed2-4c61ccb7a7ff</stp>
        <tr r="G1681" s="2"/>
      </tp>
      <tp>
        <v>5</v>
        <stp/>
        <stp>77613474-b5df-4673-aa3a-d32b0e1eb34f</stp>
        <tr r="G5992" s="2"/>
      </tp>
    </main>
    <main first="rtdsrv_a82eb5a1fc404542a18b1336b70d2c4e">
      <tp>
        <v>5</v>
        <stp/>
        <stp>21ecc16f-95a8-4c60-86fc-b0583c1c68c7</stp>
        <tr r="G2320" s="2"/>
      </tp>
      <tp>
        <v>5</v>
        <stp/>
        <stp>5a144f5f-3d5d-4218-b410-c8632859291c</stp>
        <tr r="G126" s="2"/>
      </tp>
      <tp>
        <v>5</v>
        <stp/>
        <stp>a64d07ab-33e2-4089-8963-884416f1e7e6</stp>
        <tr r="G8751" s="2"/>
      </tp>
    </main>
    <main first="rtdsrv_a82eb5a1fc404542a18b1336b70d2c4e">
      <tp>
        <v>5</v>
        <stp/>
        <stp>e731830e-a0e7-40ed-9424-ddf21a761258</stp>
        <tr r="G3427" s="2"/>
      </tp>
      <tp>
        <v>5</v>
        <stp/>
        <stp>814229f9-0e9e-428a-8055-95bade18d82d</stp>
        <tr r="G4746" s="2"/>
      </tp>
      <tp>
        <v>5</v>
        <stp/>
        <stp>1ec5b075-d97f-4e4b-8ecd-636e2ae7bf99</stp>
        <tr r="G2334" s="2"/>
      </tp>
      <tp>
        <v>5</v>
        <stp/>
        <stp>352ebf9a-35ff-4f3d-aa2a-43830547840b</stp>
        <tr r="G5760" s="2"/>
      </tp>
      <tp>
        <v>5</v>
        <stp/>
        <stp>ec107d28-768f-46e6-b2ed-ae78aa334c6a</stp>
        <tr r="G8550" s="2"/>
      </tp>
      <tp>
        <v>5</v>
        <stp/>
        <stp>930f8e8e-5de0-4a32-a06c-44025fddc189</stp>
        <tr r="G5796" s="2"/>
      </tp>
      <tp>
        <v>5</v>
        <stp/>
        <stp>cf6511a8-5ed5-4996-98d3-b1fe9507f040</stp>
        <tr r="G2660" s="2"/>
      </tp>
      <tp>
        <v>5</v>
        <stp/>
        <stp>267a509a-345f-44de-833b-bd18462a6584</stp>
        <tr r="G8521" s="2"/>
      </tp>
      <tp>
        <v>5</v>
        <stp/>
        <stp>bc245a48-aeab-439b-a7ed-9fc84c47de3e</stp>
        <tr r="G417" s="2"/>
      </tp>
      <tp>
        <v>5</v>
        <stp/>
        <stp>5cc0c7f1-53ea-4593-b2dc-ad84df91a07c</stp>
        <tr r="G2064" s="2"/>
      </tp>
    </main>
    <main first="rtdsrv_a82eb5a1fc404542a18b1336b70d2c4e">
      <tp>
        <v>5</v>
        <stp/>
        <stp>7b1e8190-db94-4c7d-b174-f0ef45a60e9c</stp>
        <tr r="G6374" s="2"/>
      </tp>
    </main>
    <main first="rtdsrv_a82eb5a1fc404542a18b1336b70d2c4e">
      <tp>
        <v>5</v>
        <stp/>
        <stp>5cfd41e7-f087-4412-b95f-e12b0353b516</stp>
        <tr r="G3180" s="2"/>
      </tp>
      <tp>
        <v>5</v>
        <stp/>
        <stp>59186b14-20d4-4ca4-b16d-78e59102afb4</stp>
        <tr r="G7589" s="2"/>
      </tp>
      <tp>
        <v>5</v>
        <stp/>
        <stp>5925f1a2-a780-4a65-a20b-7d307430e8ed</stp>
        <tr r="G1114" s="2"/>
      </tp>
    </main>
    <main first="rtdsrv_a82eb5a1fc404542a18b1336b70d2c4e">
      <tp>
        <v>5</v>
        <stp/>
        <stp>ad07ea80-5f57-4b17-ac6d-ef50717a9a4d</stp>
        <tr r="G6253" s="2"/>
      </tp>
    </main>
    <main first="rtdsrv_a82eb5a1fc404542a18b1336b70d2c4e">
      <tp>
        <v>5</v>
        <stp/>
        <stp>8cf16027-d371-4007-98f6-0fd95f88fa18</stp>
        <tr r="G6654" s="2"/>
      </tp>
      <tp>
        <v>5</v>
        <stp/>
        <stp>2ba584f3-0143-4aef-95fa-6e9300b9440a</stp>
        <tr r="G2332" s="2"/>
      </tp>
      <tp>
        <v>5</v>
        <stp/>
        <stp>5a6e464d-c8cd-426c-8841-52dd4dab822c</stp>
        <tr r="G9296" s="2"/>
      </tp>
    </main>
    <main first="rtdsrv_a82eb5a1fc404542a18b1336b70d2c4e">
      <tp>
        <v>5</v>
        <stp/>
        <stp>ce07740c-f22c-42e5-ae71-10195f6bed8a</stp>
        <tr r="G8803" s="2"/>
      </tp>
    </main>
    <main first="rtdsrv_a82eb5a1fc404542a18b1336b70d2c4e">
      <tp>
        <v>5</v>
        <stp/>
        <stp>f36dcff3-c23e-40ef-8570-9c307ee86f83</stp>
        <tr r="G5509" s="2"/>
      </tp>
    </main>
    <main first="rtdsrv_a82eb5a1fc404542a18b1336b70d2c4e">
      <tp>
        <v>5</v>
        <stp/>
        <stp>1a97d7c2-a4be-428f-9c45-1c9ee78fc6f7</stp>
        <tr r="G1413" s="2"/>
      </tp>
      <tp>
        <v>5</v>
        <stp/>
        <stp>a05be507-c965-4c0d-8ca0-141e6697cf80</stp>
        <tr r="G7413" s="2"/>
      </tp>
      <tp>
        <v>5</v>
        <stp/>
        <stp>167ac1bc-d016-43ea-ba9d-92b819ff9789</stp>
        <tr r="G1808" s="2"/>
      </tp>
      <tp>
        <v>5</v>
        <stp/>
        <stp>b08894d5-348d-4c2a-bec3-bdaf037c3e04</stp>
        <tr r="G9657" s="2"/>
      </tp>
    </main>
    <main first="rtdsrv_a82eb5a1fc404542a18b1336b70d2c4e">
      <tp>
        <v>5</v>
        <stp/>
        <stp>a19b8fc7-ac89-4cae-bf3a-f7773af1d14f</stp>
        <tr r="G1009" s="2"/>
      </tp>
      <tp>
        <v>5</v>
        <stp/>
        <stp>7564ce64-14d9-45ff-84fc-4791bef6a45b</stp>
        <tr r="G859" s="2"/>
      </tp>
      <tp>
        <v>5</v>
        <stp/>
        <stp>de3eb97f-aed9-46fa-aa96-46888774bce3</stp>
        <tr r="G2446" s="2"/>
      </tp>
    </main>
    <main first="rtdsrv_a82eb5a1fc404542a18b1336b70d2c4e">
      <tp>
        <v>5</v>
        <stp/>
        <stp>3016dd1d-d8fc-40f3-8b58-108e3c64fb3f</stp>
        <tr r="G6426" s="2"/>
      </tp>
      <tp>
        <v>5</v>
        <stp/>
        <stp>0b0f7e5c-4f9d-4fea-92c2-b2aab095c44a</stp>
        <tr r="G830" s="2"/>
      </tp>
      <tp>
        <v>5</v>
        <stp/>
        <stp>0e526a3e-be23-4d82-b498-5d74d80556a4</stp>
        <tr r="G469" s="2"/>
      </tp>
    </main>
    <main first="rtdsrv_a82eb5a1fc404542a18b1336b70d2c4e">
      <tp>
        <v>5</v>
        <stp/>
        <stp>cfbbfc74-b226-4170-9a6f-ef55bf143f83</stp>
        <tr r="G1768" s="2"/>
      </tp>
    </main>
    <main first="rtdsrv_a82eb5a1fc404542a18b1336b70d2c4e">
      <tp>
        <v>5</v>
        <stp/>
        <stp>d12b013e-f110-403f-87c6-ca3dc50ea08e</stp>
        <tr r="G3523" s="2"/>
      </tp>
      <tp>
        <v>5</v>
        <stp/>
        <stp>df3951ad-79af-4a4e-b7db-afbeaf045ff4</stp>
        <tr r="G5060" s="2"/>
      </tp>
    </main>
    <main first="rtdsrv_a82eb5a1fc404542a18b1336b70d2c4e">
      <tp>
        <v>5</v>
        <stp/>
        <stp>a2344795-2108-4eaf-a835-f572757f9e0d</stp>
        <tr r="G5210" s="2"/>
      </tp>
    </main>
    <main first="rtdsrv_a82eb5a1fc404542a18b1336b70d2c4e">
      <tp>
        <v>5</v>
        <stp/>
        <stp>7d56d23a-29eb-49bf-8fe2-ed87f4329080</stp>
        <tr r="G9466" s="2"/>
      </tp>
      <tp>
        <v>5</v>
        <stp/>
        <stp>4af31d8e-aa68-4475-8906-1825982f5f79</stp>
        <tr r="G976" s="2"/>
      </tp>
      <tp>
        <v>5</v>
        <stp/>
        <stp>6543bfff-8bc5-4dc5-bc91-355caf80232b</stp>
        <tr r="G6623" s="2"/>
      </tp>
    </main>
    <main first="rtdsrv_a82eb5a1fc404542a18b1336b70d2c4e">
      <tp>
        <v>5</v>
        <stp/>
        <stp>a2933fb2-1ece-4c64-923c-f1d58b7df609</stp>
        <tr r="G5670" s="2"/>
      </tp>
      <tp>
        <v>5</v>
        <stp/>
        <stp>95896a60-cd46-49f3-a570-4d606e7b05ef</stp>
        <tr r="G7426" s="2"/>
      </tp>
      <tp>
        <v>5</v>
        <stp/>
        <stp>f9dcce3b-679f-4638-9988-99ef1f1ae22a</stp>
        <tr r="G9723" s="2"/>
      </tp>
      <tp>
        <v>5</v>
        <stp/>
        <stp>41b49367-31ef-4d84-a488-3b642a36f9f2</stp>
        <tr r="G9794" s="2"/>
      </tp>
    </main>
    <main first="rtdsrv_a82eb5a1fc404542a18b1336b70d2c4e">
      <tp>
        <v>5</v>
        <stp/>
        <stp>694b60f7-d648-4514-8945-ed8067f57914</stp>
        <tr r="G3243" s="2"/>
      </tp>
      <tp>
        <v>5</v>
        <stp/>
        <stp>7303d273-d9cc-4650-b05f-0a2f44e7d218</stp>
        <tr r="G9342" s="2"/>
      </tp>
    </main>
    <main first="rtdsrv_a82eb5a1fc404542a18b1336b70d2c4e">
      <tp>
        <v>5</v>
        <stp/>
        <stp>7abc2a50-7feb-429a-be4b-3cc07389c565</stp>
        <tr r="G313" s="2"/>
      </tp>
    </main>
    <main first="rtdsrv_a82eb5a1fc404542a18b1336b70d2c4e">
      <tp>
        <v>5</v>
        <stp/>
        <stp>0fdad141-2787-4b37-b235-e68f7d35b4f4</stp>
        <tr r="G5536" s="2"/>
      </tp>
    </main>
    <main first="rtdsrv_a82eb5a1fc404542a18b1336b70d2c4e">
      <tp>
        <v>5</v>
        <stp/>
        <stp>ee805445-d65f-4bf2-945d-2bd11fc4b1ff</stp>
        <tr r="G1969" s="2"/>
      </tp>
      <tp>
        <v>5</v>
        <stp/>
        <stp>387a7214-5acb-4693-81a7-31914c7468a4</stp>
        <tr r="G4036" s="2"/>
      </tp>
    </main>
    <main first="rtdsrv_a82eb5a1fc404542a18b1336b70d2c4e">
      <tp>
        <v>5</v>
        <stp/>
        <stp>6a188d50-7286-493d-807b-87fe9a466096</stp>
        <tr r="G3593" s="2"/>
      </tp>
      <tp>
        <v>5</v>
        <stp/>
        <stp>8b92c864-266a-4cb9-98b2-b6354ae95cb1</stp>
        <tr r="G9890" s="2"/>
      </tp>
    </main>
    <main first="rtdsrv_a82eb5a1fc404542a18b1336b70d2c4e">
      <tp>
        <v>5</v>
        <stp/>
        <stp>be96411b-5440-4ed6-b475-d55dbdfbf6e0</stp>
        <tr r="G27" s="2"/>
      </tp>
    </main>
    <main first="rtdsrv_a82eb5a1fc404542a18b1336b70d2c4e">
      <tp>
        <v>5</v>
        <stp/>
        <stp>ae9b81a5-bc0a-4abe-b9d0-170a1ba50eeb</stp>
        <tr r="G6869" s="2"/>
      </tp>
      <tp>
        <v>5</v>
        <stp/>
        <stp>381c3534-53e0-4b99-b141-c3105b948c7d</stp>
        <tr r="G7480" s="2"/>
      </tp>
      <tp>
        <v>5</v>
        <stp/>
        <stp>5caab3f3-4bfc-41bc-8642-bde3365e6f89</stp>
        <tr r="G937" s="2"/>
      </tp>
      <tp>
        <v>5</v>
        <stp/>
        <stp>e0629394-c4ba-4dd7-bee2-bf664692be95</stp>
        <tr r="G1933" s="2"/>
      </tp>
      <tp>
        <v>5</v>
        <stp/>
        <stp>a53f55fd-da66-4589-8f89-0be526fa8611</stp>
        <tr r="G2569" s="2"/>
      </tp>
      <tp>
        <v>5</v>
        <stp/>
        <stp>ae9099d9-f00f-4c7c-af9a-807dbe3ce27a</stp>
        <tr r="G1653" s="2"/>
      </tp>
    </main>
    <main first="rtdsrv_a82eb5a1fc404542a18b1336b70d2c4e">
      <tp>
        <v>5</v>
        <stp/>
        <stp>55f18d7e-c6b0-4305-a0ca-ba679d63bf99</stp>
        <tr r="G2413" s="2"/>
      </tp>
      <tp>
        <v>5</v>
        <stp/>
        <stp>d107a7a2-bcf7-47f7-8d14-66371f8d0559</stp>
        <tr r="G473" s="2"/>
      </tp>
      <tp>
        <v>5</v>
        <stp/>
        <stp>5b31be44-c08f-4087-b154-1388eaaef3b5</stp>
        <tr r="G8248" s="2"/>
      </tp>
    </main>
    <main first="rtdsrv_a82eb5a1fc404542a18b1336b70d2c4e">
      <tp>
        <v>5</v>
        <stp/>
        <stp>9d600c2b-7090-4e0d-b3cb-50ccfd515d8b</stp>
        <tr r="G6712" s="2"/>
      </tp>
    </main>
    <main first="rtdsrv_a82eb5a1fc404542a18b1336b70d2c4e">
      <tp>
        <v>5</v>
        <stp/>
        <stp>9587965f-ba0b-4968-8d4d-d135a9a7cbb9</stp>
        <tr r="G8472" s="2"/>
      </tp>
    </main>
    <main first="rtdsrv_a82eb5a1fc404542a18b1336b70d2c4e">
      <tp>
        <v>5</v>
        <stp/>
        <stp>60fda30a-1fbe-40c7-bdf9-33a54d3323b1</stp>
        <tr r="G235" s="2"/>
      </tp>
    </main>
    <main first="rtdsrv_a82eb5a1fc404542a18b1336b70d2c4e">
      <tp>
        <v>5</v>
        <stp/>
        <stp>bafe1fa2-2914-4e04-bf5c-f1a1c17b8328</stp>
        <tr r="G3774" s="2"/>
      </tp>
      <tp>
        <v>5</v>
        <stp/>
        <stp>071f6b96-f191-4fdc-a712-00be8a2947b9</stp>
        <tr r="G4889" s="2"/>
      </tp>
      <tp>
        <v>5</v>
        <stp/>
        <stp>b68b58cf-3c7a-4418-a43b-7025eb252cc2</stp>
        <tr r="G6144" s="2"/>
      </tp>
      <tp>
        <v>5</v>
        <stp/>
        <stp>93309ca9-3613-4556-87bc-5f24f35e7e91</stp>
        <tr r="G6127" s="2"/>
      </tp>
    </main>
    <main first="rtdsrv_a82eb5a1fc404542a18b1336b70d2c4e">
      <tp>
        <v>5</v>
        <stp/>
        <stp>3a47a516-ee1f-486a-a263-1f28feaddb9e</stp>
        <tr r="G4769" s="2"/>
      </tp>
    </main>
    <main first="rtdsrv_a82eb5a1fc404542a18b1336b70d2c4e">
      <tp>
        <v>5</v>
        <stp/>
        <stp>f4e7f12b-a289-4deb-a076-cf69d4e1cd91</stp>
        <tr r="G2568" s="2"/>
      </tp>
    </main>
    <main first="rtdsrv_a82eb5a1fc404542a18b1336b70d2c4e">
      <tp>
        <v>5</v>
        <stp/>
        <stp>d738fd75-0f1b-43d2-a269-ff7857c8e163</stp>
        <tr r="G8946" s="2"/>
      </tp>
    </main>
    <main first="rtdsrv_a82eb5a1fc404542a18b1336b70d2c4e">
      <tp>
        <v>5</v>
        <stp/>
        <stp>9411b41f-e89f-4ddd-b3e0-9a0a5c488a64</stp>
        <tr r="G7063" s="2"/>
      </tp>
    </main>
    <main first="rtdsrv_a82eb5a1fc404542a18b1336b70d2c4e">
      <tp>
        <v>5</v>
        <stp/>
        <stp>7cbcc558-4454-493e-8404-ea85407b2ab9</stp>
        <tr r="G2738" s="2"/>
      </tp>
    </main>
    <main first="rtdsrv_a82eb5a1fc404542a18b1336b70d2c4e">
      <tp>
        <v>5</v>
        <stp/>
        <stp>0d1bf62b-0bbf-48b5-a276-8cd63f95ab07</stp>
        <tr r="G6666" s="2"/>
      </tp>
    </main>
    <main first="rtdsrv_a82eb5a1fc404542a18b1336b70d2c4e">
      <tp>
        <v>5</v>
        <stp/>
        <stp>e9709c43-b864-4551-90f1-7c77d9bf12e9</stp>
        <tr r="G7872" s="2"/>
      </tp>
    </main>
    <main first="rtdsrv_a82eb5a1fc404542a18b1336b70d2c4e">
      <tp>
        <v>5</v>
        <stp/>
        <stp>080a6196-7d64-4259-a3af-c33757275e0a</stp>
        <tr r="G169" s="2"/>
      </tp>
      <tp>
        <v>5</v>
        <stp/>
        <stp>cac1d8d5-4073-4219-8e2d-bf805034c7ba</stp>
        <tr r="G218" s="2"/>
      </tp>
      <tp>
        <v>5</v>
        <stp/>
        <stp>e203cb7f-3050-427b-bbc9-2d338bdfbcc9</stp>
        <tr r="G5202" s="2"/>
      </tp>
    </main>
    <main first="rtdsrv_a82eb5a1fc404542a18b1336b70d2c4e">
      <tp>
        <v>5</v>
        <stp/>
        <stp>e82cf82d-129d-4ced-a90a-37fec48e2a7d</stp>
        <tr r="G9259" s="2"/>
      </tp>
      <tp>
        <v>5</v>
        <stp/>
        <stp>c231a3ea-e6b3-444a-9976-449900d71104</stp>
        <tr r="G3558" s="2"/>
      </tp>
    </main>
    <main first="rtdsrv_a82eb5a1fc404542a18b1336b70d2c4e">
      <tp>
        <v>5</v>
        <stp/>
        <stp>430b33d1-7275-439a-b666-008ae3d41d7a</stp>
        <tr r="G285" s="2"/>
      </tp>
    </main>
    <main first="rtdsrv_a82eb5a1fc404542a18b1336b70d2c4e">
      <tp>
        <v>5</v>
        <stp/>
        <stp>157d7c55-eae8-475c-a266-02fb2690ee1e</stp>
        <tr r="G7497" s="2"/>
      </tp>
    </main>
    <main first="rtdsrv_a82eb5a1fc404542a18b1336b70d2c4e">
      <tp>
        <v>5</v>
        <stp/>
        <stp>533b8ce9-10dc-44ab-9b16-44aab2259381</stp>
        <tr r="G5125" s="2"/>
      </tp>
    </main>
    <main first="rtdsrv_a82eb5a1fc404542a18b1336b70d2c4e">
      <tp>
        <v>5</v>
        <stp/>
        <stp>1c4dea22-4d63-4e66-a519-857b7ecc7f49</stp>
        <tr r="G2826" s="2"/>
      </tp>
      <tp>
        <v>5</v>
        <stp/>
        <stp>a41327f3-3eda-4ab6-836b-9aea558ccc6c</stp>
        <tr r="G9497" s="2"/>
      </tp>
    </main>
    <main first="rtdsrv_a82eb5a1fc404542a18b1336b70d2c4e">
      <tp>
        <v>5</v>
        <stp/>
        <stp>805b27ad-1380-4f8b-a1c8-b6b2d64da026</stp>
        <tr r="G9790" s="2"/>
      </tp>
    </main>
    <main first="rtdsrv_a82eb5a1fc404542a18b1336b70d2c4e">
      <tp>
        <v>5</v>
        <stp/>
        <stp>b6bddb13-0f4d-40ce-b824-15295911f89c</stp>
        <tr r="G204" s="2"/>
      </tp>
    </main>
    <main first="rtdsrv_a82eb5a1fc404542a18b1336b70d2c4e">
      <tp>
        <v>5</v>
        <stp/>
        <stp>8366f6d0-2e9f-4ccf-b3ed-cfe8a7718b57</stp>
        <tr r="G4638" s="2"/>
      </tp>
      <tp>
        <v>5</v>
        <stp/>
        <stp>7eb78e5b-4adc-4943-9c3b-0d6c0f5f81c8</stp>
        <tr r="G6439" s="2"/>
      </tp>
      <tp>
        <v>5</v>
        <stp/>
        <stp>30dd1845-c175-459f-9ae5-68eba27b0e2f</stp>
        <tr r="G4902" s="2"/>
      </tp>
    </main>
    <main first="rtdsrv_a82eb5a1fc404542a18b1336b70d2c4e">
      <tp>
        <v>5</v>
        <stp/>
        <stp>6c46f5f7-ce3b-4980-b207-7abb72a8ea79</stp>
        <tr r="G6935" s="2"/>
      </tp>
      <tp>
        <v>5</v>
        <stp/>
        <stp>0508f478-0fc8-4332-82f9-91d23d0fa786</stp>
        <tr r="G1141" s="2"/>
      </tp>
    </main>
    <main first="rtdsrv_a82eb5a1fc404542a18b1336b70d2c4e">
      <tp>
        <v>5</v>
        <stp/>
        <stp>5a5c24d0-e332-483f-8da3-1f633dda827d</stp>
        <tr r="G171" s="2"/>
      </tp>
    </main>
    <main first="rtdsrv_a82eb5a1fc404542a18b1336b70d2c4e">
      <tp>
        <v>5</v>
        <stp/>
        <stp>368dcb4b-696f-4a63-b4f0-4610468a9085</stp>
        <tr r="G6150" s="2"/>
      </tp>
    </main>
    <main first="rtdsrv_a82eb5a1fc404542a18b1336b70d2c4e">
      <tp>
        <v>5</v>
        <stp/>
        <stp>a8dae83a-993a-4cc8-8389-f84fcecc7c43</stp>
        <tr r="G2604" s="2"/>
      </tp>
      <tp>
        <v>5</v>
        <stp/>
        <stp>b080cb90-b1d6-42c1-98c6-7cc3cef48c71</stp>
        <tr r="G3089" s="2"/>
      </tp>
    </main>
    <main first="rtdsrv_a82eb5a1fc404542a18b1336b70d2c4e">
      <tp>
        <v>5</v>
        <stp/>
        <stp>2c7074bc-27b8-4fb5-9b9c-55aafb1d49e0</stp>
        <tr r="G6879" s="2"/>
      </tp>
      <tp>
        <v>5</v>
        <stp/>
        <stp>e67ba715-6d6c-4601-be7a-0832d8a016d2</stp>
        <tr r="G2871" s="2"/>
      </tp>
    </main>
    <main first="rtdsrv_a82eb5a1fc404542a18b1336b70d2c4e">
      <tp>
        <v>5</v>
        <stp/>
        <stp>0a0ad682-abc4-46d5-bc46-73a45b164a9a</stp>
        <tr r="G311" s="2"/>
      </tp>
    </main>
    <main first="rtdsrv_a82eb5a1fc404542a18b1336b70d2c4e">
      <tp>
        <v>5</v>
        <stp/>
        <stp>88cde821-03ca-4d00-80ab-86e51cfc5363</stp>
        <tr r="G7655" s="2"/>
      </tp>
      <tp>
        <v>5</v>
        <stp/>
        <stp>108cb236-edd6-41fd-8fe9-638d7490cfbd</stp>
        <tr r="G2406" s="2"/>
      </tp>
    </main>
    <main first="rtdsrv_a82eb5a1fc404542a18b1336b70d2c4e">
      <tp>
        <v>5</v>
        <stp/>
        <stp>eb890986-5d2c-4038-a693-a2e4f84aab30</stp>
        <tr r="G2757" s="2"/>
      </tp>
      <tp>
        <v>5</v>
        <stp/>
        <stp>2b3f70e7-ca6f-479d-a604-637f740fde18</stp>
        <tr r="G9838" s="2"/>
      </tp>
      <tp>
        <v>5</v>
        <stp/>
        <stp>a1f82fdd-92f3-4579-b164-e6718a64710c</stp>
        <tr r="G41" s="2"/>
      </tp>
    </main>
    <main first="rtdsrv_a82eb5a1fc404542a18b1336b70d2c4e">
      <tp>
        <v>5</v>
        <stp/>
        <stp>ce2bab26-a26f-4989-8783-edd6523746c7</stp>
        <tr r="G6187" s="2"/>
      </tp>
    </main>
    <main first="rtdsrv_a82eb5a1fc404542a18b1336b70d2c4e">
      <tp>
        <v>5</v>
        <stp/>
        <stp>234ebf94-0a7e-4180-8fb8-f3f3d64c253a</stp>
        <tr r="G8644" s="2"/>
      </tp>
      <tp>
        <v>5</v>
        <stp/>
        <stp>c466131c-eaa6-40b8-88eb-4a45a87cba25</stp>
        <tr r="G7867" s="2"/>
      </tp>
      <tp>
        <v>5</v>
        <stp/>
        <stp>fbbdb4fc-02fa-48cc-aec1-4d0bedf1dad1</stp>
        <tr r="G1331" s="2"/>
      </tp>
      <tp>
        <v>5</v>
        <stp/>
        <stp>91dba786-adfe-40a2-a42f-5537d3c37f8c</stp>
        <tr r="G6637" s="2"/>
      </tp>
      <tp>
        <v>5</v>
        <stp/>
        <stp>9d373485-eba8-4a6f-85f2-899f89c8e27b</stp>
        <tr r="G4449" s="2"/>
      </tp>
    </main>
    <main first="rtdsrv_a82eb5a1fc404542a18b1336b70d2c4e">
      <tp>
        <v>5</v>
        <stp/>
        <stp>79dc4064-71ba-4ed6-b09d-45df22ff9133</stp>
        <tr r="G1591" s="2"/>
      </tp>
    </main>
    <main first="rtdsrv_a82eb5a1fc404542a18b1336b70d2c4e">
      <tp>
        <v>5</v>
        <stp/>
        <stp>9206b43d-0247-4f27-b6ff-55afbe0cf00e</stp>
        <tr r="G1407" s="2"/>
      </tp>
    </main>
    <main first="rtdsrv_a82eb5a1fc404542a18b1336b70d2c4e">
      <tp>
        <v>5</v>
        <stp/>
        <stp>3419315a-9d43-48b7-96f6-02d09911fa5e</stp>
        <tr r="G7259" s="2"/>
      </tp>
    </main>
    <main first="rtdsrv_a82eb5a1fc404542a18b1336b70d2c4e">
      <tp>
        <v>5</v>
        <stp/>
        <stp>2358ee9d-5453-446a-847f-8836f9b76393</stp>
        <tr r="G842" s="2"/>
      </tp>
    </main>
    <main first="rtdsrv_a82eb5a1fc404542a18b1336b70d2c4e">
      <tp>
        <v>5</v>
        <stp/>
        <stp>7d6cb95e-9c15-426d-ab53-44591c585ee5</stp>
        <tr r="G7350" s="2"/>
      </tp>
      <tp>
        <v>5</v>
        <stp/>
        <stp>426bbcdb-f499-4b95-9b3e-72bfba177efb</stp>
        <tr r="G4210" s="2"/>
      </tp>
    </main>
    <main first="rtdsrv_a82eb5a1fc404542a18b1336b70d2c4e">
      <tp>
        <v>5</v>
        <stp/>
        <stp>11cc4006-530a-4b3c-98e3-1b72ccb19418</stp>
        <tr r="G2434" s="2"/>
      </tp>
    </main>
    <main first="rtdsrv_a82eb5a1fc404542a18b1336b70d2c4e">
      <tp>
        <v>5</v>
        <stp/>
        <stp>09081c0c-c15a-406c-9fce-584e1310c5f4</stp>
        <tr r="G7981" s="2"/>
      </tp>
      <tp>
        <v>5</v>
        <stp/>
        <stp>c1f9adc3-f7ff-40f4-8c21-611cde404f10</stp>
        <tr r="G1826" s="2"/>
      </tp>
      <tp>
        <v>5</v>
        <stp/>
        <stp>db6e2531-ef0b-4e82-be01-324bcc035fa0</stp>
        <tr r="G9840" s="2"/>
      </tp>
    </main>
    <main first="rtdsrv_a82eb5a1fc404542a18b1336b70d2c4e">
      <tp>
        <v>5</v>
        <stp/>
        <stp>811e102f-08fb-4642-8cbd-e1ff0173df97</stp>
        <tr r="G8114" s="2"/>
      </tp>
      <tp>
        <v>5</v>
        <stp/>
        <stp>6a2f5afc-f542-46e7-ae27-e2bab7311a0c</stp>
        <tr r="G6651" s="2"/>
      </tp>
    </main>
    <main first="rtdsrv_a82eb5a1fc404542a18b1336b70d2c4e">
      <tp>
        <v>5</v>
        <stp/>
        <stp>66fe0941-0f2f-4cb2-842f-df33efb9d84d</stp>
        <tr r="G1585" s="2"/>
      </tp>
    </main>
    <main first="rtdsrv_a82eb5a1fc404542a18b1336b70d2c4e">
      <tp>
        <v>5</v>
        <stp/>
        <stp>c0ae22d4-7422-4171-b36c-9fd7a162cb7f</stp>
        <tr r="G5389" s="2"/>
      </tp>
    </main>
    <main first="rtdsrv_a82eb5a1fc404542a18b1336b70d2c4e">
      <tp>
        <v>5</v>
        <stp/>
        <stp>171de653-d4fc-4df1-8856-51217e21b216</stp>
        <tr r="G4474" s="2"/>
      </tp>
      <tp>
        <v>5</v>
        <stp/>
        <stp>b3846ba6-b1cb-4adb-a019-67e9b4195d5e</stp>
        <tr r="G2319" s="2"/>
      </tp>
      <tp>
        <v>5</v>
        <stp/>
        <stp>5a7605f3-8570-4e95-b895-9c11e0bce42c</stp>
        <tr r="G7324" s="2"/>
      </tp>
      <tp>
        <v>5</v>
        <stp/>
        <stp>31010e0f-4066-462d-863e-106941e6b16e</stp>
        <tr r="G1053" s="2"/>
      </tp>
      <tp>
        <v>5</v>
        <stp/>
        <stp>bff452bc-b0a5-4a47-9995-26791971501d</stp>
        <tr r="G4797" s="2"/>
      </tp>
      <tp>
        <v>5</v>
        <stp/>
        <stp>aff5c4ed-0fd9-4e55-a5d9-a59019b49876</stp>
        <tr r="G2433" s="2"/>
      </tp>
    </main>
    <main first="rtdsrv_a82eb5a1fc404542a18b1336b70d2c4e">
      <tp>
        <v>5</v>
        <stp/>
        <stp>5ecefb75-142c-492a-a459-8b26808577c3</stp>
        <tr r="G4637" s="2"/>
      </tp>
    </main>
    <main first="rtdsrv_a82eb5a1fc404542a18b1336b70d2c4e">
      <tp>
        <v>5</v>
        <stp/>
        <stp>1d8dd1e9-3497-4fc0-bf65-16a5d7892f59</stp>
        <tr r="G1101" s="2"/>
      </tp>
      <tp>
        <v>5</v>
        <stp/>
        <stp>dd3a4a68-0a51-412b-bf30-dd5df43673b8</stp>
        <tr r="G5657" s="2"/>
      </tp>
    </main>
    <main first="rtdsrv_a82eb5a1fc404542a18b1336b70d2c4e">
      <tp>
        <v>5</v>
        <stp/>
        <stp>8dded3bc-1873-4d28-bc43-a891a0b63efe</stp>
        <tr r="G9505" s="2"/>
      </tp>
      <tp>
        <v>5</v>
        <stp/>
        <stp>224c5517-0420-4ad1-9397-c554d9be44a8</stp>
        <tr r="G1444" s="2"/>
      </tp>
    </main>
    <main first="rtdsrv_a82eb5a1fc404542a18b1336b70d2c4e">
      <tp>
        <v>5</v>
        <stp/>
        <stp>912192b3-509d-4f45-9dfa-3c02ccbefbcc</stp>
        <tr r="G5400" s="2"/>
      </tp>
      <tp>
        <v>5</v>
        <stp/>
        <stp>31b94d3e-ba17-4fee-81ad-e333eb64eead</stp>
        <tr r="G7361" s="2"/>
      </tp>
      <tp>
        <v>5</v>
        <stp/>
        <stp>f074092b-d3d4-4169-b104-b3a59e6315e7</stp>
        <tr r="G3474" s="2"/>
      </tp>
      <tp>
        <v>5</v>
        <stp/>
        <stp>17667ff2-513a-4937-88d1-83bf63444065</stp>
        <tr r="G1183" s="2"/>
      </tp>
      <tp>
        <v>5</v>
        <stp/>
        <stp>0d75dc0d-ccef-415d-b44a-41a2f57fa7ca</stp>
        <tr r="G7919" s="2"/>
      </tp>
      <tp>
        <v>5</v>
        <stp/>
        <stp>606f862b-5799-418f-9031-4e5c9e44fa31</stp>
        <tr r="G2607" s="2"/>
      </tp>
    </main>
    <main first="rtdsrv_a82eb5a1fc404542a18b1336b70d2c4e">
      <tp>
        <v>5</v>
        <stp/>
        <stp>5fc66ff7-43e6-449d-8dd4-aaf65afc432b</stp>
        <tr r="G5082" s="2"/>
      </tp>
    </main>
    <main first="rtdsrv_a82eb5a1fc404542a18b1336b70d2c4e">
      <tp>
        <v>5</v>
        <stp/>
        <stp>6e38b1fa-ae9e-4ddc-84c0-5a057e21e62a</stp>
        <tr r="G9101" s="2"/>
      </tp>
      <tp>
        <v>5</v>
        <stp/>
        <stp>a87c1d0c-95c7-45b2-8e7f-5bc6c5d4c0c7</stp>
        <tr r="G7982" s="2"/>
      </tp>
    </main>
    <main first="rtdsrv_a82eb5a1fc404542a18b1336b70d2c4e">
      <tp>
        <v>5</v>
        <stp/>
        <stp>3d19b594-f681-4a5b-bb44-6743a7749f87</stp>
        <tr r="G9620" s="2"/>
      </tp>
    </main>
    <main first="rtdsrv_a82eb5a1fc404542a18b1336b70d2c4e">
      <tp>
        <v>5</v>
        <stp/>
        <stp>2d1fc508-5609-4093-877f-63a85595da8e</stp>
        <tr r="G5182" s="2"/>
      </tp>
    </main>
    <main first="rtdsrv_a82eb5a1fc404542a18b1336b70d2c4e">
      <tp>
        <v>5</v>
        <stp/>
        <stp>7307f62b-916b-48b0-80f1-d768986c3b33</stp>
        <tr r="G1834" s="2"/>
      </tp>
      <tp>
        <v>5</v>
        <stp/>
        <stp>10639879-1990-4579-ad41-41ec6dd5af9e</stp>
        <tr r="G2819" s="2"/>
      </tp>
      <tp>
        <v>5</v>
        <stp/>
        <stp>6cae97f5-3a06-4d14-9ae8-6f5274985ccd</stp>
        <tr r="G6491" s="2"/>
      </tp>
      <tp>
        <v>5</v>
        <stp/>
        <stp>066d1c76-61db-4f45-80eb-9835d4bf082e</stp>
        <tr r="G4482" s="2"/>
      </tp>
      <tp>
        <v>5</v>
        <stp/>
        <stp>d6b9e3f1-7acd-4b54-a283-68747eed4d5b</stp>
        <tr r="G4270" s="2"/>
      </tp>
    </main>
    <main first="rtdsrv_a82eb5a1fc404542a18b1336b70d2c4e">
      <tp>
        <v>5</v>
        <stp/>
        <stp>02c63a21-eae6-4d9b-a954-0074ecef85d5</stp>
        <tr r="G3452" s="2"/>
      </tp>
    </main>
    <main first="rtdsrv_a82eb5a1fc404542a18b1336b70d2c4e">
      <tp>
        <v>5</v>
        <stp/>
        <stp>c1b3b420-ce50-447b-be6a-27eb8c456a76</stp>
        <tr r="G7726" s="2"/>
      </tp>
    </main>
    <main first="rtdsrv_a82eb5a1fc404542a18b1336b70d2c4e">
      <tp>
        <v>5</v>
        <stp/>
        <stp>bdc317be-4dac-48da-8a46-ce470d4824a2</stp>
        <tr r="G6798" s="2"/>
      </tp>
    </main>
    <main first="rtdsrv_a82eb5a1fc404542a18b1336b70d2c4e">
      <tp>
        <v>5</v>
        <stp/>
        <stp>894ad69e-7e57-4494-8cb8-aee5e83ba445</stp>
        <tr r="G6274" s="2"/>
      </tp>
    </main>
    <main first="rtdsrv_a82eb5a1fc404542a18b1336b70d2c4e">
      <tp>
        <v>5</v>
        <stp/>
        <stp>cb969a91-bbdd-4587-82b3-76dd25d630cc</stp>
        <tr r="G4948" s="2"/>
      </tp>
      <tp>
        <v>5</v>
        <stp/>
        <stp>7a05d010-f3b7-4aa5-87aa-d6bafd33b605</stp>
        <tr r="G5507" s="2"/>
      </tp>
      <tp>
        <v>5</v>
        <stp/>
        <stp>583417aa-5bd0-4fa8-832e-8d83cb90b1f7</stp>
        <tr r="G1972" s="2"/>
      </tp>
      <tp>
        <v>5</v>
        <stp/>
        <stp>e4bf73f6-8a03-402a-a6d9-55afa17ee997</stp>
        <tr r="G6818" s="2"/>
      </tp>
    </main>
    <main first="rtdsrv_a82eb5a1fc404542a18b1336b70d2c4e">
      <tp>
        <v>5</v>
        <stp/>
        <stp>b2514b51-bfa0-48c5-9b1b-bdf744301aba</stp>
        <tr r="G8735" s="2"/>
      </tp>
      <tp>
        <v>5</v>
        <stp/>
        <stp>5bebe3ca-1dd2-4b50-9a17-21f6f4d25cd9</stp>
        <tr r="G4247" s="2"/>
      </tp>
      <tp>
        <v>5</v>
        <stp/>
        <stp>f6b1f37b-44a0-49b7-bd80-c6e7795df627</stp>
        <tr r="G2770" s="2"/>
      </tp>
      <tp>
        <v>5</v>
        <stp/>
        <stp>4cb32ef6-daab-4ee2-9fea-83646087c194</stp>
        <tr r="G8303" s="2"/>
      </tp>
    </main>
    <main first="rtdsrv_a82eb5a1fc404542a18b1336b70d2c4e">
      <tp>
        <v>5</v>
        <stp/>
        <stp>00f331a2-fd3e-446e-830c-b574a56cd52b</stp>
        <tr r="G2693" s="2"/>
      </tp>
      <tp>
        <v>5</v>
        <stp/>
        <stp>3b38d116-17a4-4b11-b0d9-41bbbd88aeea</stp>
        <tr r="G37" s="2"/>
      </tp>
      <tp>
        <v>5</v>
        <stp/>
        <stp>90bbb46b-e57e-48a3-8225-1bc1c47fb136</stp>
        <tr r="G8788" s="2"/>
      </tp>
      <tp>
        <v>5</v>
        <stp/>
        <stp>cfd3a1ca-1453-4aef-8441-5a7df1147c78</stp>
        <tr r="G2519" s="2"/>
      </tp>
    </main>
    <main first="rtdsrv_a82eb5a1fc404542a18b1336b70d2c4e">
      <tp>
        <v>5</v>
        <stp/>
        <stp>16a0065e-dfcd-4401-bde0-d16027d4a1c8</stp>
        <tr r="G7220" s="2"/>
      </tp>
      <tp>
        <v>5</v>
        <stp/>
        <stp>9d92dfc3-846e-4620-9916-99fecf47dc97</stp>
        <tr r="G3885" s="2"/>
      </tp>
      <tp>
        <v>5</v>
        <stp/>
        <stp>d7fe5ac3-0f3d-479f-9ee7-744195adbc2a</stp>
        <tr r="G5481" s="2"/>
      </tp>
    </main>
    <main first="rtdsrv_a82eb5a1fc404542a18b1336b70d2c4e">
      <tp>
        <v>5</v>
        <stp/>
        <stp>dcebebd3-d128-44d6-9769-664aada30004</stp>
        <tr r="G1548" s="2"/>
      </tp>
    </main>
    <main first="rtdsrv_a82eb5a1fc404542a18b1336b70d2c4e">
      <tp>
        <v>5</v>
        <stp/>
        <stp>349d92e5-6b01-42c0-b6f3-21b685f7feec</stp>
        <tr r="G5437" s="2"/>
      </tp>
      <tp>
        <v>5</v>
        <stp/>
        <stp>68db97a4-4f5a-4d92-a6de-ba12a28859c2</stp>
        <tr r="G3170" s="2"/>
      </tp>
      <tp>
        <v>5</v>
        <stp/>
        <stp>0a3ed386-aae7-418f-ab2b-9a491b630cf6</stp>
        <tr r="G49" s="2"/>
      </tp>
    </main>
    <main first="rtdsrv_a82eb5a1fc404542a18b1336b70d2c4e">
      <tp>
        <v>5</v>
        <stp/>
        <stp>e3937e87-a959-4b83-b92d-8eaaf25b1fe7</stp>
        <tr r="G5278" s="2"/>
      </tp>
      <tp>
        <v>6</v>
        <stp/>
        <stp>f3ce3186-cd12-4957-95c0-6a6c7515efe3</stp>
        <tr r="G113" s="2"/>
      </tp>
      <tp>
        <v>5</v>
        <stp/>
        <stp>003cf3a2-2934-4e4b-8030-eeeb042506af</stp>
        <tr r="G7897" s="2"/>
      </tp>
      <tp>
        <v>5</v>
        <stp/>
        <stp>35195e89-475a-43a4-a314-aea896c7e5ef</stp>
        <tr r="G1328" s="2"/>
      </tp>
      <tp>
        <v>5</v>
        <stp/>
        <stp>087061f5-30ca-4030-8473-0309306f599e</stp>
        <tr r="G5358" s="2"/>
      </tp>
    </main>
    <main first="rtdsrv_a82eb5a1fc404542a18b1336b70d2c4e">
      <tp>
        <v>5</v>
        <stp/>
        <stp>6727b481-7df2-43a4-b22f-cea7d3a08cec</stp>
        <tr r="G4599" s="2"/>
      </tp>
      <tp>
        <v>5</v>
        <stp/>
        <stp>195944b2-d1c9-47c7-89f3-a4dc5890f3ed</stp>
        <tr r="G3519" s="2"/>
      </tp>
      <tp>
        <v>5</v>
        <stp/>
        <stp>a7969c09-ecda-4640-8041-6d6d101bbf13</stp>
        <tr r="G8078" s="2"/>
      </tp>
      <tp>
        <v>5</v>
        <stp/>
        <stp>f9f4869d-70a3-49d9-a3e0-05c8925a4ddc</stp>
        <tr r="G4827" s="2"/>
      </tp>
      <tp>
        <v>5</v>
        <stp/>
        <stp>eaa7f930-00cc-40a6-9064-45a6198cccbd</stp>
        <tr r="G7968" s="2"/>
      </tp>
    </main>
    <main first="rtdsrv_a82eb5a1fc404542a18b1336b70d2c4e">
      <tp>
        <v>5</v>
        <stp/>
        <stp>c621503e-e945-45a8-86b0-28949be0ed91</stp>
        <tr r="G6596" s="2"/>
      </tp>
      <tp>
        <v>5</v>
        <stp/>
        <stp>4c67dbc1-0bf3-42f5-8228-590701b66903</stp>
        <tr r="G3573" s="2"/>
      </tp>
      <tp>
        <v>5</v>
        <stp/>
        <stp>2b88dd4f-776e-4eee-900f-d5ca14e77b68</stp>
        <tr r="G3285" s="2"/>
      </tp>
      <tp>
        <v>5</v>
        <stp/>
        <stp>5db3052b-1d8a-4405-b15e-6239c3833f41</stp>
        <tr r="G875" s="2"/>
      </tp>
      <tp>
        <v>5</v>
        <stp/>
        <stp>aacda589-a50e-4133-8770-d270c6f102af</stp>
        <tr r="G5297" s="2"/>
      </tp>
    </main>
    <main first="rtdsrv_a82eb5a1fc404542a18b1336b70d2c4e">
      <tp>
        <v>5</v>
        <stp/>
        <stp>0cdd4257-c919-4058-badd-22d91cee08ca</stp>
        <tr r="G6982" s="2"/>
      </tp>
    </main>
    <main first="rtdsrv_a82eb5a1fc404542a18b1336b70d2c4e">
      <tp>
        <v>5</v>
        <stp/>
        <stp>4a309ef7-f06f-4032-a119-0027af7ad078</stp>
        <tr r="G5919" s="2"/>
      </tp>
    </main>
    <main first="rtdsrv_a82eb5a1fc404542a18b1336b70d2c4e">
      <tp>
        <v>5</v>
        <stp/>
        <stp>4a00aab1-37d8-4418-91ca-af9ec16698e2</stp>
        <tr r="G3166" s="2"/>
      </tp>
    </main>
    <main first="rtdsrv_a82eb5a1fc404542a18b1336b70d2c4e">
      <tp>
        <v>5</v>
        <stp/>
        <stp>7b390299-9c20-4a7b-acd6-c34e383b6c6a</stp>
        <tr r="G406" s="2"/>
      </tp>
      <tp>
        <v>5</v>
        <stp/>
        <stp>f3826255-1e60-4dca-bb17-cfb7d65ad7f4</stp>
        <tr r="G9681" s="2"/>
      </tp>
      <tp>
        <v>5</v>
        <stp/>
        <stp>4a8a7125-f151-4730-b05a-25a49338f2ff</stp>
        <tr r="G1857" s="2"/>
      </tp>
    </main>
    <main first="rtdsrv_a82eb5a1fc404542a18b1336b70d2c4e">
      <tp>
        <v>5</v>
        <stp/>
        <stp>c012c7ea-18c9-416a-b0b9-e15d737d9098</stp>
        <tr r="G3467" s="2"/>
      </tp>
      <tp>
        <v>5</v>
        <stp/>
        <stp>324cdbb7-fc6c-4576-8599-69ab6c326d19</stp>
        <tr r="G804" s="2"/>
      </tp>
      <tp>
        <v>5</v>
        <stp/>
        <stp>26d5040c-6dc0-4111-bf65-e79b6e6cefef</stp>
        <tr r="G5874" s="2"/>
      </tp>
      <tp>
        <v>5</v>
        <stp/>
        <stp>eeb4a18b-ec9f-4aae-988f-44b0a9d0bf66</stp>
        <tr r="G2506" s="2"/>
      </tp>
    </main>
    <main first="rtdsrv_a82eb5a1fc404542a18b1336b70d2c4e">
      <tp>
        <v>5</v>
        <stp/>
        <stp>0e7cfc25-3827-4220-8005-30f51d22bf3a</stp>
        <tr r="G9390" s="2"/>
      </tp>
    </main>
    <main first="rtdsrv_a82eb5a1fc404542a18b1336b70d2c4e">
      <tp>
        <v>5</v>
        <stp/>
        <stp>ae280166-f788-4f3d-9826-0e88e41512c6</stp>
        <tr r="G3019" s="2"/>
      </tp>
    </main>
    <main first="rtdsrv_a82eb5a1fc404542a18b1336b70d2c4e">
      <tp>
        <v>5</v>
        <stp/>
        <stp>a0f95624-4bc7-4e15-814e-867e8245108f</stp>
        <tr r="G9613" s="2"/>
      </tp>
      <tp>
        <v>5</v>
        <stp/>
        <stp>d542837e-b523-425f-bdbf-e2106b9d970d</stp>
        <tr r="G4736" s="2"/>
      </tp>
      <tp>
        <v>5</v>
        <stp/>
        <stp>a8a2f8b3-5144-44d3-8a7f-4d9d1f2bf479</stp>
        <tr r="G8693" s="2"/>
      </tp>
      <tp>
        <v>5</v>
        <stp/>
        <stp>a13b0c56-b8f6-4a3d-8150-5a68b0a1a71e</stp>
        <tr r="G237" s="2"/>
      </tp>
      <tp>
        <v>5</v>
        <stp/>
        <stp>f0987f99-1b44-4530-be62-b28d3a5a755f</stp>
        <tr r="G681" s="2"/>
      </tp>
      <tp>
        <v>5</v>
        <stp/>
        <stp>efbd771d-8b93-4253-9092-938e16c7da0a</stp>
        <tr r="G6694" s="2"/>
      </tp>
    </main>
    <main first="rtdsrv_a82eb5a1fc404542a18b1336b70d2c4e">
      <tp>
        <v>5</v>
        <stp/>
        <stp>8c8eb68f-092c-441b-97a2-b31513095ab9</stp>
        <tr r="G3719" s="2"/>
      </tp>
      <tp>
        <v>5</v>
        <stp/>
        <stp>212045a9-7693-4334-a87c-7f6b93ad0b91</stp>
        <tr r="G7657" s="2"/>
      </tp>
      <tp>
        <v>5</v>
        <stp/>
        <stp>cf406cbc-37c1-460c-9c11-7668c665dc8d</stp>
        <tr r="G6299" s="2"/>
      </tp>
      <tp>
        <v>5</v>
        <stp/>
        <stp>709c190d-20c9-4d18-b33b-bc21e073cd67</stp>
        <tr r="G9028" s="2"/>
      </tp>
      <tp>
        <v>5</v>
        <stp/>
        <stp>0bf3a983-daea-4de7-8130-6939d0ce7572</stp>
        <tr r="G2447" s="2"/>
      </tp>
    </main>
    <main first="rtdsrv_a82eb5a1fc404542a18b1336b70d2c4e">
      <tp>
        <v>5</v>
        <stp/>
        <stp>579903aa-0c83-4fa7-8ca2-fc66922ab4e9</stp>
        <tr r="G530" s="2"/>
      </tp>
    </main>
    <main first="rtdsrv_a82eb5a1fc404542a18b1336b70d2c4e">
      <tp>
        <v>5</v>
        <stp/>
        <stp>4950406d-9eb8-4d3e-ab09-2406954d4c33</stp>
        <tr r="G7145" s="2"/>
      </tp>
    </main>
    <main first="rtdsrv_a82eb5a1fc404542a18b1336b70d2c4e">
      <tp>
        <v>5</v>
        <stp/>
        <stp>3ebd23fa-b20c-4ba2-8178-647aef0d8da3</stp>
        <tr r="G7815" s="2"/>
      </tp>
      <tp>
        <v>5</v>
        <stp/>
        <stp>61082071-0649-4b8d-bbac-a5859c0e7e24</stp>
        <tr r="G247" s="2"/>
      </tp>
      <tp>
        <v>5</v>
        <stp/>
        <stp>f945abbd-c668-4fc0-9be2-8f2118952409</stp>
        <tr r="G1264" s="2"/>
      </tp>
    </main>
    <main first="rtdsrv_a82eb5a1fc404542a18b1336b70d2c4e">
      <tp>
        <v>5</v>
        <stp/>
        <stp>154d8a5a-a32a-4db7-bb00-f3733493d2e3</stp>
        <tr r="G8091" s="2"/>
      </tp>
    </main>
    <main first="rtdsrv_a82eb5a1fc404542a18b1336b70d2c4e">
      <tp>
        <v>5</v>
        <stp/>
        <stp>77077901-87d0-44b5-886a-899a12b439d0</stp>
        <tr r="G6506" s="2"/>
      </tp>
      <tp>
        <v>5</v>
        <stp/>
        <stp>70c54975-80fe-4344-a149-d3a694e82101</stp>
        <tr r="G4497" s="2"/>
      </tp>
    </main>
    <main first="rtdsrv_a82eb5a1fc404542a18b1336b70d2c4e">
      <tp>
        <v>5</v>
        <stp/>
        <stp>3011472e-a229-4765-a1a2-8a8bfbc71612</stp>
        <tr r="G5255" s="2"/>
      </tp>
      <tp>
        <v>5</v>
        <stp/>
        <stp>8698c4d0-0d34-4b73-9103-f45cc5a7677d</stp>
        <tr r="G5333" s="2"/>
      </tp>
    </main>
    <main first="rtdsrv_a82eb5a1fc404542a18b1336b70d2c4e">
      <tp>
        <v>5</v>
        <stp/>
        <stp>5afe29ed-e07b-48dc-b1c7-b78c59e1140a</stp>
        <tr r="G6260" s="2"/>
      </tp>
    </main>
    <main first="rtdsrv_a82eb5a1fc404542a18b1336b70d2c4e">
      <tp>
        <v>5</v>
        <stp/>
        <stp>b22365f8-3db5-4e6c-959b-94ce38b7ee9c</stp>
        <tr r="G6784" s="2"/>
      </tp>
    </main>
    <main first="rtdsrv_a82eb5a1fc404542a18b1336b70d2c4e">
      <tp>
        <v>5</v>
        <stp/>
        <stp>f459f70c-8bfa-43ec-8478-a01d794a7a05</stp>
        <tr r="G5315" s="2"/>
      </tp>
      <tp>
        <v>5</v>
        <stp/>
        <stp>68a2e642-499f-4e07-93d0-d3735e8b0895</stp>
        <tr r="G5715" s="2"/>
      </tp>
      <tp>
        <v>5</v>
        <stp/>
        <stp>6c7887e6-a1a1-4035-9ace-66301b9cd0f4</stp>
        <tr r="G7646" s="2"/>
      </tp>
    </main>
    <main first="rtdsrv_a82eb5a1fc404542a18b1336b70d2c4e">
      <tp>
        <v>5</v>
        <stp/>
        <stp>1efa6f03-2a78-477e-becb-a08861f371a3</stp>
        <tr r="G871" s="2"/>
      </tp>
      <tp>
        <v>5</v>
        <stp/>
        <stp>52e834da-62a6-43dd-84be-37718096a62a</stp>
        <tr r="G3465" s="2"/>
      </tp>
    </main>
    <main first="rtdsrv_a82eb5a1fc404542a18b1336b70d2c4e">
      <tp>
        <v>5</v>
        <stp/>
        <stp>8a28d255-5f76-4950-a9f8-843467e0c4e8</stp>
        <tr r="G2250" s="2"/>
      </tp>
    </main>
    <main first="rtdsrv_a82eb5a1fc404542a18b1336b70d2c4e">
      <tp>
        <v>5</v>
        <stp/>
        <stp>005211ae-e386-43a6-b4d8-06c1b35f34c3</stp>
        <tr r="G6092" s="2"/>
      </tp>
      <tp>
        <v>5</v>
        <stp/>
        <stp>47e9505d-97a4-4ad7-abfa-d9fe9587bd25</stp>
        <tr r="G2184" s="2"/>
      </tp>
    </main>
    <main first="rtdsrv_a82eb5a1fc404542a18b1336b70d2c4e">
      <tp>
        <v>5</v>
        <stp/>
        <stp>ccd8438e-fb9e-4a1b-9445-39302f19b8b3</stp>
        <tr r="G7320" s="2"/>
      </tp>
    </main>
    <main first="rtdsrv_a82eb5a1fc404542a18b1336b70d2c4e">
      <tp>
        <v>5</v>
        <stp/>
        <stp>9fb34f2e-0bf9-4711-b6cf-cad747c9538d</stp>
        <tr r="G6740" s="2"/>
      </tp>
    </main>
    <main first="rtdsrv_a82eb5a1fc404542a18b1336b70d2c4e">
      <tp>
        <v>5</v>
        <stp/>
        <stp>206a84e8-491e-45e6-93db-3750c370daa6</stp>
        <tr r="G2886" s="2"/>
      </tp>
      <tp>
        <v>5</v>
        <stp/>
        <stp>6f2c1882-1e64-4b84-b552-341dbe56482f</stp>
        <tr r="G2386" s="2"/>
      </tp>
      <tp>
        <v>5</v>
        <stp/>
        <stp>463ae07c-d55e-426a-8e7c-df7b1d778195</stp>
        <tr r="G3763" s="2"/>
      </tp>
    </main>
    <main first="rtdsrv_a82eb5a1fc404542a18b1336b70d2c4e">
      <tp>
        <v>5</v>
        <stp/>
        <stp>931f8abb-0181-4dbc-ac1c-f069bdebcc98</stp>
        <tr r="G3488" s="2"/>
      </tp>
    </main>
    <main first="rtdsrv_a82eb5a1fc404542a18b1336b70d2c4e">
      <tp>
        <v>5</v>
        <stp/>
        <stp>ee0b47ee-6a68-48ad-a27d-2c4fba61429d</stp>
        <tr r="G989" s="2"/>
      </tp>
      <tp>
        <v>5</v>
        <stp/>
        <stp>69ca6229-4c94-4d31-a2da-79228c0af753</stp>
        <tr r="G1806" s="2"/>
      </tp>
      <tp>
        <v>5</v>
        <stp/>
        <stp>268e4e73-6347-4ce0-96a8-3268c4a1b577</stp>
        <tr r="G5920" s="2"/>
      </tp>
      <tp>
        <v>5</v>
        <stp/>
        <stp>ddd5cf75-739f-4515-89bf-b3c14e1d930f</stp>
        <tr r="G3418" s="2"/>
      </tp>
    </main>
    <main first="rtdsrv_a82eb5a1fc404542a18b1336b70d2c4e">
      <tp>
        <v>5</v>
        <stp/>
        <stp>30861369-b75a-4750-a117-710987c04a9d</stp>
        <tr r="G1158" s="2"/>
      </tp>
      <tp>
        <v>5</v>
        <stp/>
        <stp>6657909a-c8a2-44b9-86bd-7bc96c1228f2</stp>
        <tr r="G1391" s="2"/>
      </tp>
    </main>
    <main first="rtdsrv_a82eb5a1fc404542a18b1336b70d2c4e">
      <tp>
        <v>5</v>
        <stp/>
        <stp>b4b74823-188a-41ff-a179-daafd2f6e822</stp>
        <tr r="G2185" s="2"/>
      </tp>
    </main>
    <main first="rtdsrv_a82eb5a1fc404542a18b1336b70d2c4e">
      <tp>
        <v>5</v>
        <stp/>
        <stp>d64500bc-1551-458b-9cb0-436de2710165</stp>
        <tr r="G3189" s="2"/>
      </tp>
    </main>
    <main first="rtdsrv_a82eb5a1fc404542a18b1336b70d2c4e">
      <tp>
        <v>5</v>
        <stp/>
        <stp>ce4f4279-28ae-4e04-a229-cb02437ad5aa</stp>
        <tr r="G5906" s="2"/>
      </tp>
    </main>
    <main first="rtdsrv_a82eb5a1fc404542a18b1336b70d2c4e">
      <tp>
        <v>5</v>
        <stp/>
        <stp>5d41f4ea-ea2f-465a-a60a-db48abe7ecd3</stp>
        <tr r="G8258" s="2"/>
      </tp>
    </main>
    <main first="rtdsrv_a82eb5a1fc404542a18b1336b70d2c4e">
      <tp>
        <v>5</v>
        <stp/>
        <stp>e06e0475-19c2-4ed7-a5bb-32815a55a43c</stp>
        <tr r="G9803" s="2"/>
      </tp>
    </main>
    <main first="rtdsrv_a82eb5a1fc404542a18b1336b70d2c4e">
      <tp>
        <v>5</v>
        <stp/>
        <stp>c523b597-a907-455b-86d3-4fb70359352e</stp>
        <tr r="G4751" s="2"/>
      </tp>
      <tp>
        <v>5</v>
        <stp/>
        <stp>317db50c-e4da-4b52-ad8d-6feee9a1237f</stp>
        <tr r="G7740" s="2"/>
      </tp>
    </main>
    <main first="rtdsrv_a82eb5a1fc404542a18b1336b70d2c4e">
      <tp>
        <v>5</v>
        <stp/>
        <stp>6fa68be9-77d1-488d-815e-0578bf4ac61a</stp>
        <tr r="G3085" s="2"/>
      </tp>
      <tp>
        <v>5</v>
        <stp/>
        <stp>e969cc7f-ab35-4b37-8045-aba5cdefd968</stp>
        <tr r="G646" s="2"/>
      </tp>
      <tp>
        <v>5</v>
        <stp/>
        <stp>4f4f676a-79d6-4eb3-ae6a-d7837e685601</stp>
        <tr r="G8705" s="2"/>
      </tp>
      <tp>
        <v>5</v>
        <stp/>
        <stp>99875dac-f98c-4d52-be2b-45c3b933a065</stp>
        <tr r="G9198" s="2"/>
      </tp>
    </main>
    <main first="rtdsrv_a82eb5a1fc404542a18b1336b70d2c4e">
      <tp>
        <v>5</v>
        <stp/>
        <stp>0aa382ab-43c8-4239-9aa7-5fbc7f72c852</stp>
        <tr r="G6948" s="2"/>
      </tp>
    </main>
    <main first="rtdsrv_a82eb5a1fc404542a18b1336b70d2c4e">
      <tp>
        <v>5</v>
        <stp/>
        <stp>ad3f8566-df8a-44e6-8df0-7c16d729a640</stp>
        <tr r="G7302" s="2"/>
      </tp>
      <tp>
        <v>5</v>
        <stp/>
        <stp>b31411ef-7626-4658-a11e-89af106b7257</stp>
        <tr r="G3659" s="2"/>
      </tp>
    </main>
    <main first="rtdsrv_a82eb5a1fc404542a18b1336b70d2c4e">
      <tp>
        <v>5</v>
        <stp/>
        <stp>f76e50c2-2913-4e93-bfa1-3e9e6abfedcc</stp>
        <tr r="G6472" s="2"/>
      </tp>
    </main>
    <main first="rtdsrv_a82eb5a1fc404542a18b1336b70d2c4e">
      <tp>
        <v>5</v>
        <stp/>
        <stp>0be6ac39-61bb-4557-b054-52de446014da</stp>
        <tr r="G2612" s="2"/>
      </tp>
    </main>
    <main first="rtdsrv_a82eb5a1fc404542a18b1336b70d2c4e">
      <tp>
        <v>5</v>
        <stp/>
        <stp>9bf41b19-83f2-4cd4-bc94-407b117b835a</stp>
        <tr r="G1409" s="2"/>
      </tp>
      <tp>
        <v>5</v>
        <stp/>
        <stp>c2a9679e-2ad7-477f-9070-db86a0da7304</stp>
        <tr r="G3221" s="2"/>
      </tp>
    </main>
    <main first="rtdsrv_a82eb5a1fc404542a18b1336b70d2c4e">
      <tp>
        <v>5</v>
        <stp/>
        <stp>e6bcc4ff-7163-4ae7-aee0-a0f16f12f67e</stp>
        <tr r="G8639" s="2"/>
      </tp>
      <tp>
        <v>5</v>
        <stp/>
        <stp>372f745d-dffc-4d69-ad18-c4dc59a04e9d</stp>
        <tr r="G9405" s="2"/>
      </tp>
      <tp>
        <v>5</v>
        <stp/>
        <stp>47151cd1-f06f-4f49-a227-09dfba6a9fee</stp>
        <tr r="G8680" s="2"/>
      </tp>
      <tp>
        <v>5</v>
        <stp/>
        <stp>0f7af827-8f87-49f5-9702-cc43f5a9f2a4</stp>
        <tr r="G9522" s="2"/>
      </tp>
    </main>
    <main first="rtdsrv_a82eb5a1fc404542a18b1336b70d2c4e">
      <tp>
        <v>5</v>
        <stp/>
        <stp>323bb201-dfc6-4333-9bf4-b55552ee81d3</stp>
        <tr r="G2600" s="2"/>
      </tp>
      <tp>
        <v>5</v>
        <stp/>
        <stp>e2058751-5677-4a5f-b704-b323dc5281f5</stp>
        <tr r="G8689" s="2"/>
      </tp>
      <tp>
        <v>5</v>
        <stp/>
        <stp>a58598ed-8076-47b5-a9a0-3f97ad138d30</stp>
        <tr r="G1124" s="2"/>
      </tp>
      <tp>
        <v>5</v>
        <stp/>
        <stp>de077844-166b-4e11-b41e-e86a3161eb1d</stp>
        <tr r="G6902" s="2"/>
      </tp>
      <tp>
        <v>5</v>
        <stp/>
        <stp>2b8b0f8c-0355-49c4-8fd3-e6ade40cfa75</stp>
        <tr r="G1931" s="2"/>
      </tp>
    </main>
    <main first="rtdsrv_a82eb5a1fc404542a18b1336b70d2c4e">
      <tp>
        <v>5</v>
        <stp/>
        <stp>12145900-d9f1-43cf-ae88-91e1cf06fa37</stp>
        <tr r="G6257" s="2"/>
      </tp>
      <tp>
        <v>5</v>
        <stp/>
        <stp>a51d5b49-7ef0-4bce-abe7-65b52624cda8</stp>
        <tr r="G8067" s="2"/>
      </tp>
      <tp>
        <v>5</v>
        <stp/>
        <stp>3cda2f21-6837-4852-961d-058dcf529da7</stp>
        <tr r="G2484" s="2"/>
      </tp>
      <tp>
        <v>5</v>
        <stp/>
        <stp>d73733b4-e037-4d4b-9211-c6a5321701fa</stp>
        <tr r="G9510" s="2"/>
      </tp>
    </main>
    <main first="rtdsrv_a82eb5a1fc404542a18b1336b70d2c4e">
      <tp>
        <v>5</v>
        <stp/>
        <stp>a5702bef-34d7-4fcd-8b2d-6ba68e0d9254</stp>
        <tr r="G7055" s="2"/>
      </tp>
      <tp>
        <v>5</v>
        <stp/>
        <stp>ea604b21-d4d1-4814-a1aa-0332f018c65a</stp>
        <tr r="G319" s="2"/>
      </tp>
      <tp>
        <v>5</v>
        <stp/>
        <stp>8743cf1b-a199-41ce-803e-3225371a9d4b</stp>
        <tr r="G8670" s="2"/>
      </tp>
      <tp>
        <v>5</v>
        <stp/>
        <stp>97155f64-9792-49df-adf7-6b91d4a48995</stp>
        <tr r="G9344" s="2"/>
      </tp>
      <tp>
        <v>5</v>
        <stp/>
        <stp>d5220165-d83a-479b-af79-0d6e2401abef</stp>
        <tr r="G5962" s="2"/>
      </tp>
      <tp>
        <v>5</v>
        <stp/>
        <stp>97665ec2-1aee-4e15-b567-bf7e35d4846f</stp>
        <tr r="G1084" s="2"/>
      </tp>
      <tp>
        <v>5</v>
        <stp/>
        <stp>22b5f301-91eb-430b-a3ae-0a78496f7da0</stp>
        <tr r="G1811" s="2"/>
      </tp>
      <tp>
        <v>5</v>
        <stp/>
        <stp>bee2dfa9-995f-48fe-9d24-5b53d1ce2997</stp>
        <tr r="G9736" s="2"/>
      </tp>
    </main>
    <main first="rtdsrv_a82eb5a1fc404542a18b1336b70d2c4e">
      <tp>
        <v>5</v>
        <stp/>
        <stp>e5e0f2f7-73f3-4bb5-83b2-6220cc0fa1f4</stp>
        <tr r="G1769" s="2"/>
      </tp>
    </main>
    <main first="rtdsrv_a82eb5a1fc404542a18b1336b70d2c4e">
      <tp>
        <v>5</v>
        <stp/>
        <stp>9ac81d71-8f7f-45bc-b674-cfcff928c103</stp>
        <tr r="G8039" s="2"/>
      </tp>
    </main>
    <main first="rtdsrv_a82eb5a1fc404542a18b1336b70d2c4e">
      <tp>
        <v>5</v>
        <stp/>
        <stp>b467fc94-ed6b-4413-98cf-bebaa91fa998</stp>
        <tr r="G3692" s="2"/>
      </tp>
      <tp>
        <v>5</v>
        <stp/>
        <stp>94f91e69-2bf8-467e-bbcf-dd457e536c26</stp>
        <tr r="G9490" s="2"/>
      </tp>
      <tp>
        <v>5</v>
        <stp/>
        <stp>7eb7976f-dd70-4cdc-8956-c2e8f32daf6c</stp>
        <tr r="G7213" s="2"/>
      </tp>
      <tp>
        <v>5</v>
        <stp/>
        <stp>1b886492-e79e-40e3-b4cc-51cc1b3e37bd</stp>
        <tr r="G4222" s="2"/>
      </tp>
      <tp>
        <v>5</v>
        <stp/>
        <stp>b31df878-6d1f-4405-bfe4-bd33e7f159d4</stp>
        <tr r="G7827" s="2"/>
      </tp>
      <tp>
        <v>5</v>
        <stp/>
        <stp>446df975-6f0b-4570-9f5c-a8ce5d8bae8a</stp>
        <tr r="G6949" s="2"/>
      </tp>
      <tp>
        <v>5</v>
        <stp/>
        <stp>d6be7edc-98c9-4d2c-b408-a041494e07ac</stp>
        <tr r="G4554" s="2"/>
      </tp>
    </main>
    <main first="rtdsrv_a82eb5a1fc404542a18b1336b70d2c4e">
      <tp>
        <v>5</v>
        <stp/>
        <stp>653e8f25-65e6-42ab-ad6f-34aa6d548fac</stp>
        <tr r="G8268" s="2"/>
      </tp>
      <tp>
        <v>5</v>
        <stp/>
        <stp>a1525b83-f8ed-4f55-bfae-431ba6ef2cc4</stp>
        <tr r="G9173" s="2"/>
      </tp>
      <tp>
        <v>5</v>
        <stp/>
        <stp>42989bfd-2976-4efb-ac6f-bcd5aaa233b9</stp>
        <tr r="G6877" s="2"/>
      </tp>
      <tp>
        <v>5</v>
        <stp/>
        <stp>439d805d-ac4c-4a96-957c-cb9391cdc71f</stp>
        <tr r="G8016" s="2"/>
      </tp>
      <tp>
        <v>5</v>
        <stp/>
        <stp>07094b26-f983-48d9-b73f-125289657591</stp>
        <tr r="G5137" s="2"/>
      </tp>
      <tp>
        <v>5</v>
        <stp/>
        <stp>6b32b887-ce4b-4cad-a847-1991cc9bf49d</stp>
        <tr r="G694" s="2"/>
      </tp>
      <tp>
        <v>5</v>
        <stp/>
        <stp>1129f5f7-1077-4c0a-8bf1-34ef1232c3c3</stp>
        <tr r="G5129" s="2"/>
      </tp>
      <tp>
        <v>5</v>
        <stp/>
        <stp>0563aedc-7f68-4024-a806-c6dd1cbf61d3</stp>
        <tr r="G6163" s="2"/>
      </tp>
      <tp>
        <v>5</v>
        <stp/>
        <stp>895892b1-d20f-40b2-9291-fd518350f447</stp>
        <tr r="G5967" s="2"/>
      </tp>
      <tp>
        <v>5</v>
        <stp/>
        <stp>4452919d-a8e4-4672-bf06-0135bdfaf472</stp>
        <tr r="G7427" s="2"/>
      </tp>
    </main>
    <main first="rtdsrv_a82eb5a1fc404542a18b1336b70d2c4e">
      <tp>
        <v>5</v>
        <stp/>
        <stp>e430227c-d5e8-4ed4-b9e0-2c0f42ae2e03</stp>
        <tr r="G918" s="2"/>
      </tp>
      <tp>
        <v>5</v>
        <stp/>
        <stp>5f9a6335-4257-4551-ab5a-0708b407da98</stp>
        <tr r="G5048" s="2"/>
      </tp>
      <tp>
        <v>5</v>
        <stp/>
        <stp>7406ad36-7337-4bb5-af3a-71642bd215c5</stp>
        <tr r="G4516" s="2"/>
      </tp>
      <tp>
        <v>5</v>
        <stp/>
        <stp>a7a2b406-3999-46df-9948-9f514b22aa72</stp>
        <tr r="G1799" s="2"/>
      </tp>
      <tp>
        <v>5</v>
        <stp/>
        <stp>dced5b4a-5767-48bf-a34f-bf603522b2dd</stp>
        <tr r="G2881" s="2"/>
      </tp>
    </main>
    <main first="rtdsrv_a82eb5a1fc404542a18b1336b70d2c4e">
      <tp>
        <v>5</v>
        <stp/>
        <stp>e7a5c129-6363-465c-aa6a-bb1e0e242eb1</stp>
        <tr r="G9873" s="2"/>
      </tp>
    </main>
    <main first="rtdsrv_a82eb5a1fc404542a18b1336b70d2c4e">
      <tp>
        <v>5</v>
        <stp/>
        <stp>c8b4d864-011f-4109-8b8c-e4a51f247d50</stp>
        <tr r="G8729" s="2"/>
      </tp>
    </main>
    <main first="rtdsrv_a82eb5a1fc404542a18b1336b70d2c4e">
      <tp>
        <v>5</v>
        <stp/>
        <stp>e0e553b0-ee60-4992-b1f0-8cbd2bcb643d</stp>
        <tr r="G4380" s="2"/>
      </tp>
      <tp>
        <v>5</v>
        <stp/>
        <stp>b742d38c-a8c8-43d7-817d-b0f6160afdfd</stp>
        <tr r="G2397" s="2"/>
      </tp>
      <tp>
        <v>5</v>
        <stp/>
        <stp>f3c74a7f-7a95-47ce-85d3-65e0ba143724</stp>
        <tr r="G1833" s="2"/>
      </tp>
      <tp>
        <v>5</v>
        <stp/>
        <stp>1eac133a-9f54-4662-a18d-ac076c1aab1a</stp>
        <tr r="G9009" s="2"/>
      </tp>
      <tp>
        <v>5</v>
        <stp/>
        <stp>28e90ba4-3f3a-4625-8562-587a8c5f762f</stp>
        <tr r="G1442" s="2"/>
      </tp>
    </main>
    <main first="rtdsrv_a82eb5a1fc404542a18b1336b70d2c4e">
      <tp>
        <v>5</v>
        <stp/>
        <stp>92ed2430-1778-46bf-a4fd-62020ad82c1c</stp>
        <tr r="G3555" s="2"/>
      </tp>
      <tp>
        <v>5</v>
        <stp/>
        <stp>1a2d118f-e550-4cf0-a136-f1a9b20a3283</stp>
        <tr r="G5580" s="2"/>
      </tp>
      <tp>
        <v>5</v>
        <stp/>
        <stp>499e30cc-f1b7-41f3-8a9f-b3d70b917304</stp>
        <tr r="G3602" s="2"/>
      </tp>
    </main>
    <main first="rtdsrv_a82eb5a1fc404542a18b1336b70d2c4e">
      <tp>
        <v>5</v>
        <stp/>
        <stp>6d7e9a42-b03f-4abf-850a-f4f39f5a6da6</stp>
        <tr r="G2717" s="2"/>
      </tp>
      <tp>
        <v>5</v>
        <stp/>
        <stp>3284c1b0-f372-47ee-8738-6584440f6595</stp>
        <tr r="G6251" s="2"/>
      </tp>
      <tp>
        <v>5</v>
        <stp/>
        <stp>56ba0bc4-a690-49fe-ab1d-f67326c63ff7</stp>
        <tr r="G29" s="2"/>
      </tp>
      <tp>
        <v>5</v>
        <stp/>
        <stp>60360901-8055-4a1e-bf01-b80af8db1c75</stp>
        <tr r="G7603" s="2"/>
      </tp>
      <tp>
        <v>5</v>
        <stp/>
        <stp>b08da099-2edb-4927-b846-41e2bc541dcd</stp>
        <tr r="G537" s="2"/>
      </tp>
      <tp>
        <v>5</v>
        <stp/>
        <stp>b977a7d5-bc40-4c8b-8687-74f115e930ed</stp>
        <tr r="G4420" s="2"/>
      </tp>
      <tp>
        <v>5</v>
        <stp/>
        <stp>e4f6a210-a691-4899-89e0-5114c9617479</stp>
        <tr r="G3104" s="2"/>
      </tp>
      <tp>
        <v>5</v>
        <stp/>
        <stp>1eb6e0b8-5b12-4ef4-aa11-743d2dcb02b3</stp>
        <tr r="G7924" s="2"/>
      </tp>
      <tp>
        <v>5</v>
        <stp/>
        <stp>cb745f35-de9a-490d-a02b-d3090f0f9db1</stp>
        <tr r="G3242" s="2"/>
      </tp>
      <tp>
        <v>5</v>
        <stp/>
        <stp>b9076295-c952-4342-8ff6-98bc72ca11f0</stp>
        <tr r="G5217" s="2"/>
      </tp>
    </main>
    <main first="rtdsrv_a82eb5a1fc404542a18b1336b70d2c4e">
      <tp>
        <v>5</v>
        <stp/>
        <stp>e1ea573f-2c23-4c40-9039-8e9263b42f6a</stp>
        <tr r="G2284" s="2"/>
      </tp>
      <tp>
        <v>5</v>
        <stp/>
        <stp>e61665a3-eb9a-401f-83ba-8afb566872bf</stp>
        <tr r="G8056" s="2"/>
      </tp>
      <tp>
        <v>5</v>
        <stp/>
        <stp>fbe5ce04-d600-40c7-9e6e-8137cecbd17d</stp>
        <tr r="G2308" s="2"/>
      </tp>
    </main>
    <main first="rtdsrv_a82eb5a1fc404542a18b1336b70d2c4e">
      <tp>
        <v>5</v>
        <stp/>
        <stp>6beaa4e3-1106-4977-b715-62faab041638</stp>
        <tr r="G8635" s="2"/>
      </tp>
      <tp>
        <v>5</v>
        <stp/>
        <stp>9ced5430-fefe-4aec-b045-90d2de10242d</stp>
        <tr r="G7915" s="2"/>
      </tp>
      <tp>
        <v>5</v>
        <stp/>
        <stp>8c68974a-67f9-47f5-8daa-e93b6005b866</stp>
        <tr r="G931" s="2"/>
      </tp>
      <tp>
        <v>5</v>
        <stp/>
        <stp>da7da15b-8a3b-4d25-9eec-296f901d16f8</stp>
        <tr r="G4667" s="2"/>
      </tp>
    </main>
    <main first="rtdsrv_a82eb5a1fc404542a18b1336b70d2c4e">
      <tp>
        <v>5</v>
        <stp/>
        <stp>4260db43-a5b8-4cfe-b693-9a798834d3a1</stp>
        <tr r="G8595" s="2"/>
      </tp>
      <tp>
        <v>5</v>
        <stp/>
        <stp>220b9a01-65ad-4de9-b5cc-02333979c33c</stp>
        <tr r="G4186" s="2"/>
      </tp>
    </main>
    <main first="rtdsrv_a82eb5a1fc404542a18b1336b70d2c4e">
      <tp>
        <v>5</v>
        <stp/>
        <stp>b685cb08-ad54-454c-b652-f34c0d9e5323</stp>
        <tr r="G5942" s="2"/>
      </tp>
    </main>
    <main first="rtdsrv_a82eb5a1fc404542a18b1336b70d2c4e">
      <tp>
        <v>5</v>
        <stp/>
        <stp>f927317a-0265-45cb-9cc3-a262486ad4f9</stp>
        <tr r="G592" s="2"/>
      </tp>
      <tp>
        <v>5</v>
        <stp/>
        <stp>bef4d756-c6d2-41b4-b80b-6e960a90d6e4</stp>
        <tr r="G7448" s="2"/>
      </tp>
    </main>
    <main first="rtdsrv_a82eb5a1fc404542a18b1336b70d2c4e">
      <tp>
        <v>5</v>
        <stp/>
        <stp>05a8ea36-723e-4753-9c71-8cd7c34da0cb</stp>
        <tr r="G7905" s="2"/>
      </tp>
    </main>
    <main first="rtdsrv_a82eb5a1fc404542a18b1336b70d2c4e">
      <tp>
        <v>5</v>
        <stp/>
        <stp>1b76060f-ab04-4248-bf2b-115731d12849</stp>
        <tr r="G9854" s="2"/>
      </tp>
    </main>
    <main first="rtdsrv_a82eb5a1fc404542a18b1336b70d2c4e">
      <tp>
        <v>5</v>
        <stp/>
        <stp>c5cfcd67-77f7-44e2-86d1-1ac415d0ec66</stp>
        <tr r="G5561" s="2"/>
      </tp>
      <tp>
        <v>5</v>
        <stp/>
        <stp>330b5a8f-a977-4711-87dd-2f69e295d589</stp>
        <tr r="G3525" s="2"/>
      </tp>
      <tp>
        <v>5</v>
        <stp/>
        <stp>a9676256-42cd-488c-a43d-b1013a6cc81c</stp>
        <tr r="G8906" s="2"/>
      </tp>
      <tp>
        <v>5</v>
        <stp/>
        <stp>6889bc7a-d5d6-43f7-b8ac-1ba909b3c582</stp>
        <tr r="G152" s="2"/>
      </tp>
      <tp>
        <v>5</v>
        <stp/>
        <stp>8a50cf78-13e9-4cc6-93e4-8a240f400eaf</stp>
        <tr r="G8357" s="2"/>
      </tp>
    </main>
    <main first="rtdsrv_a82eb5a1fc404542a18b1336b70d2c4e">
      <tp>
        <v>5</v>
        <stp/>
        <stp>2fb0f662-66b4-4675-ba04-15ed24f39e75</stp>
        <tr r="G3472" s="2"/>
      </tp>
      <tp>
        <v>5</v>
        <stp/>
        <stp>898ee16b-72b9-45a5-bd06-f2f4987c9795</stp>
        <tr r="G2465" s="2"/>
      </tp>
      <tp>
        <v>5</v>
        <stp/>
        <stp>72e99117-9e15-4490-a986-3eb89b08e278</stp>
        <tr r="G1983" s="2"/>
      </tp>
    </main>
    <main first="rtdsrv_a82eb5a1fc404542a18b1336b70d2c4e">
      <tp>
        <v>5</v>
        <stp/>
        <stp>b7281fa3-fe47-4fed-a541-aeefad95ca96</stp>
        <tr r="G6246" s="2"/>
      </tp>
    </main>
    <main first="rtdsrv_a82eb5a1fc404542a18b1336b70d2c4e">
      <tp>
        <v>5</v>
        <stp/>
        <stp>777c6ecb-ad76-49c9-b1fe-0888d2866a78</stp>
        <tr r="G4781" s="2"/>
      </tp>
      <tp>
        <v>5</v>
        <stp/>
        <stp>f9149ed3-dfa8-43f8-a5cb-612fcf82738f</stp>
        <tr r="G2232" s="2"/>
      </tp>
      <tp>
        <v>5</v>
        <stp/>
        <stp>772079b5-0060-4920-879f-9ea1dffa43bd</stp>
        <tr r="G687" s="2"/>
      </tp>
      <tp>
        <v>5</v>
        <stp/>
        <stp>3c2a1a3e-493a-4685-9698-b73833a10917</stp>
        <tr r="G1222" s="2"/>
      </tp>
      <tp>
        <v>5</v>
        <stp/>
        <stp>e69c224a-5b24-4631-ba59-3ac2664e7eb3</stp>
        <tr r="G8523" s="2"/>
      </tp>
      <tp>
        <v>5</v>
        <stp/>
        <stp>13c8048b-afc8-4ee3-8c76-5f8627b1342c</stp>
        <tr r="G6332" s="2"/>
      </tp>
      <tp>
        <v>5</v>
        <stp/>
        <stp>430ceda4-23a3-4996-bcb2-5c3c41e75de9</stp>
        <tr r="G2800" s="2"/>
      </tp>
      <tp>
        <v>5</v>
        <stp/>
        <stp>381c7c67-9508-48a6-a5f3-ba35ff79b2f3</stp>
        <tr r="G2778" s="2"/>
      </tp>
    </main>
    <main first="rtdsrv_a82eb5a1fc404542a18b1336b70d2c4e">
      <tp>
        <v>5</v>
        <stp/>
        <stp>0c94933c-0290-45f6-a0d2-458aa83768b9</stp>
        <tr r="G3054" s="2"/>
      </tp>
    </main>
    <main first="rtdsrv_a82eb5a1fc404542a18b1336b70d2c4e">
      <tp>
        <v>5</v>
        <stp/>
        <stp>f1cf8e10-f695-4c33-9644-2276991d4954</stp>
        <tr r="G97" s="2"/>
      </tp>
    </main>
    <main first="rtdsrv_a82eb5a1fc404542a18b1336b70d2c4e">
      <tp>
        <v>5</v>
        <stp/>
        <stp>d21133c1-e5b9-4416-ab1e-b548dcd7f21a</stp>
        <tr r="G9729" s="2"/>
      </tp>
      <tp>
        <v>5</v>
        <stp/>
        <stp>f5e51532-6b05-4627-95ba-7e400134101f</stp>
        <tr r="G632" s="2"/>
      </tp>
    </main>
    <main first="rtdsrv_a82eb5a1fc404542a18b1336b70d2c4e">
      <tp>
        <v>5</v>
        <stp/>
        <stp>b5676ba4-ea4c-4f1c-bc49-85f3e0740fb4</stp>
        <tr r="G2931" s="2"/>
      </tp>
      <tp>
        <v>5</v>
        <stp/>
        <stp>5445db1c-2b03-4259-b1e3-226ca58e39f3</stp>
        <tr r="G634" s="2"/>
      </tp>
      <tp>
        <v>5</v>
        <stp/>
        <stp>87b11a4e-7abc-488e-85bb-6dc13129c580</stp>
        <tr r="G1492" s="2"/>
      </tp>
    </main>
    <main first="rtdsrv_a82eb5a1fc404542a18b1336b70d2c4e">
      <tp>
        <v>5</v>
        <stp/>
        <stp>5c7923f6-d837-4a95-af35-11e0a07e952b</stp>
        <tr r="G7380" s="2"/>
      </tp>
    </main>
    <main first="rtdsrv_a82eb5a1fc404542a18b1336b70d2c4e">
      <tp>
        <v>5</v>
        <stp/>
        <stp>36ded4b3-c025-4ea9-9c93-32d27cdd5698</stp>
        <tr r="G6583" s="2"/>
      </tp>
      <tp>
        <v>5</v>
        <stp/>
        <stp>2ffaff1d-be17-45ac-ab03-d193600f064c</stp>
        <tr r="G4626" s="2"/>
      </tp>
      <tp>
        <v>5</v>
        <stp/>
        <stp>ffdd9575-eaae-41ce-8628-2b161dca0ad9</stp>
        <tr r="G3462" s="2"/>
      </tp>
      <tp>
        <v>5</v>
        <stp/>
        <stp>9b1bc94a-5842-4660-b3fb-47467022c9e0</stp>
        <tr r="G1307" s="2"/>
      </tp>
      <tp>
        <v>5</v>
        <stp/>
        <stp>ff8ce3f6-c4a2-4aa3-bf55-11ec2a116f75</stp>
        <tr r="G3869" s="2"/>
      </tp>
      <tp>
        <v>5</v>
        <stp/>
        <stp>f1f80db3-a06c-491c-9fc3-478f95a8b0b3</stp>
        <tr r="G7571" s="2"/>
      </tp>
    </main>
    <main first="rtdsrv_a82eb5a1fc404542a18b1336b70d2c4e">
      <tp>
        <v>5</v>
        <stp/>
        <stp>1ab50d95-3261-47f3-a174-0761b0f61316</stp>
        <tr r="G969" s="2"/>
      </tp>
    </main>
    <main first="rtdsrv_a82eb5a1fc404542a18b1336b70d2c4e">
      <tp>
        <v>5</v>
        <stp/>
        <stp>c57127b6-e952-4c6d-b017-1f6947c18e2e</stp>
        <tr r="G6237" s="2"/>
      </tp>
      <tp>
        <v>5</v>
        <stp/>
        <stp>16bddd34-eca3-4caf-aa74-c308c63fde92</stp>
        <tr r="G2812" s="2"/>
      </tp>
      <tp>
        <v>5</v>
        <stp/>
        <stp>388b6cc4-e443-48ae-9bf3-802ed86283e1</stp>
        <tr r="G7938" s="2"/>
      </tp>
    </main>
    <main first="rtdsrv_a82eb5a1fc404542a18b1336b70d2c4e">
      <tp>
        <v>5</v>
        <stp/>
        <stp>3344b091-b10e-46a3-aef0-4877897fd314</stp>
        <tr r="G8338" s="2"/>
      </tp>
    </main>
    <main first="rtdsrv_a82eb5a1fc404542a18b1336b70d2c4e">
      <tp>
        <v>5</v>
        <stp/>
        <stp>891a7b55-d6df-44d0-8192-95829704a259</stp>
        <tr r="G9486" s="2"/>
      </tp>
    </main>
    <main first="rtdsrv_a82eb5a1fc404542a18b1336b70d2c4e">
      <tp>
        <v>5</v>
        <stp/>
        <stp>cdf5a882-bf50-4270-9383-dbe190b00b16</stp>
        <tr r="G9680" s="2"/>
      </tp>
    </main>
    <main first="rtdsrv_a82eb5a1fc404542a18b1336b70d2c4e">
      <tp>
        <v>5</v>
        <stp/>
        <stp>aeedc878-e77d-4f82-9c29-7955d0f2972c</stp>
        <tr r="G6926" s="2"/>
      </tp>
      <tp>
        <v>5</v>
        <stp/>
        <stp>03748781-c28e-46cf-b018-e58335237628</stp>
        <tr r="G2429" s="2"/>
      </tp>
    </main>
    <main first="rtdsrv_a82eb5a1fc404542a18b1336b70d2c4e">
      <tp>
        <v>5</v>
        <stp/>
        <stp>170b5788-424f-47d5-b7f0-4f1fb308a469</stp>
        <tr r="G8335" s="2"/>
      </tp>
      <tp>
        <v>5</v>
        <stp/>
        <stp>209260e0-12d4-43a1-b73d-36eb7e115fc9</stp>
        <tr r="G4984" s="2"/>
      </tp>
      <tp>
        <v>5</v>
        <stp/>
        <stp>3239f59b-b8fa-4ea3-afe6-4bcd54c6dc95</stp>
        <tr r="G1749" s="2"/>
      </tp>
    </main>
    <main first="rtdsrv_a82eb5a1fc404542a18b1336b70d2c4e">
      <tp>
        <v>5</v>
        <stp/>
        <stp>b1e35590-3217-47be-bf6f-72704d2ff435</stp>
        <tr r="G2817" s="2"/>
      </tp>
    </main>
    <main first="rtdsrv_a82eb5a1fc404542a18b1336b70d2c4e">
      <tp>
        <v>5</v>
        <stp/>
        <stp>f7c532e0-38fa-4d96-98d5-a001ebc160f8</stp>
        <tr r="G5750" s="2"/>
      </tp>
      <tp>
        <v>5</v>
        <stp/>
        <stp>5ecde5bc-a533-4c93-ad36-f24a310b8482</stp>
        <tr r="G5134" s="2"/>
      </tp>
    </main>
    <main first="rtdsrv_a82eb5a1fc404542a18b1336b70d2c4e">
      <tp>
        <v>5</v>
        <stp/>
        <stp>8e3fc7b6-f6ae-4176-a7d1-4d891ae41e5e</stp>
        <tr r="G7464" s="2"/>
      </tp>
    </main>
    <main first="rtdsrv_a82eb5a1fc404542a18b1336b70d2c4e">
      <tp>
        <v>5</v>
        <stp/>
        <stp>6cae07c7-b8d8-4f8f-82c6-3d696f28976b</stp>
        <tr r="G4660" s="2"/>
      </tp>
      <tp>
        <v>5</v>
        <stp/>
        <stp>8020f913-4f6c-4f37-ba55-433c12e46880</stp>
        <tr r="G1978" s="2"/>
      </tp>
    </main>
    <main first="rtdsrv_a82eb5a1fc404542a18b1336b70d2c4e">
      <tp>
        <v>5</v>
        <stp/>
        <stp>1df900cc-15a7-46ec-ba98-494b51c031ac</stp>
        <tr r="G5931" s="2"/>
      </tp>
    </main>
    <main first="rtdsrv_a82eb5a1fc404542a18b1336b70d2c4e">
      <tp>
        <v>5</v>
        <stp/>
        <stp>452bad5f-d6ca-4b8c-8d79-6e5787f045eb</stp>
        <tr r="G991" s="2"/>
      </tp>
    </main>
    <main first="rtdsrv_a82eb5a1fc404542a18b1336b70d2c4e">
      <tp>
        <v>5</v>
        <stp/>
        <stp>4e1a60c5-0fb8-4e03-9147-10f75b9fe6c7</stp>
        <tr r="G8526" s="2"/>
      </tp>
    </main>
    <main first="rtdsrv_a82eb5a1fc404542a18b1336b70d2c4e">
      <tp>
        <v>5</v>
        <stp/>
        <stp>4e2e229f-406b-4875-8776-74288dc0a7c4</stp>
        <tr r="G7985" s="2"/>
      </tp>
    </main>
    <main first="rtdsrv_a82eb5a1fc404542a18b1336b70d2c4e">
      <tp>
        <v>5</v>
        <stp/>
        <stp>0054a128-859d-4669-9d1a-9b00e1e92d9e</stp>
        <tr r="G4052" s="2"/>
      </tp>
    </main>
    <main first="rtdsrv_a82eb5a1fc404542a18b1336b70d2c4e">
      <tp>
        <v>5</v>
        <stp/>
        <stp>1b9b116e-da8e-4b4d-aba6-321537b8314c</stp>
        <tr r="G5036" s="2"/>
      </tp>
    </main>
    <main first="rtdsrv_a82eb5a1fc404542a18b1336b70d2c4e">
      <tp>
        <v>5</v>
        <stp/>
        <stp>24a383e8-b330-4c4f-bf53-e081d96a8953</stp>
        <tr r="G7578" s="2"/>
      </tp>
    </main>
    <main first="rtdsrv_a82eb5a1fc404542a18b1336b70d2c4e">
      <tp>
        <v>5</v>
        <stp/>
        <stp>c4f0fe38-ded8-43d0-8768-8524211e3130</stp>
        <tr r="G975" s="2"/>
      </tp>
    </main>
    <main first="rtdsrv_a82eb5a1fc404542a18b1336b70d2c4e">
      <tp>
        <v>5</v>
        <stp/>
        <stp>a80ca417-154f-4950-a0c2-78e611c76a85</stp>
        <tr r="G6932" s="2"/>
      </tp>
    </main>
    <main first="rtdsrv_a82eb5a1fc404542a18b1336b70d2c4e">
      <tp>
        <v>5</v>
        <stp/>
        <stp>f0f0bb96-715f-488c-b9f2-938ec3971fe5</stp>
        <tr r="G6885" s="2"/>
      </tp>
    </main>
    <main first="rtdsrv_a82eb5a1fc404542a18b1336b70d2c4e">
      <tp>
        <v>5</v>
        <stp/>
        <stp>8dd14c15-6dbc-4d30-bd7f-6280f15523b1</stp>
        <tr r="G1027" s="2"/>
      </tp>
    </main>
    <main first="rtdsrv_a82eb5a1fc404542a18b1336b70d2c4e">
      <tp>
        <v>5</v>
        <stp/>
        <stp>3fb4f930-8158-436a-a034-2726bef29a85</stp>
        <tr r="G6197" s="2"/>
      </tp>
    </main>
    <main first="rtdsrv_a82eb5a1fc404542a18b1336b70d2c4e">
      <tp>
        <v>5</v>
        <stp/>
        <stp>968770e3-141d-4dab-9e01-7a47e6e14411</stp>
        <tr r="G3973" s="2"/>
      </tp>
      <tp>
        <v>5</v>
        <stp/>
        <stp>daac8f73-af87-45a3-af81-6b91d02a3923</stp>
        <tr r="G8349" s="2"/>
      </tp>
    </main>
    <main first="rtdsrv_a82eb5a1fc404542a18b1336b70d2c4e">
      <tp>
        <v>5</v>
        <stp/>
        <stp>74ec4f8c-54a8-4506-ac74-9d790fbcbb04</stp>
        <tr r="G7846" s="2"/>
      </tp>
      <tp>
        <v>5</v>
        <stp/>
        <stp>3b30e623-e036-4d31-b5e4-4281b5300d72</stp>
        <tr r="G5" s="2"/>
      </tp>
      <tp>
        <v>5</v>
        <stp/>
        <stp>bbfab20e-d1ff-4a9e-a64e-1f52769d1372</stp>
        <tr r="G3439" s="2"/>
      </tp>
    </main>
    <main first="rtdsrv_a82eb5a1fc404542a18b1336b70d2c4e">
      <tp>
        <v>5</v>
        <stp/>
        <stp>f488dc62-f12f-473e-83a6-df3a97760b4a</stp>
        <tr r="G3000" s="2"/>
      </tp>
      <tp>
        <v>5</v>
        <stp/>
        <stp>2a0b6d7a-acf4-4db2-8713-fa52f99ab9bf</stp>
        <tr r="G6146" s="2"/>
      </tp>
      <tp>
        <v>5</v>
        <stp/>
        <stp>ea0dd084-f595-4b90-a324-b655d3d226aa</stp>
        <tr r="G5739" s="2"/>
      </tp>
      <tp>
        <v>5</v>
        <stp/>
        <stp>3ae83c6e-0df6-4fc3-a203-e1ad3cdcbe85</stp>
        <tr r="G1509" s="2"/>
      </tp>
    </main>
    <main first="rtdsrv_a82eb5a1fc404542a18b1336b70d2c4e">
      <tp>
        <v>5</v>
        <stp/>
        <stp>936da407-d353-4303-bce5-3c055f152688</stp>
        <tr r="G7629" s="2"/>
      </tp>
    </main>
    <main first="rtdsrv_a82eb5a1fc404542a18b1336b70d2c4e">
      <tp>
        <v>5</v>
        <stp/>
        <stp>86df5d5a-ad35-4056-a442-4c786c0bd795</stp>
        <tr r="G4823" s="2"/>
      </tp>
    </main>
    <main first="rtdsrv_a82eb5a1fc404542a18b1336b70d2c4e">
      <tp>
        <v>5</v>
        <stp/>
        <stp>b2af9de4-330f-46da-aae1-4d04bb9b8a64</stp>
        <tr r="G6296" s="2"/>
      </tp>
    </main>
    <main first="rtdsrv_a82eb5a1fc404542a18b1336b70d2c4e">
      <tp>
        <v>5</v>
        <stp/>
        <stp>1b724f68-3cdc-4453-8f29-465d15dbe335</stp>
        <tr r="G3859" s="2"/>
      </tp>
    </main>
    <main first="rtdsrv_a82eb5a1fc404542a18b1336b70d2c4e">
      <tp>
        <v>5</v>
        <stp/>
        <stp>2b663f9b-41c3-4f75-8b1b-52b3c653c621</stp>
        <tr r="G2303" s="2"/>
      </tp>
      <tp>
        <v>5</v>
        <stp/>
        <stp>15a93788-3154-4653-b4fc-be62f3688420</stp>
        <tr r="G1718" s="2"/>
      </tp>
    </main>
    <main first="rtdsrv_a82eb5a1fc404542a18b1336b70d2c4e">
      <tp>
        <v>5</v>
        <stp/>
        <stp>a163d886-383a-44dc-9f08-59c38419bbf5</stp>
        <tr r="G484" s="2"/>
      </tp>
      <tp>
        <v>5</v>
        <stp/>
        <stp>d7a877ae-9366-407c-870a-634bf9918fe6</stp>
        <tr r="G8651" s="2"/>
      </tp>
      <tp>
        <v>5</v>
        <stp/>
        <stp>b190f3f2-c052-4581-ba0c-c68c5570be94</stp>
        <tr r="G5635" s="2"/>
      </tp>
    </main>
    <main first="rtdsrv_a82eb5a1fc404542a18b1336b70d2c4e">
      <tp>
        <v>5</v>
        <stp/>
        <stp>c6c86c4c-1c86-408e-98c7-3a6ac1715487</stp>
        <tr r="G4192" s="2"/>
      </tp>
    </main>
    <main first="rtdsrv_a82eb5a1fc404542a18b1336b70d2c4e">
      <tp>
        <v>5</v>
        <stp/>
        <stp>d5776311-5918-4e22-a584-eed87bb80878</stp>
        <tr r="G3451" s="2"/>
      </tp>
      <tp>
        <v>5</v>
        <stp/>
        <stp>76f8f6db-e2d1-4fbb-872b-7c4c44df1d81</stp>
        <tr r="G2460" s="2"/>
      </tp>
      <tp>
        <v>5</v>
        <stp/>
        <stp>1c9ac5ca-026b-4959-ba0a-2906c4af4dba</stp>
        <tr r="G5816" s="2"/>
      </tp>
    </main>
    <main first="rtdsrv_a82eb5a1fc404542a18b1336b70d2c4e">
      <tp>
        <v>5</v>
        <stp/>
        <stp>b8cf20c3-84b5-4bf8-ba81-d78a1768d611</stp>
        <tr r="G9893" s="2"/>
      </tp>
    </main>
    <main first="rtdsrv_a82eb5a1fc404542a18b1336b70d2c4e">
      <tp>
        <v>5</v>
        <stp/>
        <stp>d4e828c7-5fc6-4f11-9f46-c4c2f6624885</stp>
        <tr r="G4005" s="2"/>
      </tp>
    </main>
    <main first="rtdsrv_a82eb5a1fc404542a18b1336b70d2c4e">
      <tp>
        <v>5</v>
        <stp/>
        <stp>99361cd5-c05b-4e19-9249-7ab16e24c65a</stp>
        <tr r="G4454" s="2"/>
      </tp>
    </main>
    <main first="rtdsrv_a82eb5a1fc404542a18b1336b70d2c4e">
      <tp>
        <v>5</v>
        <stp/>
        <stp>843374d0-1e5e-420e-864c-6c9902b82715</stp>
        <tr r="G3351" s="2"/>
      </tp>
    </main>
    <main first="rtdsrv_a82eb5a1fc404542a18b1336b70d2c4e">
      <tp>
        <v>5</v>
        <stp/>
        <stp>06d17e5f-7ea9-4026-8b17-a3688c7b3593</stp>
        <tr r="G7661" s="2"/>
      </tp>
      <tp>
        <v>5</v>
        <stp/>
        <stp>8586eba5-e230-45c7-a060-abd52a718630</stp>
        <tr r="G2300" s="2"/>
      </tp>
      <tp>
        <v>5</v>
        <stp/>
        <stp>bc328668-cb34-4aa2-a84a-477e78290984</stp>
        <tr r="G2477" s="2"/>
      </tp>
    </main>
    <main first="rtdsrv_a82eb5a1fc404542a18b1336b70d2c4e">
      <tp>
        <v>5</v>
        <stp/>
        <stp>852df663-e8bb-47e6-bef9-c5e82d829ac2</stp>
        <tr r="G6109" s="2"/>
      </tp>
      <tp>
        <v>5</v>
        <stp/>
        <stp>7b885d4c-4d1d-48d8-801e-59258a3fce7a</stp>
        <tr r="G9045" s="2"/>
      </tp>
      <tp>
        <v>5</v>
        <stp/>
        <stp>1f183611-e90a-414f-89f7-83a7f90f09d9</stp>
        <tr r="G3389" s="2"/>
      </tp>
    </main>
    <main first="rtdsrv_a82eb5a1fc404542a18b1336b70d2c4e">
      <tp>
        <v>5</v>
        <stp/>
        <stp>97e2a11e-0fd6-4290-9544-04a84bf12b57</stp>
        <tr r="G7349" s="2"/>
      </tp>
      <tp>
        <v>5</v>
        <stp/>
        <stp>601e2fe3-c8eb-462d-a596-cbf3b414889e</stp>
        <tr r="G8385" s="2"/>
      </tp>
      <tp>
        <v>5</v>
        <stp/>
        <stp>1581429f-4c47-4fa2-8f61-4bcf27a4bdea</stp>
        <tr r="G2119" s="2"/>
      </tp>
      <tp>
        <v>5</v>
        <stp/>
        <stp>5b2730ff-255f-47db-a412-75f622095213</stp>
        <tr r="G4378" s="2"/>
      </tp>
      <tp>
        <v>5</v>
        <stp/>
        <stp>45f0b779-7657-4bbb-979c-7ff366e9a83d</stp>
        <tr r="G8795" s="2"/>
      </tp>
    </main>
    <main first="rtdsrv_a82eb5a1fc404542a18b1336b70d2c4e">
      <tp>
        <v>5</v>
        <stp/>
        <stp>22b8f08a-3444-484a-aba8-52b3cf134c1b</stp>
        <tr r="G4414" s="2"/>
      </tp>
      <tp>
        <v>5</v>
        <stp/>
        <stp>970ddbd2-5d1e-435c-a8b6-8ed070da2222</stp>
        <tr r="G7744" s="2"/>
      </tp>
      <tp>
        <v>5</v>
        <stp/>
        <stp>16baca3f-6dbf-4022-ac7b-fbd64530f54e</stp>
        <tr r="G8379" s="2"/>
      </tp>
    </main>
    <main first="rtdsrv_a82eb5a1fc404542a18b1336b70d2c4e">
      <tp>
        <v>5</v>
        <stp/>
        <stp>c13e6ae6-50b9-40fd-aec2-5611bf2674c7</stp>
        <tr r="G7279" s="2"/>
      </tp>
      <tp>
        <v>5</v>
        <stp/>
        <stp>2e7a7bd9-9f06-4808-a50b-1ac03bfca3f0</stp>
        <tr r="G839" s="2"/>
      </tp>
      <tp>
        <v>5</v>
        <stp/>
        <stp>1f3b577c-9bba-4e29-9c1a-35b0dfdf5554</stp>
        <tr r="G337" s="2"/>
      </tp>
      <tp>
        <v>5</v>
        <stp/>
        <stp>11787224-3fd5-4200-aed7-5ed71407c34f</stp>
        <tr r="G369" s="2"/>
      </tp>
    </main>
    <main first="rtdsrv_a82eb5a1fc404542a18b1336b70d2c4e">
      <tp>
        <v>5</v>
        <stp/>
        <stp>fdd06e0d-f3fe-4dca-aef7-0eebb371507b</stp>
        <tr r="G3868" s="2"/>
      </tp>
      <tp>
        <v>5</v>
        <stp/>
        <stp>85336adb-c6c2-49e3-89d3-cb546a72eee2</stp>
        <tr r="G1089" s="2"/>
      </tp>
      <tp>
        <v>5</v>
        <stp/>
        <stp>9160af55-18cc-4ebd-b7ca-ce8666d4843c</stp>
        <tr r="G4567" s="2"/>
      </tp>
      <tp>
        <v>5</v>
        <stp/>
        <stp>b9cd325f-bf46-4f0c-9c60-b8ca6103d3f8</stp>
        <tr r="G5376" s="2"/>
      </tp>
      <tp>
        <v>5</v>
        <stp/>
        <stp>90bd48f5-5ffc-499b-aa52-680e8fcc626f</stp>
        <tr r="G9940" s="2"/>
      </tp>
    </main>
    <main first="rtdsrv_a82eb5a1fc404542a18b1336b70d2c4e">
      <tp>
        <v>5</v>
        <stp/>
        <stp>0f495c24-f708-4872-bf25-c4a1b35dcbe8</stp>
        <tr r="G3218" s="2"/>
      </tp>
      <tp>
        <v>5</v>
        <stp/>
        <stp>c783d4b7-711c-41a1-aeea-414daa35768a</stp>
        <tr r="G5820" s="2"/>
      </tp>
      <tp>
        <v>5</v>
        <stp/>
        <stp>d68b1d91-8d94-4aad-85ea-38e61fbde361</stp>
        <tr r="G1835" s="2"/>
      </tp>
    </main>
    <main first="rtdsrv_a82eb5a1fc404542a18b1336b70d2c4e">
      <tp>
        <v>5</v>
        <stp/>
        <stp>1309adc3-60ce-4cfb-8a0a-38ae194b84bd</stp>
        <tr r="G7580" s="2"/>
      </tp>
    </main>
    <main first="rtdsrv_a82eb5a1fc404542a18b1336b70d2c4e">
      <tp>
        <v>5</v>
        <stp/>
        <stp>22f52a62-dd4e-4716-9fe0-8f3ec64a926e</stp>
        <tr r="G226" s="2"/>
      </tp>
      <tp>
        <v>5</v>
        <stp/>
        <stp>3cc056d8-ff29-4906-9ae6-ff77c43f24f4</stp>
        <tr r="G1897" s="2"/>
      </tp>
      <tp>
        <v>5</v>
        <stp/>
        <stp>e36dd03b-c85e-4a76-832e-46d0dc9a070d</stp>
        <tr r="G813" s="2"/>
      </tp>
      <tp>
        <v>5</v>
        <stp/>
        <stp>e88f2cda-9cba-4a90-ac15-d2fcd6c36a91</stp>
        <tr r="G5499" s="2"/>
      </tp>
      <tp>
        <v>5</v>
        <stp/>
        <stp>438d575f-b864-49a9-8f40-4ff0c2eb090a</stp>
        <tr r="G2285" s="2"/>
      </tp>
      <tp>
        <v>5</v>
        <stp/>
        <stp>138ae484-1eff-466c-bcce-611f48dd39ce</stp>
        <tr r="G812" s="2"/>
      </tp>
      <tp>
        <v>5</v>
        <stp/>
        <stp>80a03621-deb8-4b68-a68e-e702e6b7ee7e</stp>
        <tr r="G817" s="2"/>
      </tp>
      <tp>
        <v>5</v>
        <stp/>
        <stp>9bd42110-bfa4-4bf7-86ba-2f0831b02567</stp>
        <tr r="G3159" s="2"/>
      </tp>
      <tp>
        <v>5</v>
        <stp/>
        <stp>c2b497bf-326e-419a-b60e-771b67f66a6c</stp>
        <tr r="G8160" s="2"/>
      </tp>
    </main>
    <main first="rtdsrv_a82eb5a1fc404542a18b1336b70d2c4e">
      <tp>
        <v>5</v>
        <stp/>
        <stp>0ebc9d85-8fcb-4cdc-9480-7cbccf90eaa0</stp>
        <tr r="G6037" s="2"/>
      </tp>
      <tp>
        <v>5</v>
        <stp/>
        <stp>46358b79-90f5-4d49-b607-23fa95ca2d0a</stp>
        <tr r="G4438" s="2"/>
      </tp>
    </main>
    <main first="rtdsrv_a82eb5a1fc404542a18b1336b70d2c4e">
      <tp>
        <v>5</v>
        <stp/>
        <stp>9794bea5-619e-4232-ac66-0d47608742ee</stp>
        <tr r="G768" s="2"/>
      </tp>
      <tp>
        <v>5</v>
        <stp/>
        <stp>ff5a1869-1d33-428f-b8a5-775afacf5823</stp>
        <tr r="G7519" s="2"/>
      </tp>
    </main>
    <main first="rtdsrv_a82eb5a1fc404542a18b1336b70d2c4e">
      <tp>
        <v>5</v>
        <stp/>
        <stp>d43264ee-01aa-47c5-9f6d-00a7bdceda7c</stp>
        <tr r="G5581" s="2"/>
      </tp>
      <tp>
        <v>5</v>
        <stp/>
        <stp>22994524-2044-45aa-8a88-59cb10bc5c4c</stp>
        <tr r="G1558" s="2"/>
      </tp>
      <tp>
        <v>5</v>
        <stp/>
        <stp>89f45b41-0319-4012-8194-97bf821f4c0f</stp>
        <tr r="G8809" s="2"/>
      </tp>
      <tp>
        <v>5</v>
        <stp/>
        <stp>28809fe5-7391-4447-98e8-c86874c0d15c</stp>
        <tr r="G4985" s="2"/>
      </tp>
    </main>
    <main first="rtdsrv_a82eb5a1fc404542a18b1336b70d2c4e">
      <tp>
        <v>5</v>
        <stp/>
        <stp>bd0d2709-84b4-48d3-be9f-2b5655d4704e</stp>
        <tr r="G4542" s="2"/>
      </tp>
      <tp>
        <v>5</v>
        <stp/>
        <stp>e6163732-de35-4e82-aa3e-5ca76511e4e7</stp>
        <tr r="G5395" s="2"/>
      </tp>
      <tp>
        <v>5</v>
        <stp/>
        <stp>dbadfec7-3f4c-4e79-aadd-d5c2eb1c88e0</stp>
        <tr r="G8023" s="2"/>
      </tp>
    </main>
    <main first="rtdsrv_a82eb5a1fc404542a18b1336b70d2c4e">
      <tp>
        <v>5</v>
        <stp/>
        <stp>db661a80-6ae2-4f2d-8009-eec6efd08df6</stp>
        <tr r="G1446" s="2"/>
      </tp>
    </main>
    <main first="rtdsrv_a82eb5a1fc404542a18b1336b70d2c4e">
      <tp>
        <v>5</v>
        <stp/>
        <stp>d5e04f54-fd3a-436f-8ded-de5037014bb2</stp>
        <tr r="G4439" s="2"/>
      </tp>
      <tp>
        <v>5</v>
        <stp/>
        <stp>0b66bc7b-bad7-4d20-8392-13210fe6c92c</stp>
        <tr r="G4406" s="2"/>
      </tp>
    </main>
    <main first="rtdsrv_a82eb5a1fc404542a18b1336b70d2c4e">
      <tp>
        <v>5</v>
        <stp/>
        <stp>f26b85d6-5392-42ee-9edb-b600457c763e</stp>
        <tr r="G2313" s="2"/>
      </tp>
      <tp>
        <v>5</v>
        <stp/>
        <stp>fcac645f-a752-4c0d-a50b-7cad96bd015c</stp>
        <tr r="G4289" s="2"/>
      </tp>
      <tp>
        <v>5</v>
        <stp/>
        <stp>e2aa0fea-ac0b-4d6b-bb01-5fbf9ef35be1</stp>
        <tr r="G1722" s="2"/>
      </tp>
    </main>
    <main first="rtdsrv_a82eb5a1fc404542a18b1336b70d2c4e">
      <tp>
        <v>5</v>
        <stp/>
        <stp>00cbd829-1d28-422f-a3b3-006332ca69d2</stp>
        <tr r="G820" s="2"/>
      </tp>
    </main>
    <main first="rtdsrv_a82eb5a1fc404542a18b1336b70d2c4e">
      <tp>
        <v>5</v>
        <stp/>
        <stp>c841911c-8020-4733-a4e0-3b686e58bf63</stp>
        <tr r="G349" s="2"/>
      </tp>
      <tp>
        <v>5</v>
        <stp/>
        <stp>a5554bbe-5438-4e76-a9e1-44d1d203016b</stp>
        <tr r="G3732" s="2"/>
      </tp>
    </main>
    <main first="rtdsrv_a82eb5a1fc404542a18b1336b70d2c4e">
      <tp>
        <v>5</v>
        <stp/>
        <stp>590dbdc0-a2da-4723-9ec3-2febd4d9e8ce</stp>
        <tr r="G3038" s="2"/>
      </tp>
    </main>
    <main first="rtdsrv_a82eb5a1fc404542a18b1336b70d2c4e">
      <tp>
        <v>5</v>
        <stp/>
        <stp>94d7f07f-d10e-4a49-a575-69645d4c05e4</stp>
        <tr r="G7114" s="2"/>
      </tp>
    </main>
    <main first="rtdsrv_a82eb5a1fc404542a18b1336b70d2c4e">
      <tp>
        <v>5</v>
        <stp/>
        <stp>de466d72-e036-4bc7-84f0-bbab1ceca27b</stp>
        <tr r="G2557" s="2"/>
      </tp>
      <tp>
        <v>5</v>
        <stp/>
        <stp>1bda5874-a79f-4f8f-8d12-3c69705569e0</stp>
        <tr r="G6664" s="2"/>
      </tp>
    </main>
    <main first="rtdsrv_a82eb5a1fc404542a18b1336b70d2c4e">
      <tp>
        <v>5</v>
        <stp/>
        <stp>bbc88049-4885-4b21-a7d8-67b0ea006c51</stp>
        <tr r="G6989" s="2"/>
      </tp>
      <tp>
        <v>5</v>
        <stp/>
        <stp>3dff62be-df49-46be-b132-2dcbf5fbb3e5</stp>
        <tr r="G6173" s="2"/>
      </tp>
      <tp>
        <v>5</v>
        <stp/>
        <stp>8f50429f-7f55-4470-a7c2-b08e8ee5bc50</stp>
        <tr r="G1049" s="2"/>
      </tp>
      <tp>
        <v>5</v>
        <stp/>
        <stp>5b831bb7-8512-4fd9-baa7-b28a02e46f53</stp>
        <tr r="G884" s="2"/>
      </tp>
      <tp>
        <v>5</v>
        <stp/>
        <stp>285f74cb-a6f8-4e8f-bc82-b77525d02713</stp>
        <tr r="G5893" s="2"/>
      </tp>
    </main>
    <main first="rtdsrv_a82eb5a1fc404542a18b1336b70d2c4e">
      <tp>
        <v>5</v>
        <stp/>
        <stp>fac0ff6e-dcc8-4bd1-9e7b-cb06837032c2</stp>
        <tr r="G5790" s="2"/>
      </tp>
      <tp>
        <v>5</v>
        <stp/>
        <stp>b5801b98-3caa-4f6d-a230-cab4c746ac47</stp>
        <tr r="G5035" s="2"/>
      </tp>
      <tp>
        <v>5</v>
        <stp/>
        <stp>9d4a554a-07d8-4283-ae41-2deb75f8d156</stp>
        <tr r="G8040" s="2"/>
      </tp>
      <tp>
        <v>5</v>
        <stp/>
        <stp>1a080230-fc43-4463-800b-904ce3aee3f6</stp>
        <tr r="G7249" s="2"/>
      </tp>
    </main>
    <main first="rtdsrv_a82eb5a1fc404542a18b1336b70d2c4e">
      <tp>
        <v>5</v>
        <stp/>
        <stp>986f0bd4-44cc-4239-9e5f-263ae1618c4f</stp>
        <tr r="G1069" s="2"/>
      </tp>
    </main>
    <main first="rtdsrv_a82eb5a1fc404542a18b1336b70d2c4e">
      <tp>
        <v>5</v>
        <stp/>
        <stp>07b6d895-a9ce-4178-880a-fe75a30c4656</stp>
        <tr r="G6126" s="2"/>
      </tp>
      <tp>
        <v>5</v>
        <stp/>
        <stp>e548884d-fd21-473d-b622-1935365794a2</stp>
        <tr r="G7016" s="2"/>
      </tp>
      <tp>
        <v>5</v>
        <stp/>
        <stp>1b8fae8b-cbad-41ff-8b1d-6659d0cfd3a8</stp>
        <tr r="G3674" s="2"/>
      </tp>
      <tp>
        <v>5</v>
        <stp/>
        <stp>2771a634-bbe1-4169-ad27-d36abd3419e0</stp>
        <tr r="G3800" s="2"/>
      </tp>
    </main>
    <main first="rtdsrv_a82eb5a1fc404542a18b1336b70d2c4e">
      <tp>
        <v>5</v>
        <stp/>
        <stp>d9cf36ed-9a09-4b34-bc8b-725436cbf8b9</stp>
        <tr r="G2733" s="2"/>
      </tp>
      <tp>
        <v>5</v>
        <stp/>
        <stp>1297da33-7465-4afe-9962-978ed1f177ca</stp>
        <tr r="G7628" s="2"/>
      </tp>
      <tp>
        <v>5</v>
        <stp/>
        <stp>9b3ac100-6fcd-4eec-9bfe-6d06b72d653d</stp>
        <tr r="G764" s="2"/>
      </tp>
      <tp>
        <v>5</v>
        <stp/>
        <stp>99ac7609-f0c8-4112-a098-ff07359ad7ae</stp>
        <tr r="G5914" s="2"/>
      </tp>
      <tp>
        <v>5</v>
        <stp/>
        <stp>59f8b68a-f5b0-4766-8d19-05220d3f39ae</stp>
        <tr r="G2858" s="2"/>
      </tp>
    </main>
    <main first="rtdsrv_a82eb5a1fc404542a18b1336b70d2c4e">
      <tp>
        <v>5</v>
        <stp/>
        <stp>8ac669cb-8f51-4a2f-b80d-51050533443e</stp>
        <tr r="G3679" s="2"/>
      </tp>
      <tp>
        <v>5</v>
        <stp/>
        <stp>6f7565f9-ce35-4157-88f1-452b6e3a2764</stp>
        <tr r="G7457" s="2"/>
      </tp>
      <tp>
        <v>5</v>
        <stp/>
        <stp>faadda64-5f54-4301-932e-2c646bde6142</stp>
        <tr r="G8174" s="2"/>
      </tp>
    </main>
    <main first="rtdsrv_a82eb5a1fc404542a18b1336b70d2c4e">
      <tp>
        <v>5</v>
        <stp/>
        <stp>f650745c-1b12-4fd6-89c2-70d35b542230</stp>
        <tr r="G4288" s="2"/>
      </tp>
      <tp>
        <v>5</v>
        <stp/>
        <stp>ff290b40-7527-4fcf-9f28-42ca5fcc6592</stp>
        <tr r="G1998" s="2"/>
      </tp>
    </main>
    <main first="rtdsrv_a82eb5a1fc404542a18b1336b70d2c4e">
      <tp>
        <v>5</v>
        <stp/>
        <stp>9f4f2415-8541-422c-9c57-093703d8a0b3</stp>
        <tr r="G9949" s="2"/>
      </tp>
    </main>
    <main first="rtdsrv_a82eb5a1fc404542a18b1336b70d2c4e">
      <tp>
        <v>5</v>
        <stp/>
        <stp>a67fd072-603e-49e9-b288-55801c448a6d</stp>
        <tr r="G6710" s="2"/>
      </tp>
      <tp>
        <v>5</v>
        <stp/>
        <stp>e242d722-12d9-4b24-8d71-e0f7b37ee2f2</stp>
        <tr r="G190" s="2"/>
      </tp>
      <tp>
        <v>5</v>
        <stp/>
        <stp>5cb16bb5-31f5-43b6-b1c4-77f6bc0915ac</stp>
        <tr r="G4159" s="2"/>
      </tp>
      <tp>
        <v>5</v>
        <stp/>
        <stp>e1ad0b01-8a0c-4f09-83cd-d7fd4b5aeb5e</stp>
        <tr r="G7325" s="2"/>
      </tp>
      <tp>
        <v>5</v>
        <stp/>
        <stp>123fbe49-3482-4b81-a05a-53258778bbe2</stp>
        <tr r="G1173" s="2"/>
      </tp>
    </main>
    <main first="rtdsrv_a82eb5a1fc404542a18b1336b70d2c4e">
      <tp>
        <v>5</v>
        <stp/>
        <stp>1c119125-abd4-461c-aa2b-a5e2ebd45315</stp>
        <tr r="G8163" s="2"/>
      </tp>
      <tp>
        <v>5</v>
        <stp/>
        <stp>f3568223-fb25-450c-99ba-63455c69a053</stp>
        <tr r="G8179" s="2"/>
      </tp>
    </main>
    <main first="rtdsrv_a82eb5a1fc404542a18b1336b70d2c4e">
      <tp>
        <v>5</v>
        <stp/>
        <stp>efe6e33e-e84a-49d0-b58e-29503a985f42</stp>
        <tr r="G1060" s="2"/>
      </tp>
      <tp>
        <v>5</v>
        <stp/>
        <stp>e5877b75-9399-434a-8029-d96e849a1693</stp>
        <tr r="G1568" s="2"/>
      </tp>
    </main>
    <main first="rtdsrv_a82eb5a1fc404542a18b1336b70d2c4e">
      <tp>
        <v>5</v>
        <stp/>
        <stp>81f534a7-1491-42ef-831c-437f93a59e5c</stp>
        <tr r="G7600" s="2"/>
      </tp>
    </main>
    <main first="rtdsrv_a82eb5a1fc404542a18b1336b70d2c4e">
      <tp>
        <v>5</v>
        <stp/>
        <stp>ee74a0aa-e7f0-493d-ba4e-4361611ddd01</stp>
        <tr r="G3338" s="2"/>
      </tp>
      <tp>
        <v>5</v>
        <stp/>
        <stp>77526e48-ede6-423f-bcb9-2152e4bf408f</stp>
        <tr r="G511" s="2"/>
      </tp>
      <tp>
        <v>5</v>
        <stp/>
        <stp>902c9278-0a66-47d1-b8e7-81d223432b07</stp>
        <tr r="G1301" s="2"/>
      </tp>
      <tp>
        <v>5</v>
        <stp/>
        <stp>6f76e010-0749-4393-9663-76e71fdf450b</stp>
        <tr r="G6791" s="2"/>
      </tp>
      <tp>
        <v>5</v>
        <stp/>
        <stp>c1bf9d11-9cc6-402e-bec7-96b00c4139b3</stp>
        <tr r="G2727" s="2"/>
      </tp>
      <tp>
        <v>5</v>
        <stp/>
        <stp>6e74d910-f623-44d3-b0b7-1b5779580649</stp>
        <tr r="G7561" s="2"/>
      </tp>
    </main>
    <main first="rtdsrv_a82eb5a1fc404542a18b1336b70d2c4e">
      <tp>
        <v>5</v>
        <stp/>
        <stp>1cf1f1f2-2b45-499f-ae5a-cde82cc18261</stp>
        <tr r="G6175" s="2"/>
      </tp>
      <tp>
        <v>5</v>
        <stp/>
        <stp>a7b3a079-d136-4617-b8a6-0318c1c39131</stp>
        <tr r="G6130" s="2"/>
      </tp>
      <tp>
        <v>5</v>
        <stp/>
        <stp>45a2d4b5-f945-4d11-9c6a-7346a4991ae2</stp>
        <tr r="G2709" s="2"/>
      </tp>
      <tp>
        <v>5</v>
        <stp/>
        <stp>40fc9e8c-0d30-46ce-b6b7-c1162c66e694</stp>
        <tr r="G4431" s="2"/>
      </tp>
      <tp>
        <v>5</v>
        <stp/>
        <stp>013976f1-cd1e-427c-ac20-c4f1e0d13707</stp>
        <tr r="G6467" s="2"/>
      </tp>
    </main>
    <main first="rtdsrv_a82eb5a1fc404542a18b1336b70d2c4e">
      <tp>
        <v>5</v>
        <stp/>
        <stp>6d4c5d04-8734-4c29-86f4-315dc4e62dd5</stp>
        <tr r="G8259" s="2"/>
      </tp>
    </main>
    <main first="rtdsrv_a82eb5a1fc404542a18b1336b70d2c4e">
      <tp>
        <v>5</v>
        <stp/>
        <stp>897b42ba-b6c7-4d1c-8bf5-3dd08904071a</stp>
        <tr r="G1791" s="2"/>
      </tp>
    </main>
    <main first="rtdsrv_a82eb5a1fc404542a18b1336b70d2c4e">
      <tp>
        <v>5</v>
        <stp/>
        <stp>2ce005c6-cf6b-4c31-a247-a037540d7287</stp>
        <tr r="G4494" s="2"/>
      </tp>
      <tp>
        <v>5</v>
        <stp/>
        <stp>30ea0476-f519-43b7-be59-26bbbd63b4f7</stp>
        <tr r="G6782" s="2"/>
      </tp>
    </main>
    <main first="rtdsrv_a82eb5a1fc404542a18b1336b70d2c4e">
      <tp>
        <v>5</v>
        <stp/>
        <stp>210f3e81-1b07-4aa4-ad01-3118f2ddddbe</stp>
        <tr r="G6556" s="2"/>
      </tp>
    </main>
    <main first="rtdsrv_a82eb5a1fc404542a18b1336b70d2c4e">
      <tp>
        <v>5</v>
        <stp/>
        <stp>1b4def79-f1fd-4f33-b772-56ed95065c92</stp>
        <tr r="G9564" s="2"/>
      </tp>
      <tp>
        <v>5</v>
        <stp/>
        <stp>97cec4a9-1897-442e-8671-4c30b2b3d762</stp>
        <tr r="G5835" s="2"/>
      </tp>
      <tp>
        <v>5</v>
        <stp/>
        <stp>b7df5867-c5b2-4314-ad46-372e2d9e9968</stp>
        <tr r="G6765" s="2"/>
      </tp>
    </main>
    <main first="rtdsrv_a82eb5a1fc404542a18b1336b70d2c4e">
      <tp>
        <v>5</v>
        <stp/>
        <stp>1f770089-82eb-4798-8e09-828bc13aacbf</stp>
        <tr r="G5833" s="2"/>
      </tp>
      <tp>
        <v>5</v>
        <stp/>
        <stp>7789425c-d170-473c-a602-55e08247c320</stp>
        <tr r="G1630" s="2"/>
      </tp>
      <tp>
        <v>5</v>
        <stp/>
        <stp>b82b74f2-de5e-4c67-b984-c45bbf9853d2</stp>
        <tr r="G3827" s="2"/>
      </tp>
      <tp>
        <v>5</v>
        <stp/>
        <stp>7060b02c-7061-4794-8271-93e47184c05e</stp>
        <tr r="G5452" s="2"/>
      </tp>
    </main>
    <main first="rtdsrv_a82eb5a1fc404542a18b1336b70d2c4e">
      <tp>
        <v>5</v>
        <stp/>
        <stp>6b01f48e-f0bb-4463-a1f3-9aadf1694314</stp>
        <tr r="G144" s="2"/>
      </tp>
    </main>
    <main first="rtdsrv_a82eb5a1fc404542a18b1336b70d2c4e">
      <tp>
        <v>5</v>
        <stp/>
        <stp>9dba4a4b-d7aa-45bd-96b2-cb62fe8d1f03</stp>
        <tr r="G8365" s="2"/>
      </tp>
      <tp>
        <v>5</v>
        <stp/>
        <stp>5d664c12-60db-4262-b43c-9a5d0586cb46</stp>
        <tr r="G1495" s="2"/>
      </tp>
    </main>
    <main first="rtdsrv_a82eb5a1fc404542a18b1336b70d2c4e">
      <tp>
        <v>5</v>
        <stp/>
        <stp>2415808f-7828-46b5-aa31-de8f2b7784b6</stp>
        <tr r="G1582" s="2"/>
      </tp>
    </main>
    <main first="rtdsrv_a82eb5a1fc404542a18b1336b70d2c4e">
      <tp>
        <v>5</v>
        <stp/>
        <stp>4d0937ff-b3bf-4e85-b07d-9376e085c6cd</stp>
        <tr r="G4407" s="2"/>
      </tp>
      <tp>
        <v>5</v>
        <stp/>
        <stp>587b7cfc-896d-4b4d-807b-aab74e30c264</stp>
        <tr r="G5723" s="2"/>
      </tp>
      <tp>
        <v>5</v>
        <stp/>
        <stp>d21d9426-485e-40ca-9915-21abe6167c3e</stp>
        <tr r="G8416" s="2"/>
      </tp>
      <tp>
        <v>5</v>
        <stp/>
        <stp>a3bf28a6-c49e-4730-9a28-4eb3e853916c</stp>
        <tr r="G5460" s="2"/>
      </tp>
    </main>
    <main first="rtdsrv_a82eb5a1fc404542a18b1336b70d2c4e">
      <tp>
        <v>5</v>
        <stp/>
        <stp>e14c47da-cd25-4b8c-bcfd-8f9843272353</stp>
        <tr r="G5356" s="2"/>
      </tp>
      <tp>
        <v>5</v>
        <stp/>
        <stp>1d4e36f3-ce5d-439a-9e40-ed0646aba080</stp>
        <tr r="G8148" s="2"/>
      </tp>
    </main>
    <main first="rtdsrv_a82eb5a1fc404542a18b1336b70d2c4e">
      <tp>
        <v>5</v>
        <stp/>
        <stp>0e2d5293-1e54-43c0-8064-1e468e048f0c</stp>
        <tr r="G4244" s="2"/>
      </tp>
    </main>
    <main first="rtdsrv_a82eb5a1fc404542a18b1336b70d2c4e">
      <tp>
        <v>5</v>
        <stp/>
        <stp>7cbd7a5a-673c-4227-9379-392d994c1213</stp>
        <tr r="G6961" s="2"/>
      </tp>
    </main>
    <main first="rtdsrv_a82eb5a1fc404542a18b1336b70d2c4e">
      <tp>
        <v>5</v>
        <stp/>
        <stp>c49b9e90-86c4-4063-9d5f-548c88e22ec9</stp>
        <tr r="G3626" s="2"/>
      </tp>
    </main>
    <main first="rtdsrv_a82eb5a1fc404542a18b1336b70d2c4e">
      <tp>
        <v>5</v>
        <stp/>
        <stp>ea0ed59d-ed00-4661-97ea-c54772046dfa</stp>
        <tr r="G9852" s="2"/>
      </tp>
      <tp>
        <v>5</v>
        <stp/>
        <stp>c1ef862e-7110-475f-9300-7e4b928c474c</stp>
        <tr r="G3585" s="2"/>
      </tp>
      <tp>
        <v>5</v>
        <stp/>
        <stp>d08ffe9e-79b3-4b12-ae50-adc424a7d3d9</stp>
        <tr r="G887" s="2"/>
      </tp>
    </main>
    <main first="rtdsrv_a82eb5a1fc404542a18b1336b70d2c4e">
      <tp>
        <v>5</v>
        <stp/>
        <stp>3e644d70-195f-4ed5-beb4-8d60f16614c4</stp>
        <tr r="G3546" s="2"/>
      </tp>
    </main>
    <main first="rtdsrv_a82eb5a1fc404542a18b1336b70d2c4e">
      <tp>
        <v>5</v>
        <stp/>
        <stp>f0abef3d-120f-478e-87e5-47188790aa21</stp>
        <tr r="G1137" s="2"/>
      </tp>
    </main>
    <main first="rtdsrv_a82eb5a1fc404542a18b1336b70d2c4e">
      <tp>
        <v>5</v>
        <stp/>
        <stp>155b37d2-a8bb-4254-9fe5-cf351a427342</stp>
        <tr r="G5771" s="2"/>
      </tp>
      <tp>
        <v>5</v>
        <stp/>
        <stp>d69b8016-873f-4ad5-9770-8240c9e1f112</stp>
        <tr r="G6278" s="2"/>
      </tp>
    </main>
    <main first="rtdsrv_a82eb5a1fc404542a18b1336b70d2c4e">
      <tp>
        <v>5</v>
        <stp/>
        <stp>fb201b86-75c6-4408-9873-070bf811e1b7</stp>
        <tr r="G7674" s="2"/>
      </tp>
    </main>
    <main first="rtdsrv_a82eb5a1fc404542a18b1336b70d2c4e">
      <tp>
        <v>5</v>
        <stp/>
        <stp>9374dfdf-9116-43fc-9192-be1b6a814465</stp>
        <tr r="G8378" s="2"/>
      </tp>
      <tp>
        <v>5</v>
        <stp/>
        <stp>99064ca1-6c7a-4656-9707-51eea99bcd61</stp>
        <tr r="G4621" s="2"/>
      </tp>
      <tp>
        <v>5</v>
        <stp/>
        <stp>c62bd0aa-3ea3-417f-8445-1aebf89b380a</stp>
        <tr r="G8278" s="2"/>
      </tp>
    </main>
    <main first="rtdsrv_a82eb5a1fc404542a18b1336b70d2c4e">
      <tp>
        <v>5</v>
        <stp/>
        <stp>39013e59-0a33-4659-a4e9-7ee4d148fbc4</stp>
        <tr r="G7809" s="2"/>
      </tp>
    </main>
    <main first="rtdsrv_a82eb5a1fc404542a18b1336b70d2c4e">
      <tp>
        <v>5</v>
        <stp/>
        <stp>76cf3e47-cca4-445a-b5ae-679fdcaa4bf0</stp>
        <tr r="G1200" s="2"/>
      </tp>
    </main>
    <main first="rtdsrv_a82eb5a1fc404542a18b1336b70d2c4e">
      <tp>
        <v>5</v>
        <stp/>
        <stp>33572592-2220-40cf-a1cc-10e5f33cd4dc</stp>
        <tr r="G763" s="2"/>
      </tp>
    </main>
    <main first="rtdsrv_a82eb5a1fc404542a18b1336b70d2c4e">
      <tp>
        <v>5</v>
        <stp/>
        <stp>b0d05c9f-c380-4dd1-90be-07742cc8210b</stp>
        <tr r="G8535" s="2"/>
      </tp>
    </main>
    <main first="rtdsrv_a82eb5a1fc404542a18b1336b70d2c4e">
      <tp>
        <v>5</v>
        <stp/>
        <stp>abde794f-2cd9-4600-8487-2a06a7cae18f</stp>
        <tr r="G6887" s="2"/>
      </tp>
    </main>
    <main first="rtdsrv_a82eb5a1fc404542a18b1336b70d2c4e">
      <tp>
        <v>5</v>
        <stp/>
        <stp>16f2af34-ac3f-4644-a3ff-be815a84ea8a</stp>
        <tr r="G5112" s="2"/>
      </tp>
      <tp>
        <v>5</v>
        <stp/>
        <stp>447ca2f5-d412-4fa4-b417-5a9fe8353807</stp>
        <tr r="G3061" s="2"/>
      </tp>
      <tp>
        <v>5</v>
        <stp/>
        <stp>4a594a30-f988-47b5-9991-9e43a1a8c833</stp>
        <tr r="G6465" s="2"/>
      </tp>
      <tp>
        <v>5</v>
        <stp/>
        <stp>c880e323-33a5-4dc9-9ba1-cb2865f1e141</stp>
        <tr r="G48" s="2"/>
      </tp>
      <tp>
        <v>5</v>
        <stp/>
        <stp>b174146c-ac1c-4c8f-b41f-e97ac483a8c5</stp>
        <tr r="G9313" s="2"/>
      </tp>
      <tp>
        <v>5</v>
        <stp/>
        <stp>00d75277-47c1-4023-9f44-d48c06613568</stp>
        <tr r="G3648" s="2"/>
      </tp>
      <tp>
        <v>5</v>
        <stp/>
        <stp>38f5fb99-9358-4217-bc8d-d8dc51e01ca6</stp>
        <tr r="G9903" s="2"/>
      </tp>
      <tp>
        <v>5</v>
        <stp/>
        <stp>00b205b8-8791-47cb-b623-e6d88d1fe994</stp>
        <tr r="G8701" s="2"/>
      </tp>
    </main>
    <main first="rtdsrv_a82eb5a1fc404542a18b1336b70d2c4e">
      <tp>
        <v>5</v>
        <stp/>
        <stp>e16f227a-d07e-423d-8cea-9a13a91e488e</stp>
        <tr r="G4729" s="2"/>
      </tp>
      <tp>
        <v>5</v>
        <stp/>
        <stp>b1823acd-cfca-4555-83a0-8cf1644f567f</stp>
        <tr r="G5077" s="2"/>
      </tp>
      <tp>
        <v>5</v>
        <stp/>
        <stp>a2ff0f8e-36c3-40af-aad4-2b42a6b0b7b9</stp>
        <tr r="G7481" s="2"/>
      </tp>
    </main>
    <main first="rtdsrv_a82eb5a1fc404542a18b1336b70d2c4e">
      <tp>
        <v>5</v>
        <stp/>
        <stp>78b950cc-c006-433d-87c9-980afd3aa6c5</stp>
        <tr r="G510" s="2"/>
      </tp>
    </main>
    <main first="rtdsrv_a82eb5a1fc404542a18b1336b70d2c4e">
      <tp>
        <v>5</v>
        <stp/>
        <stp>4d9dd573-005b-41c6-95a6-93497fb69e67</stp>
        <tr r="G4874" s="2"/>
      </tp>
    </main>
    <main first="rtdsrv_a82eb5a1fc404542a18b1336b70d2c4e">
      <tp>
        <v>5</v>
        <stp/>
        <stp>3daa5dd9-15fb-42b4-b51b-928576094629</stp>
        <tr r="G4986" s="2"/>
      </tp>
      <tp>
        <v>5</v>
        <stp/>
        <stp>cbbfd4a2-eef4-429b-b069-24f4b128ddc5</stp>
        <tr r="G5594" s="2"/>
      </tp>
      <tp>
        <v>5</v>
        <stp/>
        <stp>72f6508c-40b1-4fb3-b4b1-e90e39dabab1</stp>
        <tr r="G4476" s="2"/>
      </tp>
    </main>
    <main first="rtdsrv_a82eb5a1fc404542a18b1336b70d2c4e">
      <tp>
        <v>5</v>
        <stp/>
        <stp>95b38fcd-d169-473d-b4d9-b563efcbeb5f</stp>
        <tr r="G351" s="2"/>
      </tp>
      <tp>
        <v>5</v>
        <stp/>
        <stp>0da7b157-1456-4fb2-8b55-1569412efa84</stp>
        <tr r="G8902" s="2"/>
      </tp>
      <tp>
        <v>5</v>
        <stp/>
        <stp>db3034d7-4011-4173-b854-9f69115f2594</stp>
        <tr r="G6337" s="2"/>
      </tp>
    </main>
    <main first="rtdsrv_a82eb5a1fc404542a18b1336b70d2c4e">
      <tp>
        <v>5</v>
        <stp/>
        <stp>81304e07-2502-4563-b239-001fbda6546d</stp>
        <tr r="G6788" s="2"/>
      </tp>
    </main>
    <main first="rtdsrv_a82eb5a1fc404542a18b1336b70d2c4e">
      <tp>
        <v>5</v>
        <stp/>
        <stp>0e6e0f3b-cabd-4b43-ab48-7b2367b364e0</stp>
        <tr r="G8568" s="2"/>
      </tp>
      <tp>
        <v>5</v>
        <stp/>
        <stp>8450eefa-8464-40ba-ac67-4a3af8274a87</stp>
        <tr r="G7461" s="2"/>
      </tp>
    </main>
    <main first="rtdsrv_a82eb5a1fc404542a18b1336b70d2c4e">
      <tp>
        <v>5</v>
        <stp/>
        <stp>5d6ef8c7-72d9-4876-adde-72d748987562</stp>
        <tr r="G5742" s="2"/>
      </tp>
    </main>
    <main first="rtdsrv_a82eb5a1fc404542a18b1336b70d2c4e">
      <tp>
        <v>5</v>
        <stp/>
        <stp>e0f9c552-4818-4246-b03c-044ba666f0cb</stp>
        <tr r="G4401" s="2"/>
      </tp>
    </main>
    <main first="rtdsrv_a82eb5a1fc404542a18b1336b70d2c4e">
      <tp>
        <v>5</v>
        <stp/>
        <stp>ccf02a88-0cde-4506-bd3f-b57ba6734222</stp>
        <tr r="G6619" s="2"/>
      </tp>
      <tp>
        <v>5</v>
        <stp/>
        <stp>9614c721-36c4-4381-8739-149b8a854cdc</stp>
        <tr r="G9994" s="2"/>
      </tp>
      <tp>
        <v>5</v>
        <stp/>
        <stp>47ebca25-b24a-48d3-a2f8-a463c011ec3a</stp>
        <tr r="G234" s="2"/>
      </tp>
    </main>
    <main first="rtdsrv_a82eb5a1fc404542a18b1336b70d2c4e">
      <tp>
        <v>5</v>
        <stp/>
        <stp>d660d38d-0a82-460c-bf76-5ab8410c17af</stp>
        <tr r="G6987" s="2"/>
      </tp>
      <tp>
        <v>5</v>
        <stp/>
        <stp>baf8eda0-130c-410f-9994-af84691042c1</stp>
        <tr r="G4211" s="2"/>
      </tp>
    </main>
    <main first="rtdsrv_a82eb5a1fc404542a18b1336b70d2c4e">
      <tp>
        <v>5</v>
        <stp/>
        <stp>ec555185-d2c4-43cd-b5fd-96fc246a20a6</stp>
        <tr r="G6766" s="2"/>
      </tp>
    </main>
    <main first="rtdsrv_a82eb5a1fc404542a18b1336b70d2c4e">
      <tp>
        <v>5</v>
        <stp/>
        <stp>fc910179-2f6b-45b6-a05c-dd4ac81699d1</stp>
        <tr r="G5240" s="2"/>
      </tp>
      <tp>
        <v>5</v>
        <stp/>
        <stp>d8207469-fd61-4364-aa5a-287a6eec209b</stp>
        <tr r="G4451" s="2"/>
      </tp>
    </main>
    <main first="rtdsrv_a82eb5a1fc404542a18b1336b70d2c4e">
      <tp>
        <v>5</v>
        <stp/>
        <stp>a19e8cbd-bb23-46e0-97df-1b2df634964c</stp>
        <tr r="G2898" s="2"/>
      </tp>
    </main>
    <main first="rtdsrv_a82eb5a1fc404542a18b1336b70d2c4e">
      <tp>
        <v>5</v>
        <stp/>
        <stp>89fd51d5-829b-46b4-9982-ddddc85a8f94</stp>
        <tr r="G7514" s="2"/>
      </tp>
      <tp>
        <v>5</v>
        <stp/>
        <stp>02d51087-c802-44c0-b716-d2b537c31c92</stp>
        <tr r="G8634" s="2"/>
      </tp>
    </main>
    <main first="rtdsrv_a82eb5a1fc404542a18b1336b70d2c4e">
      <tp>
        <v>5</v>
        <stp/>
        <stp>aca104b5-4aeb-4487-a663-b6fb01e5ac89</stp>
        <tr r="G6083" s="2"/>
      </tp>
      <tp>
        <v>5</v>
        <stp/>
        <stp>273e74f6-0df1-4350-a050-0fc22383ce1d</stp>
        <tr r="G4470" s="2"/>
      </tp>
      <tp>
        <v>5</v>
        <stp/>
        <stp>3a520d86-1cf9-4a34-851c-00cf9565623f</stp>
        <tr r="G7931" s="2"/>
      </tp>
    </main>
    <main first="rtdsrv_a82eb5a1fc404542a18b1336b70d2c4e">
      <tp>
        <v>5</v>
        <stp/>
        <stp>db496aac-7996-42bd-ae75-1ef48f59aba2</stp>
        <tr r="G9644" s="2"/>
      </tp>
    </main>
    <main first="rtdsrv_a82eb5a1fc404542a18b1336b70d2c4e">
      <tp>
        <v>5</v>
        <stp/>
        <stp>9538e412-65f9-4d68-aa5c-b8562b80cf2d</stp>
        <tr r="G5462" s="2"/>
      </tp>
      <tp>
        <v>5</v>
        <stp/>
        <stp>f1db8ee3-429c-46d4-9efd-b697a5fc67cf</stp>
        <tr r="G5393" s="2"/>
      </tp>
    </main>
    <main first="rtdsrv_a82eb5a1fc404542a18b1336b70d2c4e">
      <tp>
        <v>5</v>
        <stp/>
        <stp>f0f94b0a-c811-471c-b797-b0ff7eb5f868</stp>
        <tr r="G1160" s="2"/>
      </tp>
      <tp>
        <v>5</v>
        <stp/>
        <stp>bbf4ca5a-b703-455c-8aa0-1d4011385082</stp>
        <tr r="G3975" s="2"/>
      </tp>
      <tp>
        <v>5</v>
        <stp/>
        <stp>19325d36-f4bf-4dbe-8386-9688dbb3943b</stp>
        <tr r="G708" s="2"/>
      </tp>
      <tp>
        <v>5</v>
        <stp/>
        <stp>e57913e0-1903-4e35-ab7e-b011105b33a1</stp>
        <tr r="G6496" s="2"/>
      </tp>
    </main>
    <main first="rtdsrv_a82eb5a1fc404542a18b1336b70d2c4e">
      <tp>
        <v>5</v>
        <stp/>
        <stp>4d3984b6-0eff-49ad-b5ca-b21bee896676</stp>
        <tr r="G5984" s="2"/>
      </tp>
    </main>
    <main first="rtdsrv_a82eb5a1fc404542a18b1336b70d2c4e">
      <tp>
        <v>5</v>
        <stp/>
        <stp>a283ef89-c36a-41a1-9770-4af52b6c0489</stp>
        <tr r="G9188" s="2"/>
      </tp>
      <tp>
        <v>5</v>
        <stp/>
        <stp>0a98e394-ac49-4d67-96e6-6227a0f03eef</stp>
        <tr r="G3751" s="2"/>
      </tp>
    </main>
    <main first="rtdsrv_a82eb5a1fc404542a18b1336b70d2c4e">
      <tp>
        <v>5</v>
        <stp/>
        <stp>add52658-3e6a-4e36-ac35-5b3bb42ad4d1</stp>
        <tr r="G8925" s="2"/>
      </tp>
      <tp>
        <v>5</v>
        <stp/>
        <stp>3a0eb106-3354-496a-addf-ca6b2b6a6c13</stp>
        <tr r="G4044" s="2"/>
      </tp>
      <tp>
        <v>5</v>
        <stp/>
        <stp>55fad067-f5f2-4af3-8fbf-b1c755fcc0b2</stp>
        <tr r="G8401" s="2"/>
      </tp>
      <tp>
        <v>5</v>
        <stp/>
        <stp>f0402c7e-d108-450d-9e6b-f4cc46550ab7</stp>
        <tr r="G6476" s="2"/>
      </tp>
      <tp>
        <v>5</v>
        <stp/>
        <stp>43214a28-034c-4b1a-9a4d-94b11ddfaa59</stp>
        <tr r="G348" s="2"/>
      </tp>
      <tp>
        <v>5</v>
        <stp/>
        <stp>70fca838-d31d-47f4-a79d-2ebabfefdda2</stp>
        <tr r="G3718" s="2"/>
      </tp>
    </main>
    <main first="rtdsrv_a82eb5a1fc404542a18b1336b70d2c4e">
      <tp>
        <v>5</v>
        <stp/>
        <stp>0f82810c-ef79-4dd3-a4d6-0bde059334ab</stp>
        <tr r="G1605" s="2"/>
      </tp>
      <tp>
        <v>5</v>
        <stp/>
        <stp>027ae2a2-6822-4715-be08-ef777a3f7262</stp>
        <tr r="G1837" s="2"/>
      </tp>
      <tp>
        <v>5</v>
        <stp/>
        <stp>cfa32eda-bef7-49e5-8007-d0367c01410e</stp>
        <tr r="G2352" s="2"/>
      </tp>
    </main>
    <main first="rtdsrv_a82eb5a1fc404542a18b1336b70d2c4e">
      <tp>
        <v>5</v>
        <stp/>
        <stp>b44acd2d-d803-4036-99a7-c69bd7000dd9</stp>
        <tr r="G914" s="2"/>
      </tp>
      <tp>
        <v>5</v>
        <stp/>
        <stp>2b20d7e9-a422-4eb6-84a8-6bfe5c8e0da7</stp>
        <tr r="G326" s="2"/>
      </tp>
      <tp>
        <v>5</v>
        <stp/>
        <stp>20195daf-02f7-4ff7-bbe6-960821ac27a4</stp>
        <tr r="G5199" s="2"/>
      </tp>
    </main>
    <main first="rtdsrv_a82eb5a1fc404542a18b1336b70d2c4e">
      <tp>
        <v>5</v>
        <stp/>
        <stp>1d8a0d83-cb15-4147-870d-8db605d143d2</stp>
        <tr r="G5287" s="2"/>
      </tp>
      <tp>
        <v>5</v>
        <stp/>
        <stp>057ab743-73ff-4133-800a-4c1b12253a63</stp>
        <tr r="G8443" s="2"/>
      </tp>
    </main>
    <main first="rtdsrv_a82eb5a1fc404542a18b1336b70d2c4e">
      <tp>
        <v>5</v>
        <stp/>
        <stp>59046ad7-ae5f-4d4f-beb2-c56f49cc9731</stp>
        <tr r="G2981" s="2"/>
      </tp>
      <tp>
        <v>5</v>
        <stp/>
        <stp>46260d29-b3be-4a09-8dbc-c8ce27055bfb</stp>
        <tr r="G1447" s="2"/>
      </tp>
    </main>
    <main first="rtdsrv_a82eb5a1fc404542a18b1336b70d2c4e">
      <tp>
        <v>5</v>
        <stp/>
        <stp>811adae1-e88a-408e-9c3f-55942cc7035e</stp>
        <tr r="G5307" s="2"/>
      </tp>
    </main>
    <main first="rtdsrv_a82eb5a1fc404542a18b1336b70d2c4e">
      <tp>
        <v>5</v>
        <stp/>
        <stp>2a78bc3a-b575-4b53-85ba-377bf7cce7a8</stp>
        <tr r="G1830" s="2"/>
      </tp>
      <tp>
        <v>5</v>
        <stp/>
        <stp>9e2f548f-f613-44a7-979b-b95ad161478c</stp>
        <tr r="G2666" s="2"/>
      </tp>
    </main>
    <main first="rtdsrv_a82eb5a1fc404542a18b1336b70d2c4e">
      <tp>
        <v>5</v>
        <stp/>
        <stp>89f5280e-451d-43cd-aa44-ed7eea426f14</stp>
        <tr r="G2543" s="2"/>
      </tp>
      <tp>
        <v>5</v>
        <stp/>
        <stp>7271eea6-719c-40e7-8526-312f5e651706</stp>
        <tr r="G3791" s="2"/>
      </tp>
      <tp>
        <v>5</v>
        <stp/>
        <stp>8a7eac7e-aa97-4e0c-a567-f73dea41af40</stp>
        <tr r="G4003" s="2"/>
      </tp>
    </main>
    <main first="rtdsrv_a82eb5a1fc404542a18b1336b70d2c4e">
      <tp>
        <v>5</v>
        <stp/>
        <stp>c0b681db-4739-4967-b3af-5bb91c267da3</stp>
        <tr r="G4112" s="2"/>
      </tp>
      <tp>
        <v>5</v>
        <stp/>
        <stp>a778c237-c6eb-4096-864f-668d9b916636</stp>
        <tr r="G7409" s="2"/>
      </tp>
      <tp>
        <v>5</v>
        <stp/>
        <stp>56026231-e334-408d-ae07-c4ada6aeb1aa</stp>
        <tr r="G9916" s="2"/>
      </tp>
    </main>
    <main first="rtdsrv_a82eb5a1fc404542a18b1336b70d2c4e">
      <tp>
        <v>5</v>
        <stp/>
        <stp>5448d5d9-e7f1-441a-a8cb-f3e45b012165</stp>
        <tr r="G6395" s="2"/>
      </tp>
      <tp>
        <v>5</v>
        <stp/>
        <stp>d88430dd-821a-44f2-aa74-7d77c33e3d8e</stp>
        <tr r="G2038" s="2"/>
      </tp>
    </main>
    <main first="rtdsrv_a82eb5a1fc404542a18b1336b70d2c4e">
      <tp>
        <v>5</v>
        <stp/>
        <stp>5554c97c-3a3e-4652-b899-be87bc689425</stp>
        <tr r="G3923" s="2"/>
      </tp>
      <tp>
        <v>5</v>
        <stp/>
        <stp>0d896662-c9f6-48dc-bd1b-c572e10fea46</stp>
        <tr r="G8911" s="2"/>
      </tp>
      <tp>
        <v>5</v>
        <stp/>
        <stp>ecbe3da3-50dd-48bc-b734-14d806530f06</stp>
        <tr r="G3359" s="2"/>
      </tp>
    </main>
    <main first="rtdsrv_a82eb5a1fc404542a18b1336b70d2c4e">
      <tp>
        <v>5</v>
        <stp/>
        <stp>2f0d7bcd-cec7-4bb4-ad2d-eca4f3a53747</stp>
        <tr r="G8374" s="2"/>
      </tp>
      <tp>
        <v>5</v>
        <stp/>
        <stp>926c7379-51e0-4c7b-b3cc-535ec564d569</stp>
        <tr r="G6473" s="2"/>
      </tp>
      <tp>
        <v>5</v>
        <stp/>
        <stp>2b2e793b-cf9d-42ee-8a7c-07a6285e0c60</stp>
        <tr r="G214" s="2"/>
      </tp>
      <tp>
        <v>5</v>
        <stp/>
        <stp>77ca5a63-6df5-475d-982f-922fede84ff5</stp>
        <tr r="G5641" s="2"/>
      </tp>
      <tp>
        <v>5</v>
        <stp/>
        <stp>627cf95c-f126-4610-b461-ade0e07f896a</stp>
        <tr r="G7652" s="2"/>
      </tp>
      <tp>
        <v>5</v>
        <stp/>
        <stp>ea6c8174-4231-4722-ad7e-be6e7616d470</stp>
        <tr r="G1112" s="2"/>
      </tp>
    </main>
    <main first="rtdsrv_a82eb5a1fc404542a18b1336b70d2c4e">
      <tp>
        <v>5</v>
        <stp/>
        <stp>ca33265d-f05f-4b64-85c7-b1c2adb0e5fb</stp>
        <tr r="G7021" s="2"/>
      </tp>
      <tp>
        <v>5</v>
        <stp/>
        <stp>346212b3-20ee-4c96-8655-d47e6ca4dfa4</stp>
        <tr r="G5360" s="2"/>
      </tp>
      <tp>
        <v>5</v>
        <stp/>
        <stp>de03f839-06eb-47f8-996a-a09f302dce8f</stp>
        <tr r="G6232" s="2"/>
      </tp>
    </main>
    <main first="rtdsrv_a82eb5a1fc404542a18b1336b70d2c4e">
      <tp>
        <v>5</v>
        <stp/>
        <stp>58d0ef7d-a080-4983-b76b-0776984653e6</stp>
        <tr r="G240" s="2"/>
      </tp>
    </main>
    <main first="rtdsrv_a82eb5a1fc404542a18b1336b70d2c4e">
      <tp>
        <v>5</v>
        <stp/>
        <stp>23c0954e-857f-466e-a980-aa682b0c0f3b</stp>
        <tr r="G7013" s="2"/>
      </tp>
      <tp>
        <v>5</v>
        <stp/>
        <stp>b292d44d-b50c-4fe5-8e0c-54b5a2f21a83</stp>
        <tr r="G4610" s="2"/>
      </tp>
    </main>
    <main first="rtdsrv_a82eb5a1fc404542a18b1336b70d2c4e">
      <tp>
        <v>5</v>
        <stp/>
        <stp>1eb9f4cf-37d9-4df3-a897-98198761aaa9</stp>
        <tr r="G3125" s="2"/>
      </tp>
    </main>
    <main first="rtdsrv_a82eb5a1fc404542a18b1336b70d2c4e">
      <tp>
        <v>5</v>
        <stp/>
        <stp>2cb1a008-37a1-4f6a-a3f4-ac0b1fd69db3</stp>
        <tr r="G9097" s="2"/>
      </tp>
      <tp>
        <v>5</v>
        <stp/>
        <stp>461f1e16-aeef-46dd-99e1-226e91f236cd</stp>
        <tr r="G6386" s="2"/>
      </tp>
    </main>
    <main first="rtdsrv_a82eb5a1fc404542a18b1336b70d2c4e">
      <tp>
        <v>5</v>
        <stp/>
        <stp>a226ecaf-3cbb-40b8-a6fe-bc5f9addd8c5</stp>
        <tr r="G8285" s="2"/>
      </tp>
      <tp>
        <v>5</v>
        <stp/>
        <stp>71d85739-6519-44f6-b33b-6c3e52d28b0a</stp>
        <tr r="G5138" s="2"/>
      </tp>
    </main>
    <main first="rtdsrv_a82eb5a1fc404542a18b1336b70d2c4e">
      <tp>
        <v>5</v>
        <stp/>
        <stp>86568f07-2ab7-4682-87aa-49cb870d1917</stp>
        <tr r="G7944" s="2"/>
      </tp>
      <tp>
        <v>5</v>
        <stp/>
        <stp>4e91fb1c-c23a-4ae7-b79a-5d7c803c1888</stp>
        <tr r="G4759" s="2"/>
      </tp>
      <tp>
        <v>5</v>
        <stp/>
        <stp>e51f545d-4bba-4226-8506-f20ba10c2671</stp>
        <tr r="G9111" s="2"/>
      </tp>
    </main>
    <main first="rtdsrv_a82eb5a1fc404542a18b1336b70d2c4e">
      <tp>
        <v>5</v>
        <stp/>
        <stp>b594408c-caf0-4171-934e-c7c14672ad17</stp>
        <tr r="G956" s="2"/>
      </tp>
      <tp>
        <v>5</v>
        <stp/>
        <stp>e6eec2b7-3adf-4223-880a-b60b624c66c0</stp>
        <tr r="G4920" s="2"/>
      </tp>
    </main>
    <main first="rtdsrv_a82eb5a1fc404542a18b1336b70d2c4e">
      <tp>
        <v>5</v>
        <stp/>
        <stp>e88eaea4-1c1c-41ac-9b5c-0d85c9624a7f</stp>
        <tr r="G4022" s="2"/>
      </tp>
      <tp>
        <v>5</v>
        <stp/>
        <stp>c50977cb-9b65-4705-b789-e0e1dd41cd91</stp>
        <tr r="G8348" s="2"/>
      </tp>
      <tp>
        <v>5</v>
        <stp/>
        <stp>fd3e839f-f881-4b2d-b3ab-99d003ecb81b</stp>
        <tr r="G4313" s="2"/>
      </tp>
      <tp>
        <v>5</v>
        <stp/>
        <stp>dd6de3f3-af43-4b5c-8637-e7e42f617127</stp>
        <tr r="G3665" s="2"/>
      </tp>
      <tp>
        <v>5</v>
        <stp/>
        <stp>52f3d168-138a-4403-82c0-3418fbca82a2</stp>
        <tr r="G9919" s="2"/>
      </tp>
    </main>
    <main first="rtdsrv_a82eb5a1fc404542a18b1336b70d2c4e">
      <tp>
        <v>5</v>
        <stp/>
        <stp>826734b8-10f8-4005-874e-6777b2f51505</stp>
        <tr r="G7899" s="2"/>
      </tp>
      <tp>
        <v>5</v>
        <stp/>
        <stp>30e0af35-2212-40eb-a7a7-7656c2662e03</stp>
        <tr r="G344" s="2"/>
      </tp>
      <tp>
        <v>5</v>
        <stp/>
        <stp>7e0c346e-6273-4cdf-8c74-010946a58710</stp>
        <tr r="G8199" s="2"/>
      </tp>
      <tp>
        <v>5</v>
        <stp/>
        <stp>d3e7d905-950f-42a9-9086-fe3ea2c7bcf9</stp>
        <tr r="G2591" s="2"/>
      </tp>
    </main>
    <main first="rtdsrv_a82eb5a1fc404542a18b1336b70d2c4e">
      <tp>
        <v>5</v>
        <stp/>
        <stp>dd6f2bcc-23a5-4ff5-bc4c-026898b39916</stp>
        <tr r="G5740" s="2"/>
      </tp>
      <tp>
        <v>5</v>
        <stp/>
        <stp>0e067b7e-ab13-468f-8f0d-ef933b91b2a0</stp>
        <tr r="G3637" s="2"/>
      </tp>
    </main>
    <main first="rtdsrv_a82eb5a1fc404542a18b1336b70d2c4e">
      <tp>
        <v>5</v>
        <stp/>
        <stp>a4169d6d-35db-4b45-b31b-a3c53e6897d7</stp>
        <tr r="G6164" s="2"/>
      </tp>
      <tp>
        <v>5</v>
        <stp/>
        <stp>5a20c458-657e-4b2a-bb75-138c318e11f7</stp>
        <tr r="G2946" s="2"/>
      </tp>
    </main>
    <main first="rtdsrv_a82eb5a1fc404542a18b1336b70d2c4e">
      <tp>
        <v>5</v>
        <stp/>
        <stp>1811d986-c0b8-4f79-a3c5-6795e9cbf07c</stp>
        <tr r="G5093" s="2"/>
      </tp>
    </main>
    <main first="rtdsrv_a82eb5a1fc404542a18b1336b70d2c4e">
      <tp>
        <v>5</v>
        <stp/>
        <stp>9d5f1fa9-658e-4ce8-8bc8-b98f9a5a315a</stp>
        <tr r="G3498" s="2"/>
      </tp>
      <tp>
        <v>5</v>
        <stp/>
        <stp>fcbfa86b-1471-4f09-9f17-d0a4102a9deb</stp>
        <tr r="G8869" s="2"/>
      </tp>
      <tp>
        <v>5</v>
        <stp/>
        <stp>ca2ce251-a778-4f0c-a777-05b46c46663f</stp>
        <tr r="G5553" s="2"/>
      </tp>
    </main>
    <main first="rtdsrv_a82eb5a1fc404542a18b1336b70d2c4e">
      <tp>
        <v>5</v>
        <stp/>
        <stp>c22e58c6-acea-488e-a72b-f568273ae876</stp>
        <tr r="G4785" s="2"/>
      </tp>
    </main>
    <main first="rtdsrv_a82eb5a1fc404542a18b1336b70d2c4e">
      <tp>
        <v>5</v>
        <stp/>
        <stp>41875dfe-f42b-4221-a6d6-3e985ac05dd3</stp>
        <tr r="G4175" s="2"/>
      </tp>
    </main>
    <main first="rtdsrv_a82eb5a1fc404542a18b1336b70d2c4e">
      <tp>
        <v>5</v>
        <stp/>
        <stp>fae16d77-e425-41a1-a625-ab1430cf57cc</stp>
        <tr r="G4929" s="2"/>
      </tp>
      <tp>
        <v>5</v>
        <stp/>
        <stp>e84438cc-3b78-4110-bd92-20ed8527e927</stp>
        <tr r="G106" s="2"/>
      </tp>
      <tp>
        <v>5</v>
        <stp/>
        <stp>fe7c22a7-7439-4cbd-8083-192977cfa4b4</stp>
        <tr r="G1926" s="2"/>
      </tp>
      <tp>
        <v>5</v>
        <stp/>
        <stp>0b92b980-029f-4217-8582-95d235ccdbd7</stp>
        <tr r="G2235" s="2"/>
      </tp>
      <tp>
        <v>5</v>
        <stp/>
        <stp>8f73db62-7504-43b1-abce-e077fb627521</stp>
        <tr r="G6331" s="2"/>
      </tp>
    </main>
    <main first="rtdsrv_a82eb5a1fc404542a18b1336b70d2c4e">
      <tp>
        <v>5</v>
        <stp/>
        <stp>82f58d03-dc5d-4fa2-b8fa-96278b52641c</stp>
        <tr r="G4927" s="2"/>
      </tp>
      <tp>
        <v>5</v>
        <stp/>
        <stp>52a07df8-0489-4a72-9924-9c1a4a6b9bb9</stp>
        <tr r="G3324" s="2"/>
      </tp>
      <tp>
        <v>5</v>
        <stp/>
        <stp>95d88a25-bae3-4bd4-872a-554ae1c472c4</stp>
        <tr r="G8312" s="2"/>
      </tp>
      <tp>
        <v>5</v>
        <stp/>
        <stp>237622b5-ae47-4ee3-b0f2-433d66b5a619</stp>
        <tr r="G9413" s="2"/>
      </tp>
    </main>
    <main first="rtdsrv_a82eb5a1fc404542a18b1336b70d2c4e">
      <tp>
        <v>5</v>
        <stp/>
        <stp>ce131652-1c6d-46de-b6b2-505230b58cac</stp>
        <tr r="G8883" s="2"/>
      </tp>
      <tp>
        <v>5</v>
        <stp/>
        <stp>2ad2228d-d509-498c-89c2-37e350e5868f</stp>
        <tr r="G6075" s="2"/>
      </tp>
    </main>
    <main first="rtdsrv_a82eb5a1fc404542a18b1336b70d2c4e">
      <tp>
        <v>5</v>
        <stp/>
        <stp>c11516e7-d31c-4880-bfb2-46fea6b66726</stp>
        <tr r="G5100" s="2"/>
      </tp>
      <tp>
        <v>5</v>
        <stp/>
        <stp>953f9b60-a45f-4b73-b471-a67cdde8df11</stp>
        <tr r="G6168" s="2"/>
      </tp>
      <tp>
        <v>5</v>
        <stp/>
        <stp>a1878c20-57ae-4c81-841b-76269c944475</stp>
        <tr r="G2736" s="2"/>
      </tp>
      <tp>
        <v>5</v>
        <stp/>
        <stp>4407b734-7e35-46a4-8415-bb3c8d39a102</stp>
        <tr r="G524" s="2"/>
      </tp>
      <tp>
        <v>5</v>
        <stp/>
        <stp>546cfb67-6ff2-47e3-ab52-67eceedd7264</stp>
        <tr r="G6555" s="2"/>
      </tp>
    </main>
    <main first="rtdsrv_a82eb5a1fc404542a18b1336b70d2c4e">
      <tp>
        <v>5</v>
        <stp/>
        <stp>39fc40c7-0ae0-47ce-b16f-dff928d2b2c0</stp>
        <tr r="G2009" s="2"/>
      </tp>
      <tp>
        <v>5</v>
        <stp/>
        <stp>7b075a82-cb60-4eb1-9759-9c70eee24db2</stp>
        <tr r="G3766" s="2"/>
      </tp>
      <tp>
        <v>5</v>
        <stp/>
        <stp>b722fe47-8915-4444-8c22-4c70c987e0af</stp>
        <tr r="G7362" s="2"/>
      </tp>
    </main>
    <main first="rtdsrv_a82eb5a1fc404542a18b1336b70d2c4e">
      <tp>
        <v>5</v>
        <stp/>
        <stp>7bbf5934-e480-48f9-9d0d-8b7571379e9e</stp>
        <tr r="G9973" s="2"/>
      </tp>
    </main>
    <main first="rtdsrv_a82eb5a1fc404542a18b1336b70d2c4e">
      <tp>
        <v>5</v>
        <stp/>
        <stp>61953c1e-24fe-4c6f-817b-22b301bf63b7</stp>
        <tr r="G7683" s="2"/>
      </tp>
      <tp>
        <v>5</v>
        <stp/>
        <stp>b7554342-6c89-43f1-b06c-22bc9196e7f4</stp>
        <tr r="G2953" s="2"/>
      </tp>
    </main>
    <main first="rtdsrv_a82eb5a1fc404542a18b1336b70d2c4e">
      <tp>
        <v>5</v>
        <stp/>
        <stp>69d935f4-d5a2-4069-ad34-a9803ce7f9b2</stp>
        <tr r="G4540" s="2"/>
      </tp>
      <tp>
        <v>5</v>
        <stp/>
        <stp>27d4a132-69d6-4586-b010-21f86e0fab4c</stp>
        <tr r="G4340" s="2"/>
      </tp>
    </main>
    <main first="rtdsrv_a82eb5a1fc404542a18b1336b70d2c4e">
      <tp>
        <v>5</v>
        <stp/>
        <stp>bef38734-ca83-4396-9f29-d23f75a683c1</stp>
        <tr r="G3779" s="2"/>
      </tp>
    </main>
    <main first="rtdsrv_a82eb5a1fc404542a18b1336b70d2c4e">
      <tp>
        <v>5</v>
        <stp/>
        <stp>4a0bcb21-ca91-4c9d-8b08-3cb4bc7ac523</stp>
        <tr r="G4084" s="2"/>
      </tp>
      <tp>
        <v>5</v>
        <stp/>
        <stp>cbfb3814-3e57-444b-b995-4c25df1eb688</stp>
        <tr r="G7570" s="2"/>
      </tp>
      <tp>
        <v>5</v>
        <stp/>
        <stp>a6e13f84-7301-444d-9323-b6f9a07f9609</stp>
        <tr r="G5427" s="2"/>
      </tp>
      <tp>
        <v>5</v>
        <stp/>
        <stp>217f8720-f7b9-4a9e-8a3e-217af48392da</stp>
        <tr r="G3689" s="2"/>
      </tp>
    </main>
    <main first="rtdsrv_a82eb5a1fc404542a18b1336b70d2c4e">
      <tp>
        <v>5</v>
        <stp/>
        <stp>ed459eb1-aaef-4724-85e5-e6d1fdc59b90</stp>
        <tr r="G2075" s="2"/>
      </tp>
    </main>
    <main first="rtdsrv_a82eb5a1fc404542a18b1336b70d2c4e">
      <tp>
        <v>5</v>
        <stp/>
        <stp>38fac81a-1934-4b50-a76b-cfffa34becc2</stp>
        <tr r="G4954" s="2"/>
      </tp>
      <tp>
        <v>5</v>
        <stp/>
        <stp>0fbbbc1c-5839-473d-8e93-d8ceab39065c</stp>
        <tr r="G7811" s="2"/>
      </tp>
      <tp>
        <v>5</v>
        <stp/>
        <stp>8cf8e8ca-a0e6-4bf9-a84e-221202d7c687</stp>
        <tr r="G4832" s="2"/>
      </tp>
    </main>
    <main first="rtdsrv_a82eb5a1fc404542a18b1336b70d2c4e">
      <tp>
        <v>5</v>
        <stp/>
        <stp>405793d6-46b1-433b-bb17-3e76cf828fb9</stp>
        <tr r="G6513" s="2"/>
      </tp>
    </main>
    <main first="rtdsrv_a82eb5a1fc404542a18b1336b70d2c4e">
      <tp>
        <v>5</v>
        <stp/>
        <stp>5387152a-fd80-4185-bb51-65ec6afae5a4</stp>
        <tr r="G663" s="2"/>
      </tp>
    </main>
    <main first="rtdsrv_a82eb5a1fc404542a18b1336b70d2c4e">
      <tp>
        <v>5</v>
        <stp/>
        <stp>17ffb3d7-ab6b-47e5-bf5a-5f811563a72f</stp>
        <tr r="G5282" s="2"/>
      </tp>
    </main>
    <main first="rtdsrv_a82eb5a1fc404542a18b1336b70d2c4e">
      <tp>
        <v>5</v>
        <stp/>
        <stp>477ce798-34e2-4eba-aedd-b5073dfe5f57</stp>
        <tr r="G5977" s="2"/>
      </tp>
      <tp>
        <v>5</v>
        <stp/>
        <stp>b4ac22bf-88cf-4094-946a-18a1af1d9c7b</stp>
        <tr r="G8546" s="2"/>
      </tp>
    </main>
    <main first="rtdsrv_a82eb5a1fc404542a18b1336b70d2c4e">
      <tp>
        <v>5</v>
        <stp/>
        <stp>ae5a0e2d-6593-418b-8a51-65bdffff4390</stp>
        <tr r="G6820" s="2"/>
      </tp>
      <tp>
        <v>5</v>
        <stp/>
        <stp>5c5e5879-2b6b-4c49-9ccc-876a103ea583</stp>
        <tr r="G5497" s="2"/>
      </tp>
    </main>
    <main first="rtdsrv_a82eb5a1fc404542a18b1336b70d2c4e">
      <tp>
        <v>5</v>
        <stp/>
        <stp>2e805025-07c1-4f00-883e-33f110e6bde7</stp>
        <tr r="G8435" s="2"/>
      </tp>
    </main>
    <main first="rtdsrv_a82eb5a1fc404542a18b1336b70d2c4e">
      <tp>
        <v>5</v>
        <stp/>
        <stp>5e689ae4-cf8c-430b-aaf1-49938931eb00</stp>
        <tr r="G3879" s="2"/>
      </tp>
      <tp>
        <v>5</v>
        <stp/>
        <stp>7c9820dd-ea21-4be8-b690-31c2a379e4f0</stp>
        <tr r="G7523" s="2"/>
      </tp>
    </main>
    <main first="rtdsrv_a82eb5a1fc404542a18b1336b70d2c4e">
      <tp>
        <v>5</v>
        <stp/>
        <stp>9fe8bef0-e1d4-4ae3-9d97-d411ca3c7899</stp>
        <tr r="G7280" s="2"/>
      </tp>
      <tp>
        <v>5</v>
        <stp/>
        <stp>f95b487a-2c67-4c7c-864e-628ff2df8ef1</stp>
        <tr r="G1296" s="2"/>
      </tp>
    </main>
    <main first="rtdsrv_a82eb5a1fc404542a18b1336b70d2c4e">
      <tp>
        <v>5</v>
        <stp/>
        <stp>20bec138-330e-44c8-a6e0-38cc148e3b69</stp>
        <tr r="G2448" s="2"/>
      </tp>
      <tp>
        <v>5</v>
        <stp/>
        <stp>1184fa43-bc7f-4370-a36f-2face66cceae</stp>
        <tr r="G7826" s="2"/>
      </tp>
      <tp>
        <v>5</v>
        <stp/>
        <stp>b5404023-47cf-47a1-9d13-9b98ecbfc1f1</stp>
        <tr r="G3533" s="2"/>
      </tp>
      <tp>
        <v>5</v>
        <stp/>
        <stp>cd4b71e0-c527-4782-b3de-668232bfbedc</stp>
        <tr r="G2469" s="2"/>
      </tp>
    </main>
    <main first="rtdsrv_a82eb5a1fc404542a18b1336b70d2c4e">
      <tp>
        <v>5</v>
        <stp/>
        <stp>6fc3349c-c2c8-48b3-8a96-024369d1b11f</stp>
        <tr r="G7261" s="2"/>
      </tp>
      <tp>
        <v>5</v>
        <stp/>
        <stp>b87f6953-4c90-4c39-93d3-d67d99c22f91</stp>
        <tr r="G7296" s="2"/>
      </tp>
    </main>
    <main first="rtdsrv_a82eb5a1fc404542a18b1336b70d2c4e">
      <tp>
        <v>5</v>
        <stp/>
        <stp>e6367a15-6e37-4df3-8aaf-8693a2e6a6ee</stp>
        <tr r="G8014" s="2"/>
      </tp>
    </main>
    <main first="rtdsrv_a82eb5a1fc404542a18b1336b70d2c4e">
      <tp>
        <v>5</v>
        <stp/>
        <stp>8f600eaf-b451-4883-b0c9-c127e5dd144d</stp>
        <tr r="G3579" s="2"/>
      </tp>
    </main>
    <main first="rtdsrv_a82eb5a1fc404542a18b1336b70d2c4e">
      <tp>
        <v>5</v>
        <stp/>
        <stp>3dd51bdd-3263-4376-8719-eb13f0450a6e</stp>
        <tr r="G7856" s="2"/>
      </tp>
    </main>
    <main first="rtdsrv_a82eb5a1fc404542a18b1336b70d2c4e">
      <tp>
        <v>5</v>
        <stp/>
        <stp>4f73a0bd-fc00-4512-bec6-92e10b9260d9</stp>
        <tr r="G2868" s="2"/>
      </tp>
      <tp>
        <v>5</v>
        <stp/>
        <stp>22ba8376-c32b-4e1c-b66e-e672d898b85b</stp>
        <tr r="G3822" s="2"/>
      </tp>
      <tp>
        <v>5</v>
        <stp/>
        <stp>1b4c928c-cba9-4ec0-a473-bdebad0d3500</stp>
        <tr r="G6049" s="2"/>
      </tp>
    </main>
    <main first="rtdsrv_a82eb5a1fc404542a18b1336b70d2c4e">
      <tp>
        <v>5</v>
        <stp/>
        <stp>b68ad0a9-f962-483e-b828-bfb2030f4c28</stp>
        <tr r="G6133" s="2"/>
      </tp>
      <tp>
        <v>5</v>
        <stp/>
        <stp>65b29a94-9c27-4340-9097-6e133f6dcf00</stp>
        <tr r="G9323" s="2"/>
      </tp>
      <tp>
        <v>5</v>
        <stp/>
        <stp>3a799a6f-c6bc-467e-950d-9175bde18b80</stp>
        <tr r="G4299" s="2"/>
      </tp>
      <tp>
        <v>5</v>
        <stp/>
        <stp>f39087e8-3ee1-4cb8-8c40-3a68c939ab50</stp>
        <tr r="G2799" s="2"/>
      </tp>
      <tp>
        <v>5</v>
        <stp/>
        <stp>ea287be6-ca87-42f8-aa41-29911760ec1c</stp>
        <tr r="G9703" s="2"/>
      </tp>
    </main>
    <main first="rtdsrv_a82eb5a1fc404542a18b1336b70d2c4e">
      <tp>
        <v>5</v>
        <stp/>
        <stp>8d48487c-e134-43ca-b718-2c390807d306</stp>
        <tr r="G6097" s="2"/>
      </tp>
    </main>
    <main first="rtdsrv_a82eb5a1fc404542a18b1336b70d2c4e">
      <tp>
        <v>5</v>
        <stp/>
        <stp>a91a596e-6ae7-431e-b1e1-07b4a249c283</stp>
        <tr r="G5564" s="2"/>
      </tp>
    </main>
    <main first="rtdsrv_a82eb5a1fc404542a18b1336b70d2c4e">
      <tp>
        <v>5</v>
        <stp/>
        <stp>1fd836b4-6e2d-4387-bab9-4d6724306bff</stp>
        <tr r="G6581" s="2"/>
      </tp>
    </main>
    <main first="rtdsrv_a82eb5a1fc404542a18b1336b70d2c4e">
      <tp>
        <v>5</v>
        <stp/>
        <stp>258aa702-4ef5-43a2-b2a3-5446df5206f5</stp>
        <tr r="G3234" s="2"/>
      </tp>
      <tp>
        <v>5</v>
        <stp/>
        <stp>9b3e922d-f2c8-446b-95d8-d04a0eeb0dc9</stp>
        <tr r="G4712" s="2"/>
      </tp>
    </main>
    <main first="rtdsrv_a82eb5a1fc404542a18b1336b70d2c4e">
      <tp>
        <v>5</v>
        <stp/>
        <stp>9a92783f-baa9-4250-b343-857a38da9323</stp>
        <tr r="G9272" s="2"/>
      </tp>
      <tp>
        <v>5</v>
        <stp/>
        <stp>60101a92-5ae1-4a0d-b711-fb65f3d09a32</stp>
        <tr r="G5254" s="2"/>
      </tp>
      <tp>
        <v>5</v>
        <stp/>
        <stp>f4fd4fa1-b606-4a7a-b9c8-777156621218</stp>
        <tr r="G158" s="2"/>
      </tp>
      <tp>
        <v>5</v>
        <stp/>
        <stp>41218e72-458c-44ac-b94e-71a5025a758f</stp>
        <tr r="G8431" s="2"/>
      </tp>
      <tp>
        <v>5</v>
        <stp/>
        <stp>fe99ad73-cfce-4f94-b216-5569bbc90122</stp>
        <tr r="G6463" s="2"/>
      </tp>
      <tp>
        <v>5</v>
        <stp/>
        <stp>ae8dc779-3621-4ada-bec7-152b16765a2a</stp>
        <tr r="G5734" s="2"/>
      </tp>
      <tp>
        <v>5</v>
        <stp/>
        <stp>d69cf39b-d53d-43a4-8caf-402cfdadda9d</stp>
        <tr r="G9927" s="2"/>
      </tp>
      <tp>
        <v>5</v>
        <stp/>
        <stp>8afc3706-a9d2-4fc2-9758-928f760a95f3</stp>
        <tr r="G4997" s="2"/>
      </tp>
    </main>
    <main first="rtdsrv_a82eb5a1fc404542a18b1336b70d2c4e">
      <tp>
        <v>5</v>
        <stp/>
        <stp>f71056d9-f32c-4932-bdb1-ac512690dcad</stp>
        <tr r="G4150" s="2"/>
      </tp>
      <tp>
        <v>5</v>
        <stp/>
        <stp>a65423e9-b0ed-4724-8a7e-f336f092bf5c</stp>
        <tr r="G7343" s="2"/>
      </tp>
    </main>
    <main first="rtdsrv_a82eb5a1fc404542a18b1336b70d2c4e">
      <tp>
        <v>5</v>
        <stp/>
        <stp>cf464c7b-0cae-4157-b688-395c176a45ae</stp>
        <tr r="G5735" s="2"/>
      </tp>
      <tp>
        <v>5</v>
        <stp/>
        <stp>fb0ecc85-7ce1-4b4d-b718-ba8d202e33c7</stp>
        <tr r="G9002" s="2"/>
      </tp>
    </main>
    <main first="rtdsrv_a82eb5a1fc404542a18b1336b70d2c4e">
      <tp>
        <v>5</v>
        <stp/>
        <stp>94bc4505-990e-4f34-9c87-043275f4a431</stp>
        <tr r="G9628" s="2"/>
      </tp>
    </main>
    <main first="rtdsrv_a82eb5a1fc404542a18b1336b70d2c4e">
      <tp>
        <v>5</v>
        <stp/>
        <stp>5dc78b64-0866-4dfc-ab1c-0bf88aa13f37</stp>
        <tr r="G3987" s="2"/>
      </tp>
    </main>
    <main first="rtdsrv_a82eb5a1fc404542a18b1336b70d2c4e">
      <tp>
        <v>5</v>
        <stp/>
        <stp>6798f5a5-ff67-474f-9a54-0adf62185eeb</stp>
        <tr r="G6676" s="2"/>
      </tp>
    </main>
    <main first="rtdsrv_a82eb5a1fc404542a18b1336b70d2c4e">
      <tp>
        <v>5</v>
        <stp/>
        <stp>57d70669-dfd8-4cb3-b5fc-f902299a61de</stp>
        <tr r="G481" s="2"/>
      </tp>
    </main>
    <main first="rtdsrv_a82eb5a1fc404542a18b1336b70d2c4e">
      <tp>
        <v>5</v>
        <stp/>
        <stp>73725193-0980-41de-bb66-7d8005cf01a8</stp>
        <tr r="G7424" s="2"/>
      </tp>
    </main>
    <main first="rtdsrv_a82eb5a1fc404542a18b1336b70d2c4e">
      <tp>
        <v>5</v>
        <stp/>
        <stp>8e2d6287-245a-43f6-ad34-be25af6a4b55</stp>
        <tr r="G9155" s="2"/>
      </tp>
      <tp>
        <v>5</v>
        <stp/>
        <stp>6b316a43-d247-4cfc-9f60-b0980aff2bab</stp>
        <tr r="G7425" s="2"/>
      </tp>
      <tp>
        <v>5</v>
        <stp/>
        <stp>0b000b60-cd45-4656-bc48-8cd6ea561b01</stp>
        <tr r="G1798" s="2"/>
      </tp>
    </main>
    <main first="rtdsrv_a82eb5a1fc404542a18b1336b70d2c4e">
      <tp>
        <v>5</v>
        <stp/>
        <stp>769a513c-7473-4554-8ff4-9b2f837bc24b</stp>
        <tr r="G3356" s="2"/>
      </tp>
    </main>
    <main first="rtdsrv_a82eb5a1fc404542a18b1336b70d2c4e">
      <tp>
        <v>5</v>
        <stp/>
        <stp>65e5047f-b9cd-4b94-aa71-a51845ed8a56</stp>
        <tr r="G4901" s="2"/>
      </tp>
      <tp>
        <v>5</v>
        <stp/>
        <stp>36a1768c-8450-41f9-8569-7391d3d3b625</stp>
        <tr r="G7795" s="2"/>
      </tp>
    </main>
    <main first="rtdsrv_a82eb5a1fc404542a18b1336b70d2c4e">
      <tp>
        <v>5</v>
        <stp/>
        <stp>ddfd7de0-5399-4776-bdc2-ade8cdf28a55</stp>
        <tr r="G8966" s="2"/>
      </tp>
      <tp>
        <v>5</v>
        <stp/>
        <stp>d1f07f20-7dd2-4f3c-8710-33243576f519</stp>
        <tr r="G7953" s="2"/>
      </tp>
      <tp>
        <v>5</v>
        <stp/>
        <stp>c326ca4f-cf17-4fdb-96cb-252de01aa459</stp>
        <tr r="G2944" s="2"/>
      </tp>
      <tp>
        <v>5</v>
        <stp/>
        <stp>7f6239f0-9477-4f5a-be6b-3872c86ec03d</stp>
        <tr r="G553" s="2"/>
      </tp>
      <tp>
        <v>5</v>
        <stp/>
        <stp>d9098104-d14e-4012-b09b-8efd7e030f11</stp>
        <tr r="G6114" s="2"/>
      </tp>
    </main>
    <main first="rtdsrv_a82eb5a1fc404542a18b1336b70d2c4e">
      <tp>
        <v>5</v>
        <stp/>
        <stp>3d958dda-01a8-4e38-9d70-489ef64a10ee</stp>
        <tr r="G3652" s="2"/>
      </tp>
      <tp>
        <v>5</v>
        <stp/>
        <stp>496eeaca-1e7f-455a-87ef-2a04751318c2</stp>
        <tr r="G5248" s="2"/>
      </tp>
      <tp>
        <v>5</v>
        <stp/>
        <stp>4d77de34-4e63-46f4-ba24-52aaac16ec1f</stp>
        <tr r="G7166" s="2"/>
      </tp>
      <tp>
        <v>5</v>
        <stp/>
        <stp>58f76824-a0eb-4b1d-8417-ea086dea4027</stp>
        <tr r="G670" s="2"/>
      </tp>
    </main>
    <main first="rtdsrv_a82eb5a1fc404542a18b1336b70d2c4e">
      <tp>
        <v>5</v>
        <stp/>
        <stp>3b428a39-cc2d-45b4-bbac-8333dd24fc20</stp>
        <tr r="G5776" s="2"/>
      </tp>
      <tp>
        <v>5</v>
        <stp/>
        <stp>0858096c-ab9f-47d2-8fed-f1a9a43973c6</stp>
        <tr r="G7781" s="2"/>
      </tp>
      <tp>
        <v>5</v>
        <stp/>
        <stp>bcdaf9b4-04a9-4f58-bebf-45b22272d644</stp>
        <tr r="G5236" s="2"/>
      </tp>
    </main>
    <main first="rtdsrv_a82eb5a1fc404542a18b1336b70d2c4e">
      <tp>
        <v>5</v>
        <stp/>
        <stp>1bafa2fa-0fea-469e-86db-35a61ef8201b</stp>
        <tr r="G9294" s="2"/>
      </tp>
    </main>
    <main first="rtdsrv_a82eb5a1fc404542a18b1336b70d2c4e">
      <tp>
        <v>5</v>
        <stp/>
        <stp>d05fccd3-dae8-470a-81bc-accdfd47721c</stp>
        <tr r="G2451" s="2"/>
      </tp>
      <tp>
        <v>5</v>
        <stp/>
        <stp>d7fca2c7-d587-46e2-9f94-4c009178896c</stp>
        <tr r="G3165" s="2"/>
      </tp>
      <tp>
        <v>5</v>
        <stp/>
        <stp>4fb30e71-a0e2-460b-84fc-1330d1b7eeb8</stp>
        <tr r="G4682" s="2"/>
      </tp>
      <tp>
        <v>5</v>
        <stp/>
        <stp>a4da0033-872b-4ebd-b8c2-a8f5727a806b</stp>
        <tr r="G2917" s="2"/>
      </tp>
      <tp>
        <v>5</v>
        <stp/>
        <stp>4231e246-ad89-4d8c-9f3d-4e2474a56aa0</stp>
        <tr r="G4748" s="2"/>
      </tp>
      <tp>
        <v>5</v>
        <stp/>
        <stp>60fb17c2-6de9-4c4b-9962-5a918df5ba97</stp>
        <tr r="G7112" s="2"/>
      </tp>
      <tp>
        <v>5</v>
        <stp/>
        <stp>f2d9b3bf-5376-4661-8c09-614c3699534b</stp>
        <tr r="G7908" s="2"/>
      </tp>
      <tp>
        <v>5</v>
        <stp/>
        <stp>e57f4153-4f4d-4b3b-841b-97a6941ffac2</stp>
        <tr r="G9434" s="2"/>
      </tp>
      <tp>
        <v>5</v>
        <stp/>
        <stp>425573fe-54f9-45e2-9e03-23a2eb5def56</stp>
        <tr r="G2187" s="2"/>
      </tp>
      <tp>
        <v>5</v>
        <stp/>
        <stp>da3df13f-9412-489e-ba52-6cfd8bf07909</stp>
        <tr r="G5821" s="2"/>
      </tp>
      <tp>
        <v>5</v>
        <stp/>
        <stp>86b7e7d3-4823-41f2-adda-07fefc93d665</stp>
        <tr r="G5700" s="2"/>
      </tp>
      <tp>
        <v>5</v>
        <stp/>
        <stp>4edeb6a3-2d17-4ee2-b1bc-d9c4a014b9ff</stp>
        <tr r="G2684" s="2"/>
      </tp>
      <tp>
        <v>5</v>
        <stp/>
        <stp>0e8c409a-b326-4b54-9402-e5cde1e1f609</stp>
        <tr r="G6845" s="2"/>
      </tp>
      <tp>
        <v>5</v>
        <stp/>
        <stp>08e2901c-2018-4029-a2bd-6e1285bc70ec</stp>
        <tr r="G4915" s="2"/>
      </tp>
    </main>
    <main first="rtdsrv_a82eb5a1fc404542a18b1336b70d2c4e">
      <tp>
        <v>5</v>
        <stp/>
        <stp>4c761ced-7410-4a4e-acb7-964db178d6d2</stp>
        <tr r="G116" s="2"/>
      </tp>
      <tp>
        <v>5</v>
        <stp/>
        <stp>09e03de7-d699-4c5f-871e-6f71494ce0f9</stp>
        <tr r="G9708" s="2"/>
      </tp>
    </main>
    <main first="rtdsrv_a82eb5a1fc404542a18b1336b70d2c4e">
      <tp>
        <v>5</v>
        <stp/>
        <stp>57a5022a-e52f-4b41-9756-5661bf10d5a4</stp>
        <tr r="G1880" s="2"/>
      </tp>
      <tp>
        <v>5</v>
        <stp/>
        <stp>20b6903f-9f88-4f78-bc55-f6ee7f7f3eff</stp>
        <tr r="G9706" s="2"/>
      </tp>
      <tp>
        <v>5</v>
        <stp/>
        <stp>ca7d2dc5-a52f-4e9d-bec3-e785aee65091</stp>
        <tr r="G5704" s="2"/>
      </tp>
      <tp>
        <v>5</v>
        <stp/>
        <stp>7ad681e6-a667-4a70-a361-0faea4ddfd5a</stp>
        <tr r="G7211" s="2"/>
      </tp>
      <tp>
        <v>5</v>
        <stp/>
        <stp>5d3f5a45-2048-4183-811d-30e87bb81fb9</stp>
        <tr r="G5889" s="2"/>
      </tp>
      <tp>
        <v>5</v>
        <stp/>
        <stp>d0567d1e-c05b-4346-b07a-89c22860d66e</stp>
        <tr r="G8376" s="2"/>
      </tp>
      <tp>
        <v>5</v>
        <stp/>
        <stp>d5c33bcf-2d93-41af-816d-53b7cefb8b2b</stp>
        <tr r="G4097" s="2"/>
      </tp>
    </main>
    <main first="rtdsrv_a82eb5a1fc404542a18b1336b70d2c4e">
      <tp>
        <v>5</v>
        <stp/>
        <stp>d55ddc8c-8664-4958-a219-2626b51bbe7c</stp>
        <tr r="G7070" s="2"/>
      </tp>
      <tp>
        <v>5</v>
        <stp/>
        <stp>04e7a1d8-7d72-49e3-8785-a64f6843f6f2</stp>
        <tr r="G8125" s="2"/>
      </tp>
      <tp>
        <v>5</v>
        <stp/>
        <stp>1c9abbcf-3213-4356-82b2-ef17d4eda580</stp>
        <tr r="G8780" s="2"/>
      </tp>
      <tp>
        <v>5</v>
        <stp/>
        <stp>79ece0d9-2b14-412f-a5e0-2966082718ae</stp>
        <tr r="G3444" s="2"/>
      </tp>
    </main>
    <main first="rtdsrv_a82eb5a1fc404542a18b1336b70d2c4e">
      <tp>
        <v>5</v>
        <stp/>
        <stp>19bc619a-dc8e-40e5-b448-aff199d48344</stp>
        <tr r="G3376" s="2"/>
      </tp>
      <tp>
        <v>5</v>
        <stp/>
        <stp>8b534cfc-2316-4835-9b76-216429e92837</stp>
        <tr r="G1505" s="2"/>
      </tp>
    </main>
    <main first="rtdsrv_a82eb5a1fc404542a18b1336b70d2c4e">
      <tp>
        <v>5</v>
        <stp/>
        <stp>56b3a116-a5e4-49de-b6ba-4ca8e42637c2</stp>
        <tr r="G4056" s="2"/>
      </tp>
    </main>
    <main first="rtdsrv_a82eb5a1fc404542a18b1336b70d2c4e">
      <tp>
        <v>5</v>
        <stp/>
        <stp>ae4b379d-1574-42a9-a89d-7205dab3b19d</stp>
        <tr r="G2261" s="2"/>
      </tp>
      <tp>
        <v>5</v>
        <stp/>
        <stp>9e2241b7-b5a3-4003-bab1-5a2e7d77bcfe</stp>
        <tr r="G419" s="2"/>
      </tp>
      <tp>
        <v>5</v>
        <stp/>
        <stp>d38e3a0a-28ec-470b-83d3-80dc9c36c4c2</stp>
        <tr r="G995" s="2"/>
      </tp>
      <tp>
        <v>5</v>
        <stp/>
        <stp>96235267-04eb-4cd6-8fef-731bfa30f4ca</stp>
        <tr r="G4895" s="2"/>
      </tp>
      <tp>
        <v>5</v>
        <stp/>
        <stp>6009fb09-8bd0-49d8-b54d-3cce726cd6d2</stp>
        <tr r="G1869" s="2"/>
      </tp>
    </main>
    <main first="rtdsrv_a82eb5a1fc404542a18b1336b70d2c4e">
      <tp>
        <v>5</v>
        <stp/>
        <stp>39640009-c98a-4170-a769-9d4089abd0db</stp>
        <tr r="G3434" s="2"/>
      </tp>
    </main>
    <main first="rtdsrv_a82eb5a1fc404542a18b1336b70d2c4e">
      <tp>
        <v>5</v>
        <stp/>
        <stp>2e15bb71-0d0e-4d52-bf71-c5f4dc15be3d</stp>
        <tr r="G5550" s="2"/>
      </tp>
      <tp>
        <v>5</v>
        <stp/>
        <stp>594d6d24-08ae-4ef1-a6a1-b28a06b6d8b5</stp>
        <tr r="G2962" s="2"/>
      </tp>
      <tp>
        <v>5</v>
        <stp/>
        <stp>761e0422-82ec-47d9-9926-c4ee9ec76a60</stp>
        <tr r="G9257" s="2"/>
      </tp>
      <tp>
        <v>5</v>
        <stp/>
        <stp>dcecd298-805c-4538-bb71-2f84a37f02e4</stp>
        <tr r="G3888" s="2"/>
      </tp>
      <tp>
        <v>5</v>
        <stp/>
        <stp>629227bc-a90f-4643-84f9-4e83a4558aa6</stp>
        <tr r="G5686" s="2"/>
      </tp>
    </main>
    <main first="rtdsrv_a82eb5a1fc404542a18b1336b70d2c4e">
      <tp>
        <v>5</v>
        <stp/>
        <stp>4405a749-6bf0-4eaa-9864-9d1442bea51c</stp>
        <tr r="G7235" s="2"/>
      </tp>
      <tp>
        <v>5</v>
        <stp/>
        <stp>e362683e-ca5a-4cc9-8d2e-95610e31f248</stp>
        <tr r="G8355" s="2"/>
      </tp>
    </main>
    <main first="rtdsrv_a82eb5a1fc404542a18b1336b70d2c4e">
      <tp>
        <v>5</v>
        <stp/>
        <stp>4c1dad3a-65e1-4b60-bc4a-2d6e0c22a3b8</stp>
        <tr r="G1140" s="2"/>
      </tp>
      <tp>
        <v>5</v>
        <stp/>
        <stp>ec886265-6915-4040-bbec-07debfc2cbc0</stp>
        <tr r="G1715" s="2"/>
      </tp>
      <tp>
        <v>5</v>
        <stp/>
        <stp>766c8f45-be34-43e6-9b12-1546bb0adca1</stp>
        <tr r="G1635" s="2"/>
      </tp>
      <tp>
        <v>5</v>
        <stp/>
        <stp>f2593b2f-8738-4881-a8b0-b74ce9bfe4ff</stp>
        <tr r="G3506" s="2"/>
      </tp>
    </main>
    <main first="rtdsrv_a82eb5a1fc404542a18b1336b70d2c4e">
      <tp>
        <v>5</v>
        <stp/>
        <stp>ec265d28-ea91-4d8b-b9a5-82eff3c35ab5</stp>
        <tr r="G312" s="2"/>
      </tp>
      <tp>
        <v>5</v>
        <stp/>
        <stp>10ee4360-2716-4abb-83cf-931c377ac54c</stp>
        <tr r="G4612" s="2"/>
      </tp>
      <tp>
        <v>5</v>
        <stp/>
        <stp>66505682-0e9b-4e15-bfe4-911c72e7bb86</stp>
        <tr r="G5151" s="2"/>
      </tp>
    </main>
    <main first="rtdsrv_a82eb5a1fc404542a18b1336b70d2c4e">
      <tp>
        <v>5</v>
        <stp/>
        <stp>9fffec4b-e392-4850-891e-11e27b0503ae</stp>
        <tr r="G8889" s="2"/>
      </tp>
      <tp>
        <v>5</v>
        <stp/>
        <stp>ce3e8d1b-b982-43a8-b32c-81876aa75814</stp>
        <tr r="G6811" s="2"/>
      </tp>
      <tp>
        <v>5</v>
        <stp/>
        <stp>6b4320f6-5848-4097-9308-551d00554df3</stp>
        <tr r="G3026" s="2"/>
      </tp>
      <tp>
        <v>5</v>
        <stp/>
        <stp>46a4ea7b-eaca-41fa-ac3b-2a82fe98eed5</stp>
        <tr r="G3690" s="2"/>
      </tp>
      <tp>
        <v>5</v>
        <stp/>
        <stp>fa94ee6d-6070-496c-8c21-c266b403cd9e</stp>
        <tr r="G2540" s="2"/>
      </tp>
    </main>
    <main first="rtdsrv_a82eb5a1fc404542a18b1336b70d2c4e">
      <tp>
        <v>5</v>
        <stp/>
        <stp>cd4ba050-e6d4-4679-9e2f-a0a25266f973</stp>
        <tr r="G9947" s="2"/>
      </tp>
      <tp>
        <v>5</v>
        <stp/>
        <stp>dadb242b-4d41-4f96-a72b-bd1320c75039</stp>
        <tr r="G6209" s="2"/>
      </tp>
    </main>
    <main first="rtdsrv_a82eb5a1fc404542a18b1336b70d2c4e">
      <tp>
        <v>5</v>
        <stp/>
        <stp>f11aa831-28db-4184-a0d4-fb87e1754900</stp>
        <tr r="G1654" s="2"/>
      </tp>
      <tp>
        <v>5</v>
        <stp/>
        <stp>32d3196d-93f8-4de1-9a95-19d762783062</stp>
        <tr r="G4256" s="2"/>
      </tp>
      <tp>
        <v>5</v>
        <stp/>
        <stp>cb32beed-a286-402b-8966-aa190d0416b7</stp>
        <tr r="G8354" s="2"/>
      </tp>
    </main>
    <main first="rtdsrv_a82eb5a1fc404542a18b1336b70d2c4e">
      <tp>
        <v>5</v>
        <stp/>
        <stp>f01dbb4b-ef64-46e2-830f-ba3d23a1fff4</stp>
        <tr r="G2357" s="2"/>
      </tp>
    </main>
    <main first="rtdsrv_a82eb5a1fc404542a18b1336b70d2c4e">
      <tp>
        <v>5</v>
        <stp/>
        <stp>12028e02-6a22-4621-b1fa-01db730c05fc</stp>
        <tr r="G6478" s="2"/>
      </tp>
    </main>
    <main first="rtdsrv_a82eb5a1fc404542a18b1336b70d2c4e">
      <tp>
        <v>5</v>
        <stp/>
        <stp>2f13e486-e8bb-42ff-bcd5-ebc15cab454e</stp>
        <tr r="G7492" s="2"/>
      </tp>
    </main>
    <main first="rtdsrv_a82eb5a1fc404542a18b1336b70d2c4e">
      <tp>
        <v>5</v>
        <stp/>
        <stp>b7b9965d-1f58-43ac-ba23-46c4fd66f2e8</stp>
        <tr r="G8347" s="2"/>
      </tp>
      <tp>
        <v>5</v>
        <stp/>
        <stp>d8813981-f362-401b-b142-37fc6ff02a38</stp>
        <tr r="G5173" s="2"/>
      </tp>
      <tp>
        <v>5</v>
        <stp/>
        <stp>33eadabc-3059-42e5-acdf-b479656dc0b1</stp>
        <tr r="G4485" s="2"/>
      </tp>
      <tp>
        <v>5</v>
        <stp/>
        <stp>a4052da1-5dfe-4798-9ef7-5903123cb134</stp>
        <tr r="G3420" s="2"/>
      </tp>
    </main>
    <main first="rtdsrv_a82eb5a1fc404542a18b1336b70d2c4e">
      <tp>
        <v>5</v>
        <stp/>
        <stp>f7528517-a981-4e64-b6d0-757c4c894d00</stp>
        <tr r="G5913" s="2"/>
      </tp>
    </main>
    <main first="rtdsrv_a82eb5a1fc404542a18b1336b70d2c4e">
      <tp>
        <v>5</v>
        <stp/>
        <stp>5ee491e2-0af3-4296-8f24-0aa0fb0eab6c</stp>
        <tr r="G960" s="2"/>
      </tp>
      <tp>
        <v>5</v>
        <stp/>
        <stp>524f8ab1-7bf1-4b8e-90ce-18afb82dec05</stp>
        <tr r="G9694" s="2"/>
      </tp>
    </main>
    <main first="rtdsrv_a82eb5a1fc404542a18b1336b70d2c4e">
      <tp>
        <v>5</v>
        <stp/>
        <stp>fd8df610-4756-445a-ad0a-00c9c060d68e</stp>
        <tr r="G3109" s="2"/>
      </tp>
    </main>
    <main first="rtdsrv_a82eb5a1fc404542a18b1336b70d2c4e">
      <tp>
        <v>5</v>
        <stp/>
        <stp>6b5f15cb-3c3e-4463-9a83-ce7e92225914</stp>
        <tr r="G408" s="2"/>
      </tp>
      <tp>
        <v>5</v>
        <stp/>
        <stp>ccdc94be-2fff-449a-9c94-811674f10913</stp>
        <tr r="G472" s="2"/>
      </tp>
      <tp>
        <v>5</v>
        <stp/>
        <stp>6b16f697-b787-4d4e-ac92-37a21dfdd880</stp>
        <tr r="G7198" s="2"/>
      </tp>
      <tp>
        <v>5</v>
        <stp/>
        <stp>777bd231-31ec-4519-967c-49a02dc31dfc</stp>
        <tr r="G8417" s="2"/>
      </tp>
      <tp>
        <v>5</v>
        <stp/>
        <stp>c2d2c311-281c-4bc1-82f9-82a504aeacfc</stp>
        <tr r="G1589" s="2"/>
      </tp>
      <tp>
        <v>5</v>
        <stp/>
        <stp>0e3e0139-9d22-4a2d-bcb3-b7296d3ce9e3</stp>
        <tr r="G3623" s="2"/>
      </tp>
    </main>
    <main first="rtdsrv_a82eb5a1fc404542a18b1336b70d2c4e">
      <tp>
        <v>5</v>
        <stp/>
        <stp>7a4ef840-bae2-4128-b591-6f450e6e78a0</stp>
        <tr r="G8696" s="2"/>
      </tp>
    </main>
    <main first="rtdsrv_a82eb5a1fc404542a18b1336b70d2c4e">
      <tp>
        <v>5</v>
        <stp/>
        <stp>dd8d9a1d-8f30-45f0-9d2a-58fffd8bebc7</stp>
        <tr r="G8010" s="2"/>
      </tp>
      <tp>
        <v>5</v>
        <stp/>
        <stp>33478f19-4ba0-4822-9d1a-d74932d8dfec</stp>
        <tr r="G9350" s="2"/>
      </tp>
      <tp>
        <v>5</v>
        <stp/>
        <stp>95807226-c88f-456a-92b7-2c291076b531</stp>
        <tr r="G1526" s="2"/>
      </tp>
      <tp>
        <v>5</v>
        <stp/>
        <stp>bc2abf5a-8760-4a4e-8fa5-ec4fd92a6b0f</stp>
        <tr r="G3632" s="2"/>
      </tp>
      <tp>
        <v>5</v>
        <stp/>
        <stp>cb035d1a-5230-4913-a210-30b93279e2e7</stp>
        <tr r="G4731" s="2"/>
      </tp>
      <tp>
        <v>5</v>
        <stp/>
        <stp>a9395aa5-1d2a-48f1-b750-a9e02728abbc</stp>
        <tr r="G7059" s="2"/>
      </tp>
    </main>
    <main first="rtdsrv_a82eb5a1fc404542a18b1336b70d2c4e">
      <tp>
        <v>5</v>
        <stp/>
        <stp>7211cbff-b8f8-4c81-b294-372174bdd885</stp>
        <tr r="G1322" s="2"/>
      </tp>
      <tp>
        <v>5</v>
        <stp/>
        <stp>07472aa5-bce2-4923-9d09-bc4271119d96</stp>
        <tr r="G4632" s="2"/>
      </tp>
      <tp>
        <v>5</v>
        <stp/>
        <stp>b4c8ccad-d467-4578-842e-51aa70d6b9ec</stp>
        <tr r="G2351" s="2"/>
      </tp>
      <tp>
        <v>5</v>
        <stp/>
        <stp>4c5e3764-4665-479c-bb33-e6b15ec4db4d</stp>
        <tr r="G8658" s="2"/>
      </tp>
      <tp>
        <v>5</v>
        <stp/>
        <stp>fab643ce-d290-47a5-bac3-7fcb6e5b8bec</stp>
        <tr r="G413" s="2"/>
      </tp>
      <tp>
        <v>5</v>
        <stp/>
        <stp>da8620cd-b213-46a4-b158-ee2de4f59b68</stp>
        <tr r="G6537" s="2"/>
      </tp>
      <tp>
        <v>5</v>
        <stp/>
        <stp>0740ae70-8c4d-4a17-983b-79e1b3d4de06</stp>
        <tr r="G8945" s="2"/>
      </tp>
      <tp>
        <v>5</v>
        <stp/>
        <stp>810d0d46-ec92-46b8-a71d-68b0241684cb</stp>
        <tr r="G9322" s="2"/>
      </tp>
    </main>
    <main first="rtdsrv_a82eb5a1fc404542a18b1336b70d2c4e">
      <tp>
        <v>5</v>
        <stp/>
        <stp>c2e27588-dfb6-4a2f-a0fe-4e39d520e23e</stp>
        <tr r="G877" s="2"/>
      </tp>
      <tp>
        <v>5</v>
        <stp/>
        <stp>f54f0243-66fa-4aac-b727-0b7f5ecf6f96</stp>
        <tr r="G7685" s="2"/>
      </tp>
      <tp>
        <v>5</v>
        <stp/>
        <stp>f6c287aa-b7b2-4e83-b829-db73b9be985c</stp>
        <tr r="G8760" s="2"/>
      </tp>
    </main>
    <main first="rtdsrv_a82eb5a1fc404542a18b1336b70d2c4e">
      <tp>
        <v>5</v>
        <stp/>
        <stp>98dacd27-792a-40d1-bcdd-e84b337aa4d9</stp>
        <tr r="G7565" s="2"/>
      </tp>
      <tp>
        <v>5</v>
        <stp/>
        <stp>66902e2a-ba21-4618-99ec-8a0358b2247e</stp>
        <tr r="G9209" s="2"/>
      </tp>
      <tp>
        <v>5</v>
        <stp/>
        <stp>8e7ac5b5-8bd2-4bc6-b4b6-999bd65bb2a8</stp>
        <tr r="G8515" s="2"/>
      </tp>
      <tp>
        <v>5</v>
        <stp/>
        <stp>56f40d94-468b-4166-9d6d-5c1be6c1e235</stp>
        <tr r="G4722" s="2"/>
      </tp>
    </main>
    <main first="rtdsrv_a82eb5a1fc404542a18b1336b70d2c4e">
      <tp>
        <v>5</v>
        <stp/>
        <stp>1e076786-b505-46ae-abb5-c5bd5f637e0a</stp>
        <tr r="G902" s="2"/>
      </tp>
      <tp>
        <v>5</v>
        <stp/>
        <stp>cd857b5a-50a6-42b3-b723-3cd755bd5edf</stp>
        <tr r="G7025" s="2"/>
      </tp>
    </main>
    <main first="rtdsrv_a82eb5a1fc404542a18b1336b70d2c4e">
      <tp>
        <v>5</v>
        <stp/>
        <stp>3e964cb4-c7a9-4e12-b06e-a1444bb44336</stp>
        <tr r="G2271" s="2"/>
      </tp>
      <tp>
        <v>5</v>
        <stp/>
        <stp>6bd3d96c-9594-4eb9-8957-8292ae5ba808</stp>
        <tr r="G1787" s="2"/>
      </tp>
    </main>
    <main first="rtdsrv_a82eb5a1fc404542a18b1336b70d2c4e">
      <tp>
        <v>5</v>
        <stp/>
        <stp>36899f75-f404-4714-aff1-7a14e50f31f4</stp>
        <tr r="G928" s="2"/>
      </tp>
    </main>
    <main first="rtdsrv_a82eb5a1fc404542a18b1336b70d2c4e">
      <tp>
        <v>5</v>
        <stp/>
        <stp>dc7fa22d-6847-418d-8a76-eae1a6e1cbf2</stp>
        <tr r="G3009" s="2"/>
      </tp>
      <tp>
        <v>5</v>
        <stp/>
        <stp>061c93e7-8107-4999-b2af-8ffd7d8bef01</stp>
        <tr r="G7393" s="2"/>
      </tp>
    </main>
    <main first="rtdsrv_a82eb5a1fc404542a18b1336b70d2c4e">
      <tp>
        <v>5</v>
        <stp/>
        <stp>37d2cd9d-b16b-4c60-b527-67830d7e2a9b</stp>
        <tr r="G8396" s="2"/>
      </tp>
    </main>
    <main first="rtdsrv_a82eb5a1fc404542a18b1336b70d2c4e">
      <tp>
        <v>5</v>
        <stp/>
        <stp>0f22e216-4c70-4a6d-8d49-6f7ca14b8f76</stp>
        <tr r="G8022" s="2"/>
      </tp>
    </main>
    <main first="rtdsrv_a82eb5a1fc404542a18b1336b70d2c4e">
      <tp>
        <v>5</v>
        <stp/>
        <stp>c78b1830-928e-41a1-a331-444521c5d02c</stp>
        <tr r="G5374" s="2"/>
      </tp>
    </main>
    <main first="rtdsrv_a82eb5a1fc404542a18b1336b70d2c4e">
      <tp>
        <v>5</v>
        <stp/>
        <stp>ae1e9e78-a987-4eb2-ac16-ad5c544143f1</stp>
        <tr r="G6057" s="2"/>
      </tp>
    </main>
    <main first="rtdsrv_a82eb5a1fc404542a18b1336b70d2c4e">
      <tp>
        <v>5</v>
        <stp/>
        <stp>47e1fb84-47e4-414f-8f84-4de48bfcc833</stp>
        <tr r="G3323" s="2"/>
      </tp>
      <tp>
        <v>5</v>
        <stp/>
        <stp>72832eba-77e8-4ba7-87b4-431ff3370451</stp>
        <tr r="G3063" s="2"/>
      </tp>
    </main>
    <main first="rtdsrv_a82eb5a1fc404542a18b1336b70d2c4e">
      <tp>
        <v>5</v>
        <stp/>
        <stp>fcde6f9e-a5ae-435c-877f-a125be185ec3</stp>
        <tr r="G4051" s="2"/>
      </tp>
    </main>
    <main first="rtdsrv_a82eb5a1fc404542a18b1336b70d2c4e">
      <tp>
        <v>5</v>
        <stp/>
        <stp>7573bf8f-cb6c-4e50-8104-30742c3c0b31</stp>
        <tr r="G2596" s="2"/>
      </tp>
    </main>
    <main first="rtdsrv_a82eb5a1fc404542a18b1336b70d2c4e">
      <tp>
        <v>5</v>
        <stp/>
        <stp>5fa6f4c5-6ac3-44dd-9448-a07921f8e4d5</stp>
        <tr r="G9428" s="2"/>
      </tp>
    </main>
    <main first="rtdsrv_a82eb5a1fc404542a18b1336b70d2c4e">
      <tp>
        <v>5</v>
        <stp/>
        <stp>778b5ce1-8079-4459-aa57-c45daad8e4e6</stp>
        <tr r="G6859" s="2"/>
      </tp>
      <tp>
        <v>5</v>
        <stp/>
        <stp>9ecb1209-a6c8-4a14-82d9-71cf733f5ece</stp>
        <tr r="G9392" s="2"/>
      </tp>
    </main>
    <main first="rtdsrv_a82eb5a1fc404542a18b1336b70d2c4e">
      <tp>
        <v>5</v>
        <stp/>
        <stp>493048f8-d48d-4a92-bf4b-99950c4478a5</stp>
        <tr r="G6227" s="2"/>
      </tp>
    </main>
    <main first="rtdsrv_a82eb5a1fc404542a18b1336b70d2c4e">
      <tp>
        <v>5</v>
        <stp/>
        <stp>3ff52f3a-53d1-4e52-b997-b581f260b805</stp>
        <tr r="G125" s="2"/>
      </tp>
      <tp>
        <v>5</v>
        <stp/>
        <stp>9b298e91-9729-4b38-9007-e6b2b474f51d</stp>
        <tr r="G3307" s="2"/>
      </tp>
    </main>
    <main first="rtdsrv_a82eb5a1fc404542a18b1336b70d2c4e">
      <tp>
        <v>5</v>
        <stp/>
        <stp>4e723dcf-8933-4a8d-8243-28a523f3ec66</stp>
        <tr r="G9203" s="2"/>
      </tp>
    </main>
    <main first="rtdsrv_a82eb5a1fc404542a18b1336b70d2c4e">
      <tp>
        <v>5</v>
        <stp/>
        <stp>a5b169de-f9e3-4c5a-8d15-cabe7c563926</stp>
        <tr r="G5749" s="2"/>
      </tp>
    </main>
    <main first="rtdsrv_a82eb5a1fc404542a18b1336b70d2c4e">
      <tp>
        <v>5</v>
        <stp/>
        <stp>d32a5695-7321-4afb-8bfd-8f4324cd9edc</stp>
        <tr r="G2408" s="2"/>
      </tp>
    </main>
    <main first="rtdsrv_a82eb5a1fc404542a18b1336b70d2c4e">
      <tp>
        <v>5</v>
        <stp/>
        <stp>6601916d-15dd-4f7f-96e4-989dd97375fe</stp>
        <tr r="G371" s="2"/>
      </tp>
    </main>
    <main first="rtdsrv_a82eb5a1fc404542a18b1336b70d2c4e">
      <tp>
        <v>5</v>
        <stp/>
        <stp>d2a67f36-5f17-4ec6-9859-bf03216b44de</stp>
        <tr r="G6756" s="2"/>
      </tp>
      <tp>
        <v>5</v>
        <stp/>
        <stp>ab953524-edfc-427d-93ce-4053ae5e9aec</stp>
        <tr r="G4924" s="2"/>
      </tp>
      <tp>
        <v>5</v>
        <stp/>
        <stp>050d3c4e-67ec-4fc9-bece-6650d9410488</stp>
        <tr r="G3740" s="2"/>
      </tp>
      <tp>
        <v>5</v>
        <stp/>
        <stp>d4edea97-7f82-4e2d-b18d-ff7e2828fa31</stp>
        <tr r="G9414" s="2"/>
      </tp>
      <tp>
        <v>5</v>
        <stp/>
        <stp>a184da3b-e6b2-4ddf-96d7-13a3bf4a4c79</stp>
        <tr r="G1370" s="2"/>
      </tp>
      <tp>
        <v>5</v>
        <stp/>
        <stp>afd12163-4efb-4fe4-b023-98fa58960d34</stp>
        <tr r="G8800" s="2"/>
      </tp>
      <tp>
        <v>5</v>
        <stp/>
        <stp>d0b37438-3248-4440-87b5-916886863c01</stp>
        <tr r="G1639" s="2"/>
      </tp>
    </main>
    <main first="rtdsrv_a82eb5a1fc404542a18b1336b70d2c4e">
      <tp>
        <v>5</v>
        <stp/>
        <stp>2d472ee8-db44-4a5c-941b-2cb0f1bc1d9e</stp>
        <tr r="G2521" s="2"/>
      </tp>
      <tp>
        <v>5</v>
        <stp/>
        <stp>84d6e34a-2a0d-42b7-a12f-d58bc5e091b1</stp>
        <tr r="G5415" s="2"/>
      </tp>
      <tp>
        <v>5</v>
        <stp/>
        <stp>89d1a973-afbf-4114-a269-b7634fd2736a</stp>
        <tr r="G3854" s="2"/>
      </tp>
    </main>
    <main first="rtdsrv_a82eb5a1fc404542a18b1336b70d2c4e">
      <tp>
        <v>5</v>
        <stp/>
        <stp>5f2edfc3-2778-4cf5-9c20-2537f65ea784</stp>
        <tr r="G7230" s="2"/>
      </tp>
      <tp>
        <v>5</v>
        <stp/>
        <stp>cae6d499-efe7-40ac-bf2d-fe2a4a749d32</stp>
        <tr r="G3932" s="2"/>
      </tp>
    </main>
    <main first="rtdsrv_a82eb5a1fc404542a18b1336b70d2c4e">
      <tp>
        <v>5</v>
        <stp/>
        <stp>fa27ce5d-eb85-401a-a047-ea2e5d88f01c</stp>
        <tr r="G6802" s="2"/>
      </tp>
      <tp>
        <v>5</v>
        <stp/>
        <stp>b0a69a5b-e66d-41b9-add5-69802d658503</stp>
        <tr r="G9602" s="2"/>
      </tp>
    </main>
    <main first="rtdsrv_a82eb5a1fc404542a18b1336b70d2c4e">
      <tp>
        <v>5</v>
        <stp/>
        <stp>16c27d41-d4d7-4090-a1ee-8c6fa4ae8583</stp>
        <tr r="G5971" s="2"/>
      </tp>
    </main>
    <main first="rtdsrv_a82eb5a1fc404542a18b1336b70d2c4e">
      <tp>
        <v>5</v>
        <stp/>
        <stp>2e302212-3c44-487e-93f8-bfb89da7ad32</stp>
        <tr r="G4311" s="2"/>
      </tp>
      <tp>
        <v>5</v>
        <stp/>
        <stp>0c7ebdc5-ed31-495a-b5cf-ede4f68e23bb</stp>
        <tr r="G4521" s="2"/>
      </tp>
    </main>
    <main first="rtdsrv_a82eb5a1fc404542a18b1336b70d2c4e">
      <tp>
        <v>5</v>
        <stp/>
        <stp>4af09cdd-fd7f-4d41-ad2b-807624943bc1</stp>
        <tr r="G3909" s="2"/>
      </tp>
      <tp>
        <v>5</v>
        <stp/>
        <stp>e1b8306d-6497-427c-b01e-6687b3ea5a10</stp>
        <tr r="G9616" s="2"/>
      </tp>
      <tp>
        <v>5</v>
        <stp/>
        <stp>367de6c1-3afa-44ef-8e2d-5598bc2ae035</stp>
        <tr r="G7233" s="2"/>
      </tp>
      <tp>
        <v>5</v>
        <stp/>
        <stp>215b32cb-63c6-4a89-8bad-49f90b89776e</stp>
        <tr r="G8724" s="2"/>
      </tp>
    </main>
    <main first="rtdsrv_a82eb5a1fc404542a18b1336b70d2c4e">
      <tp>
        <v>5</v>
        <stp/>
        <stp>32439c36-87dd-4f37-b7e3-902fe8b3f294</stp>
        <tr r="G1666" s="2"/>
      </tp>
    </main>
    <main first="rtdsrv_a82eb5a1fc404542a18b1336b70d2c4e">
      <tp>
        <v>5</v>
        <stp/>
        <stp>62d026b4-695e-4633-88cd-0d0404c733b1</stp>
        <tr r="G6882" s="2"/>
      </tp>
      <tp>
        <v>5</v>
        <stp/>
        <stp>f5a453c6-5934-4a9a-82cd-05727744726a</stp>
        <tr r="G2294" s="2"/>
      </tp>
    </main>
    <main first="rtdsrv_a82eb5a1fc404542a18b1336b70d2c4e">
      <tp>
        <v>5</v>
        <stp/>
        <stp>4869258a-4369-43ad-b70e-803dc81ced02</stp>
        <tr r="G4469" s="2"/>
      </tp>
    </main>
    <main first="rtdsrv_a82eb5a1fc404542a18b1336b70d2c4e">
      <tp>
        <v>5</v>
        <stp/>
        <stp>fe8990dc-7ed2-4e61-8dfd-58d809e9d565</stp>
        <tr r="G9379" s="2"/>
      </tp>
      <tp>
        <v>5</v>
        <stp/>
        <stp>dd3bc610-bb86-4bf3-bc26-8568c6925330</stp>
        <tr r="G4059" s="2"/>
      </tp>
      <tp>
        <v>5</v>
        <stp/>
        <stp>06b8e79a-de40-4156-844d-0a5f367f5127</stp>
        <tr r="G3247" s="2"/>
      </tp>
      <tp>
        <v>5</v>
        <stp/>
        <stp>928015b9-920c-4201-8cf8-39af0d80e5c6</stp>
        <tr r="G5620" s="2"/>
      </tp>
    </main>
    <main first="rtdsrv_a82eb5a1fc404542a18b1336b70d2c4e">
      <tp>
        <v>5</v>
        <stp/>
        <stp>a13194a6-ae7d-474e-a917-46011b89deb6</stp>
        <tr r="G7854" s="2"/>
      </tp>
      <tp>
        <v>5</v>
        <stp/>
        <stp>6c8e750a-b68d-4f42-b70d-ede0771fadd7</stp>
        <tr r="G6417" s="2"/>
      </tp>
      <tp>
        <v>5</v>
        <stp/>
        <stp>e60ab014-59da-4474-882c-8c7706d56abe</stp>
        <tr r="G7107" s="2"/>
      </tp>
    </main>
    <main first="rtdsrv_a82eb5a1fc404542a18b1336b70d2c4e">
      <tp>
        <v>5</v>
        <stp/>
        <stp>74989ad9-db30-4589-b794-6bdd6e421705</stp>
        <tr r="G2024" s="2"/>
      </tp>
      <tp>
        <v>5</v>
        <stp/>
        <stp>8699b6d4-0d47-44ac-8960-8d27a42d94bf</stp>
        <tr r="G7073" s="2"/>
      </tp>
    </main>
    <main first="rtdsrv_a82eb5a1fc404542a18b1336b70d2c4e">
      <tp>
        <v>5</v>
        <stp/>
        <stp>254feb1d-760d-47d1-9e27-7497b77a3aaa</stp>
        <tr r="G2324" s="2"/>
      </tp>
      <tp>
        <v>5</v>
        <stp/>
        <stp>89371158-af3b-4fa7-b908-780e85aeabb3</stp>
        <tr r="G6636" s="2"/>
      </tp>
      <tp>
        <v>5</v>
        <stp/>
        <stp>54465d13-1886-4c68-9eee-41dc343ca8d3</stp>
        <tr r="G7784" s="2"/>
      </tp>
    </main>
    <main first="rtdsrv_a82eb5a1fc404542a18b1336b70d2c4e">
      <tp>
        <v>5</v>
        <stp/>
        <stp>4b5675f0-5d47-434e-a908-e7e500043114</stp>
        <tr r="G5592" s="2"/>
      </tp>
      <tp>
        <v>5</v>
        <stp/>
        <stp>133fcdbd-0e0f-490a-9b08-141cc4cb975f</stp>
        <tr r="G6265" s="2"/>
      </tp>
      <tp>
        <v>5</v>
        <stp/>
        <stp>0bac5b83-52e4-43e6-b250-ad4b854cbf03</stp>
        <tr r="G7116" s="2"/>
      </tp>
    </main>
    <main first="rtdsrv_a82eb5a1fc404542a18b1336b70d2c4e">
      <tp>
        <v>5</v>
        <stp/>
        <stp>fa0f3cfa-2c61-496c-9003-1479128acdb3</stp>
        <tr r="G7081" s="2"/>
      </tp>
    </main>
    <main first="rtdsrv_a82eb5a1fc404542a18b1336b70d2c4e">
      <tp>
        <v>5</v>
        <stp/>
        <stp>363736e8-23d3-438a-bada-6b097bf38665</stp>
        <tr r="G4168" s="2"/>
      </tp>
    </main>
    <main first="rtdsrv_a82eb5a1fc404542a18b1336b70d2c4e">
      <tp>
        <v>5</v>
        <stp/>
        <stp>6a3d6ea4-6e6e-47f6-b06e-671d1602a27c</stp>
        <tr r="G2083" s="2"/>
      </tp>
      <tp>
        <v>5</v>
        <stp/>
        <stp>2edc40f7-6886-4862-af89-ebfec970936a</stp>
        <tr r="G279" s="2"/>
      </tp>
      <tp>
        <v>5</v>
        <stp/>
        <stp>101353c0-003b-4892-ba4e-6258b7ba9140</stp>
        <tr r="G8685" s="2"/>
      </tp>
    </main>
    <main first="rtdsrv_a82eb5a1fc404542a18b1336b70d2c4e">
      <tp>
        <v>5</v>
        <stp/>
        <stp>e17af3ff-eb49-45f5-8237-45bdcf60c34b</stp>
        <tr r="G2280" s="2"/>
      </tp>
      <tp>
        <v>5</v>
        <stp/>
        <stp>fed73b1d-cff6-400a-9a55-6246c04403b4</stp>
        <tr r="G8112" s="2"/>
      </tp>
    </main>
    <main first="rtdsrv_a82eb5a1fc404542a18b1336b70d2c4e">
      <tp>
        <v>5</v>
        <stp/>
        <stp>c0f8027d-1233-4a6f-8b4e-6d0d55f5b143</stp>
        <tr r="G323" s="2"/>
      </tp>
    </main>
    <main first="rtdsrv_a82eb5a1fc404542a18b1336b70d2c4e">
      <tp>
        <v>5</v>
        <stp/>
        <stp>58543638-b52a-4ddb-8184-4dc15d48d744</stp>
        <tr r="G1549" s="2"/>
      </tp>
      <tp>
        <v>5</v>
        <stp/>
        <stp>a344e750-ec35-47ae-80aa-6e6ab00e51ad</stp>
        <tr r="G7148" s="2"/>
      </tp>
      <tp>
        <v>5</v>
        <stp/>
        <stp>9146b4d9-9278-4f88-b576-6525555dd275</stp>
        <tr r="G9537" s="2"/>
      </tp>
    </main>
    <main first="rtdsrv_a82eb5a1fc404542a18b1336b70d2c4e">
      <tp>
        <v>5</v>
        <stp/>
        <stp>d4ae2568-67bc-407b-84ce-85f2837f611f</stp>
        <tr r="G2242" s="2"/>
      </tp>
    </main>
    <main first="rtdsrv_a82eb5a1fc404542a18b1336b70d2c4e">
      <tp>
        <v>5</v>
        <stp/>
        <stp>3a1a8df0-927e-427b-bf15-08b2956fdcac</stp>
        <tr r="G8796" s="2"/>
      </tp>
      <tp>
        <v>5</v>
        <stp/>
        <stp>f4d15738-713e-4752-84af-5f0beabe0a71</stp>
        <tr r="G1805" s="2"/>
      </tp>
      <tp>
        <v>5</v>
        <stp/>
        <stp>0496b3c2-531b-4ce5-8a14-6a96afc980bb</stp>
        <tr r="G2961" s="2"/>
      </tp>
    </main>
    <main first="rtdsrv_a82eb5a1fc404542a18b1336b70d2c4e">
      <tp>
        <v>5</v>
        <stp/>
        <stp>d1785e52-9d49-4323-a067-a8b7bee0543f</stp>
        <tr r="G4518" s="2"/>
      </tp>
      <tp>
        <v>5</v>
        <stp/>
        <stp>596d3bbb-ab81-45c1-b99d-7f5e0ad2b4f3</stp>
        <tr r="G9784" s="2"/>
      </tp>
      <tp>
        <v>5</v>
        <stp/>
        <stp>1e641c3d-d7bf-4364-8f02-31fee50e4c36</stp>
        <tr r="G2722" s="2"/>
      </tp>
    </main>
    <main first="rtdsrv_a82eb5a1fc404542a18b1336b70d2c4e">
      <tp>
        <v>5</v>
        <stp/>
        <stp>a68119cb-c576-4462-843c-5a8068f4b56f</stp>
        <tr r="G3133" s="2"/>
      </tp>
      <tp>
        <v>5</v>
        <stp/>
        <stp>5e5e4784-cd4e-4f8f-bd69-21d703b6cb34</stp>
        <tr r="G3610" s="2"/>
      </tp>
      <tp>
        <v>5</v>
        <stp/>
        <stp>21e87d0b-caae-4d81-970e-0701bdaa9eeb</stp>
        <tr r="G1463" s="2"/>
      </tp>
    </main>
    <main first="rtdsrv_a82eb5a1fc404542a18b1336b70d2c4e">
      <tp>
        <v>5</v>
        <stp/>
        <stp>27ddeff5-de50-4bf7-ade5-4ecdb16d62b5</stp>
        <tr r="G2246" s="2"/>
      </tp>
      <tp>
        <v>5</v>
        <stp/>
        <stp>e10b4121-e453-4f10-ab56-add7efef0cdb</stp>
        <tr r="G8623" s="2"/>
      </tp>
      <tp>
        <v>5</v>
        <stp/>
        <stp>95dbaeb0-b953-41fe-bf41-1475648eabd9</stp>
        <tr r="G4974" s="2"/>
      </tp>
      <tp>
        <v>5</v>
        <stp/>
        <stp>c665563b-e03a-425c-ab3d-b773265bf568</stp>
        <tr r="G3938" s="2"/>
      </tp>
      <tp>
        <v>5</v>
        <stp/>
        <stp>0c0c05a2-60df-4674-8959-5673543fcb90</stp>
        <tr r="G8790" s="2"/>
      </tp>
    </main>
    <main first="rtdsrv_a82eb5a1fc404542a18b1336b70d2c4e">
      <tp>
        <v>5</v>
        <stp/>
        <stp>5a798c39-e851-438a-b7b8-bdab87239617</stp>
        <tr r="G9798" s="2"/>
      </tp>
    </main>
    <main first="rtdsrv_a82eb5a1fc404542a18b1336b70d2c4e">
      <tp>
        <v>5</v>
        <stp/>
        <stp>157717a3-f19a-4684-900c-372c8b3d54c9</stp>
        <tr r="G3695" s="2"/>
      </tp>
    </main>
    <main first="rtdsrv_a82eb5a1fc404542a18b1336b70d2c4e">
      <tp>
        <v>5</v>
        <stp/>
        <stp>0f3a6d82-c18b-4e96-bd7d-6a9210d100ef</stp>
        <tr r="G856" s="2"/>
      </tp>
      <tp>
        <v>5</v>
        <stp/>
        <stp>a041f67b-b3ed-458d-b3f3-ddddbf376e2d</stp>
        <tr r="G2571" s="2"/>
      </tp>
      <tp>
        <v>5</v>
        <stp/>
        <stp>bb664eef-2aa7-40ba-94fb-1a79e11acc06</stp>
        <tr r="G1898" s="2"/>
      </tp>
      <tp>
        <v>5</v>
        <stp/>
        <stp>fea53028-26f1-4786-b7b7-46e5ef3c7bb9</stp>
        <tr r="G7184" s="2"/>
      </tp>
    </main>
    <main first="rtdsrv_a82eb5a1fc404542a18b1336b70d2c4e">
      <tp>
        <v>5</v>
        <stp/>
        <stp>8f3dbda2-2af5-4c26-8dec-3ecfff63bacd</stp>
        <tr r="G9053" s="2"/>
      </tp>
      <tp>
        <v>5</v>
        <stp/>
        <stp>f05930d4-dbfc-4b48-b5b1-28423629e1ce</stp>
        <tr r="G9856" s="2"/>
      </tp>
      <tp>
        <v>5</v>
        <stp/>
        <stp>2003e74b-346f-4497-ac2d-1532f27df77a</stp>
        <tr r="G1335" s="2"/>
      </tp>
      <tp>
        <v>5</v>
        <stp/>
        <stp>40d91bf1-c2d6-46fb-864c-d732a24a0c31</stp>
        <tr r="G7612" s="2"/>
      </tp>
      <tp>
        <v>5</v>
        <stp/>
        <stp>00078e5c-4b24-4161-a948-1fca928211ce</stp>
        <tr r="G360" s="2"/>
      </tp>
    </main>
    <main first="rtdsrv_a82eb5a1fc404542a18b1336b70d2c4e">
      <tp>
        <v>5</v>
        <stp/>
        <stp>9b055d4e-cc00-496f-8f85-c67e24da48fd</stp>
        <tr r="G7564" s="2"/>
      </tp>
    </main>
    <main first="rtdsrv_a82eb5a1fc404542a18b1336b70d2c4e">
      <tp>
        <v>5</v>
        <stp/>
        <stp>f1b2e1bc-a2ef-44b8-a985-55b31e3d7019</stp>
        <tr r="G7805" s="2"/>
      </tp>
    </main>
    <main first="rtdsrv_a82eb5a1fc404542a18b1336b70d2c4e">
      <tp>
        <v>5</v>
        <stp/>
        <stp>13636eed-a4c6-434c-b401-b6fe06199ef0</stp>
        <tr r="G8115" s="2"/>
      </tp>
    </main>
    <main first="rtdsrv_a82eb5a1fc404542a18b1336b70d2c4e">
      <tp>
        <v>5</v>
        <stp/>
        <stp>92f61e20-ae41-40a6-99d7-fd43bdcd9e68</stp>
        <tr r="G5055" s="2"/>
      </tp>
      <tp>
        <v>5</v>
        <stp/>
        <stp>15616a6e-8b04-4cc3-967f-64fc6df989c1</stp>
        <tr r="G7974" s="2"/>
      </tp>
      <tp>
        <v>5</v>
        <stp/>
        <stp>77115434-2d61-4e55-9246-bcf9944f5fef</stp>
        <tr r="G9171" s="2"/>
      </tp>
      <tp>
        <v>5</v>
        <stp/>
        <stp>1360eb31-146f-443c-b501-7b56114dcafd</stp>
        <tr r="G9262" s="2"/>
      </tp>
      <tp>
        <v>5</v>
        <stp/>
        <stp>ab0ebfed-c476-408c-bdab-627bdfedc065</stp>
        <tr r="G7516" s="2"/>
      </tp>
      <tp>
        <v>5</v>
        <stp/>
        <stp>e4a3b670-41d1-4378-a38e-1cdf608a1d9e</stp>
        <tr r="G6649" s="2"/>
      </tp>
      <tp>
        <v>5</v>
        <stp/>
        <stp>97309c4e-d117-4153-afab-473191fc6ef5</stp>
        <tr r="G6500" s="2"/>
      </tp>
      <tp>
        <v>5</v>
        <stp/>
        <stp>f7dddad8-bd59-4c91-816d-8321d83889ff</stp>
        <tr r="G5332" s="2"/>
      </tp>
    </main>
    <main first="rtdsrv_a82eb5a1fc404542a18b1336b70d2c4e">
      <tp>
        <v>5</v>
        <stp/>
        <stp>324a0472-f00f-467c-9b0c-3ed7c50c9bcb</stp>
        <tr r="G2625" s="2"/>
      </tp>
      <tp>
        <v>5</v>
        <stp/>
        <stp>88fc09ac-a708-4a52-8a5c-9a4407303036</stp>
        <tr r="G7255" s="2"/>
      </tp>
      <tp>
        <v>5</v>
        <stp/>
        <stp>287fd7e9-b527-4c20-987b-e04fec5e68d1</stp>
        <tr r="G5265" s="2"/>
      </tp>
      <tp>
        <v>5</v>
        <stp/>
        <stp>f7dbb550-1576-4e75-a9a1-4546cb2ed137</stp>
        <tr r="G1738" s="2"/>
      </tp>
      <tp>
        <v>5</v>
        <stp/>
        <stp>bffdd499-5fea-4633-bfda-ca8dfea665a8</stp>
        <tr r="G6207" s="2"/>
      </tp>
    </main>
    <main first="rtdsrv_a82eb5a1fc404542a18b1336b70d2c4e">
      <tp>
        <v>5</v>
        <stp/>
        <stp>6fc4ed53-87df-4230-8234-037e82575979</stp>
        <tr r="G242" s="2"/>
      </tp>
    </main>
    <main first="rtdsrv_a82eb5a1fc404542a18b1336b70d2c4e">
      <tp>
        <v>5</v>
        <stp/>
        <stp>49e57f23-149f-46c0-b295-ca6cce3e0b3e</stp>
        <tr r="G8216" s="2"/>
      </tp>
      <tp>
        <v>5</v>
        <stp/>
        <stp>c17572fa-b104-4a5b-9c91-d893818f920c</stp>
        <tr r="G1015" s="2"/>
      </tp>
      <tp>
        <v>5</v>
        <stp/>
        <stp>acfac334-ac35-49d6-88df-1c2708054921</stp>
        <tr r="G8142" s="2"/>
      </tp>
      <tp>
        <v>5</v>
        <stp/>
        <stp>b3471a8f-7840-4373-a3b6-a3a5c174d74c</stp>
        <tr r="G3578" s="2"/>
      </tp>
      <tp>
        <v>5</v>
        <stp/>
        <stp>da6784e7-e5c7-43c7-8c4c-2f44a5f90a73</stp>
        <tr r="G984" s="2"/>
      </tp>
      <tp>
        <v>5</v>
        <stp/>
        <stp>ffb64627-25d2-44e3-b409-b44a261c5b9a</stp>
        <tr r="G3326" s="2"/>
      </tp>
      <tp>
        <v>5</v>
        <stp/>
        <stp>656b6908-b665-4ff9-83ef-5c0686eb7fc6</stp>
        <tr r="G8393" s="2"/>
      </tp>
      <tp>
        <v>5</v>
        <stp/>
        <stp>42020e85-1801-4afb-be3f-ede77320baab</stp>
        <tr r="G498" s="2"/>
      </tp>
    </main>
    <main first="rtdsrv_a82eb5a1fc404542a18b1336b70d2c4e">
      <tp>
        <v>5</v>
        <stp/>
        <stp>6979dc6d-bc73-4a89-91eb-51bebd42d066</stp>
        <tr r="G8069" s="2"/>
      </tp>
    </main>
    <main first="rtdsrv_a82eb5a1fc404542a18b1336b70d2c4e">
      <tp>
        <v>5</v>
        <stp/>
        <stp>411bc862-77f6-4d38-b3eb-62a4a6c80f0a</stp>
        <tr r="G8723" s="2"/>
      </tp>
    </main>
    <main first="rtdsrv_a82eb5a1fc404542a18b1336b70d2c4e">
      <tp>
        <v>5</v>
        <stp/>
        <stp>ad53c9bf-9797-42f5-bcfd-0c2f4174cda7</stp>
        <tr r="G95" s="2"/>
      </tp>
      <tp>
        <v>5</v>
        <stp/>
        <stp>3e31183d-a36b-4cb2-959b-f208f11a0509</stp>
        <tr r="G612" s="2"/>
      </tp>
    </main>
    <main first="rtdsrv_a82eb5a1fc404542a18b1336b70d2c4e">
      <tp>
        <v>5</v>
        <stp/>
        <stp>a6ca41b3-3bb0-4a5f-aa97-e4c04f0d18fa</stp>
        <tr r="G3013" s="2"/>
      </tp>
      <tp>
        <v>5</v>
        <stp/>
        <stp>93fa957d-1306-4d70-bb02-2601f0134007</stp>
        <tr r="G5116" s="2"/>
      </tp>
      <tp>
        <v>5</v>
        <stp/>
        <stp>2b8c0625-e6f4-484a-9770-e1b2e2859e70</stp>
        <tr r="G184" s="2"/>
      </tp>
    </main>
    <main first="rtdsrv_a82eb5a1fc404542a18b1336b70d2c4e">
      <tp>
        <v>5</v>
        <stp/>
        <stp>af4d64f6-759b-4948-9346-56cc08506ff7</stp>
        <tr r="G6213" s="2"/>
      </tp>
    </main>
    <main first="rtdsrv_a82eb5a1fc404542a18b1336b70d2c4e">
      <tp>
        <v>5</v>
        <stp/>
        <stp>b48f8764-bed2-4239-8537-dd925964e722</stp>
        <tr r="G6661" s="2"/>
      </tp>
    </main>
    <main first="rtdsrv_a82eb5a1fc404542a18b1336b70d2c4e">
      <tp>
        <v>5</v>
        <stp/>
        <stp>14652e39-b52d-46c4-a7ba-ea0b90e1d5e2</stp>
        <tr r="G9600" s="2"/>
      </tp>
    </main>
    <main first="rtdsrv_a82eb5a1fc404542a18b1336b70d2c4e">
      <tp>
        <v>5</v>
        <stp/>
        <stp>a115146c-93f7-47c9-87d7-2a1900e2a16b</stp>
        <tr r="G9748" s="2"/>
      </tp>
      <tp>
        <v>5</v>
        <stp/>
        <stp>b14d92c5-c5d0-4011-b616-1f620f73ea47</stp>
        <tr r="G2395" s="2"/>
      </tp>
    </main>
    <main first="rtdsrv_a82eb5a1fc404542a18b1336b70d2c4e">
      <tp>
        <v>5</v>
        <stp/>
        <stp>de255f18-26d0-43a4-8966-ce6184795cc6</stp>
        <tr r="G8261" s="2"/>
      </tp>
    </main>
    <main first="rtdsrv_a82eb5a1fc404542a18b1336b70d2c4e">
      <tp>
        <v>5</v>
        <stp/>
        <stp>a3a0642f-7e81-4ee2-bf57-662e71aa1133</stp>
        <tr r="G6345" s="2"/>
      </tp>
      <tp>
        <v>5</v>
        <stp/>
        <stp>531ac9ad-aaa8-4b99-87dc-4f624ac070fc</stp>
        <tr r="G2887" s="2"/>
      </tp>
      <tp>
        <v>5</v>
        <stp/>
        <stp>446ed1f7-070e-412e-beea-34dcee44ae79</stp>
        <tr r="G3150" s="2"/>
      </tp>
      <tp>
        <v>5</v>
        <stp/>
        <stp>a6029a61-e13e-497a-a147-1a758cf25d00</stp>
        <tr r="G1279" s="2"/>
      </tp>
      <tp>
        <v>5</v>
        <stp/>
        <stp>a1430b7a-478d-4d5f-bcb3-d2a2eed125c7</stp>
        <tr r="G6995" s="2"/>
      </tp>
      <tp>
        <v>5</v>
        <stp/>
        <stp>879c3162-ae69-4028-b594-7f8fa341e20f</stp>
        <tr r="G890" s="2"/>
      </tp>
    </main>
    <main first="rtdsrv_a82eb5a1fc404542a18b1336b70d2c4e">
      <tp>
        <v>5</v>
        <stp/>
        <stp>579d7d11-bb47-4886-823a-05620f9f2ff1</stp>
        <tr r="G3972" s="2"/>
      </tp>
      <tp>
        <v>5</v>
        <stp/>
        <stp>6e386edc-3d57-4816-bb1e-f62e130ef063</stp>
        <tr r="G3143" s="2"/>
      </tp>
    </main>
    <main first="rtdsrv_a82eb5a1fc404542a18b1336b70d2c4e">
      <tp>
        <v>5</v>
        <stp/>
        <stp>63f0c252-80fc-4288-a013-87e395d3e335</stp>
        <tr r="G7930" s="2"/>
      </tp>
    </main>
    <main first="rtdsrv_a82eb5a1fc404542a18b1336b70d2c4e">
      <tp>
        <v>5</v>
        <stp/>
        <stp>ce808b4f-b27f-423b-b34d-fcecdb9163da</stp>
        <tr r="G6569" s="2"/>
      </tp>
      <tp>
        <v>5</v>
        <stp/>
        <stp>d115961b-c300-49c1-99f9-ccba9c881222</stp>
        <tr r="G7705" s="2"/>
      </tp>
      <tp>
        <v>5</v>
        <stp/>
        <stp>e6c7207c-0730-4d37-a30c-91f4a619475a</stp>
        <tr r="G4697" s="2"/>
      </tp>
      <tp>
        <v>5</v>
        <stp/>
        <stp>dfcd8725-23b5-4dab-a815-2fff52d99e7f</stp>
        <tr r="G1521" s="2"/>
      </tp>
    </main>
    <main first="rtdsrv_a82eb5a1fc404542a18b1336b70d2c4e">
      <tp>
        <v>5</v>
        <stp/>
        <stp>a518fce9-985e-4893-99fd-6aba1c8db90b</stp>
        <tr r="G6283" s="2"/>
      </tp>
    </main>
    <main first="rtdsrv_a82eb5a1fc404542a18b1336b70d2c4e">
      <tp>
        <v>5</v>
        <stp/>
        <stp>833ece3c-d127-43f5-8171-9a24eac7c13b</stp>
        <tr r="G8177" s="2"/>
      </tp>
      <tp>
        <v>5</v>
        <stp/>
        <stp>364698df-58fd-409d-97e1-d23de99b801f</stp>
        <tr r="G3643" s="2"/>
      </tp>
      <tp>
        <v>5</v>
        <stp/>
        <stp>e4963604-666d-4c03-a757-5a99ac6db1e3</stp>
        <tr r="G2117" s="2"/>
      </tp>
      <tp>
        <v>5</v>
        <stp/>
        <stp>90b203d7-8a06-4c51-81cc-1a62883061c4</stp>
        <tr r="G815" s="2"/>
      </tp>
      <tp>
        <v>5</v>
        <stp/>
        <stp>35debaf8-777f-4ec7-80d1-d0b3c959581d</stp>
        <tr r="G3357" s="2"/>
      </tp>
    </main>
    <main first="rtdsrv_a82eb5a1fc404542a18b1336b70d2c4e">
      <tp>
        <v>5</v>
        <stp/>
        <stp>217e29e8-83a5-499e-bb54-b16114493d4c</stp>
        <tr r="G8855" s="2"/>
      </tp>
    </main>
    <main first="rtdsrv_a82eb5a1fc404542a18b1336b70d2c4e">
      <tp>
        <v>5</v>
        <stp/>
        <stp>f6ea73be-3751-4b2f-b09f-296112b16ca9</stp>
        <tr r="G978" s="2"/>
      </tp>
    </main>
    <main first="rtdsrv_a82eb5a1fc404542a18b1336b70d2c4e">
      <tp>
        <v>5</v>
        <stp/>
        <stp>f7a2bb1e-cbf5-424a-8a35-7c0501b4d760</stp>
        <tr r="G9877" s="2"/>
      </tp>
    </main>
    <main first="rtdsrv_a82eb5a1fc404542a18b1336b70d2c4e">
      <tp>
        <v>5</v>
        <stp/>
        <stp>51b50d0c-15be-40ff-8dc3-2d19e57e2114</stp>
        <tr r="G9531" s="2"/>
      </tp>
      <tp>
        <v>5</v>
        <stp/>
        <stp>805e1601-c811-4534-a4be-5a6da086cc54</stp>
        <tr r="G6545" s="2"/>
      </tp>
      <tp>
        <v>5</v>
        <stp/>
        <stp>a185cc51-f2e5-4b9e-b6c9-3a266ea79760</stp>
        <tr r="G3142" s="2"/>
      </tp>
      <tp>
        <v>5</v>
        <stp/>
        <stp>2763afe7-3aa8-44c7-8377-68bb584cac09</stp>
        <tr r="G6544" s="2"/>
      </tp>
    </main>
    <main first="rtdsrv_a82eb5a1fc404542a18b1336b70d2c4e">
      <tp>
        <v>5</v>
        <stp/>
        <stp>a9890f56-19a7-4dfb-a6eb-e669e8454f74</stp>
        <tr r="G4282" s="2"/>
      </tp>
      <tp>
        <v>5</v>
        <stp/>
        <stp>51adee5d-1f2a-4afd-81db-d2fb403a4ff5</stp>
        <tr r="G1469" s="2"/>
      </tp>
      <tp>
        <v>5</v>
        <stp/>
        <stp>49ebece5-240d-4c6e-a6d9-7ab9404a898c</stp>
        <tr r="G7679" s="2"/>
      </tp>
    </main>
    <main first="rtdsrv_a82eb5a1fc404542a18b1336b70d2c4e">
      <tp>
        <v>5</v>
        <stp/>
        <stp>bedb5460-ec81-40d7-b2a1-06114748cc94</stp>
        <tr r="G4801" s="2"/>
      </tp>
    </main>
    <main first="rtdsrv_a82eb5a1fc404542a18b1336b70d2c4e">
      <tp>
        <v>5</v>
        <stp/>
        <stp>dab79c54-a4ab-45e2-adc0-b3d44d220e97</stp>
        <tr r="G7335" s="2"/>
      </tp>
    </main>
    <main first="rtdsrv_a82eb5a1fc404542a18b1336b70d2c4e">
      <tp>
        <v>5</v>
        <stp/>
        <stp>640e6ee5-db93-4185-a86a-bd93cca1b125</stp>
        <tr r="G7269" s="2"/>
      </tp>
    </main>
    <main first="rtdsrv_a82eb5a1fc404542a18b1336b70d2c4e">
      <tp>
        <v>5</v>
        <stp/>
        <stp>839e5ef3-6ed9-4d3b-81fb-9441e65edfe0</stp>
        <tr r="G322" s="2"/>
      </tp>
    </main>
    <main first="rtdsrv_a82eb5a1fc404542a18b1336b70d2c4e">
      <tp>
        <v>5</v>
        <stp/>
        <stp>6b329f0a-95df-4067-a109-a87c91a6a3ed</stp>
        <tr r="G6963" s="2"/>
      </tp>
    </main>
    <main first="rtdsrv_a82eb5a1fc404542a18b1336b70d2c4e">
      <tp>
        <v>5</v>
        <stp/>
        <stp>ae83899b-f28b-4b29-a3a9-baa852e73127</stp>
        <tr r="G6691" s="2"/>
      </tp>
      <tp>
        <v>5</v>
        <stp/>
        <stp>5efee9be-9b47-47e3-a4d0-73991859a9f1</stp>
        <tr r="G6560" s="2"/>
      </tp>
    </main>
    <main first="rtdsrv_a82eb5a1fc404542a18b1336b70d2c4e">
      <tp>
        <v>5</v>
        <stp/>
        <stp>8b96b3b1-6fba-466e-b0ae-f4d5d26ffe61</stp>
        <tr r="G3590" s="2"/>
      </tp>
    </main>
    <main first="rtdsrv_a82eb5a1fc404542a18b1336b70d2c4e">
      <tp>
        <v>5</v>
        <stp/>
        <stp>6739a521-f130-4d3c-a0f4-0e815b143f1b</stp>
        <tr r="G5629" s="2"/>
      </tp>
      <tp>
        <v>5</v>
        <stp/>
        <stp>82d76cdf-2526-4e37-aba8-0708f2d170e7</stp>
        <tr r="G216" s="2"/>
      </tp>
    </main>
    <main first="rtdsrv_a82eb5a1fc404542a18b1336b70d2c4e">
      <tp>
        <v>5</v>
        <stp/>
        <stp>2ae9b0ba-7b01-4341-906f-f19352b5abee</stp>
        <tr r="G3333" s="2"/>
      </tp>
    </main>
    <main first="rtdsrv_a82eb5a1fc404542a18b1336b70d2c4e">
      <tp>
        <v>5</v>
        <stp/>
        <stp>5ca8bd83-ed5c-4c47-a3a6-5e62329a3c9c</stp>
        <tr r="G2665" s="2"/>
      </tp>
      <tp>
        <v>5</v>
        <stp/>
        <stp>f211c78d-6fdc-4689-8892-be84849e5bab</stp>
        <tr r="G4841" s="2"/>
      </tp>
    </main>
    <main first="rtdsrv_a82eb5a1fc404542a18b1336b70d2c4e">
      <tp>
        <v>5</v>
        <stp/>
        <stp>0bfc9df5-093c-4efd-8dcf-604e79b38849</stp>
        <tr r="G6588" s="2"/>
      </tp>
    </main>
    <main first="rtdsrv_a82eb5a1fc404542a18b1336b70d2c4e">
      <tp>
        <v>5</v>
        <stp/>
        <stp>02b313b2-dba4-46b7-b44b-85673b88f13d</stp>
        <tr r="G9319" s="2"/>
      </tp>
      <tp>
        <v>5</v>
        <stp/>
        <stp>e6062775-b9ae-4a4b-8aac-7271833e0ad5</stp>
        <tr r="G8232" s="2"/>
      </tp>
      <tp>
        <v>5</v>
        <stp/>
        <stp>c5d6389f-d355-4c6f-9ae3-dfad15443954</stp>
        <tr r="G5246" s="2"/>
      </tp>
    </main>
    <main first="rtdsrv_a82eb5a1fc404542a18b1336b70d2c4e">
      <tp>
        <v>5</v>
        <stp/>
        <stp>f353705f-8ad5-456d-9a30-ed88a1a8f969</stp>
        <tr r="G6481" s="2"/>
      </tp>
    </main>
    <main first="rtdsrv_a82eb5a1fc404542a18b1336b70d2c4e">
      <tp>
        <v>5</v>
        <stp/>
        <stp>25db1174-368f-4a37-ba4f-5d9816ea3fa2</stp>
        <tr r="G5837" s="2"/>
      </tp>
      <tp>
        <v>5</v>
        <stp/>
        <stp>46a35ca4-73b8-4c20-ada5-382b5293a930</stp>
        <tr r="G4918" s="2"/>
      </tp>
    </main>
    <main first="rtdsrv_a82eb5a1fc404542a18b1336b70d2c4e">
      <tp>
        <v>5</v>
        <stp/>
        <stp>fa745a35-4768-4013-9558-c7ea376f92f7</stp>
        <tr r="G5102" s="2"/>
      </tp>
      <tp>
        <v>5</v>
        <stp/>
        <stp>3512d258-e582-49be-a00e-c2fd9380a640</stp>
        <tr r="G552" s="2"/>
      </tp>
      <tp>
        <v>5</v>
        <stp/>
        <stp>ac3e63e2-644b-4427-9fb3-8ed4a29e9d20</stp>
        <tr r="G5877" s="2"/>
      </tp>
    </main>
    <main first="rtdsrv_a82eb5a1fc404542a18b1336b70d2c4e">
      <tp>
        <v>5</v>
        <stp/>
        <stp>4bdda92f-514c-4899-8baa-c16c24877366</stp>
        <tr r="G493" s="2"/>
      </tp>
      <tp>
        <v>5</v>
        <stp/>
        <stp>643c2a05-b81f-4b2c-ae33-34c1d71f4ddf</stp>
        <tr r="G7901" s="2"/>
      </tp>
    </main>
    <main first="rtdsrv_a82eb5a1fc404542a18b1336b70d2c4e">
      <tp>
        <v>5</v>
        <stp/>
        <stp>85ec0d7d-4345-412d-b20a-5bbb269b5ee2</stp>
        <tr r="G4835" s="2"/>
      </tp>
      <tp>
        <v>5</v>
        <stp/>
        <stp>5e342100-5be1-4efc-96c2-00caca660089</stp>
        <tr r="G630" s="2"/>
      </tp>
    </main>
    <main first="rtdsrv_a82eb5a1fc404542a18b1336b70d2c4e">
      <tp>
        <v>5</v>
        <stp/>
        <stp>09b7f9d9-b2d9-459c-922a-b2de1b8f6c79</stp>
        <tr r="G4272" s="2"/>
      </tp>
    </main>
    <main first="rtdsrv_a82eb5a1fc404542a18b1336b70d2c4e">
      <tp>
        <v>5</v>
        <stp/>
        <stp>2b6a7738-eacb-400e-8126-72c69a68849f</stp>
        <tr r="G3716" s="2"/>
      </tp>
      <tp>
        <v>5</v>
        <stp/>
        <stp>c5d242e0-8071-4d74-9b66-96655377489d</stp>
        <tr r="G779" s="2"/>
      </tp>
      <tp>
        <v>5</v>
        <stp/>
        <stp>e3e914c6-ee6d-4c4e-a1d3-7d857423e3e2</stp>
        <tr r="G7326" s="2"/>
      </tp>
      <tp>
        <v>5</v>
        <stp/>
        <stp>fcc2a6aa-be25-4e60-9010-03f00496e173</stp>
        <tr r="G3206" s="2"/>
      </tp>
      <tp>
        <v>5</v>
        <stp/>
        <stp>9d190282-cbe1-4d46-9367-ef788ca42057</stp>
        <tr r="G2837" s="2"/>
      </tp>
      <tp>
        <v>5</v>
        <stp/>
        <stp>988d6d4f-a8ee-4d4d-848b-af8d50d7e759</stp>
        <tr r="G912" s="2"/>
      </tp>
      <tp>
        <v>5</v>
        <stp/>
        <stp>105c4ce5-65f5-41e2-b2c0-00922420a0a0</stp>
        <tr r="G5139" s="2"/>
      </tp>
      <tp>
        <v>5</v>
        <stp/>
        <stp>00fad377-f59f-4160-9e06-fb248c99bdf8</stp>
        <tr r="G8038" s="2"/>
      </tp>
    </main>
    <main first="rtdsrv_a82eb5a1fc404542a18b1336b70d2c4e">
      <tp>
        <v>5</v>
        <stp/>
        <stp>a073f39b-7178-4753-a930-ca35caf264b5</stp>
        <tr r="G2230" s="2"/>
      </tp>
    </main>
    <main first="rtdsrv_a82eb5a1fc404542a18b1336b70d2c4e">
      <tp>
        <v>5</v>
        <stp/>
        <stp>40d3104f-e5cc-4585-aa35-dc76aa96bafa</stp>
        <tr r="G7443" s="2"/>
      </tp>
    </main>
    <main first="rtdsrv_a82eb5a1fc404542a18b1336b70d2c4e">
      <tp>
        <v>5</v>
        <stp/>
        <stp>1ff1d0b5-8d44-4f26-9f5d-ab06264ed986</stp>
        <tr r="G3224" s="2"/>
      </tp>
    </main>
    <main first="rtdsrv_a82eb5a1fc404542a18b1336b70d2c4e">
      <tp>
        <v>5</v>
        <stp/>
        <stp>3f48b254-181e-4be1-87e7-847744cc11b8</stp>
        <tr r="G8939" s="2"/>
      </tp>
    </main>
    <main first="rtdsrv_a82eb5a1fc404542a18b1336b70d2c4e">
      <tp>
        <v>5</v>
        <stp/>
        <stp>249c5b15-fe10-4191-a487-292e06dd664b</stp>
        <tr r="G8499" s="2"/>
      </tp>
    </main>
    <main first="rtdsrv_a82eb5a1fc404542a18b1336b70d2c4e">
      <tp>
        <v>5</v>
        <stp/>
        <stp>d58eda09-d92c-4b7b-9f20-818475229d3d</stp>
        <tr r="G8169" s="2"/>
      </tp>
    </main>
    <main first="rtdsrv_a82eb5a1fc404542a18b1336b70d2c4e">
      <tp>
        <v>5</v>
        <stp/>
        <stp>a2fc3de8-49a2-435a-bb71-df588f1ab47b</stp>
        <tr r="G5589" s="2"/>
      </tp>
      <tp>
        <v>5</v>
        <stp/>
        <stp>faf5df16-4956-4033-9d15-5ca521a84ccc</stp>
        <tr r="G6270" s="2"/>
      </tp>
    </main>
    <main first="rtdsrv_a82eb5a1fc404542a18b1336b70d2c4e">
      <tp>
        <v>5</v>
        <stp/>
        <stp>904d7e05-58bf-4b92-9a2b-1416a7cfdc4a</stp>
        <tr r="G4808" s="2"/>
      </tp>
    </main>
    <main first="rtdsrv_a82eb5a1fc404542a18b1336b70d2c4e">
      <tp>
        <v>5</v>
        <stp/>
        <stp>e826c5c3-c07c-4548-aed6-45b1d49af351</stp>
        <tr r="G1075" s="2"/>
      </tp>
      <tp>
        <v>5</v>
        <stp/>
        <stp>fe38a4c1-55df-41ea-97cd-518c12db7edc</stp>
        <tr r="G6023" s="2"/>
      </tp>
    </main>
    <main first="rtdsrv_a82eb5a1fc404542a18b1336b70d2c4e">
      <tp>
        <v>5</v>
        <stp/>
        <stp>bf940ec1-bbf6-4c70-a80b-ed629534b0f3</stp>
        <tr r="G3776" s="2"/>
      </tp>
    </main>
    <main first="rtdsrv_a82eb5a1fc404542a18b1336b70d2c4e">
      <tp>
        <v>5</v>
        <stp/>
        <stp>c940dc25-f8bd-44c8-a714-de2f7f114606</stp>
        <tr r="G1592" s="2"/>
      </tp>
      <tp>
        <v>5</v>
        <stp/>
        <stp>84954df8-3111-446c-ae35-afa4aa787448</stp>
        <tr r="G6658" s="2"/>
      </tp>
      <tp>
        <v>5</v>
        <stp/>
        <stp>be329b60-9798-4897-9e97-3041b095e01f</stp>
        <tr r="G796" s="2"/>
      </tp>
    </main>
    <main first="rtdsrv_a82eb5a1fc404542a18b1336b70d2c4e">
      <tp>
        <v>5</v>
        <stp/>
        <stp>7f6d38e1-b1af-4278-bc78-9061262ae5d9</stp>
        <tr r="G837" s="2"/>
      </tp>
    </main>
    <main first="rtdsrv_a82eb5a1fc404542a18b1336b70d2c4e">
      <tp>
        <v>5</v>
        <stp/>
        <stp>4ae0a73b-6c13-4593-bb16-733773259b89</stp>
        <tr r="G738" s="2"/>
      </tp>
    </main>
    <main first="rtdsrv_a82eb5a1fc404542a18b1336b70d2c4e">
      <tp>
        <v>5</v>
        <stp/>
        <stp>1c56d285-3120-461b-975d-623faf574add</stp>
        <tr r="G4913" s="2"/>
      </tp>
      <tp>
        <v>5</v>
        <stp/>
        <stp>24b3f2f6-7384-4127-8309-27cb03fd621f</stp>
        <tr r="G2452" s="2"/>
      </tp>
    </main>
    <main first="rtdsrv_a82eb5a1fc404542a18b1336b70d2c4e">
      <tp>
        <v>5</v>
        <stp/>
        <stp>4c315ace-71fd-4911-abdc-8cb350b63381</stp>
        <tr r="G3998" s="2"/>
      </tp>
      <tp>
        <v>5</v>
        <stp/>
        <stp>52dbd49f-a526-4f54-99b6-e1b890cde0d1</stp>
        <tr r="G7787" s="2"/>
      </tp>
    </main>
    <main first="rtdsrv_a82eb5a1fc404542a18b1336b70d2c4e">
      <tp>
        <v>5</v>
        <stp/>
        <stp>8cbe6325-e8b1-4fe0-95d1-c7c010311f2b</stp>
        <tr r="G9440" s="2"/>
      </tp>
      <tp>
        <v>5</v>
        <stp/>
        <stp>e7373c12-2027-4a49-8042-0840177f6d87</stp>
        <tr r="G1294" s="2"/>
      </tp>
      <tp>
        <v>5</v>
        <stp/>
        <stp>573eccd4-1fe6-4da1-9969-317df605de40</stp>
        <tr r="G4813" s="2"/>
      </tp>
      <tp>
        <v>5</v>
        <stp/>
        <stp>8cfa1b53-239d-42cc-aca8-0f1fcf7a21e6</stp>
        <tr r="G2810" s="2"/>
      </tp>
    </main>
    <main first="rtdsrv_a82eb5a1fc404542a18b1336b70d2c4e">
      <tp>
        <v>5</v>
        <stp/>
        <stp>51e03d8f-bd45-4269-a4bf-d7dda8b3acb0</stp>
        <tr r="G9033" s="2"/>
      </tp>
      <tp>
        <v>5</v>
        <stp/>
        <stp>bf9255db-1778-4ae0-ba7c-9ec6c3acf30f</stp>
        <tr r="G3529" s="2"/>
      </tp>
      <tp>
        <v>5</v>
        <stp/>
        <stp>5be69ae6-b5a3-4b97-8cf8-b1272879493e</stp>
        <tr r="G7618" s="2"/>
      </tp>
    </main>
    <main first="rtdsrv_a82eb5a1fc404542a18b1336b70d2c4e">
      <tp>
        <v>5</v>
        <stp/>
        <stp>40ecb73a-51e8-4874-80c9-bc2a80ed6620</stp>
        <tr r="G4070" s="2"/>
      </tp>
    </main>
    <main first="rtdsrv_a82eb5a1fc404542a18b1336b70d2c4e">
      <tp>
        <v>5</v>
        <stp/>
        <stp>952f2011-ddbc-4331-a72f-0cd6cc41bbed</stp>
        <tr r="G3126" s="2"/>
      </tp>
      <tp>
        <v>5</v>
        <stp/>
        <stp>f79b6f9e-e756-4b35-a7ba-fa526550a7b6</stp>
        <tr r="G5661" s="2"/>
      </tp>
      <tp>
        <v>5</v>
        <stp/>
        <stp>969ab0ef-37a2-40ba-9522-9ee0a009f38c</stp>
        <tr r="G415" s="2"/>
      </tp>
    </main>
    <main first="rtdsrv_a82eb5a1fc404542a18b1336b70d2c4e">
      <tp>
        <v>5</v>
        <stp/>
        <stp>718cf236-4694-4603-90e8-db14d405770e</stp>
        <tr r="G9107" s="2"/>
      </tp>
      <tp>
        <v>5</v>
        <stp/>
        <stp>3873abed-24d9-48f8-8dd0-e3ece1c616da</stp>
        <tr r="G2836" s="2"/>
      </tp>
      <tp>
        <v>5</v>
        <stp/>
        <stp>8e79a006-d167-49e4-9a33-dcb7bea60029</stp>
        <tr r="G7649" s="2"/>
      </tp>
    </main>
    <main first="rtdsrv_a82eb5a1fc404542a18b1336b70d2c4e">
      <tp>
        <v>5</v>
        <stp/>
        <stp>82bef14e-27d4-4984-95c2-0fa21719277c</stp>
        <tr r="G4231" s="2"/>
      </tp>
      <tp>
        <v>5</v>
        <stp/>
        <stp>d26f1559-2fb2-4cc2-b3bf-3e627ae6fad0</stp>
        <tr r="G5817" s="2"/>
      </tp>
      <tp>
        <v>5</v>
        <stp/>
        <stp>5563d7cb-35a4-4a8c-962a-47a6f103dfde</stp>
        <tr r="G8011" s="2"/>
      </tp>
      <tp>
        <v>5</v>
        <stp/>
        <stp>c590eedb-4d13-4b63-a0be-aa83fb5c96e8</stp>
        <tr r="G8351" s="2"/>
      </tp>
      <tp>
        <v>5</v>
        <stp/>
        <stp>de9a141c-ea1b-474e-9112-0c9d774124bc</stp>
        <tr r="G8813" s="2"/>
      </tp>
      <tp>
        <v>5</v>
        <stp/>
        <stp>19502c1f-4f21-46e8-b852-6772121dcfb4</stp>
        <tr r="G9354" s="2"/>
      </tp>
      <tp>
        <v>5</v>
        <stp/>
        <stp>e290fd87-ea4a-4b8f-ac43-da6b1fbc6f3b</stp>
        <tr r="G7789" s="2"/>
      </tp>
    </main>
    <main first="rtdsrv_a82eb5a1fc404542a18b1336b70d2c4e">
      <tp>
        <v>5</v>
        <stp/>
        <stp>50f61343-683f-4901-b686-154e089b11e7</stp>
        <tr r="G8410" s="2"/>
      </tp>
    </main>
    <main first="rtdsrv_a82eb5a1fc404542a18b1336b70d2c4e">
      <tp>
        <v>5</v>
        <stp/>
        <stp>0566db8c-0b40-475f-95ed-1a974c12cf42</stp>
        <tr r="G8432" s="2"/>
      </tp>
    </main>
    <main first="rtdsrv_a82eb5a1fc404542a18b1336b70d2c4e">
      <tp>
        <v>5</v>
        <stp/>
        <stp>0b5c579a-8993-4b29-879c-9cc026b5e8be</stp>
        <tr r="G1886" s="2"/>
      </tp>
    </main>
    <main first="rtdsrv_a82eb5a1fc404542a18b1336b70d2c4e">
      <tp>
        <v>5</v>
        <stp/>
        <stp>9c7e85ca-18cf-43af-ae42-6442a69f97f3</stp>
        <tr r="G9232" s="2"/>
      </tp>
      <tp>
        <v>5</v>
        <stp/>
        <stp>21fdc262-7e4c-488a-86b7-d2861c6c9f9d</stp>
        <tr r="G7292" s="2"/>
      </tp>
      <tp>
        <v>5</v>
        <stp/>
        <stp>fec695b7-da3f-4d37-89b3-b3e1cc633150</stp>
        <tr r="G4423" s="2"/>
      </tp>
    </main>
    <main first="rtdsrv_a82eb5a1fc404542a18b1336b70d2c4e">
      <tp>
        <v>5</v>
        <stp/>
        <stp>465c8e79-d5ee-4659-b74d-49cfd10fb26e</stp>
        <tr r="G1825" s="2"/>
      </tp>
      <tp>
        <v>5</v>
        <stp/>
        <stp>542479cb-a82f-4f4b-9990-64c02546d682</stp>
        <tr r="G9977" s="2"/>
      </tp>
      <tp>
        <v>5</v>
        <stp/>
        <stp>c266658a-e93c-49fe-97f9-8bc87e818fcd</stp>
        <tr r="G5718" s="2"/>
      </tp>
      <tp>
        <v>5</v>
        <stp/>
        <stp>99ff9f2e-d99c-40ba-9f21-9c63339908e0</stp>
        <tr r="G9715" s="2"/>
      </tp>
      <tp>
        <v>5</v>
        <stp/>
        <stp>bda213ce-afd0-410d-a514-b6b85613fc5b</stp>
        <tr r="G8617" s="2"/>
      </tp>
      <tp>
        <v>5</v>
        <stp/>
        <stp>e9de2d8c-2a17-4cd4-b68f-00214c9450f8</stp>
        <tr r="G5177" s="2"/>
      </tp>
      <tp>
        <v>5</v>
        <stp/>
        <stp>a2536d9f-a8ca-43ed-b7ab-2bf4a2136b74</stp>
        <tr r="G4154" s="2"/>
      </tp>
    </main>
    <main first="rtdsrv_a82eb5a1fc404542a18b1336b70d2c4e">
      <tp>
        <v>5</v>
        <stp/>
        <stp>ab2be7c4-ff79-4366-9803-fa2261e2cee7</stp>
        <tr r="G5660" s="2"/>
      </tp>
      <tp>
        <v>5</v>
        <stp/>
        <stp>7a68a10c-a594-438c-9511-743361f65fa2</stp>
        <tr r="G7943" s="2"/>
      </tp>
      <tp>
        <v>5</v>
        <stp/>
        <stp>92ae3a26-aa15-4929-b706-ca97bc84a93e</stp>
        <tr r="G6639" s="2"/>
      </tp>
      <tp>
        <v>5</v>
        <stp/>
        <stp>3a7f4041-1b35-4c14-964b-1c4ad5efc6da</stp>
        <tr r="G1525" s="2"/>
      </tp>
      <tp>
        <v>5</v>
        <stp/>
        <stp>886d1e08-f3d5-4332-8997-85c1f3cc165e</stp>
        <tr r="G2423" s="2"/>
      </tp>
    </main>
    <main first="rtdsrv_a82eb5a1fc404542a18b1336b70d2c4e">
      <tp>
        <v>5</v>
        <stp/>
        <stp>c91d86da-1be8-45d1-8223-b8494a6e1d16</stp>
        <tr r="G1902" s="2"/>
      </tp>
      <tp>
        <v>5</v>
        <stp/>
        <stp>5014c372-a644-4905-91b7-bb72ef674110</stp>
        <tr r="G655" s="2"/>
      </tp>
    </main>
    <main first="rtdsrv_a82eb5a1fc404542a18b1336b70d2c4e">
      <tp>
        <v>5</v>
        <stp/>
        <stp>f8350bbf-126e-4bb4-be13-e916850c2bf1</stp>
        <tr r="G4760" s="2"/>
      </tp>
    </main>
    <main first="rtdsrv_a82eb5a1fc404542a18b1336b70d2c4e">
      <tp>
        <v>5</v>
        <stp/>
        <stp>1ac7ffc6-5e9e-471b-bc2e-01f3223b1ab0</stp>
        <tr r="G8754" s="2"/>
      </tp>
    </main>
    <main first="rtdsrv_a82eb5a1fc404542a18b1336b70d2c4e">
      <tp>
        <v>5</v>
        <stp/>
        <stp>0d9aeb9d-0628-4525-a71a-b3f02318c27e</stp>
        <tr r="G4395" s="2"/>
      </tp>
      <tp>
        <v>5</v>
        <stp/>
        <stp>203502d2-1425-4a8e-8a16-14156ff2055e</stp>
        <tr r="G3580" s="2"/>
      </tp>
      <tp>
        <v>5</v>
        <stp/>
        <stp>04ebb0ff-0dd1-4c03-9be0-db1a6f5f2fd4</stp>
        <tr r="G2683" s="2"/>
      </tp>
    </main>
    <main first="rtdsrv_a82eb5a1fc404542a18b1336b70d2c4e">
      <tp>
        <v>5</v>
        <stp/>
        <stp>bd824864-7e49-4622-b69e-0b280c8e6a31</stp>
        <tr r="G4597" s="2"/>
      </tp>
      <tp>
        <v>5</v>
        <stp/>
        <stp>5de573f5-9c53-4b53-83fb-5558376eb969</stp>
        <tr r="G6871" s="2"/>
      </tp>
      <tp>
        <v>5</v>
        <stp/>
        <stp>573099f8-93f3-4111-a26d-3eec9734fbcb</stp>
        <tr r="G3096" s="2"/>
      </tp>
    </main>
    <main first="rtdsrv_a82eb5a1fc404542a18b1336b70d2c4e">
      <tp>
        <v>5</v>
        <stp/>
        <stp>7453523e-26d9-48fe-9575-439ec122ad90</stp>
        <tr r="G9882" s="2"/>
      </tp>
    </main>
    <main first="rtdsrv_a82eb5a1fc404542a18b1336b70d2c4e">
      <tp>
        <v>5</v>
        <stp/>
        <stp>d1a773b4-9dfc-4f0e-9c87-07afe217dc75</stp>
        <tr r="G5768" s="2"/>
      </tp>
      <tp>
        <v>5</v>
        <stp/>
        <stp>a50d4de0-797f-417e-b1eb-9758309b3a55</stp>
        <tr r="G933" s="2"/>
      </tp>
      <tp>
        <v>5</v>
        <stp/>
        <stp>60cefebd-5a28-436e-913b-fc62deac70b3</stp>
        <tr r="G6653" s="2"/>
      </tp>
      <tp>
        <v>5</v>
        <stp/>
        <stp>e6e4d0c6-c551-45e4-83da-930887bca10d</stp>
        <tr r="G4873" s="2"/>
      </tp>
      <tp>
        <v>5</v>
        <stp/>
        <stp>5c2cd215-9a52-4eeb-a683-eedc9ba555d6</stp>
        <tr r="G620" s="2"/>
      </tp>
    </main>
    <main first="rtdsrv_a82eb5a1fc404542a18b1336b70d2c4e">
      <tp>
        <v>5</v>
        <stp/>
        <stp>3c09052a-c7db-40d3-906d-ffa213e22ee4</stp>
        <tr r="G6302" s="2"/>
      </tp>
    </main>
    <main first="rtdsrv_a82eb5a1fc404542a18b1336b70d2c4e">
      <tp>
        <v>5</v>
        <stp/>
        <stp>c3ed19d6-4c39-4bb1-9f3f-414fb592e89b</stp>
        <tr r="G89" s="2"/>
      </tp>
      <tp>
        <v>5</v>
        <stp/>
        <stp>3f1ed1e6-3011-462c-9fc9-4fabfd4bef8a</stp>
        <tr r="G3371" s="2"/>
      </tp>
    </main>
    <main first="rtdsrv_a82eb5a1fc404542a18b1336b70d2c4e">
      <tp>
        <v>5</v>
        <stp/>
        <stp>5bdb6c7e-65f3-45ad-8a46-14ab9160cb77</stp>
        <tr r="G3843" s="2"/>
      </tp>
    </main>
    <main first="rtdsrv_a82eb5a1fc404542a18b1336b70d2c4e">
      <tp>
        <v>5</v>
        <stp/>
        <stp>43d5037e-fc71-4413-9fb5-190388d8a6a6</stp>
        <tr r="G1422" s="2"/>
      </tp>
      <tp>
        <v>5</v>
        <stp/>
        <stp>7a9a6d18-b736-493d-82d4-93893de710f2</stp>
        <tr r="G1460" s="2"/>
      </tp>
    </main>
    <main first="rtdsrv_a82eb5a1fc404542a18b1336b70d2c4e">
      <tp>
        <v>5</v>
        <stp/>
        <stp>ec4ce762-1a88-4328-9938-928829b19e16</stp>
        <tr r="G2716" s="2"/>
      </tp>
      <tp>
        <v>5</v>
        <stp/>
        <stp>276343ac-bc99-44f5-be23-716334c30dba</stp>
        <tr r="G8501" s="2"/>
      </tp>
      <tp>
        <v>5</v>
        <stp/>
        <stp>66aa8c05-b6ca-4b83-9b26-74d49c451a12</stp>
        <tr r="G5045" s="2"/>
      </tp>
    </main>
    <main first="rtdsrv_a82eb5a1fc404542a18b1336b70d2c4e">
      <tp>
        <v>5</v>
        <stp/>
        <stp>d45f6f64-666a-4d93-9585-5e0bb88a428a</stp>
        <tr r="G5502" s="2"/>
      </tp>
    </main>
    <main first="rtdsrv_a82eb5a1fc404542a18b1336b70d2c4e">
      <tp>
        <v>5</v>
        <stp/>
        <stp>bd1b227a-aeb6-41c3-8787-547d893b91ac</stp>
        <tr r="G3505" s="2"/>
      </tp>
      <tp>
        <v>5</v>
        <stp/>
        <stp>05ae0cdb-df5c-4cb5-865a-36ca42d67640</stp>
        <tr r="G1905" s="2"/>
      </tp>
    </main>
    <main first="rtdsrv_a82eb5a1fc404542a18b1336b70d2c4e">
      <tp>
        <v>5</v>
        <stp/>
        <stp>e10f4d67-0c55-431d-ae4a-2697a097435b</stp>
        <tr r="G8453" s="2"/>
      </tp>
    </main>
    <main first="rtdsrv_a82eb5a1fc404542a18b1336b70d2c4e">
      <tp>
        <v>5</v>
        <stp/>
        <stp>4ba2993f-817b-4643-b60a-75bbc0c0de22</stp>
        <tr r="G8437" s="2"/>
      </tp>
      <tp>
        <v>5</v>
        <stp/>
        <stp>31f9bfaa-43d9-4e53-afed-43b731e967fa</stp>
        <tr r="G2215" s="2"/>
      </tp>
      <tp>
        <v>5</v>
        <stp/>
        <stp>0b89129d-f3f1-4092-b613-0c7d97598a2e</stp>
        <tr r="G9281" s="2"/>
      </tp>
    </main>
    <main first="rtdsrv_a82eb5a1fc404542a18b1336b70d2c4e">
      <tp>
        <v>5</v>
        <stp/>
        <stp>005bb331-6ea9-4fa6-98ff-7065cad6c4f2</stp>
        <tr r="G8173" s="2"/>
      </tp>
      <tp>
        <v>5</v>
        <stp/>
        <stp>645eab1f-4c1f-4c1a-8914-f52b6514d2ae</stp>
        <tr r="G5274" s="2"/>
      </tp>
    </main>
    <main first="rtdsrv_a82eb5a1fc404542a18b1336b70d2c4e">
      <tp>
        <v>5</v>
        <stp/>
        <stp>8f40982e-240b-4f24-be81-8bdcdaea8c0e</stp>
        <tr r="G2243" s="2"/>
      </tp>
      <tp>
        <v>5</v>
        <stp/>
        <stp>bb5ecd1d-5cc4-4eca-a45b-7de8b669c5da</stp>
        <tr r="G4342" s="2"/>
      </tp>
      <tp>
        <v>5</v>
        <stp/>
        <stp>8bc09211-648c-4a10-9077-b1eb4560fe02</stp>
        <tr r="G2677" s="2"/>
      </tp>
      <tp>
        <v>5</v>
        <stp/>
        <stp>13746a6f-6033-4461-9415-83040348ad2a</stp>
        <tr r="G7313" s="2"/>
      </tp>
    </main>
    <main first="rtdsrv_a82eb5a1fc404542a18b1336b70d2c4e">
      <tp>
        <v>5</v>
        <stp/>
        <stp>0d983580-54aa-4e63-a351-8c6f5d696e68</stp>
        <tr r="G5952" s="2"/>
      </tp>
      <tp>
        <v>5</v>
        <stp/>
        <stp>470e1ea7-916f-4220-9da7-9f77f8b6cd0d</stp>
        <tr r="G4666" s="2"/>
      </tp>
      <tp>
        <v>5</v>
        <stp/>
        <stp>8c3d5a45-53d3-4d3b-812f-d6fe30bd8adc</stp>
        <tr r="G4962" s="2"/>
      </tp>
    </main>
    <main first="rtdsrv_a82eb5a1fc404542a18b1336b70d2c4e">
      <tp>
        <v>5</v>
        <stp/>
        <stp>4936b65f-32fe-4544-9b84-10c5eedf2e58</stp>
        <tr r="G5345" s="2"/>
      </tp>
      <tp>
        <v>5</v>
        <stp/>
        <stp>9a2959ef-8cd2-45da-80be-d3fb32acdbde</stp>
        <tr r="G6795" s="2"/>
      </tp>
      <tp>
        <v>5</v>
        <stp/>
        <stp>f628288c-3b3a-4c9b-8787-01f33c8ba530</stp>
        <tr r="G1781" s="2"/>
      </tp>
      <tp>
        <v>5</v>
        <stp/>
        <stp>40f0d13a-7170-49d3-9e1c-8e5c1ab520bc</stp>
        <tr r="G8244" s="2"/>
      </tp>
    </main>
    <main first="rtdsrv_a82eb5a1fc404542a18b1336b70d2c4e">
      <tp>
        <v>5</v>
        <stp/>
        <stp>6f962799-4d43-4871-a231-90d9f13cbf0e</stp>
        <tr r="G2436" s="2"/>
      </tp>
      <tp>
        <v>5</v>
        <stp/>
        <stp>b5c2dbff-2d72-4c43-aba1-f020f219b5a6</stp>
        <tr r="G4559" s="2"/>
      </tp>
    </main>
    <main first="rtdsrv_a82eb5a1fc404542a18b1336b70d2c4e">
      <tp>
        <v>5</v>
        <stp/>
        <stp>0f22243a-4f01-44ed-90ab-3307a3fbacaa</stp>
        <tr r="G9383" s="2"/>
      </tp>
      <tp>
        <v>5</v>
        <stp/>
        <stp>cfc1b0b0-20ca-4ba0-9620-56f6a51e8ed0</stp>
        <tr r="G5167" s="2"/>
      </tp>
      <tp>
        <v>5</v>
        <stp/>
        <stp>1a5c6d80-bd88-4b50-ac38-18c91e15190a</stp>
        <tr r="G92" s="2"/>
      </tp>
    </main>
    <main first="rtdsrv_a82eb5a1fc404542a18b1336b70d2c4e">
      <tp>
        <v>5</v>
        <stp/>
        <stp>7337d5fa-7106-49d2-97f7-c2de8d785335</stp>
        <tr r="G2550" s="2"/>
      </tp>
      <tp>
        <v>5</v>
        <stp/>
        <stp>deb63100-dad7-430f-905d-31fafac0c3a6</stp>
        <tr r="G8667" s="2"/>
      </tp>
      <tp>
        <v>5</v>
        <stp/>
        <stp>2cfdf448-6a8f-4eb4-8b41-c087f3994b08</stp>
        <tr r="G1710" s="2"/>
      </tp>
    </main>
    <main first="rtdsrv_a82eb5a1fc404542a18b1336b70d2c4e">
      <tp>
        <v>5</v>
        <stp/>
        <stp>21f36727-fc4b-4a27-8c83-585a6c5df478</stp>
        <tr r="G9959" s="2"/>
      </tp>
    </main>
    <main first="rtdsrv_a82eb5a1fc404542a18b1336b70d2c4e">
      <tp>
        <v>5</v>
        <stp/>
        <stp>613224fe-f0fe-49db-8cfe-efd1a6d7873f</stp>
        <tr r="G7076" s="2"/>
      </tp>
      <tp>
        <v>5</v>
        <stp/>
        <stp>7efff6a8-c6b3-41a2-892c-78bd11bc99ab</stp>
        <tr r="G5270" s="2"/>
      </tp>
      <tp>
        <v>5</v>
        <stp/>
        <stp>320a8ea2-42da-4088-8252-97f6ca3b8879</stp>
        <tr r="G6076" s="2"/>
      </tp>
      <tp>
        <v>5</v>
        <stp/>
        <stp>100af904-9c05-444c-ab11-51479ccec061</stp>
        <tr r="G4527" s="2"/>
      </tp>
      <tp>
        <v>5</v>
        <stp/>
        <stp>2c6ebf4b-b010-46a2-9daa-97ae12cfb1bd</stp>
        <tr r="G4484" s="2"/>
      </tp>
      <tp>
        <v>5</v>
        <stp/>
        <stp>1122374a-76e6-40df-82c7-d7cc60f52310</stp>
        <tr r="G8628" s="2"/>
      </tp>
    </main>
    <main first="rtdsrv_a82eb5a1fc404542a18b1336b70d2c4e">
      <tp>
        <v>5</v>
        <stp/>
        <stp>d3e27e84-c478-4fe2-a754-c9f143b1b852</stp>
        <tr r="G1673" s="2"/>
      </tp>
    </main>
    <main first="rtdsrv_a82eb5a1fc404542a18b1336b70d2c4e">
      <tp>
        <v>5</v>
        <stp/>
        <stp>cf5da6be-0484-4261-b3c2-52f1588b48c9</stp>
        <tr r="G3423" s="2"/>
      </tp>
    </main>
    <main first="rtdsrv_a82eb5a1fc404542a18b1336b70d2c4e">
      <tp>
        <v>5</v>
        <stp/>
        <stp>1b6a12c7-75a9-4382-9f03-53196d79c292</stp>
        <tr r="G5682" s="2"/>
      </tp>
      <tp>
        <v>5</v>
        <stp/>
        <stp>cd764ac7-392c-4a2e-815a-c1d3ab63c52b</stp>
        <tr r="G1412" s="2"/>
      </tp>
      <tp>
        <v>5</v>
        <stp/>
        <stp>7d08660f-e1f2-4ff9-b3d3-16a79d963865</stp>
        <tr r="G7610" s="2"/>
      </tp>
    </main>
    <main first="rtdsrv_a82eb5a1fc404542a18b1336b70d2c4e">
      <tp>
        <v>5</v>
        <stp/>
        <stp>4f829107-53c9-40f8-94b6-985bd82568f3</stp>
        <tr r="G683" s="2"/>
      </tp>
    </main>
    <main first="rtdsrv_a82eb5a1fc404542a18b1336b70d2c4e">
      <tp>
        <v>5</v>
        <stp/>
        <stp>16281178-a957-4142-88e7-605b12b0e308</stp>
        <tr r="G7336" s="2"/>
      </tp>
    </main>
    <main first="rtdsrv_a82eb5a1fc404542a18b1336b70d2c4e">
      <tp>
        <v>5</v>
        <stp/>
        <stp>bd34b0b1-d4da-4a4f-a621-b3be15be8b83</stp>
        <tr r="G4830" s="2"/>
      </tp>
    </main>
    <main first="rtdsrv_a82eb5a1fc404542a18b1336b70d2c4e">
      <tp>
        <v>5</v>
        <stp/>
        <stp>959f6f0a-400b-43e9-9d06-d2a8de59c97c</stp>
        <tr r="G4163" s="2"/>
      </tp>
    </main>
    <main first="rtdsrv_a82eb5a1fc404542a18b1336b70d2c4e">
      <tp>
        <v>5</v>
        <stp/>
        <stp>cc38ba21-69fe-42f8-95d4-84f9ad7c3800</stp>
        <tr r="G176" s="2"/>
      </tp>
    </main>
    <main first="rtdsrv_a82eb5a1fc404542a18b1336b70d2c4e">
      <tp>
        <v>5</v>
        <stp/>
        <stp>a19ae323-a4fd-4e01-bbaa-d8e2725279ce</stp>
        <tr r="G7747" s="2"/>
      </tp>
      <tp>
        <v>5</v>
        <stp/>
        <stp>8a989dce-8fb3-4b38-984f-76322e232b62</stp>
        <tr r="G4715" s="2"/>
      </tp>
    </main>
    <main first="rtdsrv_a82eb5a1fc404542a18b1336b70d2c4e">
      <tp>
        <v>5</v>
        <stp/>
        <stp>0ca78647-b2f8-4027-b160-567ce69df64b</stp>
        <tr r="G8441" s="2"/>
      </tp>
    </main>
    <main first="rtdsrv_a82eb5a1fc404542a18b1336b70d2c4e">
      <tp>
        <v>5</v>
        <stp/>
        <stp>f6208b5c-ef1f-4876-8ad2-4a996f268d51</stp>
        <tr r="G8652" s="2"/>
      </tp>
    </main>
    <main first="rtdsrv_a82eb5a1fc404542a18b1336b70d2c4e">
      <tp>
        <v>5</v>
        <stp/>
        <stp>5b9be74c-8def-4e98-b92a-c4d4db5a4176</stp>
        <tr r="G5904" s="2"/>
      </tp>
      <tp>
        <v>5</v>
        <stp/>
        <stp>8ce9b3a1-d1f4-4304-8c30-acfeee917542</stp>
        <tr r="G8838" s="2"/>
      </tp>
      <tp>
        <v>5</v>
        <stp/>
        <stp>02138ea5-412a-4cc1-874d-e6fb31963a47</stp>
        <tr r="G8423" s="2"/>
      </tp>
      <tp>
        <v>5</v>
        <stp/>
        <stp>e33217cb-629f-4f4f-ace6-74861f7fec52</stp>
        <tr r="G2806" s="2"/>
      </tp>
      <tp>
        <v>5</v>
        <stp/>
        <stp>f157a181-6a94-4985-92bd-9755cc2565a2</stp>
        <tr r="G2458" s="2"/>
      </tp>
      <tp>
        <v>5</v>
        <stp/>
        <stp>a0787208-b5e0-4907-a767-ee8ed361e7ed</stp>
        <tr r="G6593" s="2"/>
      </tp>
    </main>
    <main first="rtdsrv_a82eb5a1fc404542a18b1336b70d2c4e">
      <tp>
        <v>5</v>
        <stp/>
        <stp>b155389c-0e68-40c0-ae17-3aad88b9ba3b</stp>
        <tr r="G5476" s="2"/>
      </tp>
    </main>
    <main first="rtdsrv_a82eb5a1fc404542a18b1336b70d2c4e">
      <tp>
        <v>5</v>
        <stp/>
        <stp>1673f6b7-c42c-4191-816e-ae50d1ff509a</stp>
        <tr r="G8918" s="2"/>
      </tp>
    </main>
    <main first="rtdsrv_a82eb5a1fc404542a18b1336b70d2c4e">
      <tp>
        <v>5</v>
        <stp/>
        <stp>149528aa-d0f8-44ff-b36c-4249080ba2aa</stp>
        <tr r="G3509" s="2"/>
      </tp>
      <tp>
        <v>5</v>
        <stp/>
        <stp>c9876cfa-86ba-417e-979c-90de36802893</stp>
        <tr r="G6113" s="2"/>
      </tp>
    </main>
    <main first="rtdsrv_a82eb5a1fc404542a18b1336b70d2c4e">
      <tp>
        <v>5</v>
        <stp/>
        <stp>02d3e69d-7ddf-48f4-aa5a-56453bbc4fa8</stp>
        <tr r="G356" s="2"/>
      </tp>
    </main>
    <main first="rtdsrv_a82eb5a1fc404542a18b1336b70d2c4e">
      <tp>
        <v>5</v>
        <stp/>
        <stp>d6c60f19-6a98-4a5e-90e4-0293cb0d16a9</stp>
        <tr r="G1291" s="2"/>
      </tp>
    </main>
    <main first="rtdsrv_a82eb5a1fc404542a18b1336b70d2c4e">
      <tp>
        <v>5</v>
        <stp/>
        <stp>a5d74699-2f62-4df1-aca6-11c0ea780168</stp>
        <tr r="G2445" s="2"/>
      </tp>
      <tp>
        <v>5</v>
        <stp/>
        <stp>ea98f2e7-54f8-4b1a-9bed-1b6a0778f7bf</stp>
        <tr r="G1570" s="2"/>
      </tp>
      <tp>
        <v>5</v>
        <stp/>
        <stp>4eb59e07-282e-4a32-845d-2f11364e2ed2</stp>
        <tr r="G5399" s="2"/>
      </tp>
      <tp>
        <v>5</v>
        <stp/>
        <stp>78ae60d7-9332-473d-a719-9e689ce01b35</stp>
        <tr r="G7084" s="2"/>
      </tp>
    </main>
    <main first="rtdsrv_a82eb5a1fc404542a18b1336b70d2c4e">
      <tp>
        <v>5</v>
        <stp/>
        <stp>baa3c09b-560c-40fd-8f77-60bb5b2fcef8</stp>
        <tr r="G7436" s="2"/>
      </tp>
      <tp>
        <v>5</v>
        <stp/>
        <stp>10fef197-a884-47e6-a86d-94968019adde</stp>
        <tr r="G5825" s="2"/>
      </tp>
      <tp>
        <v>5</v>
        <stp/>
        <stp>d808a242-2c33-486c-b8b0-59e08c968cd5</stp>
        <tr r="G4279" s="2"/>
      </tp>
      <tp>
        <v>5</v>
        <stp/>
        <stp>5db09c85-6f9c-40ef-bb1c-f21ee08b6d98</stp>
        <tr r="G4606" s="2"/>
      </tp>
      <tp>
        <v>5</v>
        <stp/>
        <stp>8514ea44-4a8f-44dc-8af3-fd1eb11d508d</stp>
        <tr r="G7176" s="2"/>
      </tp>
    </main>
    <main first="rtdsrv_a82eb5a1fc404542a18b1336b70d2c4e">
      <tp>
        <v>5</v>
        <stp/>
        <stp>3fbf089b-dbd7-4e0c-aacb-1826c247d029</stp>
        <tr r="G9829" s="2"/>
      </tp>
    </main>
    <main first="rtdsrv_a82eb5a1fc404542a18b1336b70d2c4e">
      <tp>
        <v>5</v>
        <stp/>
        <stp>0ce5948c-32d8-4840-bb04-eb1a2df4cbce</stp>
        <tr r="G1306" s="2"/>
      </tp>
    </main>
    <main first="rtdsrv_a82eb5a1fc404542a18b1336b70d2c4e">
      <tp>
        <v>5</v>
        <stp/>
        <stp>24e7520e-1b73-4569-976c-56588786991e</stp>
        <tr r="G7543" s="2"/>
      </tp>
    </main>
    <main first="rtdsrv_a82eb5a1fc404542a18b1336b70d2c4e">
      <tp>
        <v>5</v>
        <stp/>
        <stp>d4cfe5fb-5dca-4793-8e76-73eddf8caeba</stp>
        <tr r="G7238" s="2"/>
      </tp>
      <tp>
        <v>5</v>
        <stp/>
        <stp>67c67ad2-7c4c-4b94-9bf6-158c343bb21e</stp>
        <tr r="G8852" s="2"/>
      </tp>
      <tp>
        <v>5</v>
        <stp/>
        <stp>7beb29e4-3b5d-429c-975e-fbcade976956</stp>
        <tr r="G5096" s="2"/>
      </tp>
      <tp>
        <v>5</v>
        <stp/>
        <stp>69c09045-7613-47bf-9ce9-c92e36f3f2de</stp>
        <tr r="G3378" s="2"/>
      </tp>
      <tp>
        <v>5</v>
        <stp/>
        <stp>26e30990-6c0e-4837-af6b-1b0bdc47b915</stp>
        <tr r="G635" s="2"/>
      </tp>
      <tp>
        <v>5</v>
        <stp/>
        <stp>e55567ea-ccce-4cd1-b628-ae6f4f095aec</stp>
        <tr r="G1907" s="2"/>
      </tp>
      <tp>
        <v>5</v>
        <stp/>
        <stp>8cf3273a-327c-438a-8ff9-e5a7da6a54a3</stp>
        <tr r="G1518" s="2"/>
      </tp>
      <tp>
        <v>5</v>
        <stp/>
        <stp>e49c5777-239b-4b5c-a2fb-0cba3d4a13ae</stp>
        <tr r="G4304" s="2"/>
      </tp>
    </main>
    <main first="rtdsrv_a82eb5a1fc404542a18b1336b70d2c4e">
      <tp>
        <v>5</v>
        <stp/>
        <stp>99027954-c892-4e49-8cb3-7014005048b1</stp>
        <tr r="G9026" s="2"/>
      </tp>
      <tp>
        <v>5</v>
        <stp/>
        <stp>9941f45b-e922-4159-b693-fb2df22d68cb</stp>
        <tr r="G2241" s="2"/>
      </tp>
    </main>
    <main first="rtdsrv_a82eb5a1fc404542a18b1336b70d2c4e">
      <tp>
        <v>5</v>
        <stp/>
        <stp>1833f5ef-f4cf-4047-bf3d-34498cb73882</stp>
        <tr r="G7563" s="2"/>
      </tp>
    </main>
    <main first="rtdsrv_a82eb5a1fc404542a18b1336b70d2c4e">
      <tp>
        <v>5</v>
        <stp/>
        <stp>279912d6-b609-4794-93ac-ba5e9aab2251</stp>
        <tr r="G8488" s="2"/>
      </tp>
      <tp>
        <v>5</v>
        <stp/>
        <stp>81542388-36d1-4c4c-8539-ddccaf923c1b</stp>
        <tr r="G1546" s="2"/>
      </tp>
    </main>
    <main first="rtdsrv_a82eb5a1fc404542a18b1336b70d2c4e">
      <tp>
        <v>5</v>
        <stp/>
        <stp>f0c94e64-983e-43a1-9123-73506e381912</stp>
        <tr r="G9360" s="2"/>
      </tp>
      <tp>
        <v>5</v>
        <stp/>
        <stp>2b1a572f-2829-47bf-82f7-523ac6f39c0f</stp>
        <tr r="G7190" s="2"/>
      </tp>
    </main>
    <main first="rtdsrv_a82eb5a1fc404542a18b1336b70d2c4e">
      <tp>
        <v>5</v>
        <stp/>
        <stp>e4e40c2e-056c-46db-9ce9-c7fa31c42f75</stp>
        <tr r="G997" s="2"/>
      </tp>
      <tp>
        <v>5</v>
        <stp/>
        <stp>11d4f20b-7676-49a1-9da7-ab92c3c0b5f3</stp>
        <tr r="G3598" s="2"/>
      </tp>
    </main>
    <main first="rtdsrv_a82eb5a1fc404542a18b1336b70d2c4e">
      <tp>
        <v>5</v>
        <stp/>
        <stp>ea91fc0a-ed6f-4d76-9373-3b30370a6344</stp>
        <tr r="G7017" s="2"/>
      </tp>
    </main>
    <main first="rtdsrv_a82eb5a1fc404542a18b1336b70d2c4e">
      <tp>
        <v>5</v>
        <stp/>
        <stp>f391ab59-207a-4953-b0ac-3815b959e020</stp>
        <tr r="G892" s="2"/>
      </tp>
    </main>
    <main first="rtdsrv_a82eb5a1fc404542a18b1336b70d2c4e">
      <tp>
        <v>5</v>
        <stp/>
        <stp>710d4b90-3bff-4e27-b51c-1cb0eabd2da8</stp>
        <tr r="G8086" s="2"/>
      </tp>
      <tp>
        <v>5</v>
        <stp/>
        <stp>2257a8d2-82d1-4bf5-aa6d-b2985fc94e48</stp>
        <tr r="G6822" s="2"/>
      </tp>
    </main>
    <main first="rtdsrv_a82eb5a1fc404542a18b1336b70d2c4e">
      <tp>
        <v>5</v>
        <stp/>
        <stp>c296be0a-da71-43f4-850e-3aeaadc762a8</stp>
        <tr r="G7338" s="2"/>
      </tp>
      <tp>
        <v>5</v>
        <stp/>
        <stp>faf4c161-934d-4fa5-9622-5d9e49083320</stp>
        <tr r="G6728" s="2"/>
      </tp>
    </main>
    <main first="rtdsrv_a82eb5a1fc404542a18b1336b70d2c4e">
      <tp>
        <v>5</v>
        <stp/>
        <stp>6bff0f93-f7ea-4536-93f4-9e13aa061673</stp>
        <tr r="G1080" s="2"/>
      </tp>
    </main>
    <main first="rtdsrv_a82eb5a1fc404542a18b1336b70d2c4e">
      <tp>
        <v>5</v>
        <stp/>
        <stp>25d4e16a-ce9f-4067-8172-748501b34b52</stp>
        <tr r="G9523" s="2"/>
      </tp>
    </main>
    <main first="rtdsrv_a82eb5a1fc404542a18b1336b70d2c4e">
      <tp>
        <v>5</v>
        <stp/>
        <stp>a0342c36-f11a-4f74-9816-ed8f8f6212cf</stp>
        <tr r="G2549" s="2"/>
      </tp>
      <tp>
        <v>5</v>
        <stp/>
        <stp>0f76d373-6012-46ee-a612-5758d2e12284</stp>
        <tr r="G684" s="2"/>
      </tp>
    </main>
    <main first="rtdsrv_a82eb5a1fc404542a18b1336b70d2c4e">
      <tp>
        <v>5</v>
        <stp/>
        <stp>bf655be3-37c4-41f7-9ea4-1cd83cf9ea83</stp>
        <tr r="G1172" s="2"/>
      </tp>
    </main>
    <main first="rtdsrv_a82eb5a1fc404542a18b1336b70d2c4e">
      <tp>
        <v>5</v>
        <stp/>
        <stp>de0900b6-f9de-4886-aef0-345c1c51940d</stp>
        <tr r="G7138" s="2"/>
      </tp>
      <tp>
        <v>5</v>
        <stp/>
        <stp>d58e12ed-c362-4356-947f-57e6e0097b66</stp>
        <tr r="G1429" s="2"/>
      </tp>
      <tp>
        <v>5</v>
        <stp/>
        <stp>48fb293b-2173-414d-a613-7e7a273a148b</stp>
        <tr r="G8540" s="2"/>
      </tp>
    </main>
    <main first="rtdsrv_a82eb5a1fc404542a18b1336b70d2c4e">
      <tp>
        <v>5</v>
        <stp/>
        <stp>a3371e91-1a9b-480b-a5f2-8a7a644e661d</stp>
        <tr r="G7321" s="2"/>
      </tp>
      <tp>
        <v>5</v>
        <stp/>
        <stp>f2ff7e72-b86a-4761-b245-dfefd4059bbc</stp>
        <tr r="G9563" s="2"/>
      </tp>
    </main>
    <main first="rtdsrv_a82eb5a1fc404542a18b1336b70d2c4e">
      <tp>
        <v>5</v>
        <stp/>
        <stp>69f9daf9-3249-489b-a3ac-ccc998a7738b</stp>
        <tr r="G587" s="2"/>
      </tp>
    </main>
    <main first="rtdsrv_a82eb5a1fc404542a18b1336b70d2c4e">
      <tp>
        <v>5</v>
        <stp/>
        <stp>4b8794e7-8b94-4e23-883c-2cd5b4b1a91c</stp>
        <tr r="G2820" s="2"/>
      </tp>
      <tp>
        <v>5</v>
        <stp/>
        <stp>b0ca8a61-19b3-4412-93d7-62a2f6f70274</stp>
        <tr r="G8356" s="2"/>
      </tp>
      <tp>
        <v>5</v>
        <stp/>
        <stp>32e78cf4-0f10-4cef-8a72-c29c633b716b</stp>
        <tr r="G2884" s="2"/>
      </tp>
    </main>
    <main first="rtdsrv_a82eb5a1fc404542a18b1336b70d2c4e">
      <tp>
        <v>5</v>
        <stp/>
        <stp>4c309ba1-2951-4277-9e15-2222b25d952b</stp>
        <tr r="G6718" s="2"/>
      </tp>
    </main>
    <main first="rtdsrv_a82eb5a1fc404542a18b1336b70d2c4e">
      <tp>
        <v>5</v>
        <stp/>
        <stp>20fc303c-559c-4c64-9ec8-d4b180485fe6</stp>
        <tr r="G1870" s="2"/>
      </tp>
    </main>
    <main first="rtdsrv_a82eb5a1fc404542a18b1336b70d2c4e">
      <tp>
        <v>5</v>
        <stp/>
        <stp>46fb33ca-89c8-4926-a29e-925efaa58af2</stp>
        <tr r="G2977" s="2"/>
      </tp>
      <tp>
        <v>5</v>
        <stp/>
        <stp>b1a5ac2a-e365-4486-8773-f3b15cc7df92</stp>
        <tr r="G549" s="2"/>
      </tp>
    </main>
    <main first="rtdsrv_a82eb5a1fc404542a18b1336b70d2c4e">
      <tp>
        <v>5</v>
        <stp/>
        <stp>aed4df5f-e606-487b-a005-63b80209c5d8</stp>
        <tr r="G122" s="2"/>
      </tp>
      <tp>
        <v>5</v>
        <stp/>
        <stp>a5315c75-9635-4542-828e-83780ebc93fc</stp>
        <tr r="G7892" s="2"/>
      </tp>
      <tp>
        <v>5</v>
        <stp/>
        <stp>c645dfb3-bb4f-4d00-8321-e5888dadea80</stp>
        <tr r="G760" s="2"/>
      </tp>
    </main>
    <main first="rtdsrv_a82eb5a1fc404542a18b1336b70d2c4e">
      <tp>
        <v>5</v>
        <stp/>
        <stp>7627d4d7-f775-4a08-a79a-e1b9adcd90ed</stp>
        <tr r="G7031" s="2"/>
      </tp>
      <tp>
        <v>5</v>
        <stp/>
        <stp>33c80d98-b31e-44ba-921e-ca9145f03175</stp>
        <tr r="G9330" s="2"/>
      </tp>
    </main>
    <main first="rtdsrv_a82eb5a1fc404542a18b1336b70d2c4e">
      <tp>
        <v>5</v>
        <stp/>
        <stp>402bb3c9-b211-4ef7-9d76-d84abade08af</stp>
        <tr r="G5508" s="2"/>
      </tp>
      <tp>
        <v>5</v>
        <stp/>
        <stp>ebe63870-8426-4173-b77f-767bcd2de4a6</stp>
        <tr r="G4938" s="2"/>
      </tp>
      <tp>
        <v>5</v>
        <stp/>
        <stp>ae271460-e5f5-4158-8d92-153cab691bba</stp>
        <tr r="G8858" s="2"/>
      </tp>
      <tp>
        <v>5</v>
        <stp/>
        <stp>57c03474-7e30-4367-ba25-3ca3cc8e419c</stp>
        <tr r="G5744" s="2"/>
      </tp>
      <tp>
        <v>5</v>
        <stp/>
        <stp>a0e1dfc1-0d08-4b95-9740-03442e5b617b</stp>
        <tr r="G345" s="2"/>
      </tp>
      <tp>
        <v>5</v>
        <stp/>
        <stp>b1e62c1c-d0ce-474d-911f-4227ab15f3eb</stp>
        <tr r="G7340" s="2"/>
      </tp>
      <tp>
        <v>5</v>
        <stp/>
        <stp>2ef645e6-4ac7-4267-9dd1-14433e696f58</stp>
        <tr r="G5732" s="2"/>
      </tp>
      <tp>
        <v>5</v>
        <stp/>
        <stp>653dff33-daaa-45b2-9afa-441611ae6f43</stp>
        <tr r="G8964" s="2"/>
      </tp>
      <tp>
        <v>5</v>
        <stp/>
        <stp>a7578aa2-8378-4628-9816-f7a8d6415fa2</stp>
        <tr r="G6980" s="2"/>
      </tp>
      <tp>
        <v>5</v>
        <stp/>
        <stp>a3cfc7be-bc9d-4be4-9aff-cc2c1bf01554</stp>
        <tr r="G7117" s="2"/>
      </tp>
    </main>
    <main first="rtdsrv_a82eb5a1fc404542a18b1336b70d2c4e">
      <tp>
        <v>5</v>
        <stp/>
        <stp>a2e73387-c5e3-4638-bf87-551873886d31</stp>
        <tr r="G2032" s="2"/>
      </tp>
      <tp>
        <v>5</v>
        <stp/>
        <stp>7ad5e210-26da-4e13-a5db-f5c70eb63fef</stp>
        <tr r="G2263" s="2"/>
      </tp>
      <tp>
        <v>5</v>
        <stp/>
        <stp>664ea524-f16d-46fb-a2ac-cf1b14cc64c3</stp>
        <tr r="G7622" s="2"/>
      </tp>
      <tp>
        <v>5</v>
        <stp/>
        <stp>011f0f19-02fe-48db-9022-24ff2008933e</stp>
        <tr r="G309" s="2"/>
      </tp>
      <tp>
        <v>5</v>
        <stp/>
        <stp>b17a580d-fb21-4957-b4b4-f83366d1d4ca</stp>
        <tr r="G1687" s="2"/>
      </tp>
    </main>
    <main first="rtdsrv_a82eb5a1fc404542a18b1336b70d2c4e">
      <tp>
        <v>5</v>
        <stp/>
        <stp>3e83064c-2067-4ceb-b471-37c0ab994a2d</stp>
        <tr r="G2007" s="2"/>
      </tp>
    </main>
    <main first="rtdsrv_a82eb5a1fc404542a18b1336b70d2c4e">
      <tp>
        <v>5</v>
        <stp/>
        <stp>af950f89-cc84-4da8-b737-880dac50e357</stp>
        <tr r="G5505" s="2"/>
      </tp>
    </main>
    <main first="rtdsrv_a82eb5a1fc404542a18b1336b70d2c4e">
      <tp>
        <v>5</v>
        <stp/>
        <stp>ba82d5b6-db97-4080-bdbc-639e73e6ebbc</stp>
        <tr r="G4611" s="2"/>
      </tp>
    </main>
    <main first="rtdsrv_a82eb5a1fc404542a18b1336b70d2c4e">
      <tp>
        <v>5</v>
        <stp/>
        <stp>cfac266a-7aba-451e-aadc-113fe1a90fb1</stp>
        <tr r="G7689" s="2"/>
      </tp>
      <tp>
        <v>5</v>
        <stp/>
        <stp>86ec8859-b471-42a6-9b55-b86a5ebb12ca</stp>
        <tr r="G831" s="2"/>
      </tp>
      <tp>
        <v>5</v>
        <stp/>
        <stp>51575386-e800-40b4-b220-45da5ccad7df</stp>
        <tr r="G8824" s="2"/>
      </tp>
      <tp>
        <v>5</v>
        <stp/>
        <stp>5e562077-66e1-4491-8721-99d82a12a86c</stp>
        <tr r="G2142" s="2"/>
      </tp>
      <tp>
        <v>5</v>
        <stp/>
        <stp>30ee4207-1f4c-4daa-b5d3-cdbebe603724</stp>
        <tr r="G651" s="2"/>
      </tp>
      <tp>
        <v>5</v>
        <stp/>
        <stp>99a8d27d-3f3d-4c4d-ad8d-6fc13f7b8df2</stp>
        <tr r="G9292" s="2"/>
      </tp>
    </main>
    <main first="rtdsrv_a82eb5a1fc404542a18b1336b70d2c4e">
      <tp>
        <v>5</v>
        <stp/>
        <stp>9ed7d32b-72ad-40b9-a0c7-ea90399eac58</stp>
        <tr r="G3605" s="2"/>
      </tp>
    </main>
    <main first="rtdsrv_a82eb5a1fc404542a18b1336b70d2c4e">
      <tp>
        <v>5</v>
        <stp/>
        <stp>45eb7825-950e-4dd6-be20-51da9141b0d8</stp>
        <tr r="G1723" s="2"/>
      </tp>
      <tp>
        <v>5</v>
        <stp/>
        <stp>a0fa18de-9481-4304-9678-6e989ae7a642</stp>
        <tr r="G4390" s="2"/>
      </tp>
      <tp>
        <v>5</v>
        <stp/>
        <stp>eabb0551-729d-4248-aba9-ed8b2f43886c</stp>
        <tr r="G2768" s="2"/>
      </tp>
      <tp>
        <v>5</v>
        <stp/>
        <stp>f5447216-7102-45d5-a046-55547323b7c5</stp>
        <tr r="G3313" s="2"/>
      </tp>
      <tp>
        <v>5</v>
        <stp/>
        <stp>2fb58ba9-35c4-4fb0-841b-f1310b3a9e25</stp>
        <tr r="G3279" s="2"/>
      </tp>
    </main>
    <main first="rtdsrv_a82eb5a1fc404542a18b1336b70d2c4e">
      <tp>
        <v>5</v>
        <stp/>
        <stp>be445388-a325-47fe-88ec-cf53ec67729c</stp>
        <tr r="G2222" s="2"/>
      </tp>
    </main>
    <main first="rtdsrv_a82eb5a1fc404542a18b1336b70d2c4e">
      <tp>
        <v>5</v>
        <stp/>
        <stp>3e3d6376-d933-4601-bdb5-c7ee8a9a572c</stp>
        <tr r="G3361" s="2"/>
      </tp>
      <tp>
        <v>5</v>
        <stp/>
        <stp>fbd7b361-76c7-4574-a13a-82dbfce740b9</stp>
        <tr r="G8914" s="2"/>
      </tp>
      <tp>
        <v>5</v>
        <stp/>
        <stp>fc4645fd-739f-484e-837f-67a6da948e91</stp>
        <tr r="G1584" s="2"/>
      </tp>
      <tp>
        <v>5</v>
        <stp/>
        <stp>7326da37-5be2-4df3-823b-fdfce011a303</stp>
        <tr r="G8063" s="2"/>
      </tp>
    </main>
    <main first="rtdsrv_a82eb5a1fc404542a18b1336b70d2c4e">
      <tp>
        <v>5</v>
        <stp/>
        <stp>769e358b-5547-4063-933e-4d469348ea63</stp>
        <tr r="G4338" s="2"/>
      </tp>
      <tp>
        <v>5</v>
        <stp/>
        <stp>d3568157-ade3-4f93-8fb2-5b65eca1d3f9</stp>
        <tr r="G665" s="2"/>
      </tp>
      <tp>
        <v>5</v>
        <stp/>
        <stp>e6e537e0-47d8-4c34-b5da-1e327fcd3fa6</stp>
        <tr r="G8821" s="2"/>
      </tp>
      <tp>
        <v>5</v>
        <stp/>
        <stp>d6cf61c1-bd3c-4588-b051-23f179c52b77</stp>
        <tr r="G5579" s="2"/>
      </tp>
    </main>
    <main first="rtdsrv_a82eb5a1fc404542a18b1336b70d2c4e">
      <tp>
        <v>5</v>
        <stp/>
        <stp>ed4ac052-4a4f-4176-ae4b-5086ced60795</stp>
        <tr r="G6990" s="2"/>
      </tp>
      <tp>
        <v>5</v>
        <stp/>
        <stp>42fe77e2-c43d-4dc7-8caf-c05884f1e4e3</stp>
        <tr r="G5724" s="2"/>
      </tp>
      <tp>
        <v>5</v>
        <stp/>
        <stp>4cb6ae07-17d4-49c7-81d8-c395026b7e50</stp>
        <tr r="G9538" s="2"/>
      </tp>
      <tp>
        <v>5</v>
        <stp/>
        <stp>89edc7f9-7606-4f83-aee9-a525ec8ca9a2</stp>
        <tr r="G7886" s="2"/>
      </tp>
      <tp>
        <v>5</v>
        <stp/>
        <stp>68a00788-7538-4ba3-b536-68856005a055</stp>
        <tr r="G6839" s="2"/>
      </tp>
    </main>
    <main first="rtdsrv_a82eb5a1fc404542a18b1336b70d2c4e">
      <tp>
        <v>5</v>
        <stp/>
        <stp>e3ca3a37-3569-4610-98f5-33673a7b5e63</stp>
        <tr r="G6552" s="2"/>
      </tp>
      <tp>
        <v>5</v>
        <stp/>
        <stp>e8c9921e-2b6f-4826-a585-fcafcab5e4a4</stp>
        <tr r="G7658" s="2"/>
      </tp>
      <tp>
        <v>5</v>
        <stp/>
        <stp>5375e94e-2ffd-4053-9efb-09ba55096a26</stp>
        <tr r="G8972" s="2"/>
      </tp>
      <tp>
        <v>5</v>
        <stp/>
        <stp>208f5df7-09b2-4693-ad50-7805783e5b3e</stp>
        <tr r="G3793" s="2"/>
      </tp>
      <tp>
        <v>5</v>
        <stp/>
        <stp>2a818c74-3fe9-490a-9c32-140b3b9b3553</stp>
        <tr r="G8230" s="2"/>
      </tp>
    </main>
    <main first="rtdsrv_a82eb5a1fc404542a18b1336b70d2c4e">
      <tp>
        <v>5</v>
        <stp/>
        <stp>af3411e6-8ece-45b0-92f6-7ca09cea89ff</stp>
        <tr r="G6178" s="2"/>
      </tp>
      <tp>
        <v>5</v>
        <stp/>
        <stp>4b776d19-66cc-41d7-a6a6-8010e7e3aa5d</stp>
        <tr r="G9851" s="2"/>
      </tp>
    </main>
    <main first="rtdsrv_a82eb5a1fc404542a18b1336b70d2c4e">
      <tp>
        <v>5</v>
        <stp/>
        <stp>7986c23d-754a-44ab-809f-2f07970e3689</stp>
        <tr r="G6663" s="2"/>
      </tp>
      <tp>
        <v>5</v>
        <stp/>
        <stp>ba9fb5e3-290b-4477-a0d2-eadbe6cceb00</stp>
        <tr r="G1109" s="2"/>
      </tp>
      <tp>
        <v>5</v>
        <stp/>
        <stp>07c7d1a6-f5cb-4f67-abc1-ebbbee039348</stp>
        <tr r="G2794" s="2"/>
      </tp>
    </main>
    <main first="rtdsrv_a82eb5a1fc404542a18b1336b70d2c4e">
      <tp>
        <v>5</v>
        <stp/>
        <stp>260d8de3-10f5-4aa1-a64f-0fbe788be898</stp>
        <tr r="G3023" s="2"/>
      </tp>
      <tp>
        <v>5</v>
        <stp/>
        <stp>5c5db4fa-b748-48f5-bcd1-c5b212d5cc38</stp>
        <tr r="G9491" s="2"/>
      </tp>
      <tp>
        <v>5</v>
        <stp/>
        <stp>5bd53067-228d-4c7e-ba25-8edf4ae8b349</stp>
        <tr r="G4754" s="2"/>
      </tp>
      <tp>
        <v>5</v>
        <stp/>
        <stp>da344580-6ebe-42d0-8023-10762c906334</stp>
        <tr r="G755" s="2"/>
      </tp>
      <tp>
        <v>5</v>
        <stp/>
        <stp>ae2de62a-4cc0-4d27-8704-77a06bfd6504</stp>
        <tr r="G4778" s="2"/>
      </tp>
      <tp>
        <v>5</v>
        <stp/>
        <stp>3b1cbbf3-4a67-4a66-9c83-0951e45217ef</stp>
        <tr r="G6534" s="2"/>
      </tp>
      <tp>
        <v>5</v>
        <stp/>
        <stp>b5f50a33-fd86-4d10-9e68-5cf11a686691</stp>
        <tr r="G3325" s="2"/>
      </tp>
    </main>
    <main first="rtdsrv_a82eb5a1fc404542a18b1336b70d2c4e">
      <tp>
        <v>5</v>
        <stp/>
        <stp>24b1a8a3-b19c-4521-85a5-666d502f38b4</stp>
        <tr r="G8908" s="2"/>
      </tp>
      <tp>
        <v>5</v>
        <stp/>
        <stp>9dd64257-3356-438b-af33-7c5a8fcd81fa</stp>
        <tr r="G9849" s="2"/>
      </tp>
    </main>
    <main first="rtdsrv_a82eb5a1fc404542a18b1336b70d2c4e">
      <tp>
        <v>5</v>
        <stp/>
        <stp>c96b4af4-0934-4575-a999-5f00261ad40b</stp>
        <tr r="G5226" s="2"/>
      </tp>
      <tp>
        <v>5</v>
        <stp/>
        <stp>f262fc92-e93b-4a3a-90e3-d5662fddfc67</stp>
        <tr r="G2497" s="2"/>
      </tp>
      <tp>
        <v>5</v>
        <stp/>
        <stp>ef3406e7-4bc5-43eb-8262-8f2473a2ae4b</stp>
        <tr r="G160" s="2"/>
      </tp>
    </main>
    <main first="rtdsrv_a82eb5a1fc404542a18b1336b70d2c4e">
      <tp>
        <v>5</v>
        <stp/>
        <stp>39a8420c-ef71-46ee-bf3e-b93be83ca933</stp>
        <tr r="G8637" s="2"/>
      </tp>
    </main>
    <main first="rtdsrv_a82eb5a1fc404542a18b1336b70d2c4e">
      <tp>
        <v>5</v>
        <stp/>
        <stp>17879e4e-3653-410d-a7a1-0cdf7396c475</stp>
        <tr r="G1728" s="2"/>
      </tp>
    </main>
    <main first="rtdsrv_a82eb5a1fc404542a18b1336b70d2c4e">
      <tp>
        <v>5</v>
        <stp/>
        <stp>917be43c-62e0-492d-b762-9571d50deab2</stp>
        <tr r="G2771" s="2"/>
      </tp>
      <tp>
        <v>5</v>
        <stp/>
        <stp>ac7c083a-8c77-45fd-9849-b8869937624c</stp>
        <tr r="G5411" s="2"/>
      </tp>
      <tp>
        <v>5</v>
        <stp/>
        <stp>87f31b75-c6a0-4c2c-8b8a-684297d7ab7b</stp>
        <tr r="G9670" s="2"/>
      </tp>
    </main>
    <main first="rtdsrv_a82eb5a1fc404542a18b1336b70d2c4e">
      <tp>
        <v>5</v>
        <stp/>
        <stp>7001303e-3a8c-414f-87ea-9b065130ecbf</stp>
        <tr r="G4766" s="2"/>
      </tp>
    </main>
    <main first="rtdsrv_a82eb5a1fc404542a18b1336b70d2c4e">
      <tp>
        <v>5</v>
        <stp/>
        <stp>2d9b95cc-8cfa-4db3-8b7a-f296a9222f18</stp>
        <tr r="G3223" s="2"/>
      </tp>
      <tp>
        <v>5</v>
        <stp/>
        <stp>5caebcc0-9ea5-4b56-a8e2-13accaf7380d</stp>
        <tr r="G9306" s="2"/>
      </tp>
    </main>
    <main first="rtdsrv_a82eb5a1fc404542a18b1336b70d2c4e">
      <tp>
        <v>5</v>
        <stp/>
        <stp>0be1bf75-4ea9-4353-bd52-ebdbb0e72dfc</stp>
        <tr r="G740" s="2"/>
      </tp>
    </main>
    <main first="rtdsrv_a82eb5a1fc404542a18b1336b70d2c4e">
      <tp>
        <v>5</v>
        <stp/>
        <stp>716e306b-4287-4936-bf50-105e1dc8cb61</stp>
        <tr r="G1138" s="2"/>
      </tp>
      <tp>
        <v>5</v>
        <stp/>
        <stp>2f77399a-f500-4631-8ed8-89571051feaf</stp>
        <tr r="G5968" s="2"/>
      </tp>
    </main>
    <main first="rtdsrv_a82eb5a1fc404542a18b1336b70d2c4e">
      <tp>
        <v>5</v>
        <stp/>
        <stp>8d5b01e4-aaee-4190-9f4c-67ccd3c6a40e</stp>
        <tr r="G2099" s="2"/>
      </tp>
      <tp>
        <v>5</v>
        <stp/>
        <stp>3093750b-0d90-4c20-8c14-da3ca1072d83</stp>
        <tr r="G175" s="2"/>
      </tp>
      <tp>
        <v>5</v>
        <stp/>
        <stp>1ae5a92b-71dc-4cc8-81ef-2170904423a8</stp>
        <tr r="G5229" s="2"/>
      </tp>
      <tp>
        <v>5</v>
        <stp/>
        <stp>a78cc2ce-c61e-416a-a041-749b77ded0c4</stp>
        <tr r="G8797" s="2"/>
      </tp>
    </main>
    <main first="rtdsrv_a82eb5a1fc404542a18b1336b70d2c4e">
      <tp>
        <v>5</v>
        <stp/>
        <stp>8152af72-4a3a-4f36-90cc-b644b4e88432</stp>
        <tr r="G9861" s="2"/>
      </tp>
    </main>
    <main first="rtdsrv_a82eb5a1fc404542a18b1336b70d2c4e">
      <tp>
        <v>5</v>
        <stp/>
        <stp>77a82f36-e6f1-46f5-aee2-d4247f1d5673</stp>
        <tr r="G8771" s="2"/>
      </tp>
    </main>
    <main first="rtdsrv_a82eb5a1fc404542a18b1336b70d2c4e">
      <tp>
        <v>5</v>
        <stp/>
        <stp>3635d248-ff61-440d-b56d-ada242dddfbe</stp>
        <tr r="G2495" s="2"/>
      </tp>
      <tp>
        <v>5</v>
        <stp/>
        <stp>74731ffe-5ea1-4871-a256-d31683548cd3</stp>
        <tr r="G7776" s="2"/>
      </tp>
    </main>
    <main first="rtdsrv_a82eb5a1fc404542a18b1336b70d2c4e">
      <tp>
        <v>5</v>
        <stp/>
        <stp>e0a817d6-f4b4-4cfc-8b1f-24e684ec4358</stp>
        <tr r="G2182" s="2"/>
      </tp>
      <tp>
        <v>5</v>
        <stp/>
        <stp>02341623-f207-4e77-8968-26846f6b73f8</stp>
        <tr r="G5222" s="2"/>
      </tp>
    </main>
    <main first="rtdsrv_a82eb5a1fc404542a18b1336b70d2c4e">
      <tp>
        <v>5</v>
        <stp/>
        <stp>e542ea08-abd7-44f0-bed0-ff2b1e18fb6d</stp>
        <tr r="G4592" s="2"/>
      </tp>
    </main>
    <main first="rtdsrv_a82eb5a1fc404542a18b1336b70d2c4e">
      <tp>
        <v>5</v>
        <stp/>
        <stp>22e3cd3d-b77b-457d-b8ab-d0d6bbbcecfc</stp>
        <tr r="G1752" s="2"/>
      </tp>
      <tp>
        <v>5</v>
        <stp/>
        <stp>3b741212-4016-47fa-a04e-97ac5523e3c3</stp>
        <tr r="G5492" s="2"/>
      </tp>
    </main>
    <main first="rtdsrv_a82eb5a1fc404542a18b1336b70d2c4e">
      <tp>
        <v>5</v>
        <stp/>
        <stp>5c77de33-6e3f-4542-a98c-f9480f02aeef</stp>
        <tr r="G5764" s="2"/>
      </tp>
      <tp>
        <v>5</v>
        <stp/>
        <stp>fcc77a56-a318-4109-8ebf-1be0dbae68de</stp>
        <tr r="G66" s="2"/>
      </tp>
      <tp>
        <v>5</v>
        <stp/>
        <stp>5026bb7f-ffb9-4872-9bfd-95ab9ef6b0c2</stp>
        <tr r="G4664" s="2"/>
      </tp>
      <tp>
        <v>5</v>
        <stp/>
        <stp>d58aec93-b799-4c1e-904c-48c659f02d3b</stp>
        <tr r="G4346" s="2"/>
      </tp>
      <tp>
        <v>5</v>
        <stp/>
        <stp>4e0a036c-46ca-45cc-aee6-324e64f0ab71</stp>
        <tr r="G3460" s="2"/>
      </tp>
    </main>
    <main first="rtdsrv_a82eb5a1fc404542a18b1336b70d2c4e">
      <tp>
        <v>5</v>
        <stp/>
        <stp>685f09a9-80cd-4873-b96d-58ca069fa292</stp>
        <tr r="G147" s="2"/>
      </tp>
      <tp>
        <v>5</v>
        <stp/>
        <stp>4c154473-dfd2-48a0-97cb-17906b9935a6</stp>
        <tr r="G9395" s="2"/>
      </tp>
    </main>
    <main first="rtdsrv_a82eb5a1fc404542a18b1336b70d2c4e">
      <tp>
        <v>5</v>
        <stp/>
        <stp>d03ef764-d058-4dba-aab7-3cc957572476</stp>
        <tr r="G8573" s="2"/>
      </tp>
      <tp>
        <v>5</v>
        <stp/>
        <stp>5d8741cc-26e2-4fd2-a8ac-ac13f724ec17</stp>
        <tr r="G1223" s="2"/>
      </tp>
      <tp>
        <v>5</v>
        <stp/>
        <stp>835d5396-6dc4-402e-a7e2-ce60036c9cf4</stp>
        <tr r="G2367" s="2"/>
      </tp>
    </main>
    <main first="rtdsrv_a82eb5a1fc404542a18b1336b70d2c4e">
      <tp>
        <v>5</v>
        <stp/>
        <stp>0359cd53-3297-436e-80ef-c1d153508e98</stp>
        <tr r="G4584" s="2"/>
      </tp>
    </main>
    <main first="rtdsrv_a82eb5a1fc404542a18b1336b70d2c4e">
      <tp>
        <v>5</v>
        <stp/>
        <stp>f85ba14e-5003-41ca-bbaa-f59ff8f3823b</stp>
        <tr r="G2841" s="2"/>
      </tp>
      <tp>
        <v>5</v>
        <stp/>
        <stp>ce3b41e0-d8d1-405c-87dc-0300f0e6c7df</stp>
        <tr r="G128" s="2"/>
      </tp>
      <tp>
        <v>5</v>
        <stp/>
        <stp>d3920517-6acb-4e32-b741-97395fbcdd5e</stp>
        <tr r="G3404" s="2"/>
      </tp>
    </main>
    <main first="rtdsrv_a82eb5a1fc404542a18b1336b70d2c4e">
      <tp>
        <v>5</v>
        <stp/>
        <stp>0257ecc3-f4e7-4de6-97a9-807fb1fe3b6e</stp>
        <tr r="G8510" s="2"/>
      </tp>
    </main>
    <main first="rtdsrv_a82eb5a1fc404542a18b1336b70d2c4e">
      <tp>
        <v>5</v>
        <stp/>
        <stp>f82bef8d-a61e-45ab-8313-4e34e8dfd2ed</stp>
        <tr r="G8719" s="2"/>
      </tp>
    </main>
    <main first="rtdsrv_a82eb5a1fc404542a18b1336b70d2c4e">
      <tp>
        <v>5</v>
        <stp/>
        <stp>0e4e05ef-7e5c-49aa-9054-b79241f456bb</stp>
        <tr r="G920" s="2"/>
      </tp>
      <tp>
        <v>5</v>
        <stp/>
        <stp>2960f796-9556-4d42-b5af-55fb00d00bc5</stp>
        <tr r="G1093" s="2"/>
      </tp>
      <tp>
        <v>5</v>
        <stp/>
        <stp>0d9cbc5c-39a3-4008-90fc-34c16d92b919</stp>
        <tr r="G7186" s="2"/>
      </tp>
      <tp>
        <v>5</v>
        <stp/>
        <stp>77557381-6a23-47d4-beeb-5fd0c3c7d548</stp>
        <tr r="G4063" s="2"/>
      </tp>
    </main>
    <main first="rtdsrv_a82eb5a1fc404542a18b1336b70d2c4e">
      <tp>
        <v>5</v>
        <stp/>
        <stp>25a551ec-2aba-4bdf-93c0-c2e3da9c4c4e</stp>
        <tr r="G3710" s="2"/>
      </tp>
      <tp>
        <v>5</v>
        <stp/>
        <stp>1290ec6e-aa3d-4c8b-a6a1-15cb707b655b</stp>
        <tr r="G1383" s="2"/>
      </tp>
      <tp>
        <v>5</v>
        <stp/>
        <stp>6cdf2c64-6d91-41cf-85ff-e09bedd35a33</stp>
        <tr r="G8446" s="2"/>
      </tp>
      <tp>
        <v>5</v>
        <stp/>
        <stp>61e83b64-e0e2-4d4d-981b-5c7414949715</stp>
        <tr r="G8424" s="2"/>
      </tp>
    </main>
    <main first="rtdsrv_a82eb5a1fc404542a18b1336b70d2c4e">
      <tp>
        <v>5</v>
        <stp/>
        <stp>86962a6c-42cb-45b1-88c3-8003dd0a8f0b</stp>
        <tr r="G8273" s="2"/>
      </tp>
      <tp>
        <v>5</v>
        <stp/>
        <stp>81dc988b-895f-42e8-bbd9-38e102411d30</stp>
        <tr r="G7973" s="2"/>
      </tp>
    </main>
    <main first="rtdsrv_a82eb5a1fc404542a18b1336b70d2c4e">
      <tp>
        <v>5</v>
        <stp/>
        <stp>0d3c2bab-b84c-42d0-9ff5-3fbb61f6bfe6</stp>
        <tr r="G3172" s="2"/>
      </tp>
      <tp>
        <v>5</v>
        <stp/>
        <stp>6069f694-4ab5-4941-b71d-ac5bf6496d57</stp>
        <tr r="G74" s="2"/>
      </tp>
      <tp>
        <v>5</v>
        <stp/>
        <stp>58ff7225-553d-41d9-9079-777d05c1f02d</stp>
        <tr r="G9042" s="2"/>
      </tp>
    </main>
    <main first="rtdsrv_a82eb5a1fc404542a18b1336b70d2c4e">
      <tp>
        <v>5</v>
        <stp/>
        <stp>50ea2cf0-a41e-4a61-9b38-08d0327589c8</stp>
        <tr r="G1144" s="2"/>
      </tp>
      <tp>
        <v>5</v>
        <stp/>
        <stp>c76f4289-a1ce-49ff-9f4b-09c8d81a340c</stp>
        <tr r="G3802" s="2"/>
      </tp>
    </main>
    <main first="rtdsrv_a82eb5a1fc404542a18b1336b70d2c4e">
      <tp>
        <v>5</v>
        <stp/>
        <stp>fc82824b-439f-47ad-90da-bf6e66d30630</stp>
        <tr r="G9858" s="2"/>
      </tp>
    </main>
    <main first="rtdsrv_a82eb5a1fc404542a18b1336b70d2c4e">
      <tp>
        <v>5</v>
        <stp/>
        <stp>926cb937-1d37-4537-b899-173f8b681bb8</stp>
        <tr r="G8695" s="2"/>
      </tp>
    </main>
    <main first="rtdsrv_a82eb5a1fc404542a18b1336b70d2c4e">
      <tp>
        <v>5</v>
        <stp/>
        <stp>7ddee6bf-a4e4-4fa7-8e90-b8901d6fab20</stp>
        <tr r="G2296" s="2"/>
      </tp>
      <tp>
        <v>5</v>
        <stp/>
        <stp>b95aa5ec-a69b-4b5c-a238-522414a3782a</stp>
        <tr r="G8318" s="2"/>
      </tp>
      <tp>
        <v>5</v>
        <stp/>
        <stp>40868c3f-f875-4d31-8f89-6b01b80abe50</stp>
        <tr r="G1171" s="2"/>
      </tp>
      <tp>
        <v>5</v>
        <stp/>
        <stp>91f34943-69d3-40fb-879f-4d1d4225601f</stp>
        <tr r="G2822" s="2"/>
      </tp>
      <tp>
        <v>5</v>
        <stp/>
        <stp>53957760-25bf-4de3-beaa-475ceabe714b</stp>
        <tr r="G3658" s="2"/>
      </tp>
    </main>
    <main first="rtdsrv_a82eb5a1fc404542a18b1336b70d2c4e">
      <tp>
        <v>5</v>
        <stp/>
        <stp>eaf84397-a64e-4c02-9412-fffac13b5d6a</stp>
        <tr r="G7037" s="2"/>
      </tp>
    </main>
    <main first="rtdsrv_a82eb5a1fc404542a18b1336b70d2c4e">
      <tp>
        <v>5</v>
        <stp/>
        <stp>ecd1fcb2-71b7-4708-849f-97aa1615a497</stp>
        <tr r="G1689" s="2"/>
      </tp>
      <tp>
        <v>5</v>
        <stp/>
        <stp>e1a3cd83-0c9e-4a1e-9453-c5f9e5cb7643</stp>
        <tr r="G1861" s="2"/>
      </tp>
      <tp>
        <v>5</v>
        <stp/>
        <stp>df3c0ef9-a77a-4ce0-9a43-0309f5a33c84</stp>
        <tr r="G2761" s="2"/>
      </tp>
      <tp>
        <v>5</v>
        <stp/>
        <stp>3123c35a-5d76-4e53-a5b5-ca26d08124d2</stp>
        <tr r="G4475" s="2"/>
      </tp>
    </main>
    <main first="rtdsrv_a82eb5a1fc404542a18b1336b70d2c4e">
      <tp>
        <v>5</v>
        <stp/>
        <stp>7b1e9c62-d8a7-4516-ad17-d5d28ee56110</stp>
        <tr r="G59" s="2"/>
      </tp>
      <tp>
        <v>5</v>
        <stp/>
        <stp>dc5c953a-c158-45b7-b2af-553027cdcb9d</stp>
        <tr r="G3725" s="2"/>
      </tp>
      <tp>
        <v>5</v>
        <stp/>
        <stp>cbf83e5d-b555-4552-993c-01ab6aef6791</stp>
        <tr r="G8098" s="2"/>
      </tp>
      <tp>
        <v>5</v>
        <stp/>
        <stp>b09fa903-ceb7-4bde-84b4-30f2c846ff28</stp>
        <tr r="G3530" s="2"/>
      </tp>
      <tp>
        <v>5</v>
        <stp/>
        <stp>ccaf9b8e-5fee-470f-a666-d44c0a277275</stp>
        <tr r="G3076" s="2"/>
      </tp>
      <tp>
        <v>5</v>
        <stp/>
        <stp>a786b16a-39f3-4785-b48b-7600f8ed358a</stp>
        <tr r="G9270" s="2"/>
      </tp>
      <tp>
        <v>5</v>
        <stp/>
        <stp>373f23e1-b9e9-42fe-a539-6b038ef79484</stp>
        <tr r="G385" s="2"/>
      </tp>
    </main>
    <main first="rtdsrv_a82eb5a1fc404542a18b1336b70d2c4e">
      <tp>
        <v>5</v>
        <stp/>
        <stp>1fa521fb-3644-4603-a5de-8098ea089ad0</stp>
        <tr r="G3984" s="2"/>
      </tp>
      <tp>
        <v>5</v>
        <stp/>
        <stp>92f5c847-b6ad-4191-97b7-e0a9383f3086</stp>
        <tr r="G4668" s="2"/>
      </tp>
      <tp>
        <v>5</v>
        <stp/>
        <stp>41a760d8-bb06-41f0-a438-7b40d43d95a6</stp>
        <tr r="G2157" s="2"/>
      </tp>
    </main>
    <main first="rtdsrv_a82eb5a1fc404542a18b1336b70d2c4e">
      <tp>
        <v>5</v>
        <stp/>
        <stp>b78a813f-4fc8-4513-9fdb-3eb722dc9103</stp>
        <tr r="G1733" s="2"/>
      </tp>
      <tp>
        <v>5</v>
        <stp/>
        <stp>d4a0d456-1980-4e52-8429-9f6842978fbd</stp>
        <tr r="G9737" s="2"/>
      </tp>
      <tp>
        <v>5</v>
        <stp/>
        <stp>2fc3055a-6665-425d-825c-7584c753957c</stp>
        <tr r="G6482" s="2"/>
      </tp>
    </main>
    <main first="rtdsrv_a82eb5a1fc404542a18b1336b70d2c4e">
      <tp>
        <v>5</v>
        <stp/>
        <stp>5f5495ef-f8bb-41bc-ba54-4253aead871b</stp>
        <tr r="G9638" s="2"/>
      </tp>
      <tp>
        <v>5</v>
        <stp/>
        <stp>607b2d64-c316-41f4-bdc2-0f6b5c812f70</stp>
        <tr r="G720" s="2"/>
      </tp>
    </main>
    <main first="rtdsrv_a82eb5a1fc404542a18b1336b70d2c4e">
      <tp>
        <v>5</v>
        <stp/>
        <stp>ec49cf4b-79c4-4c40-b7d0-480d6d0e290f</stp>
        <tr r="G5545" s="2"/>
      </tp>
      <tp>
        <v>5</v>
        <stp/>
        <stp>6e0fe3ad-95a5-4737-b749-95d95bd648df</stp>
        <tr r="G3924" s="2"/>
      </tp>
      <tp>
        <v>5</v>
        <stp/>
        <stp>855fc494-ae2c-46db-9d6c-fface57afde2</stp>
        <tr r="G4103" s="2"/>
      </tp>
      <tp>
        <v>5</v>
        <stp/>
        <stp>e3250e90-3300-43b4-a6b9-0a9943886b99</stp>
        <tr r="G9917" s="2"/>
      </tp>
    </main>
    <main first="rtdsrv_a82eb5a1fc404542a18b1336b70d2c4e">
      <tp>
        <v>5</v>
        <stp/>
        <stp>531e0507-c950-4ad0-8740-18395b775863</stp>
        <tr r="G5072" s="2"/>
      </tp>
    </main>
    <main first="rtdsrv_a82eb5a1fc404542a18b1336b70d2c4e">
      <tp>
        <v>5</v>
        <stp/>
        <stp>72e40e9b-dc29-4544-8055-1e508172de2b</stp>
        <tr r="G529" s="2"/>
      </tp>
      <tp>
        <v>5</v>
        <stp/>
        <stp>5f173a1c-a4f5-46fb-9890-a58fa954c23f</stp>
        <tr r="G1623" s="2"/>
      </tp>
      <tp>
        <v>5</v>
        <stp/>
        <stp>e6d34d5b-ad76-4154-9ee5-0d91e02b1516</stp>
        <tr r="G5432" s="2"/>
      </tp>
      <tp>
        <v>5</v>
        <stp/>
        <stp>543da3e1-2550-448e-b1cc-918ba52dd40d</stp>
        <tr r="G8962" s="2"/>
      </tp>
      <tp>
        <v>5</v>
        <stp/>
        <stp>a4fae70c-5829-4a3b-bb51-14708c40b5fe</stp>
        <tr r="G5980" s="2"/>
      </tp>
      <tp>
        <v>5</v>
        <stp/>
        <stp>eceb5a57-d88e-4711-ab17-e186a0e93d8d</stp>
        <tr r="G6377" s="2"/>
      </tp>
    </main>
    <main first="rtdsrv_a82eb5a1fc404542a18b1336b70d2c4e">
      <tp>
        <v>5</v>
        <stp/>
        <stp>65a5ce6e-92a7-43c7-ad98-51a4937bbf1d</stp>
        <tr r="G2702" s="2"/>
      </tp>
    </main>
    <main first="rtdsrv_a82eb5a1fc404542a18b1336b70d2c4e">
      <tp>
        <v>5</v>
        <stp/>
        <stp>d9e6ef87-8abb-4bea-9cf4-368daf2e138a</stp>
        <tr r="G5662" s="2"/>
      </tp>
      <tp>
        <v>5</v>
        <stp/>
        <stp>001e328d-5044-4046-b11e-3e67dec03339</stp>
        <tr r="G3880" s="2"/>
      </tp>
    </main>
    <main first="rtdsrv_a82eb5a1fc404542a18b1336b70d2c4e">
      <tp>
        <v>5</v>
        <stp/>
        <stp>44f6188e-2a28-46de-bfab-5d2359f17d21</stp>
        <tr r="G8295" s="2"/>
      </tp>
    </main>
    <main first="rtdsrv_a82eb5a1fc404542a18b1336b70d2c4e">
      <tp>
        <v>5</v>
        <stp/>
        <stp>cc9b585b-56f1-4472-b43c-394fd3ce5f53</stp>
        <tr r="G8567" s="2"/>
      </tp>
    </main>
    <main first="rtdsrv_a82eb5a1fc404542a18b1336b70d2c4e">
      <tp>
        <v>5</v>
        <stp/>
        <stp>fb94570d-0647-4db0-8c0d-d078ce6663a4</stp>
        <tr r="G5277" s="2"/>
      </tp>
      <tp>
        <v>5</v>
        <stp/>
        <stp>03a6dc65-6cf5-45e1-9d2e-ee6c579b44ed</stp>
        <tr r="G7810" s="2"/>
      </tp>
    </main>
    <main first="rtdsrv_a82eb5a1fc404542a18b1336b70d2c4e">
      <tp>
        <v>5</v>
        <stp/>
        <stp>f84b5fd7-7634-4e6a-ac66-128096c20906</stp>
        <tr r="G1256" s="2"/>
      </tp>
    </main>
    <main first="rtdsrv_a82eb5a1fc404542a18b1336b70d2c4e">
      <tp>
        <v>5</v>
        <stp/>
        <stp>c3814ccf-ce1f-4710-b062-55144fbfded6</stp>
        <tr r="G7606" s="2"/>
      </tp>
    </main>
    <main first="rtdsrv_a82eb5a1fc404542a18b1336b70d2c4e">
      <tp>
        <v>5</v>
        <stp/>
        <stp>8c5adee1-ff12-45aa-9ed4-9353ba497487</stp>
        <tr r="G9529" s="2"/>
      </tp>
    </main>
    <main first="rtdsrv_a82eb5a1fc404542a18b1336b70d2c4e">
      <tp>
        <v>5</v>
        <stp/>
        <stp>a871e948-704a-4da8-8047-999dc91ae977</stp>
        <tr r="G2896" s="2"/>
      </tp>
    </main>
    <main first="rtdsrv_a82eb5a1fc404542a18b1336b70d2c4e">
      <tp>
        <v>5</v>
        <stp/>
        <stp>b42157cf-6226-4eb3-a94a-4a0755dcfeb2</stp>
        <tr r="G6683" s="2"/>
      </tp>
      <tp>
        <v>5</v>
        <stp/>
        <stp>eb101856-055a-42eb-a6c1-a79b29834f56</stp>
        <tr r="G3622" s="2"/>
      </tp>
    </main>
    <main first="rtdsrv_a82eb5a1fc404542a18b1336b70d2c4e">
      <tp>
        <v>5</v>
        <stp/>
        <stp>b6ddd701-6cb9-42d2-adb8-bd801c39dc0b</stp>
        <tr r="G8331" s="2"/>
      </tp>
      <tp>
        <v>5</v>
        <stp/>
        <stp>04aadf44-0180-426a-ab34-a71602f1d633</stp>
        <tr r="G4295" s="2"/>
      </tp>
    </main>
    <main first="rtdsrv_a82eb5a1fc404542a18b1336b70d2c4e">
      <tp>
        <v>5</v>
        <stp/>
        <stp>05f1b426-4e44-4388-926d-ccadbc95b894</stp>
        <tr r="G6108" s="2"/>
      </tp>
      <tp>
        <v>5</v>
        <stp/>
        <stp>d55d96b9-435a-45f8-8e83-ef5c37b85e4c</stp>
        <tr r="G5798" s="2"/>
      </tp>
      <tp>
        <v>5</v>
        <stp/>
        <stp>a8a0267b-2459-45c8-8475-dab700ed9adf</stp>
        <tr r="G8738" s="2"/>
      </tp>
      <tp>
        <v>5</v>
        <stp/>
        <stp>d04c270f-748f-40c6-a8a9-44947a54e113</stp>
        <tr r="G6510" s="2"/>
      </tp>
    </main>
    <main first="rtdsrv_a82eb5a1fc404542a18b1336b70d2c4e">
      <tp>
        <v>5</v>
        <stp/>
        <stp>cae7693f-98c5-4dfd-8cf9-f5d9ae6a0006</stp>
        <tr r="G3836" s="2"/>
      </tp>
      <tp>
        <v>5</v>
        <stp/>
        <stp>f0d9dd34-4c8c-41be-8adc-6c0e43ea9279</stp>
        <tr r="G14" s="2"/>
      </tp>
    </main>
    <main first="rtdsrv_a82eb5a1fc404542a18b1336b70d2c4e">
      <tp>
        <v>5</v>
        <stp/>
        <stp>e8320856-76fe-41bb-8937-1b29cdb85cbe</stp>
        <tr r="G3282" s="2"/>
      </tp>
      <tp>
        <v>5</v>
        <stp/>
        <stp>d703c298-00b6-41b4-bb34-12f6cbf69a83</stp>
        <tr r="G5611" s="2"/>
      </tp>
    </main>
    <main first="rtdsrv_a82eb5a1fc404542a18b1336b70d2c4e">
      <tp>
        <v>5</v>
        <stp/>
        <stp>0e28aa6a-1204-4580-ae8c-e4bb42028829</stp>
        <tr r="G1698" s="2"/>
      </tp>
      <tp>
        <v>5</v>
        <stp/>
        <stp>d2b1c2fd-561a-4299-bcbd-e9120c1717cd</stp>
        <tr r="G5678" s="2"/>
      </tp>
      <tp>
        <v>5</v>
        <stp/>
        <stp>aeec028f-cb6d-417f-8c5b-62422be8949f</stp>
        <tr r="G8309" s="2"/>
      </tp>
      <tp>
        <v>5</v>
        <stp/>
        <stp>a4b6d4a8-b645-46b8-8484-d2b657356def</stp>
        <tr r="G2610" s="2"/>
      </tp>
    </main>
    <main first="rtdsrv_a82eb5a1fc404542a18b1336b70d2c4e">
      <tp>
        <v>5</v>
        <stp/>
        <stp>12206e0f-4f76-4cd8-8ad5-0570e8ea2165</stp>
        <tr r="G7341" s="2"/>
      </tp>
      <tp>
        <v>5</v>
        <stp/>
        <stp>1a1087b9-e9fd-4941-9aeb-da8aa1cf04f7</stp>
        <tr r="G980" s="2"/>
      </tp>
      <tp>
        <v>5</v>
        <stp/>
        <stp>11e0d3f7-aa79-464e-965a-a492ea812e7f</stp>
        <tr r="G7099" s="2"/>
      </tp>
      <tp>
        <v>5</v>
        <stp/>
        <stp>6c56d757-a36e-471d-a70d-37a051fecdf1</stp>
        <tr r="G4421" s="2"/>
      </tp>
      <tp>
        <v>5</v>
        <stp/>
        <stp>25c98358-dc95-45b2-8c26-5f6e337f4440</stp>
        <tr r="G3997" s="2"/>
      </tp>
      <tp>
        <v>5</v>
        <stp/>
        <stp>be41e34b-eb34-4765-b11d-57369264a150</stp>
        <tr r="G2779" s="2"/>
      </tp>
    </main>
    <main first="rtdsrv_a82eb5a1fc404542a18b1336b70d2c4e">
      <tp>
        <v>5</v>
        <stp/>
        <stp>ac2d3921-49db-4a6f-9e01-2951103b9289</stp>
        <tr r="G9945" s="2"/>
      </tp>
    </main>
    <main first="rtdsrv_a82eb5a1fc404542a18b1336b70d2c4e">
      <tp>
        <v>5</v>
        <stp/>
        <stp>91ebb13f-a0d0-49b0-b60b-6daf8d7d5bd7</stp>
        <tr r="G6259" s="2"/>
      </tp>
      <tp>
        <v>5</v>
        <stp/>
        <stp>ec461ac6-5bc0-414f-b745-d64995ae2ecd</stp>
        <tr r="G1272" s="2"/>
      </tp>
    </main>
    <main first="rtdsrv_a82eb5a1fc404542a18b1336b70d2c4e">
      <tp>
        <v>5</v>
        <stp/>
        <stp>2ec54a42-4dba-4b44-9ecc-b7a81fc995d4</stp>
        <tr r="G4006" s="2"/>
      </tp>
    </main>
    <main first="rtdsrv_a82eb5a1fc404542a18b1336b70d2c4e">
      <tp>
        <v>5</v>
        <stp/>
        <stp>4e2f8220-859b-4097-a21b-0f7e3479b8a7</stp>
        <tr r="G1874" s="2"/>
      </tp>
      <tp>
        <v>5</v>
        <stp/>
        <stp>296575b4-af8d-48b4-a0eb-4e055b7798a7</stp>
        <tr r="G7022" s="2"/>
      </tp>
    </main>
    <main first="rtdsrv_a82eb5a1fc404542a18b1336b70d2c4e">
      <tp>
        <v>5</v>
        <stp/>
        <stp>9702c7ec-d23b-439a-b702-0be4c5516a3d</stp>
        <tr r="G739" s="2"/>
      </tp>
      <tp>
        <v>5</v>
        <stp/>
        <stp>44c5dad2-8524-4676-bbaf-e72e58e8965b</stp>
        <tr r="G6409" s="2"/>
      </tp>
      <tp>
        <v>5</v>
        <stp/>
        <stp>aa0a51a1-0788-4b8a-a5fb-e35ac1a73ffb</stp>
        <tr r="G4144" s="2"/>
      </tp>
    </main>
    <main first="rtdsrv_a82eb5a1fc404542a18b1336b70d2c4e">
      <tp>
        <v>5</v>
        <stp/>
        <stp>e69523bf-de82-48f7-9ef3-2a7ee45b7f92</stp>
        <tr r="G5402" s="2"/>
      </tp>
      <tp>
        <v>5</v>
        <stp/>
        <stp>2aec0afa-16ab-4ba7-aa48-97d1269170f9</stp>
        <tr r="G7254" s="2"/>
      </tp>
    </main>
    <main first="rtdsrv_a82eb5a1fc404542a18b1336b70d2c4e">
      <tp>
        <v>5</v>
        <stp/>
        <stp>f35083f5-6113-45be-a4f5-eb8f40941da3</stp>
        <tr r="G5418" s="2"/>
      </tp>
    </main>
    <main first="rtdsrv_a82eb5a1fc404542a18b1336b70d2c4e">
      <tp>
        <v>5</v>
        <stp/>
        <stp>24b8a72e-4f28-46d9-bd88-0a87df367228</stp>
        <tr r="G2077" s="2"/>
      </tp>
    </main>
    <main first="rtdsrv_a82eb5a1fc404542a18b1336b70d2c4e">
      <tp>
        <v>5</v>
        <stp/>
        <stp>bac62f12-01f0-4b4f-90cb-92b0f20c31dd</stp>
        <tr r="G304" s="2"/>
      </tp>
      <tp>
        <v>5</v>
        <stp/>
        <stp>a2762008-6b81-4e8c-8e46-53091abdc269</stp>
        <tr r="G9377" s="2"/>
      </tp>
      <tp>
        <v>5</v>
        <stp/>
        <stp>943a85c3-96da-45ca-a8bd-08374748e72d</stp>
        <tr r="G5365" s="2"/>
      </tp>
      <tp>
        <v>5</v>
        <stp/>
        <stp>3a3ebf13-759c-45f0-a9c6-09c2c8e9ba09</stp>
        <tr r="G8236" s="2"/>
      </tp>
      <tp>
        <v>5</v>
        <stp/>
        <stp>7d81a351-18f7-4a4b-bfed-20b3bdb786f5</stp>
        <tr r="G5288" s="2"/>
      </tp>
      <tp>
        <v>5</v>
        <stp/>
        <stp>8b50617f-1e0c-426d-90c3-43d85b6a171b</stp>
        <tr r="G8548" s="2"/>
      </tp>
      <tp>
        <v>5</v>
        <stp/>
        <stp>9be4c59c-5c33-4f8b-8237-00eabf982fc3</stp>
        <tr r="G4846" s="2"/>
      </tp>
    </main>
    <main first="rtdsrv_a82eb5a1fc404542a18b1336b70d2c4e">
      <tp>
        <v>5</v>
        <stp/>
        <stp>8b8f5685-03a2-49d3-8ae6-fb293dc527cc</stp>
        <tr r="G2309" s="2"/>
      </tp>
    </main>
    <main first="rtdsrv_a82eb5a1fc404542a18b1336b70d2c4e">
      <tp>
        <v>5</v>
        <stp/>
        <stp>68b3a9b5-8567-44dd-830b-b95bebf81538</stp>
        <tr r="G8598" s="2"/>
      </tp>
    </main>
    <main first="rtdsrv_a82eb5a1fc404542a18b1336b70d2c4e">
      <tp>
        <v>5</v>
        <stp/>
        <stp>b81b8c66-f697-4e5b-890e-4fe9a3d8a9e4</stp>
        <tr r="G1625" s="2"/>
      </tp>
      <tp>
        <v>5</v>
        <stp/>
        <stp>2bb5a88b-b95b-4116-b930-ae0a480ddcc4</stp>
        <tr r="G8774" s="2"/>
      </tp>
      <tp>
        <v>5</v>
        <stp/>
        <stp>230fa0aa-9165-4529-82a3-2af57678a620</stp>
        <tr r="G3004" s="2"/>
      </tp>
      <tp>
        <v>5</v>
        <stp/>
        <stp>0410e1d0-ca06-4c26-99c7-070e1511b223</stp>
        <tr r="G9134" s="2"/>
      </tp>
      <tp>
        <v>5</v>
        <stp/>
        <stp>81d7863d-0aa3-430c-bf41-4a4f2212a028</stp>
        <tr r="G5720" s="2"/>
      </tp>
    </main>
    <main first="rtdsrv_a82eb5a1fc404542a18b1336b70d2c4e">
      <tp>
        <v>5</v>
        <stp/>
        <stp>2e91c827-a665-4720-b381-18ba6987b6f8</stp>
        <tr r="G1139" s="2"/>
      </tp>
      <tp>
        <v>5</v>
        <stp/>
        <stp>3e6bc172-1445-4b6c-aa0e-253cbd2c7da2</stp>
        <tr r="G5554" s="2"/>
      </tp>
      <tp>
        <v>5</v>
        <stp/>
        <stp>c03786d9-70ce-416b-9dd2-9a30c4b76a47</stp>
        <tr r="G7401" s="2"/>
      </tp>
    </main>
    <main first="rtdsrv_a82eb5a1fc404542a18b1336b70d2c4e">
      <tp>
        <v>5</v>
        <stp/>
        <stp>8fa09016-abd3-4f56-a152-35f7577815a4</stp>
        <tr r="G8557" s="2"/>
      </tp>
      <tp>
        <v>5</v>
        <stp/>
        <stp>4375c18d-a78b-47f5-bf25-ae8d92f050c7</stp>
        <tr r="G596" s="2"/>
      </tp>
    </main>
    <main first="rtdsrv_a82eb5a1fc404542a18b1336b70d2c4e">
      <tp>
        <v>5</v>
        <stp/>
        <stp>0ce26f3e-3b64-4cc1-a10d-5f4f6c0331e6</stp>
        <tr r="G5586" s="2"/>
      </tp>
    </main>
    <main first="rtdsrv_a82eb5a1fc404542a18b1336b70d2c4e">
      <tp>
        <v>5</v>
        <stp/>
        <stp>acf7b72b-85a2-4eb9-9c7d-af099ab1dffa</stp>
        <tr r="G430" s="2"/>
      </tp>
    </main>
    <main first="rtdsrv_a82eb5a1fc404542a18b1336b70d2c4e">
      <tp>
        <v>5</v>
        <stp/>
        <stp>0f2fbcbc-8b5a-475c-b78f-01e11db9e0bc</stp>
        <tr r="G3057" s="2"/>
      </tp>
      <tp>
        <v>5</v>
        <stp/>
        <stp>7be0523e-f3b5-4e0b-b26e-b1d9d3b40c76</stp>
        <tr r="G1535" s="2"/>
      </tp>
      <tp>
        <v>5</v>
        <stp/>
        <stp>cd217e65-c945-4a82-a1bd-6c9d37e84e48</stp>
        <tr r="G9168" s="2"/>
      </tp>
    </main>
    <main first="rtdsrv_a82eb5a1fc404542a18b1336b70d2c4e">
      <tp>
        <v>5</v>
        <stp/>
        <stp>319dc68d-3c83-48fd-bf76-9ce153fe14fe</stp>
        <tr r="G9088" s="2"/>
      </tp>
      <tp>
        <v>5</v>
        <stp/>
        <stp>a52d0200-504d-4545-9cfb-4d617466e2a8</stp>
        <tr r="G9048" s="2"/>
      </tp>
      <tp>
        <v>5</v>
        <stp/>
        <stp>28683bb5-05a9-4419-8364-2dae6f3a7d68</stp>
        <tr r="G9425" s="2"/>
      </tp>
      <tp>
        <v>5</v>
        <stp/>
        <stp>ce085d0d-7296-42dd-9d56-9f76e046e261</stp>
        <tr r="G2928" s="2"/>
      </tp>
    </main>
    <main first="rtdsrv_a82eb5a1fc404542a18b1336b70d2c4e">
      <tp>
        <v>5</v>
        <stp/>
        <stp>ccf136da-b1bc-4be7-9073-efa5df2a74be</stp>
        <tr r="G3231" s="2"/>
      </tp>
    </main>
    <main first="rtdsrv_a82eb5a1fc404542a18b1336b70d2c4e">
      <tp>
        <v>5</v>
        <stp/>
        <stp>1235feb4-6d05-46dd-a852-2d5dc1eb5fed</stp>
        <tr r="G8054" s="2"/>
      </tp>
      <tp>
        <v>5</v>
        <stp/>
        <stp>71064137-6acd-43e7-baed-b36d91510e7c</stp>
        <tr r="G8096" s="2"/>
      </tp>
    </main>
    <main first="rtdsrv_a82eb5a1fc404542a18b1336b70d2c4e">
      <tp>
        <v>5</v>
        <stp/>
        <stp>5e20210a-3695-424e-888b-57dbd9c977c5</stp>
        <tr r="G4502" s="2"/>
      </tp>
    </main>
    <main first="rtdsrv_a82eb5a1fc404542a18b1336b70d2c4e">
      <tp>
        <v>5</v>
        <stp/>
        <stp>83594b7f-240a-41ab-abd1-9d7652d3d0f1</stp>
        <tr r="G4239" s="2"/>
      </tp>
      <tp>
        <v>5</v>
        <stp/>
        <stp>1fc1301c-0fc4-475c-83a5-23eae7313ce8</stp>
        <tr r="G4259" s="2"/>
      </tp>
      <tp>
        <v>5</v>
        <stp/>
        <stp>f9f9e1d1-8bd9-4815-916e-01c114a80556</stp>
        <tr r="G3664" s="2"/>
      </tp>
    </main>
    <main first="rtdsrv_a82eb5a1fc404542a18b1336b70d2c4e">
      <tp>
        <v>5</v>
        <stp/>
        <stp>2088c758-9beb-4cb5-9f09-7d4ab85b3deb</stp>
        <tr r="G4083" s="2"/>
      </tp>
    </main>
    <main first="rtdsrv_a82eb5a1fc404542a18b1336b70d2c4e">
      <tp>
        <v>5</v>
        <stp/>
        <stp>73d97e1a-2d62-44db-a71d-84e8cca00cb7</stp>
        <tr r="G7731" s="2"/>
      </tp>
      <tp>
        <v>5</v>
        <stp/>
        <stp>b4943bbf-eded-40d3-ab14-17bb6cce4f9a</stp>
        <tr r="G2374" s="2"/>
      </tp>
      <tp>
        <v>5</v>
        <stp/>
        <stp>8d5557ad-0370-477e-ae8e-b5a7512589b0</stp>
        <tr r="G2907" s="2"/>
      </tp>
      <tp>
        <v>5</v>
        <stp/>
        <stp>6ccad899-069d-47cf-868b-21935fb2fafd</stp>
        <tr r="G3817" s="2"/>
      </tp>
      <tp>
        <v>5</v>
        <stp/>
        <stp>798728f4-c585-4d20-8709-04e7d414ba52</stp>
        <tr r="G9403" s="2"/>
      </tp>
      <tp>
        <v>5</v>
        <stp/>
        <stp>79d72deb-0c1d-4c51-bb96-7025e3614ec6</stp>
        <tr r="G1849" s="2"/>
      </tp>
      <tp>
        <v>5</v>
        <stp/>
        <stp>a4ad0067-64eb-48b6-9a16-b260604cf4d3</stp>
        <tr r="G5101" s="2"/>
      </tp>
    </main>
    <main first="rtdsrv_a82eb5a1fc404542a18b1336b70d2c4e">
      <tp>
        <v>5</v>
        <stp/>
        <stp>ec73b98f-b028-4328-8021-e3474a8b3c1d</stp>
        <tr r="G1092" s="2"/>
      </tp>
    </main>
    <main first="rtdsrv_a82eb5a1fc404542a18b1336b70d2c4e">
      <tp>
        <v>5</v>
        <stp/>
        <stp>2a611949-9b5a-413f-9d7e-58c7091852db</stp>
        <tr r="G6026" s="2"/>
      </tp>
      <tp>
        <v>5</v>
        <stp/>
        <stp>27b5aa6b-c404-4d75-8a69-2391c51e13b5</stp>
        <tr r="G4372" s="2"/>
      </tp>
      <tp>
        <v>5</v>
        <stp/>
        <stp>b0130df0-c5b1-4ba1-905f-d2dfb4cb660e</stp>
        <tr r="G9416" s="2"/>
      </tp>
      <tp>
        <v>5</v>
        <stp/>
        <stp>038c4e60-31ac-4067-b84d-10dc5dd4e173</stp>
        <tr r="G1621" s="2"/>
      </tp>
      <tp>
        <v>5</v>
        <stp/>
        <stp>993b2029-9f0f-489a-961b-3f9cca28fdb4</stp>
        <tr r="G232" s="2"/>
      </tp>
      <tp>
        <v>5</v>
        <stp/>
        <stp>b5f174e7-13b1-4448-a953-815d56b5998e</stp>
        <tr r="G7004" s="2"/>
      </tp>
    </main>
    <main first="rtdsrv_a82eb5a1fc404542a18b1336b70d2c4e">
      <tp>
        <v>5</v>
        <stp/>
        <stp>f14bb774-bb9e-4d2d-bae8-b7177b1f7352</stp>
        <tr r="G55" s="2"/>
      </tp>
      <tp>
        <v>5</v>
        <stp/>
        <stp>736d1a0b-5e94-4d00-ab52-8759bb8c8406</stp>
        <tr r="G5716" s="2"/>
      </tp>
    </main>
    <main first="rtdsrv_a82eb5a1fc404542a18b1336b70d2c4e">
      <tp>
        <v>5</v>
        <stp/>
        <stp>d163679b-5b37-4cb5-aa7d-4e4585ddeb5b</stp>
        <tr r="G4589" s="2"/>
      </tp>
    </main>
    <main first="rtdsrv_a82eb5a1fc404542a18b1336b70d2c4e">
      <tp>
        <v>5</v>
        <stp/>
        <stp>fdae871d-db6e-46d9-8e85-2b732aed8695</stp>
        <tr r="G3914" s="2"/>
      </tp>
    </main>
    <main first="rtdsrv_a82eb5a1fc404542a18b1336b70d2c4e">
      <tp>
        <v>5</v>
        <stp/>
        <stp>95bb6168-cdc1-4652-952c-39928ea008f2</stp>
        <tr r="G85" s="2"/>
      </tp>
    </main>
    <main first="rtdsrv_a82eb5a1fc404542a18b1336b70d2c4e">
      <tp>
        <v>5</v>
        <stp/>
        <stp>458a0980-9beb-42c4-b515-9e80804cbf64</stp>
        <tr r="G6834" s="2"/>
      </tp>
    </main>
    <main first="rtdsrv_a82eb5a1fc404542a18b1336b70d2c4e">
      <tp>
        <v>5</v>
        <stp/>
        <stp>ccfcda50-528c-4e8c-a28c-f9e71b21648d</stp>
        <tr r="G4886" s="2"/>
      </tp>
      <tp>
        <v>5</v>
        <stp/>
        <stp>d2a05ff0-7217-45ae-8b8d-c61fd956d28c</stp>
        <tr r="G6361" s="2"/>
      </tp>
      <tp>
        <v>5</v>
        <stp/>
        <stp>b2031625-f4d6-43b2-9ced-60b41ee65c8b</stp>
        <tr r="G950" s="2"/>
      </tp>
    </main>
    <main first="rtdsrv_a82eb5a1fc404542a18b1336b70d2c4e">
      <tp>
        <v>5</v>
        <stp/>
        <stp>91889f27-454a-4642-b352-8111a3ff2e73</stp>
        <tr r="G5941" s="2"/>
      </tp>
      <tp>
        <v>5</v>
        <stp/>
        <stp>1afe8411-71b8-4f07-ad85-a9082d7e3398</stp>
        <tr r="G4258" s="2"/>
      </tp>
      <tp>
        <v>5</v>
        <stp/>
        <stp>5638ea88-cac3-43e4-b4de-12c3e6157c0c</stp>
        <tr r="G129" s="2"/>
      </tp>
    </main>
    <main first="rtdsrv_a82eb5a1fc404542a18b1336b70d2c4e">
      <tp>
        <v>5</v>
        <stp/>
        <stp>dfd14c04-89a2-429c-989b-f4d42c62b301</stp>
        <tr r="G8534" s="2"/>
      </tp>
    </main>
    <main first="rtdsrv_a82eb5a1fc404542a18b1336b70d2c4e">
      <tp>
        <v>5</v>
        <stp/>
        <stp>3b62ffb4-d519-4c6b-afb5-8c7cb15c1180</stp>
        <tr r="G2940" s="2"/>
      </tp>
      <tp>
        <v>5</v>
        <stp/>
        <stp>63c49a37-0176-4ba5-bac8-01cc9deeeb15</stp>
        <tr r="G4919" s="2"/>
      </tp>
      <tp>
        <v>5</v>
        <stp/>
        <stp>84cb05c1-5749-4e4b-96f2-1f8691526df8</stp>
        <tr r="G7482" s="2"/>
      </tp>
    </main>
    <main first="rtdsrv_a82eb5a1fc404542a18b1336b70d2c4e">
      <tp>
        <v>5</v>
        <stp/>
        <stp>9bc354b9-f243-40eb-9d68-4aa99306f544</stp>
        <tr r="G9731" s="2"/>
      </tp>
      <tp>
        <v>5</v>
        <stp/>
        <stp>1805024f-bbe0-4913-baa9-99de2fae4f4a</stp>
        <tr r="G5056" s="2"/>
      </tp>
      <tp>
        <v>5</v>
        <stp/>
        <stp>b8e8c72b-290b-4273-8395-4df59a1e61b9</stp>
        <tr r="G858" s="2"/>
      </tp>
      <tp>
        <v>5</v>
        <stp/>
        <stp>6750b3f5-e56d-4415-aae1-8a1c0e097686</stp>
        <tr r="G4195" s="2"/>
      </tp>
    </main>
    <main first="rtdsrv_a82eb5a1fc404542a18b1336b70d2c4e">
      <tp>
        <v>5</v>
        <stp/>
        <stp>318e325c-fd5f-4e05-b614-f0776cb311ff</stp>
        <tr r="G8556" s="2"/>
      </tp>
    </main>
    <main first="rtdsrv_a82eb5a1fc404542a18b1336b70d2c4e">
      <tp>
        <v>5</v>
        <stp/>
        <stp>aa9c7a50-f5d7-4af4-ae12-6e64720cc7c7</stp>
        <tr r="G6748" s="2"/>
      </tp>
    </main>
    <main first="rtdsrv_a82eb5a1fc404542a18b1336b70d2c4e">
      <tp>
        <v>5</v>
        <stp/>
        <stp>6f2f05e1-39ad-4bf6-9c51-45a7a7109ba6</stp>
        <tr r="G1827" s="2"/>
      </tp>
      <tp>
        <v>5</v>
        <stp/>
        <stp>9aad60d5-1a6a-424f-84d2-8b44535ef09c</stp>
        <tr r="G5605" s="2"/>
      </tp>
      <tp>
        <v>5</v>
        <stp/>
        <stp>9f99a450-3294-4482-a80c-ce0690c0a5af</stp>
        <tr r="G2173" s="2"/>
      </tp>
    </main>
    <main first="rtdsrv_a82eb5a1fc404542a18b1336b70d2c4e">
      <tp>
        <v>5</v>
        <stp/>
        <stp>da2d1607-51bc-4c10-8af4-0d8f75198fa2</stp>
        <tr r="G1637" s="2"/>
      </tp>
      <tp>
        <v>5</v>
        <stp/>
        <stp>795b8827-e674-4cb7-a5b7-8f54968e9bd2</stp>
        <tr r="G2092" s="2"/>
      </tp>
      <tp>
        <v>5</v>
        <stp/>
        <stp>d1a4c7d5-4845-43ce-a3d6-e2a67d5d3f06</stp>
        <tr r="G8923" s="2"/>
      </tp>
      <tp>
        <v>5</v>
        <stp/>
        <stp>a19225ce-45f4-4764-ad9f-58e1d661c05d</stp>
        <tr r="G6369" s="2"/>
      </tp>
    </main>
    <main first="rtdsrv_a82eb5a1fc404542a18b1336b70d2c4e">
      <tp>
        <v>5</v>
        <stp/>
        <stp>74e34df1-9eb4-4188-b040-bc86efea9cd0</stp>
        <tr r="G9194" s="2"/>
      </tp>
      <tp>
        <v>5</v>
        <stp/>
        <stp>1bad6aaf-fbf0-45d6-a95a-b3de2e9cf31f</stp>
        <tr r="G7741" s="2"/>
      </tp>
      <tp>
        <v>5</v>
        <stp/>
        <stp>873413a9-baef-4167-a84d-7db48cce8a96</stp>
        <tr r="G7526" s="2"/>
      </tp>
    </main>
    <main first="rtdsrv_a82eb5a1fc404542a18b1336b70d2c4e">
      <tp>
        <v>5</v>
        <stp/>
        <stp>fc7d99b0-97ad-4aa7-b906-8d0b5b4e2a84</stp>
        <tr r="G414" s="2"/>
      </tp>
    </main>
    <main first="rtdsrv_a82eb5a1fc404542a18b1336b70d2c4e">
      <tp>
        <v>5</v>
        <stp/>
        <stp>7705bfbc-8717-4f71-9cc5-c98e3191009a</stp>
        <tr r="G4616" s="2"/>
      </tp>
      <tp>
        <v>5</v>
        <stp/>
        <stp>2f5d778d-4103-44e0-84bc-1c2a9b4b2512</stp>
        <tr r="G1711" s="2"/>
      </tp>
      <tp>
        <v>5</v>
        <stp/>
        <stp>0843b2f3-40a2-42e8-83f4-609ed0162c67</stp>
        <tr r="G9684" s="2"/>
      </tp>
      <tp>
        <v>5</v>
        <stp/>
        <stp>8fd7c2ec-a8ba-412e-98d3-835d512bd5e1</stp>
        <tr r="G6226" s="2"/>
      </tp>
    </main>
    <main first="rtdsrv_a82eb5a1fc404542a18b1336b70d2c4e">
      <tp>
        <v>5</v>
        <stp/>
        <stp>03ff1ec2-2d60-41d8-928b-82774cd2668d</stp>
        <tr r="G7718" s="2"/>
      </tp>
    </main>
    <main first="rtdsrv_a82eb5a1fc404542a18b1336b70d2c4e">
      <tp>
        <v>5</v>
        <stp/>
        <stp>6fb0ecc9-77d1-4ec5-93c8-fff727d8c6de</stp>
        <tr r="G6355" s="2"/>
      </tp>
    </main>
    <main first="rtdsrv_a82eb5a1fc404542a18b1336b70d2c4e">
      <tp>
        <v>5</v>
        <stp/>
        <stp>42ea62b8-124e-4d21-89d6-35f3508aeb4e</stp>
        <tr r="G908" s="2"/>
      </tp>
      <tp>
        <v>5</v>
        <stp/>
        <stp>38964399-ec89-4bca-a858-fc6a7bec98a0</stp>
        <tr r="G7631" s="2"/>
      </tp>
      <tp>
        <v>5</v>
        <stp/>
        <stp>b3421c9b-2db8-449e-8134-d0524a88ff95</stp>
        <tr r="G4336" s="2"/>
      </tp>
    </main>
    <main first="rtdsrv_a82eb5a1fc404542a18b1336b70d2c4e">
      <tp>
        <v>5</v>
        <stp/>
        <stp>cae3bf03-e908-4891-9dab-465235f84249</stp>
        <tr r="G773" s="2"/>
      </tp>
    </main>
    <main first="rtdsrv_a82eb5a1fc404542a18b1336b70d2c4e">
      <tp>
        <v>5</v>
        <stp/>
        <stp>09c6b43b-3980-4e13-b070-960e58d647d7</stp>
        <tr r="G8135" s="2"/>
      </tp>
      <tp>
        <v>5</v>
        <stp/>
        <stp>1ffd57c4-961d-4229-98d5-dc47078b4bc7</stp>
        <tr r="G384" s="2"/>
      </tp>
      <tp>
        <v>5</v>
        <stp/>
        <stp>f112a197-5fd9-4580-85df-5eb58e466b7d</stp>
        <tr r="G6531" s="2"/>
      </tp>
      <tp>
        <v>5</v>
        <stp/>
        <stp>336e7206-1c20-4c25-b128-dddd2a3431cd</stp>
        <tr r="G338" s="2"/>
      </tp>
      <tp>
        <v>5</v>
        <stp/>
        <stp>6a550ab6-9dda-4bba-afab-2582697dd67d</stp>
        <tr r="G9629" s="2"/>
      </tp>
    </main>
    <main first="rtdsrv_a82eb5a1fc404542a18b1336b70d2c4e">
      <tp>
        <v>5</v>
        <stp/>
        <stp>5536bbb5-1777-4681-b16a-d95d89b2db9f</stp>
        <tr r="G2555" s="2"/>
      </tp>
    </main>
    <main first="rtdsrv_a82eb5a1fc404542a18b1336b70d2c4e">
      <tp>
        <v>5</v>
        <stp/>
        <stp>d9bb5f96-0e86-4b31-9e87-82b89d2c6301</stp>
        <tr r="G4269" s="2"/>
      </tp>
      <tp>
        <v>5</v>
        <stp/>
        <stp>1547e130-35e6-4f53-92b7-a1d66a8cb506</stp>
        <tr r="G9358" s="2"/>
      </tp>
      <tp>
        <v>5</v>
        <stp/>
        <stp>b7abb7e6-4593-4584-bf4b-06871731061c</stp>
        <tr r="G9779" s="2"/>
      </tp>
      <tp>
        <v>5</v>
        <stp/>
        <stp>53526608-a9fa-4855-bb26-d5d94e44703c</stp>
        <tr r="G2916" s="2"/>
      </tp>
    </main>
    <main first="rtdsrv_a82eb5a1fc404542a18b1336b70d2c4e">
      <tp>
        <v>5</v>
        <stp/>
        <stp>91e98b16-cc48-4c56-ba1c-5aae6e8b30dd</stp>
        <tr r="G6396" s="2"/>
      </tp>
      <tp>
        <v>5</v>
        <stp/>
        <stp>139283c2-f5ba-446f-b8fd-c316c5e98c6a</stp>
        <tr r="G3767" s="2"/>
      </tp>
    </main>
    <main first="rtdsrv_a82eb5a1fc404542a18b1336b70d2c4e">
      <tp>
        <v>5</v>
        <stp/>
        <stp>9aa8da42-2a7f-4ab1-83ff-feddc1d68281</stp>
        <tr r="G7843" s="2"/>
      </tp>
      <tp>
        <v>5</v>
        <stp/>
        <stp>a84d769f-9f64-436d-b32a-6521e301cdbb</stp>
        <tr r="G8524" s="2"/>
      </tp>
      <tp>
        <v>5</v>
        <stp/>
        <stp>6025592e-f9b3-45ad-b9c3-167738cbbe47</stp>
        <tr r="G7141" s="2"/>
      </tp>
    </main>
    <main first="rtdsrv_a82eb5a1fc404542a18b1336b70d2c4e">
      <tp>
        <v>5</v>
        <stp/>
        <stp>063ad9f9-7993-4381-be93-0cc5e5a2de75</stp>
        <tr r="G3299" s="2"/>
      </tp>
    </main>
    <main first="rtdsrv_a82eb5a1fc404542a18b1336b70d2c4e">
      <tp>
        <v>5</v>
        <stp/>
        <stp>772d304a-85a0-4bf7-8334-22d6688d921d</stp>
        <tr r="G5211" s="2"/>
      </tp>
    </main>
    <main first="rtdsrv_a82eb5a1fc404542a18b1336b70d2c4e">
      <tp>
        <v>5</v>
        <stp/>
        <stp>9a3b1477-168c-458c-834a-da7b6482fe6f</stp>
        <tr r="G8517" s="2"/>
      </tp>
    </main>
    <main first="rtdsrv_a82eb5a1fc404542a18b1336b70d2c4e">
      <tp>
        <v>5</v>
        <stp/>
        <stp>a0964803-82d3-4ff5-a885-39b123b5c4d5</stp>
        <tr r="G7635" s="2"/>
      </tp>
    </main>
    <main first="rtdsrv_a82eb5a1fc404542a18b1336b70d2c4e">
      <tp>
        <v>5</v>
        <stp/>
        <stp>703a54e5-0f2c-4916-8958-3ba9cb32a401</stp>
        <tr r="G3657" s="2"/>
      </tp>
    </main>
    <main first="rtdsrv_a82eb5a1fc404542a18b1336b70d2c4e">
      <tp>
        <v>5</v>
        <stp/>
        <stp>e7c83ef7-19f4-47be-ab3e-1b1e46033b20</stp>
        <tr r="G6707" s="2"/>
      </tp>
    </main>
    <main first="rtdsrv_a82eb5a1fc404542a18b1336b70d2c4e">
      <tp>
        <v>5</v>
        <stp/>
        <stp>dec00b3b-0b23-4d6a-b1de-fa8ada161155</stp>
        <tr r="G1129" s="2"/>
      </tp>
      <tp>
        <v>5</v>
        <stp/>
        <stp>18ddf276-d12c-4944-9619-33fe9949cbb8</stp>
        <tr r="G3748" s="2"/>
      </tp>
      <tp>
        <v>5</v>
        <stp/>
        <stp>e951b02d-2079-4fa9-a63a-a5845cdb8da7</stp>
        <tr r="G6793" s="2"/>
      </tp>
    </main>
    <main first="rtdsrv_a82eb5a1fc404542a18b1336b70d2c4e">
      <tp>
        <v>5</v>
        <stp/>
        <stp>20d3e366-671b-4eae-bae6-81bc4d83acba</stp>
        <tr r="G8673" s="2"/>
      </tp>
    </main>
    <main first="rtdsrv_a82eb5a1fc404542a18b1336b70d2c4e">
      <tp>
        <v>5</v>
        <stp/>
        <stp>b7883614-2c57-4b0f-b2e4-1a215aae03fd</stp>
        <tr r="G8935" s="2"/>
      </tp>
      <tp>
        <v>5</v>
        <stp/>
        <stp>e8bbf497-6c9c-44d5-a7d8-46d05f7c588c</stp>
        <tr r="G1387" s="2"/>
      </tp>
    </main>
    <main first="rtdsrv_a82eb5a1fc404542a18b1336b70d2c4e">
      <tp>
        <v>5</v>
        <stp/>
        <stp>143a6a44-a8c3-49ca-bab0-c39f6cdced98</stp>
        <tr r="G8427" s="2"/>
      </tp>
    </main>
    <main first="rtdsrv_a82eb5a1fc404542a18b1336b70d2c4e">
      <tp>
        <v>5</v>
        <stp/>
        <stp>706e8bbf-35d0-48b1-a327-26768e9c5237</stp>
        <tr r="G4078" s="2"/>
      </tp>
      <tp>
        <v>5</v>
        <stp/>
        <stp>5c21d921-49e0-4797-8860-50b4f9e6cee5</stp>
        <tr r="G2001" s="2"/>
      </tp>
      <tp>
        <v>5</v>
        <stp/>
        <stp>ca40bd0b-a673-42ab-a6fa-fd8a7347d449</stp>
        <tr r="G6576" s="2"/>
      </tp>
    </main>
    <main first="rtdsrv_a82eb5a1fc404542a18b1336b70d2c4e">
      <tp>
        <v>5</v>
        <stp/>
        <stp>335e36db-08b9-4d99-9d34-68d8f2e33684</stp>
        <tr r="G3545" s="2"/>
      </tp>
    </main>
    <main first="rtdsrv_a82eb5a1fc404542a18b1336b70d2c4e">
      <tp>
        <v>5</v>
        <stp/>
        <stp>03364991-62c5-42bc-b202-89f484868a04</stp>
        <tr r="G7171" s="2"/>
      </tp>
    </main>
    <main first="rtdsrv_a82eb5a1fc404542a18b1336b70d2c4e">
      <tp>
        <v>5</v>
        <stp/>
        <stp>6b4d2c05-51dd-4157-afdd-6ab95cc7df4f</stp>
        <tr r="G2066" s="2"/>
      </tp>
    </main>
    <main first="rtdsrv_a82eb5a1fc404542a18b1336b70d2c4e">
      <tp>
        <v>5</v>
        <stp/>
        <stp>dbea3727-633a-436e-a00e-5a553ef4a168</stp>
        <tr r="G1751" s="2"/>
      </tp>
    </main>
    <main first="rtdsrv_a82eb5a1fc404542a18b1336b70d2c4e">
      <tp>
        <v>5</v>
        <stp/>
        <stp>18f7183a-f2c2-43dd-a1b9-73124d8c1439</stp>
        <tr r="G7877" s="2"/>
      </tp>
      <tp>
        <v>5</v>
        <stp/>
        <stp>46fb0835-9d12-4840-a523-be7adeafb603</stp>
        <tr r="G6874" s="2"/>
      </tp>
      <tp>
        <v>5</v>
        <stp/>
        <stp>565fab01-1b2f-4411-9d47-4da08a6e9fc6</stp>
        <tr r="G8059" s="2"/>
      </tp>
    </main>
    <main first="rtdsrv_a82eb5a1fc404542a18b1336b70d2c4e">
      <tp>
        <v>5</v>
        <stp/>
        <stp>1dc69dc7-17ec-47c5-9e11-65e44350b028</stp>
        <tr r="G5206" s="2"/>
      </tp>
      <tp>
        <v>5</v>
        <stp/>
        <stp>5f52e574-6a4f-45fb-bbfa-f1f20a5fa25a</stp>
        <tr r="G5692" s="2"/>
      </tp>
      <tp>
        <v>5</v>
        <stp/>
        <stp>5d7ebec3-4dc7-48ba-a0fd-a3649700e568</stp>
        <tr r="G818" s="2"/>
      </tp>
      <tp>
        <v>5</v>
        <stp/>
        <stp>f7d45d94-1dd8-4e2d-81c9-dc43a4ca0139</stp>
        <tr r="G2389" s="2"/>
      </tp>
      <tp>
        <v>5</v>
        <stp/>
        <stp>8362001a-a6bb-4f70-8c87-b51d88d62d7a</stp>
        <tr r="G2097" s="2"/>
      </tp>
    </main>
    <main first="rtdsrv_a82eb5a1fc404542a18b1336b70d2c4e">
      <tp>
        <v>5</v>
        <stp/>
        <stp>b2cfe420-b49e-4898-b6ae-ee1c7c3928f7</stp>
        <tr r="G9578" s="2"/>
      </tp>
      <tp>
        <v>5</v>
        <stp/>
        <stp>e8af731f-fd65-4d2e-9b17-d32ca07a59b0</stp>
        <tr r="G4843" s="2"/>
      </tp>
      <tp>
        <v>5</v>
        <stp/>
        <stp>786323a8-2a34-4d39-8dc2-6ad60e615d29</stp>
        <tr r="G1945" s="2"/>
      </tp>
    </main>
    <main first="rtdsrv_a82eb5a1fc404542a18b1336b70d2c4e">
      <tp>
        <v>5</v>
        <stp/>
        <stp>ace8c825-8064-493e-8d55-ba1a4bed63c9</stp>
        <tr r="G1095" s="2"/>
      </tp>
      <tp>
        <v>5</v>
        <stp/>
        <stp>7d7f1a3d-1b39-4012-9fbb-7a699420a2e6</stp>
        <tr r="G266" s="2"/>
      </tp>
    </main>
    <main first="rtdsrv_a82eb5a1fc404542a18b1336b70d2c4e">
      <tp>
        <v>5</v>
        <stp/>
        <stp>7b7c32e4-74b3-49f5-9abb-5dbd8c1a0427</stp>
        <tr r="G7253" s="2"/>
      </tp>
    </main>
    <main first="rtdsrv_a82eb5a1fc404542a18b1336b70d2c4e">
      <tp>
        <v>5</v>
        <stp/>
        <stp>cf90825d-51c2-4edb-b560-31c04b364e84</stp>
        <tr r="G554" s="2"/>
      </tp>
      <tp>
        <v>5</v>
        <stp/>
        <stp>9ff440e8-da94-4176-8f42-12586c862b81</stp>
        <tr r="G9769" s="2"/>
      </tp>
    </main>
    <main first="rtdsrv_a82eb5a1fc404542a18b1336b70d2c4e">
      <tp>
        <v>5</v>
        <stp/>
        <stp>ea74cf14-4fed-4c27-812a-f001b21e67ef</stp>
        <tr r="G114" s="2"/>
      </tp>
      <tp>
        <v>5</v>
        <stp/>
        <stp>cdbfc260-df4c-4353-a337-8ad501097a40</stp>
        <tr r="G3443" s="2"/>
      </tp>
    </main>
    <main first="rtdsrv_a82eb5a1fc404542a18b1336b70d2c4e">
      <tp>
        <v>5</v>
        <stp/>
        <stp>972ab4ca-509a-4ba6-a3f0-fc5d5785e19f</stp>
        <tr r="G38" s="2"/>
      </tp>
      <tp>
        <v>5</v>
        <stp/>
        <stp>e00d235f-b3e1-4853-91d6-ad74be3df4a9</stp>
        <tr r="G6166" s="2"/>
      </tp>
    </main>
    <main first="rtdsrv_a82eb5a1fc404542a18b1336b70d2c4e">
      <tp>
        <v>5</v>
        <stp/>
        <stp>cc46b254-734c-4118-8af4-b734a42d88be</stp>
        <tr r="G6255" s="2"/>
      </tp>
      <tp>
        <v>5</v>
        <stp/>
        <stp>926aed3a-be86-468f-853e-2f1a370f13ae</stp>
        <tr r="G6383" s="2"/>
      </tp>
    </main>
    <main first="rtdsrv_a82eb5a1fc404542a18b1336b70d2c4e">
      <tp>
        <v>5</v>
        <stp/>
        <stp>e7b0bdd0-cd1e-4066-8377-023b79452979</stp>
        <tr r="G4994" s="2"/>
      </tp>
    </main>
    <main first="rtdsrv_a82eb5a1fc404542a18b1336b70d2c4e">
      <tp>
        <v>5</v>
        <stp/>
        <stp>bc5b7066-befd-40a4-8da9-7638ea0da097</stp>
        <tr r="G8012" s="2"/>
      </tp>
      <tp>
        <v>5</v>
        <stp/>
        <stp>f8b79a04-2bc3-47b0-8e14-02529be6d915</stp>
        <tr r="G9471" s="2"/>
      </tp>
      <tp>
        <v>5</v>
        <stp/>
        <stp>19ae901e-1477-40ce-8401-54517cfad9c1</stp>
        <tr r="G8478" s="2"/>
      </tp>
      <tp>
        <v>5</v>
        <stp/>
        <stp>7f335cc4-abe4-4cf9-967a-3e6f69db15dc</stp>
        <tr r="G1354" s="2"/>
      </tp>
      <tp>
        <v>5</v>
        <stp/>
        <stp>d638a54f-b1cd-400c-af23-6c6b0c7a03a7</stp>
        <tr r="G12" s="2"/>
      </tp>
      <tp>
        <v>5</v>
        <stp/>
        <stp>7d2a5678-4d48-42e5-9550-43009a47f73e</stp>
        <tr r="G2365" s="2"/>
      </tp>
      <tp>
        <v>5</v>
        <stp/>
        <stp>0a8bc0ff-a352-4b17-b846-aa0dc585dd5f</stp>
        <tr r="G1454" s="2"/>
      </tp>
      <tp>
        <v>5</v>
        <stp/>
        <stp>70432d12-fe95-4067-9b8e-3c5e6ee7583c</stp>
        <tr r="G2920" s="2"/>
      </tp>
      <tp>
        <v>5</v>
        <stp/>
        <stp>cd064789-6f86-40d3-a069-eaea6c6ceabd</stp>
        <tr r="G1889" s="2"/>
      </tp>
      <tp>
        <v>5</v>
        <stp/>
        <stp>71b11420-c0af-474e-bc13-e06a3e42ed7f</stp>
        <tr r="G925" s="2"/>
      </tp>
      <tp>
        <v>5</v>
        <stp/>
        <stp>7f57cecb-5204-4a45-903f-0f9286992cd7</stp>
        <tr r="G4847" s="2"/>
      </tp>
      <tp>
        <v>5</v>
        <stp/>
        <stp>81e07f43-db85-41d7-9a70-d505d40e01eb</stp>
        <tr r="G4101" s="2"/>
      </tp>
      <tp>
        <v>5</v>
        <stp/>
        <stp>dfdf4d0d-4452-4876-b751-e6570309732a</stp>
        <tr r="G6941" s="2"/>
      </tp>
    </main>
    <main first="rtdsrv_a82eb5a1fc404542a18b1336b70d2c4e">
      <tp>
        <v>5</v>
        <stp/>
        <stp>e4a9d81e-2df0-4c4d-930f-a44f99a9dda0</stp>
        <tr r="G793" s="2"/>
      </tp>
    </main>
    <main first="rtdsrv_a82eb5a1fc404542a18b1336b70d2c4e">
      <tp>
        <v>5</v>
        <stp/>
        <stp>83d24bc9-e370-4172-a4c7-4cb46cddafc6</stp>
        <tr r="G9459" s="2"/>
      </tp>
    </main>
    <main first="rtdsrv_a82eb5a1fc404542a18b1336b70d2c4e">
      <tp>
        <v>5</v>
        <stp/>
        <stp>d10a39d2-2098-4e2c-a9cb-2dcc49106d26</stp>
        <tr r="G3946" s="2"/>
      </tp>
      <tp>
        <v>5</v>
        <stp/>
        <stp>dfc82164-20c7-4d0f-81aa-526cdeeab61e</stp>
        <tr r="G1822" s="2"/>
      </tp>
    </main>
    <main first="rtdsrv_a82eb5a1fc404542a18b1336b70d2c4e">
      <tp>
        <v>5</v>
        <stp/>
        <stp>ee131f92-f3c3-4ea8-9fb1-030a979198e6</stp>
        <tr r="G265" s="2"/>
      </tp>
    </main>
    <main first="rtdsrv_a82eb5a1fc404542a18b1336b70d2c4e">
      <tp>
        <v>5</v>
        <stp/>
        <stp>d177e951-25f3-42b1-a7d9-8d8bf9b15129</stp>
        <tr r="G7663" s="2"/>
      </tp>
      <tp>
        <v>5</v>
        <stp/>
        <stp>70c448c8-2a5d-4ed4-9781-bb7c92382e2e</stp>
        <tr r="G5370" s="2"/>
      </tp>
      <tp>
        <v>5</v>
        <stp/>
        <stp>ae690f2d-ad0c-4242-a414-a2847139fa87</stp>
        <tr r="G8615" s="2"/>
      </tp>
    </main>
    <main first="rtdsrv_a82eb5a1fc404542a18b1336b70d2c4e">
      <tp>
        <v>5</v>
        <stp/>
        <stp>c2e7347a-b4d3-4458-9513-e807a4362b18</stp>
        <tr r="G8999" s="2"/>
      </tp>
    </main>
    <main first="rtdsrv_a82eb5a1fc404542a18b1336b70d2c4e">
      <tp>
        <v>5</v>
        <stp/>
        <stp>60c77740-b94f-4010-a256-520bd7864f75</stp>
        <tr r="G3898" s="2"/>
      </tp>
    </main>
    <main first="rtdsrv_a82eb5a1fc404542a18b1336b70d2c4e">
      <tp>
        <v>5</v>
        <stp/>
        <stp>551ee3f4-263b-41d2-ad66-52d2960fc7d0</stp>
        <tr r="G3352" s="2"/>
      </tp>
    </main>
    <main first="rtdsrv_a82eb5a1fc404542a18b1336b70d2c4e">
      <tp>
        <v>5</v>
        <stp/>
        <stp>83d9f488-5e00-4873-a877-e0b570257597</stp>
        <tr r="G5188" s="2"/>
      </tp>
      <tp>
        <v>5</v>
        <stp/>
        <stp>df8b148b-8edc-4822-affc-08e0333d5670</stp>
        <tr r="G4899" s="2"/>
      </tp>
      <tp>
        <v>5</v>
        <stp/>
        <stp>7c6eef97-6f6a-4081-9bb8-cc3741184148</stp>
        <tr r="G293" s="2"/>
      </tp>
    </main>
    <main first="rtdsrv_a82eb5a1fc404542a18b1336b70d2c4e">
      <tp>
        <v>5</v>
        <stp/>
        <stp>fb09d022-2b12-4561-90c7-2a5e7aada1c3</stp>
        <tr r="G2520" s="2"/>
      </tp>
      <tp>
        <v>5</v>
        <stp/>
        <stp>1153a1ea-acd1-423b-a4c5-0d400614f1cf</stp>
        <tr r="G8334" s="2"/>
      </tp>
      <tp>
        <v>5</v>
        <stp/>
        <stp>c5e9cfeb-b53f-45a2-845c-56c2d5dbb615</stp>
        <tr r="G1895" s="2"/>
      </tp>
      <tp>
        <v>5</v>
        <stp/>
        <stp>7bd7e822-294e-40a2-836e-5db958061384</stp>
        <tr r="G2" s="2"/>
      </tp>
      <tp>
        <v>5</v>
        <stp/>
        <stp>d954e1bd-d091-47a6-80fc-7a2d08fc9f0c</stp>
        <tr r="G3491" s="2"/>
      </tp>
      <tp>
        <v>5</v>
        <stp/>
        <stp>30fae021-2bb9-4c13-b922-480af123d9fb</stp>
        <tr r="G4674" s="2"/>
      </tp>
    </main>
    <main first="rtdsrv_a82eb5a1fc404542a18b1336b70d2c4e">
      <tp>
        <v>5</v>
        <stp/>
        <stp>9a59b205-8946-437e-abc7-5188b9d06f7a</stp>
        <tr r="G8702" s="2"/>
      </tp>
      <tp>
        <v>5</v>
        <stp/>
        <stp>f4ac3c12-1e48-44ad-b104-9e6755424ac5</stp>
        <tr r="G7965" s="2"/>
      </tp>
    </main>
    <main first="rtdsrv_a82eb5a1fc404542a18b1336b70d2c4e">
      <tp>
        <v>5</v>
        <stp/>
        <stp>b973aa1f-dbd3-4562-8590-5655409e0288</stp>
        <tr r="G4968" s="2"/>
      </tp>
    </main>
    <main first="rtdsrv_a82eb5a1fc404542a18b1336b70d2c4e">
      <tp>
        <v>5</v>
        <stp/>
        <stp>f895cd77-ab94-4ad2-b718-95f008aab039</stp>
        <tr r="G9087" s="2"/>
      </tp>
      <tp>
        <v>5</v>
        <stp/>
        <stp>ab2e470b-ad55-4f10-8b67-6aa92dd02444</stp>
        <tr r="G4747" s="2"/>
      </tp>
    </main>
    <main first="rtdsrv_a82eb5a1fc404542a18b1336b70d2c4e">
      <tp>
        <v>5</v>
        <stp/>
        <stp>7679e614-2cff-485c-a0eb-120cac297fe7</stp>
        <tr r="G5002" s="2"/>
      </tp>
      <tp>
        <v>5</v>
        <stp/>
        <stp>e9e4e8b6-9782-4ac3-96c3-4aa8932cb90f</stp>
        <tr r="G7088" s="2"/>
      </tp>
      <tp>
        <v>5</v>
        <stp/>
        <stp>c5448b4c-59ca-495e-be2b-7f7bac86734c</stp>
        <tr r="G9195" s="2"/>
      </tp>
    </main>
    <main first="rtdsrv_a82eb5a1fc404542a18b1336b70d2c4e">
      <tp>
        <v>5</v>
        <stp/>
        <stp>3fb6b86e-6633-4b6d-93db-294baf7a44cc</stp>
        <tr r="G4357" s="2"/>
      </tp>
      <tp>
        <v>5</v>
        <stp/>
        <stp>3b44b8c3-93c1-4ec8-a78b-cd99e3f8878d</stp>
        <tr r="G8789" s="2"/>
      </tp>
      <tp>
        <v>5</v>
        <stp/>
        <stp>42c162cd-4b1f-4942-ae57-a7f08d395ca5</stp>
        <tr r="G2314" s="2"/>
      </tp>
    </main>
    <main first="rtdsrv_a82eb5a1fc404542a18b1336b70d2c4e">
      <tp>
        <v>5</v>
        <stp/>
        <stp>1f54b456-f5de-48cc-bbf7-bb3c1a5321eb</stp>
        <tr r="G5987" s="2"/>
      </tp>
    </main>
    <main first="rtdsrv_a82eb5a1fc404542a18b1336b70d2c4e">
      <tp>
        <v>5</v>
        <stp/>
        <stp>818c1318-5176-4a29-a1a0-080a7c85f7a7</stp>
        <tr r="G9442" s="2"/>
      </tp>
    </main>
    <main first="rtdsrv_a82eb5a1fc404542a18b1336b70d2c4e">
      <tp>
        <v>5</v>
        <stp/>
        <stp>3f1d4e5d-2420-4c5c-adb2-5ac56d840688</stp>
        <tr r="G3682" s="2"/>
      </tp>
      <tp>
        <v>5</v>
        <stp/>
        <stp>a05126f6-b90c-4607-93b8-6b3ab19eea96</stp>
        <tr r="G2317" s="2"/>
      </tp>
      <tp>
        <v>5</v>
        <stp/>
        <stp>2b5abb6c-dfdd-4a46-a500-9d7e3dba8aa6</stp>
        <tr r="G267" s="2"/>
      </tp>
    </main>
    <main first="rtdsrv_a82eb5a1fc404542a18b1336b70d2c4e">
      <tp>
        <v>5</v>
        <stp/>
        <stp>2306183d-e807-4dd1-a55d-2d3da490c94d</stp>
        <tr r="G9953" s="2"/>
      </tp>
      <tp>
        <v>5</v>
        <stp/>
        <stp>225d76bb-fbce-4da0-a933-12e4eb1bb23f</stp>
        <tr r="G7547" s="2"/>
      </tp>
      <tp>
        <v>5</v>
        <stp/>
        <stp>905faa65-5e1c-4b1d-a6b0-9bfe442b87c5</stp>
        <tr r="G848" s="2"/>
      </tp>
      <tp>
        <v>5</v>
        <stp/>
        <stp>92e6d00a-ce95-4bb1-9abc-d05cfc58bb21</stp>
        <tr r="G2560" s="2"/>
      </tp>
    </main>
    <main first="rtdsrv_a82eb5a1fc404542a18b1336b70d2c4e">
      <tp>
        <v>5</v>
        <stp/>
        <stp>0dbcc6a6-6c36-42fc-813a-93f01f22fb45</stp>
        <tr r="G3952" s="2"/>
      </tp>
      <tp>
        <v>5</v>
        <stp/>
        <stp>3783f095-f689-4a42-81e5-6aee10243d72</stp>
        <tr r="G860" s="2"/>
      </tp>
      <tp>
        <v>5</v>
        <stp/>
        <stp>73ca473c-81bd-4e47-b709-7e622e92c85c</stp>
        <tr r="G4689" s="2"/>
      </tp>
      <tp>
        <v>5</v>
        <stp/>
        <stp>c333ec22-ee13-4f8b-bcc4-80bdc122d6bd</stp>
        <tr r="G1415" s="2"/>
      </tp>
      <tp>
        <v>5</v>
        <stp/>
        <stp>7ba96fa7-471b-43ca-95a1-b2e47d3bce2c</stp>
        <tr r="G1452" s="2"/>
      </tp>
      <tp>
        <v>5</v>
        <stp/>
        <stp>84329628-bdba-4fcd-bdc0-2716357b5f19</stp>
        <tr r="G63" s="2"/>
      </tp>
      <tp>
        <v>5</v>
        <stp/>
        <stp>44fe30bc-2ff3-4c36-b5e5-db64e1fc85e5</stp>
        <tr r="G8816" s="2"/>
      </tp>
      <tp>
        <v>5</v>
        <stp/>
        <stp>8454000c-fb1b-4692-8455-3e1e555ef64d</stp>
        <tr r="G4492" s="2"/>
      </tp>
    </main>
    <main first="rtdsrv_a82eb5a1fc404542a18b1336b70d2c4e">
      <tp>
        <v>5</v>
        <stp/>
        <stp>e630fb38-3c26-4b9b-aee6-6c1a7263820e</stp>
        <tr r="G9762" s="2"/>
      </tp>
      <tp>
        <v>5</v>
        <stp/>
        <stp>126f23d5-eac5-4362-a5f9-5a8513d8fa4a</stp>
        <tr r="G8257" s="2"/>
      </tp>
      <tp>
        <v>5</v>
        <stp/>
        <stp>1b35a8b4-e4cd-4533-bbcf-39d89d31b162</stp>
        <tr r="G1067" s="2"/>
      </tp>
    </main>
    <main first="rtdsrv_a82eb5a1fc404542a18b1336b70d2c4e">
      <tp>
        <v>5</v>
        <stp/>
        <stp>a5065f3b-fe2a-4046-bb5f-0da060282a14</stp>
        <tr r="G6889" s="2"/>
      </tp>
      <tp>
        <v>5</v>
        <stp/>
        <stp>a5829ca2-ea98-4cab-a866-f08f82770fcc</stp>
        <tr r="G2985" s="2"/>
      </tp>
      <tp>
        <v>5</v>
        <stp/>
        <stp>4678bce7-4b1a-4aa2-8011-e2a63cdc20f8</stp>
        <tr r="G2975" s="2"/>
      </tp>
    </main>
    <main first="rtdsrv_a82eb5a1fc404542a18b1336b70d2c4e">
      <tp>
        <v>5</v>
        <stp/>
        <stp>989cc38f-71ed-4ccc-bd9b-50f8107a4ea3</stp>
        <tr r="G8555" s="2"/>
      </tp>
    </main>
    <main first="rtdsrv_a82eb5a1fc404542a18b1336b70d2c4e">
      <tp>
        <v>5</v>
        <stp/>
        <stp>83657bde-d783-49d6-a67a-d7da924e426d</stp>
        <tr r="G9992" s="2"/>
      </tp>
    </main>
    <main first="rtdsrv_a82eb5a1fc404542a18b1336b70d2c4e">
      <tp>
        <v>5</v>
        <stp/>
        <stp>78c82464-3d70-479d-a573-9353494aaeab</stp>
        <tr r="G6018" s="2"/>
      </tp>
      <tp>
        <v>5</v>
        <stp/>
        <stp>01756fc6-4b2b-4a30-875e-a7fe81cc5c43</stp>
        <tr r="G2875" s="2"/>
      </tp>
    </main>
    <main first="rtdsrv_a82eb5a1fc404542a18b1336b70d2c4e">
      <tp>
        <v>5</v>
        <stp/>
        <stp>90a724fd-0558-48ee-b840-60b605c16cab</stp>
        <tr r="G2472" s="2"/>
      </tp>
      <tp>
        <v>5</v>
        <stp/>
        <stp>35dec9f1-7453-41d9-a20c-a5f9f5af2107</stp>
        <tr r="G6089" s="2"/>
      </tp>
      <tp>
        <v>5</v>
        <stp/>
        <stp>89f93bb2-33d8-4434-b4ff-18d09cfe8b17</stp>
        <tr r="G1737" s="2"/>
      </tp>
      <tp>
        <v>5</v>
        <stp/>
        <stp>6fc4e664-0a72-4d8e-88f2-bab144f915af</stp>
        <tr r="G6528" s="2"/>
      </tp>
    </main>
    <main first="rtdsrv_a82eb5a1fc404542a18b1336b70d2c4e">
      <tp>
        <v>5</v>
        <stp/>
        <stp>9b7b71aa-735f-434a-9162-9e6a932d5f07</stp>
        <tr r="G5039" s="2"/>
      </tp>
    </main>
    <main first="rtdsrv_a82eb5a1fc404542a18b1336b70d2c4e">
      <tp>
        <v>5</v>
        <stp/>
        <stp>6eefde50-a19b-451b-b927-74449d456b56</stp>
        <tr r="G6354" s="2"/>
      </tp>
      <tp>
        <v>5</v>
        <stp/>
        <stp>2873f8df-04e0-48bc-a14e-ddee46716635</stp>
        <tr r="G3266" s="2"/>
      </tp>
      <tp>
        <v>5</v>
        <stp/>
        <stp>bd3cdc6d-27e9-4fda-acde-bc38fb4ca237</stp>
        <tr r="G7440" s="2"/>
      </tp>
      <tp>
        <v>5</v>
        <stp/>
        <stp>2c86640e-798f-4e94-841d-3bde503d44ac</stp>
        <tr r="G1485" s="2"/>
      </tp>
    </main>
    <main first="rtdsrv_a82eb5a1fc404542a18b1336b70d2c4e">
      <tp>
        <v>5</v>
        <stp/>
        <stp>8bb332d6-6e1d-4b3e-a433-6f918b33f79b</stp>
        <tr r="G9058" s="2"/>
      </tp>
      <tp>
        <v>5</v>
        <stp/>
        <stp>feb2b124-008d-417f-86b4-246b7c046410</stp>
        <tr r="G154" s="2"/>
      </tp>
    </main>
    <main first="rtdsrv_a82eb5a1fc404542a18b1336b70d2c4e">
      <tp>
        <v>5</v>
        <stp/>
        <stp>66c9b7a1-9fb5-4f46-983c-571868ddd111</stp>
        <tr r="G6009" s="2"/>
      </tp>
    </main>
    <main first="rtdsrv_a82eb5a1fc404542a18b1336b70d2c4e">
      <tp>
        <v>5</v>
        <stp/>
        <stp>b88cd23c-51a0-4358-a70a-c5ae9b413b2a</stp>
        <tr r="G3270" s="2"/>
      </tp>
    </main>
    <main first="rtdsrv_a82eb5a1fc404542a18b1336b70d2c4e">
      <tp>
        <v>5</v>
        <stp/>
        <stp>081107c8-5471-4a9e-9917-089d170a7cdb</stp>
        <tr r="G9785" s="2"/>
      </tp>
    </main>
    <main first="rtdsrv_a82eb5a1fc404542a18b1336b70d2c4e">
      <tp>
        <v>5</v>
        <stp/>
        <stp>acf2cef6-a8a9-4df5-a835-34528a27866f</stp>
        <tr r="G2635" s="2"/>
      </tp>
    </main>
    <main first="rtdsrv_a82eb5a1fc404542a18b1336b70d2c4e">
      <tp>
        <v>5</v>
        <stp/>
        <stp>bd9e27f4-5366-4387-b66b-7420ee32b438</stp>
        <tr r="G4811" s="2"/>
      </tp>
      <tp>
        <v>5</v>
        <stp/>
        <stp>9cd62d69-5bf1-4c89-a7e8-1b15a82a5675</stp>
        <tr r="G9252" s="2"/>
      </tp>
    </main>
    <main first="rtdsrv_a82eb5a1fc404542a18b1336b70d2c4e">
      <tp>
        <v>5</v>
        <stp/>
        <stp>50e5ea1a-027f-4aa3-bf58-52f28d19535a</stp>
        <tr r="G9343" s="2"/>
      </tp>
    </main>
    <main first="rtdsrv_a82eb5a1fc404542a18b1336b70d2c4e">
      <tp>
        <v>5</v>
        <stp/>
        <stp>148475f7-46fb-461f-b41f-4d5cf7ddd3cb</stp>
        <tr r="G8897" s="2"/>
      </tp>
    </main>
    <main first="rtdsrv_a82eb5a1fc404542a18b1336b70d2c4e">
      <tp>
        <v>5</v>
        <stp/>
        <stp>968cbd84-9997-404f-9e91-f1fca54562fd</stp>
        <tr r="G5133" s="2"/>
      </tp>
      <tp>
        <v>5</v>
        <stp/>
        <stp>7b89f6e2-3fbc-451b-ad18-efb98b8a12e3</stp>
        <tr r="G1121" s="2"/>
      </tp>
      <tp>
        <v>5</v>
        <stp/>
        <stp>7fb4f77a-0ffa-4f9e-8760-f58837eff2bd</stp>
        <tr r="G4217" s="2"/>
      </tp>
    </main>
    <main first="rtdsrv_a82eb5a1fc404542a18b1336b70d2c4e">
      <tp>
        <v>5</v>
        <stp/>
        <stp>6c157bcb-1765-4243-8db2-bc6005d76594</stp>
        <tr r="G669" s="2"/>
      </tp>
    </main>
    <main first="rtdsrv_a82eb5a1fc404542a18b1336b70d2c4e">
      <tp>
        <v>5</v>
        <stp/>
        <stp>52378668-78db-4b11-87a2-0accd826e8cc</stp>
        <tr r="G4752" s="2"/>
      </tp>
      <tp>
        <v>5</v>
        <stp/>
        <stp>6fbf6940-9474-4a82-8a26-70ec8e5bc198</stp>
        <tr r="G6342" s="2"/>
      </tp>
    </main>
    <main first="rtdsrv_a82eb5a1fc404542a18b1336b70d2c4e">
      <tp>
        <v>5</v>
        <stp/>
        <stp>a2cfa486-437a-4093-80d8-7fc6947cd594</stp>
        <tr r="G7662" s="2"/>
      </tp>
      <tp>
        <v>5</v>
        <stp/>
        <stp>9432a09b-6a99-4758-8d8f-154321e8a4ab</stp>
        <tr r="G4126" s="2"/>
      </tp>
      <tp>
        <v>5</v>
        <stp/>
        <stp>604dce76-56a2-4a82-8b10-3b9c9272c161</stp>
        <tr r="G3350" s="2"/>
      </tp>
      <tp>
        <v>5</v>
        <stp/>
        <stp>482bec8d-9748-4b2a-8c4e-51ae7036f470</stp>
        <tr r="G915" s="2"/>
      </tp>
    </main>
    <main first="rtdsrv_a82eb5a1fc404542a18b1336b70d2c4e">
      <tp>
        <v>5</v>
        <stp/>
        <stp>a6e9c388-215c-4f73-a8d5-317e37528df3</stp>
        <tr r="G2255" s="2"/>
      </tp>
    </main>
    <main first="rtdsrv_a82eb5a1fc404542a18b1336b70d2c4e">
      <tp>
        <v>5</v>
        <stp/>
        <stp>0c7f3ca4-724f-45b7-9736-4d8f4e4990cb</stp>
        <tr r="G4834" s="2"/>
      </tp>
    </main>
    <main first="rtdsrv_a82eb5a1fc404542a18b1336b70d2c4e">
      <tp>
        <v>5</v>
        <stp/>
        <stp>2d635fec-d8a2-4bba-a482-a923f6cb5252</stp>
        <tr r="G1164" s="2"/>
      </tp>
      <tp>
        <v>5</v>
        <stp/>
        <stp>1686c432-4742-4da4-bca7-f1090b6e0207</stp>
        <tr r="G7513" s="2"/>
      </tp>
      <tp>
        <v>5</v>
        <stp/>
        <stp>9bdd0027-89d0-4d11-bca6-36ee28d806e2</stp>
        <tr r="G8762" s="2"/>
      </tp>
    </main>
    <main first="rtdsrv_a82eb5a1fc404542a18b1336b70d2c4e">
      <tp>
        <v>5</v>
        <stp/>
        <stp>82c40a74-11f8-4ff1-9009-af1644a6231a</stp>
        <tr r="G5959" s="2"/>
      </tp>
    </main>
    <main first="rtdsrv_a82eb5a1fc404542a18b1336b70d2c4e">
      <tp>
        <v>5</v>
        <stp/>
        <stp>8d91fb4f-90fa-431b-8b56-c962f08e2c86</stp>
        <tr r="G5417" s="2"/>
      </tp>
    </main>
    <main first="rtdsrv_a82eb5a1fc404542a18b1336b70d2c4e">
      <tp>
        <v>5</v>
        <stp/>
        <stp>fc84b75a-8842-4c3c-b837-be3f19826b74</stp>
        <tr r="G3074" s="2"/>
      </tp>
      <tp>
        <v>5</v>
        <stp/>
        <stp>d63dd68a-6ea5-428f-8a9a-19185a52735d</stp>
        <tr r="G6121" s="2"/>
      </tp>
    </main>
    <main first="rtdsrv_a82eb5a1fc404542a18b1336b70d2c4e">
      <tp>
        <v>5</v>
        <stp/>
        <stp>7ebb5994-d871-42ee-b758-4be458d0e0d6</stp>
        <tr r="G9474" s="2"/>
      </tp>
      <tp>
        <v>5</v>
        <stp/>
        <stp>b0991d36-9097-4228-b721-3eee4045c0d9</stp>
        <tr r="G7160" s="2"/>
      </tp>
    </main>
    <main first="rtdsrv_a82eb5a1fc404542a18b1336b70d2c4e">
      <tp>
        <v>5</v>
        <stp/>
        <stp>73dd1d26-6fa0-422e-bad9-ebb8a2c5e26d</stp>
        <tr r="G6675" s="2"/>
      </tp>
    </main>
    <main first="rtdsrv_a82eb5a1fc404542a18b1336b70d2c4e">
      <tp>
        <v>5</v>
        <stp/>
        <stp>23314201-382f-4e6d-a804-9de9cf18efeb</stp>
        <tr r="G6697" s="2"/>
      </tp>
      <tp>
        <v>5</v>
        <stp/>
        <stp>633bd625-1880-4e6a-9e44-f528eb69947b</stp>
        <tr r="G1563" s="2"/>
      </tp>
    </main>
    <main first="rtdsrv_a82eb5a1fc404542a18b1336b70d2c4e">
      <tp>
        <v>5</v>
        <stp/>
        <stp>bf859a00-11f0-4815-adb6-11f133479acd</stp>
        <tr r="G4696" s="2"/>
      </tp>
      <tp>
        <v>5</v>
        <stp/>
        <stp>50f50201-6195-4e91-aca9-5a7e375eb0ba</stp>
        <tr r="G589" s="2"/>
      </tp>
      <tp>
        <v>5</v>
        <stp/>
        <stp>762c92b3-f9a1-45db-af46-4a02b2e34e5d</stp>
        <tr r="G1696" s="2"/>
      </tp>
    </main>
    <main first="rtdsrv_a82eb5a1fc404542a18b1336b70d2c4e">
      <tp>
        <v>5</v>
        <stp/>
        <stp>7d76f14b-a407-4b75-91e1-0570d5859f64</stp>
        <tr r="G7115" s="2"/>
      </tp>
      <tp>
        <v>5</v>
        <stp/>
        <stp>8309087b-65c9-4709-993a-214505a9b195</stp>
        <tr r="G9925" s="2"/>
      </tp>
    </main>
    <main first="rtdsrv_a82eb5a1fc404542a18b1336b70d2c4e">
      <tp>
        <v>5</v>
        <stp/>
        <stp>ba37e4f5-7ddb-4585-9057-9fdeb48eb2ec</stp>
        <tr r="G6625" s="2"/>
      </tp>
      <tp>
        <v>5</v>
        <stp/>
        <stp>0b18898f-c078-4dd9-88ed-c7e8df62e715</stp>
        <tr r="G8828" s="2"/>
      </tp>
      <tp>
        <v>5</v>
        <stp/>
        <stp>1d74a99c-ad01-4119-b4ec-f1b916ba6e69</stp>
        <tr r="G3190" s="2"/>
      </tp>
      <tp>
        <v>5</v>
        <stp/>
        <stp>895d165e-bf9f-474c-9789-25cfecba2bad</stp>
        <tr r="G1719" s="2"/>
      </tp>
    </main>
    <main first="rtdsrv_a82eb5a1fc404542a18b1336b70d2c4e">
      <tp>
        <v>5</v>
        <stp/>
        <stp>ad8b6612-8a13-4cea-a225-8a115cb73918</stp>
        <tr r="G4261" s="2"/>
      </tp>
      <tp>
        <v>5</v>
        <stp/>
        <stp>65526981-5dff-4515-be06-d82d91c04718</stp>
        <tr r="G4410" s="2"/>
      </tp>
    </main>
    <main first="rtdsrv_a82eb5a1fc404542a18b1336b70d2c4e">
      <tp>
        <v>5</v>
        <stp/>
        <stp>e1ea0dc7-939c-45d9-9970-7a33eb8e1c61</stp>
        <tr r="G4298" s="2"/>
      </tp>
    </main>
    <main first="rtdsrv_a82eb5a1fc404542a18b1336b70d2c4e">
      <tp>
        <v>5</v>
        <stp/>
        <stp>d2c0bb15-4d55-42e5-bf18-bfadc3fee710</stp>
        <tr r="G7250" s="2"/>
      </tp>
      <tp>
        <v>5</v>
        <stp/>
        <stp>dbc4bcaa-b4b3-4c8a-abba-5a93ce4f4fb3</stp>
        <tr r="G1990" s="2"/>
      </tp>
    </main>
    <main first="rtdsrv_a82eb5a1fc404542a18b1336b70d2c4e">
      <tp>
        <v>5</v>
        <stp/>
        <stp>fc12a760-a408-4fa4-bf58-67cf02d0b35b</stp>
        <tr r="G3512" s="2"/>
      </tp>
      <tp>
        <v>5</v>
        <stp/>
        <stp>ff869e34-2b53-48c2-b32a-9d3bfa408667</stp>
        <tr r="G4061" s="2"/>
      </tp>
      <tp>
        <v>5</v>
        <stp/>
        <stp>63e1d8cb-ba25-455c-939c-8db78b97c7fe</stp>
        <tr r="G2137" s="2"/>
      </tp>
    </main>
    <main first="rtdsrv_a82eb5a1fc404542a18b1336b70d2c4e">
      <tp>
        <v>5</v>
        <stp/>
        <stp>652b899e-3b5d-493b-8143-dc4ce94021c5</stp>
        <tr r="G6551" s="2"/>
      </tp>
      <tp>
        <v>5</v>
        <stp/>
        <stp>ca5d2f59-e273-4f7e-8ecb-d1d68496fc4a</stp>
        <tr r="G9320" s="2"/>
      </tp>
      <tp>
        <v>5</v>
        <stp/>
        <stp>67384c4b-b56b-4406-8156-cbd01fae038d</stp>
        <tr r="G8551" s="2"/>
      </tp>
    </main>
    <main first="rtdsrv_a82eb5a1fc404542a18b1336b70d2c4e">
      <tp>
        <v>5</v>
        <stp/>
        <stp>b8095236-13aa-4cda-be83-824c11958c7d</stp>
        <tr r="G4442" s="2"/>
      </tp>
      <tp>
        <v>5</v>
        <stp/>
        <stp>3b2bb180-3dc2-4e59-8696-1bfe295d4924</stp>
        <tr r="G455" s="2"/>
      </tp>
    </main>
    <main first="rtdsrv_a82eb5a1fc404542a18b1336b70d2c4e">
      <tp>
        <v>5</v>
        <stp/>
        <stp>36111b96-5cb7-411c-9d5a-3f771f3da57e</stp>
        <tr r="G73" s="2"/>
      </tp>
    </main>
    <main first="rtdsrv_a82eb5a1fc404542a18b1336b70d2c4e">
      <tp>
        <v>5</v>
        <stp/>
        <stp>46869e98-0b43-4ba9-af18-a5fb5ed1f9cd</stp>
        <tr r="G2749" s="2"/>
      </tp>
      <tp>
        <v>5</v>
        <stp/>
        <stp>e9b5ab93-ae82-4a95-aa4f-35aaf402083c</stp>
        <tr r="G2272" s="2"/>
      </tp>
    </main>
    <main first="rtdsrv_a82eb5a1fc404542a18b1336b70d2c4e">
      <tp>
        <v>5</v>
        <stp/>
        <stp>e3702e4c-39dd-4b67-8ffd-34310666a4ab</stp>
        <tr r="G4462" s="2"/>
      </tp>
    </main>
    <main first="rtdsrv_a82eb5a1fc404542a18b1336b70d2c4e">
      <tp>
        <v>5</v>
        <stp/>
        <stp>fa55328c-4422-4eca-8082-691dc747724a</stp>
        <tr r="G4001" s="2"/>
      </tp>
      <tp>
        <v>5</v>
        <stp/>
        <stp>342cd680-c1ce-4856-b238-7445d643cd99</stp>
        <tr r="G1540" s="2"/>
      </tp>
    </main>
    <main first="rtdsrv_a82eb5a1fc404542a18b1336b70d2c4e">
      <tp>
        <v>5</v>
        <stp/>
        <stp>e439c891-3747-4ead-8506-722e6b26691b</stp>
        <tr r="G5504" s="2"/>
      </tp>
      <tp>
        <v>5</v>
        <stp/>
        <stp>cd680125-862a-4a7f-9135-0043c3824915</stp>
        <tr r="G5762" s="2"/>
      </tp>
    </main>
    <main first="rtdsrv_a82eb5a1fc404542a18b1336b70d2c4e">
      <tp>
        <v>5</v>
        <stp/>
        <stp>1793457c-450d-4601-9370-fb4144110d5c</stp>
        <tr r="G5848" s="2"/>
      </tp>
    </main>
    <main first="rtdsrv_a82eb5a1fc404542a18b1336b70d2c4e">
      <tp>
        <v>5</v>
        <stp/>
        <stp>bd358491-5090-4d34-80bc-50f433fcf2b8</stp>
        <tr r="G3951" s="2"/>
      </tp>
    </main>
    <main first="rtdsrv_a82eb5a1fc404542a18b1336b70d2c4e">
      <tp>
        <v>5</v>
        <stp/>
        <stp>2f916f22-0c43-41a4-bb26-9dcc64e8adc7</stp>
        <tr r="G509" s="2"/>
      </tp>
    </main>
    <main first="rtdsrv_a82eb5a1fc404542a18b1336b70d2c4e">
      <tp>
        <v>5</v>
        <stp/>
        <stp>bf9fb9f4-1dea-41df-b64a-d023391317b4</stp>
        <tr r="G8362" s="2"/>
      </tp>
      <tp>
        <v>5</v>
        <stp/>
        <stp>920e024c-6882-4f93-83d0-1e5515178331</stp>
        <tr r="G3392" s="2"/>
      </tp>
    </main>
    <main first="rtdsrv_a82eb5a1fc404542a18b1336b70d2c4e">
      <tp>
        <v>5</v>
        <stp/>
        <stp>799ce469-0f53-4866-a680-8053275eb6b8</stp>
        <tr r="G7964" s="2"/>
      </tp>
    </main>
    <main first="rtdsrv_a82eb5a1fc404542a18b1336b70d2c4e">
      <tp>
        <v>5</v>
        <stp/>
        <stp>d6b4df20-1dda-4efb-a416-c3ca52f38132</stp>
        <tr r="G9439" s="2"/>
      </tp>
      <tp>
        <v>5</v>
        <stp/>
        <stp>541c4c5b-cb52-4ea4-b2cd-0b612372f077</stp>
        <tr r="G9049" s="2"/>
      </tp>
      <tp>
        <v>5</v>
        <stp/>
        <stp>26fefa98-393d-4232-832b-90ea17d42a13</stp>
        <tr r="G24" s="2"/>
      </tp>
      <tp>
        <v>5</v>
        <stp/>
        <stp>2f2c3caa-e107-42a6-a6d7-87a1e66e4169</stp>
        <tr r="G4663" s="2"/>
      </tp>
      <tp>
        <v>5</v>
        <stp/>
        <stp>57f138ce-9e53-4905-a7f1-4fc7761a477b</stp>
        <tr r="G571" s="2"/>
      </tp>
      <tp>
        <v>5</v>
        <stp/>
        <stp>fefed46c-dd37-4787-b9ab-7aa29449c47b</stp>
        <tr r="G2170" s="2"/>
      </tp>
      <tp>
        <v>5</v>
        <stp/>
        <stp>b1d723fd-45fd-4a9a-9332-eefa64d04736</stp>
        <tr r="G4655" s="2"/>
      </tp>
      <tp>
        <v>5</v>
        <stp/>
        <stp>b24794ac-bae8-4ea6-aa04-acd25155b2eb</stp>
        <tr r="G3041" s="2"/>
      </tp>
    </main>
    <main first="rtdsrv_a82eb5a1fc404542a18b1336b70d2c4e">
      <tp>
        <v>5</v>
        <stp/>
        <stp>6675e0ee-9064-4618-a106-cda6ecc862bb</stp>
        <tr r="G1207" s="2"/>
      </tp>
      <tp>
        <v>5</v>
        <stp/>
        <stp>b74950f7-e6db-4dd6-8f3d-2b3495ff32a9</stp>
        <tr r="G7601" s="2"/>
      </tp>
    </main>
    <main first="rtdsrv_a82eb5a1fc404542a18b1336b70d2c4e">
      <tp>
        <v>5</v>
        <stp/>
        <stp>a9606ecb-4a01-406e-bd73-1748d822b75c</stp>
        <tr r="G9423" s="2"/>
      </tp>
    </main>
    <main first="rtdsrv_a82eb5a1fc404542a18b1336b70d2c4e">
      <tp>
        <v>5</v>
        <stp/>
        <stp>3be53cff-2d17-4df3-b813-55b54323b51d</stp>
        <tr r="G7638" s="2"/>
      </tp>
    </main>
    <main first="rtdsrv_a82eb5a1fc404542a18b1336b70d2c4e">
      <tp>
        <v>5</v>
        <stp/>
        <stp>bd60bebd-9ca8-4a39-86a7-bb6c1a107a26</stp>
        <tr r="G8279" s="2"/>
      </tp>
      <tp>
        <v>5</v>
        <stp/>
        <stp>de0178c4-6618-4737-8c8b-65f78ac75272</stp>
        <tr r="G7515" s="2"/>
      </tp>
    </main>
    <main first="rtdsrv_a82eb5a1fc404542a18b1336b70d2c4e">
      <tp>
        <v>5</v>
        <stp/>
        <stp>66e6526c-c325-4731-9e22-0018a4d26b25</stp>
        <tr r="G628" s="2"/>
      </tp>
      <tp>
        <v>5</v>
        <stp/>
        <stp>d912b668-71af-491b-a98f-34047c7c87b3</stp>
        <tr r="G5526" s="2"/>
      </tp>
      <tp>
        <v>5</v>
        <stp/>
        <stp>f8ce1f03-0016-4ee2-a635-9b6de9fae634</stp>
        <tr r="G9739" s="2"/>
      </tp>
      <tp>
        <v>5</v>
        <stp/>
        <stp>52eb0ef5-8b3c-4724-94a3-8b484b6458e8</stp>
        <tr r="G6152" s="2"/>
      </tp>
      <tp>
        <v>5</v>
        <stp/>
        <stp>d6fbbebf-c27f-463f-a01b-54d6e3382b64</stp>
        <tr r="G9147" s="2"/>
      </tp>
      <tp>
        <v>5</v>
        <stp/>
        <stp>8e77675c-6ee8-4c64-8250-4b50a0ef252c</stp>
        <tr r="G7293" s="2"/>
      </tp>
      <tp>
        <v>5</v>
        <stp/>
        <stp>0537125b-7019-48e1-bcf2-c1b7fbf9c665</stp>
        <tr r="G1686" s="2"/>
      </tp>
      <tp>
        <v>5</v>
        <stp/>
        <stp>aa9be150-b8e2-4356-8e2f-ab292ed59322</stp>
        <tr r="G1538" s="2"/>
      </tp>
    </main>
    <main first="rtdsrv_a82eb5a1fc404542a18b1336b70d2c4e">
      <tp>
        <v>5</v>
        <stp/>
        <stp>b7bcf0ba-1bd7-4c6e-8004-0b2d12b3f10d</stp>
        <tr r="G2808" s="2"/>
      </tp>
      <tp>
        <v>5</v>
        <stp/>
        <stp>6d7843fc-3d98-471a-8ad0-c6cccf2033b0</stp>
        <tr r="G7102" s="2"/>
      </tp>
    </main>
    <main first="rtdsrv_a82eb5a1fc404542a18b1336b70d2c4e">
      <tp>
        <v>5</v>
        <stp/>
        <stp>64ac7b11-467f-4dde-b87c-dcdade6474ad</stp>
        <tr r="G4252" s="2"/>
      </tp>
    </main>
    <main first="rtdsrv_a82eb5a1fc404542a18b1336b70d2c4e">
      <tp>
        <v>5</v>
        <stp/>
        <stp>a3dbb0bf-837c-4b57-8145-72bf89f3d12d</stp>
        <tr r="G9975" s="2"/>
      </tp>
      <tp>
        <v>5</v>
        <stp/>
        <stp>7ba45732-0e6c-4a3e-8156-54eb960e95b7</stp>
        <tr r="G2627" s="2"/>
      </tp>
      <tp>
        <v>5</v>
        <stp/>
        <stp>5cb554c6-c2c3-4a54-9af1-d71aac7d802d</stp>
        <tr r="G625" s="2"/>
      </tp>
      <tp>
        <v>5</v>
        <stp/>
        <stp>522b9bad-1eb5-4dab-a2ed-0d105d782db3</stp>
        <tr r="G9436" s="2"/>
      </tp>
      <tp>
        <v>5</v>
        <stp/>
        <stp>81a3afb8-5a3e-4a71-9ebb-560856053366</stp>
        <tr r="G9809" s="2"/>
      </tp>
      <tp>
        <v>5</v>
        <stp/>
        <stp>0b25f03b-ace2-42b5-8b17-4dc8e413de07</stp>
        <tr r="G8936" s="2"/>
      </tp>
    </main>
    <main first="rtdsrv_a82eb5a1fc404542a18b1336b70d2c4e">
      <tp>
        <v>5</v>
        <stp/>
        <stp>bf1003db-bfaf-4dc8-a282-17c7d00582e6</stp>
        <tr r="G1165" s="2"/>
      </tp>
      <tp>
        <v>5</v>
        <stp/>
        <stp>8a63fd91-265d-46bf-bf13-b28efda314d6</stp>
        <tr r="G4951" s="2"/>
      </tp>
      <tp>
        <v>5</v>
        <stp/>
        <stp>c655189b-d06c-40a1-983c-5255fad3599b</stp>
        <tr r="G1377" s="2"/>
      </tp>
      <tp>
        <v>5</v>
        <stp/>
        <stp>bf409602-528b-4d9f-bf13-14ece51ef1f7</stp>
        <tr r="G2633" s="2"/>
      </tp>
      <tp>
        <v>5</v>
        <stp/>
        <stp>8ec7d7c0-2d35-400e-9e7c-9c5381a3cbd0</stp>
        <tr r="G117" s="2"/>
      </tp>
      <tp>
        <v>5</v>
        <stp/>
        <stp>b00a4636-01e7-450b-8f29-2c3f1c8a7d76</stp>
        <tr r="G1074" s="2"/>
      </tp>
      <tp>
        <v>5</v>
        <stp/>
        <stp>cb2ff3ff-0218-4523-8c61-a3f2c1ee0dcc</stp>
        <tr r="G6731" s="2"/>
      </tp>
    </main>
    <main first="rtdsrv_a82eb5a1fc404542a18b1336b70d2c4e">
      <tp>
        <v>5</v>
        <stp/>
        <stp>bba8262f-7819-4321-bd78-b6a1e26bcc3f</stp>
        <tr r="G3268" s="2"/>
      </tp>
    </main>
    <main first="rtdsrv_a82eb5a1fc404542a18b1336b70d2c4e">
      <tp>
        <v>5</v>
        <stp/>
        <stp>f349bfec-f391-41dd-a7b0-b01d50db170a</stp>
        <tr r="G2011" s="2"/>
      </tp>
    </main>
    <main first="rtdsrv_a82eb5a1fc404542a18b1336b70d2c4e">
      <tp>
        <v>5</v>
        <stp/>
        <stp>8d698268-3f93-4aca-8fc6-82dc014e4f71</stp>
        <tr r="G6017" s="2"/>
      </tp>
      <tp>
        <v>5</v>
        <stp/>
        <stp>7c250256-fc2a-4fe7-b3d4-672815a8ed4d</stp>
        <tr r="G6830" s="2"/>
      </tp>
    </main>
    <main first="rtdsrv_a82eb5a1fc404542a18b1336b70d2c4e">
      <tp>
        <v>5</v>
        <stp/>
        <stp>318d039f-849b-4680-a471-19761d23ab68</stp>
        <tr r="G2216" s="2"/>
      </tp>
      <tp>
        <v>5</v>
        <stp/>
        <stp>dff8ad0f-b2d5-4365-851c-fbc875bbe119</stp>
        <tr r="G5017" s="2"/>
      </tp>
      <tp>
        <v>5</v>
        <stp/>
        <stp>7c83b7ce-4a71-4a65-9edf-06c11d12da9f</stp>
        <tr r="G7803" s="2"/>
      </tp>
      <tp>
        <v>5</v>
        <stp/>
        <stp>bdd5363e-005f-4280-be3b-eac10c5a5ad9</stp>
        <tr r="G7609" s="2"/>
      </tp>
    </main>
    <main first="rtdsrv_a82eb5a1fc404542a18b1336b70d2c4e">
      <tp>
        <v>5</v>
        <stp/>
        <stp>3e366379-d160-4a64-a31d-5cfc4d812280</stp>
        <tr r="G8860" s="2"/>
      </tp>
      <tp>
        <v>5</v>
        <stp/>
        <stp>ac3d0c0d-776f-4c0a-94a4-9f585bdef1a7</stp>
        <tr r="G9678" s="2"/>
      </tp>
    </main>
    <main first="rtdsrv_a82eb5a1fc404542a18b1336b70d2c4e">
      <tp>
        <v>5</v>
        <stp/>
        <stp>be30fde1-4bb5-48c3-807b-a3557af40a5b</stp>
        <tr r="G3825" s="2"/>
      </tp>
      <tp>
        <v>5</v>
        <stp/>
        <stp>47734da6-2412-4611-a0df-045ada0f6c1e</stp>
        <tr r="G9051" s="2"/>
      </tp>
    </main>
    <main first="rtdsrv_a82eb5a1fc404542a18b1336b70d2c4e">
      <tp>
        <v>5</v>
        <stp/>
        <stp>b195eb1a-0628-4dda-bc42-429fc3098551</stp>
        <tr r="G8002" s="2"/>
      </tp>
      <tp>
        <v>5</v>
        <stp/>
        <stp>6e86c3ae-d49d-4279-a3ab-594bcf3aa782</stp>
        <tr r="G1430" s="2"/>
      </tp>
    </main>
    <main first="rtdsrv_a82eb5a1fc404542a18b1336b70d2c4e">
      <tp>
        <v>5</v>
        <stp/>
        <stp>a96b2c95-6f6e-4df9-8938-57e25d277761</stp>
        <tr r="G2714" s="2"/>
      </tp>
      <tp>
        <v>5</v>
        <stp/>
        <stp>a02e04db-1b90-47f5-ba66-a4d547a0f77d</stp>
        <tr r="G2326" s="2"/>
      </tp>
      <tp>
        <v>5</v>
        <stp/>
        <stp>0aaf22e8-22ae-4815-9d6a-a2d5cd205610</stp>
        <tr r="G5305" s="2"/>
      </tp>
      <tp>
        <v>5</v>
        <stp/>
        <stp>cced036b-6efd-4004-baf2-8e265ed7a6b8</stp>
        <tr r="G5680" s="2"/>
      </tp>
    </main>
    <main first="rtdsrv_a82eb5a1fc404542a18b1336b70d2c4e">
      <tp>
        <v>5</v>
        <stp/>
        <stp>80b247ae-0359-4579-b55e-292a74b73456</stp>
        <tr r="G34" s="2"/>
      </tp>
      <tp>
        <v>5</v>
        <stp/>
        <stp>ec1d54db-5b16-4b78-9874-9f31f1b168b9</stp>
        <tr r="G5695" s="2"/>
      </tp>
      <tp>
        <v>5</v>
        <stp/>
        <stp>7e7111a0-714d-48d5-b3ec-c232d335b048</stp>
        <tr r="G3554" s="2"/>
      </tp>
    </main>
    <main first="rtdsrv_a82eb5a1fc404542a18b1336b70d2c4e">
      <tp>
        <v>5</v>
        <stp/>
        <stp>bd8f553e-fc5f-4e5d-aa49-52ff0314cd62</stp>
        <tr r="G7959" s="2"/>
      </tp>
    </main>
    <main first="rtdsrv_a82eb5a1fc404542a18b1336b70d2c4e">
      <tp>
        <v>5</v>
        <stp/>
        <stp>a4f67789-c513-4ccb-8bf1-c6798aed518e</stp>
        <tr r="G7489" s="2"/>
      </tp>
    </main>
    <main first="rtdsrv_a82eb5a1fc404542a18b1336b70d2c4e">
      <tp>
        <v>5</v>
        <stp/>
        <stp>c355a37b-f56d-4fb7-80e4-0becef0bd2fa</stp>
        <tr r="G2509" s="2"/>
      </tp>
    </main>
    <main first="rtdsrv_a82eb5a1fc404542a18b1336b70d2c4e">
      <tp>
        <v>5</v>
        <stp/>
        <stp>126fa0f4-a241-46d3-a262-d2374cdde56e</stp>
        <tr r="G5775" s="2"/>
      </tp>
    </main>
    <main first="rtdsrv_a82eb5a1fc404542a18b1336b70d2c4e">
      <tp>
        <v>5</v>
        <stp/>
        <stp>c4bbab38-c1bc-41fa-a05b-0d43f2fe75a0</stp>
        <tr r="G5104" s="2"/>
      </tp>
      <tp>
        <v>5</v>
        <stp/>
        <stp>8760d41e-e7d8-4ca9-9bc4-343c09ddb3bc</stp>
        <tr r="G7794" s="2"/>
      </tp>
    </main>
    <main first="rtdsrv_a82eb5a1fc404542a18b1336b70d2c4e">
      <tp>
        <v>5</v>
        <stp/>
        <stp>7623cc84-70b9-4afa-804e-3aad3e9a3160</stp>
        <tr r="G8980" s="2"/>
      </tp>
      <tp>
        <v>5</v>
        <stp/>
        <stp>57307e3f-970d-407b-a78a-9105c5c89740</stp>
        <tr r="G4381" s="2"/>
      </tp>
      <tp>
        <v>5</v>
        <stp/>
        <stp>59b2a160-1a64-4a6e-b97a-32778b4e39f1</stp>
        <tr r="G886" s="2"/>
      </tp>
      <tp>
        <v>5</v>
        <stp/>
        <stp>0064bebd-16ae-4f81-bc30-d622037f5af7</stp>
        <tr r="G90" s="2"/>
      </tp>
    </main>
    <main first="rtdsrv_a82eb5a1fc404542a18b1336b70d2c4e">
      <tp>
        <v>5</v>
        <stp/>
        <stp>924da31d-765e-4252-afed-004335702fe5</stp>
        <tr r="G7491" s="2"/>
      </tp>
      <tp>
        <v>5</v>
        <stp/>
        <stp>815dd373-054b-4a9d-a5d5-e15109265845</stp>
        <tr r="G4264" s="2"/>
      </tp>
      <tp>
        <v>5</v>
        <stp/>
        <stp>c2691162-0b6d-46ba-9ee5-ca42dbba7600</stp>
        <tr r="G9676" s="2"/>
      </tp>
      <tp>
        <v>5</v>
        <stp/>
        <stp>92b13a14-01db-418c-b361-ca842fc1539e</stp>
        <tr r="G4503" s="2"/>
      </tp>
      <tp>
        <v>5</v>
        <stp/>
        <stp>ef3df16e-aead-4d6e-8231-19e008ca3cf3</stp>
        <tr r="G8679" s="2"/>
      </tp>
      <tp>
        <v>5</v>
        <stp/>
        <stp>04c92bb4-a7b4-4ce9-ade6-68742f253742</stp>
        <tr r="G7796" s="2"/>
      </tp>
      <tp>
        <v>5</v>
        <stp/>
        <stp>78d20413-4a54-48ae-b8bd-e9de8560d13c</stp>
        <tr r="G8543" s="2"/>
      </tp>
      <tp>
        <v>5</v>
        <stp/>
        <stp>746fc952-93b7-4b40-bed3-c5aaef3ab1c1</stp>
        <tr r="G4435" s="2"/>
      </tp>
    </main>
    <main first="rtdsrv_a82eb5a1fc404542a18b1336b70d2c4e">
      <tp>
        <v>5</v>
        <stp/>
        <stp>367bd952-648f-4c57-8172-1990bd6b2f96</stp>
        <tr r="G4287" s="2"/>
      </tp>
      <tp>
        <v>5</v>
        <stp/>
        <stp>b6e5ea00-b765-4885-9c37-961333d0a42a</stp>
        <tr r="G6343" s="2"/>
      </tp>
      <tp>
        <v>5</v>
        <stp/>
        <stp>3627fadd-2b9a-4b2a-81c6-2b1c6dcd6cbf</stp>
        <tr r="G2830" s="2"/>
      </tp>
      <tp>
        <v>5</v>
        <stp/>
        <stp>1eb0e4de-ab19-4d95-b220-a37a9cb6de3f</stp>
        <tr r="G2911" s="2"/>
      </tp>
      <tp>
        <v>5</v>
        <stp/>
        <stp>a2f9897c-7f68-481b-8acf-dc6988e88d01</stp>
        <tr r="G6470" s="2"/>
      </tp>
      <tp>
        <v>5</v>
        <stp/>
        <stp>139be4c5-9059-4682-9e9d-4b95b71b9b4d</stp>
        <tr r="G3964" s="2"/>
      </tp>
    </main>
    <main first="rtdsrv_a82eb5a1fc404542a18b1336b70d2c4e">
      <tp>
        <v>5</v>
        <stp/>
        <stp>dc4ee36d-5191-4b72-9f73-74d7a7523ac8</stp>
        <tr r="G1239" s="2"/>
      </tp>
    </main>
    <main first="rtdsrv_a82eb5a1fc404542a18b1336b70d2c4e">
      <tp>
        <v>5</v>
        <stp/>
        <stp>9462e98c-6d96-485c-852d-3762f9914f31</stp>
        <tr r="G8218" s="2"/>
      </tp>
      <tp>
        <v>5</v>
        <stp/>
        <stp>961943a7-be76-4035-8e6b-6eac0bfcaac4</stp>
        <tr r="G9502" s="2"/>
      </tp>
      <tp>
        <v>5</v>
        <stp/>
        <stp>ab082755-b379-44f1-bc7f-2b59d30e0bf1</stp>
        <tr r="G9894" s="2"/>
      </tp>
      <tp>
        <v>5</v>
        <stp/>
        <stp>d6bc54e1-f7e7-4d2f-8b23-01cb3e1f8fba</stp>
        <tr r="G7032" s="2"/>
      </tp>
    </main>
    <main first="rtdsrv_a82eb5a1fc404542a18b1336b70d2c4e">
      <tp>
        <v>5</v>
        <stp/>
        <stp>ac66862b-3396-445e-8460-cb5b76edecd2</stp>
        <tr r="G5324" s="2"/>
      </tp>
      <tp>
        <v>5</v>
        <stp/>
        <stp>73875bf6-a9cf-4436-b15c-1b0d166afe1d</stp>
        <tr r="G4868" s="2"/>
      </tp>
      <tp>
        <v>5</v>
        <stp/>
        <stp>27ff5c61-92ca-41e2-8cdd-69e4d8cd8838</stp>
        <tr r="G3027" s="2"/>
      </tp>
    </main>
    <main first="rtdsrv_a82eb5a1fc404542a18b1336b70d2c4e">
      <tp>
        <v>5</v>
        <stp/>
        <stp>7bb6cea9-7324-40cb-bd73-e56881480c28</stp>
        <tr r="G5215" s="2"/>
      </tp>
    </main>
    <main first="rtdsrv_a82eb5a1fc404542a18b1336b70d2c4e">
      <tp>
        <v>5</v>
        <stp/>
        <stp>fd22a437-1f94-444f-9b31-96d02325933e</stp>
        <tr r="G862" s="2"/>
      </tp>
      <tp>
        <v>5</v>
        <stp/>
        <stp>9d315ad8-e32c-4e95-8933-47a3877f2d2a</stp>
        <tr r="G1338" s="2"/>
      </tp>
      <tp>
        <v>5</v>
        <stp/>
        <stp>d314ff23-2f35-42c1-a901-ae2ce563b4ce</stp>
        <tr r="G9577" s="2"/>
      </tp>
      <tp>
        <v>5</v>
        <stp/>
        <stp>d8762350-4add-40b8-a2d5-a0e1fab700bf</stp>
        <tr r="G770" s="2"/>
      </tp>
      <tp>
        <v>5</v>
        <stp/>
        <stp>ec37a1fc-22c4-48bc-a6dd-453e6f4f7677</stp>
        <tr r="G1212" s="2"/>
      </tp>
      <tp>
        <v>5</v>
        <stp/>
        <stp>b475e37f-2d10-43b6-9346-9632133ba0ac</stp>
        <tr r="G8606" s="2"/>
      </tp>
    </main>
    <main first="rtdsrv_a82eb5a1fc404542a18b1336b70d2c4e">
      <tp>
        <v>5</v>
        <stp/>
        <stp>6517cc84-cb08-4726-aaa6-1d062e012a1b</stp>
        <tr r="G7725" s="2"/>
      </tp>
    </main>
    <main first="rtdsrv_a82eb5a1fc404542a18b1336b70d2c4e">
      <tp>
        <v>5</v>
        <stp/>
        <stp>4857ecbe-5ac4-43ab-b825-0ef14a0c7891</stp>
        <tr r="G1014" s="2"/>
      </tp>
    </main>
    <main first="rtdsrv_a82eb5a1fc404542a18b1336b70d2c4e">
      <tp>
        <v>5</v>
        <stp/>
        <stp>06535be3-c7e3-4633-9d68-010b0e7dbd4b</stp>
        <tr r="G3034" s="2"/>
      </tp>
      <tp>
        <v>5</v>
        <stp/>
        <stp>e2d4f104-2660-4321-a969-b10f9f08bc72</stp>
        <tr r="G732" s="2"/>
      </tp>
    </main>
    <main first="rtdsrv_a82eb5a1fc404542a18b1336b70d2c4e">
      <tp>
        <v>5</v>
        <stp/>
        <stp>438ad069-465d-407d-9b13-f000df32f6d2</stp>
        <tr r="G3925" s="2"/>
      </tp>
      <tp>
        <v>5</v>
        <stp/>
        <stp>4d1d6f94-c1e1-432e-9fe6-53c6562f1f29</stp>
        <tr r="G6416" s="2"/>
      </tp>
    </main>
    <main first="rtdsrv_a82eb5a1fc404542a18b1336b70d2c4e">
      <tp>
        <v>5</v>
        <stp/>
        <stp>3902bed9-6799-4c0d-a259-a30f72049862</stp>
        <tr r="G4734" s="2"/>
      </tp>
    </main>
    <main first="rtdsrv_a82eb5a1fc404542a18b1336b70d2c4e">
      <tp>
        <v>5</v>
        <stp/>
        <stp>45217114-88b6-4cf4-9910-08eb6ea8dfc4</stp>
        <tr r="G7779" s="2"/>
      </tp>
      <tp>
        <v>5</v>
        <stp/>
        <stp>b2764b02-3487-4121-aaac-e55540913404</stp>
        <tr r="G2301" s="2"/>
      </tp>
    </main>
    <main first="rtdsrv_a82eb5a1fc404542a18b1336b70d2c4e">
      <tp>
        <v>5</v>
        <stp/>
        <stp>5c528a1b-1577-40a3-8eb8-a6ea8d56825c</stp>
        <tr r="G9913" s="2"/>
      </tp>
    </main>
    <main first="rtdsrv_a82eb5a1fc404542a18b1336b70d2c4e">
      <tp>
        <v>5</v>
        <stp/>
        <stp>9e75e7b3-c98a-4f51-8b21-86ba0bd25d67</stp>
        <tr r="G8017" s="2"/>
      </tp>
      <tp>
        <v>5</v>
        <stp/>
        <stp>78e8f48f-7d55-4d48-8b8c-d6e3a80c67bc</stp>
        <tr r="G7434" s="2"/>
      </tp>
      <tp>
        <v>5</v>
        <stp/>
        <stp>4191ccfa-b54d-4fd8-a29e-b41492faf553</stp>
        <tr r="G8358" s="2"/>
      </tp>
      <tp>
        <v>5</v>
        <stp/>
        <stp>602a39e7-b1ae-47c1-9c8f-d0c6d3899c64</stp>
        <tr r="G581" s="2"/>
      </tp>
    </main>
    <main first="rtdsrv_a82eb5a1fc404542a18b1336b70d2c4e">
      <tp>
        <v>5</v>
        <stp/>
        <stp>a3dd14d6-3702-4711-8508-1140003f76e4</stp>
        <tr r="G2042" s="2"/>
      </tp>
      <tp>
        <v>5</v>
        <stp/>
        <stp>ccac307b-db53-4194-834e-8f1f3a4a3293</stp>
        <tr r="G3216" s="2"/>
      </tp>
      <tp>
        <v>5</v>
        <stp/>
        <stp>1a762eb4-7931-42d4-8d83-b3e8d76fe9a1</stp>
        <tr r="G5241" s="2"/>
      </tp>
    </main>
    <main first="rtdsrv_a82eb5a1fc404542a18b1336b70d2c4e">
      <tp>
        <v>5</v>
        <stp/>
        <stp>9afb4ac7-e482-427f-b4ff-9238b011ce8e</stp>
        <tr r="G4330" s="2"/>
      </tp>
      <tp>
        <v>5</v>
        <stp/>
        <stp>8ca3f204-0d4a-4c95-a779-a7bd3d129224</stp>
        <tr r="G9476" s="2"/>
      </tp>
    </main>
    <main first="rtdsrv_a82eb5a1fc404542a18b1336b70d2c4e">
      <tp>
        <v>5</v>
        <stp/>
        <stp>ff8492a0-6e1f-4f22-9674-ce161fd1cf05</stp>
        <tr r="G4140" s="2"/>
      </tp>
    </main>
    <main first="rtdsrv_a82eb5a1fc404542a18b1336b70d2c4e">
      <tp>
        <v>5</v>
        <stp/>
        <stp>581e15b3-9171-45b5-b124-34657d8b4a6b</stp>
        <tr r="G8455" s="2"/>
      </tp>
    </main>
    <main first="rtdsrv_a82eb5a1fc404542a18b1336b70d2c4e">
      <tp>
        <v>5</v>
        <stp/>
        <stp>a2a522b9-d96a-4bbd-9518-f3f15a2a0a8e</stp>
        <tr r="G746" s="2"/>
      </tp>
    </main>
    <main first="rtdsrv_a82eb5a1fc404542a18b1336b70d2c4e">
      <tp>
        <v>5</v>
        <stp/>
        <stp>57a3e896-1593-4ef9-915d-4f2222c55d67</stp>
        <tr r="G7548" s="2"/>
      </tp>
    </main>
    <main first="rtdsrv_a82eb5a1fc404542a18b1336b70d2c4e">
      <tp>
        <v>5</v>
        <stp/>
        <stp>b972ca7c-0fa5-4b67-b37d-0f8969ee9511</stp>
        <tr r="G9722" s="2"/>
      </tp>
    </main>
    <main first="rtdsrv_a82eb5a1fc404542a18b1336b70d2c4e">
      <tp>
        <v>5</v>
        <stp/>
        <stp>308ad719-9ad2-4e3f-929a-f4ede171cf44</stp>
        <tr r="G6419" s="2"/>
      </tp>
    </main>
    <main first="rtdsrv_a82eb5a1fc404542a18b1336b70d2c4e">
      <tp>
        <v>5</v>
        <stp/>
        <stp>710ca36c-e0aa-4cbc-86e2-566ea19d1dd6</stp>
        <tr r="G8226" s="2"/>
      </tp>
      <tp>
        <v>5</v>
        <stp/>
        <stp>d7000af2-1dfa-4601-90a0-99e8d589b90d</stp>
        <tr r="G7921" s="2"/>
      </tp>
    </main>
    <main first="rtdsrv_a82eb5a1fc404542a18b1336b70d2c4e">
      <tp>
        <v>5</v>
        <stp/>
        <stp>4cc1519e-44fd-411d-8caf-06a26f08b16d</stp>
        <tr r="G7840" s="2"/>
      </tp>
    </main>
    <main first="rtdsrv_a82eb5a1fc404542a18b1336b70d2c4e">
      <tp>
        <v>5</v>
        <stp/>
        <stp>299330bb-1081-47b7-8f72-10afc3bd8952</stp>
        <tr r="G3012" s="2"/>
      </tp>
      <tp>
        <v>5</v>
        <stp/>
        <stp>aa28ae4c-c772-435d-946a-9e8670e51bb3</stp>
        <tr r="G5480" s="2"/>
      </tp>
      <tp>
        <v>5</v>
        <stp/>
        <stp>6181742b-0a39-40ac-980c-721bd20cadf8</stp>
        <tr r="G168" s="2"/>
      </tp>
    </main>
    <main first="rtdsrv_a82eb5a1fc404542a18b1336b70d2c4e">
      <tp>
        <v>5</v>
        <stp/>
        <stp>abb30932-08b0-4972-a366-e8af8a59c4d7</stp>
        <tr r="G5471" s="2"/>
      </tp>
    </main>
    <main first="rtdsrv_a82eb5a1fc404542a18b1336b70d2c4e">
      <tp>
        <v>5</v>
        <stp/>
        <stp>c49fb1c2-5206-48ed-b33d-dc56d070b6aa</stp>
        <tr r="G961" s="2"/>
      </tp>
    </main>
    <main first="rtdsrv_a82eb5a1fc404542a18b1336b70d2c4e">
      <tp>
        <v>5</v>
        <stp/>
        <stp>c3d94984-a746-4ea4-9e11-21070847ae6d</stp>
        <tr r="G5792" s="2"/>
      </tp>
      <tp>
        <v>5</v>
        <stp/>
        <stp>e2c03c7c-ddf1-4cd5-9cb1-b466db9d76f0</stp>
        <tr r="G3742" s="2"/>
      </tp>
    </main>
    <main first="rtdsrv_a82eb5a1fc404542a18b1336b70d2c4e">
      <tp>
        <v>5</v>
        <stp/>
        <stp>dcfeacb8-7892-4ec6-a245-df68ecd6b238</stp>
        <tr r="G9843" s="2"/>
      </tp>
    </main>
    <main first="rtdsrv_a82eb5a1fc404542a18b1336b70d2c4e">
      <tp>
        <v>5</v>
        <stp/>
        <stp>054c75e7-3fcb-4df1-a5d4-5d17f1b4418c</stp>
        <tr r="G7011" s="2"/>
      </tp>
      <tp>
        <v>5</v>
        <stp/>
        <stp>cb3f445a-a2ef-4308-a85b-2d8459576e3a</stp>
        <tr r="G3358" s="2"/>
      </tp>
      <tp>
        <v>5</v>
        <stp/>
        <stp>e9844df4-9560-486f-9a2d-03c31bae7ce2</stp>
        <tr r="G7712" s="2"/>
      </tp>
      <tp>
        <v>5</v>
        <stp/>
        <stp>f04a2365-fc49-4a6c-88a9-93a8cf4de0e8</stp>
        <tr r="G5397" s="2"/>
      </tp>
      <tp>
        <v>5</v>
        <stp/>
        <stp>7e67f8f2-d402-470e-be1e-7994bde8e252</stp>
        <tr r="G3857" s="2"/>
      </tp>
      <tp>
        <v>5</v>
        <stp/>
        <stp>8ace5f7c-7810-4c3f-ae43-6ebb9d71aab8</stp>
        <tr r="G3636" s="2"/>
      </tp>
    </main>
    <main first="rtdsrv_a82eb5a1fc404542a18b1336b70d2c4e">
      <tp>
        <v>5</v>
        <stp/>
        <stp>c703518f-cd37-4d29-b582-9acc2052b7a6</stp>
        <tr r="G4312" s="2"/>
      </tp>
      <tp>
        <v>5</v>
        <stp/>
        <stp>3586889d-c33d-408c-9893-6697f32f83c8</stp>
        <tr r="G5626" s="2"/>
      </tp>
    </main>
    <main first="rtdsrv_a82eb5a1fc404542a18b1336b70d2c4e">
      <tp>
        <v>5</v>
        <stp/>
        <stp>16f1dbfb-082c-4a49-8ec4-c9276cc3ef45</stp>
        <tr r="G448" s="2"/>
      </tp>
      <tp>
        <v>5</v>
        <stp/>
        <stp>2b778aba-0f13-47b1-9bdc-fa9587e182ed</stp>
        <tr r="G7717" s="2"/>
      </tp>
    </main>
    <main first="rtdsrv_a82eb5a1fc404542a18b1336b70d2c4e">
      <tp>
        <v>5</v>
        <stp/>
        <stp>8c9bd542-8dfd-4834-ae5c-f0f8bd53a901</stp>
        <tr r="G5970" s="2"/>
      </tp>
    </main>
    <main first="rtdsrv_a82eb5a1fc404542a18b1336b70d2c4e">
      <tp>
        <v>5</v>
        <stp/>
        <stp>78810aac-6c7c-4fe4-b3bd-9ae648f1fb41</stp>
        <tr r="G8473" s="2"/>
      </tp>
      <tp>
        <v>5</v>
        <stp/>
        <stp>af8db5ee-a0f4-43d2-842f-404fccce0c58</stp>
        <tr r="G4780" s="2"/>
      </tp>
      <tp>
        <v>5</v>
        <stp/>
        <stp>78c71c8c-3503-45af-bf42-8950a7ee16e6</stp>
        <tr r="G4488" s="2"/>
      </tp>
      <tp>
        <v>5</v>
        <stp/>
        <stp>959123fd-eb34-4f36-9c62-cd5c242861a2</stp>
        <tr r="G2430" s="2"/>
      </tp>
      <tp>
        <v>5</v>
        <stp/>
        <stp>7a91197c-c4de-4959-a7d3-8cb102365518</stp>
        <tr r="G9528" s="2"/>
      </tp>
      <tp>
        <v>5</v>
        <stp/>
        <stp>859a92db-5ad9-4f32-af46-4004f6f29054</stp>
        <tr r="G4680" s="2"/>
      </tp>
    </main>
    <main first="rtdsrv_a82eb5a1fc404542a18b1336b70d2c4e">
      <tp>
        <v>5</v>
        <stp/>
        <stp>d5f42c85-ddfe-4b41-a859-dc9754105cb9</stp>
        <tr r="G6492" s="2"/>
      </tp>
      <tp>
        <v>5</v>
        <stp/>
        <stp>03e800ed-2893-4e59-837d-c97b2428b008</stp>
        <tr r="G7970" s="2"/>
      </tp>
      <tp>
        <v>5</v>
        <stp/>
        <stp>4aacdcb1-ac58-4d3e-8bef-6a90b57785b9</stp>
        <tr r="G6974" s="2"/>
      </tp>
    </main>
    <main first="rtdsrv_a82eb5a1fc404542a18b1336b70d2c4e">
      <tp>
        <v>5</v>
        <stp/>
        <stp>cfa4a7ed-e117-48c2-8e49-a06ee8ba482b</stp>
        <tr r="G682" s="2"/>
      </tp>
      <tp>
        <v>5</v>
        <stp/>
        <stp>26f3c114-1dae-418e-bb69-445781d15b13</stp>
        <tr r="G4337" s="2"/>
      </tp>
      <tp>
        <v>5</v>
        <stp/>
        <stp>031a7173-19ed-4ee2-b2cc-76246e713334</stp>
        <tr r="G9233" s="2"/>
      </tp>
    </main>
    <main first="rtdsrv_a82eb5a1fc404542a18b1336b70d2c4e">
      <tp>
        <v>5</v>
        <stp/>
        <stp>a485f932-47fe-4988-82af-cde1763900fc</stp>
        <tr r="G2929" s="2"/>
      </tp>
      <tp>
        <v>5</v>
        <stp/>
        <stp>10ecb6d8-f8cc-44c7-9132-850daa0162a4</stp>
        <tr r="G753" s="2"/>
      </tp>
      <tp>
        <v>5</v>
        <stp/>
        <stp>c2ac4473-1552-45b0-a15a-b550919434dc</stp>
        <tr r="G4532" s="2"/>
      </tp>
    </main>
    <main first="rtdsrv_a82eb5a1fc404542a18b1336b70d2c4e">
      <tp>
        <v>5</v>
        <stp/>
        <stp>953d130b-7acb-41d4-9db8-9d5898264973</stp>
        <tr r="G6036" s="2"/>
      </tp>
    </main>
    <main first="rtdsrv_a82eb5a1fc404542a18b1336b70d2c4e">
      <tp>
        <v>5</v>
        <stp/>
        <stp>4e48bbb2-b7df-40d6-bd5d-0a93d7f7b20d</stp>
        <tr r="G6903" s="2"/>
      </tp>
      <tp>
        <v>5</v>
        <stp/>
        <stp>fc64b7e2-7881-4b1f-aa7b-3604f75cf1f7</stp>
        <tr r="G979" s="2"/>
      </tp>
      <tp>
        <v>5</v>
        <stp/>
        <stp>caccbeee-a0d4-4555-8aa9-e34bc13641bd</stp>
        <tr r="G1788" s="2"/>
      </tp>
    </main>
    <main first="rtdsrv_a82eb5a1fc404542a18b1336b70d2c4e">
      <tp>
        <v>5</v>
        <stp/>
        <stp>2c03d3f2-3a48-49ea-90e8-52ae56fb4ac4</stp>
        <tr r="G7560" s="2"/>
      </tp>
    </main>
    <main first="rtdsrv_a82eb5a1fc404542a18b1336b70d2c4e">
      <tp>
        <v>5</v>
        <stp/>
        <stp>3c0c0208-60c0-4fbe-a21f-0e36d560aa85</stp>
        <tr r="G1557" s="2"/>
      </tp>
    </main>
    <main first="rtdsrv_a82eb5a1fc404542a18b1336b70d2c4e">
      <tp>
        <v>5</v>
        <stp/>
        <stp>2c95295f-15f4-45c1-b20a-8c23d8675370</stp>
        <tr r="G4033" s="2"/>
      </tp>
      <tp>
        <v>5</v>
        <stp/>
        <stp>08d0bf83-b751-442a-8063-f86beb781323</stp>
        <tr r="G5643" s="2"/>
      </tp>
    </main>
    <main first="rtdsrv_a82eb5a1fc404542a18b1336b70d2c4e">
      <tp>
        <v>5</v>
        <stp/>
        <stp>a18eb14c-4c28-4aac-ad6a-df509c683ffc</stp>
        <tr r="G6540" s="2"/>
      </tp>
      <tp>
        <v>5</v>
        <stp/>
        <stp>a55a07dd-ef74-4b17-99c2-a332df81bde5</stp>
        <tr r="G7471" s="2"/>
      </tp>
    </main>
    <main first="rtdsrv_a82eb5a1fc404542a18b1336b70d2c4e">
      <tp>
        <v>5</v>
        <stp/>
        <stp>3f744717-982d-4e8b-b146-d8d6d5dc81c8</stp>
        <tr r="G4865" s="2"/>
      </tp>
      <tp>
        <v>5</v>
        <stp/>
        <stp>4a140c42-c974-4b1d-838c-3833de3b2b4a</stp>
        <tr r="G2017" s="2"/>
      </tp>
    </main>
    <main first="rtdsrv_a82eb5a1fc404542a18b1336b70d2c4e">
      <tp>
        <v>5</v>
        <stp/>
        <stp>3f30ec15-5a88-4fb1-97f6-07c3267fcde6</stp>
        <tr r="G52" s="2"/>
      </tp>
    </main>
    <main first="rtdsrv_a82eb5a1fc404542a18b1336b70d2c4e">
      <tp>
        <v>5</v>
        <stp/>
        <stp>37bc2ddc-c72b-4c6a-b7cf-acfa96befe78</stp>
        <tr r="G3586" s="2"/>
      </tp>
      <tp>
        <v>5</v>
        <stp/>
        <stp>5d143ea3-e578-4fa2-a19f-09bbf168ce3d</stp>
        <tr r="G7068" s="2"/>
      </tp>
      <tp>
        <v>5</v>
        <stp/>
        <stp>06d99752-4331-451d-89ea-2364aa4e0de1</stp>
        <tr r="G7205" s="2"/>
      </tp>
    </main>
    <main first="rtdsrv_a82eb5a1fc404542a18b1336b70d2c4e">
      <tp>
        <v>5</v>
        <stp/>
        <stp>43af24b4-f685-4f6e-b24f-b322531a524c</stp>
        <tr r="G1935" s="2"/>
      </tp>
    </main>
    <main first="rtdsrv_a82eb5a1fc404542a18b1336b70d2c4e">
      <tp>
        <v>5</v>
        <stp/>
        <stp>464a8772-9bbf-4a0a-8c81-33dd9ab3912a</stp>
        <tr r="G8333" s="2"/>
      </tp>
      <tp>
        <v>5</v>
        <stp/>
        <stp>57bd56f1-a08c-41c5-94db-9af3a659bda0</stp>
        <tr r="G5403" s="2"/>
      </tp>
    </main>
    <main first="rtdsrv_a82eb5a1fc404542a18b1336b70d2c4e">
      <tp>
        <v>5</v>
        <stp/>
        <stp>f436a001-41a5-408d-a8e3-24f261316612</stp>
        <tr r="G8282" s="2"/>
      </tp>
      <tp>
        <v>5</v>
        <stp/>
        <stp>8961e3b9-db58-4a16-8832-c4b3580f2e36</stp>
        <tr r="G9057" s="2"/>
      </tp>
    </main>
    <main first="rtdsrv_a82eb5a1fc404542a18b1336b70d2c4e">
      <tp>
        <v>5</v>
        <stp/>
        <stp>b92ac16e-abb9-4ea5-bcb0-0b051f5ae864</stp>
        <tr r="G8466" s="2"/>
      </tp>
    </main>
    <main first="rtdsrv_a82eb5a1fc404542a18b1336b70d2c4e">
      <tp>
        <v>5</v>
        <stp/>
        <stp>274de4d4-4f44-4135-81e1-a51a61644ae5</stp>
        <tr r="G9337" s="2"/>
      </tp>
      <tp>
        <v>5</v>
        <stp/>
        <stp>21e8bdee-c420-4232-bb13-25bbdcae7aa0</stp>
        <tr r="G8924" s="2"/>
      </tp>
    </main>
    <main first="rtdsrv_a82eb5a1fc404542a18b1336b70d2c4e">
      <tp>
        <v>5</v>
        <stp/>
        <stp>5780d55c-e0f9-4064-982b-b5210d8ee20b</stp>
        <tr r="G7586" s="2"/>
      </tp>
    </main>
    <main first="rtdsrv_a82eb5a1fc404542a18b1336b70d2c4e">
      <tp>
        <v>5</v>
        <stp/>
        <stp>45f6db00-3a69-4776-bbd6-563e60dea234</stp>
        <tr r="G5639" s="2"/>
      </tp>
    </main>
    <main first="rtdsrv_a82eb5a1fc404542a18b1336b70d2c4e">
      <tp>
        <v>5</v>
        <stp/>
        <stp>edc17729-8463-4ac6-b6c1-858bd0080995</stp>
        <tr r="G5557" s="2"/>
      </tp>
      <tp>
        <v>5</v>
        <stp/>
        <stp>82306c0e-a4f6-447c-b9fa-c527b2795069</stp>
        <tr r="G3966" s="2"/>
      </tp>
    </main>
    <main first="rtdsrv_a82eb5a1fc404542a18b1336b70d2c4e">
      <tp>
        <v>5</v>
        <stp/>
        <stp>246c73f2-3a2d-464b-93e8-b5880a14bee9</stp>
        <tr r="G3957" s="2"/>
      </tp>
    </main>
    <main first="rtdsrv_a82eb5a1fc404542a18b1336b70d2c4e">
      <tp>
        <v>5</v>
        <stp/>
        <stp>32c85911-be24-4fe1-b896-a4384bb42562</stp>
        <tr r="G7474" s="2"/>
      </tp>
      <tp>
        <v>5</v>
        <stp/>
        <stp>c6e597c3-5094-443b-bb56-eb01360bf5f8</stp>
        <tr r="G7002" s="2"/>
      </tp>
      <tp>
        <v>5</v>
        <stp/>
        <stp>96e45b33-5f02-4e56-9d70-6458df0d00c5</stp>
        <tr r="G5966" s="2"/>
      </tp>
      <tp>
        <v>5</v>
        <stp/>
        <stp>e7007529-fdbe-4e55-a52b-5b24651a26a9</stp>
        <tr r="G6182" s="2"/>
      </tp>
    </main>
    <main first="rtdsrv_a82eb5a1fc404542a18b1336b70d2c4e">
      <tp>
        <v>5</v>
        <stp/>
        <stp>e41565c5-8f19-44dc-aeb4-250ef829c7d5</stp>
        <tr r="G5136" s="2"/>
      </tp>
    </main>
    <main first="rtdsrv_a82eb5a1fc404542a18b1336b70d2c4e">
      <tp>
        <v>5</v>
        <stp/>
        <stp>bb0f8440-f68e-4d92-8531-97182fc7db73</stp>
        <tr r="G1008" s="2"/>
      </tp>
    </main>
    <main first="rtdsrv_a82eb5a1fc404542a18b1336b70d2c4e">
      <tp>
        <v>5</v>
        <stp/>
        <stp>c0f15ddc-9162-499b-904c-f861eca13ba0</stp>
        <tr r="G3830" s="2"/>
      </tp>
      <tp>
        <v>5</v>
        <stp/>
        <stp>ebc7fcee-dcec-44b7-b624-8f47eaaabebc</stp>
        <tr r="G6086" s="2"/>
      </tp>
      <tp>
        <v>5</v>
        <stp/>
        <stp>a7b20faf-124c-4bc6-af30-9e61f02f12cd</stp>
        <tr r="G2892" s="2"/>
      </tp>
      <tp>
        <v>5</v>
        <stp/>
        <stp>f06afc6a-d9e9-419c-98af-c369fa6b9e9e</stp>
        <tr r="G5577" s="2"/>
      </tp>
      <tp>
        <v>5</v>
        <stp/>
        <stp>d2a273ff-eea8-4e26-9cfc-dc5b6a41f4fe</stp>
        <tr r="G2851" s="2"/>
      </tp>
    </main>
    <main first="rtdsrv_a82eb5a1fc404542a18b1336b70d2c4e">
      <tp>
        <v>5</v>
        <stp/>
        <stp>e74e02e3-f855-4fe6-92de-ced1da6d4780</stp>
        <tr r="G7354" s="2"/>
      </tp>
      <tp>
        <v>5</v>
        <stp/>
        <stp>a10df172-78e5-4eb2-bdf4-77ba57866a6f</stp>
        <tr r="G4601" s="2"/>
      </tp>
      <tp>
        <v>5</v>
        <stp/>
        <stp>652b0d6e-6137-45fb-8925-626d3ad97f5b</stp>
        <tr r="G8977" s="2"/>
      </tp>
      <tp>
        <v>5</v>
        <stp/>
        <stp>84fead75-40d9-474e-bbec-d0b077029a7e</stp>
        <tr r="G3993" s="2"/>
      </tp>
      <tp>
        <v>5</v>
        <stp/>
        <stp>e96a3e34-1849-448e-9d82-2a4daaeb429f</stp>
        <tr r="G4792" s="2"/>
      </tp>
      <tp>
        <v>5</v>
        <stp/>
        <stp>60374424-b184-4341-b96c-abe871bd6038</stp>
        <tr r="G4042" s="2"/>
      </tp>
    </main>
    <main first="rtdsrv_a82eb5a1fc404542a18b1336b70d2c4e">
      <tp>
        <v>5</v>
        <stp/>
        <stp>1b5dcd64-3b7d-410f-844d-fe3044ee0443</stp>
        <tr r="G4107" s="2"/>
      </tp>
      <tp>
        <v>5</v>
        <stp/>
        <stp>8be88c00-02ec-433f-a859-b7b39bb79592</stp>
        <tr r="G5516" s="2"/>
      </tp>
    </main>
    <main first="rtdsrv_a82eb5a1fc404542a18b1336b70d2c4e">
      <tp>
        <v>5</v>
        <stp/>
        <stp>3c1e7f3c-b34d-4c18-afca-49ebd56fc2da</stp>
        <tr r="G5786" s="2"/>
      </tp>
      <tp>
        <v>5</v>
        <stp/>
        <stp>8341864f-ae2e-497e-90dd-b45fbb65b1ea</stp>
        <tr r="G1174" s="2"/>
      </tp>
    </main>
    <main first="rtdsrv_a82eb5a1fc404542a18b1336b70d2c4e">
      <tp>
        <v>5</v>
        <stp/>
        <stp>f2ff5a47-788b-4f60-8b07-8f7ede919e42</stp>
        <tr r="G9079" s="2"/>
      </tp>
      <tp>
        <v>5</v>
        <stp/>
        <stp>5cea71bf-40d6-4274-b93d-946621a28fce</stp>
        <tr r="G1159" s="2"/>
      </tp>
    </main>
    <main first="rtdsrv_a82eb5a1fc404542a18b1336b70d2c4e">
      <tp>
        <v>5</v>
        <stp/>
        <stp>62711f5b-1bfd-43da-baf4-6640a0482f33</stp>
        <tr r="G6445" s="2"/>
      </tp>
    </main>
    <main first="rtdsrv_a82eb5a1fc404542a18b1336b70d2c4e">
      <tp>
        <v>5</v>
        <stp/>
        <stp>eeca7ca5-b0a5-40ec-9d3f-3ed402171afe</stp>
        <tr r="G6597" s="2"/>
      </tp>
      <tp>
        <v>5</v>
        <stp/>
        <stp>80f6b13c-e2bc-4c1a-9f5e-d3029ce59b01</stp>
        <tr r="G290" s="2"/>
      </tp>
      <tp>
        <v>5</v>
        <stp/>
        <stp>efa28cda-7fe4-4556-adbe-bf4a51d75360</stp>
        <tr r="G6976" s="2"/>
      </tp>
    </main>
    <main first="rtdsrv_a82eb5a1fc404542a18b1336b70d2c4e">
      <tp>
        <v>5</v>
        <stp/>
        <stp>c8cb28bb-ed56-42f1-baf4-b3c51ac58b1a</stp>
        <tr r="G6958" s="2"/>
      </tp>
    </main>
    <main first="rtdsrv_a82eb5a1fc404542a18b1336b70d2c4e">
      <tp>
        <v>5</v>
        <stp/>
        <stp>bc4536cb-3b90-421d-9d1f-e574016bb523</stp>
        <tr r="G5888" s="2"/>
      </tp>
    </main>
    <main first="rtdsrv_a82eb5a1fc404542a18b1336b70d2c4e">
      <tp>
        <v>5</v>
        <stp/>
        <stp>5f5cecdc-a5b2-47bf-bcbf-6e54db556eb5</stp>
        <tr r="G1859" s="2"/>
      </tp>
      <tp>
        <v>5</v>
        <stp/>
        <stp>0b23bd02-8fc7-4849-b45b-66fbe7dcd1d7</stp>
        <tr r="G3562" s="2"/>
      </tp>
      <tp>
        <v>5</v>
        <stp/>
        <stp>e8de2ff1-741e-4052-816f-1952a2213d7a</stp>
        <tr r="G8708" s="2"/>
      </tp>
      <tp>
        <v>5</v>
        <stp/>
        <stp>24375627-c44e-43dd-b4a1-37a8c30efb50</stp>
        <tr r="G4128" s="2"/>
      </tp>
      <tp>
        <v>5</v>
        <stp/>
        <stp>fe837821-cfb0-4861-bf6d-2193c9c75327</stp>
        <tr r="G913" s="2"/>
      </tp>
      <tp>
        <v>5</v>
        <stp/>
        <stp>f4b5e841-5643-4a03-8dc4-48b35df2a70a</stp>
        <tr r="G8210" s="2"/>
      </tp>
    </main>
    <main first="rtdsrv_a82eb5a1fc404542a18b1336b70d2c4e">
      <tp>
        <v>5</v>
        <stp/>
        <stp>60887697-35d6-4e6b-9012-9b69a2f9846e</stp>
        <tr r="G8887" s="2"/>
      </tp>
      <tp>
        <v>5</v>
        <stp/>
        <stp>b70e8003-9b4c-4c28-bec7-abb88121f4e6</stp>
        <tr r="G6667" s="2"/>
      </tp>
    </main>
    <main first="rtdsrv_a82eb5a1fc404542a18b1336b70d2c4e">
      <tp>
        <v>5</v>
        <stp/>
        <stp>df375824-c339-46ef-898e-c16f4f3ba62b</stp>
        <tr r="G9362" s="2"/>
      </tp>
      <tp>
        <v>5</v>
        <stp/>
        <stp>3ddfc8da-7e3d-4348-85f1-7d23f5041f6a</stp>
        <tr r="G2209" s="2"/>
      </tp>
    </main>
    <main first="rtdsrv_a82eb5a1fc404542a18b1336b70d2c4e">
      <tp>
        <v>5</v>
        <stp/>
        <stp>850e4fa3-2c7c-45bc-ab70-bced626ddf03</stp>
        <tr r="G4491" s="2"/>
      </tp>
    </main>
    <main first="rtdsrv_a82eb5a1fc404542a18b1336b70d2c4e">
      <tp>
        <v>5</v>
        <stp/>
        <stp>012e37f8-d006-4154-b175-542f5cdab4f9</stp>
        <tr r="G7713" s="2"/>
      </tp>
    </main>
    <main first="rtdsrv_a82eb5a1fc404542a18b1336b70d2c4e">
      <tp>
        <v>5</v>
        <stp/>
        <stp>4f04638b-bc6f-4475-93c7-3da54be67e9f</stp>
        <tr r="G1013" s="2"/>
      </tp>
      <tp>
        <v>5</v>
        <stp/>
        <stp>0879c9ad-a5c4-4fd0-b013-cf178a456d42</stp>
        <tr r="G2218" s="2"/>
      </tp>
      <tp>
        <v>5</v>
        <stp/>
        <stp>09c78457-7b50-45b6-8d4f-f8df106f72a3</stp>
        <tr r="G9963" s="2"/>
      </tp>
      <tp>
        <v>5</v>
        <stp/>
        <stp>f308078a-1481-4cd6-a598-d177a83071a0</stp>
        <tr r="G6517" s="2"/>
      </tp>
    </main>
    <main first="rtdsrv_a82eb5a1fc404542a18b1336b70d2c4e">
      <tp>
        <v>5</v>
        <stp/>
        <stp>6e25a1f2-4b02-4feb-a9ce-e23fb5800d96</stp>
        <tr r="G5640" s="2"/>
      </tp>
      <tp>
        <v>5</v>
        <stp/>
        <stp>c19684f6-f8d8-45d1-a366-f62f02275b00</stp>
        <tr r="G5243" s="2"/>
      </tp>
    </main>
    <main first="rtdsrv_a82eb5a1fc404542a18b1336b70d2c4e">
      <tp>
        <v>5</v>
        <stp/>
        <stp>f3a251c7-cd5a-4d45-af75-67a0de2683aa</stp>
        <tr r="G7467" s="2"/>
      </tp>
      <tp>
        <v>5</v>
        <stp/>
        <stp>73159d6d-cdd0-4c01-b30b-f4c28a1f3b23</stp>
        <tr r="G9119" s="2"/>
      </tp>
      <tp>
        <v>5</v>
        <stp/>
        <stp>102eeb5d-eb70-4304-85fa-7ef12542677b</stp>
        <tr r="G2180" s="2"/>
      </tp>
      <tp>
        <v>5</v>
        <stp/>
        <stp>e2d69385-66bd-48ce-bedb-4c011a8186aa</stp>
        <tr r="G8187" s="2"/>
      </tp>
      <tp>
        <v>5</v>
        <stp/>
        <stp>ae1220df-cae2-411b-8d02-6b1907c62363</stp>
        <tr r="G485" s="2"/>
      </tp>
      <tp>
        <v>5</v>
        <stp/>
        <stp>001bf023-ca13-4710-83ec-0391c2c9159a</stp>
        <tr r="G3386" s="2"/>
      </tp>
    </main>
    <main first="rtdsrv_a82eb5a1fc404542a18b1336b70d2c4e">
      <tp>
        <v>5</v>
        <stp/>
        <stp>f067d08d-af55-426a-ac95-c96292064090</stp>
        <tr r="G9277" s="2"/>
      </tp>
    </main>
    <main first="rtdsrv_a82eb5a1fc404542a18b1336b70d2c4e">
      <tp>
        <v>5</v>
        <stp/>
        <stp>f3f63cfd-cff0-4f74-895a-8af267ec3ff6</stp>
        <tr r="G7724" s="2"/>
      </tp>
    </main>
    <main first="rtdsrv_a82eb5a1fc404542a18b1336b70d2c4e">
      <tp>
        <v>5</v>
        <stp/>
        <stp>015195cf-425e-4232-846c-31037f718abd</stp>
        <tr r="G7075" s="2"/>
      </tp>
    </main>
    <main first="rtdsrv_a82eb5a1fc404542a18b1336b70d2c4e">
      <tp>
        <v>5</v>
        <stp/>
        <stp>4f243364-3d32-43ba-af5f-2eb60c5a763b</stp>
        <tr r="G6616" s="2"/>
      </tp>
      <tp>
        <v>5</v>
        <stp/>
        <stp>f36bbf05-540a-4330-b875-84b10dab55f3</stp>
        <tr r="G1672" s="2"/>
      </tp>
      <tp>
        <v>5</v>
        <stp/>
        <stp>c8b29369-aeeb-4276-9747-36cb1d7db805</stp>
        <tr r="G9271" s="2"/>
      </tp>
      <tp>
        <v>5</v>
        <stp/>
        <stp>3712fbb6-5d34-4c80-a501-246e15750ce3</stp>
        <tr r="G1994" s="2"/>
      </tp>
    </main>
    <main first="rtdsrv_a82eb5a1fc404542a18b1336b70d2c4e">
      <tp>
        <v>5</v>
        <stp/>
        <stp>99cca98b-6827-4235-a0cd-bbe743c173c5</stp>
        <tr r="G6635" s="2"/>
      </tp>
      <tp>
        <v>5</v>
        <stp/>
        <stp>cacbfc42-f4f6-467d-bbab-6dc8938d848a</stp>
        <tr r="G426" s="2"/>
      </tp>
    </main>
    <main first="rtdsrv_a82eb5a1fc404542a18b1336b70d2c4e">
      <tp>
        <v>5</v>
        <stp/>
        <stp>4ac58dc5-3cd2-43b2-9dd3-50d064a4ff72</stp>
        <tr r="G5836" s="2"/>
      </tp>
    </main>
    <main first="rtdsrv_a82eb5a1fc404542a18b1336b70d2c4e">
      <tp>
        <v>5</v>
        <stp/>
        <stp>503aa248-2440-4272-bf36-e9e01301092e</stp>
        <tr r="G4465" s="2"/>
      </tp>
      <tp>
        <v>5</v>
        <stp/>
        <stp>ea1f4d45-acc4-4bd4-9593-d4afcf7039ad</stp>
        <tr r="G19" s="2"/>
      </tp>
      <tp>
        <v>5</v>
        <stp/>
        <stp>bb354e12-703e-408a-b6be-8d3ab1e96dcd</stp>
        <tr r="G9831" s="2"/>
      </tp>
    </main>
    <main first="rtdsrv_a82eb5a1fc404542a18b1336b70d2c4e">
      <tp>
        <v>5</v>
        <stp/>
        <stp>d1727eee-ecf9-4429-bf43-937c693fb4ef</stp>
        <tr r="G424" s="2"/>
      </tp>
      <tp>
        <v>5</v>
        <stp/>
        <stp>f8f5a941-d1a7-4947-bebf-d82c83c8c97a</stp>
        <tr r="G1973" s="2"/>
      </tp>
      <tp>
        <v>5</v>
        <stp/>
        <stp>e718a2dc-e72c-4791-9114-4c0a02279376</stp>
        <tr r="G844" s="2"/>
      </tp>
      <tp>
        <v>5</v>
        <stp/>
        <stp>0b20fea4-588c-456b-96a9-05b0a11407b6</stp>
        <tr r="G6950" s="2"/>
      </tp>
    </main>
    <main first="rtdsrv_a82eb5a1fc404542a18b1336b70d2c4e">
      <tp>
        <v>5</v>
        <stp/>
        <stp>6fc6fbd9-68ee-49d2-b146-d9ce9708489a</stp>
        <tr r="G5500" s="2"/>
      </tp>
      <tp>
        <v>5</v>
        <stp/>
        <stp>7ad2a598-99ec-4a22-b500-28b02d3171fc</stp>
        <tr r="G8150" s="2"/>
      </tp>
    </main>
    <main first="rtdsrv_a82eb5a1fc404542a18b1336b70d2c4e">
      <tp>
        <v>5</v>
        <stp/>
        <stp>5cc624fc-204c-4749-8bec-070d08adc4df</stp>
        <tr r="G6046" s="2"/>
      </tp>
      <tp>
        <v>5</v>
        <stp/>
        <stp>e8c658ae-aa68-4365-8324-c6cff32bcaeb</stp>
        <tr r="G4040" s="2"/>
      </tp>
      <tp>
        <v>5</v>
        <stp/>
        <stp>6357d6a1-7355-4213-afc2-1bcecc31fafc</stp>
        <tr r="G6236" s="2"/>
      </tp>
      <tp>
        <v>5</v>
        <stp/>
        <stp>62057c9a-68ee-4be0-9963-c5024e3913b0</stp>
        <tr r="G1669" s="2"/>
      </tp>
      <tp>
        <v>5</v>
        <stp/>
        <stp>58187616-32ab-4c49-a76f-0dbc6509daee</stp>
        <tr r="G33" s="2"/>
      </tp>
    </main>
    <main first="rtdsrv_a82eb5a1fc404542a18b1336b70d2c4e">
      <tp>
        <v>5</v>
        <stp/>
        <stp>4213a87d-f97c-4cf7-bb59-1ac1450a586b</stp>
        <tr r="G8554" s="2"/>
      </tp>
      <tp>
        <v>5</v>
        <stp/>
        <stp>a4d6ee37-313a-4475-8b92-998bfd942167</stp>
        <tr r="G2601" s="2"/>
      </tp>
    </main>
    <main first="rtdsrv_a82eb5a1fc404542a18b1336b70d2c4e">
      <tp>
        <v>5</v>
        <stp/>
        <stp>04ddb90c-cd8d-4043-b474-62d74cd5e68b</stp>
        <tr r="G7538" s="2"/>
      </tp>
    </main>
    <main first="rtdsrv_a82eb5a1fc404542a18b1336b70d2c4e">
      <tp>
        <v>5</v>
        <stp/>
        <stp>34c7d776-9f41-4782-b10a-52cd0a595f90</stp>
        <tr r="G3910" s="2"/>
      </tp>
    </main>
    <main first="rtdsrv_a82eb5a1fc404542a18b1336b70d2c4e">
      <tp>
        <v>5</v>
        <stp/>
        <stp>7dac5eb5-b525-40db-8167-c584d714184d</stp>
        <tr r="G9560" s="2"/>
      </tp>
    </main>
    <main first="rtdsrv_a82eb5a1fc404542a18b1336b70d2c4e">
      <tp>
        <v>5</v>
        <stp/>
        <stp>8cdd0307-489d-43c0-a43b-23e72abc9850</stp>
        <tr r="G2938" s="2"/>
      </tp>
      <tp>
        <v>5</v>
        <stp/>
        <stp>fdef3857-7abd-4371-93e8-b49acc874e43</stp>
        <tr r="G5018" s="2"/>
      </tp>
      <tp>
        <v>5</v>
        <stp/>
        <stp>7685828d-3742-4559-9451-dc9db0531e6a</stp>
        <tr r="G5183" s="2"/>
      </tp>
      <tp>
        <v>5</v>
        <stp/>
        <stp>d78eccbd-2a4c-4621-97a5-a9deafc5cd51</stp>
        <tr r="G9114" s="2"/>
      </tp>
    </main>
    <main first="rtdsrv_a82eb5a1fc404542a18b1336b70d2c4e">
      <tp>
        <v>5</v>
        <stp/>
        <stp>bcec521e-b65b-4b17-9a9a-299bd802e178</stp>
        <tr r="G9981" s="2"/>
      </tp>
    </main>
    <main first="rtdsrv_a82eb5a1fc404542a18b1336b70d2c4e">
      <tp>
        <v>5</v>
        <stp/>
        <stp>33681313-d974-4a19-b504-5e49144ed17b</stp>
        <tr r="G5668" s="2"/>
      </tp>
    </main>
    <main first="rtdsrv_a82eb5a1fc404542a18b1336b70d2c4e">
      <tp>
        <v>5</v>
        <stp/>
        <stp>b2882e3e-c19a-4913-b571-f867e5d070d5</stp>
        <tr r="G1529" s="2"/>
      </tp>
      <tp>
        <v>5</v>
        <stp/>
        <stp>51e2e945-d7e4-43ea-968a-999329a328ba</stp>
        <tr r="G2598" s="2"/>
      </tp>
      <tp>
        <v>5</v>
        <stp/>
        <stp>4cc2766d-ad33-4af4-b9f7-f0ccb892fcac</stp>
        <tr r="G2561" s="2"/>
      </tp>
    </main>
    <main first="rtdsrv_a82eb5a1fc404542a18b1336b70d2c4e">
      <tp>
        <v>5</v>
        <stp/>
        <stp>8f7c7493-afa3-44b1-a705-f2e6b4a099d0</stp>
        <tr r="G8624" s="2"/>
      </tp>
      <tp>
        <v>5</v>
        <stp/>
        <stp>ddf40f9e-4034-497c-8dd6-c3e6a6e519d2</stp>
        <tr r="G9226" s="2"/>
      </tp>
    </main>
    <main first="rtdsrv_a82eb5a1fc404542a18b1336b70d2c4e">
      <tp>
        <v>5</v>
        <stp/>
        <stp>135159df-6c6b-48eb-89f9-2fe9a651aef1</stp>
        <tr r="G9318" s="2"/>
      </tp>
    </main>
    <main first="rtdsrv_a82eb5a1fc404542a18b1336b70d2c4e">
      <tp>
        <v>5</v>
        <stp/>
        <stp>74a67f97-5909-40d1-bb09-ffea396d0456</stp>
        <tr r="G3941" s="2"/>
      </tp>
      <tp>
        <v>5</v>
        <stp/>
        <stp>01e6302c-2121-4c2e-b3bc-593081100196</stp>
        <tr r="G8614" s="2"/>
      </tp>
    </main>
    <main first="rtdsrv_a82eb5a1fc404542a18b1336b70d2c4e">
      <tp>
        <v>5</v>
        <stp/>
        <stp>286e8195-c166-4b13-9af0-3728b500e02f</stp>
        <tr r="G7245" s="2"/>
      </tp>
    </main>
    <main first="rtdsrv_a82eb5a1fc404542a18b1336b70d2c4e">
      <tp>
        <v>5</v>
        <stp/>
        <stp>e253bdee-9d68-43f0-82e6-c2ea928117ae</stp>
        <tr r="G5405" s="2"/>
      </tp>
    </main>
    <main first="rtdsrv_a82eb5a1fc404542a18b1336b70d2c4e">
      <tp>
        <v>5</v>
        <stp/>
        <stp>b0340613-514d-4491-b319-8b98ce417995</stp>
        <tr r="G3099" s="2"/>
      </tp>
    </main>
    <main first="rtdsrv_a82eb5a1fc404542a18b1336b70d2c4e">
      <tp>
        <v>5</v>
        <stp/>
        <stp>712e8aba-d99c-4299-89a3-86ddef716179</stp>
        <tr r="G8806" s="2"/>
      </tp>
      <tp>
        <v>5</v>
        <stp/>
        <stp>a9ecd680-ae67-4b73-9a7d-eccd0b1e0f19</stp>
        <tr r="G5847" s="2"/>
      </tp>
    </main>
    <main first="rtdsrv_a82eb5a1fc404542a18b1336b70d2c4e">
      <tp>
        <v>5</v>
        <stp/>
        <stp>fd95b9ba-d131-4517-94ad-83ef1ae45015</stp>
        <tr r="G4672" s="2"/>
      </tp>
    </main>
    <main first="rtdsrv_a82eb5a1fc404542a18b1336b70d2c4e">
      <tp>
        <v>5</v>
        <stp/>
        <stp>b37f23b8-ea20-49fd-a9f0-f8f63fd2749c</stp>
        <tr r="G5523" s="2"/>
      </tp>
    </main>
    <main first="rtdsrv_a82eb5a1fc404542a18b1336b70d2c4e">
      <tp>
        <v>5</v>
        <stp/>
        <stp>fabfc139-8c5b-417e-bf38-25dd515fa7de</stp>
        <tr r="G6868" s="2"/>
      </tp>
      <tp>
        <v>5</v>
        <stp/>
        <stp>5659f442-cdd4-4015-ab4d-a891bd4a1130</stp>
        <tr r="G4622" s="2"/>
      </tp>
    </main>
    <main first="rtdsrv_a82eb5a1fc404542a18b1336b70d2c4e">
      <tp>
        <v>5</v>
        <stp/>
        <stp>de557c39-a20d-486f-a71e-cc655f9108fd</stp>
        <tr r="G1536" s="2"/>
      </tp>
    </main>
    <main first="rtdsrv_a82eb5a1fc404542a18b1336b70d2c4e">
      <tp>
        <v>5</v>
        <stp/>
        <stp>872d43dc-d9be-48e5-8992-3732cf7d30a2</stp>
        <tr r="G9142" s="2"/>
      </tp>
    </main>
    <main first="rtdsrv_a82eb5a1fc404542a18b1336b70d2c4e">
      <tp>
        <v>5</v>
        <stp/>
        <stp>2d6fe7ad-1dbb-4c5e-ae99-0a58fc30814b</stp>
        <tr r="G9582" s="2"/>
      </tp>
      <tp>
        <v>5</v>
        <stp/>
        <stp>86cdac3a-3948-443e-a84e-205a52c9a8b5</stp>
        <tr r="G8411" s="2"/>
      </tp>
    </main>
    <main first="rtdsrv_a82eb5a1fc404542a18b1336b70d2c4e">
      <tp>
        <v>5</v>
        <stp/>
        <stp>2db8c8fc-5705-4062-96b5-a292524c043f</stp>
        <tr r="G4347" s="2"/>
      </tp>
      <tp>
        <v>5</v>
        <stp/>
        <stp>a2e2541f-988c-48d6-9f57-56a65f669a48</stp>
        <tr r="G5041" s="2"/>
      </tp>
    </main>
    <main first="rtdsrv_a82eb5a1fc404542a18b1336b70d2c4e">
      <tp>
        <v>5</v>
        <stp/>
        <stp>cb68ed1d-b339-4256-ab7c-1f8869acf760</stp>
        <tr r="G476" s="2"/>
      </tp>
    </main>
    <main first="rtdsrv_a82eb5a1fc404542a18b1336b70d2c4e">
      <tp>
        <v>5</v>
        <stp/>
        <stp>d7e68477-d88e-4e0d-a795-1d2e8ef6e631</stp>
        <tr r="G910" s="2"/>
      </tp>
      <tp>
        <v>5</v>
        <stp/>
        <stp>1ad71f27-94ad-43d6-817d-75c2b5e79284</stp>
        <tr r="G3436" s="2"/>
      </tp>
      <tp>
        <v>5</v>
        <stp/>
        <stp>e51148a3-d076-4a7c-9c63-91443e905ef2</stp>
        <tr r="G2588" s="2"/>
      </tp>
    </main>
    <main first="rtdsrv_a82eb5a1fc404542a18b1336b70d2c4e">
      <tp>
        <v>5</v>
        <stp/>
        <stp>6b78691c-792a-4f46-99ec-c7e6412f642a</stp>
        <tr r="G4130" s="2"/>
      </tp>
    </main>
    <main first="rtdsrv_a82eb5a1fc404542a18b1336b70d2c4e">
      <tp>
        <v>5</v>
        <stp/>
        <stp>7731b82f-7752-4fa6-974f-c485cae67b43</stp>
        <tr r="G4671" s="2"/>
      </tp>
      <tp>
        <v>5</v>
        <stp/>
        <stp>38a00bab-30df-4862-a977-94c1f792cbdb</stp>
        <tr r="G8552" s="2"/>
      </tp>
    </main>
    <main first="rtdsrv_a82eb5a1fc404542a18b1336b70d2c4e">
      <tp>
        <v>5</v>
        <stp/>
        <stp>f8eb7a68-27ab-45a2-a585-702b9ec27990</stp>
        <tr r="G5195" s="2"/>
      </tp>
      <tp>
        <v>5</v>
        <stp/>
        <stp>2cf64a20-0d00-4258-855f-2d8fbfbb4051</stp>
        <tr r="G9455" s="2"/>
      </tp>
      <tp>
        <v>5</v>
        <stp/>
        <stp>a85b6c65-5f56-490f-8906-e618cf9a6eb0</stp>
        <tr r="G5263" s="2"/>
      </tp>
    </main>
    <main first="rtdsrv_a82eb5a1fc404542a18b1336b70d2c4e">
      <tp>
        <v>5</v>
        <stp/>
        <stp>f73b4dc4-be7f-4331-b90b-b82c17e5c292</stp>
        <tr r="G6574" s="2"/>
      </tp>
    </main>
    <main first="rtdsrv_a82eb5a1fc404542a18b1336b70d2c4e">
      <tp>
        <v>5</v>
        <stp/>
        <stp>8e227859-85aa-4949-be53-d376d5457b84</stp>
        <tr r="G525" s="2"/>
      </tp>
    </main>
    <main first="rtdsrv_a82eb5a1fc404542a18b1336b70d2c4e">
      <tp>
        <v>5</v>
        <stp/>
        <stp>cae61c28-85c0-4c6e-9bc9-1de00e763030</stp>
        <tr r="G7" s="2"/>
      </tp>
      <tp>
        <v>5</v>
        <stp/>
        <stp>efd21414-94af-445d-8948-2dc9a6123d1b</stp>
        <tr r="G1539" s="2"/>
      </tp>
    </main>
    <main first="rtdsrv_a82eb5a1fc404542a18b1336b70d2c4e">
      <tp>
        <v>5</v>
        <stp/>
        <stp>1b95646f-8b46-4d17-bb31-a6465d1c55c7</stp>
        <tr r="G3935" s="2"/>
      </tp>
    </main>
    <main first="rtdsrv_a82eb5a1fc404542a18b1336b70d2c4e">
      <tp>
        <v>5</v>
        <stp/>
        <stp>dbd037f8-b8e1-4638-bc02-b5e2abdf1e3b</stp>
        <tr r="G8934" s="2"/>
      </tp>
    </main>
    <main first="rtdsrv_a82eb5a1fc404542a18b1336b70d2c4e">
      <tp>
        <v>5</v>
        <stp/>
        <stp>1440c299-bf38-4e08-90ef-dbf42a7607f4</stp>
        <tr r="G716" s="2"/>
      </tp>
      <tp>
        <v>5</v>
        <stp/>
        <stp>8bbe57c2-3e3a-4fff-be7f-1511f792a801</stp>
        <tr r="G8434" s="2"/>
      </tp>
    </main>
    <main first="rtdsrv_a82eb5a1fc404542a18b1336b70d2c4e">
      <tp>
        <v>5</v>
        <stp/>
        <stp>c2b5ab74-a892-44e8-a91b-d3e96726d1b1</stp>
        <tr r="G9176" s="2"/>
      </tp>
    </main>
    <main first="rtdsrv_a82eb5a1fc404542a18b1336b70d2c4e">
      <tp>
        <v>5</v>
        <stp/>
        <stp>459649c5-a8c2-41d1-80d9-9fed1cfa00b6</stp>
        <tr r="G5614" s="2"/>
      </tp>
    </main>
    <main first="rtdsrv_a82eb5a1fc404542a18b1336b70d2c4e">
      <tp>
        <v>5</v>
        <stp/>
        <stp>14718b84-5a76-4d13-87f0-f96f107302d4</stp>
        <tr r="G3100" s="2"/>
      </tp>
      <tp>
        <v>5</v>
        <stp/>
        <stp>bfc23039-ddee-4b1f-8a93-9009cd87e440</stp>
        <tr r="G6503" s="2"/>
      </tp>
      <tp>
        <v>5</v>
        <stp/>
        <stp>3e886b43-e45f-42a4-bcbd-a6dc17643853</stp>
        <tr r="G4297" s="2"/>
      </tp>
    </main>
    <main first="rtdsrv_a82eb5a1fc404542a18b1336b70d2c4e">
      <tp>
        <v>5</v>
        <stp/>
        <stp>f11db551-d01a-4430-861a-99925411faf2</stp>
        <tr r="G3168" s="2"/>
      </tp>
      <tp>
        <v>5</v>
        <stp/>
        <stp>afe0055e-cad2-4d79-b75f-59a428fc60de</stp>
        <tr r="G8267" s="2"/>
      </tp>
      <tp>
        <v>5</v>
        <stp/>
        <stp>2becc8ce-2b34-486d-811e-8167e7a1d6b5</stp>
        <tr r="G2602" s="2"/>
      </tp>
      <tp>
        <v>5</v>
        <stp/>
        <stp>49842fa9-aa11-4ca5-8aa9-582fbf21e956</stp>
        <tr r="G3990" s="2"/>
      </tp>
      <tp>
        <v>5</v>
        <stp/>
        <stp>a5aa51bd-abea-4fd9-b35f-55e4abf5130e</stp>
        <tr r="G2141" s="2"/>
      </tp>
    </main>
    <main first="rtdsrv_a82eb5a1fc404542a18b1336b70d2c4e">
      <tp>
        <v>5</v>
        <stp/>
        <stp>a4740533-c8ba-4280-ab64-ee8b94b6c8fa</stp>
        <tr r="G9759" s="2"/>
      </tp>
      <tp>
        <v>5</v>
        <stp/>
        <stp>58a24075-2f8c-4a69-878e-d31694c1513b</stp>
        <tr r="G7164" s="2"/>
      </tp>
      <tp>
        <v>5</v>
        <stp/>
        <stp>67532957-cc0a-4560-ab40-c33d02b21e69</stp>
        <tr r="G2861" s="2"/>
      </tp>
      <tp>
        <v>5</v>
        <stp/>
        <stp>6439f994-1774-476b-8d0d-0699d0c0fe73</stp>
        <tr r="G2116" s="2"/>
      </tp>
      <tp>
        <v>5</v>
        <stp/>
        <stp>545e2247-f29d-42f8-ba1c-802526abcb7f</stp>
        <tr r="G7950" s="2"/>
      </tp>
    </main>
    <main first="rtdsrv_a82eb5a1fc404542a18b1336b70d2c4e">
      <tp>
        <v>5</v>
        <stp/>
        <stp>f8b62682-0913-4957-be65-0de3a25d9d2d</stp>
        <tr r="G936" s="2"/>
      </tp>
      <tp>
        <v>5</v>
        <stp/>
        <stp>60d2da10-9266-4bfc-9673-44a0cd3dda2f</stp>
        <tr r="G5181" s="2"/>
      </tp>
    </main>
    <main first="rtdsrv_a82eb5a1fc404542a18b1336b70d2c4e">
      <tp>
        <v>5</v>
        <stp/>
        <stp>3abec6db-f6a2-4967-a4e2-18144b34c44d</stp>
        <tr r="G62" s="2"/>
      </tp>
      <tp>
        <v>5</v>
        <stp/>
        <stp>438f8bed-4606-40d9-9285-2f571790b8ff</stp>
        <tr r="G2574" s="2"/>
      </tp>
    </main>
    <main first="rtdsrv_a82eb5a1fc404542a18b1336b70d2c4e">
      <tp>
        <v>5</v>
        <stp/>
        <stp>1d2f89d3-477b-4ddf-98a5-11b04a638358</stp>
        <tr r="G8716" s="2"/>
      </tp>
      <tp>
        <v>5</v>
        <stp/>
        <stp>185baef0-ff22-4fc5-b6cf-6efd3af6adf1</stp>
        <tr r="G2969" s="2"/>
      </tp>
    </main>
    <main first="rtdsrv_a82eb5a1fc404542a18b1336b70d2c4e">
      <tp>
        <v>5</v>
        <stp/>
        <stp>26b396b3-4602-4570-9a61-bce46d5218b7</stp>
        <tr r="G1712" s="2"/>
      </tp>
    </main>
    <main first="rtdsrv_a82eb5a1fc404542a18b1336b70d2c4e">
      <tp>
        <v>5</v>
        <stp/>
        <stp>bc543136-3c04-4457-b003-3c70e16f99bd</stp>
        <tr r="G3992" s="2"/>
      </tp>
    </main>
    <main first="rtdsrv_a82eb5a1fc404542a18b1336b70d2c4e">
      <tp>
        <v>5</v>
        <stp/>
        <stp>1bd989d1-079d-4cc3-93b0-b752ccac6cfd</stp>
        <tr r="G3662" s="2"/>
      </tp>
    </main>
    <main first="rtdsrv_a82eb5a1fc404542a18b1336b70d2c4e">
      <tp>
        <v>5</v>
        <stp/>
        <stp>8fadc11e-0be8-4a7b-b092-edba5df34120</stp>
        <tr r="G5552" s="2"/>
      </tp>
      <tp>
        <v>5</v>
        <stp/>
        <stp>4c9be450-bd62-4835-9c2d-f89736b0e1ad</stp>
        <tr r="G1373" s="2"/>
      </tp>
      <tp>
        <v>5</v>
        <stp/>
        <stp>5460e921-c2da-492b-9325-1d61ae70224e</stp>
        <tr r="G8975" s="2"/>
      </tp>
      <tp>
        <v>5</v>
        <stp/>
        <stp>28dd900e-7acd-406b-bc77-caf452f66443</stp>
        <tr r="G9210" s="2"/>
      </tp>
      <tp>
        <v>5</v>
        <stp/>
        <stp>6456891b-4500-4566-ae30-91dc700220cc</stp>
        <tr r="G2629" s="2"/>
      </tp>
    </main>
    <main first="rtdsrv_a82eb5a1fc404542a18b1336b70d2c4e">
      <tp>
        <v>5</v>
        <stp/>
        <stp>7e971ecf-9e55-4817-bd0a-f28e0ea1fd1b</stp>
        <tr r="G7178" s="2"/>
      </tp>
    </main>
    <main first="rtdsrv_a82eb5a1fc404542a18b1336b70d2c4e">
      <tp>
        <v>5</v>
        <stp/>
        <stp>22485363-540d-41ab-b6fd-cf0c9c2788f7</stp>
        <tr r="G6979" s="2"/>
      </tp>
      <tp>
        <v>5</v>
        <stp/>
        <stp>73feb992-6961-4dc7-924a-3c6a55d09dc9</stp>
        <tr r="G1674" s="2"/>
      </tp>
      <tp>
        <v>5</v>
        <stp/>
        <stp>c80486ce-8d86-4f7f-ae5b-b4a91e42c961</stp>
        <tr r="G6454" s="2"/>
      </tp>
      <tp>
        <v>5</v>
        <stp/>
        <stp>e631da49-a2de-44d9-826e-3ed5b33beb1f</stp>
        <tr r="G3614" s="2"/>
      </tp>
      <tp>
        <v>5</v>
        <stp/>
        <stp>0578b8dc-b4fc-4b44-892b-9670bc427106</stp>
        <tr r="G8079" s="2"/>
      </tp>
    </main>
    <main first="rtdsrv_a82eb5a1fc404542a18b1336b70d2c4e">
      <tp>
        <v>5</v>
        <stp/>
        <stp>4238de01-a748-4d1b-9da5-580857d4a7c3</stp>
        <tr r="G4980" s="2"/>
      </tp>
      <tp>
        <v>5</v>
        <stp/>
        <stp>5975cdfc-eda8-49fe-b38c-56483f7878c5</stp>
        <tr r="G9806" s="2"/>
      </tp>
      <tp>
        <v>5</v>
        <stp/>
        <stp>9aff0572-8bef-46e5-9371-5caa9b6a6bcd</stp>
        <tr r="G2741" s="2"/>
      </tp>
      <tp>
        <v>5</v>
        <stp/>
        <stp>e0542b31-a118-468c-8251-e9a7677feff0</stp>
        <tr r="G8778" s="2"/>
      </tp>
    </main>
    <main first="rtdsrv_a82eb5a1fc404542a18b1336b70d2c4e">
      <tp>
        <v>5</v>
        <stp/>
        <stp>b85ee5db-fd4e-4c03-a705-b0725d288128</stp>
        <tr r="G7793" s="2"/>
      </tp>
    </main>
    <main first="rtdsrv_a82eb5a1fc404542a18b1336b70d2c4e">
      <tp>
        <v>5</v>
        <stp/>
        <stp>b31d5d72-6a69-4938-a199-faa9a8898401</stp>
        <tr r="G8068" s="2"/>
      </tp>
      <tp>
        <v>5</v>
        <stp/>
        <stp>5503b417-0362-4085-8b55-930a1966166d</stp>
        <tr r="G797" s="2"/>
      </tp>
      <tp>
        <v>5</v>
        <stp/>
        <stp>d5ff2f5a-aeab-442a-9e0a-a43cf9edac6e</stp>
        <tr r="G3982" s="2"/>
      </tp>
    </main>
    <main first="rtdsrv_a82eb5a1fc404542a18b1336b70d2c4e">
      <tp>
        <v>5</v>
        <stp/>
        <stp>7a66202c-764f-4599-b92d-aeceb7344210</stp>
        <tr r="G2377" s="2"/>
      </tp>
    </main>
    <main first="rtdsrv_a82eb5a1fc404542a18b1336b70d2c4e">
      <tp>
        <v>5</v>
        <stp/>
        <stp>5368c53f-5591-4db4-879f-61a02c31ca3c</stp>
        <tr r="G2842" s="2"/>
      </tp>
      <tp>
        <v>5</v>
        <stp/>
        <stp>3c8e704a-989b-4062-b220-6abf94e7224e</stp>
        <tr r="G6808" s="2"/>
      </tp>
    </main>
    <main first="rtdsrv_a82eb5a1fc404542a18b1336b70d2c4e">
      <tp>
        <v>5</v>
        <stp/>
        <stp>e547e6d6-8480-4bca-9096-b4c22cd539ed</stp>
        <tr r="G1693" s="2"/>
      </tp>
      <tp>
        <v>5</v>
        <stp/>
        <stp>493b87a0-f016-403f-a56d-cbda4c1a74c0</stp>
        <tr r="G777" s="2"/>
      </tp>
    </main>
    <main first="rtdsrv_a82eb5a1fc404542a18b1336b70d2c4e">
      <tp>
        <v>5</v>
        <stp/>
        <stp>7be9eeae-23da-467e-9683-c58d3a5de199</stp>
        <tr r="G3556" s="2"/>
      </tp>
      <tp>
        <v>5</v>
        <stp/>
        <stp>786586a0-fa74-472f-9715-9a10ea348217</stp>
        <tr r="G6752" s="2"/>
      </tp>
    </main>
    <main first="rtdsrv_a82eb5a1fc404542a18b1336b70d2c4e">
      <tp>
        <v>5</v>
        <stp/>
        <stp>6cb32cc9-cf0f-4c26-b65e-47aef8667bec</stp>
        <tr r="G8324" s="2"/>
      </tp>
    </main>
    <main first="rtdsrv_a82eb5a1fc404542a18b1336b70d2c4e">
      <tp>
        <v>5</v>
        <stp/>
        <stp>3e41d9a9-02b6-45ed-8770-9a05e5b1af55</stp>
        <tr r="G3375" s="2"/>
      </tp>
    </main>
    <main first="rtdsrv_a82eb5a1fc404542a18b1336b70d2c4e">
      <tp>
        <v>5</v>
        <stp/>
        <stp>5da4d246-8f7f-4c7b-8120-8c0cbba092bc</stp>
        <tr r="G9924" s="2"/>
      </tp>
    </main>
    <main first="rtdsrv_a82eb5a1fc404542a18b1336b70d2c4e">
      <tp>
        <v>5</v>
        <stp/>
        <stp>4684d4e2-9a78-4bc5-945c-cf9b32255bdc</stp>
        <tr r="G4988" s="2"/>
      </tp>
      <tp>
        <v>5</v>
        <stp/>
        <stp>ef748801-e6be-4156-bfe3-9060db131743</stp>
        <tr r="G209" s="2"/>
      </tp>
      <tp>
        <v>5</v>
        <stp/>
        <stp>29e3e4ab-07bd-45cd-a85e-14000e6f70a7</stp>
        <tr r="G4670" s="2"/>
      </tp>
      <tp>
        <v>5</v>
        <stp/>
        <stp>20624cb8-74f1-4c56-a687-0cc3a0dc84a0</stp>
        <tr r="G7890" s="2"/>
      </tp>
      <tp>
        <v>5</v>
        <stp/>
        <stp>5c95b514-91b1-40b1-9235-76728c24758b</stp>
        <tr r="G1228" s="2"/>
      </tp>
      <tp>
        <v>5</v>
        <stp/>
        <stp>09504e11-974f-4a03-b95c-3561dcee4824</stp>
        <tr r="G4569" s="2"/>
      </tp>
    </main>
    <main first="rtdsrv_a82eb5a1fc404542a18b1336b70d2c4e">
      <tp>
        <v>5</v>
        <stp/>
        <stp>d49825f8-7031-4e74-95fb-999e8e41c51f</stp>
        <tr r="G9473" s="2"/>
      </tp>
      <tp>
        <v>5</v>
        <stp/>
        <stp>a59ccc42-b2c0-4ae8-9baa-278d25db9b33</stp>
        <tr r="G7883" s="2"/>
      </tp>
    </main>
    <main first="rtdsrv_a82eb5a1fc404542a18b1336b70d2c4e">
      <tp>
        <v>5</v>
        <stp/>
        <stp>4aae3cde-4e9f-4a18-839c-2327e1089805</stp>
        <tr r="G1327" s="2"/>
      </tp>
      <tp>
        <v>5</v>
        <stp/>
        <stp>a5d06d57-aa92-48f6-96be-d944e4a1cd1a</stp>
        <tr r="G9120" s="2"/>
      </tp>
      <tp>
        <v>5</v>
        <stp/>
        <stp>bac139b9-41c9-472e-9997-4414615d5810</stp>
        <tr r="G7339" s="2"/>
      </tp>
      <tp>
        <v>5</v>
        <stp/>
        <stp>b0c9e43a-e59f-4e82-8d17-880faf2871bd</stp>
        <tr r="G7948" s="2"/>
      </tp>
      <tp>
        <v>5</v>
        <stp/>
        <stp>d8b82607-ebd8-4f0f-96bf-32e10e330526</stp>
        <tr r="G6842" s="2"/>
      </tp>
      <tp>
        <v>5</v>
        <stp/>
        <stp>defa32e3-8afe-42a3-abd2-06eea05aa32c</stp>
        <tr r="G703" s="2"/>
      </tp>
    </main>
    <main first="rtdsrv_a82eb5a1fc404542a18b1336b70d2c4e">
      <tp>
        <v>5</v>
        <stp/>
        <stp>3917b52d-fe3e-4621-b7c3-46a8a4ba27dc</stp>
        <tr r="G9698" s="2"/>
      </tp>
    </main>
    <main first="rtdsrv_a82eb5a1fc404542a18b1336b70d2c4e">
      <tp>
        <v>5</v>
        <stp/>
        <stp>8ac3be04-ba26-48c9-8d27-3e34a1367479</stp>
        <tr r="G8352" s="2"/>
      </tp>
      <tp>
        <v>5</v>
        <stp/>
        <stp>de19d24d-8c50-4fd7-8fcd-e76930e7b1c1</stp>
        <tr r="G4757" s="2"/>
      </tp>
    </main>
    <main first="rtdsrv_a82eb5a1fc404542a18b1336b70d2c4e">
      <tp>
        <v>5</v>
        <stp/>
        <stp>d66c6092-a528-42cc-b9d9-e8410ffa13c6</stp>
        <tr r="G6142" s="2"/>
      </tp>
      <tp>
        <v>5</v>
        <stp/>
        <stp>5baef56c-1e1f-40b7-b830-5d8d6291191a</stp>
        <tr r="G540" s="2"/>
      </tp>
      <tp>
        <v>5</v>
        <stp/>
        <stp>a7fedae8-6391-497d-b0f5-960f6a691812</stp>
        <tr r="G44" s="2"/>
      </tp>
      <tp>
        <v>5</v>
        <stp/>
        <stp>d8a8a5dd-84e6-4bc7-b3b5-f61a59c0ebd4</stp>
        <tr r="G566" s="2"/>
      </tp>
      <tp>
        <v>5</v>
        <stp/>
        <stp>0c3d5856-b5e1-44f8-a66b-a840ede8af26</stp>
        <tr r="G8095" s="2"/>
      </tp>
      <tp>
        <v>5</v>
        <stp/>
        <stp>36ebc02b-f3d0-4449-8f41-c332d77aadcf</stp>
        <tr r="G7993" s="2"/>
      </tp>
      <tp>
        <v>5</v>
        <stp/>
        <stp>492c410c-1a73-470d-8d61-43d7ad0ae140</stp>
        <tr r="G9648" s="2"/>
      </tp>
    </main>
    <main first="rtdsrv_a82eb5a1fc404542a18b1336b70d2c4e">
      <tp>
        <v>5</v>
        <stp/>
        <stp>00ac1614-60dc-4063-937c-d618b86b777f</stp>
        <tr r="G4662" s="2"/>
      </tp>
    </main>
    <main first="rtdsrv_a82eb5a1fc404542a18b1336b70d2c4e">
      <tp>
        <v>5</v>
        <stp/>
        <stp>0f061968-c72b-413f-ae0e-aa04f024c6eb</stp>
        <tr r="G9679" s="2"/>
      </tp>
      <tp>
        <v>5</v>
        <stp/>
        <stp>6fe8be26-3203-4075-845d-58a42679d3d4</stp>
        <tr r="G8202" s="2"/>
      </tp>
      <tp>
        <v>5</v>
        <stp/>
        <stp>b17864ed-0f00-461c-a7b7-09fe4bd32b2d</stp>
        <tr r="G8138" s="2"/>
      </tp>
      <tp>
        <v>5</v>
        <stp/>
        <stp>3e45616c-8f6b-4beb-812e-a46c576a2222</stp>
        <tr r="G9612" s="2"/>
      </tp>
    </main>
    <main first="rtdsrv_a82eb5a1fc404542a18b1336b70d2c4e">
      <tp>
        <v>5</v>
        <stp/>
        <stp>9bc1cc26-9acd-408a-9954-076f57b10ac1</stp>
        <tr r="G8430" s="2"/>
      </tp>
      <tp>
        <v>5</v>
        <stp/>
        <stp>df13f377-6348-455c-b285-0a3ad6453b4f</stp>
        <tr r="G3025" s="2"/>
      </tp>
      <tp>
        <v>5</v>
        <stp/>
        <stp>1518ec45-3a93-4109-b6ae-caea4b4cc3c3</stp>
        <tr r="G7876" s="2"/>
      </tp>
    </main>
    <main first="rtdsrv_a82eb5a1fc404542a18b1336b70d2c4e">
      <tp>
        <v>5</v>
        <stp/>
        <stp>3a5a097c-c45f-4e3d-a1d2-cad4b3f57d5e</stp>
        <tr r="G2129" s="2"/>
      </tp>
      <tp>
        <v>5</v>
        <stp/>
        <stp>02d4c360-3b1a-4682-b002-d34d7855060b</stp>
        <tr r="G6032" s="2"/>
      </tp>
      <tp>
        <v>5</v>
        <stp/>
        <stp>40a0d7d5-5c10-4545-a756-b5cd9335e93b</stp>
        <tr r="G7193" s="2"/>
      </tp>
    </main>
    <main first="rtdsrv_a82eb5a1fc404542a18b1336b70d2c4e">
      <tp>
        <v>5</v>
        <stp/>
        <stp>82d5122c-4b0b-4aa9-9e29-9184850cd663</stp>
        <tr r="G870" s="2"/>
      </tp>
    </main>
    <main first="rtdsrv_a82eb5a1fc404542a18b1336b70d2c4e">
      <tp>
        <v>5</v>
        <stp/>
        <stp>9987f6bf-0a70-4eac-a798-34df288cfd3c</stp>
        <tr r="G264" s="2"/>
      </tp>
      <tp>
        <v>5</v>
        <stp/>
        <stp>a622eb5e-9df9-439d-bb59-65acbeab2a6e</stp>
        <tr r="G4173" s="2"/>
      </tp>
      <tp>
        <v>5</v>
        <stp/>
        <stp>a23cb445-1f64-4bfb-a617-1a3fe98b311b</stp>
        <tr r="G5209" s="2"/>
      </tp>
    </main>
    <main first="rtdsrv_a82eb5a1fc404542a18b1336b70d2c4e">
      <tp>
        <v>5</v>
        <stp/>
        <stp>76e1cc76-6cec-40c5-a496-adaa312c0782</stp>
        <tr r="G6449" s="2"/>
      </tp>
    </main>
    <main first="rtdsrv_a82eb5a1fc404542a18b1336b70d2c4e">
      <tp>
        <v>5</v>
        <stp/>
        <stp>e646eea1-e8b3-4cb9-854a-757a13f6501f</stp>
        <tr r="G4296" s="2"/>
      </tp>
    </main>
    <main first="rtdsrv_a82eb5a1fc404542a18b1336b70d2c4e">
      <tp>
        <v>5</v>
        <stp/>
        <stp>86e79d0c-dd62-42f9-abf6-d6ee9d7a469e</stp>
        <tr r="G8094" s="2"/>
      </tp>
    </main>
    <main first="rtdsrv_a82eb5a1fc404542a18b1336b70d2c4e">
      <tp>
        <v>5</v>
        <stp/>
        <stp>d934748f-c087-4eb5-9a1d-86a6e2d4ac79</stp>
        <tr r="G8457" s="2"/>
      </tp>
    </main>
    <main first="rtdsrv_a82eb5a1fc404542a18b1336b70d2c4e">
      <tp>
        <v>5</v>
        <stp/>
        <stp>985a8fc8-1e4c-4327-a5f2-b197170ca5ec</stp>
        <tr r="G7963" s="2"/>
      </tp>
    </main>
    <main first="rtdsrv_a82eb5a1fc404542a18b1336b70d2c4e">
      <tp>
        <v>5</v>
        <stp/>
        <stp>31232c6b-8fb7-451f-8337-ba4527494d88</stp>
        <tr r="G3538" s="2"/>
      </tp>
      <tp>
        <v>5</v>
        <stp/>
        <stp>f4bbe155-8e3f-43f1-8a1a-16dc8e9c7cce</stp>
        <tr r="G656" s="2"/>
      </tp>
      <tp>
        <v>5</v>
        <stp/>
        <stp>3fdeeedc-3954-4e8f-8abc-5863c64e0753</stp>
        <tr r="G1915" s="2"/>
      </tp>
    </main>
    <main first="rtdsrv_a82eb5a1fc404542a18b1336b70d2c4e">
      <tp>
        <v>5</v>
        <stp/>
        <stp>25029c0f-997d-4b71-85df-f7191574554f</stp>
        <tr r="G3011" s="2"/>
      </tp>
      <tp>
        <v>5</v>
        <stp/>
        <stp>9d0338f6-bbf6-42d7-9a87-03eee924869d</stp>
        <tr r="G7962" s="2"/>
      </tp>
    </main>
    <main first="rtdsrv_a82eb5a1fc404542a18b1336b70d2c4e">
      <tp>
        <v>5</v>
        <stp/>
        <stp>e708b0e7-3f66-4834-8acc-b99e5b169555</stp>
        <tr r="G5066" s="2"/>
      </tp>
    </main>
    <main first="rtdsrv_a82eb5a1fc404542a18b1336b70d2c4e">
      <tp>
        <v>5</v>
        <stp/>
        <stp>12798fb8-a15c-4eea-b7d9-e9cace615aff</stp>
        <tr r="G6155" s="2"/>
      </tp>
      <tp>
        <v>5</v>
        <stp/>
        <stp>6219e524-ccf5-4907-b09c-c209d1e67d89</stp>
        <tr r="G1282" s="2"/>
      </tp>
    </main>
    <main first="rtdsrv_a82eb5a1fc404542a18b1336b70d2c4e">
      <tp>
        <v>5</v>
        <stp/>
        <stp>3455955e-f58a-4076-9eff-120d2057a882</stp>
        <tr r="G9931" s="2"/>
      </tp>
    </main>
    <main first="rtdsrv_a82eb5a1fc404542a18b1336b70d2c4e">
      <tp>
        <v>5</v>
        <stp/>
        <stp>994e3f0d-4012-49fc-9d7a-b334328e930c</stp>
        <tr r="G7894" s="2"/>
      </tp>
      <tp>
        <v>5</v>
        <stp/>
        <stp>1cb38005-c8ea-4144-9afe-bd48e9d0921a</stp>
        <tr r="G7110" s="2"/>
      </tp>
    </main>
    <main first="rtdsrv_a82eb5a1fc404542a18b1336b70d2c4e">
      <tp>
        <v>5</v>
        <stp/>
        <stp>6b61902f-cb2d-44a6-8ba3-4e06873b4980</stp>
        <tr r="G396" s="2"/>
      </tp>
    </main>
    <main first="rtdsrv_a82eb5a1fc404542a18b1336b70d2c4e">
      <tp>
        <v>5</v>
        <stp/>
        <stp>9e28875f-eef4-4be8-a747-4fa3dcbe038e</stp>
        <tr r="G4630" s="2"/>
      </tp>
    </main>
    <main first="rtdsrv_a82eb5a1fc404542a18b1336b70d2c4e">
      <tp>
        <v>5</v>
        <stp/>
        <stp>61bfb829-563b-4775-8282-f44a797c4190</stp>
        <tr r="G5320" s="2"/>
      </tp>
    </main>
    <main first="rtdsrv_a82eb5a1fc404542a18b1336b70d2c4e">
      <tp>
        <v>5</v>
        <stp/>
        <stp>2299452f-c963-4f48-93ab-b76fb20d0598</stp>
        <tr r="G5469" s="2"/>
      </tp>
    </main>
    <main first="rtdsrv_a82eb5a1fc404542a18b1336b70d2c4e">
      <tp>
        <v>5</v>
        <stp/>
        <stp>60ae0583-e322-4b33-8855-4a50884dd21b</stp>
        <tr r="G1919" s="2"/>
      </tp>
    </main>
    <main first="rtdsrv_a82eb5a1fc404542a18b1336b70d2c4e">
      <tp>
        <v>5</v>
        <stp/>
        <stp>3fe66265-b379-47f7-9bc2-9c3365834961</stp>
        <tr r="G6177" s="2"/>
      </tp>
      <tp>
        <v>5</v>
        <stp/>
        <stp>04370df9-1334-49d1-ab77-ff0b0587c96e</stp>
        <tr r="G5788" s="2"/>
      </tp>
    </main>
    <main first="rtdsrv_a82eb5a1fc404542a18b1336b70d2c4e">
      <tp>
        <v>5</v>
        <stp/>
        <stp>c31edd96-b403-45c3-b0f4-a036fef1b82a</stp>
        <tr r="G952" s="2"/>
      </tp>
    </main>
    <main first="rtdsrv_a82eb5a1fc404542a18b1336b70d2c4e">
      <tp>
        <v>5</v>
        <stp/>
        <stp>8c1a9405-d65f-4904-a204-093f919272f5</stp>
        <tr r="G1765" s="2"/>
      </tp>
      <tp>
        <v>5</v>
        <stp/>
        <stp>499f371b-dd41-4503-9e5a-a0e8ad3f2548</stp>
        <tr r="G9778" s="2"/>
      </tp>
      <tp>
        <v>5</v>
        <stp/>
        <stp>daea7f85-a962-469d-862b-e11ec8ac9491</stp>
        <tr r="G1899" s="2"/>
      </tp>
    </main>
    <main first="rtdsrv_a82eb5a1fc404542a18b1336b70d2c4e">
      <tp>
        <v>5</v>
        <stp/>
        <stp>d5341ca5-1b24-4ce4-88b2-e87865e0718d</stp>
        <tr r="G896" s="2"/>
      </tp>
      <tp>
        <v>5</v>
        <stp/>
        <stp>f1101bf3-7472-4d2a-9479-89b3126824fd</stp>
        <tr r="G3461" s="2"/>
      </tp>
      <tp>
        <v>5</v>
        <stp/>
        <stp>01214af9-df4a-4027-8ebe-598723637f16</stp>
        <tr r="G711" s="2"/>
      </tp>
    </main>
    <main first="rtdsrv_a82eb5a1fc404542a18b1336b70d2c4e">
      <tp>
        <v>5</v>
        <stp/>
        <stp>a0375913-4889-4f04-9146-4fc3752ebc52</stp>
        <tr r="G8075" s="2"/>
      </tp>
    </main>
    <main first="rtdsrv_a82eb5a1fc404542a18b1336b70d2c4e">
      <tp>
        <v>5</v>
        <stp/>
        <stp>1141a039-8827-4fb5-93b5-c2d2fee804cc</stp>
        <tr r="G7808" s="2"/>
      </tp>
      <tp>
        <v>5</v>
        <stp/>
        <stp>f7936cec-8109-4925-aa23-8c2054a6f1e3</stp>
        <tr r="G8151" s="2"/>
      </tp>
    </main>
    <main first="rtdsrv_a82eb5a1fc404542a18b1336b70d2c4e">
      <tp>
        <v>5</v>
        <stp/>
        <stp>81f7db6c-5ba0-4f23-a929-b77429040dd8</stp>
        <tr r="G7131" s="2"/>
      </tp>
    </main>
    <main first="rtdsrv_a82eb5a1fc404542a18b1336b70d2c4e">
      <tp>
        <v>5</v>
        <stp/>
        <stp>60e054c8-e3ac-407d-8983-1a769ca07287</stp>
        <tr r="G4562" s="2"/>
      </tp>
      <tp>
        <v>5</v>
        <stp/>
        <stp>f1a363dc-c399-4b90-96ee-988e4107a033</stp>
        <tr r="G3480" s="2"/>
      </tp>
    </main>
    <main first="rtdsrv_a82eb5a1fc404542a18b1336b70d2c4e">
      <tp>
        <v>5</v>
        <stp/>
        <stp>3add7958-2d06-45a9-9e7f-726d6c43f887</stp>
        <tr r="G2417" s="2"/>
      </tp>
      <tp>
        <v>5</v>
        <stp/>
        <stp>edbd0016-ced4-476c-8f80-a04c659a8db9</stp>
        <tr r="G4184" s="2"/>
      </tp>
      <tp>
        <v>5</v>
        <stp/>
        <stp>441450ca-0fd8-4939-8bd9-8a21df4f7cbe</stp>
        <tr r="G8698" s="2"/>
      </tp>
      <tp>
        <v>5</v>
        <stp/>
        <stp>3058d58e-42af-4d27-9a95-d566aec8eb6c</stp>
        <tr r="G8242" s="2"/>
      </tp>
    </main>
    <main first="rtdsrv_a82eb5a1fc404542a18b1336b70d2c4e">
      <tp>
        <v>5</v>
        <stp/>
        <stp>fa6610a4-23ee-472c-9a6d-297f13fc618f</stp>
        <tr r="G2194" s="2"/>
      </tp>
    </main>
    <main first="rtdsrv_a82eb5a1fc404542a18b1336b70d2c4e">
      <tp>
        <v>5</v>
        <stp/>
        <stp>738d591a-a06e-4025-8459-d0299d8b72c4</stp>
        <tr r="G3641" s="2"/>
      </tp>
    </main>
    <main first="rtdsrv_a82eb5a1fc404542a18b1336b70d2c4e">
      <tp>
        <v>5</v>
        <stp/>
        <stp>ed06905f-20c7-4c7c-b1e7-7f6493ec1889</stp>
        <tr r="G7051" s="2"/>
      </tp>
    </main>
    <main first="rtdsrv_a82eb5a1fc404542a18b1336b70d2c4e">
      <tp>
        <v>5</v>
        <stp/>
        <stp>a2941a60-2f2f-4494-a331-494800c39bf1</stp>
        <tr r="G5714" s="2"/>
      </tp>
    </main>
    <main first="rtdsrv_a82eb5a1fc404542a18b1336b70d2c4e">
      <tp>
        <v>5</v>
        <stp/>
        <stp>ec1a9e9b-1526-4753-b41f-90a05808c0c6</stp>
        <tr r="G4770" s="2"/>
      </tp>
    </main>
    <main first="rtdsrv_a82eb5a1fc404542a18b1336b70d2c4e">
      <tp>
        <v>5</v>
        <stp/>
        <stp>3046a2c7-d8fa-4954-9384-c34ef7a63cd7</stp>
        <tr r="G6647" s="2"/>
      </tp>
    </main>
    <main first="rtdsrv_a82eb5a1fc404542a18b1336b70d2c4e">
      <tp>
        <v>5</v>
        <stp/>
        <stp>f811abe3-7b1d-4953-b21b-2754e42c5a91</stp>
        <tr r="G623" s="2"/>
      </tp>
    </main>
    <main first="rtdsrv_a82eb5a1fc404542a18b1336b70d2c4e">
      <tp>
        <v>5</v>
        <stp/>
        <stp>fe655780-90b5-4bbb-b556-31283f5acfe7</stp>
        <tr r="G3048" s="2"/>
      </tp>
    </main>
    <main first="rtdsrv_a82eb5a1fc404542a18b1336b70d2c4e">
      <tp>
        <v>5</v>
        <stp/>
        <stp>41687b9f-9845-490a-b850-8b5612991caf</stp>
        <tr r="G9014" s="2"/>
      </tp>
      <tp>
        <v>5</v>
        <stp/>
        <stp>8052e484-9c66-4299-90f5-136dfdb018e7</stp>
        <tr r="G1862" s="2"/>
      </tp>
    </main>
    <main first="rtdsrv_a82eb5a1fc404542a18b1336b70d2c4e">
      <tp>
        <v>5</v>
        <stp/>
        <stp>3b23d5f1-9772-46f5-a2f4-a53b9f947c64</stp>
        <tr r="G4125" s="2"/>
      </tp>
    </main>
    <main first="rtdsrv_a82eb5a1fc404542a18b1336b70d2c4e">
      <tp>
        <v>5</v>
        <stp/>
        <stp>e2981fb6-e3b7-48d0-8c95-57df4377e1e4</stp>
        <tr r="G7375" s="2"/>
      </tp>
      <tp>
        <v>5</v>
        <stp/>
        <stp>e459d836-88ad-4b7e-aab6-503a796f77fc</stp>
        <tr r="G5875" s="2"/>
      </tp>
    </main>
    <main first="rtdsrv_a82eb5a1fc404542a18b1336b70d2c4e">
      <tp>
        <v>5</v>
        <stp/>
        <stp>adccc469-e49b-473a-be8a-b36f77836ee5</stp>
        <tr r="G7553" s="2"/>
      </tp>
    </main>
    <main first="rtdsrv_a82eb5a1fc404542a18b1336b70d2c4e">
      <tp>
        <v>5</v>
        <stp/>
        <stp>a9ff4290-1103-4866-8374-0a7943376d56</stp>
        <tr r="G2486" s="2"/>
      </tp>
      <tp>
        <v>5</v>
        <stp/>
        <stp>e2909fff-8bbb-4656-832b-eefae50a55bb</stp>
        <tr r="G9231" s="2"/>
      </tp>
    </main>
    <main first="rtdsrv_a82eb5a1fc404542a18b1336b70d2c4e">
      <tp>
        <v>5</v>
        <stp/>
        <stp>9b75bd57-9a2b-4621-963e-f65954be525e</stp>
        <tr r="G4009" s="2"/>
      </tp>
    </main>
    <main first="rtdsrv_a82eb5a1fc404542a18b1336b70d2c4e">
      <tp>
        <v>5</v>
        <stp/>
        <stp>f6bab7d5-f901-494c-9ecc-6978078e3d79</stp>
        <tr r="G3799" s="2"/>
      </tp>
      <tp>
        <v>5</v>
        <stp/>
        <stp>fa3d430b-ec9f-4e9e-8afe-b913afad7f19</stp>
        <tr r="G9627" s="2"/>
      </tp>
      <tp>
        <v>5</v>
        <stp/>
        <stp>f578f8ac-70a7-4102-a215-945d926a924c</stp>
        <tr r="G4574" s="2"/>
      </tp>
    </main>
    <main first="rtdsrv_a82eb5a1fc404542a18b1336b70d2c4e">
      <tp>
        <v>5</v>
        <stp/>
        <stp>571809ab-6d4f-4229-aecf-e914cc410531</stp>
        <tr r="G1671" s="2"/>
      </tp>
    </main>
    <main first="rtdsrv_a82eb5a1fc404542a18b1336b70d2c4e">
      <tp>
        <v>5</v>
        <stp/>
        <stp>a41efb51-4e0e-4a12-a03c-94425b0b98be</stp>
        <tr r="G2882" s="2"/>
      </tp>
    </main>
    <main first="rtdsrv_a82eb5a1fc404542a18b1336b70d2c4e">
      <tp>
        <v>5</v>
        <stp/>
        <stp>0748043c-8c2e-4b7f-a5d6-513570ae55dd</stp>
        <tr r="G3651" s="2"/>
      </tp>
      <tp>
        <v>5</v>
        <stp/>
        <stp>8447452a-c6f2-4ecb-8fa5-5a6799d4c430</stp>
        <tr r="G7151" s="2"/>
      </tp>
    </main>
    <main first="rtdsrv_a82eb5a1fc404542a18b1336b70d2c4e">
      <tp>
        <v>5</v>
        <stp/>
        <stp>02968240-bfe6-4fab-8d35-2ed718f7dc8d</stp>
        <tr r="G8944" s="2"/>
      </tp>
    </main>
    <main first="rtdsrv_a82eb5a1fc404542a18b1336b70d2c4e">
      <tp>
        <v>5</v>
        <stp/>
        <stp>d0e9a900-71c9-46d4-86bd-9eac7ee33ea3</stp>
        <tr r="G4812" s="2"/>
      </tp>
      <tp>
        <v>5</v>
        <stp/>
        <stp>c8a209e7-91f2-416b-b175-84b62cabb7fc</stp>
        <tr r="G15" s="2"/>
      </tp>
    </main>
    <main first="rtdsrv_a82eb5a1fc404542a18b1336b70d2c4e">
      <tp>
        <v>5</v>
        <stp/>
        <stp>f9c193e8-b5bc-47b7-9b09-6e6ffca6ad86</stp>
        <tr r="G899" s="2"/>
      </tp>
      <tp>
        <v>5</v>
        <stp/>
        <stp>d44c036c-cead-4c46-8bda-5703395c55ff</stp>
        <tr r="G4934" s="2"/>
      </tp>
    </main>
    <main first="rtdsrv_a82eb5a1fc404542a18b1336b70d2c4e">
      <tp>
        <v>5</v>
        <stp/>
        <stp>27cbeca0-34f0-4b8d-a76f-e33959ca92eb</stp>
        <tr r="G1564" s="2"/>
      </tp>
    </main>
    <main first="rtdsrv_a82eb5a1fc404542a18b1336b70d2c4e">
      <tp>
        <v>5</v>
        <stp/>
        <stp>cc9382c2-8550-4860-b331-377bcb8c5243</stp>
        <tr r="G9515" s="2"/>
      </tp>
    </main>
    <main first="rtdsrv_a82eb5a1fc404542a18b1336b70d2c4e">
      <tp>
        <v>5</v>
        <stp/>
        <stp>d607d5a3-d22b-4048-9480-cf67e49b6894</stp>
        <tr r="G7801" s="2"/>
      </tp>
      <tp>
        <v>5</v>
        <stp/>
        <stp>1016c8bb-9520-4c7c-98d6-5bd4f8550adb</stp>
        <tr r="G5546" s="2"/>
      </tp>
    </main>
    <main first="rtdsrv_a82eb5a1fc404542a18b1336b70d2c4e">
      <tp>
        <v>5</v>
        <stp/>
        <stp>e8e9f058-938d-44b5-89a0-32f2db3d38c8</stp>
        <tr r="G5518" s="2"/>
      </tp>
    </main>
    <main first="rtdsrv_a82eb5a1fc404542a18b1336b70d2c4e">
      <tp>
        <v>5</v>
        <stp/>
        <stp>5fd8c29a-8aaf-4303-8056-82afec5c3680</stp>
        <tr r="G8141" s="2"/>
      </tp>
      <tp>
        <v>5</v>
        <stp/>
        <stp>5284a84d-d83b-4a91-ad7d-0d3617c0a6fe</stp>
        <tr r="G4896" s="2"/>
      </tp>
    </main>
    <main first="rtdsrv_a82eb5a1fc404542a18b1336b70d2c4e">
      <tp>
        <v>5</v>
        <stp/>
        <stp>1b13df14-0ac3-43d5-93b1-9bf7d518a9aa</stp>
        <tr r="G4897" s="2"/>
      </tp>
      <tp>
        <v>5</v>
        <stp/>
        <stp>4742a2c9-08a5-4521-928e-744336ae4391</stp>
        <tr r="G706" s="2"/>
      </tp>
    </main>
    <main first="rtdsrv_a82eb5a1fc404542a18b1336b70d2c4e">
      <tp>
        <v>5</v>
        <stp/>
        <stp>9c42fa7d-8a04-4f8e-9f63-bbca876ee1b7</stp>
        <tr r="G2791" s="2"/>
      </tp>
    </main>
    <main first="rtdsrv_a82eb5a1fc404542a18b1336b70d2c4e">
      <tp>
        <v>5</v>
        <stp/>
        <stp>5d353333-8e8a-4edc-a3d0-ced5d36e13a0</stp>
        <tr r="G4499" s="2"/>
      </tp>
    </main>
    <main first="rtdsrv_a82eb5a1fc404542a18b1336b70d2c4e">
      <tp>
        <v>5</v>
        <stp/>
        <stp>6b1db5f1-f4d9-46fd-928b-d0e532028b2b</stp>
        <tr r="G6082" s="2"/>
      </tp>
      <tp>
        <v>5</v>
        <stp/>
        <stp>17cff43f-98ec-4e62-8904-c305be900c28</stp>
        <tr r="G8894" s="2"/>
      </tp>
    </main>
    <main first="rtdsrv_a82eb5a1fc404542a18b1336b70d2c4e">
      <tp>
        <v>5</v>
        <stp/>
        <stp>6f3d8fca-35d8-41c6-a7b5-59662a843291</stp>
        <tr r="G8839" s="2"/>
      </tp>
      <tp>
        <v>5</v>
        <stp/>
        <stp>fbb92f4c-cbb5-4ab4-8980-a1af8aa256c7</stp>
        <tr r="G7916" s="2"/>
      </tp>
    </main>
    <main first="rtdsrv_a82eb5a1fc404542a18b1336b70d2c4e">
      <tp>
        <v>5</v>
        <stp/>
        <stp>15e72419-e0e8-43a8-9340-567487bf2df0</stp>
        <tr r="G9325" s="2"/>
      </tp>
    </main>
    <main first="rtdsrv_a82eb5a1fc404542a18b1336b70d2c4e">
      <tp>
        <v>5</v>
        <stp/>
        <stp>89e89dc8-8600-4509-81fe-f46e300dc340</stp>
        <tr r="G6139" s="2"/>
      </tp>
    </main>
    <main first="rtdsrv_a82eb5a1fc404542a18b1336b70d2c4e">
      <tp>
        <v>5</v>
        <stp/>
        <stp>d9ba7a6e-d6be-47fd-84a6-ba16ef57637f</stp>
        <tr r="G7072" s="2"/>
      </tp>
      <tp>
        <v>5</v>
        <stp/>
        <stp>6d1d801b-5f0d-4ec1-9330-398c4212fe83</stp>
        <tr r="G3883" s="2"/>
      </tp>
      <tp>
        <v>5</v>
        <stp/>
        <stp>cc290dfb-1b12-4162-abcb-774eeed428cb</stp>
        <tr r="G463" s="2"/>
      </tp>
      <tp>
        <v>5</v>
        <stp/>
        <stp>9a65d3f0-a26a-4fa1-9b1a-aec53c2f3856</stp>
        <tr r="G5907" s="2"/>
      </tp>
      <tp>
        <v>5</v>
        <stp/>
        <stp>271fa9bc-fcdb-483d-9e60-46dcaea0bdb8</stp>
        <tr r="G1357" s="2"/>
      </tp>
      <tp>
        <v>5</v>
        <stp/>
        <stp>0845477e-bebb-41b7-b52b-0c3f073161cc</stp>
        <tr r="G4249" s="2"/>
      </tp>
    </main>
    <main first="rtdsrv_a82eb5a1fc404542a18b1336b70d2c4e">
      <tp>
        <v>5</v>
        <stp/>
        <stp>87f70ed9-3758-4599-9dcf-6fd3af45d6df</stp>
        <tr r="G1708" s="2"/>
      </tp>
    </main>
    <main first="rtdsrv_a82eb5a1fc404542a18b1336b70d2c4e">
      <tp>
        <v>5</v>
        <stp/>
        <stp>bc733dff-abcf-4508-b5ee-6a56ae375272</stp>
        <tr r="G9591" s="2"/>
      </tp>
      <tp>
        <v>5</v>
        <stp/>
        <stp>c4889c82-d14c-49ac-a204-aafb08ac04e4</stp>
        <tr r="G7161" s="2"/>
      </tp>
      <tp>
        <v>5</v>
        <stp/>
        <stp>ecbe4fac-0459-445f-8ce1-45a016e2e8ec</stp>
        <tr r="G5293" s="2"/>
      </tp>
      <tp>
        <v>5</v>
        <stp/>
        <stp>ad375a4e-6b35-4af8-afe3-b6bd53199fbb</stp>
        <tr r="G486" s="2"/>
      </tp>
      <tp>
        <v>5</v>
        <stp/>
        <stp>073270c8-7a36-4793-a6a1-69f0ba2d373d</stp>
        <tr r="G5172" s="2"/>
      </tp>
      <tp>
        <v>5</v>
        <stp/>
        <stp>08b02bf9-c29f-414f-a48b-a0a5b9e3dc79</stp>
        <tr r="G7780" s="2"/>
      </tp>
      <tp>
        <v>5</v>
        <stp/>
        <stp>617a44cf-9141-4797-9723-13e19bf05e2e</stp>
        <tr r="G6561" s="2"/>
      </tp>
      <tp>
        <v>5</v>
        <stp/>
        <stp>f59f33a8-b297-4686-b893-fd121a85ec00</stp>
        <tr r="G2772" s="2"/>
      </tp>
      <tp>
        <v>5</v>
        <stp/>
        <stp>b731f4f9-4e70-4937-b772-0b77e96b4ac4</stp>
        <tr r="G9017" s="2"/>
      </tp>
      <tp>
        <v>5</v>
        <stp/>
        <stp>9505383a-a525-4373-8e35-75d8e62a0b51</stp>
        <tr r="G4860" s="2"/>
      </tp>
    </main>
    <main first="rtdsrv_a82eb5a1fc404542a18b1336b70d2c4e">
      <tp>
        <v>5</v>
        <stp/>
        <stp>a2c1aeae-80f6-4e54-a17a-a7ebbaa1877c</stp>
        <tr r="G2342" s="2"/>
      </tp>
      <tp>
        <v>5</v>
        <stp/>
        <stp>35bcb9f8-16de-41c0-9183-96c168134636</stp>
        <tr r="G9452" s="2"/>
      </tp>
      <tp>
        <v>5</v>
        <stp/>
        <stp>9ee61852-447c-4068-9a30-a3eb19414eef</stp>
        <tr r="G5269" s="2"/>
      </tp>
      <tp>
        <v>5</v>
        <stp/>
        <stp>4b6c8af1-9321-4060-86f6-3e4b904d245f</stp>
        <tr r="G2277" s="2"/>
      </tp>
    </main>
    <main first="rtdsrv_a82eb5a1fc404542a18b1336b70d2c4e">
      <tp>
        <v>5</v>
        <stp/>
        <stp>011c0310-c91c-4e3a-afad-e3afa9952fee</stp>
        <tr r="G7651" s="2"/>
      </tp>
      <tp>
        <v>5</v>
        <stp/>
        <stp>0eb0ddf3-313b-4b3a-a026-e6541bba4847</stp>
        <tr r="G5803" s="2"/>
      </tp>
    </main>
    <main first="rtdsrv_a82eb5a1fc404542a18b1336b70d2c4e">
      <tp>
        <v>5</v>
        <stp/>
        <stp>3682f4f4-7b40-450e-9c8a-da9e9e7bda3e</stp>
        <tr r="G2193" s="2"/>
      </tp>
      <tp>
        <v>5</v>
        <stp/>
        <stp>f6c9115f-6a66-43bb-bcb2-fadca902bd16</stp>
        <tr r="G180" s="2"/>
      </tp>
      <tp>
        <v>5</v>
        <stp/>
        <stp>f090d07a-bc42-4fb2-ab7d-af8ad85cd4d8</stp>
        <tr r="G6622" s="2"/>
      </tp>
    </main>
    <main first="rtdsrv_a82eb5a1fc404542a18b1336b70d2c4e">
      <tp>
        <v>5</v>
        <stp/>
        <stp>2a6465b7-6b84-40b7-a5bf-d9133bdabad1</stp>
        <tr r="G1659" s="2"/>
      </tp>
      <tp>
        <v>5</v>
        <stp/>
        <stp>c8f16f8f-52bb-4983-b60a-919babe49602</stp>
        <tr r="G9312" s="2"/>
      </tp>
    </main>
    <main first="rtdsrv_a82eb5a1fc404542a18b1336b70d2c4e">
      <tp>
        <v>5</v>
        <stp/>
        <stp>ba7a3ea9-9c70-408d-98e0-a7055d77abc1</stp>
        <tr r="G734" s="2"/>
      </tp>
    </main>
    <main first="rtdsrv_a82eb5a1fc404542a18b1336b70d2c4e">
      <tp>
        <v>5</v>
        <stp/>
        <stp>faddb1c0-2d11-4a2e-a70c-12e5a0e718a5</stp>
        <tr r="G745" s="2"/>
      </tp>
      <tp>
        <v>5</v>
        <stp/>
        <stp>d5207f52-ef16-415e-a91d-a8cf2e5ab226</stp>
        <tr r="G5107" s="2"/>
      </tp>
      <tp>
        <v>5</v>
        <stp/>
        <stp>80e23f41-3ce7-4154-8d5e-acc868bf327b</stp>
        <tr r="G7469" s="2"/>
      </tp>
      <tp>
        <v>5</v>
        <stp/>
        <stp>62d2b25c-8f41-411b-965f-ddb2927324e2</stp>
        <tr r="G6866" s="2"/>
      </tp>
    </main>
    <main first="rtdsrv_a82eb5a1fc404542a18b1336b70d2c4e">
      <tp>
        <v>5</v>
        <stp/>
        <stp>c1e73500-80c1-484b-a1e6-8ad22b2da5d2</stp>
        <tr r="G6933" s="2"/>
      </tp>
      <tp>
        <v>5</v>
        <stp/>
        <stp>fe637da2-9498-40d2-870f-fcdb27b84cb1</stp>
        <tr r="G3599" s="2"/>
      </tp>
    </main>
    <main first="rtdsrv_a82eb5a1fc404542a18b1336b70d2c4e">
      <tp>
        <v>5</v>
        <stp/>
        <stp>43e434db-c367-4ce6-9ddb-185f9edc2fc8</stp>
        <tr r="G873" s="2"/>
      </tp>
      <tp>
        <v>5</v>
        <stp/>
        <stp>41ae60ee-a3ca-47e8-acc3-56c469ca09fa</stp>
        <tr r="G8509" s="2"/>
      </tp>
      <tp>
        <v>5</v>
        <stp/>
        <stp>f464a194-46b6-4a7a-a467-639649b0fa7e</stp>
        <tr r="G5131" s="2"/>
      </tp>
    </main>
    <main first="rtdsrv_a82eb5a1fc404542a18b1336b70d2c4e">
      <tp>
        <v>5</v>
        <stp/>
        <stp>7cc85787-a5c9-47ee-9c99-9daf02fdf22c</stp>
        <tr r="G4550" s="2"/>
      </tp>
      <tp>
        <v>5</v>
        <stp/>
        <stp>296aef97-f053-43e9-a7e4-9c144392f8a4</stp>
        <tr r="G8178" s="2"/>
      </tp>
      <tp>
        <v>5</v>
        <stp/>
        <stp>76d18840-654b-442d-997c-72d82a56d555</stp>
        <tr r="G4359" s="2"/>
      </tp>
      <tp>
        <v>5</v>
        <stp/>
        <stp>c7e34ffd-f605-4235-a07e-46e837dbb93b</stp>
        <tr r="G7431" s="2"/>
      </tp>
    </main>
    <main first="rtdsrv_a82eb5a1fc404542a18b1336b70d2c4e">
      <tp>
        <v>5</v>
        <stp/>
        <stp>59d8a658-ab88-4196-991b-6b7642e774a8</stp>
        <tr r="G2043" s="2"/>
      </tp>
      <tp>
        <v>5</v>
        <stp/>
        <stp>a5d8a8b0-1e4d-47ab-b19e-a3b4983a7a57</stp>
        <tr r="G4973" s="2"/>
      </tp>
    </main>
    <main first="rtdsrv_a82eb5a1fc404542a18b1336b70d2c4e">
      <tp>
        <v>5</v>
        <stp/>
        <stp>4038afd8-0688-4b07-9401-282fc29b1f92</stp>
        <tr r="G8166" s="2"/>
      </tp>
    </main>
    <main first="rtdsrv_a82eb5a1fc404542a18b1336b70d2c4e">
      <tp>
        <v>5</v>
        <stp/>
        <stp>ad2c9a02-2fee-47ae-b271-8ee889af443b</stp>
        <tr r="G3582" s="2"/>
      </tp>
    </main>
    <main first="rtdsrv_a82eb5a1fc404542a18b1336b70d2c4e">
      <tp>
        <v>5</v>
        <stp/>
        <stp>47fe1421-9d7d-4958-959f-988426574899</stp>
        <tr r="G7437" s="2"/>
      </tp>
    </main>
    <main first="rtdsrv_a82eb5a1fc404542a18b1336b70d2c4e">
      <tp>
        <v>5</v>
        <stp/>
        <stp>8e859ecc-aa44-40f5-91b4-8845d79f54ab</stp>
        <tr r="G8217" s="2"/>
      </tp>
      <tp>
        <v>5</v>
        <stp/>
        <stp>0da5101a-2b2e-4bc9-9b3d-d629251ebb6e</stp>
        <tr r="G5489" s="2"/>
      </tp>
      <tp>
        <v>5</v>
        <stp/>
        <stp>25e550fc-664d-49ea-9e9b-eb462343774f</stp>
        <tr r="G2034" s="2"/>
      </tp>
    </main>
    <main first="rtdsrv_a82eb5a1fc404542a18b1336b70d2c4e">
      <tp>
        <v>5</v>
        <stp/>
        <stp>85dc2192-9f2b-42a2-9207-e2268d871dee</stp>
        <tr r="G9063" s="2"/>
      </tp>
      <tp>
        <v>5</v>
        <stp/>
        <stp>3d2bb1b2-b84e-4919-b774-26b1709a42dc</stp>
        <tr r="G157" s="2"/>
      </tp>
    </main>
    <main first="rtdsrv_a82eb5a1fc404542a18b1336b70d2c4e">
      <tp>
        <v>5</v>
        <stp/>
        <stp>35ba1200-3ed0-4579-820f-c5661de2eaa2</stp>
        <tr r="G7544" s="2"/>
      </tp>
      <tp>
        <v>5</v>
        <stp/>
        <stp>70d9dc76-21dd-4655-a2a7-133a02c4f9fa</stp>
        <tr r="G1059" s="2"/>
      </tp>
    </main>
    <main first="rtdsrv_a82eb5a1fc404542a18b1336b70d2c4e">
      <tp>
        <v>5</v>
        <stp/>
        <stp>fe64703d-efb1-414d-8bd0-8c4728a4cfe2</stp>
        <tr r="G9451" s="2"/>
      </tp>
    </main>
    <main first="rtdsrv_a82eb5a1fc404542a18b1336b70d2c4e">
      <tp>
        <v>5</v>
        <stp/>
        <stp>6f30aeb5-c23f-43c3-aef4-be6ccd4b3964</stp>
        <tr r="G8605" s="2"/>
      </tp>
      <tp>
        <v>5</v>
        <stp/>
        <stp>d9ffe9f1-cd51-4511-9c48-674a5d2c2895</stp>
        <tr r="G2013" s="2"/>
      </tp>
    </main>
    <main first="rtdsrv_a82eb5a1fc404542a18b1336b70d2c4e">
      <tp>
        <v>5</v>
        <stp/>
        <stp>2dc9fc28-bb42-4e09-a31c-0fdf3b37bdd9</stp>
        <tr r="G6744" s="2"/>
      </tp>
    </main>
    <main first="rtdsrv_a82eb5a1fc404542a18b1336b70d2c4e">
      <tp>
        <v>5</v>
        <stp/>
        <stp>794c0cb5-fece-471c-9962-b51602c3ac0e</stp>
        <tr r="G3073" s="2"/>
      </tp>
    </main>
    <main first="rtdsrv_a82eb5a1fc404542a18b1336b70d2c4e">
      <tp>
        <v>5</v>
        <stp/>
        <stp>b69d7f5b-9b87-438a-89fc-9b126da33da5</stp>
        <tr r="G4864" s="2"/>
      </tp>
      <tp>
        <v>5</v>
        <stp/>
        <stp>0e824def-ddc2-451e-84d6-e57fce19385d</stp>
        <tr r="G833" s="2"/>
      </tp>
    </main>
    <main first="rtdsrv_a82eb5a1fc404542a18b1336b70d2c4e">
      <tp>
        <v>5</v>
        <stp/>
        <stp>e92fe711-5c0f-49a1-ad57-ec902af44147</stp>
        <tr r="G4694" s="2"/>
      </tp>
    </main>
    <main first="rtdsrv_a82eb5a1fc404542a18b1336b70d2c4e">
      <tp>
        <v>5</v>
        <stp/>
        <stp>98dcc283-4b0a-4dd7-ac41-368f37957029</stp>
        <tr r="G3668" s="2"/>
      </tp>
    </main>
    <main first="rtdsrv_a82eb5a1fc404542a18b1336b70d2c4e">
      <tp>
        <v>5</v>
        <stp/>
        <stp>be9538e1-79d9-4925-8368-0015cca86616</stp>
        <tr r="G9016" s="2"/>
      </tp>
    </main>
    <main first="rtdsrv_a82eb5a1fc404542a18b1336b70d2c4e">
      <tp>
        <v>5</v>
        <stp/>
        <stp>5493349f-bc06-440d-a0ab-2c4f590ed184</stp>
        <tr r="G2891" s="2"/>
      </tp>
      <tp>
        <v>5</v>
        <stp/>
        <stp>7331be87-80ff-41ee-b1ad-b61f8e04d5cf</stp>
        <tr r="G8612" s="2"/>
      </tp>
    </main>
    <main first="rtdsrv_a82eb5a1fc404542a18b1336b70d2c4e">
      <tp>
        <v>5</v>
        <stp/>
        <stp>e99af46e-5095-4db2-bb76-0b816d99675d</stp>
        <tr r="G8055" s="2"/>
      </tp>
      <tp>
        <v>5</v>
        <stp/>
        <stp>9486c28a-9a0d-4be1-b1f8-b8d9488ebd8e</stp>
        <tr r="G2239" s="2"/>
      </tp>
    </main>
    <main first="rtdsrv_a82eb5a1fc404542a18b1336b70d2c4e">
      <tp>
        <v>5</v>
        <stp/>
        <stp>ba6b3383-0bc9-4e9c-8b3e-1ad2ff3cf9cf</stp>
        <tr r="G2824" s="2"/>
      </tp>
    </main>
    <main first="rtdsrv_a82eb5a1fc404542a18b1336b70d2c4e">
      <tp>
        <v>5</v>
        <stp/>
        <stp>f94cb5a6-a413-411f-8a28-83d0006e366b</stp>
        <tr r="G584" s="2"/>
      </tp>
    </main>
    <main first="rtdsrv_a82eb5a1fc404542a18b1336b70d2c4e">
      <tp>
        <v>5</v>
        <stp/>
        <stp>1bbf157b-70de-4627-ac08-9f5159b78445</stp>
        <tr r="G2844" s="2"/>
      </tp>
    </main>
    <main first="rtdsrv_a82eb5a1fc404542a18b1336b70d2c4e">
      <tp>
        <v>5</v>
        <stp/>
        <stp>82e3e6bd-6d29-414e-a521-4dc1099f946d</stp>
        <tr r="G9489" s="2"/>
      </tp>
    </main>
    <main first="rtdsrv_a82eb5a1fc404542a18b1336b70d2c4e">
      <tp>
        <v>5</v>
        <stp/>
        <stp>16ff8b7a-3fcd-4c9d-b4ab-aaf0479ca846</stp>
        <tr r="G1348" s="2"/>
      </tp>
    </main>
    <main first="rtdsrv_a82eb5a1fc404542a18b1336b70d2c4e">
      <tp>
        <v>5</v>
        <stp/>
        <stp>6e9867ca-a515-4e80-ad22-f2a1f82a6700</stp>
        <tr r="G9942" s="2"/>
      </tp>
    </main>
    <main first="rtdsrv_a82eb5a1fc404542a18b1336b70d2c4e">
      <tp>
        <v>5</v>
        <stp/>
        <stp>d6f14992-22bf-4dce-9370-b10c7e2327a8</stp>
        <tr r="G4105" s="2"/>
      </tp>
      <tp>
        <v>5</v>
        <stp/>
        <stp>176b5213-b72e-4e50-b38f-1e9f9330a5bf</stp>
        <tr r="G1629" s="2"/>
      </tp>
      <tp>
        <v>5</v>
        <stp/>
        <stp>fd88397f-cd4f-46c6-9c6f-9f5d85634a0d</stp>
        <tr r="G3567" s="2"/>
      </tp>
      <tp>
        <v>5</v>
        <stp/>
        <stp>a249ecca-953b-41ad-9d09-716534fdc55b</stp>
        <tr r="G9363" s="2"/>
      </tp>
    </main>
    <main first="rtdsrv_a82eb5a1fc404542a18b1336b70d2c4e">
      <tp>
        <v>5</v>
        <stp/>
        <stp>a3526a92-0b47-49ac-b443-a8b28b838c92</stp>
        <tr r="G5472" s="2"/>
      </tp>
    </main>
    <main first="rtdsrv_a82eb5a1fc404542a18b1336b70d2c4e">
      <tp>
        <v>5</v>
        <stp/>
        <stp>516a2db4-90c4-4a12-aea3-32fdd879d986</stp>
        <tr r="G1345" s="2"/>
      </tp>
    </main>
    <main first="rtdsrv_a82eb5a1fc404542a18b1336b70d2c4e">
      <tp>
        <v>5</v>
        <stp/>
        <stp>9b53b384-2b6a-4599-975f-821a2e133470</stp>
        <tr r="G5793" s="2"/>
      </tp>
    </main>
    <main first="rtdsrv_a82eb5a1fc404542a18b1336b70d2c4e">
      <tp>
        <v>5</v>
        <stp/>
        <stp>5ddea620-917c-413d-8e68-2665b6ca154e</stp>
        <tr r="G8304" s="2"/>
      </tp>
      <tp>
        <v>5</v>
        <stp/>
        <stp>ec939dc6-ede4-4b39-8b8f-ba7f690bc7ad</stp>
        <tr r="G9642" s="2"/>
      </tp>
    </main>
    <main first="rtdsrv_a82eb5a1fc404542a18b1336b70d2c4e">
      <tp>
        <v>5</v>
        <stp/>
        <stp>432b42c7-7afb-4eb0-bdb8-5c1269bcc2dd</stp>
        <tr r="G4552" s="2"/>
      </tp>
    </main>
    <main first="rtdsrv_a82eb5a1fc404542a18b1336b70d2c4e">
      <tp>
        <v>5</v>
        <stp/>
        <stp>6f15babb-a0bb-4479-b3e8-1562d50906ba</stp>
        <tr r="G1576" s="2"/>
      </tp>
      <tp>
        <v>5</v>
        <stp/>
        <stp>6a994979-9a36-4714-80c6-c9dc603ae317</stp>
        <tr r="G2204" s="2"/>
      </tp>
    </main>
    <main first="rtdsrv_a82eb5a1fc404542a18b1336b70d2c4e">
      <tp>
        <v>5</v>
        <stp/>
        <stp>36794b0b-3bb4-442a-a539-f608595456f1</stp>
        <tr r="G7870" s="2"/>
      </tp>
    </main>
    <main first="rtdsrv_a82eb5a1fc404542a18b1336b70d2c4e">
      <tp>
        <v>5</v>
        <stp/>
        <stp>12b46e4a-e5a2-444f-978b-e795aa1b8667</stp>
        <tr r="G4374" s="2"/>
      </tp>
      <tp>
        <v>5</v>
        <stp/>
        <stp>3ce9e133-3d08-4138-8336-f08db4680b55</stp>
        <tr r="G4761" s="2"/>
      </tp>
    </main>
    <main first="rtdsrv_a82eb5a1fc404542a18b1336b70d2c4e">
      <tp>
        <v>5</v>
        <stp/>
        <stp>1569bf97-e66c-47f7-b89b-7ad04391df97</stp>
        <tr r="G2626" s="2"/>
      </tp>
      <tp>
        <v>5</v>
        <stp/>
        <stp>93a76ea2-6b60-471d-ac70-749a43de087e</stp>
        <tr r="G3245" s="2"/>
      </tp>
      <tp>
        <v>5</v>
        <stp/>
        <stp>f2bfb7e5-67b7-4316-9976-f79d3159e82b</stp>
        <tr r="G7882" s="2"/>
      </tp>
    </main>
    <main first="rtdsrv_a82eb5a1fc404542a18b1336b70d2c4e">
      <tp>
        <v>5</v>
        <stp/>
        <stp>c25ce9b0-40b0-49da-810e-2234bc868311</stp>
        <tr r="G8497" s="2"/>
      </tp>
    </main>
    <main first="rtdsrv_a82eb5a1fc404542a18b1336b70d2c4e">
      <tp>
        <v>5</v>
        <stp/>
        <stp>846bb1fa-4ca2-4bce-81f8-78222e980c8e</stp>
        <tr r="G1110" s="2"/>
      </tp>
    </main>
    <main first="rtdsrv_a82eb5a1fc404542a18b1336b70d2c4e">
      <tp>
        <v>5</v>
        <stp/>
        <stp>7957b4b9-3ff1-4132-8519-dad50ff78622</stp>
        <tr r="G7231" s="2"/>
      </tp>
      <tp>
        <v>5</v>
        <stp/>
        <stp>9be83d8e-1308-46ea-93f7-e8f3f2b836e7</stp>
        <tr r="G1632" s="2"/>
      </tp>
    </main>
    <main first="rtdsrv_a82eb5a1fc404542a18b1336b70d2c4e">
      <tp>
        <v>5</v>
        <stp/>
        <stp>95054cff-8e17-4f06-bf00-d519ef964732</stp>
        <tr r="G7711" s="2"/>
      </tp>
      <tp>
        <v>5</v>
        <stp/>
        <stp>a95e3ba6-3863-4faa-b448-df8ec610aad0</stp>
        <tr r="G5495" s="2"/>
      </tp>
    </main>
    <main first="rtdsrv_a82eb5a1fc404542a18b1336b70d2c4e">
      <tp>
        <v>5</v>
        <stp/>
        <stp>d6f30071-3812-4b4c-9330-4a5859c1716f</stp>
        <tr r="G4794" s="2"/>
      </tp>
    </main>
    <main first="rtdsrv_a82eb5a1fc404542a18b1336b70d2c4e">
      <tp>
        <v>5</v>
        <stp/>
        <stp>dc90a2c5-d7c4-4652-8d30-c772682f07a0</stp>
        <tr r="G2310" s="2"/>
      </tp>
    </main>
    <main first="rtdsrv_a82eb5a1fc404542a18b1336b70d2c4e">
      <tp>
        <v>5</v>
        <stp/>
        <stp>0be16b21-748c-4f40-b4f2-68101b85e7a4</stp>
        <tr r="G9015" s="2"/>
      </tp>
      <tp>
        <v>5</v>
        <stp/>
        <stp>bd13f884-419f-4e83-b93f-32b4571e4a4f</stp>
        <tr r="G5302" s="2"/>
      </tp>
    </main>
    <main first="rtdsrv_a82eb5a1fc404542a18b1336b70d2c4e">
      <tp>
        <v>5</v>
        <stp/>
        <stp>ccc89816-1cce-4606-b480-59c35c89d2cf</stp>
        <tr r="G7952" s="2"/>
      </tp>
    </main>
    <main first="rtdsrv_a82eb5a1fc404542a18b1336b70d2c4e">
      <tp>
        <v>5</v>
        <stp/>
        <stp>d934febb-e902-4f1d-82d6-7469612aa0c2</stp>
        <tr r="G2086" s="2"/>
      </tp>
    </main>
    <main first="rtdsrv_a82eb5a1fc404542a18b1336b70d2c4e">
      <tp>
        <v>5</v>
        <stp/>
        <stp>1c87c631-496e-4892-a674-92359b90b852</stp>
        <tr r="G1218" s="2"/>
      </tp>
    </main>
    <main first="rtdsrv_a82eb5a1fc404542a18b1336b70d2c4e">
      <tp>
        <v>5</v>
        <stp/>
        <stp>063b3a63-7190-4e9e-a1c6-79a8b2b34a88</stp>
        <tr r="G9995" s="2"/>
      </tp>
    </main>
    <main first="rtdsrv_a82eb5a1fc404542a18b1336b70d2c4e">
      <tp>
        <v>5</v>
        <stp/>
        <stp>a9efddc4-5dde-471a-81ff-7db6f58972d7</stp>
        <tr r="G6796" s="2"/>
      </tp>
      <tp>
        <v>5</v>
        <stp/>
        <stp>fc3bfc46-138f-4636-96d2-1884022f2e62</stp>
        <tr r="G7126" s="2"/>
      </tp>
      <tp>
        <v>5</v>
        <stp/>
        <stp>6a2ba8dd-3c91-464d-ac2f-6b5e6b9360e2</stp>
        <tr r="G9265" s="2"/>
      </tp>
      <tp>
        <v>5</v>
        <stp/>
        <stp>9ca32de5-4a13-45ca-97b8-e7e0c2df19fb</stp>
        <tr r="G3402" s="2"/>
      </tp>
      <tp>
        <v>5</v>
        <stp/>
        <stp>2bee06cf-9215-4463-a220-d19c4049aa32</stp>
        <tr r="G4917" s="2"/>
      </tp>
    </main>
    <main first="rtdsrv_a82eb5a1fc404542a18b1336b70d2c4e">
      <tp>
        <v>5</v>
        <stp/>
        <stp>769798bf-0b3c-4a2a-9113-2631df3c520a</stp>
        <tr r="G7732" s="2"/>
      </tp>
    </main>
    <main first="rtdsrv_a82eb5a1fc404542a18b1336b70d2c4e">
      <tp>
        <v>5</v>
        <stp/>
        <stp>c1d8b29a-ec81-4b46-a156-287c87c01fff</stp>
        <tr r="G556" s="2"/>
      </tp>
    </main>
    <main first="rtdsrv_a82eb5a1fc404542a18b1336b70d2c4e">
      <tp>
        <v>5</v>
        <stp/>
        <stp>a725196f-5c09-43a2-a5af-fabac7a60286</stp>
        <tr r="G4644" s="2"/>
      </tp>
      <tp>
        <v>5</v>
        <stp/>
        <stp>aec0bbba-6ef0-42b4-8a88-ff595caa3424</stp>
        <tr r="G1083" s="2"/>
      </tp>
    </main>
    <main first="rtdsrv_a82eb5a1fc404542a18b1336b70d2c4e">
      <tp>
        <v>5</v>
        <stp/>
        <stp>5eba11ba-a164-45ed-96f6-2311b093385b</stp>
        <tr r="G390" s="2"/>
      </tp>
      <tp>
        <v>5</v>
        <stp/>
        <stp>a2414f89-9bc7-49fc-bbc8-1da79a426d84</stp>
        <tr r="G2178" s="2"/>
      </tp>
    </main>
    <main first="rtdsrv_a82eb5a1fc404542a18b1336b70d2c4e">
      <tp>
        <v>5</v>
        <stp/>
        <stp>39186264-774c-42c7-9d39-bcb27ba51516</stp>
        <tr r="G8971" s="2"/>
      </tp>
    </main>
    <main first="rtdsrv_a82eb5a1fc404542a18b1336b70d2c4e">
      <tp>
        <v>5</v>
        <stp/>
        <stp>f8deaf29-f10e-4682-956e-52fe0399a1f2</stp>
        <tr r="G9368" s="2"/>
      </tp>
    </main>
    <main first="rtdsrv_a82eb5a1fc404542a18b1336b70d2c4e">
      <tp>
        <v>5</v>
        <stp/>
        <stp>6889e80e-18ef-4ec2-b4b9-2cf2476db9bb</stp>
        <tr r="G2223" s="2"/>
      </tp>
    </main>
    <main first="rtdsrv_a82eb5a1fc404542a18b1336b70d2c4e">
      <tp>
        <v>5</v>
        <stp/>
        <stp>db1f52f6-93ed-477d-8ecf-9a9fd1416248</stp>
        <tr r="G7447" s="2"/>
      </tp>
      <tp>
        <v>5</v>
        <stp/>
        <stp>ea22f830-0924-4cca-a9f2-b3ae0bcc533b</stp>
        <tr r="G4836" s="2"/>
      </tp>
    </main>
    <main first="rtdsrv_a82eb5a1fc404542a18b1336b70d2c4e">
      <tp>
        <v>5</v>
        <stp/>
        <stp>76e5e99c-3f87-4abe-98bb-51b6a47b0261</stp>
        <tr r="G8843" s="2"/>
      </tp>
    </main>
    <main first="rtdsrv_a82eb5a1fc404542a18b1336b70d2c4e">
      <tp>
        <v>5</v>
        <stp/>
        <stp>f1624448-5941-4d57-95bf-6aacc1c979dd</stp>
        <tr r="G7696" s="2"/>
      </tp>
    </main>
    <main first="rtdsrv_a82eb5a1fc404542a18b1336b70d2c4e">
      <tp>
        <v>5</v>
        <stp/>
        <stp>2ad67534-919e-47a1-9c8c-b8731b71d217</stp>
        <tr r="G6701" s="2"/>
      </tp>
    </main>
    <main first="rtdsrv_a82eb5a1fc404542a18b1336b70d2c4e">
      <tp>
        <v>5</v>
        <stp/>
        <stp>8f82218a-c49b-4ede-ab3f-fd6e292103b8</stp>
        <tr r="G893" s="2"/>
      </tp>
      <tp>
        <v>5</v>
        <stp/>
        <stp>4295458f-b3a6-410d-a605-7817bd1d6a32</stp>
        <tr r="G7109" s="2"/>
      </tp>
    </main>
    <main first="rtdsrv_a82eb5a1fc404542a18b1336b70d2c4e">
      <tp>
        <v>5</v>
        <stp/>
        <stp>b5c72388-b39f-4f0a-bf0e-ba52aa592990</stp>
        <tr r="G1981" s="2"/>
      </tp>
      <tp>
        <v>5</v>
        <stp/>
        <stp>67b5c5c9-4f00-4c0d-87e5-f7b0051ec95d</stp>
        <tr r="G7771" s="2"/>
      </tp>
      <tp>
        <v>5</v>
        <stp/>
        <stp>7f85b735-7fc1-4465-ad6f-a84b22268c92</stp>
        <tr r="G3273" s="2"/>
      </tp>
      <tp>
        <v>5</v>
        <stp/>
        <stp>0e132699-4025-4d87-b777-d96fda414397</stp>
        <tr r="G1038" s="2"/>
      </tp>
    </main>
    <main first="rtdsrv_a82eb5a1fc404542a18b1336b70d2c4e">
      <tp>
        <v>5</v>
        <stp/>
        <stp>c445137f-b51a-472d-bd85-64198734365b</stp>
        <tr r="G6589" s="2"/>
      </tp>
    </main>
    <main first="rtdsrv_a82eb5a1fc404542a18b1336b70d2c4e">
      <tp>
        <v>5</v>
        <stp/>
        <stp>a0505307-4a3f-48f5-adc3-337f78a78f49</stp>
        <tr r="G3082" s="2"/>
      </tp>
    </main>
    <main first="rtdsrv_a82eb5a1fc404542a18b1336b70d2c4e">
      <tp>
        <v>5</v>
        <stp/>
        <stp>f21e230c-835b-4f44-8b4b-1b041561bbcf</stp>
        <tr r="G3575" s="2"/>
      </tp>
    </main>
    <main first="rtdsrv_a82eb5a1fc404542a18b1336b70d2c4e">
      <tp>
        <v>5</v>
        <stp/>
        <stp>2b67c69e-b501-47b8-bd74-507d65950057</stp>
        <tr r="G5148" s="2"/>
      </tp>
    </main>
    <main first="rtdsrv_a82eb5a1fc404542a18b1336b70d2c4e">
      <tp>
        <v>5</v>
        <stp/>
        <stp>6d11e7a8-4185-46b8-86e3-a7fd4e602d74</stp>
        <tr r="G5690" s="2"/>
      </tp>
      <tp>
        <v>5</v>
        <stp/>
        <stp>dbf90f78-2049-4c04-8ca0-88ec5fd131ed</stp>
        <tr r="G775" s="2"/>
      </tp>
    </main>
    <main first="rtdsrv_a82eb5a1fc404542a18b1336b70d2c4e">
      <tp>
        <v>5</v>
        <stp/>
        <stp>6fc0fa0c-9683-4235-a272-a33924fb1778</stp>
        <tr r="G6189" s="2"/>
      </tp>
      <tp>
        <v>5</v>
        <stp/>
        <stp>1aac0845-8765-40cc-9e4c-78f536c8b42a</stp>
        <tr r="G2829" s="2"/>
      </tp>
    </main>
    <main first="rtdsrv_a82eb5a1fc404542a18b1336b70d2c4e">
      <tp>
        <v>5</v>
        <stp/>
        <stp>fefba369-876e-4f26-8dcb-e66a0df28ecb</stp>
        <tr r="G3198" s="2"/>
      </tp>
    </main>
    <main first="rtdsrv_a82eb5a1fc404542a18b1336b70d2c4e">
      <tp>
        <v>5</v>
        <stp/>
        <stp>c3478263-85ae-4bf0-b9ca-535e47e85b04</stp>
        <tr r="G8315" s="2"/>
      </tp>
    </main>
    <main first="rtdsrv_a82eb5a1fc404542a18b1336b70d2c4e">
      <tp>
        <v>5</v>
        <stp/>
        <stp>b1746b37-c530-4538-8f03-330f1e168b5e</stp>
        <tr r="G754" s="2"/>
      </tp>
      <tp>
        <v>5</v>
        <stp/>
        <stp>963e18b3-66a9-447e-a22b-a8fe1b69d9c7</stp>
        <tr r="G2967" s="2"/>
      </tp>
      <tp>
        <v>5</v>
        <stp/>
        <stp>b60cd732-489d-4b42-9ddc-7cc825923940</stp>
        <tr r="G8228" s="2"/>
      </tp>
      <tp>
        <v>5</v>
        <stp/>
        <stp>d551c6a8-51a6-4336-9ed2-8348984f0ca7</stp>
        <tr r="G7941" s="2"/>
      </tp>
      <tp>
        <v>5</v>
        <stp/>
        <stp>11c571d8-3acf-4e38-b5da-f3a0bb3a62c3</stp>
        <tr r="G4165" s="2"/>
      </tp>
      <tp>
        <v>5</v>
        <stp/>
        <stp>b949a01a-7e0b-41e4-9373-1caee0e25bac</stp>
        <tr r="G3127" s="2"/>
      </tp>
      <tp>
        <v>5</v>
        <stp/>
        <stp>ef5491f0-8a74-42f7-b60b-8fcc8200205e</stp>
        <tr r="G9254" s="2"/>
      </tp>
      <tp>
        <v>5</v>
        <stp/>
        <stp>180295f8-cfbb-471a-a41d-02d0417ce118</stp>
        <tr r="G9971" s="2"/>
      </tp>
      <tp>
        <v>5</v>
        <stp/>
        <stp>a0ce6566-bbdb-4b11-8d82-fc5879ebe8ca</stp>
        <tr r="G5157" s="2"/>
      </tp>
      <tp>
        <v>5</v>
        <stp/>
        <stp>8a5f4863-7d76-4dca-a90a-a5d2c1e07712</stp>
        <tr r="G358" s="2"/>
      </tp>
      <tp>
        <v>5</v>
        <stp/>
        <stp>37cdc319-9556-4d02-954f-6bb4943b1af1</stp>
        <tr r="G8399" s="2"/>
      </tp>
    </main>
    <main first="rtdsrv_a82eb5a1fc404542a18b1336b70d2c4e">
      <tp>
        <v>5</v>
        <stp/>
        <stp>22b139fa-1b58-442d-8456-c30e35d44a2e</stp>
        <tr r="G4933" s="2"/>
      </tp>
      <tp>
        <v>5</v>
        <stp/>
        <stp>10bfc847-a064-479b-954c-f504323f440e</stp>
        <tr r="G840" s="2"/>
      </tp>
    </main>
    <main first="rtdsrv_a82eb5a1fc404542a18b1336b70d2c4e">
      <tp>
        <v>5</v>
        <stp/>
        <stp>e9308d58-f46f-4e7e-851e-08acc8b5bcc0</stp>
        <tr r="G6998" s="2"/>
      </tp>
    </main>
    <main first="rtdsrv_a82eb5a1fc404542a18b1336b70d2c4e">
      <tp>
        <v>5</v>
        <stp/>
        <stp>9d83a95c-5881-4ed4-87bd-cbce72ce3bf7</stp>
        <tr r="G3913" s="2"/>
      </tp>
      <tp>
        <v>5</v>
        <stp/>
        <stp>5216b32d-92ee-4cd4-a1e3-fb19c5770238</stp>
        <tr r="G7418" s="2"/>
      </tp>
      <tp>
        <v>5</v>
        <stp/>
        <stp>96146915-de78-4e2f-b2ac-f385d003ac94</stp>
        <tr r="G7659" s="2"/>
      </tp>
    </main>
    <main first="rtdsrv_a82eb5a1fc404542a18b1336b70d2c4e">
      <tp>
        <v>5</v>
        <stp/>
        <stp>db1898e7-ecff-4227-ba2f-03f6fd715a70</stp>
        <tr r="G2489" s="2"/>
      </tp>
    </main>
    <main first="rtdsrv_a82eb5a1fc404542a18b1336b70d2c4e">
      <tp>
        <v>5</v>
        <stp/>
        <stp>d5693447-0ad8-4cbb-a51d-46031ac289ca</stp>
        <tr r="G4459" s="2"/>
      </tp>
      <tp>
        <v>5</v>
        <stp/>
        <stp>3e6a13da-02bb-4358-8202-2e40a376c4ff</stp>
        <tr r="G4765" s="2"/>
      </tp>
    </main>
    <main first="rtdsrv_a82eb5a1fc404542a18b1336b70d2c4e">
      <tp>
        <v>5</v>
        <stp/>
        <stp>2b28fee7-e3c1-454a-90b7-0e09e118d9e5</stp>
        <tr r="G6725" s="2"/>
      </tp>
    </main>
    <main first="rtdsrv_a82eb5a1fc404542a18b1336b70d2c4e">
      <tp>
        <v>5</v>
        <stp/>
        <stp>7fbf614d-c2fa-4ce7-a981-a007c50082b4</stp>
        <tr r="G5296" s="2"/>
      </tp>
    </main>
    <main first="rtdsrv_a82eb5a1fc404542a18b1336b70d2c4e">
      <tp>
        <v>5</v>
        <stp/>
        <stp>dcc778ff-35b3-46e3-954e-def117f0d1be</stp>
        <tr r="G3430" s="2"/>
      </tp>
    </main>
    <main first="rtdsrv_a82eb5a1fc404542a18b1336b70d2c4e">
      <tp>
        <v>5</v>
        <stp/>
        <stp>bca3f844-a723-4db3-98ad-f869f8020d78</stp>
        <tr r="G4480" s="2"/>
      </tp>
    </main>
    <main first="rtdsrv_a82eb5a1fc404542a18b1336b70d2c4e">
      <tp>
        <v>5</v>
        <stp/>
        <stp>cfef6df6-7077-4108-a20b-5f9716a7ba90</stp>
        <tr r="G9387" s="2"/>
      </tp>
      <tp>
        <v>5</v>
        <stp/>
        <stp>e8a9ec1a-ab38-4f97-94d4-aca383cfc54f</stp>
        <tr r="G2297" s="2"/>
      </tp>
      <tp>
        <v>5</v>
        <stp/>
        <stp>ccbdf505-8a22-438d-98df-7baa9121d169</stp>
        <tr r="G1617" s="2"/>
      </tp>
      <tp>
        <v>5</v>
        <stp/>
        <stp>5fb57bd5-8c19-4b20-b1ba-7ba018e11800</stp>
        <tr r="G2426" s="2"/>
      </tp>
    </main>
    <main first="rtdsrv_a82eb5a1fc404542a18b1336b70d2c4e">
      <tp>
        <v>5</v>
        <stp/>
        <stp>265f3616-d606-438b-9a94-22be01b68065</stp>
        <tr r="G7719" s="2"/>
      </tp>
    </main>
    <main first="rtdsrv_a82eb5a1fc404542a18b1336b70d2c4e">
      <tp>
        <v>5</v>
        <stp/>
        <stp>ffb41270-4e50-4764-8ae0-7554f93e816d</stp>
        <tr r="G2641" s="2"/>
      </tp>
      <tp>
        <v>5</v>
        <stp/>
        <stp>6c6514a9-a504-4bec-813e-7859fc4d4160</stp>
        <tr r="G4727" s="2"/>
      </tp>
      <tp>
        <v>5</v>
        <stp/>
        <stp>d10d1cdf-fdb1-42a1-9bd2-4844f473aa18</stp>
        <tr r="G3781" s="2"/>
      </tp>
    </main>
    <main first="rtdsrv_a82eb5a1fc404542a18b1336b70d2c4e">
      <tp>
        <v>5</v>
        <stp/>
        <stp>04f32627-123a-4232-8f9c-1214f57fd339</stp>
        <tr r="G8599" s="2"/>
      </tp>
      <tp>
        <v>5</v>
        <stp/>
        <stp>aa040421-9acd-45ab-8ea8-b2683e8dd4ef</stp>
        <tr r="G3794" s="2"/>
      </tp>
      <tp>
        <v>5</v>
        <stp/>
        <stp>44e17896-a90e-4da9-84ad-99abc930c9ce</stp>
        <tr r="G7128" s="2"/>
      </tp>
      <tp>
        <v>5</v>
        <stp/>
        <stp>75ac559a-fa58-40be-b686-9015d297f578</stp>
        <tr r="G7716" s="2"/>
      </tp>
      <tp>
        <v>5</v>
        <stp/>
        <stp>5d5a6a92-b057-4eed-80e0-58350d9f9660</stp>
        <tr r="G2910" s="2"/>
      </tp>
      <tp>
        <v>5</v>
        <stp/>
        <stp>1b22f019-8bcf-4554-a807-435c022c4cad</stp>
        <tr r="G407" s="2"/>
      </tp>
      <tp>
        <v>5</v>
        <stp/>
        <stp>c62c46ed-8b01-462b-8e5e-2b0294aad513</stp>
        <tr r="G5752" s="2"/>
      </tp>
      <tp>
        <v>5</v>
        <stp/>
        <stp>2be5f20e-1d98-4bfc-a31a-a86f644f63b0</stp>
        <tr r="G2869" s="2"/>
      </tp>
    </main>
    <main first="rtdsrv_a82eb5a1fc404542a18b1336b70d2c4e">
      <tp>
        <v>5</v>
        <stp/>
        <stp>fa44843e-fb52-43e7-be0f-001de171094e</stp>
        <tr r="G5232" s="2"/>
      </tp>
    </main>
    <main first="rtdsrv_a82eb5a1fc404542a18b1336b70d2c4e">
      <tp>
        <v>5</v>
        <stp/>
        <stp>dcd6b8c5-42ec-498f-bdfb-b76ef7647cfd</stp>
        <tr r="G1334" s="2"/>
      </tp>
    </main>
    <main first="rtdsrv_a82eb5a1fc404542a18b1336b70d2c4e">
      <tp>
        <v>5</v>
        <stp/>
        <stp>a83b65c9-33ba-46ad-a7f3-6f18d4321bc1</stp>
        <tr r="G1753" s="2"/>
      </tp>
    </main>
    <main first="rtdsrv_a82eb5a1fc404542a18b1336b70d2c4e">
      <tp>
        <v>5</v>
        <stp/>
        <stp>95bef9ab-9565-4698-a56d-491f666618da</stp>
        <tr r="G9821" s="2"/>
      </tp>
      <tp>
        <v>5</v>
        <stp/>
        <stp>a3492f06-d2a0-40b4-96b2-880f96549e0b</stp>
        <tr r="G3252" s="2"/>
      </tp>
      <tp>
        <v>5</v>
        <stp/>
        <stp>145c6707-422b-41c7-a690-dc45333c5e12</stp>
        <tr r="G1257" s="2"/>
      </tp>
      <tp>
        <v>5</v>
        <stp/>
        <stp>d2145bde-8175-416f-8ba1-25690305feb1</stp>
        <tr r="G5737" s="2"/>
      </tp>
      <tp>
        <v>5</v>
        <stp/>
        <stp>d9f916af-0c22-4012-b279-af3eb2f0cb98</stp>
        <tr r="G6211" s="2"/>
      </tp>
    </main>
    <main first="rtdsrv_a82eb5a1fc404542a18b1336b70d2c4e">
      <tp>
        <v>5</v>
        <stp/>
        <stp>3c08f942-c6b1-47cc-8a79-860806243a85</stp>
        <tr r="G422" s="2"/>
      </tp>
    </main>
    <main first="rtdsrv_a82eb5a1fc404542a18b1336b70d2c4e">
      <tp>
        <v>5</v>
        <stp/>
        <stp>f608d94c-5af8-44b5-b9ba-a62722e45eb2</stp>
        <tr r="G9038" s="2"/>
      </tp>
      <tp>
        <v>5</v>
        <stp/>
        <stp>88d08917-488c-45da-a99a-8f9a8e4b2b02</stp>
        <tr r="G497" s="2"/>
      </tp>
    </main>
    <main first="rtdsrv_a82eb5a1fc404542a18b1336b70d2c4e">
      <tp>
        <v>5</v>
        <stp/>
        <stp>259f8830-ce1f-4843-8dfe-508eab275e22</stp>
        <tr r="G3007" s="2"/>
      </tp>
      <tp>
        <v>5</v>
        <stp/>
        <stp>0b46d664-8b34-4a47-b619-ef9741dc716f</stp>
        <tr r="G3312" s="2"/>
      </tp>
      <tp>
        <v>5</v>
        <stp/>
        <stp>9176fb3c-44b0-49a8-8965-3eaebfec4f32</stp>
        <tr r="G3583" s="2"/>
      </tp>
      <tp>
        <v>5</v>
        <stp/>
        <stp>3f254dba-7ff6-4fd7-bf3b-f7b112e0b8a4</stp>
        <tr r="G7684" s="2"/>
      </tp>
    </main>
    <main first="rtdsrv_a82eb5a1fc404542a18b1336b70d2c4e">
      <tp>
        <v>5</v>
        <stp/>
        <stp>86726164-da14-4063-8d80-8b7b10faf633</stp>
        <tr r="G482" s="2"/>
      </tp>
    </main>
    <main first="rtdsrv_a82eb5a1fc404542a18b1336b70d2c4e">
      <tp>
        <v>5</v>
        <stp/>
        <stp>ac612416-97c5-403c-abff-b1a3c3c73ef8</stp>
        <tr r="G7419" s="2"/>
      </tp>
      <tp>
        <v>5</v>
        <stp/>
        <stp>7976b72a-f45c-4730-a5b4-2ba4c2e28f38</stp>
        <tr r="G2825" s="2"/>
      </tp>
      <tp>
        <v>5</v>
        <stp/>
        <stp>a9c4fbc2-efe4-471f-befa-55fe4fc76a05</stp>
        <tr r="G8108" s="2"/>
      </tp>
    </main>
    <main first="rtdsrv_a82eb5a1fc404542a18b1336b70d2c4e">
      <tp>
        <v>5</v>
        <stp/>
        <stp>b8fc0068-7b40-40c7-bfee-a55462b30f2a</stp>
        <tr r="G3549" s="2"/>
      </tp>
      <tp>
        <v>5</v>
        <stp/>
        <stp>16cdbfa8-a065-488b-b33f-c92def7f13b7</stp>
        <tr r="G3721" s="2"/>
      </tp>
      <tp>
        <v>5</v>
        <stp/>
        <stp>4a9d1740-cc96-4888-baeb-58427e91a921</stp>
        <tr r="G6613" s="2"/>
      </tp>
      <tp>
        <v>5</v>
        <stp/>
        <stp>4ddf49d5-3afe-46e4-ac7d-c0f49c4642df</stp>
        <tr r="G645" s="2"/>
      </tp>
      <tp>
        <v>5</v>
        <stp/>
        <stp>1fc3b4cf-0700-47cf-b892-a1a097b2d755</stp>
        <tr r="G4062" s="2"/>
      </tp>
      <tp>
        <v>5</v>
        <stp/>
        <stp>483de227-c426-4aee-98f2-0fcbab3f4bd1</stp>
        <tr r="G213" s="2"/>
      </tp>
    </main>
    <main first="rtdsrv_a82eb5a1fc404542a18b1336b70d2c4e">
      <tp>
        <v>5</v>
        <stp/>
        <stp>08792607-1feb-46e4-a0ab-727a6bc6f6df</stp>
        <tr r="G5221" s="2"/>
      </tp>
      <tp>
        <v>5</v>
        <stp/>
        <stp>626d03df-dae8-4920-bfd9-08d24796a2d6</stp>
        <tr r="G1680" s="2"/>
      </tp>
      <tp>
        <v>5</v>
        <stp/>
        <stp>d7b4d17c-e038-40c5-884a-a804e7d4cacd</stp>
        <tr r="G6234" s="2"/>
      </tp>
    </main>
    <main first="rtdsrv_a82eb5a1fc404542a18b1336b70d2c4e">
      <tp>
        <v>5</v>
        <stp/>
        <stp>1e33e7cd-b767-4410-a7db-45dddd1339c5</stp>
        <tr r="G5922" s="2"/>
      </tp>
      <tp>
        <v>5</v>
        <stp/>
        <stp>7ca799c9-74e3-40e4-b86d-c64df1a95d43</stp>
        <tr r="G572" s="2"/>
      </tp>
      <tp>
        <v>5</v>
        <stp/>
        <stp>772220dc-0bb4-4fb1-a65e-ceb6691dfc11</stp>
        <tr r="G3890" s="2"/>
      </tp>
    </main>
    <main first="rtdsrv_a82eb5a1fc404542a18b1336b70d2c4e">
      <tp>
        <v>5</v>
        <stp/>
        <stp>a9465592-dd43-4904-b75b-358693fcdcfb</stp>
        <tr r="G2937" s="2"/>
      </tp>
    </main>
    <main first="rtdsrv_a82eb5a1fc404542a18b1336b70d2c4e">
      <tp>
        <v>5</v>
        <stp/>
        <stp>d7bf00f5-d1d7-4ef7-9d97-7ef1de42cac3</stp>
        <tr r="G1960" s="2"/>
      </tp>
      <tp>
        <v>5</v>
        <stp/>
        <stp>18b0bd59-28ff-4fe3-9d7d-1b50670fb3bb</stp>
        <tr r="G1368" s="2"/>
      </tp>
    </main>
    <main first="rtdsrv_a82eb5a1fc404542a18b1336b70d2c4e">
      <tp>
        <v>5</v>
        <stp/>
        <stp>c8370b02-4adc-4326-b737-efcd298818b9</stp>
        <tr r="G5622" s="2"/>
      </tp>
    </main>
    <main first="rtdsrv_a82eb5a1fc404542a18b1336b70d2c4e">
      <tp>
        <v>5</v>
        <stp/>
        <stp>9f26113f-f651-486e-b09d-a993ba4fe926</stp>
        <tr r="G6040" s="2"/>
      </tp>
    </main>
    <main first="rtdsrv_a82eb5a1fc404542a18b1336b70d2c4e">
      <tp>
        <v>5</v>
        <stp/>
        <stp>5516e60f-3974-41fb-9c50-3d64893316a0</stp>
        <tr r="G1530" s="2"/>
      </tp>
      <tp>
        <v>5</v>
        <stp/>
        <stp>0475d4fb-63d7-4784-9ea8-757b89c79cb0</stp>
        <tr r="G3108" s="2"/>
      </tp>
    </main>
    <main first="rtdsrv_a82eb5a1fc404542a18b1336b70d2c4e">
      <tp>
        <v>5</v>
        <stp/>
        <stp>6c0e5e87-1174-489a-929c-f0d027556dfb</stp>
        <tr r="G3906" s="2"/>
      </tp>
      <tp>
        <v>5</v>
        <stp/>
        <stp>6d795116-0815-4649-ac1d-37cc30bfdf6b</stp>
        <tr r="G6134" s="2"/>
      </tp>
    </main>
    <main first="rtdsrv_a82eb5a1fc404542a18b1336b70d2c4e">
      <tp>
        <v>5</v>
        <stp/>
        <stp>394c60d5-621c-4ff1-b45f-18bf89383682</stp>
        <tr r="G8683" s="2"/>
      </tp>
    </main>
    <main first="rtdsrv_a82eb5a1fc404542a18b1336b70d2c4e">
      <tp>
        <v>5</v>
        <stp/>
        <stp>01a62c4b-e093-45f1-a778-a3c5696507e0</stp>
        <tr r="G5565" s="2"/>
      </tp>
    </main>
    <main first="rtdsrv_a82eb5a1fc404542a18b1336b70d2c4e">
      <tp>
        <v>5</v>
        <stp/>
        <stp>a14a86ef-82c0-4986-8878-1a4541360b13</stp>
        <tr r="G6890" s="2"/>
      </tp>
    </main>
    <main first="rtdsrv_a82eb5a1fc404542a18b1336b70d2c4e">
      <tp>
        <v>5</v>
        <stp/>
        <stp>a299310e-fc11-452a-9f85-801020282015</stp>
        <tr r="G470" s="2"/>
      </tp>
      <tp>
        <v>5</v>
        <stp/>
        <stp>dff190e5-682d-4a30-8130-2116afa4c860</stp>
        <tr r="G8161" s="2"/>
      </tp>
    </main>
    <main first="rtdsrv_a82eb5a1fc404542a18b1336b70d2c4e">
      <tp>
        <v>5</v>
        <stp/>
        <stp>2de16796-663e-4647-94b5-094fc6c243e0</stp>
        <tr r="G9411" s="2"/>
      </tp>
    </main>
    <main first="rtdsrv_a82eb5a1fc404542a18b1336b70d2c4e">
      <tp>
        <v>5</v>
        <stp/>
        <stp>47216c01-2524-4e66-a5f8-ef503ef7a925</stp>
        <tr r="G2835" s="2"/>
      </tp>
      <tp>
        <v>5</v>
        <stp/>
        <stp>8819ccc0-3d95-457a-a80b-17709287605e</stp>
        <tr r="G217" s="2"/>
      </tp>
    </main>
    <main first="rtdsrv_a82eb5a1fc404542a18b1336b70d2c4e">
      <tp>
        <v>5</v>
        <stp/>
        <stp>2d29c0df-8c1d-4026-8b21-d232b4aa0b87</stp>
        <tr r="G8144" s="2"/>
      </tp>
      <tp>
        <v>5</v>
        <stp/>
        <stp>195b52fb-ad75-416f-a0c0-3c166397c3ae</stp>
        <tr r="G67" s="2"/>
      </tp>
      <tp>
        <v>5</v>
        <stp/>
        <stp>b4ab7dc2-036b-4dff-81aa-a93e5199bc4e</stp>
        <tr r="G916" s="2"/>
      </tp>
    </main>
    <main first="rtdsrv_a82eb5a1fc404542a18b1336b70d2c4e">
      <tp>
        <v>5</v>
        <stp/>
        <stp>90b1ffb6-ef6f-4ab6-8629-f9449a0c5c51</stp>
        <tr r="G5062" s="2"/>
      </tp>
    </main>
    <main first="rtdsrv_a82eb5a1fc404542a18b1336b70d2c4e">
      <tp>
        <v>5</v>
        <stp/>
        <stp>e095afc4-0d87-4646-962d-32b2ed7a38a7</stp>
        <tr r="G7147" s="2"/>
      </tp>
    </main>
    <main first="rtdsrv_a82eb5a1fc404542a18b1336b70d2c4e">
      <tp>
        <v>5</v>
        <stp/>
        <stp>d2232e8e-3409-474b-8409-83f5309a796e</stp>
        <tr r="G5513" s="2"/>
      </tp>
      <tp>
        <v>5</v>
        <stp/>
        <stp>d6104603-49a5-4a16-8c75-c95f20e60032</stp>
        <tr r="G3654" s="2"/>
      </tp>
    </main>
    <main first="rtdsrv_a82eb5a1fc404542a18b1336b70d2c4e">
      <tp>
        <v>5</v>
        <stp/>
        <stp>e65bc16c-d46c-4a49-b2ed-9f57140b3a9d</stp>
        <tr r="G1760" s="2"/>
      </tp>
      <tp>
        <v>5</v>
        <stp/>
        <stp>1a5eeba6-c80d-40f7-b775-37d088b6cc01</stp>
        <tr r="G5607" s="2"/>
      </tp>
      <tp>
        <v>5</v>
        <stp/>
        <stp>3209cf78-4191-4c39-80b9-d0a3fdc21cbe</stp>
        <tr r="G7770" s="2"/>
      </tp>
    </main>
    <main first="rtdsrv_a82eb5a1fc404542a18b1336b70d2c4e">
      <tp>
        <v>5</v>
        <stp/>
        <stp>eb27b38f-ff72-414f-8b2d-9d60332d98c7</stp>
        <tr r="G9601" s="2"/>
      </tp>
    </main>
    <main first="rtdsrv_a82eb5a1fc404542a18b1336b70d2c4e">
      <tp>
        <v>5</v>
        <stp/>
        <stp>38f07ff0-0089-42c5-be52-2a87116f62c3</stp>
        <tr r="G2045" s="2"/>
      </tp>
      <tp>
        <v>5</v>
        <stp/>
        <stp>93d2c502-806a-44e6-8fc5-cf17ee8e2d7b</stp>
        <tr r="G1581" s="2"/>
      </tp>
      <tp>
        <v>5</v>
        <stp/>
        <stp>c5bb1810-921f-4a8d-b691-0d73a2024385</stp>
        <tr r="G9481" s="2"/>
      </tp>
      <tp>
        <v>5</v>
        <stp/>
        <stp>d99551e5-6416-4049-898b-89d9d86e2270</stp>
        <tr r="G3253" s="2"/>
      </tp>
    </main>
    <main first="rtdsrv_a82eb5a1fc404542a18b1336b70d2c4e">
      <tp>
        <v>5</v>
        <stp/>
        <stp>f382fd84-5832-4c78-a6db-d35f35598457</stp>
        <tr r="G3228" s="2"/>
      </tp>
      <tp>
        <v>5</v>
        <stp/>
        <stp>81f2d35a-b36e-4d53-af99-707f6d539230</stp>
        <tr r="G6019" s="2"/>
      </tp>
    </main>
    <main first="rtdsrv_a82eb5a1fc404542a18b1336b70d2c4e">
      <tp>
        <v>5</v>
        <stp/>
        <stp>8cd6bbff-4fd1-4eb9-9344-3d2b53296c81</stp>
        <tr r="G9219" s="2"/>
      </tp>
    </main>
    <main first="rtdsrv_a82eb5a1fc404542a18b1336b70d2c4e">
      <tp>
        <v>5</v>
        <stp/>
        <stp>d99d3c41-d772-4a78-91bf-b296f8831b51</stp>
        <tr r="G4447" s="2"/>
      </tp>
      <tp>
        <v>5</v>
        <stp/>
        <stp>1c764082-ef74-45f8-9f51-c53d925b9066</stp>
        <tr r="G9367" s="2"/>
      </tp>
      <tp>
        <v>5</v>
        <stp/>
        <stp>60c41422-bcb4-4c42-a1a4-188869ec1832</stp>
        <tr r="G9251" s="2"/>
      </tp>
    </main>
    <main first="rtdsrv_a82eb5a1fc404542a18b1336b70d2c4e">
      <tp>
        <v>5</v>
        <stp/>
        <stp>908cff79-128a-48bc-87ea-b30bbfbe18f3</stp>
        <tr r="G1611" s="2"/>
      </tp>
    </main>
    <main first="rtdsrv_a82eb5a1fc404542a18b1336b70d2c4e">
      <tp>
        <v>5</v>
        <stp/>
        <stp>cef1e1d7-0895-4f4d-a280-5bcbb7298a31</stp>
        <tr r="G4095" s="2"/>
      </tp>
    </main>
    <main first="rtdsrv_a82eb5a1fc404542a18b1336b70d2c4e">
      <tp>
        <v>5</v>
        <stp/>
        <stp>cdae11a1-bcf1-4836-abe7-1e5ca50df893</stp>
        <tr r="G8185" s="2"/>
      </tp>
    </main>
    <main first="rtdsrv_a82eb5a1fc404542a18b1336b70d2c4e">
      <tp>
        <v>5</v>
        <stp/>
        <stp>ef4438ff-2c02-4f6a-81b4-cfcfbf831c63</stp>
        <tr r="G9898" s="2"/>
      </tp>
    </main>
    <main first="rtdsrv_a82eb5a1fc404542a18b1336b70d2c4e">
      <tp>
        <v>5</v>
        <stp/>
        <stp>878dad63-8b17-4d74-852b-dfcdef483a0e</stp>
        <tr r="G9728" s="2"/>
      </tp>
    </main>
    <main first="rtdsrv_a82eb5a1fc404542a18b1336b70d2c4e">
      <tp>
        <v>5</v>
        <stp/>
        <stp>e45592d5-8b25-472a-abda-8f86da620055</stp>
        <tr r="G9069" s="2"/>
      </tp>
      <tp>
        <v>5</v>
        <stp/>
        <stp>0585bb1b-b865-4223-bb8a-e58d2b374e25</stp>
        <tr r="G2467" s="2"/>
      </tp>
    </main>
    <main first="rtdsrv_a82eb5a1fc404542a18b1336b70d2c4e">
      <tp>
        <v>5</v>
        <stp/>
        <stp>22999a74-52a7-4a48-8624-d5b220ee7ef1</stp>
        <tr r="G6119" s="2"/>
      </tp>
      <tp>
        <v>5</v>
        <stp/>
        <stp>e26b8667-f979-4fc0-b0fa-6869f141b132</stp>
        <tr r="G1923" s="2"/>
      </tp>
      <tp>
        <v>5</v>
        <stp/>
        <stp>004c7577-d2e2-40ee-9632-e0cc59971201</stp>
        <tr r="G6684" s="2"/>
      </tp>
    </main>
    <main first="rtdsrv_a82eb5a1fc404542a18b1336b70d2c4e">
      <tp>
        <v>5</v>
        <stp/>
        <stp>95fcb366-2247-4fe5-b321-6d992910ab24</stp>
        <tr r="G9340" s="2"/>
      </tp>
    </main>
    <main first="rtdsrv_a82eb5a1fc404542a18b1336b70d2c4e">
      <tp>
        <v>5</v>
        <stp/>
        <stp>52e18ceb-8103-47bb-8741-2187f54fb7ef</stp>
        <tr r="G7106" s="2"/>
      </tp>
    </main>
    <main first="rtdsrv_a82eb5a1fc404542a18b1336b70d2c4e">
      <tp>
        <v>5</v>
        <stp/>
        <stp>4ce10383-0a60-4a48-a26b-6cb0b420b5d4</stp>
        <tr r="G2162" s="2"/>
      </tp>
      <tp>
        <v>5</v>
        <stp/>
        <stp>47efc426-e584-439f-9ea0-a31abf8cf81a</stp>
        <tr r="G1612" s="2"/>
      </tp>
    </main>
    <main first="rtdsrv_a82eb5a1fc404542a18b1336b70d2c4e">
      <tp>
        <v>5</v>
        <stp/>
        <stp>87a8f2d3-379b-41fd-9c6a-7b9712796877</stp>
        <tr r="G8436" s="2"/>
      </tp>
    </main>
    <main first="rtdsrv_a82eb5a1fc404542a18b1336b70d2c4e">
      <tp>
        <v>5</v>
        <stp/>
        <stp>9678bf25-8b56-4f0d-ac2f-84865e634ce2</stp>
        <tr r="G4555" s="2"/>
      </tp>
    </main>
    <main first="rtdsrv_a82eb5a1fc404542a18b1336b70d2c4e">
      <tp>
        <v>5</v>
        <stp/>
        <stp>926a2100-8566-4170-803d-9b0b3e5c138e</stp>
        <tr r="G5862" s="2"/>
      </tp>
      <tp>
        <v>5</v>
        <stp/>
        <stp>22343561-e61c-48ac-af9f-f1929227674b</stp>
        <tr r="G9569" s="2"/>
      </tp>
      <tp>
        <v>5</v>
        <stp/>
        <stp>d9666984-df93-480a-ab04-585e9e5f1d65</stp>
        <tr r="G1997" s="2"/>
      </tp>
      <tp>
        <v>5</v>
        <stp/>
        <stp>aa6c929c-7e08-47b8-bdcf-c344ccc17c16</stp>
        <tr r="G6501" s="2"/>
      </tp>
    </main>
    <main first="rtdsrv_a82eb5a1fc404542a18b1336b70d2c4e">
      <tp>
        <v>5</v>
        <stp/>
        <stp>88aadf30-ce7c-4a4f-bd19-d1bb65cdebe5</stp>
        <tr r="G4520" s="2"/>
      </tp>
      <tp>
        <v>5</v>
        <stp/>
        <stp>702fc990-a1e8-4339-a694-8f0787d5b504</stp>
        <tr r="G576" s="2"/>
      </tp>
      <tp>
        <v>5</v>
        <stp/>
        <stp>ba6daa76-45cf-4ff4-93e0-6c31e9e77387</stp>
        <tr r="G7767" s="2"/>
      </tp>
      <tp>
        <v>5</v>
        <stp/>
        <stp>096edb1c-89e7-4893-97d7-624713b8c952</stp>
        <tr r="G1755" s="2"/>
      </tp>
      <tp>
        <v>5</v>
        <stp/>
        <stp>80de1307-2320-4540-9d5b-818449c5e046</stp>
        <tr r="G4817" s="2"/>
      </tp>
    </main>
    <main first="rtdsrv_a82eb5a1fc404542a18b1336b70d2c4e">
      <tp>
        <v>5</v>
        <stp/>
        <stp>ef835cbc-9b0f-4649-8297-5a6d6fe26775</stp>
        <tr r="G8276" s="2"/>
      </tp>
      <tp>
        <v>5</v>
        <stp/>
        <stp>75a59ac4-ebf0-404c-a3da-cc91fab8c817</stp>
        <tr r="G5204" s="2"/>
      </tp>
      <tp>
        <v>5</v>
        <stp/>
        <stp>914cf969-d3af-410c-8cb8-76c1a548cb52</stp>
        <tr r="G5279" s="2"/>
      </tp>
    </main>
    <main first="rtdsrv_a82eb5a1fc404542a18b1336b70d2c4e">
      <tp>
        <v>5</v>
        <stp/>
        <stp>e403a149-643d-4e13-a182-16926320a1bb</stp>
        <tr r="G2144" s="2"/>
      </tp>
    </main>
    <main first="rtdsrv_a82eb5a1fc404542a18b1336b70d2c4e">
      <tp>
        <v>5</v>
        <stp/>
        <stp>f051210e-54bd-49d3-a304-d8f8a077330d</stp>
        <tr r="G5514" s="2"/>
      </tp>
      <tp>
        <v>5</v>
        <stp/>
        <stp>c9d04436-731d-439d-a162-55651dac65e6</stp>
        <tr r="G5860" s="2"/>
      </tp>
      <tp>
        <v>5</v>
        <stp/>
        <stp>38fe13cd-ff4b-46af-a2ed-74018b66b4ec</stp>
        <tr r="G5468" s="2"/>
      </tp>
    </main>
    <main first="rtdsrv_a82eb5a1fc404542a18b1336b70d2c4e">
      <tp>
        <v>5</v>
        <stp/>
        <stp>433f9b19-f3cc-45b9-8412-3753df35aba4</stp>
        <tr r="G7865" s="2"/>
      </tp>
    </main>
    <main first="rtdsrv_a82eb5a1fc404542a18b1336b70d2c4e">
      <tp>
        <v>5</v>
        <stp/>
        <stp>986e1723-fda5-4df3-ac42-aeb913a09454</stp>
        <tr r="G5054" s="2"/>
      </tp>
    </main>
    <main first="rtdsrv_a82eb5a1fc404542a18b1336b70d2c4e">
      <tp>
        <v>5</v>
        <stp/>
        <stp>12712984-fce3-4256-aef9-f973395a9134</stp>
        <tr r="G2440" s="2"/>
      </tp>
      <tp>
        <v>5</v>
        <stp/>
        <stp>d9da36c1-edfb-4521-a572-baac3e165dea</stp>
        <tr r="G3031" s="2"/>
      </tp>
    </main>
    <main first="rtdsrv_a82eb5a1fc404542a18b1336b70d2c4e">
      <tp>
        <v>5</v>
        <stp/>
        <stp>c3b6063b-2b18-4a4a-a83a-fe3f6525697d</stp>
        <tr r="G6812" s="2"/>
      </tp>
    </main>
    <main first="rtdsrv_a82eb5a1fc404542a18b1336b70d2c4e">
      <tp>
        <v>5</v>
        <stp/>
        <stp>5835ff82-4e87-4e5b-b759-5b2611e2bbdc</stp>
        <tr r="G3736" s="2"/>
      </tp>
    </main>
    <main first="rtdsrv_a82eb5a1fc404542a18b1336b70d2c4e">
      <tp>
        <v>5</v>
        <stp/>
        <stp>b5f59086-60f1-47a1-ae9a-3ebe318e8c09</stp>
        <tr r="G6719" s="2"/>
      </tp>
    </main>
    <main first="rtdsrv_a82eb5a1fc404542a18b1336b70d2c4e">
      <tp>
        <v>5</v>
        <stp/>
        <stp>8f00715d-97a6-4fb3-bf3c-01e430f64c79</stp>
        <tr r="G9327" s="2"/>
      </tp>
      <tp>
        <v>5</v>
        <stp/>
        <stp>e6e97fd8-cda3-4c2d-a6ae-df634e5089f5</stp>
        <tr r="G4027" s="2"/>
      </tp>
      <tp>
        <v>5</v>
        <stp/>
        <stp>78c86375-656f-4882-adb6-fcc6a0a4a205</stp>
        <tr r="G5273" s="2"/>
      </tp>
      <tp>
        <v>5</v>
        <stp/>
        <stp>2f7bd1a2-979b-44e2-8b60-70b7fce77532</stp>
        <tr r="G8308" s="2"/>
      </tp>
    </main>
    <main first="rtdsrv_a82eb5a1fc404542a18b1336b70d2c4e">
      <tp>
        <v>5</v>
        <stp/>
        <stp>77b16a33-3526-4563-9df2-754c682af15a</stp>
        <tr r="G9174" s="2"/>
      </tp>
    </main>
    <main first="rtdsrv_a82eb5a1fc404542a18b1336b70d2c4e">
      <tp>
        <v>5</v>
        <stp/>
        <stp>fb61f586-3501-4d19-bdcd-7786c3952686</stp>
        <tr r="G5633" s="2"/>
      </tp>
      <tp>
        <v>5</v>
        <stp/>
        <stp>db4ea623-8759-43a2-a2aa-9077559fd68d</stp>
        <tr r="G626" s="2"/>
      </tp>
      <tp>
        <v>5</v>
        <stp/>
        <stp>645612d9-126d-46c7-81e3-1c2e98a5b2ee</stp>
        <tr r="G6140" s="2"/>
      </tp>
      <tp>
        <v>5</v>
        <stp/>
        <stp>3c28fa11-93a5-43a1-854d-66c785c5012c</stp>
        <tr r="G7071" s="2"/>
      </tp>
      <tp>
        <v>5</v>
        <stp/>
        <stp>02ab3a68-812a-4763-9dde-7c004cdde011</stp>
        <tr r="G4633" s="2"/>
      </tp>
    </main>
    <main first="rtdsrv_a82eb5a1fc404542a18b1336b70d2c4e">
      <tp>
        <v>5</v>
        <stp/>
        <stp>fadebf2b-8452-4b69-b63b-8d2a89ef2d19</stp>
        <tr r="G8465" s="2"/>
      </tp>
      <tp>
        <v>5</v>
        <stp/>
        <stp>9122b45b-0419-47f7-8092-00c4406bc727</stp>
        <tr r="G555" s="2"/>
      </tp>
      <tp>
        <v>5</v>
        <stp/>
        <stp>c83def4b-eea1-43f2-987d-aee894d8bcab</stp>
        <tr r="G6519" s="2"/>
      </tp>
      <tp>
        <v>5</v>
        <stp/>
        <stp>19b42503-27cc-4d2c-bbe6-ee28b4c47eda</stp>
        <tr r="G9932" s="2"/>
      </tp>
    </main>
    <main first="rtdsrv_a82eb5a1fc404542a18b1336b70d2c4e">
      <tp>
        <v>5</v>
        <stp/>
        <stp>cf17b9ce-8d41-49ee-8081-b7491c431baf</stp>
        <tr r="G677" s="2"/>
      </tp>
      <tp>
        <v>5</v>
        <stp/>
        <stp>3ef7d2b5-2221-4d54-b15c-23070944db7a</stp>
        <tr r="G77" s="2"/>
      </tp>
    </main>
    <main first="rtdsrv_a82eb5a1fc404542a18b1336b70d2c4e">
      <tp>
        <v>5</v>
        <stp/>
        <stp>dd2dd57c-527c-48c4-828f-8da212bd7241</stp>
        <tr r="G9163" s="2"/>
      </tp>
    </main>
    <main first="rtdsrv_a82eb5a1fc404542a18b1336b70d2c4e">
      <tp>
        <v>5</v>
        <stp/>
        <stp>3cc79c58-2bef-41f0-a3d8-fb7779efc189</stp>
        <tr r="G8549" s="2"/>
      </tp>
    </main>
    <main first="rtdsrv_a82eb5a1fc404542a18b1336b70d2c4e">
      <tp>
        <v>5</v>
        <stp/>
        <stp>583fc0cf-a104-4be7-a54b-8d13b5cd7777</stp>
        <tr r="G6025" s="2"/>
      </tp>
      <tp>
        <v>5</v>
        <stp/>
        <stp>74f49bde-dbfc-4661-ae66-59e31de95d07</stp>
        <tr r="G756" s="2"/>
      </tp>
      <tp>
        <v>5</v>
        <stp/>
        <stp>9c8ea78f-a46c-4c48-875c-e33525557276</stp>
        <tr r="G3685" s="2"/>
      </tp>
      <tp>
        <v>5</v>
        <stp/>
        <stp>af67465d-95c9-44df-a511-9bb966640f53</stp>
        <tr r="G3187" s="2"/>
      </tp>
      <tp>
        <v>5</v>
        <stp/>
        <stp>e964f173-460f-4ab7-a795-0678d1b31909</stp>
        <tr r="G1057" s="2"/>
      </tp>
      <tp>
        <v>5</v>
        <stp/>
        <stp>44ee923f-976c-4373-b2a4-3132514dda57</stp>
        <tr r="G1077" s="2"/>
      </tp>
      <tp>
        <v>5</v>
        <stp/>
        <stp>a8f01e57-ea85-43f7-8bcd-1b16cc60ca62</stp>
        <tr r="G9108" s="2"/>
      </tp>
    </main>
    <main first="rtdsrv_a82eb5a1fc404542a18b1336b70d2c4e">
      <tp>
        <v>5</v>
        <stp/>
        <stp>afb25501-9bbd-429e-8fc0-5bc9fc45da0d</stp>
        <tr r="G7265" s="2"/>
      </tp>
      <tp>
        <v>5</v>
        <stp/>
        <stp>6e1aea6c-9717-401e-bf05-abe2026eb415</stp>
        <tr r="G6827" s="2"/>
      </tp>
    </main>
    <main first="rtdsrv_a82eb5a1fc404542a18b1336b70d2c4e">
      <tp>
        <v>5</v>
        <stp/>
        <stp>fb1e2c7d-8346-46bd-95c7-84dfbdb5fbcb</stp>
        <tr r="G7707" s="2"/>
      </tp>
    </main>
    <main first="rtdsrv_a82eb5a1fc404542a18b1336b70d2c4e">
      <tp>
        <v>5</v>
        <stp/>
        <stp>02e203e0-591a-4ae4-a695-7fa4d19dbb31</stp>
        <tr r="G7972" s="2"/>
      </tp>
    </main>
    <main first="rtdsrv_a82eb5a1fc404542a18b1336b70d2c4e">
      <tp>
        <v>5</v>
        <stp/>
        <stp>cde13c69-62c7-423f-ab98-849b674dda3f</stp>
        <tr r="G9674" s="2"/>
      </tp>
    </main>
    <main first="rtdsrv_a82eb5a1fc404542a18b1336b70d2c4e">
      <tp>
        <v>5</v>
        <stp/>
        <stp>aaae18e5-eaf8-4d57-8820-ef45e7bcfddf</stp>
        <tr r="G3655" s="2"/>
      </tp>
      <tp>
        <v>5</v>
        <stp/>
        <stp>7a7e8b54-3e42-4900-a2f5-aeea46e5a952</stp>
        <tr r="G8585" s="2"/>
      </tp>
      <tp>
        <v>5</v>
        <stp/>
        <stp>809ed913-65e2-44bc-9a69-ef12e8b8e872</stp>
        <tr r="G968" s="2"/>
      </tp>
      <tp>
        <v>5</v>
        <stp/>
        <stp>28dbd11b-73c7-4a1e-975e-f7c22fa9e3a7</stp>
        <tr r="G2140" s="2"/>
      </tp>
      <tp>
        <v>5</v>
        <stp/>
        <stp>113aff2f-5371-4d19-ac7e-946a6f75426f</stp>
        <tr r="G4087" s="2"/>
      </tp>
      <tp>
        <v>5</v>
        <stp/>
        <stp>76eaa917-6d3c-4ed7-bedc-aada95d7f235</stp>
        <tr r="G94" s="2"/>
      </tp>
      <tp>
        <v>5</v>
        <stp/>
        <stp>156f4e8b-c9ea-40ed-a573-5811ea6035c3</stp>
        <tr r="G1205" s="2"/>
      </tp>
      <tp>
        <v>5</v>
        <stp/>
        <stp>b35aa49f-2fba-4ca8-873c-614243e93087</stp>
        <tr r="G971" s="2"/>
      </tp>
      <tp>
        <v>5</v>
        <stp/>
        <stp>3f7252bf-80e7-4a6c-8fc9-aca6338420ef</stp>
        <tr r="G4679" s="2"/>
      </tp>
      <tp>
        <v>5</v>
        <stp/>
        <stp>ebbad6b6-e436-4417-93cf-1512f8afcdb3</stp>
        <tr r="G5491" s="2"/>
      </tp>
      <tp>
        <v>5</v>
        <stp/>
        <stp>ce65fd9c-ef4a-44a8-bde0-16253e818f38</stp>
        <tr r="G7056" s="2"/>
      </tp>
    </main>
    <main first="rtdsrv_a82eb5a1fc404542a18b1336b70d2c4e">
      <tp>
        <v>5</v>
        <stp/>
        <stp>45e34613-f71d-46c0-9394-a3cee6c0fe7b</stp>
        <tr r="G8392" s="2"/>
      </tp>
      <tp>
        <v>5</v>
        <stp/>
        <stp>f249a202-ea46-42a3-a8a1-b0dc43b12825</stp>
        <tr r="G3264" s="2"/>
      </tp>
      <tp>
        <v>5</v>
        <stp/>
        <stp>6b841bdf-af24-437e-961d-231ef889f27b</stp>
        <tr r="G6022" s="2"/>
      </tp>
      <tp>
        <v>5</v>
        <stp/>
        <stp>4a5cf4c8-e808-4cb9-9141-0be3aabb5286</stp>
        <tr r="G9799" s="2"/>
      </tp>
      <tp>
        <v>5</v>
        <stp/>
        <stp>53b953be-f73d-4809-832d-803372993c95</stp>
        <tr r="G6870" s="2"/>
      </tp>
      <tp>
        <v>5</v>
        <stp/>
        <stp>470a18ca-4a98-4409-883b-15a67023c8cb</stp>
        <tr r="G5388" s="2"/>
      </tp>
      <tp>
        <v>5</v>
        <stp/>
        <stp>9e019502-6f15-470f-a4ff-ab2278da206e</stp>
        <tr r="G8768" s="2"/>
      </tp>
      <tp>
        <v>5</v>
        <stp/>
        <stp>fc18914f-e882-4deb-b374-c9f97f875176</stp>
        <tr r="G8325" s="2"/>
      </tp>
      <tp>
        <v>5</v>
        <stp/>
        <stp>a37147b6-bd78-4e38-90e4-34cbe6cc75e7</stp>
        <tr r="G3381" s="2"/>
      </tp>
      <tp>
        <v>5</v>
        <stp/>
        <stp>fcd3f527-53fc-4f3b-99b0-39f6dd0142ca</stp>
        <tr r="G2108" s="2"/>
      </tp>
    </main>
    <main first="rtdsrv_a82eb5a1fc404542a18b1336b70d2c4e">
      <tp>
        <v>5</v>
        <stp/>
        <stp>18807400-08bb-4c70-bb0c-bf2ec2e76de1</stp>
        <tr r="G3053" s="2"/>
      </tp>
      <tp>
        <v>5</v>
        <stp/>
        <stp>70900b9b-5607-4b19-af0f-a20cac4e335d</stp>
        <tr r="G8672" s="2"/>
      </tp>
    </main>
    <main first="rtdsrv_a82eb5a1fc404542a18b1336b70d2c4e">
      <tp>
        <v>5</v>
        <stp/>
        <stp>6c3f882a-2192-47f6-9040-bc6174b64058</stp>
        <tr r="G8539" s="2"/>
      </tp>
    </main>
    <main first="rtdsrv_a82eb5a1fc404542a18b1336b70d2c4e">
      <tp>
        <v>5</v>
        <stp/>
        <stp>c018941b-818b-4155-9713-ea1ef1ba6d0d</stp>
        <tr r="G3044" s="2"/>
      </tp>
      <tp>
        <v>5</v>
        <stp/>
        <stp>055761fb-c2ef-47b8-aec2-f3288744b44a</stp>
        <tr r="G6188" s="2"/>
      </tp>
      <tp>
        <v>5</v>
        <stp/>
        <stp>5f656a3a-589b-4bce-b388-86006e12a0ed</stp>
        <tr r="G6563" s="2"/>
      </tp>
      <tp>
        <v>5</v>
        <stp/>
        <stp>98051f96-a226-474e-ad69-8112dfccd71b</stp>
        <tr r="G2071" s="2"/>
      </tp>
    </main>
    <main first="rtdsrv_a82eb5a1fc404542a18b1336b70d2c4e">
      <tp>
        <v>5</v>
        <stp/>
        <stp>5abf853a-efbf-4cd8-bad3-45cc3c74471d</stp>
        <tr r="G8885" s="2"/>
      </tp>
      <tp>
        <v>5</v>
        <stp/>
        <stp>b6dc41a3-02f3-4238-85bb-e57b82e95ff0</stp>
        <tr r="G1932" s="2"/>
      </tp>
    </main>
    <main first="rtdsrv_a82eb5a1fc404542a18b1336b70d2c4e">
      <tp>
        <v>5</v>
        <stp/>
        <stp>92b630e1-c791-4376-a400-aa54891cb3ea</stp>
        <tr r="G9686" s="2"/>
      </tp>
      <tp>
        <v>5</v>
        <stp/>
        <stp>7ba8c9f8-ed32-4d29-ab5a-d9eede440b1c</stp>
        <tr r="G2165" s="2"/>
      </tp>
    </main>
    <main first="rtdsrv_a82eb5a1fc404542a18b1336b70d2c4e">
      <tp>
        <v>5</v>
        <stp/>
        <stp>0864af24-ee6b-42bb-b76a-3453e53b6bd7</stp>
        <tr r="G3542" s="2"/>
      </tp>
      <tp>
        <v>5</v>
        <stp/>
        <stp>c0ddfeda-8d89-4ac1-b622-c7611c557677</stp>
        <tr r="G2115" s="2"/>
      </tp>
    </main>
    <main first="rtdsrv_a82eb5a1fc404542a18b1336b70d2c4e">
      <tp>
        <v>5</v>
        <stp/>
        <stp>5d4ef9d8-bcc9-40f3-aece-c5034447db0a</stp>
        <tr r="G4032" s="2"/>
      </tp>
    </main>
    <main first="rtdsrv_a82eb5a1fc404542a18b1336b70d2c4e">
      <tp>
        <v>5</v>
        <stp/>
        <stp>7b600ca2-9daa-405a-8a55-a8f5a9d90af7</stp>
        <tr r="G1045" s="2"/>
      </tp>
      <tp>
        <v>5</v>
        <stp/>
        <stp>061d64c0-50db-44d2-9597-15c05aed8d18</stp>
        <tr r="G4030" s="2"/>
      </tp>
      <tp>
        <v>5</v>
        <stp/>
        <stp>5154c667-8108-4351-9040-3c18a1b50d3f</stp>
        <tr r="G8206" s="2"/>
      </tp>
    </main>
    <main first="rtdsrv_a82eb5a1fc404542a18b1336b70d2c4e">
      <tp>
        <v>5</v>
        <stp/>
        <stp>37e84981-e2bc-4a87-ac70-50fccebf7292</stp>
        <tr r="G3175" s="2"/>
      </tp>
    </main>
    <main first="rtdsrv_a82eb5a1fc404542a18b1336b70d2c4e">
      <tp>
        <v>5</v>
        <stp/>
        <stp>a1edbe04-0b8b-4f20-8f01-680cb47cfdb0</stp>
        <tr r="G6272" s="2"/>
      </tp>
      <tp>
        <v>5</v>
        <stp/>
        <stp>7262a3e0-7305-46c3-be13-ae92291edd81</stp>
        <tr r="G9159" s="2"/>
      </tp>
    </main>
    <main first="rtdsrv_a82eb5a1fc404542a18b1336b70d2c4e">
      <tp>
        <v>5</v>
        <stp/>
        <stp>f64683f2-9b4b-4027-bccd-dfbc214763a4</stp>
        <tr r="G568" s="2"/>
      </tp>
    </main>
    <main first="rtdsrv_a82eb5a1fc404542a18b1336b70d2c4e">
      <tp>
        <v>5</v>
        <stp/>
        <stp>246f24cc-7fc0-491a-b786-7bd8dd71cd58</stp>
        <tr r="G471" s="2"/>
      </tp>
      <tp>
        <v>5</v>
        <stp/>
        <stp>19625807-c8f7-47d4-9997-e7a1cf2f4297</stp>
        <tr r="G3208" s="2"/>
      </tp>
    </main>
    <main first="rtdsrv_a82eb5a1fc404542a18b1336b70d2c4e">
      <tp>
        <v>5</v>
        <stp/>
        <stp>fd07aa59-6e92-4698-8d9d-30fcf7ef79d5</stp>
        <tr r="G278" s="2"/>
      </tp>
    </main>
    <main first="rtdsrv_a82eb5a1fc404542a18b1336b70d2c4e">
      <tp>
        <v>5</v>
        <stp/>
        <stp>03a20470-9403-466c-a14c-4dcde20d6313</stp>
        <tr r="G7556" s="2"/>
      </tp>
      <tp>
        <v>5</v>
        <stp/>
        <stp>dec1c44c-1561-4612-bcf4-50ea08a50012</stp>
        <tr r="G8130" s="2"/>
      </tp>
    </main>
    <main first="rtdsrv_a82eb5a1fc404542a18b1336b70d2c4e">
      <tp>
        <v>5</v>
        <stp/>
        <stp>9671392a-884f-4e43-9597-bd43bed7909b</stp>
        <tr r="G3017" s="2"/>
      </tp>
    </main>
    <main first="rtdsrv_a82eb5a1fc404542a18b1336b70d2c4e">
      <tp>
        <v>5</v>
        <stp/>
        <stp>2ef79ada-2bbe-4144-808c-9cf877691b0d</stp>
        <tr r="G9321" s="2"/>
      </tp>
      <tp>
        <v>5</v>
        <stp/>
        <stp>bcfa6b7b-27f3-4a4e-8743-a8f11ba6341b</stp>
        <tr r="G375" s="2"/>
      </tp>
    </main>
    <main first="rtdsrv_a82eb5a1fc404542a18b1336b70d2c4e">
      <tp>
        <v>5</v>
        <stp/>
        <stp>616437fc-3061-4493-bc9a-808a0760073f</stp>
        <tr r="G2845" s="2"/>
      </tp>
    </main>
    <main first="rtdsrv_a82eb5a1fc404542a18b1336b70d2c4e">
      <tp>
        <v>5</v>
        <stp/>
        <stp>a60de980-ef78-40de-9f8d-41f0a8b6412b</stp>
        <tr r="G5344" s="2"/>
      </tp>
      <tp>
        <v>5</v>
        <stp/>
        <stp>318f3fea-e48f-4d6d-856e-0cce1409c8c1</stp>
        <tr r="G1613" s="2"/>
      </tp>
    </main>
    <main first="rtdsrv_a82eb5a1fc404542a18b1336b70d2c4e">
      <tp>
        <v>5</v>
        <stp/>
        <stp>4f62aed2-83ea-488e-aca7-df075a91c7c1</stp>
        <tr r="G8004" s="2"/>
      </tp>
      <tp>
        <v>5</v>
        <stp/>
        <stp>ea364542-6008-4c63-8c62-e88024bd6dc0</stp>
        <tr r="G1867" s="2"/>
      </tp>
    </main>
    <main first="rtdsrv_a82eb5a1fc404542a18b1336b70d2c4e">
      <tp>
        <v>5</v>
        <stp/>
        <stp>24e21686-db33-444f-90aa-31d3492d4f49</stp>
        <tr r="G3400" s="2"/>
      </tp>
    </main>
    <main first="rtdsrv_a82eb5a1fc404542a18b1336b70d2c4e">
      <tp>
        <v>5</v>
        <stp/>
        <stp>338fb2b4-17ac-46c4-a105-98757bd14a75</stp>
        <tr r="G790" s="2"/>
      </tp>
    </main>
    <main first="rtdsrv_a82eb5a1fc404542a18b1336b70d2c4e">
      <tp>
        <v>5</v>
        <stp/>
        <stp>82995e5e-3062-4f28-a670-e418364e0f5c</stp>
        <tr r="G9751" s="2"/>
      </tp>
    </main>
    <main first="rtdsrv_a82eb5a1fc404542a18b1336b70d2c4e">
      <tp>
        <v>5</v>
        <stp/>
        <stp>d086a80f-1f98-4511-a7a9-6b2a37a68387</stp>
        <tr r="G4335" s="2"/>
      </tp>
      <tp>
        <v>5</v>
        <stp/>
        <stp>fe763e10-2612-4134-a09f-998429b59008</stp>
        <tr r="G5543" s="2"/>
      </tp>
      <tp>
        <v>5</v>
        <stp/>
        <stp>849a5bdd-65ff-44fd-8ff4-684e40b01e6d</stp>
        <tr r="G9293" s="2"/>
      </tp>
    </main>
    <main first="rtdsrv_a82eb5a1fc404542a18b1336b70d2c4e">
      <tp>
        <v>5</v>
        <stp/>
        <stp>20794a80-6670-4ac8-93c4-48d16304d8df</stp>
        <tr r="G5794" s="2"/>
      </tp>
      <tp>
        <v>5</v>
        <stp/>
        <stp>898e2d07-4a6c-41e7-b9cd-48f009dc032c</stp>
        <tr r="G506" s="2"/>
      </tp>
    </main>
    <main first="rtdsrv_a82eb5a1fc404542a18b1336b70d2c4e">
      <tp>
        <v>5</v>
        <stp/>
        <stp>b107417e-9976-42d1-a291-8edc8ccf3851</stp>
        <tr r="G6627" s="2"/>
      </tp>
      <tp>
        <v>5</v>
        <stp/>
        <stp>6c8735d2-1b82-403a-a345-0406c9d810ba</stp>
        <tr r="G1590" s="2"/>
      </tp>
      <tp>
        <v>5</v>
        <stp/>
        <stp>86b9ab51-3126-41d3-b0da-6849949dc378</stp>
        <tr r="G1690" s="2"/>
      </tp>
    </main>
    <main first="rtdsrv_a82eb5a1fc404542a18b1336b70d2c4e">
      <tp>
        <v>5</v>
        <stp/>
        <stp>5b7fa978-2091-450f-add0-979715f32fb9</stp>
        <tr r="G5440" s="2"/>
      </tp>
    </main>
    <main first="rtdsrv_a82eb5a1fc404542a18b1336b70d2c4e">
      <tp>
        <v>5</v>
        <stp/>
        <stp>f5ef93d8-937e-4827-9234-e588d7249618</stp>
        <tr r="G643" s="2"/>
      </tp>
      <tp>
        <v>5</v>
        <stp/>
        <stp>72a94bc4-ff7b-4c64-8dad-291820576e92</stp>
        <tr r="G7834" s="2"/>
      </tp>
    </main>
    <main first="rtdsrv_a82eb5a1fc404542a18b1336b70d2c4e">
      <tp>
        <v>5</v>
        <stp/>
        <stp>88cb3cfa-1881-4a9a-bd62-1e3024166c0d</stp>
        <tr r="G3730" s="2"/>
      </tp>
      <tp>
        <v>5</v>
        <stp/>
        <stp>fb1d9bd9-acea-4eb7-8178-e34f883fee7a</stp>
        <tr r="G9500" s="2"/>
      </tp>
      <tp>
        <v>5</v>
        <stp/>
        <stp>fcc073b7-05e9-4712-8067-52dba8a9ba82</stp>
        <tr r="G8564" s="2"/>
      </tp>
      <tp>
        <v>5</v>
        <stp/>
        <stp>81ad3aba-137c-4594-b983-a39d5abdf0ff</stp>
        <tr r="G4455" s="2"/>
      </tp>
    </main>
    <main first="rtdsrv_a82eb5a1fc404542a18b1336b70d2c4e">
      <tp>
        <v>5</v>
        <stp/>
        <stp>9c8064da-dd05-4606-bf21-59a2e3b0124c</stp>
        <tr r="G5932" s="2"/>
      </tp>
      <tp>
        <v>5</v>
        <stp/>
        <stp>ca89c0a3-92a2-4a4a-8064-8ef38beb87b4</stp>
        <tr r="G7379" s="2"/>
      </tp>
    </main>
    <main first="rtdsrv_a82eb5a1fc404542a18b1336b70d2c4e">
      <tp>
        <v>5</v>
        <stp/>
        <stp>f8bfc001-ee43-48f2-b503-5f372306859d</stp>
        <tr r="G8299" s="2"/>
      </tp>
      <tp>
        <v>5</v>
        <stp/>
        <stp>b549691b-b913-4cac-b676-72e1f527a2c3</stp>
        <tr r="G3475" s="2"/>
      </tp>
    </main>
    <main first="rtdsrv_a82eb5a1fc404542a18b1336b70d2c4e">
      <tp>
        <v>5</v>
        <stp/>
        <stp>5850f949-a254-4992-bc70-ac82e9f9a0c4</stp>
        <tr r="G8687" s="2"/>
      </tp>
    </main>
    <main first="rtdsrv_a82eb5a1fc404542a18b1336b70d2c4e">
      <tp>
        <v>5</v>
        <stp/>
        <stp>6f204aaf-2ffa-474d-be96-1c3b536d379e</stp>
        <tr r="G9967" s="2"/>
      </tp>
    </main>
    <main first="rtdsrv_a82eb5a1fc404542a18b1336b70d2c4e">
      <tp>
        <v>5</v>
        <stp/>
        <stp>bea04bf0-a0dd-4f84-8d42-e728af8ed80e</stp>
        <tr r="G6085" s="2"/>
      </tp>
      <tp>
        <v>5</v>
        <stp/>
        <stp>7ccaf4f0-e47f-44cf-b511-1192dc58e836</stp>
        <tr r="G2068" s="2"/>
      </tp>
      <tp>
        <v>5</v>
        <stp/>
        <stp>393a1733-c7e9-4e9b-8e73-45b7f6a0a48c</stp>
        <tr r="G9996" s="2"/>
      </tp>
      <tp>
        <v>5</v>
        <stp/>
        <stp>e8374f0c-70d6-4307-83b0-06796f382c85</stp>
        <tr r="G1578" s="2"/>
      </tp>
    </main>
    <main first="rtdsrv_a82eb5a1fc404542a18b1336b70d2c4e">
      <tp>
        <v>5</v>
        <stp/>
        <stp>6fb7dc13-19ae-4c2a-8a43-e3ad0e698812</stp>
        <tr r="G2855" s="2"/>
      </tp>
      <tp>
        <v>5</v>
        <stp/>
        <stp>bac06975-4347-4388-8d53-53e8cd61d98b</stp>
        <tr r="G729" s="2"/>
      </tp>
      <tp>
        <v>5</v>
        <stp/>
        <stp>994f0b4f-30d0-4f85-b304-4bf22dd07d90</stp>
        <tr r="G1455" s="2"/>
      </tp>
    </main>
    <main first="rtdsrv_a82eb5a1fc404542a18b1336b70d2c4e">
      <tp>
        <v>5</v>
        <stp/>
        <stp>d38de8ee-1ad3-4e10-81f6-bec2f75e51c1</stp>
        <tr r="G9647" s="2"/>
      </tp>
    </main>
    <main first="rtdsrv_a82eb5a1fc404542a18b1336b70d2c4e">
      <tp>
        <v>5</v>
        <stp/>
        <stp>9aa1622c-722a-4614-b146-9113db8408f5</stp>
        <tr r="G9726" s="2"/>
      </tp>
    </main>
    <main first="rtdsrv_a82eb5a1fc404542a18b1336b70d2c4e">
      <tp>
        <v>5</v>
        <stp/>
        <stp>2da47eeb-9407-4a5f-8068-16c917f8af57</stp>
        <tr r="G3022" s="2"/>
      </tp>
    </main>
    <main first="rtdsrv_a82eb5a1fc404542a18b1336b70d2c4e">
      <tp>
        <v>5</v>
        <stp/>
        <stp>55762d94-868f-4fb1-b9ee-a3e234a9c5ad</stp>
        <tr r="G9868" s="2"/>
      </tp>
      <tp>
        <v>5</v>
        <stp/>
        <stp>04c81907-91b0-45c9-8719-a72dba5d3ed2</stp>
        <tr r="G286" s="2"/>
      </tp>
    </main>
    <main first="rtdsrv_a82eb5a1fc404542a18b1336b70d2c4e">
      <tp>
        <v>5</v>
        <stp/>
        <stp>748ec6c4-ca92-4491-9921-5f6d092a426a</stp>
        <tr r="G9675" s="2"/>
      </tp>
      <tp>
        <v>5</v>
        <stp/>
        <stp>56a5fddf-6f79-41a6-846b-ace7909068df</stp>
        <tr r="G4344" s="2"/>
      </tp>
    </main>
    <main first="rtdsrv_a82eb5a1fc404542a18b1336b70d2c4e">
      <tp>
        <v>5</v>
        <stp/>
        <stp>5875b46e-5639-46ef-901d-f0d59a93307d</stp>
        <tr r="G9478" s="2"/>
      </tp>
      <tp>
        <v>5</v>
        <stp/>
        <stp>be4db3bb-6e3b-4796-973f-bf3079f47590</stp>
        <tr r="G8220" s="2"/>
      </tp>
      <tp>
        <v>5</v>
        <stp/>
        <stp>44b900e0-8a44-41fc-994a-4ec7e098d1d1</stp>
        <tr r="G1949" s="2"/>
      </tp>
    </main>
    <main first="rtdsrv_a82eb5a1fc404542a18b1336b70d2c4e">
      <tp>
        <v>5</v>
        <stp/>
        <stp>54b80bd2-e6be-4ff9-b298-a95976a1a3e2</stp>
        <tr r="G7667" s="2"/>
      </tp>
      <tp>
        <v>5</v>
        <stp/>
        <stp>dca77592-d24c-4cd2-9f95-e5c4c2312168</stp>
        <tr r="G3769" s="2"/>
      </tp>
      <tp>
        <v>5</v>
        <stp/>
        <stp>a03a44a7-efd6-4510-ad49-2d439957b753</stp>
        <tr r="G9082" s="2"/>
      </tp>
      <tp>
        <v>5</v>
        <stp/>
        <stp>69f27b91-a3bf-4988-a180-c037637306ab</stp>
        <tr r="G7532" s="2"/>
      </tp>
      <tp>
        <v>5</v>
        <stp/>
        <stp>887ccd32-6fd2-45a7-8ac7-abff6a930236</stp>
        <tr r="G5857" s="2"/>
      </tp>
    </main>
    <main first="rtdsrv_a82eb5a1fc404542a18b1336b70d2c4e">
      <tp>
        <v>5</v>
        <stp/>
        <stp>ddda385f-e926-4dc9-8c9b-65eccf128ed9</stp>
        <tr r="G8516" s="2"/>
      </tp>
      <tp>
        <v>5</v>
        <stp/>
        <stp>f67fd3a2-36cf-4249-a622-3695c6d7b25d</stp>
        <tr r="G1341" s="2"/>
      </tp>
    </main>
    <main first="rtdsrv_a82eb5a1fc404542a18b1336b70d2c4e">
      <tp>
        <v>5</v>
        <stp/>
        <stp>d24038e8-caec-4454-b76f-68eb3802fd9d</stp>
        <tr r="G2572" s="2"/>
      </tp>
    </main>
    <main first="rtdsrv_a82eb5a1fc404542a18b1336b70d2c4e">
      <tp>
        <v>5</v>
        <stp/>
        <stp>bee42de2-af6c-4798-9d68-b743f0ef5f5c</stp>
        <tr r="G3284" s="2"/>
      </tp>
      <tp>
        <v>5</v>
        <stp/>
        <stp>c4254409-387c-405e-af86-c5f2a24defd4</stp>
        <tr r="G967" s="2"/>
      </tp>
    </main>
    <main first="rtdsrv_a82eb5a1fc404542a18b1336b70d2c4e">
      <tp>
        <v>5</v>
        <stp/>
        <stp>f886d3d6-750b-48aa-beef-b3397b076f66</stp>
        <tr r="G5488" s="2"/>
      </tp>
      <tp>
        <v>5</v>
        <stp/>
        <stp>f464155e-8280-4e6f-9516-ae4fd794e305</stp>
        <tr r="G2518" s="2"/>
      </tp>
      <tp>
        <v>5</v>
        <stp/>
        <stp>3e980865-5038-425f-94af-af0394fe1250</stp>
        <tr r="G9727" s="2"/>
      </tp>
    </main>
    <main first="rtdsrv_a82eb5a1fc404542a18b1336b70d2c4e">
      <tp>
        <v>5</v>
        <stp/>
        <stp>d60fb8e0-818f-486d-b998-371cce6e96aa</stp>
        <tr r="G5559" s="2"/>
      </tp>
      <tp>
        <v>5</v>
        <stp/>
        <stp>d1402425-9833-45f2-9cd5-e2058e2aa233</stp>
        <tr r="G9571" s="2"/>
      </tp>
    </main>
    <main first="rtdsrv_a82eb5a1fc404542a18b1336b70d2c4e">
      <tp>
        <v>5</v>
        <stp/>
        <stp>639e91db-2154-4f97-aafd-a37de957ad09</stp>
        <tr r="G657" s="2"/>
      </tp>
    </main>
    <main first="rtdsrv_a82eb5a1fc404542a18b1336b70d2c4e">
      <tp>
        <v>5</v>
        <stp/>
        <stp>159e0524-9c12-47d5-925d-6e895e988674</stp>
        <tr r="G7301" s="2"/>
      </tp>
      <tp>
        <v>5</v>
        <stp/>
        <stp>edd2cb52-91bd-4ffc-9aa1-5c999ceae26a</stp>
        <tr r="G1868" s="2"/>
      </tp>
      <tp>
        <v>5</v>
        <stp/>
        <stp>00e81009-2c7c-4918-903d-dd91d3e12a53</stp>
        <tr r="G8463" s="2"/>
      </tp>
      <tp>
        <v>5</v>
        <stp/>
        <stp>2f201ff3-55ac-46f0-b3f4-78c60f8dd25a</stp>
        <tr r="G7533" s="2"/>
      </tp>
    </main>
    <main first="rtdsrv_a82eb5a1fc404542a18b1336b70d2c4e">
      <tp>
        <v>5</v>
        <stp/>
        <stp>bb56b0b2-f8e7-4f1e-8c89-ff84c336f3f2</stp>
        <tr r="G3335" s="2"/>
      </tp>
      <tp>
        <v>5</v>
        <stp/>
        <stp>46b3aa9f-d81d-4996-bc81-9262e89498f6</stp>
        <tr r="G3660" s="2"/>
      </tp>
    </main>
    <main first="rtdsrv_a82eb5a1fc404542a18b1336b70d2c4e">
      <tp>
        <v>5</v>
        <stp/>
        <stp>0c775f0c-a547-4bf9-98de-031331e9448a</stp>
        <tr r="G3248" s="2"/>
      </tp>
      <tp>
        <v>5</v>
        <stp/>
        <stp>3c92abdc-34e1-4ce5-89dd-a1d319c67d18</stp>
        <tr r="G4773" s="2"/>
      </tp>
      <tp>
        <v>5</v>
        <stp/>
        <stp>5d4d91eb-39c7-40a4-a1c2-a358e95094ab</stp>
        <tr r="G1123" s="2"/>
      </tp>
    </main>
    <main first="rtdsrv_a82eb5a1fc404542a18b1336b70d2c4e">
      <tp>
        <v>5</v>
        <stp/>
        <stp>2ff7fac1-5912-4382-889a-6c9d1419daad</stp>
        <tr r="G1913" s="2"/>
      </tp>
    </main>
    <main first="rtdsrv_a82eb5a1fc404542a18b1336b70d2c4e">
      <tp>
        <v>5</v>
        <stp/>
        <stp>b9847712-41b9-49f0-94e9-fc07610db250</stp>
        <tr r="G2889" s="2"/>
      </tp>
    </main>
    <main first="rtdsrv_a82eb5a1fc404542a18b1336b70d2c4e">
      <tp>
        <v>5</v>
        <stp/>
        <stp>89893ea5-c90e-44b7-8eca-f829fde768b2</stp>
        <tr r="G2450" s="2"/>
      </tp>
      <tp>
        <v>5</v>
        <stp/>
        <stp>9fb0363f-53da-4145-8197-c0584ea6a358</stp>
        <tr r="G8786" s="2"/>
      </tp>
      <tp>
        <v>5</v>
        <stp/>
        <stp>d83a3917-0a7a-4976-96e4-97db7cb859e5</stp>
        <tr r="G2866" s="2"/>
      </tp>
    </main>
    <main first="rtdsrv_a82eb5a1fc404542a18b1336b70d2c4e">
      <tp>
        <v>5</v>
        <stp/>
        <stp>095ad156-fa74-4aa2-8356-d6983d8514be</stp>
        <tr r="G7473" s="2"/>
      </tp>
    </main>
    <main first="rtdsrv_a82eb5a1fc404542a18b1336b70d2c4e">
      <tp>
        <v>5</v>
        <stp/>
        <stp>2cd18e44-7fc6-4439-b41d-f17eeba8be01</stp>
        <tr r="G5702" s="2"/>
      </tp>
    </main>
    <main first="rtdsrv_a82eb5a1fc404542a18b1336b70d2c4e">
      <tp>
        <v>5</v>
        <stp/>
        <stp>87b66000-54c9-497b-8f6c-d82b6b520376</stp>
        <tr r="G938" s="2"/>
      </tp>
    </main>
    <main first="rtdsrv_a82eb5a1fc404542a18b1336b70d2c4e">
      <tp>
        <v>5</v>
        <stp/>
        <stp>f1402638-a2eb-490e-976c-3f5e7e4719b0</stp>
        <tr r="G3482" s="2"/>
      </tp>
    </main>
    <main first="rtdsrv_a82eb5a1fc404542a18b1336b70d2c4e">
      <tp>
        <v>5</v>
        <stp/>
        <stp>61a59d89-c3b1-4c7e-b1ff-e5b657cc5880</stp>
        <tr r="G2755" s="2"/>
      </tp>
    </main>
    <main first="rtdsrv_a82eb5a1fc404542a18b1336b70d2c4e">
      <tp>
        <v>5</v>
        <stp/>
        <stp>da506c55-92a9-45a7-a420-35251bdc2fa7</stp>
        <tr r="G4445" s="2"/>
      </tp>
    </main>
    <main first="rtdsrv_a82eb5a1fc404542a18b1336b70d2c4e">
      <tp>
        <v>5</v>
        <stp/>
        <stp>160023b7-a217-4008-adaa-345ef2db94e9</stp>
        <tr r="G7929" s="2"/>
      </tp>
      <tp>
        <v>5</v>
        <stp/>
        <stp>700f1269-eab1-4ee2-8cbb-09d6040965d4</stp>
        <tr r="G9632" s="2"/>
      </tp>
    </main>
    <main first="rtdsrv_a82eb5a1fc404542a18b1336b70d2c4e">
      <tp>
        <v>5</v>
        <stp/>
        <stp>56619b40-9661-4267-80e5-7a04bf47d739</stp>
        <tr r="G6810" s="2"/>
      </tp>
      <tp>
        <v>5</v>
        <stp/>
        <stp>4ce64480-4bb8-431f-ad1d-e806648057e0</stp>
        <tr r="G9301" s="2"/>
      </tp>
    </main>
    <main first="rtdsrv_a82eb5a1fc404542a18b1336b70d2c4e">
      <tp>
        <v>5</v>
        <stp/>
        <stp>6a2dbf13-c1af-4efb-a7c5-59b7fc0ef0ca</stp>
        <tr r="G1695" s="2"/>
      </tp>
    </main>
    <main first="rtdsrv_a82eb5a1fc404542a18b1336b70d2c4e">
      <tp>
        <v>5</v>
        <stp/>
        <stp>d556fb96-c40d-49ab-93bb-393c9ff7ad9f</stp>
        <tr r="G3803" s="2"/>
      </tp>
    </main>
    <main first="rtdsrv_a82eb5a1fc404542a18b1336b70d2c4e">
      <tp>
        <v>5</v>
        <stp/>
        <stp>088d22e9-1497-40a5-9226-669ca45741e1</stp>
        <tr r="G8044" s="2"/>
      </tp>
    </main>
    <main first="rtdsrv_a82eb5a1fc404542a18b1336b70d2c4e">
      <tp>
        <v>5</v>
        <stp/>
        <stp>08453bdf-7383-4c06-9f0e-5c079c2f7d23</stp>
        <tr r="G515" s="2"/>
      </tp>
    </main>
    <main first="rtdsrv_a82eb5a1fc404542a18b1336b70d2c4e">
      <tp>
        <v>5</v>
        <stp/>
        <stp>92afe285-0029-4039-8d39-9ff5efa405a7</stp>
        <tr r="G868" s="2"/>
      </tp>
    </main>
    <main first="rtdsrv_a82eb5a1fc404542a18b1336b70d2c4e">
      <tp>
        <v>5</v>
        <stp/>
        <stp>ccde003b-fd6c-460a-8957-fc50e4d799ca</stp>
        <tr r="G6349" s="2"/>
      </tp>
    </main>
    <main first="rtdsrv_a82eb5a1fc404542a18b1336b70d2c4e">
      <tp>
        <v>5</v>
        <stp/>
        <stp>b222ffcf-17ec-4e0a-937e-09582ca7ffa8</stp>
        <tr r="G9847" s="2"/>
      </tp>
      <tp>
        <v>5</v>
        <stp/>
        <stp>02f8886c-ce21-436a-8868-466831517681</stp>
        <tr r="G4179" s="2"/>
      </tp>
      <tp>
        <v>5</v>
        <stp/>
        <stp>2b410fc2-5a93-48c5-be20-69c55da54d3d</stp>
        <tr r="G3711" s="2"/>
      </tp>
    </main>
    <main first="rtdsrv_a82eb5a1fc404542a18b1336b70d2c4e">
      <tp>
        <v>5</v>
        <stp/>
        <stp>b6850181-564b-45a0-bab6-dada891267b2</stp>
        <tr r="G5160" s="2"/>
      </tp>
    </main>
    <main first="rtdsrv_a82eb5a1fc404542a18b1336b70d2c4e">
      <tp>
        <v>5</v>
        <stp/>
        <stp>7380d5b4-dff4-4de7-a019-30464bded9b9</stp>
        <tr r="G6690" s="2"/>
      </tp>
      <tp>
        <v>5</v>
        <stp/>
        <stp>2a272b25-eaa4-4bf9-ab7d-b53f34161f08</stp>
        <tr r="G3680" s="2"/>
      </tp>
    </main>
    <main first="rtdsrv_a82eb5a1fc404542a18b1336b70d2c4e">
      <tp>
        <v>5</v>
        <stp/>
        <stp>a751571b-61cd-4798-86d7-b7402324da32</stp>
        <tr r="G7092" s="2"/>
      </tp>
    </main>
    <main first="rtdsrv_a82eb5a1fc404542a18b1336b70d2c4e">
      <tp>
        <v>5</v>
        <stp/>
        <stp>dd5edcd4-cdde-4c93-9cf3-435058498507</stp>
        <tr r="G8253" s="2"/>
      </tp>
    </main>
    <main first="rtdsrv_a82eb5a1fc404542a18b1336b70d2c4e">
      <tp>
        <v>5</v>
        <stp/>
        <stp>0c20d0a1-ebf6-4821-b24a-d966875c52d7</stp>
        <tr r="G7310" s="2"/>
      </tp>
      <tp>
        <v>5</v>
        <stp/>
        <stp>0dbb78e7-0ba7-4b11-8867-cbaab2eee4a2</stp>
        <tr r="G4300" s="2"/>
      </tp>
      <tp>
        <v>5</v>
        <stp/>
        <stp>4624e5b5-b615-4578-81af-8355cf7d1b55</stp>
        <tr r="G8620" s="2"/>
      </tp>
      <tp>
        <v>5</v>
        <stp/>
        <stp>95e02133-efec-474a-8287-4a42a741ca00</stp>
        <tr r="G6526" s="2"/>
      </tp>
      <tp>
        <v>5</v>
        <stp/>
        <stp>939eb184-23a0-4c4f-9fe6-2f300ce759e7</stp>
        <tr r="G6250" s="2"/>
      </tp>
    </main>
    <main first="rtdsrv_a82eb5a1fc404542a18b1336b70d2c4e">
      <tp>
        <v>5</v>
        <stp/>
        <stp>cef6f906-c0dc-4b3a-91aa-b15abef90ddd</stp>
        <tr r="G4316" s="2"/>
      </tp>
    </main>
    <main first="rtdsrv_a82eb5a1fc404542a18b1336b70d2c4e">
      <tp>
        <v>5</v>
        <stp/>
        <stp>be6b1b6c-6e8e-4b2b-ab92-df44e4b30713</stp>
        <tr r="G9507" s="2"/>
      </tp>
      <tp>
        <v>5</v>
        <stp/>
        <stp>7458cf0c-e5cd-4025-ad69-e983218bd397</stp>
        <tr r="G4966" s="2"/>
      </tp>
      <tp>
        <v>5</v>
        <stp/>
        <stp>2e05e056-f78b-4ebf-9599-bb6bfc43eb99</stp>
        <tr r="G8445" s="2"/>
      </tp>
      <tp>
        <v>5</v>
        <stp/>
        <stp>9f373730-8f82-47ab-8a3a-83159726d348</stp>
        <tr r="G2853" s="2"/>
      </tp>
      <tp>
        <v>5</v>
        <stp/>
        <stp>195cfa9c-f337-42df-b3f8-f40b925e9722</stp>
        <tr r="G3496" s="2"/>
      </tp>
    </main>
    <main first="rtdsrv_a82eb5a1fc404542a18b1336b70d2c4e">
      <tp>
        <v>5</v>
        <stp/>
        <stp>b985a2da-11db-43da-8f03-d6d15783ce2e</stp>
        <tr r="G731" s="2"/>
      </tp>
    </main>
    <main first="rtdsrv_a82eb5a1fc404542a18b1336b70d2c4e">
      <tp>
        <v>5</v>
        <stp/>
        <stp>217a75e3-ce8c-40e8-829f-182dde7ab4d8</stp>
        <tr r="G7623" s="2"/>
      </tp>
      <tp>
        <v>5</v>
        <stp/>
        <stp>7811107d-42cf-4c5c-95dd-75a143c692b3</stp>
        <tr r="G8890" s="2"/>
      </tp>
    </main>
    <main first="rtdsrv_a82eb5a1fc404542a18b1336b70d2c4e">
      <tp>
        <v>5</v>
        <stp/>
        <stp>f87ef249-84fe-4e36-893c-53deb269996b</stp>
        <tr r="G2691" s="2"/>
      </tp>
    </main>
    <main first="rtdsrv_a82eb5a1fc404542a18b1336b70d2c4e">
      <tp>
        <v>5</v>
        <stp/>
        <stp>cddb46d1-0141-4234-80e6-b97a26090310</stp>
        <tr r="G7318" s="2"/>
      </tp>
    </main>
    <main first="rtdsrv_a82eb5a1fc404542a18b1336b70d2c4e">
      <tp>
        <v>5</v>
        <stp/>
        <stp>ca17914d-3c29-4b56-8e85-e57074bd7c7a</stp>
        <tr r="G1688" s="2"/>
      </tp>
      <tp>
        <v>5</v>
        <stp/>
        <stp>36eebaad-9f99-4b0b-a77e-2d2031b7baf4</stp>
        <tr r="G5099" s="2"/>
      </tp>
    </main>
    <main first="rtdsrv_a82eb5a1fc404542a18b1336b70d2c4e">
      <tp>
        <v>5</v>
        <stp/>
        <stp>f4c18a6a-54dc-4631-a262-c84f61037afd</stp>
        <tr r="G3332" s="2"/>
      </tp>
      <tp>
        <v>5</v>
        <stp/>
        <stp>f1ac3864-f6eb-4b36-8b22-c39e0b8ce5c2</stp>
        <tr r="G5551" s="2"/>
      </tp>
    </main>
    <main first="rtdsrv_a82eb5a1fc404542a18b1336b70d2c4e">
      <tp>
        <v>5</v>
        <stp/>
        <stp>51d7ec3c-80b8-4cc0-ab4e-2ec054b8602a</stp>
        <tr r="G8307" s="2"/>
      </tp>
      <tp>
        <v>5</v>
        <stp/>
        <stp>f8765411-d424-430f-965c-12b3c637801f</stp>
        <tr r="G4614" s="2"/>
      </tp>
    </main>
    <main first="rtdsrv_a82eb5a1fc404542a18b1336b70d2c4e">
      <tp>
        <v>5</v>
        <stp/>
        <stp>b4ded675-524b-483c-b38e-e33e9474bd11</stp>
        <tr r="G4453" s="2"/>
      </tp>
      <tp>
        <v>5</v>
        <stp/>
        <stp>8d92fbe7-ba7d-47ea-a09a-6a08f1d19c92</stp>
        <tr r="G5725" s="2"/>
      </tp>
      <tp>
        <v>5</v>
        <stp/>
        <stp>21a6ec2c-9b94-4800-aa09-d441c149ca9e</stp>
        <tr r="G1766" s="2"/>
      </tp>
    </main>
    <main first="rtdsrv_a82eb5a1fc404542a18b1336b70d2c4e">
      <tp>
        <v>5</v>
        <stp/>
        <stp>afe2266a-f735-403c-a0cc-c97bff67ff4b</stp>
        <tr r="G8903" s="2"/>
      </tp>
    </main>
    <main first="rtdsrv_a82eb5a1fc404542a18b1336b70d2c4e">
      <tp>
        <v>5</v>
        <stp/>
        <stp>5ad7e376-e8e1-4f58-a6e8-89a1ae94999a</stp>
        <tr r="G1487" s="2"/>
      </tp>
      <tp>
        <v>5</v>
        <stp/>
        <stp>f75540fc-47f2-4cd2-b61b-a80c2db6ecfc</stp>
        <tr r="G2718" s="2"/>
      </tp>
      <tp>
        <v>5</v>
        <stp/>
        <stp>54409961-9eb9-486c-aa51-9d7f31b2a81c</stp>
        <tr r="G6786" s="2"/>
      </tp>
      <tp>
        <v>5</v>
        <stp/>
        <stp>05debd5a-deda-4a09-b2e9-81b7858cebe9</stp>
        <tr r="G7234" s="2"/>
      </tp>
    </main>
    <main first="rtdsrv_a82eb5a1fc404542a18b1336b70d2c4e">
      <tp>
        <v>5</v>
        <stp/>
        <stp>7d3b7ebf-3880-4bbb-9f12-8bac9581e90b</stp>
        <tr r="G7024" s="2"/>
      </tp>
      <tp>
        <v>5</v>
        <stp/>
        <stp>fb543ffd-4665-4ce8-a300-0cdc552b1a17</stp>
        <tr r="G3531" s="2"/>
      </tp>
    </main>
    <main first="rtdsrv_a82eb5a1fc404542a18b1336b70d2c4e">
      <tp>
        <v>5</v>
        <stp/>
        <stp>1ee6b8c6-b51c-4b91-9884-331a8811a25e</stp>
        <tr r="G159" s="2"/>
      </tp>
      <tp>
        <v>5</v>
        <stp/>
        <stp>f99bf7e7-69d0-4d83-9275-54cc32e445dd</stp>
        <tr r="G4875" s="2"/>
      </tp>
    </main>
    <main first="rtdsrv_a82eb5a1fc404542a18b1336b70d2c4e">
      <tp>
        <v>5</v>
        <stp/>
        <stp>c6dd797e-e1ec-47cb-aef7-84ebe341df69</stp>
        <tr r="G8382" s="2"/>
      </tp>
      <tp>
        <v>5</v>
        <stp/>
        <stp>582ca9e6-e390-4cbe-91cc-f849279f0b83</stp>
        <tr r="G4361" s="2"/>
      </tp>
      <tp>
        <v>5</v>
        <stp/>
        <stp>5ceaef36-4dbd-4d41-b927-8c0b58e86fb2</stp>
        <tr r="G5478" s="2"/>
      </tp>
      <tp>
        <v>5</v>
        <stp/>
        <stp>46de1685-6221-41f9-bea8-1ea17fa1dbe5</stp>
        <tr r="G6064" s="2"/>
      </tp>
      <tp>
        <v>5</v>
        <stp/>
        <stp>274b1415-005f-4e48-b272-a194c354d18c</stp>
        <tr r="G9980" s="2"/>
      </tp>
    </main>
    <main first="rtdsrv_a82eb5a1fc404542a18b1336b70d2c4e">
      <tp>
        <v>5</v>
        <stp/>
        <stp>7a5df9f9-8c23-4b0d-9256-b057a991e793</stp>
        <tr r="G8283" s="2"/>
      </tp>
      <tp>
        <v>5</v>
        <stp/>
        <stp>75758ea9-e9f2-4a14-90ab-6fa4319c58ff</stp>
        <tr r="G6776" s="2"/>
      </tp>
    </main>
    <main first="rtdsrv_a82eb5a1fc404542a18b1336b70d2c4e">
      <tp>
        <v>5</v>
        <stp/>
        <stp>a5ac73cc-48d1-427f-80d7-9c2a694b1e8c</stp>
        <tr r="G7449" s="2"/>
      </tp>
    </main>
    <main first="rtdsrv_a82eb5a1fc404542a18b1336b70d2c4e">
      <tp>
        <v>5</v>
        <stp/>
        <stp>0d87fb4b-5fcb-422e-8131-c99122ec2a4d</stp>
        <tr r="G4098" s="2"/>
      </tp>
    </main>
    <main first="rtdsrv_a82eb5a1fc404542a18b1336b70d2c4e">
      <tp>
        <v>5</v>
        <stp/>
        <stp>d8ae5749-ca50-4265-8cde-931868d9a973</stp>
        <tr r="G3233" s="2"/>
      </tp>
      <tp>
        <v>5</v>
        <stp/>
        <stp>a521e1ac-bc28-455f-a457-7abf59ae2b7f</stp>
        <tr r="G3834" s="2"/>
      </tp>
      <tp>
        <v>5</v>
        <stp/>
        <stp>237c19ca-3717-4e4d-92b2-fd3caab8653f</stp>
        <tr r="G1241" s="2"/>
      </tp>
    </main>
    <main first="rtdsrv_a82eb5a1fc404542a18b1336b70d2c4e">
      <tp>
        <v>5</v>
        <stp/>
        <stp>078dac92-2a22-4638-98ce-1f37bea881d9</stp>
        <tr r="G1912" s="2"/>
      </tp>
      <tp>
        <v>5</v>
        <stp/>
        <stp>306b79ba-9e1d-433c-a29c-d2ba7da933bf</stp>
        <tr r="G7268" s="2"/>
      </tp>
    </main>
    <main first="rtdsrv_a82eb5a1fc404542a18b1336b70d2c4e">
      <tp>
        <v>5</v>
        <stp/>
        <stp>e7f89ddb-85d5-4004-b0f1-43fe07cdf204</stp>
        <tr r="G7287" s="2"/>
      </tp>
    </main>
    <main first="rtdsrv_a82eb5a1fc404542a18b1336b70d2c4e">
      <tp>
        <v>5</v>
        <stp/>
        <stp>1d041dd6-f39b-4dbc-ab51-b814820f45d7</stp>
        <tr r="G2439" s="2"/>
      </tp>
      <tp>
        <v>5</v>
        <stp/>
        <stp>528e1603-6d6d-472e-bde2-f32ee90a1704</stp>
        <tr r="G4119" s="2"/>
      </tp>
      <tp>
        <v>5</v>
        <stp/>
        <stp>4b8ae502-29d2-4147-8073-676e8d9819ae</stp>
        <tr r="G8363" s="2"/>
      </tp>
    </main>
    <main first="rtdsrv_a82eb5a1fc404542a18b1336b70d2c4e">
      <tp>
        <v>5</v>
        <stp/>
        <stp>d095d0ba-6cee-451a-8c66-33e67e223855</stp>
        <tr r="G1170" s="2"/>
      </tp>
      <tp>
        <v>5</v>
        <stp/>
        <stp>f0c56deb-1c5f-4328-9928-144cd66f4b3b</stp>
        <tr r="G4590" s="2"/>
      </tp>
      <tp>
        <v>5</v>
        <stp/>
        <stp>c619195b-31f2-4433-9c74-2477b6b9a581</stp>
        <tr r="G5005" s="2"/>
      </tp>
    </main>
    <main first="rtdsrv_a82eb5a1fc404542a18b1336b70d2c4e">
      <tp>
        <v>5</v>
        <stp/>
        <stp>fb2f99b8-b85c-46fb-9207-e51faf738758</stp>
        <tr r="G1071" s="2"/>
      </tp>
      <tp>
        <v>5</v>
        <stp/>
        <stp>7748a408-4a60-4159-ad29-4ee7f0f9bf3b</stp>
        <tr r="G2054" s="2"/>
      </tp>
      <tp>
        <v>5</v>
        <stp/>
        <stp>501d2c8c-5f10-466e-ae5f-f8f8434f0274</stp>
        <tr r="G7977" s="2"/>
      </tp>
      <tp>
        <v>5</v>
        <stp/>
        <stp>7509639d-155d-45f2-982c-4063e126e970</stp>
        <tr r="G8359" s="2"/>
      </tp>
    </main>
    <main first="rtdsrv_a82eb5a1fc404542a18b1336b70d2c4e">
      <tp>
        <v>5</v>
        <stp/>
        <stp>028b7f6d-8b99-41ac-a809-78a5d890b0a4</stp>
        <tr r="G1544" s="2"/>
      </tp>
      <tp>
        <v>5</v>
        <stp/>
        <stp>22b6b5c2-8afe-4f9d-8f02-719ec6fe5cac</stp>
        <tr r="G7650" s="2"/>
      </tp>
    </main>
    <main first="rtdsrv_a82eb5a1fc404542a18b1336b70d2c4e">
      <tp>
        <v>5</v>
        <stp/>
        <stp>5c767534-19ab-43ee-8b33-39ad2272b54d</stp>
        <tr r="G1995" s="2"/>
      </tp>
    </main>
    <main first="rtdsrv_a82eb5a1fc404542a18b1336b70d2c4e">
      <tp>
        <v>5</v>
        <stp/>
        <stp>9bb74ec5-095d-489b-b294-d4facdbc53d4</stp>
        <tr r="G9665" s="2"/>
      </tp>
      <tp>
        <v>5</v>
        <stp/>
        <stp>9fcf97f4-b691-4bfa-a384-12bad4185c95</stp>
        <tr r="G2063" s="2"/>
      </tp>
    </main>
    <main first="rtdsrv_a82eb5a1fc404542a18b1336b70d2c4e">
      <tp>
        <v>5</v>
        <stp/>
        <stp>1d81efd8-948f-4177-940b-202a964b85a8</stp>
        <tr r="G6704" s="2"/>
      </tp>
      <tp>
        <v>5</v>
        <stp/>
        <stp>c327ca88-b135-4bd0-9986-735fc0fa543b</stp>
        <tr r="G7836" s="2"/>
      </tp>
    </main>
    <main first="rtdsrv_a82eb5a1fc404542a18b1336b70d2c4e">
      <tp>
        <v>5</v>
        <stp/>
        <stp>e2486999-2cc4-426d-b8ff-3468636c03ec</stp>
        <tr r="G140" s="2"/>
      </tp>
      <tp>
        <v>5</v>
        <stp/>
        <stp>bd093972-3d5e-4670-b9a4-d49a6454a065</stp>
        <tr r="G9263" s="2"/>
      </tp>
      <tp>
        <v>5</v>
        <stp/>
        <stp>c65f3999-6ae6-4551-bb1c-d65c1f769fa3</stp>
        <tr r="G1220" s="2"/>
      </tp>
    </main>
    <main first="rtdsrv_a82eb5a1fc404542a18b1336b70d2c4e">
      <tp>
        <v>5</v>
        <stp/>
        <stp>385fb2e0-5c5b-456a-8923-f6067086fee6</stp>
        <tr r="G719" s="2"/>
      </tp>
      <tp>
        <v>5</v>
        <stp/>
        <stp>458c68d5-f605-45b6-aee1-4f49df42976c</stp>
        <tr r="G2062" s="2"/>
      </tp>
      <tp>
        <v>5</v>
        <stp/>
        <stp>dd7eecca-f5e2-4969-a173-2c7d7680f506</stp>
        <tr r="G5121" s="2"/>
      </tp>
      <tp>
        <v>5</v>
        <stp/>
        <stp>bc9187a8-61bf-4398-b11d-e241e5d6bc0f</stp>
        <tr r="G233" s="2"/>
      </tp>
      <tp>
        <v>5</v>
        <stp/>
        <stp>a21a80d2-212b-4b52-bc5f-28125688b6f0</stp>
        <tr r="G1633" s="2"/>
      </tp>
      <tp>
        <v>5</v>
        <stp/>
        <stp>f138e5bd-94d8-4751-93c8-b066af245672</stp>
        <tr r="G7559" s="2"/>
      </tp>
      <tp>
        <v>5</v>
        <stp/>
        <stp>b1ee56a2-282c-45a4-bb33-fc5ae871cfcb</stp>
        <tr r="G5745" s="2"/>
      </tp>
      <tp>
        <v>5</v>
        <stp/>
        <stp>db9ca471-b4a8-42f7-b545-c9d3125af303</stp>
        <tr r="G427" s="2"/>
      </tp>
    </main>
    <main first="rtdsrv_a82eb5a1fc404542a18b1336b70d2c4e">
      <tp>
        <v>5</v>
        <stp/>
        <stp>d383983f-8246-47f1-9287-e5d2a641360e</stp>
        <tr r="G3094" s="2"/>
      </tp>
    </main>
    <main first="rtdsrv_a82eb5a1fc404542a18b1336b70d2c4e">
      <tp>
        <v>5</v>
        <stp/>
        <stp>7397258f-1eee-4e91-9be7-f814c0867d4a</stp>
        <tr r="G2468" s="2"/>
      </tp>
    </main>
    <main first="rtdsrv_a82eb5a1fc404542a18b1336b70d2c4e">
      <tp>
        <v>5</v>
        <stp/>
        <stp>a5d11102-8baa-4c4a-b3d8-e6b22cd58cf5</stp>
        <tr r="G243" s="2"/>
      </tp>
      <tp>
        <v>5</v>
        <stp/>
        <stp>d561a276-eeb5-4f2d-8702-68cc16b97792</stp>
        <tr r="G4080" s="2"/>
      </tp>
      <tp>
        <v>5</v>
        <stp/>
        <stp>f4bc2e39-97f8-427b-a169-85b4b072e6d2</stp>
        <tr r="G7168" s="2"/>
      </tp>
      <tp>
        <v>5</v>
        <stp/>
        <stp>1258c8ea-3b5e-4977-a774-74da0f866d5c</stp>
        <tr r="G5785" s="2"/>
      </tp>
    </main>
    <main first="rtdsrv_a82eb5a1fc404542a18b1336b70d2c4e">
      <tp>
        <v>5</v>
        <stp/>
        <stp>087e32a0-cf26-44c7-bae8-605745a50131</stp>
        <tr r="G3693" s="2"/>
      </tp>
    </main>
    <main first="rtdsrv_a82eb5a1fc404542a18b1336b70d2c4e">
      <tp>
        <v>5</v>
        <stp/>
        <stp>d577ee94-5d47-4d4a-9a87-a30aa9a1f9c9</stp>
        <tr r="G6939" s="2"/>
      </tp>
      <tp>
        <v>5</v>
        <stp/>
        <stp>eeaf3d8b-21a0-4b15-8436-550417027815</stp>
        <tr r="G9713" s="2"/>
      </tp>
      <tp>
        <v>5</v>
        <stp/>
        <stp>12369a32-cef0-44ac-9684-cf04e77f4591</stp>
        <tr r="G5394" s="2"/>
      </tp>
      <tp>
        <v>5</v>
        <stp/>
        <stp>5cfd422c-eadf-4270-a9aa-9921fe89b613</stp>
        <tr r="G7015" s="2"/>
      </tp>
      <tp>
        <v>5</v>
        <stp/>
        <stp>0b02a952-de98-4f7b-89a9-9721a25e3618</stp>
        <tr r="G8861" s="2"/>
      </tp>
    </main>
    <main first="rtdsrv_a82eb5a1fc404542a18b1336b70d2c4e">
      <tp>
        <v>5</v>
        <stp/>
        <stp>10a85999-c069-4c53-bd6a-e1c91ef3b4cc</stp>
        <tr r="G4018" s="2"/>
      </tp>
    </main>
    <main first="rtdsrv_a82eb5a1fc404542a18b1336b70d2c4e">
      <tp>
        <v>5</v>
        <stp/>
        <stp>2742eee0-8a11-4be2-abe9-823f006e80d5</stp>
        <tr r="G70" s="2"/>
      </tp>
      <tp>
        <v>5</v>
        <stp/>
        <stp>5179686d-3c52-4730-801f-73b2b293457a</stp>
        <tr r="G4368" s="2"/>
      </tp>
    </main>
    <main first="rtdsrv_a82eb5a1fc404542a18b1336b70d2c4e">
      <tp>
        <v>5</v>
        <stp/>
        <stp>858b6b48-9683-4716-b70e-ac77172f932e</stp>
        <tr r="G2992" s="2"/>
      </tp>
    </main>
    <main first="rtdsrv_a82eb5a1fc404542a18b1336b70d2c4e">
      <tp>
        <v>5</v>
        <stp/>
        <stp>48b6e2e6-a9cb-499b-bcc3-50a75a11b457</stp>
        <tr r="G2475" s="2"/>
      </tp>
      <tp>
        <v>5</v>
        <stp/>
        <stp>b627a14a-7f12-456a-a4bc-73f91681d951</stp>
        <tr r="G7323" s="2"/>
      </tp>
      <tp>
        <v>5</v>
        <stp/>
        <stp>21fbf7c1-c8de-49a1-8ba7-161ce45498f7</stp>
        <tr r="G2147" s="2"/>
      </tp>
    </main>
    <main first="rtdsrv_a82eb5a1fc404542a18b1336b70d2c4e">
      <tp>
        <v>5</v>
        <stp/>
        <stp>eb1cf51e-e11d-4bdd-b9a1-ae28e8b73e8d</stp>
        <tr r="G9020" s="2"/>
      </tp>
    </main>
    <main first="rtdsrv_a82eb5a1fc404542a18b1336b70d2c4e">
      <tp>
        <v>5</v>
        <stp/>
        <stp>c331d170-6c39-4c07-9d9c-fd949c1012d4</stp>
        <tr r="G9402" s="2"/>
      </tp>
    </main>
    <main first="rtdsrv_a82eb5a1fc404542a18b1336b70d2c4e">
      <tp>
        <v>5</v>
        <stp/>
        <stp>3c247aa1-234c-4bdc-8318-dd50c94a6009</stp>
        <tr r="G2356" s="2"/>
      </tp>
    </main>
    <main first="rtdsrv_a82eb5a1fc404542a18b1336b70d2c4e">
      <tp>
        <v>5</v>
        <stp/>
        <stp>d3374729-cc33-4b1b-8a49-cd96189c5b2c</stp>
        <tr r="G3178" s="2"/>
      </tp>
    </main>
    <main first="rtdsrv_a82eb5a1fc404542a18b1336b70d2c4e">
      <tp>
        <v>5</v>
        <stp/>
        <stp>54eca09d-9e6f-48a8-b32f-9d711ed8f9e3</stp>
        <tr r="G3702" s="2"/>
      </tp>
      <tp>
        <v>5</v>
        <stp/>
        <stp>2767b83e-404b-49e2-832a-2acdfc8dc6f5</stp>
        <tr r="G9547" s="2"/>
      </tp>
      <tp>
        <v>5</v>
        <stp/>
        <stp>3cc96efa-3d6d-4e57-b668-28e7da3aabfa</stp>
        <tr r="G6621" s="2"/>
      </tp>
      <tp>
        <v>5</v>
        <stp/>
        <stp>88391aca-888a-4f77-9292-621430dd2bf6</stp>
        <tr r="G8201" s="2"/>
      </tp>
      <tp>
        <v>5</v>
        <stp/>
        <stp>589d6261-a349-41df-bc06-adc675b84cbe</stp>
        <tr r="G1775" s="2"/>
      </tp>
    </main>
    <main first="rtdsrv_a82eb5a1fc404542a18b1336b70d2c4e">
      <tp>
        <v>5</v>
        <stp/>
        <stp>fb82c77d-9369-424d-8c07-1793b9b4d996</stp>
        <tr r="G3871" s="2"/>
      </tp>
      <tp>
        <v>5</v>
        <stp/>
        <stp>3b2ed883-ece8-4a2f-a459-bb407d818e66</stp>
        <tr r="G5436" s="2"/>
      </tp>
    </main>
    <main first="rtdsrv_a82eb5a1fc404542a18b1336b70d2c4e">
      <tp>
        <v>5</v>
        <stp/>
        <stp>0ecd216b-d2fc-4090-b894-b026a7356180</stp>
        <tr r="G4950" s="2"/>
      </tp>
    </main>
    <main first="rtdsrv_a82eb5a1fc404542a18b1336b70d2c4e">
      <tp>
        <v>5</v>
        <stp/>
        <stp>d595136b-ecae-41a9-af5a-502dcb3ea2f6</stp>
        <tr r="G280" s="2"/>
      </tp>
      <tp>
        <v>5</v>
        <stp/>
        <stp>0c8fba5d-3d45-43ce-98f6-076e687ee24a</stp>
        <tr r="G5859" s="2"/>
      </tp>
      <tp>
        <v>5</v>
        <stp/>
        <stp>d9e0838e-332e-4482-8baf-acf5dc3fee7f</stp>
        <tr r="G8850" s="2"/>
      </tp>
    </main>
    <main first="rtdsrv_a82eb5a1fc404542a18b1336b70d2c4e">
      <tp>
        <v>5</v>
        <stp/>
        <stp>c5fd265d-8acf-484a-9927-5090aaf5461e</stp>
        <tr r="G9372" s="2"/>
      </tp>
      <tp>
        <v>5</v>
        <stp/>
        <stp>3f767e9f-22b2-4b55-a69a-337175824490</stp>
        <tr r="G7645" s="2"/>
      </tp>
      <tp>
        <v>5</v>
        <stp/>
        <stp>93df1670-89b4-4a28-bdb3-793f30e93add</stp>
        <tr r="G1500" s="2"/>
      </tp>
    </main>
    <main first="rtdsrv_a82eb5a1fc404542a18b1336b70d2c4e">
      <tp>
        <v>5</v>
        <stp/>
        <stp>0e277885-1190-4588-8e51-93af59308d35</stp>
        <tr r="G9317" s="2"/>
      </tp>
    </main>
    <main first="rtdsrv_a82eb5a1fc404542a18b1336b70d2c4e">
      <tp>
        <v>5</v>
        <stp/>
        <stp>d3241824-c7bb-435a-ae1a-669bd6244766</stp>
        <tr r="G6193" s="2"/>
      </tp>
    </main>
    <main first="rtdsrv_a82eb5a1fc404542a18b1336b70d2c4e">
      <tp>
        <v>5</v>
        <stp/>
        <stp>dbb4ce2f-4cdc-41df-a015-21b93b6b389b</stp>
        <tr r="G7049" s="2"/>
      </tp>
    </main>
    <main first="rtdsrv_a82eb5a1fc404542a18b1336b70d2c4e">
      <tp>
        <v>5</v>
        <stp/>
        <stp>9bdde85d-3959-494e-b0a0-ed2254563242</stp>
        <tr r="G1403" s="2"/>
      </tp>
    </main>
    <main first="rtdsrv_a82eb5a1fc404542a18b1336b70d2c4e">
      <tp>
        <v>5</v>
        <stp/>
        <stp>7c4d997d-8a64-4002-9913-89992e80e241</stp>
        <tr r="G5312" s="2"/>
      </tp>
    </main>
    <main first="rtdsrv_a82eb5a1fc404542a18b1336b70d2c4e">
      <tp>
        <v>5</v>
        <stp/>
        <stp>f65e1898-3ad6-4efe-8e40-918160c24bbd</stp>
        <tr r="G4931" s="2"/>
      </tp>
      <tp>
        <v>5</v>
        <stp/>
        <stp>b6aed6ce-2e7d-4559-86c2-3a6dbdce5bd7</stp>
        <tr r="G1683" s="2"/>
      </tp>
    </main>
    <main first="rtdsrv_a82eb5a1fc404542a18b1336b70d2c4e">
      <tp>
        <v>5</v>
        <stp/>
        <stp>438e1b7e-7d33-4e02-890b-8826cc9de0f6</stp>
        <tr r="G5276" s="2"/>
      </tp>
      <tp>
        <v>5</v>
        <stp/>
        <stp>6dfaec49-0add-4f95-b43e-fdb248cafb3a</stp>
        <tr r="G8469" s="2"/>
      </tp>
      <tp>
        <v>5</v>
        <stp/>
        <stp>5716be79-982b-4457-981a-b58b84324c06</stp>
        <tr r="G1494" s="2"/>
      </tp>
      <tp>
        <v>5</v>
        <stp/>
        <stp>6e3a2dbb-186d-4fac-b121-294af1169f91</stp>
        <tr r="G4430" s="2"/>
      </tp>
      <tp>
        <v>5</v>
        <stp/>
        <stp>c6e2da16-a664-4296-8c81-d493ef6cfe88</stp>
        <tr r="G3001" s="2"/>
      </tp>
      <tp>
        <v>5</v>
        <stp/>
        <stp>26132473-8f86-4feb-830c-7635c2b31c61</stp>
        <tr r="G2385" s="2"/>
      </tp>
      <tp>
        <v>5</v>
        <stp/>
        <stp>33a239f4-d0b3-40d1-a27c-0bd2155630ac</stp>
        <tr r="G3291" s="2"/>
      </tp>
    </main>
    <main first="rtdsrv_a82eb5a1fc404542a18b1336b70d2c4e">
      <tp>
        <v>5</v>
        <stp/>
        <stp>922db8f0-d68f-4d8d-bdb7-ae338dcbdfad</stp>
        <tr r="G3501" s="2"/>
      </tp>
    </main>
    <main first="rtdsrv_a82eb5a1fc404542a18b1336b70d2c4e">
      <tp>
        <v>5</v>
        <stp/>
        <stp>0dcc0502-c010-40a4-ac15-7904a8d959ff</stp>
        <tr r="G6001" s="2"/>
      </tp>
    </main>
    <main first="rtdsrv_a82eb5a1fc404542a18b1336b70d2c4e">
      <tp>
        <v>5</v>
        <stp/>
        <stp>97c8dcc8-3616-4075-9b41-0b75190912e3</stp>
        <tr r="G6411" s="2"/>
      </tp>
    </main>
    <main first="rtdsrv_a82eb5a1fc404542a18b1336b70d2c4e">
      <tp>
        <v>5</v>
        <stp/>
        <stp>b93bec5d-ee70-490f-8e7c-a1c246759f14</stp>
        <tr r="G8544" s="2"/>
      </tp>
    </main>
    <main first="rtdsrv_a82eb5a1fc404542a18b1336b70d2c4e">
      <tp>
        <v>5</v>
        <stp/>
        <stp>b8d748da-ed7e-4afc-ac35-9fa2bdb7d875</stp>
        <tr r="G3539" s="2"/>
      </tp>
    </main>
    <main first="rtdsrv_a82eb5a1fc404542a18b1336b70d2c4e">
      <tp>
        <v>5</v>
        <stp/>
        <stp>68fd47be-ae1e-4f90-86fe-10e85b05ae40</stp>
        <tr r="G9688" s="2"/>
      </tp>
      <tp>
        <v>5</v>
        <stp/>
        <stp>291bfa9a-0577-444b-8f7b-0303d28b5325</stp>
        <tr r="G695" s="2"/>
      </tp>
      <tp>
        <v>5</v>
        <stp/>
        <stp>ebc0a8ab-50e3-44bd-99ce-637beb7bd62f</stp>
        <tr r="G5999" s="2"/>
      </tp>
      <tp>
        <v>5</v>
        <stp/>
        <stp>aaaf287d-d592-47ad-aaeb-8362e47654e6</stp>
        <tr r="G1575" s="2"/>
      </tp>
    </main>
    <main first="rtdsrv_a82eb5a1fc404542a18b1336b70d2c4e">
      <tp>
        <v>5</v>
        <stp/>
        <stp>e36bf161-3639-4133-8717-df227cd8b929</stp>
        <tr r="G3111" s="2"/>
      </tp>
    </main>
    <main first="rtdsrv_a82eb5a1fc404542a18b1336b70d2c4e">
      <tp>
        <v>5</v>
        <stp/>
        <stp>f851c2cf-dc30-49f2-be97-36b04e1f197d</stp>
        <tr r="G166" s="2"/>
      </tp>
    </main>
    <main first="rtdsrv_a82eb5a1fc404542a18b1336b70d2c4e">
      <tp>
        <v>5</v>
        <stp/>
        <stp>a4ecc752-1504-4ac9-ae31-74edc4c3574c</stp>
        <tr r="G6261" s="2"/>
      </tp>
    </main>
    <main first="rtdsrv_a82eb5a1fc404542a18b1336b70d2c4e">
      <tp>
        <v>5</v>
        <stp/>
        <stp>20cfcdec-3c21-4f15-bc1d-9eac79445025</stp>
        <tr r="G4507" s="2"/>
      </tp>
      <tp>
        <v>5</v>
        <stp/>
        <stp>8dc19891-d48d-42d8-8f48-0f9679156d8c</stp>
        <tr r="G9021" s="2"/>
      </tp>
      <tp>
        <v>5</v>
        <stp/>
        <stp>0354ce9f-2229-4ac9-ab7d-c48b3369fb2e</stp>
        <tr r="G6039" s="2"/>
      </tp>
    </main>
    <main first="rtdsrv_a82eb5a1fc404542a18b1336b70d2c4e">
      <tp>
        <v>5</v>
        <stp/>
        <stp>6901edd6-7a8f-4356-bc0d-44a796b13a40</stp>
        <tr r="G4636" s="2"/>
      </tp>
    </main>
    <main first="rtdsrv_a82eb5a1fc404542a18b1336b70d2c4e">
      <tp>
        <v>5</v>
        <stp/>
        <stp>c2fccfea-b949-47eb-829a-e68b417f6e39</stp>
        <tr r="G3147" s="2"/>
      </tp>
      <tp>
        <v>5</v>
        <stp/>
        <stp>63e094af-4f0b-4e25-a228-8c6b49815a34</stp>
        <tr r="G6757" s="2"/>
      </tp>
      <tp>
        <v>5</v>
        <stp/>
        <stp>3fd3b9fc-5eaf-4f88-ae70-31fbf854acce</stp>
        <tr r="G698" s="2"/>
      </tp>
    </main>
    <main first="rtdsrv_a82eb5a1fc404542a18b1336b70d2c4e">
      <tp>
        <v>5</v>
        <stp/>
        <stp>6d5393c3-db39-4521-9c05-d55049b10118</stp>
        <tr r="G8124" s="2"/>
      </tp>
    </main>
    <main first="rtdsrv_a82eb5a1fc404542a18b1336b70d2c4e">
      <tp>
        <v>5</v>
        <stp/>
        <stp>ace833c0-c38c-46b8-a8dd-b5913f72738b</stp>
        <tr r="G3810" s="2"/>
      </tp>
      <tp>
        <v>5</v>
        <stp/>
        <stp>600912c5-fd15-4c17-98eb-1f2fa9087f09</stp>
        <tr r="G7502" s="2"/>
      </tp>
      <tp>
        <v>5</v>
        <stp/>
        <stp>6ba951ff-9576-43ee-898a-ee1a69343d66</stp>
        <tr r="G6604" s="2"/>
      </tp>
      <tp>
        <v>5</v>
        <stp/>
        <stp>a7d2b8de-e160-4ba5-bb25-e2cfc46afd6d</stp>
        <tr r="G5013" s="2"/>
      </tp>
    </main>
    <main first="rtdsrv_a82eb5a1fc404542a18b1336b70d2c4e">
      <tp>
        <v>5</v>
        <stp/>
        <stp>fa679900-cf5c-452e-adbf-b6fa3a721d0a</stp>
        <tr r="G8895" s="2"/>
      </tp>
    </main>
    <main first="rtdsrv_a82eb5a1fc404542a18b1336b70d2c4e">
      <tp>
        <v>5</v>
        <stp/>
        <stp>2de52bb9-9df0-4348-ab25-a25a08a970e3</stp>
        <tr r="G1891" s="2"/>
      </tp>
      <tp>
        <v>5</v>
        <stp/>
        <stp>f6d0c250-dd9f-4bb5-9e0e-59e982d7ca66</stp>
        <tr r="G2081" s="2"/>
      </tp>
    </main>
    <main first="rtdsrv_a82eb5a1fc404542a18b1336b70d2c4e">
      <tp>
        <v>5</v>
        <stp/>
        <stp>6bd8f50f-8abd-4a4f-be68-75885644e3a6</stp>
        <tr r="G5773" s="2"/>
      </tp>
    </main>
    <main first="rtdsrv_a82eb5a1fc404542a18b1336b70d2c4e">
      <tp>
        <v>5</v>
        <stp/>
        <stp>145f832e-a791-4785-ae57-e8fc0d694573</stp>
        <tr r="G3970" s="2"/>
      </tp>
    </main>
    <main first="rtdsrv_a82eb5a1fc404542a18b1336b70d2c4e">
      <tp>
        <v>5</v>
        <stp/>
        <stp>533b22e3-d18b-48e0-9d89-9a3ed7994449</stp>
        <tr r="G2414" s="2"/>
      </tp>
    </main>
    <main first="rtdsrv_a82eb5a1fc404542a18b1336b70d2c4e">
      <tp>
        <v>5</v>
        <stp/>
        <stp>b2f120f5-c463-4633-922e-2da32850d3e0</stp>
        <tr r="G6485" s="2"/>
      </tp>
      <tp>
        <v>5</v>
        <stp/>
        <stp>0b24b8b1-7d1b-4322-934e-9f7e1356213b</stp>
        <tr r="G9485" s="2"/>
      </tp>
      <tp>
        <v>5</v>
        <stp/>
        <stp>57729252-2ef7-44a0-8141-16b04877b2cb</stp>
        <tr r="G8948" s="2"/>
      </tp>
    </main>
    <main first="rtdsrv_a82eb5a1fc404542a18b1336b70d2c4e">
      <tp>
        <v>5</v>
        <stp/>
        <stp>595b6acf-913a-462d-baa0-392ae6aeedd3</stp>
        <tr r="G2901" s="2"/>
      </tp>
      <tp>
        <v>5</v>
        <stp/>
        <stp>ee67f9ba-be38-41ef-8a10-4e19103c83cc</stp>
        <tr r="G3410" s="2"/>
      </tp>
      <tp>
        <v>5</v>
        <stp/>
        <stp>68376391-1ead-4a50-b77c-b741ffa62c95</stp>
        <tr r="G3504" s="2"/>
      </tp>
      <tp>
        <v>5</v>
        <stp/>
        <stp>67d42e1a-95cf-458d-8615-97d8b3c5d52e</stp>
        <tr r="G5197" s="2"/>
      </tp>
      <tp>
        <v>5</v>
        <stp/>
        <stp>c1d2a4c9-a7d3-4426-9e7d-dad449c9d231</stp>
        <tr r="G5997" s="2"/>
      </tp>
    </main>
    <main first="rtdsrv_a82eb5a1fc404542a18b1336b70d2c4e">
      <tp>
        <v>5</v>
        <stp/>
        <stp>79063fe4-6f0b-4652-9c5e-3adb78b5c801</stp>
        <tr r="G4684" s="2"/>
      </tp>
      <tp>
        <v>5</v>
        <stp/>
        <stp>99cc846c-3dec-4a12-b227-51d2f2ef62f7</stp>
        <tr r="G1116" s="2"/>
      </tp>
    </main>
    <main first="rtdsrv_a82eb5a1fc404542a18b1336b70d2c4e">
      <tp>
        <v>5</v>
        <stp/>
        <stp>4864ae4d-b384-412a-a8b6-21d4a3f651d3</stp>
        <tr r="G4714" s="2"/>
      </tp>
      <tp>
        <v>5</v>
        <stp/>
        <stp>0987b497-33bf-4920-9d24-936b8a090aa3</stp>
        <tr r="G6767" s="2"/>
      </tp>
      <tp>
        <v>5</v>
        <stp/>
        <stp>8921d015-e1c4-46f0-976b-e247fc26047c</stp>
        <tr r="G4909" s="2"/>
      </tp>
      <tp>
        <v>5</v>
        <stp/>
        <stp>f8fb807a-aeb2-4728-8c40-51a81cbe48f9</stp>
        <tr r="G9792" s="2"/>
      </tp>
      <tp>
        <v>5</v>
        <stp/>
        <stp>9ffb4e57-dfa9-4269-a64b-9fa157bd445d</stp>
        <tr r="G2304" s="2"/>
      </tp>
    </main>
    <main first="rtdsrv_a82eb5a1fc404542a18b1336b70d2c4e">
      <tp>
        <v>5</v>
        <stp/>
        <stp>30897cec-fdf4-4df7-89ae-187527313c95</stp>
        <tr r="G8974" s="2"/>
      </tp>
    </main>
    <main first="rtdsrv_a82eb5a1fc404542a18b1336b70d2c4e">
      <tp>
        <v>5</v>
        <stp/>
        <stp>9e2297b3-0a07-4246-83d4-587840ffa758</stp>
        <tr r="G2233" s="2"/>
      </tp>
      <tp>
        <v>5</v>
        <stp/>
        <stp>6e15a53c-25d0-46ef-8bb4-c45269cdad47</stp>
        <tr r="G7346" s="2"/>
      </tp>
    </main>
    <main first="rtdsrv_a82eb5a1fc404542a18b1336b70d2c4e">
      <tp>
        <v>5</v>
        <stp/>
        <stp>74ea7540-d24e-40e3-825d-ba7424db995d</stp>
        <tr r="G7934" s="2"/>
      </tp>
      <tp>
        <v>5</v>
        <stp/>
        <stp>71bc37f6-0021-4ae8-88cc-7543260a3a27</stp>
        <tr r="G4238" s="2"/>
      </tp>
    </main>
    <main first="rtdsrv_a82eb5a1fc404542a18b1336b70d2c4e">
      <tp>
        <v>5</v>
        <stp/>
        <stp>48a00ed0-6fb2-4715-b777-7f647a12ba11</stp>
        <tr r="G7463" s="2"/>
      </tp>
    </main>
    <main first="rtdsrv_a82eb5a1fc404542a18b1336b70d2c4e">
      <tp>
        <v>5</v>
        <stp/>
        <stp>f43fa4a9-e55e-4200-aa9e-0efa5e6d9c02</stp>
        <tr r="G2606" s="2"/>
      </tp>
    </main>
    <main first="rtdsrv_a82eb5a1fc404542a18b1336b70d2c4e">
      <tp>
        <v>5</v>
        <stp/>
        <stp>47678e5e-9952-4fd0-98c9-b552b57d07ce</stp>
        <tr r="G4016" s="2"/>
      </tp>
      <tp>
        <v>5</v>
        <stp/>
        <stp>8872c169-a78d-49e6-a2f3-1f91478acff0</stp>
        <tr r="G6090" s="2"/>
      </tp>
      <tp>
        <v>5</v>
        <stp/>
        <stp>787ce07e-06fa-4b97-b376-36a3b5e254f7</stp>
        <tr r="G7797" s="2"/>
      </tp>
    </main>
    <main first="rtdsrv_a82eb5a1fc404542a18b1336b70d2c4e">
      <tp>
        <v>5</v>
        <stp/>
        <stp>c94fdfe3-0262-4c2c-a17f-7413f2e92236</stp>
        <tr r="G2224" s="2"/>
      </tp>
    </main>
    <main first="rtdsrv_a82eb5a1fc404542a18b1336b70d2c4e">
      <tp>
        <v>5</v>
        <stp/>
        <stp>281ace74-ad5a-407e-987e-63ec8bd2d0da</stp>
        <tr r="G7468" s="2"/>
      </tp>
    </main>
    <main first="rtdsrv_a82eb5a1fc404542a18b1336b70d2c4e">
      <tp>
        <v>5</v>
        <stp/>
        <stp>9c87dad9-1322-4e4b-a125-2c10378f2814</stp>
        <tr r="G3930" s="2"/>
      </tp>
    </main>
    <main first="rtdsrv_a82eb5a1fc404542a18b1336b70d2c4e">
      <tp>
        <v>5</v>
        <stp/>
        <stp>803e1d50-979a-44e9-b2b4-c93e2aa1aa54</stp>
        <tr r="G3306" s="2"/>
      </tp>
      <tp>
        <v>5</v>
        <stp/>
        <stp>d57d0a1d-81c7-42df-b3ec-c3095ed766c9</stp>
        <tr r="G1953" s="2"/>
      </tp>
    </main>
    <main first="rtdsrv_a82eb5a1fc404542a18b1336b70d2c4e">
      <tp>
        <v>5</v>
        <stp/>
        <stp>32a12641-551b-49e8-8ec0-e393dd258284</stp>
        <tr r="G2599" s="2"/>
      </tp>
      <tp>
        <v>5</v>
        <stp/>
        <stp>8114eba9-42c1-4d70-aff4-e9ca9c057df2</stp>
        <tr r="G9380" s="2"/>
      </tp>
    </main>
    <main first="rtdsrv_a82eb5a1fc404542a18b1336b70d2c4e">
      <tp>
        <v>5</v>
        <stp/>
        <stp>c8f87d40-23c3-4b92-a341-fbded3f0b610</stp>
        <tr r="G6787" s="2"/>
      </tp>
    </main>
    <main first="rtdsrv_a82eb5a1fc404542a18b1336b70d2c4e">
      <tp>
        <v>5</v>
        <stp/>
        <stp>b3d9f52e-f7ca-4136-a78b-d2cf9f607556</stp>
        <tr r="G5152" s="2"/>
      </tp>
      <tp>
        <v>5</v>
        <stp/>
        <stp>64ca6f5f-d200-4490-9160-f76fa19fa981</stp>
        <tr r="G1917" s="2"/>
      </tp>
    </main>
    <main first="rtdsrv_a82eb5a1fc404542a18b1336b70d2c4e">
      <tp>
        <v>5</v>
        <stp/>
        <stp>1f30361e-5c47-4f78-bc1a-64fdff69c13d</stp>
        <tr r="G9269" s="2"/>
      </tp>
      <tp>
        <v>5</v>
        <stp/>
        <stp>203d55be-59f7-4548-82ff-dfbe3e970b6d</stp>
        <tr r="G8753" s="2"/>
      </tp>
      <tp>
        <v>5</v>
        <stp/>
        <stp>9306c8ec-1f06-4842-ae4c-671f95c0f1a6</stp>
        <tr r="G238" s="2"/>
      </tp>
      <tp>
        <v>5</v>
        <stp/>
        <stp>2eb256a9-e6f9-45b5-a053-286524f6b55f</stp>
        <tr r="G5458" s="2"/>
      </tp>
    </main>
    <main first="rtdsrv_a82eb5a1fc404542a18b1336b70d2c4e">
      <tp>
        <v>5</v>
        <stp/>
        <stp>9a10e95f-b099-41e0-ab8a-c84fa6a623c0</stp>
        <tr r="G6047" s="2"/>
      </tp>
    </main>
    <main first="rtdsrv_a82eb5a1fc404542a18b1336b70d2c4e">
      <tp>
        <v>5</v>
        <stp/>
        <stp>6beafcf3-b3fd-4108-95a6-4f5eb65a0eea</stp>
        <tr r="G3537" s="2"/>
      </tp>
    </main>
    <main first="rtdsrv_a82eb5a1fc404542a18b1336b70d2c4e">
      <tp>
        <v>5</v>
        <stp/>
        <stp>2f3e687f-ac2f-427a-81b3-e7d6c3500698</stp>
        <tr r="G2012" s="2"/>
      </tp>
      <tp>
        <v>5</v>
        <stp/>
        <stp>1a289079-9bd5-4e54-bed3-0c97bb4c37e0</stp>
        <tr r="G4156" s="2"/>
      </tp>
      <tp>
        <v>5</v>
        <stp/>
        <stp>580c2e50-a483-46c1-a199-6531e842c733</stp>
        <tr r="G8589" s="2"/>
      </tp>
    </main>
    <main first="rtdsrv_a82eb5a1fc404542a18b1336b70d2c4e">
      <tp>
        <v>5</v>
        <stp/>
        <stp>494be1f6-9e49-4089-8534-644b2531e487</stp>
        <tr r="G7040" s="2"/>
      </tp>
      <tp>
        <v>5</v>
        <stp/>
        <stp>fa53a0e2-c741-4543-8db7-990241852ed1</stp>
        <tr r="G6628" s="2"/>
      </tp>
    </main>
    <main first="rtdsrv_a82eb5a1fc404542a18b1336b70d2c4e">
      <tp>
        <v>5</v>
        <stp/>
        <stp>07fd1d65-59c9-4515-a26d-c7d49d48d8ac</stp>
        <tr r="G1006" s="2"/>
      </tp>
      <tp>
        <v>5</v>
        <stp/>
        <stp>0a2978fa-ef97-4e3c-960b-031407d61e96</stp>
        <tr r="G8629" s="2"/>
      </tp>
    </main>
    <main first="rtdsrv_a82eb5a1fc404542a18b1336b70d2c4e">
      <tp>
        <v>5</v>
        <stp/>
        <stp>612de0fe-63d0-4c24-918b-b5990a20da2c</stp>
        <tr r="G7248" s="2"/>
      </tp>
    </main>
    <main first="rtdsrv_a82eb5a1fc404542a18b1336b70d2c4e">
      <tp>
        <v>5</v>
        <stp/>
        <stp>6be6d38d-3428-4a13-8b12-696a7b2605c9</stp>
        <tr r="G5425" s="2"/>
      </tp>
      <tp>
        <v>5</v>
        <stp/>
        <stp>ac71f192-ae8e-4a12-bf25-18cf9f48fc56</stp>
        <tr r="G9250" s="2"/>
      </tp>
    </main>
    <main first="rtdsrv_a82eb5a1fc404542a18b1336b70d2c4e">
      <tp>
        <v>5</v>
        <stp/>
        <stp>adf973e9-a8be-49a6-8a17-6903b3bea5be</stp>
        <tr r="G7500" s="2"/>
      </tp>
      <tp>
        <v>5</v>
        <stp/>
        <stp>4eade8f5-a96d-471c-8f09-5aabfeb5ee8c</stp>
        <tr r="G3606" s="2"/>
      </tp>
      <tp>
        <v>5</v>
        <stp/>
        <stp>42a97fe0-7155-4293-b198-a56f86b4edeb</stp>
        <tr r="G7745" s="2"/>
      </tp>
    </main>
    <main first="rtdsrv_a82eb5a1fc404542a18b1336b70d2c4e">
      <tp>
        <v>5</v>
        <stp/>
        <stp>a41ab28d-23ca-4c10-b614-6620a9c154c8</stp>
        <tr r="G7895" s="2"/>
      </tp>
    </main>
    <main first="rtdsrv_a82eb5a1fc404542a18b1336b70d2c4e">
      <tp>
        <v>5</v>
        <stp/>
        <stp>27ec687e-9a88-4fba-be78-a8ab03aa0e7a</stp>
        <tr r="G4557" s="2"/>
      </tp>
      <tp>
        <v>5</v>
        <stp/>
        <stp>c943c7f7-5afd-4080-b1ab-15c4ce99847e</stp>
        <tr r="G6338" s="2"/>
      </tp>
      <tp>
        <v>5</v>
        <stp/>
        <stp>6b8253b9-22c1-49ba-8181-60863289a6db</stp>
        <tr r="G6929" s="2"/>
      </tp>
    </main>
    <main first="rtdsrv_a82eb5a1fc404542a18b1336b70d2c4e">
      <tp>
        <v>5</v>
        <stp/>
        <stp>eb59897b-c62f-4644-8d56-91b103eff581</stp>
        <tr r="G6720" s="2"/>
      </tp>
    </main>
    <main first="rtdsrv_a82eb5a1fc404542a18b1336b70d2c4e">
      <tp>
        <v>5</v>
        <stp/>
        <stp>9ab27081-607c-4310-afdd-8960a32a3779</stp>
        <tr r="G2160" s="2"/>
      </tp>
      <tp>
        <v>5</v>
        <stp/>
        <stp>605cf64a-1221-4449-8f43-6af9d389bfc2</stp>
        <tr r="G8398" s="2"/>
      </tp>
    </main>
    <main first="rtdsrv_a82eb5a1fc404542a18b1336b70d2c4e">
      <tp>
        <v>5</v>
        <stp/>
        <stp>8e692426-b89c-4eaa-8737-28a6d5235be1</stp>
        <tr r="G1150" s="2"/>
      </tp>
    </main>
    <main first="rtdsrv_a82eb5a1fc404542a18b1336b70d2c4e">
      <tp>
        <v>5</v>
        <stp/>
        <stp>873fa1af-0839-4693-91d0-857e4ce56957</stp>
        <tr r="G3336" s="2"/>
      </tp>
    </main>
    <main first="rtdsrv_a82eb5a1fc404542a18b1336b70d2c4e">
      <tp>
        <v>5</v>
        <stp/>
        <stp>05bb7636-999b-4f5f-81fe-87a60ff65e44</stp>
        <tr r="G7430" s="2"/>
      </tp>
    </main>
    <main first="rtdsrv_a82eb5a1fc404542a18b1336b70d2c4e">
      <tp>
        <v>5</v>
        <stp/>
        <stp>5f9d0170-dc34-4963-bece-79c382bdbf7c</stp>
        <tr r="G6428" s="2"/>
      </tp>
      <tp>
        <v>5</v>
        <stp/>
        <stp>3f5fb852-ad59-41ee-8d9f-7061682e1e85</stp>
        <tr r="G6916" s="2"/>
      </tp>
      <tp>
        <v>5</v>
        <stp/>
        <stp>09a5dde3-c696-40a1-b6e2-ac8b425fb53c</stp>
        <tr r="G2225" s="2"/>
      </tp>
    </main>
    <main first="rtdsrv_a82eb5a1fc404542a18b1336b70d2c4e">
      <tp>
        <v>5</v>
        <stp/>
        <stp>f85132ba-d8ea-48d3-ac97-456e0f5989ef</stp>
        <tr r="G4617" s="2"/>
      </tp>
    </main>
    <main first="rtdsrv_a82eb5a1fc404542a18b1336b70d2c4e">
      <tp>
        <v>5</v>
        <stp/>
        <stp>ab9022a0-c184-46d0-85d4-16dc2f6ef91c</stp>
        <tr r="G733" s="2"/>
      </tp>
      <tp>
        <v>5</v>
        <stp/>
        <stp>f5dd8467-63fd-4a0f-bde9-dede9fcbc9ab</stp>
        <tr r="G5316" s="2"/>
      </tp>
    </main>
    <main first="rtdsrv_a82eb5a1fc404542a18b1336b70d2c4e">
      <tp>
        <v>5</v>
        <stp/>
        <stp>464a9a59-4e9e-4cd8-bf28-4d33b01363ad</stp>
        <tr r="G9110" s="2"/>
      </tp>
      <tp>
        <v>5</v>
        <stp/>
        <stp>69973819-43f7-45a9-8744-bd010e53775b</stp>
        <tr r="G3176" s="2"/>
      </tp>
    </main>
    <main first="rtdsrv_a82eb5a1fc404542a18b1336b70d2c4e">
      <tp>
        <v>5</v>
        <stp/>
        <stp>bcaed6f4-7e61-4d0e-8069-08cdcdd99ccf</stp>
        <tr r="G1379" s="2"/>
      </tp>
      <tp>
        <v>5</v>
        <stp/>
        <stp>be324de0-e45a-4127-86b5-d283c8bc152b</stp>
        <tr r="G2177" s="2"/>
      </tp>
    </main>
    <main first="rtdsrv_a82eb5a1fc404542a18b1336b70d2c4e">
      <tp>
        <v>5</v>
        <stp/>
        <stp>157a8a09-7883-4a72-9daf-c404937529a1</stp>
        <tr r="G6809" s="2"/>
      </tp>
    </main>
    <main first="rtdsrv_a82eb5a1fc404542a18b1336b70d2c4e">
      <tp>
        <v>5</v>
        <stp/>
        <stp>e2ab77a1-69b8-4d09-bbb3-666e64672d55</stp>
        <tr r="G9461" s="2"/>
      </tp>
    </main>
    <main first="rtdsrv_a82eb5a1fc404542a18b1336b70d2c4e">
      <tp>
        <v>5</v>
        <stp/>
        <stp>93ba593a-ef3e-4ac2-a07b-25fcd0802a43</stp>
        <tr r="G6783" s="2"/>
      </tp>
    </main>
    <main first="rtdsrv_a82eb5a1fc404542a18b1336b70d2c4e">
      <tp>
        <v>5</v>
        <stp/>
        <stp>afd07bbb-0903-4db0-a58c-0d09c3c7ee01</stp>
        <tr r="G9126" s="2"/>
      </tp>
      <tp>
        <v>5</v>
        <stp/>
        <stp>00ce66b2-ae6a-4d38-84b5-eec47c37a598</stp>
        <tr r="G3749" s="2"/>
      </tp>
      <tp>
        <v>5</v>
        <stp/>
        <stp>7b94ee43-7499-4175-b0bd-d07bcad97861</stp>
        <tr r="G518" s="2"/>
      </tp>
    </main>
    <main first="rtdsrv_a82eb5a1fc404542a18b1336b70d2c4e">
      <tp>
        <v>5</v>
        <stp/>
        <stp>3f51d6c0-de72-46e8-8b61-a538101ab18b</stp>
        <tr r="G6151" s="2"/>
      </tp>
      <tp>
        <v>5</v>
        <stp/>
        <stp>3e4f3df8-43da-4082-840e-f861d4387594</stp>
        <tr r="G9756" s="2"/>
      </tp>
    </main>
    <main first="rtdsrv_a82eb5a1fc404542a18b1336b70d2c4e">
      <tp>
        <v>5</v>
        <stp/>
        <stp>2919ba56-172f-4430-b2e7-4f9be03a9d6c</stp>
        <tr r="G538" s="2"/>
      </tp>
    </main>
    <main first="rtdsrv_a82eb5a1fc404542a18b1336b70d2c4e">
      <tp>
        <v>5</v>
        <stp/>
        <stp>f3dcb04b-6249-4961-b9cc-4882a30bbb1c</stp>
        <tr r="G4629" s="2"/>
      </tp>
      <tp>
        <v>5</v>
        <stp/>
        <stp>19139584-6ebf-4d86-91bf-b64d674aaa2c</stp>
        <tr r="G6275" s="2"/>
      </tp>
    </main>
    <main first="rtdsrv_a82eb5a1fc404542a18b1336b70d2c4e">
      <tp>
        <v>5</v>
        <stp/>
        <stp>869bf86c-2a8e-456b-815b-0b7e7e0feb21</stp>
        <tr r="G8297" s="2"/>
      </tp>
      <tp>
        <v>5</v>
        <stp/>
        <stp>58ee6d99-77de-401d-a87b-40de756393b8</stp>
        <tr r="G3589" s="2"/>
      </tp>
      <tp>
        <v>5</v>
        <stp/>
        <stp>b548579d-3f7d-4541-808d-d6d6c63ca6a3</stp>
        <tr r="G1187" s="2"/>
      </tp>
    </main>
    <main first="rtdsrv_a82eb5a1fc404542a18b1336b70d2c4e">
      <tp>
        <v>5</v>
        <stp/>
        <stp>44cfc0a6-1842-4131-a788-7093ac66da42</stp>
        <tr r="G3188" s="2"/>
      </tp>
    </main>
    <main first="rtdsrv_a82eb5a1fc404542a18b1336b70d2c4e">
      <tp>
        <v>5</v>
        <stp/>
        <stp>078dc5fe-b652-4887-8fed-5846922c9637</stp>
        <tr r="G4512" s="2"/>
      </tp>
      <tp>
        <v>5</v>
        <stp/>
        <stp>fbfaaf2f-be99-4d09-9047-a4b8c3d2cb99</stp>
        <tr r="G4015" s="2"/>
      </tp>
      <tp>
        <v>5</v>
        <stp/>
        <stp>a5f4d618-8332-4d84-aa40-1e1f8c85a3d8</stp>
        <tr r="G4127" s="2"/>
      </tp>
    </main>
    <main first="rtdsrv_a82eb5a1fc404542a18b1336b70d2c4e">
      <tp>
        <v>5</v>
        <stp/>
        <stp>cc6d8f87-e1fb-49e2-8e51-dbe139bb0204</stp>
        <tr r="G6723" s="2"/>
      </tp>
    </main>
    <main first="rtdsrv_a82eb5a1fc404542a18b1336b70d2c4e">
      <tp>
        <v>5</v>
        <stp/>
        <stp>add0a8a3-20d2-483c-8534-33f7078d64e0</stp>
        <tr r="G2438" s="2"/>
      </tp>
    </main>
    <main first="rtdsrv_a82eb5a1fc404542a18b1336b70d2c4e">
      <tp>
        <v>5</v>
        <stp/>
        <stp>a92a9363-a920-4b50-b973-513d97f30da5</stp>
        <tr r="G8653" s="2"/>
      </tp>
    </main>
    <main first="rtdsrv_a82eb5a1fc404542a18b1336b70d2c4e">
      <tp>
        <v>5</v>
        <stp/>
        <stp>11d443e4-8b47-4574-8f6f-0b815a3f554a</stp>
        <tr r="G6594" s="2"/>
      </tp>
      <tp>
        <v>5</v>
        <stp/>
        <stp>0f8373a1-7150-4dda-91f9-79927fef3471</stp>
        <tr r="G7503" s="2"/>
      </tp>
    </main>
    <main first="rtdsrv_a82eb5a1fc404542a18b1336b70d2c4e">
      <tp>
        <v>5</v>
        <stp/>
        <stp>696ded78-68b4-46a6-b7b6-93561db10fb8</stp>
        <tr r="G6217" s="2"/>
      </tp>
      <tp>
        <v>5</v>
        <stp/>
        <stp>bcb998a9-3d81-4e30-84e7-5204388989b9</stp>
        <tr r="G580" s="2"/>
      </tp>
    </main>
    <main first="rtdsrv_a82eb5a1fc404542a18b1336b70d2c4e">
      <tp>
        <v>5</v>
        <stp/>
        <stp>18e272a3-7998-4123-9f5c-73b4b728914a</stp>
        <tr r="G1930" s="2"/>
      </tp>
      <tp>
        <v>5</v>
        <stp/>
        <stp>883a271b-ad90-4d24-a199-29dada9ba58d</stp>
        <tr r="G9700" s="2"/>
      </tp>
    </main>
    <main first="rtdsrv_a82eb5a1fc404542a18b1336b70d2c4e">
      <tp>
        <v>5</v>
        <stp/>
        <stp>0ca67a97-7cd4-4e29-91b4-251e9be7a7a0</stp>
        <tr r="G4914" s="2"/>
      </tp>
    </main>
    <main first="rtdsrv_a82eb5a1fc404542a18b1336b70d2c4e">
      <tp>
        <v>5</v>
        <stp/>
        <stp>3604563c-f8fe-461f-939f-ad56ea6782e9</stp>
        <tr r="G8892" s="2"/>
      </tp>
    </main>
    <main first="rtdsrv_a82eb5a1fc404542a18b1336b70d2c4e">
      <tp>
        <v>5</v>
        <stp/>
        <stp>b0dc5753-988d-4347-a0b7-cd9465d80487</stp>
        <tr r="G7585" s="2"/>
      </tp>
    </main>
    <main first="rtdsrv_a82eb5a1fc404542a18b1336b70d2c4e">
      <tp>
        <v>5</v>
        <stp/>
        <stp>b6422896-d6ba-429c-a057-ab509a04c129</stp>
        <tr r="G5708" s="2"/>
      </tp>
      <tp>
        <v>5</v>
        <stp/>
        <stp>e8c643c8-8684-435a-ac13-16bc0c8738d8</stp>
        <tr r="G4303" s="2"/>
      </tp>
    </main>
    <main first="rtdsrv_a82eb5a1fc404542a18b1336b70d2c4e">
      <tp>
        <v>5</v>
        <stp/>
        <stp>dd73aab3-9cba-4369-be3a-9f9ee8672fc3</stp>
        <tr r="G8833" s="2"/>
      </tp>
      <tp>
        <v>5</v>
        <stp/>
        <stp>7782b584-e16f-41e4-8814-2988731dcf79</stp>
        <tr r="G2811" s="2"/>
      </tp>
    </main>
    <main first="rtdsrv_a82eb5a1fc404542a18b1336b70d2c4e">
      <tp>
        <v>5</v>
        <stp/>
        <stp>147983d7-96af-4c28-98b5-d090eb6b58d9</stp>
        <tr r="G6214" s="2"/>
      </tp>
    </main>
    <main first="rtdsrv_a82eb5a1fc404542a18b1336b70d2c4e">
      <tp>
        <v>5</v>
        <stp/>
        <stp>8f248717-be58-4c42-9add-8053fcab48b8</stp>
        <tr r="G724" s="2"/>
      </tp>
    </main>
    <main first="rtdsrv_a82eb5a1fc404542a18b1336b70d2c4e">
      <tp>
        <v>5</v>
        <stp/>
        <stp>188f630c-3418-4ed2-b57d-9bea849b0e03</stp>
        <tr r="G782" s="2"/>
      </tp>
      <tp>
        <v>5</v>
        <stp/>
        <stp>370d907e-f0d7-44aa-9447-9fd7581a4da2</stp>
        <tr r="G5634" s="2"/>
      </tp>
      <tp>
        <v>5</v>
        <stp/>
        <stp>a2d5e4cf-4fe8-401f-a594-37a44fc8b2cb</stp>
        <tr r="G8034" s="2"/>
      </tp>
      <tp>
        <v>5</v>
        <stp/>
        <stp>85326c6e-2d8a-4ba9-aaab-07f0c37c86f5</stp>
        <tr r="G8625" s="2"/>
      </tp>
      <tp>
        <v>5</v>
        <stp/>
        <stp>9561976b-0aed-4709-b452-ff09c36f9ea7</stp>
        <tr r="G2181" s="2"/>
      </tp>
    </main>
    <main first="rtdsrv_a82eb5a1fc404542a18b1336b70d2c4e">
      <tp>
        <v>5</v>
        <stp/>
        <stp>5160ab68-1cf5-41c9-92c3-5b135d0680e7</stp>
        <tr r="G3694" s="2"/>
      </tp>
      <tp>
        <v>5</v>
        <stp/>
        <stp>2e3fd531-a6d1-4604-ab96-3eb0b6022af3</stp>
        <tr r="G9303" s="2"/>
      </tp>
    </main>
    <main first="rtdsrv_a82eb5a1fc404542a18b1336b70d2c4e">
      <tp>
        <v>5</v>
        <stp/>
        <stp>1bdc6863-5b39-4e64-a0f0-df52d48b2a9f</stp>
        <tr r="G4365" s="2"/>
      </tp>
      <tp>
        <v>5</v>
        <stp/>
        <stp>7316b6f3-9e77-424f-bfec-a7159366d5b3</stp>
        <tr r="G678" s="2"/>
      </tp>
    </main>
    <main first="rtdsrv_a82eb5a1fc404542a18b1336b70d2c4e">
      <tp>
        <v>5</v>
        <stp/>
        <stp>2df80f95-4077-4750-a449-ef0e9cc7f91d</stp>
        <tr r="G9106" s="2"/>
      </tp>
      <tp>
        <v>5</v>
        <stp/>
        <stp>b85c9ff7-0929-444d-8a78-9340547654e7</stp>
        <tr r="G1734" s="2"/>
      </tp>
    </main>
    <main first="rtdsrv_a82eb5a1fc404542a18b1336b70d2c4e">
      <tp>
        <v>5</v>
        <stp/>
        <stp>a84505f2-5542-4501-bfca-dc1be6026121</stp>
        <tr r="G6071" s="2"/>
      </tp>
      <tp>
        <v>5</v>
        <stp/>
        <stp>a700f910-1a7e-4812-8e5d-2c1ee0fbeef7</stp>
        <tr r="G488" s="2"/>
      </tp>
    </main>
    <main first="rtdsrv_a82eb5a1fc404542a18b1336b70d2c4e">
      <tp>
        <v>5</v>
        <stp/>
        <stp>0795d570-ccbd-486a-8783-cdbe3780ae13</stp>
        <tr r="G9427" s="2"/>
      </tp>
      <tp>
        <v>5</v>
        <stp/>
        <stp>39c8629f-4073-4d3f-8034-d061729ccfdf</stp>
        <tr r="G9400" s="2"/>
      </tp>
    </main>
    <main first="rtdsrv_a82eb5a1fc404542a18b1336b70d2c4e">
      <tp>
        <v>5</v>
        <stp/>
        <stp>f9ef24dc-3307-4427-870b-ce0871f58c37</stp>
        <tr r="G3896" s="2"/>
      </tp>
      <tp>
        <v>5</v>
        <stp/>
        <stp>8617d61d-0c3b-47e6-b310-586ccd5d2ee1</stp>
        <tr r="G9758" s="2"/>
      </tp>
      <tp>
        <v>5</v>
        <stp/>
        <stp>a5386221-2d2d-4547-90ac-c988fa8fb53e</stp>
        <tr r="G1726" s="2"/>
      </tp>
    </main>
    <main first="rtdsrv_a82eb5a1fc404542a18b1336b70d2c4e">
      <tp>
        <v>5</v>
        <stp/>
        <stp>9ad427a5-f22d-4046-8133-dc6419f8caa8</stp>
        <tr r="G6066" s="2"/>
      </tp>
      <tp>
        <v>5</v>
        <stp/>
        <stp>a675d332-ef04-4a99-8cd2-ac6bddbba41a</stp>
        <tr r="G5010" s="2"/>
      </tp>
    </main>
    <main first="rtdsrv_a82eb5a1fc404542a18b1336b70d2c4e">
      <tp>
        <v>5</v>
        <stp/>
        <stp>aed66279-caa1-4262-bf88-bbf7518fbcad</stp>
        <tr r="G9164" s="2"/>
      </tp>
    </main>
    <main first="rtdsrv_a82eb5a1fc404542a18b1336b70d2c4e">
      <tp>
        <v>5</v>
        <stp/>
        <stp>c1cbcf78-7b2c-46c1-accf-066643df4978</stp>
        <tr r="G7783" s="2"/>
      </tp>
    </main>
    <main first="rtdsrv_a82eb5a1fc404542a18b1336b70d2c4e">
      <tp>
        <v>5</v>
        <stp/>
        <stp>68a56459-74fe-4155-ae13-350b1b700fa5</stp>
        <tr r="G4943" s="2"/>
      </tp>
    </main>
    <main first="rtdsrv_a82eb5a1fc404542a18b1336b70d2c4e">
      <tp>
        <v>5</v>
        <stp/>
        <stp>1a4216bd-4625-4c0c-9f50-00d9e2d109f2</stp>
        <tr r="G1364" s="2"/>
      </tp>
      <tp>
        <v>5</v>
        <stp/>
        <stp>706e9547-3362-4964-90f7-ac2de82e910c</stp>
        <tr r="G441" s="2"/>
      </tp>
      <tp>
        <v>5</v>
        <stp/>
        <stp>2e2feed4-7d4b-4cc8-9e21-32c6985889c5</stp>
        <tr r="G4509" s="2"/>
      </tp>
      <tp>
        <v>5</v>
        <stp/>
        <stp>f6181947-dd8a-4461-89e1-a1059c271cd9</stp>
        <tr r="G6764" s="2"/>
      </tp>
    </main>
    <main first="rtdsrv_a82eb5a1fc404542a18b1336b70d2c4e">
      <tp>
        <v>5</v>
        <stp/>
        <stp>37121dbc-8a6a-48bf-9420-e3fb2274d0e1</stp>
        <tr r="G4180" s="2"/>
      </tp>
      <tp>
        <v>5</v>
        <stp/>
        <stp>1ed62e55-2780-4efd-b31f-09e8c4e68d60</stp>
        <tr r="G5574" s="2"/>
      </tp>
    </main>
    <main first="rtdsrv_a82eb5a1fc404542a18b1336b70d2c4e">
      <tp>
        <v>5</v>
        <stp/>
        <stp>25ddecf6-ddcc-45ea-977f-f8bc3efa7721</stp>
        <tr r="G6608" s="2"/>
      </tp>
      <tp>
        <v>5</v>
        <stp/>
        <stp>7e3969ea-237a-4966-8f42-52d7a40d1d52</stp>
        <tr r="G3288" s="2"/>
      </tp>
      <tp>
        <v>5</v>
        <stp/>
        <stp>5f25bc6a-b1cb-4da6-a9a7-fe74ec413878</stp>
        <tr r="G8344" s="2"/>
      </tp>
    </main>
    <main first="rtdsrv_a82eb5a1fc404542a18b1336b70d2c4e">
      <tp>
        <v>5</v>
        <stp/>
        <stp>8936f82a-2ebd-4656-a67f-4fbd59c95c50</stp>
        <tr r="G3877" s="2"/>
      </tp>
    </main>
    <main first="rtdsrv_a82eb5a1fc404542a18b1336b70d2c4e">
      <tp>
        <v>5</v>
        <stp/>
        <stp>2cdb5be9-508c-497e-bced-70ed780dd262</stp>
        <tr r="G3547" s="2"/>
      </tp>
    </main>
    <main first="rtdsrv_a82eb5a1fc404542a18b1336b70d2c4e">
      <tp>
        <v>5</v>
        <stp/>
        <stp>32ecfacc-b62d-4c4e-87af-3ea7df3af824</stp>
        <tr r="G6738" s="2"/>
      </tp>
      <tp>
        <v>5</v>
        <stp/>
        <stp>40b8030b-e578-4eff-86b4-eef13027f91b</stp>
        <tr r="G6053" s="2"/>
      </tp>
      <tp>
        <v>5</v>
        <stp/>
        <stp>98c9d574-736c-40fa-bbf2-8841034438c8</stp>
        <tr r="G5252" s="2"/>
      </tp>
      <tp>
        <v>5</v>
        <stp/>
        <stp>39781293-42be-4a50-8473-1521b63bd585</stp>
        <tr r="G8542" s="2"/>
      </tp>
    </main>
    <main first="rtdsrv_a82eb5a1fc404542a18b1336b70d2c4e">
      <tp>
        <v>5</v>
        <stp/>
        <stp>3b1d973a-48b4-4e4a-a93e-438f76fad879</stp>
        <tr r="G3078" s="2"/>
      </tp>
    </main>
    <main first="rtdsrv_a82eb5a1fc404542a18b1336b70d2c4e">
      <tp>
        <v>5</v>
        <stp/>
        <stp>a86e4c52-7487-4750-9e42-9e1876c445a4</stp>
        <tr r="G6297" s="2"/>
      </tp>
    </main>
    <main first="rtdsrv_a82eb5a1fc404542a18b1336b70d2c4e">
      <tp>
        <v>5</v>
        <stp/>
        <stp>0afdabfc-fde9-43a5-bf71-a84ed0341ad8</stp>
        <tr r="G1571" s="2"/>
      </tp>
      <tp>
        <v>5</v>
        <stp/>
        <stp>eb6d86a8-96f4-455b-a989-5581b4c25856</stp>
        <tr r="G4912" s="2"/>
      </tp>
    </main>
    <main first="rtdsrv_a82eb5a1fc404542a18b1336b70d2c4e">
      <tp>
        <v>5</v>
        <stp/>
        <stp>933fa37a-77c7-4115-bf7a-789c929ed1e7</stp>
        <tr r="G8127" s="2"/>
      </tp>
    </main>
    <main first="rtdsrv_a82eb5a1fc404542a18b1336b70d2c4e">
      <tp>
        <v>5</v>
        <stp/>
        <stp>395bdac6-5072-4480-b9ac-f1e372d51133</stp>
        <tr r="G1655" s="2"/>
      </tp>
    </main>
    <main first="rtdsrv_a82eb5a1fc404542a18b1336b70d2c4e">
      <tp>
        <v>5</v>
        <stp/>
        <stp>52e34158-f002-4615-b798-ef7b0ca04b91</stp>
        <tr r="G4120" s="2"/>
      </tp>
    </main>
    <main first="rtdsrv_a82eb5a1fc404542a18b1336b70d2c4e">
      <tp>
        <v>5</v>
        <stp/>
        <stp>59368ad6-d321-48c0-b556-7e440f47e4eb</stp>
        <tr r="G3534" s="2"/>
      </tp>
      <tp>
        <v>5</v>
        <stp/>
        <stp>57513305-cb34-4f21-9856-c8e32040de7b</stp>
        <tr r="G3897" s="2"/>
      </tp>
    </main>
    <main first="rtdsrv_a82eb5a1fc404542a18b1336b70d2c4e">
      <tp>
        <v>5</v>
        <stp/>
        <stp>d9119137-2b50-41ca-852d-321e3d48b160</stp>
        <tr r="G9432" s="2"/>
      </tp>
    </main>
    <main first="rtdsrv_a82eb5a1fc404542a18b1336b70d2c4e">
      <tp>
        <v>5</v>
        <stp/>
        <stp>f4e79792-b562-4a37-9c39-78f15f0d351b</stp>
        <tr r="G6052" s="2"/>
      </tp>
      <tp>
        <v>5</v>
        <stp/>
        <stp>92ef74ba-2f2c-40c4-a260-4658e907d7c5</stp>
        <tr r="G5697" s="2"/>
      </tp>
      <tp>
        <v>5</v>
        <stp/>
        <stp>bb6acc37-8118-4b56-9e14-b8157822104b</stp>
        <tr r="G5353" s="2"/>
      </tp>
    </main>
    <main first="rtdsrv_a82eb5a1fc404542a18b1336b70d2c4e">
      <tp>
        <v>5</v>
        <stp/>
        <stp>240e085a-5caf-4534-84ab-db3363598358</stp>
        <tr r="G8500" s="2"/>
      </tp>
    </main>
    <main first="rtdsrv_a82eb5a1fc404542a18b1336b70d2c4e">
      <tp>
        <v>5</v>
        <stp/>
        <stp>385b01ce-1cbf-44b7-b4e9-ae4d6b0afc81</stp>
        <tr r="G4113" s="2"/>
      </tp>
    </main>
    <main first="rtdsrv_a82eb5a1fc404542a18b1336b70d2c4e">
      <tp>
        <v>5</v>
        <stp/>
        <stp>b653bd3d-4c54-42ad-aba6-3cf656269870</stp>
        <tr r="G8927" s="2"/>
      </tp>
      <tp>
        <v>5</v>
        <stp/>
        <stp>10d78ba7-8e34-4353-97c5-9e1c02eb5c14</stp>
        <tr r="G442" s="2"/>
      </tp>
    </main>
    <main first="rtdsrv_a82eb5a1fc404542a18b1336b70d2c4e">
      <tp>
        <v>5</v>
        <stp/>
        <stp>8bef4a13-6292-4ee9-8048-7a8de43bacec</stp>
        <tr r="G3369" s="2"/>
      </tp>
      <tp>
        <v>5</v>
        <stp/>
        <stp>0f2444f9-e22e-4e29-9c02-47d3f0baa7be</stp>
        <tr r="G7987" s="2"/>
      </tp>
      <tp>
        <v>5</v>
        <stp/>
        <stp>1994faba-2411-497b-80bc-cdfe7eb68e8c</stp>
        <tr r="G6156" s="2"/>
      </tp>
    </main>
    <main first="rtdsrv_a82eb5a1fc404542a18b1336b70d2c4e">
      <tp>
        <v>5</v>
        <stp/>
        <stp>61dd9025-0635-4f0d-b475-79b47773bb02</stp>
        <tr r="G4753" s="2"/>
      </tp>
      <tp>
        <v>5</v>
        <stp/>
        <stp>fe7f67f9-564f-41e6-b310-fcd9093f6404</stp>
        <tr r="G9487" s="2"/>
      </tp>
    </main>
    <main first="rtdsrv_a82eb5a1fc404542a18b1336b70d2c4e">
      <tp>
        <v>5</v>
        <stp/>
        <stp>9d9179f6-4199-43a6-a5b6-8eafd20fed88</stp>
        <tr r="G87" s="2"/>
      </tp>
      <tp>
        <v>5</v>
        <stp/>
        <stp>80e92aac-2f31-4cf8-9ea1-2414a3dd1376</stp>
        <tr r="G595" s="2"/>
      </tp>
    </main>
    <main first="rtdsrv_a82eb5a1fc404542a18b1336b70d2c4e">
      <tp>
        <v>5</v>
        <stp/>
        <stp>01fef708-979f-4036-ba16-25a06377000c</stp>
        <tr r="G6943" s="2"/>
      </tp>
      <tp>
        <v>5</v>
        <stp/>
        <stp>6b408d7d-5a13-4967-a19d-a34a7fa7cfb8</stp>
        <tr r="G3367" s="2"/>
      </tp>
      <tp>
        <v>5</v>
        <stp/>
        <stp>cbae508f-042c-44c5-8399-beee542a012e</stp>
        <tr r="G7277" s="2"/>
      </tp>
    </main>
    <main first="rtdsrv_a82eb5a1fc404542a18b1336b70d2c4e">
      <tp>
        <v>5</v>
        <stp/>
        <stp>a35f03f3-9263-46b6-ab12-f9df7167083b</stp>
        <tr r="G8301" s="2"/>
      </tp>
    </main>
    <main first="rtdsrv_a82eb5a1fc404542a18b1336b70d2c4e">
      <tp>
        <v>5</v>
        <stp/>
        <stp>b374e608-7aa6-43c9-bec1-474a9c4562ef</stp>
        <tr r="G8409" s="2"/>
      </tp>
    </main>
    <main first="rtdsrv_a82eb5a1fc404542a18b1336b70d2c4e">
      <tp>
        <v>5</v>
        <stp/>
        <stp>ee6d6e42-8d74-4c6f-a416-71c35c6a237e</stp>
        <tr r="G4343" s="2"/>
      </tp>
      <tp>
        <v>5</v>
        <stp/>
        <stp>3c9aed75-1fee-4cfd-a73e-e30cc8909d64</stp>
        <tr r="G3609" s="2"/>
      </tp>
      <tp>
        <v>5</v>
        <stp/>
        <stp>08b2e828-6ed7-4db3-905d-a32bd8f1b575</stp>
        <tr r="G8553" s="2"/>
      </tp>
    </main>
    <main first="rtdsrv_a82eb5a1fc404542a18b1336b70d2c4e">
      <tp>
        <v>5</v>
        <stp/>
        <stp>30c3d94e-1ddc-4b41-a432-33489e2c0b58</stp>
        <tr r="G8200" s="2"/>
      </tp>
    </main>
    <main first="rtdsrv_a82eb5a1fc404542a18b1336b70d2c4e">
      <tp>
        <v>5</v>
        <stp/>
        <stp>5f6e6d15-09a9-4b48-9558-63685a16dc39</stp>
        <tr r="G6857" s="2"/>
      </tp>
    </main>
    <main first="rtdsrv_a82eb5a1fc404542a18b1336b70d2c4e">
      <tp>
        <v>5</v>
        <stp/>
        <stp>f37eefda-095e-4609-8363-a39f96ab8a3c</stp>
        <tr r="G6060" s="2"/>
      </tp>
      <tp>
        <v>5</v>
        <stp/>
        <stp>02cdd4a4-8e8e-495c-9bd7-bac69edc53ed</stp>
        <tr r="G9235" s="2"/>
      </tp>
    </main>
    <main first="rtdsrv_a82eb5a1fc404542a18b1336b70d2c4e">
      <tp>
        <v>5</v>
        <stp/>
        <stp>4b39e9bc-935a-443c-9810-a8673c31ceda</stp>
        <tr r="G1078" s="2"/>
      </tp>
    </main>
    <main first="rtdsrv_a82eb5a1fc404542a18b1336b70d2c4e">
      <tp>
        <v>5</v>
        <stp/>
        <stp>b623363d-3bfb-40d8-9831-50d3dc0cce5a</stp>
        <tr r="G4776" s="2"/>
      </tp>
      <tp>
        <v>5</v>
        <stp/>
        <stp>d8895183-ba17-4c92-9126-870c67c9ce71</stp>
        <tr r="G8668" s="2"/>
      </tp>
    </main>
    <main first="rtdsrv_a82eb5a1fc404542a18b1336b70d2c4e">
      <tp>
        <v>5</v>
        <stp/>
        <stp>394a2674-5a66-4e62-b5e5-c31b1a6b51c7</stp>
        <tr r="G3805" s="2"/>
      </tp>
    </main>
    <main first="rtdsrv_a82eb5a1fc404542a18b1336b70d2c4e">
      <tp>
        <v>5</v>
        <stp/>
        <stp>594b764a-a47f-4e08-acde-604859ab4574</stp>
        <tr r="G6733" s="2"/>
      </tp>
    </main>
    <main first="rtdsrv_a82eb5a1fc404542a18b1336b70d2c4e">
      <tp>
        <v>5</v>
        <stp/>
        <stp>55851f15-5e3c-42da-a296-095fd176c847</stp>
        <tr r="G9213" s="2"/>
      </tp>
    </main>
    <main first="rtdsrv_a82eb5a1fc404542a18b1336b70d2c4e">
      <tp>
        <v>5</v>
        <stp/>
        <stp>4a4a583d-b43f-4dc4-b181-818cc8fc0000</stp>
        <tr r="G474" s="2"/>
      </tp>
      <tp>
        <v>5</v>
        <stp/>
        <stp>b9d5498e-8e6b-449c-b04e-61a1847bcdfb</stp>
        <tr r="G2293" s="2"/>
      </tp>
    </main>
    <main first="rtdsrv_a82eb5a1fc404542a18b1336b70d2c4e">
      <tp>
        <v>5</v>
        <stp/>
        <stp>7eaf89e5-3b71-41aa-8e51-475e4d83ff65</stp>
        <tr r="G8198" s="2"/>
      </tp>
    </main>
    <main first="rtdsrv_a82eb5a1fc404542a18b1336b70d2c4e">
      <tp>
        <v>5</v>
        <stp/>
        <stp>fa00e08b-2d1b-4266-851e-3fdb08360426</stp>
        <tr r="G343" s="2"/>
      </tp>
    </main>
    <main first="rtdsrv_a82eb5a1fc404542a18b1336b70d2c4e">
      <tp>
        <v>5</v>
        <stp/>
        <stp>d5a189c9-565e-4ac6-82bf-6154568f9d3b</stp>
        <tr r="G5300" s="2"/>
      </tp>
      <tp>
        <v>5</v>
        <stp/>
        <stp>c2db4e3c-0a8d-4d2c-a413-99db4f98ed42</stp>
        <tr r="G6304" s="2"/>
      </tp>
      <tp>
        <v>5</v>
        <stp/>
        <stp>774d8bed-5e9b-4a8e-a5dd-3e711398f92e</stp>
        <tr r="G9763" s="2"/>
      </tp>
      <tp>
        <v>5</v>
        <stp/>
        <stp>048d7fce-f060-4e42-ab90-d6d66705b0cf</stp>
        <tr r="G4613" s="2"/>
      </tp>
      <tp>
        <v>5</v>
        <stp/>
        <stp>78ff03f7-f9bf-4ed5-a6ac-dcad75618aa4</stp>
        <tr r="G7308" s="2"/>
      </tp>
    </main>
    <main first="rtdsrv_a82eb5a1fc404542a18b1336b70d2c4e">
      <tp>
        <v>5</v>
        <stp/>
        <stp>ae9c360b-208d-4db0-ae95-cd2f3cc08a12</stp>
        <tr r="G1468" s="2"/>
      </tp>
      <tp>
        <v>5</v>
        <stp/>
        <stp>a126c1e2-99cc-4b62-9fb1-e23d9bb457b5</stp>
        <tr r="G291" s="2"/>
      </tp>
      <tp>
        <v>5</v>
        <stp/>
        <stp>4c4430ad-7bf0-438b-8e9d-0b930e67b60b</stp>
        <tr r="G8237" s="2"/>
      </tp>
    </main>
    <main first="rtdsrv_a82eb5a1fc404542a18b1336b70d2c4e">
      <tp>
        <v>5</v>
        <stp/>
        <stp>3883ca65-a24b-4fb6-a735-5d19ccc3f465</stp>
        <tr r="G6006" s="2"/>
      </tp>
    </main>
    <main first="rtdsrv_a82eb5a1fc404542a18b1336b70d2c4e">
      <tp>
        <v>5</v>
        <stp/>
        <stp>45403b60-f87f-4136-ae91-1ff664d8dbd7</stp>
        <tr r="G6774" s="2"/>
      </tp>
    </main>
    <main first="rtdsrv_a82eb5a1fc404542a18b1336b70d2c4e">
      <tp>
        <v>5</v>
        <stp/>
        <stp>97af3cfb-dcdc-46d2-b996-8be87a8c26b7</stp>
        <tr r="G9909" s="2"/>
      </tp>
    </main>
    <main first="rtdsrv_a82eb5a1fc404542a18b1336b70d2c4e">
      <tp>
        <v>5</v>
        <stp/>
        <stp>f4f3428f-82fc-4bba-8863-dc551b2b2f69</stp>
        <tr r="G1224" s="2"/>
      </tp>
      <tp>
        <v>5</v>
        <stp/>
        <stp>85df8847-6960-40bc-b247-bfba8a017ebd</stp>
        <tr r="G5501" s="2"/>
      </tp>
    </main>
    <main first="rtdsrv_a82eb5a1fc404542a18b1336b70d2c4e">
      <tp>
        <v>5</v>
        <stp/>
        <stp>41b3e5a6-4006-4348-9009-964155fe156d</stp>
        <tr r="G9061" s="2"/>
      </tp>
    </main>
    <main first="rtdsrv_a82eb5a1fc404542a18b1336b70d2c4e">
      <tp>
        <v>5</v>
        <stp/>
        <stp>0271c5fc-60bf-4eb0-88e8-69fae24ecaec</stp>
        <tr r="G9516" s="2"/>
      </tp>
    </main>
    <main first="rtdsrv_a82eb5a1fc404542a18b1336b70d2c4e">
      <tp>
        <v>5</v>
        <stp/>
        <stp>11a52098-648e-45a9-a77d-d72569d42906</stp>
        <tr r="G6448" s="2"/>
      </tp>
      <tp>
        <v>5</v>
        <stp/>
        <stp>5689dd9b-bde8-415d-814f-a99c33a09d52</stp>
        <tr r="G888" s="2"/>
      </tp>
    </main>
    <main first="rtdsrv_a82eb5a1fc404542a18b1336b70d2c4e">
      <tp>
        <v>5</v>
        <stp/>
        <stp>071377a0-5077-456a-be8a-30db942b7f99</stp>
        <tr r="G1259" s="2"/>
      </tp>
      <tp>
        <v>5</v>
        <stp/>
        <stp>ccc35b1c-2186-4174-a6e2-3b8e9978371b</stp>
        <tr r="G7451" s="2"/>
      </tp>
    </main>
    <main first="rtdsrv_a82eb5a1fc404542a18b1336b70d2c4e">
      <tp>
        <v>5</v>
        <stp/>
        <stp>28e6e141-f88e-4f7f-8c4e-b760f7ceb365</stp>
        <tr r="G1922" s="2"/>
      </tp>
      <tp>
        <v>5</v>
        <stp/>
        <stp>c1220556-9b81-4dde-8f0f-f06473c21e9d</stp>
        <tr r="G9242" s="2"/>
      </tp>
      <tp>
        <v>5</v>
        <stp/>
        <stp>861ca043-7765-486b-9413-de467189f8be</stp>
        <tr r="G1266" s="2"/>
      </tp>
    </main>
    <main first="rtdsrv_a82eb5a1fc404542a18b1336b70d2c4e">
      <tp>
        <v>5</v>
        <stp/>
        <stp>de3629d6-1350-4959-ba12-4a96885f3253</stp>
        <tr r="G3709" s="2"/>
      </tp>
    </main>
    <main first="rtdsrv_a82eb5a1fc404542a18b1336b70d2c4e">
      <tp>
        <v>5</v>
        <stp/>
        <stp>b9867738-edd5-4373-9b2d-3b14add1fb13</stp>
        <tr r="G4177" s="2"/>
      </tp>
      <tp>
        <v>5</v>
        <stp/>
        <stp>d93ec3a8-2e2c-4713-ad1e-8d1695985e5d</stp>
        <tr r="G3087" s="2"/>
      </tp>
    </main>
    <main first="rtdsrv_a82eb5a1fc404542a18b1336b70d2c4e">
      <tp>
        <v>5</v>
        <stp/>
        <stp>a108b65d-1218-4cf2-b4e9-39e73b2bd46c</stp>
        <tr r="G6096" s="2"/>
      </tp>
    </main>
    <main first="rtdsrv_a82eb5a1fc404542a18b1336b70d2c4e">
      <tp>
        <v>5</v>
        <stp/>
        <stp>36235d18-2168-445e-b515-0498474289be</stp>
        <tr r="G4880" s="2"/>
      </tp>
    </main>
    <main first="rtdsrv_a82eb5a1fc404542a18b1336b70d2c4e">
      <tp>
        <v>5</v>
        <stp/>
        <stp>5d67833b-7bf4-4ada-a608-601c3714587c</stp>
        <tr r="G9968" s="2"/>
      </tp>
    </main>
    <main first="rtdsrv_a82eb5a1fc404542a18b1336b70d2c4e">
      <tp>
        <v>5</v>
        <stp/>
        <stp>5461089a-a70d-457a-b1cd-5b7862bdd1af</stp>
        <tr r="G7095" s="2"/>
      </tp>
      <tp>
        <v>5</v>
        <stp/>
        <stp>d69c4f23-4ef0-4dad-8e9d-34d7a32af044</stp>
        <tr r="G3409" s="2"/>
      </tp>
      <tp>
        <v>5</v>
        <stp/>
        <stp>55d05ddf-a8eb-462f-8eef-a541e8636045</stp>
        <tr r="G1122" s="2"/>
      </tp>
      <tp>
        <v>5</v>
        <stp/>
        <stp>e8d99dba-6a74-4c34-8cf9-325dc7f403e5</stp>
        <tr r="G9094" s="2"/>
      </tp>
    </main>
    <main first="rtdsrv_a82eb5a1fc404542a18b1336b70d2c4e">
      <tp>
        <v>5</v>
        <stp/>
        <stp>faa09bce-dac6-4e8e-8262-b292d11f391f</stp>
        <tr r="G5969" s="2"/>
      </tp>
    </main>
    <main first="rtdsrv_a82eb5a1fc404542a18b1336b70d2c4e">
      <tp>
        <v>5</v>
        <stp/>
        <stp>22775bd9-e9d2-41bf-b17a-33100811eacb</stp>
        <tr r="G9422" s="2"/>
      </tp>
      <tp>
        <v>5</v>
        <stp/>
        <stp>0ffcd717-fc29-438f-a677-cbb2c813c291</stp>
        <tr r="G1501" s="2"/>
      </tp>
    </main>
    <main first="rtdsrv_a82eb5a1fc404542a18b1336b70d2c4e">
      <tp>
        <v>5</v>
        <stp/>
        <stp>65b194ef-99b5-4ff0-afec-3cad624d02a0</stp>
        <tr r="G4818" s="2"/>
      </tp>
    </main>
    <main first="rtdsrv_a82eb5a1fc404542a18b1336b70d2c4e">
      <tp>
        <v>5</v>
        <stp/>
        <stp>691f857d-5bee-4dd1-bca8-2ad5a6e73042</stp>
        <tr r="G8728" s="2"/>
      </tp>
    </main>
    <main first="rtdsrv_a82eb5a1fc404542a18b1336b70d2c4e">
      <tp>
        <v>5</v>
        <stp/>
        <stp>3c81a54d-771c-49ee-af91-667f6123a4f4</stp>
        <tr r="G4208" s="2"/>
      </tp>
    </main>
    <main first="rtdsrv_a82eb5a1fc404542a18b1336b70d2c4e">
      <tp>
        <v>5</v>
        <stp/>
        <stp>782ed6f7-b3ae-4bbb-a4fa-41f81c0cb492</stp>
        <tr r="G940" s="2"/>
      </tp>
    </main>
    <main first="rtdsrv_a82eb5a1fc404542a18b1336b70d2c4e">
      <tp>
        <v>5</v>
        <stp/>
        <stp>ebbfa4b4-2126-406d-b771-19ba6f979f1e</stp>
        <tr r="G4225" s="2"/>
      </tp>
    </main>
    <main first="rtdsrv_a82eb5a1fc404542a18b1336b70d2c4e">
      <tp>
        <v>5</v>
        <stp/>
        <stp>8d0d5149-bc31-49d9-94b6-478c50adaebd</stp>
        <tr r="G8339" s="2"/>
      </tp>
      <tp>
        <v>5</v>
        <stp/>
        <stp>161e03de-0301-4021-8a30-2220e286d960</stp>
        <tr r="G4088" s="2"/>
      </tp>
      <tp>
        <v>5</v>
        <stp/>
        <stp>f8528921-3cf9-44db-8a97-5a47a18a0751</stp>
        <tr r="G9841" s="2"/>
      </tp>
      <tp>
        <v>5</v>
        <stp/>
        <stp>edf0b865-caac-42b9-9e65-cda51970ac8e</stp>
        <tr r="G9619" s="2"/>
      </tp>
    </main>
    <main first="rtdsrv_a82eb5a1fc404542a18b1336b70d2c4e">
      <tp>
        <v>5</v>
        <stp/>
        <stp>f2ef7b20-8a00-4827-8157-6d866accda0f</stp>
        <tr r="G1384" s="2"/>
      </tp>
    </main>
    <main first="rtdsrv_a82eb5a1fc404542a18b1336b70d2c4e">
      <tp>
        <v>5</v>
        <stp/>
        <stp>2485704f-69e6-4663-8077-cd952eb4f93c</stp>
        <tr r="G7528" s="2"/>
      </tp>
    </main>
    <main first="rtdsrv_a82eb5a1fc404542a18b1336b70d2c4e">
      <tp>
        <v>5</v>
        <stp/>
        <stp>12c1d50d-3b55-48cc-82be-814bb3319986</stp>
        <tr r="G3892" s="2"/>
      </tp>
    </main>
    <main first="rtdsrv_a82eb5a1fc404542a18b1336b70d2c4e">
      <tp>
        <v>5</v>
        <stp/>
        <stp>7465b929-af3e-4d87-baac-c085b1c98515</stp>
        <tr r="G846" s="2"/>
      </tp>
    </main>
    <main first="rtdsrv_a82eb5a1fc404542a18b1336b70d2c4e">
      <tp>
        <v>5</v>
        <stp/>
        <stp>edeb1613-9b6d-4335-899a-1e0f14854840</stp>
        <tr r="G7984" s="2"/>
      </tp>
    </main>
    <main first="rtdsrv_a82eb5a1fc404542a18b1336b70d2c4e">
      <tp>
        <v>5</v>
        <stp/>
        <stp>cf8e20ed-e01b-4758-bb16-e2a66279a4fc</stp>
        <tr r="G8459" s="2"/>
      </tp>
      <tp>
        <v>5</v>
        <stp/>
        <stp>6e25db11-ff9a-428a-a1d8-193aad7cc72f</stp>
        <tr r="G3173" s="2"/>
      </tp>
      <tp>
        <v>5</v>
        <stp/>
        <stp>e8b41272-5705-493c-a548-cee1716252b8</stp>
        <tr r="G6763" s="2"/>
      </tp>
      <tp>
        <v>5</v>
        <stp/>
        <stp>4aff347b-0655-4255-91fe-2045b19e49d8</stp>
        <tr r="G932" s="2"/>
      </tp>
    </main>
    <main first="rtdsrv_a82eb5a1fc404542a18b1336b70d2c4e">
      <tp>
        <v>5</v>
        <stp/>
        <stp>f6fc050d-efa9-4215-8f0f-a872203c3e9a</stp>
        <tr r="G2765" s="2"/>
      </tp>
      <tp>
        <v>5</v>
        <stp/>
        <stp>10ec10ff-acb7-45f9-99f9-bd041ca487c7</stp>
        <tr r="G9800" s="2"/>
      </tp>
    </main>
    <main first="rtdsrv_a82eb5a1fc404542a18b1336b70d2c4e">
      <tp>
        <v>5</v>
        <stp/>
        <stp>44aa0d4e-3d54-445b-abb2-f82ac1374df5</stp>
        <tr r="G2847" s="2"/>
      </tp>
    </main>
    <main first="rtdsrv_a82eb5a1fc404542a18b1336b70d2c4e">
      <tp>
        <v>5</v>
        <stp/>
        <stp>e36b2995-a58a-4a62-b1e2-7d6243caee92</stp>
        <tr r="G9645" s="2"/>
      </tp>
    </main>
    <main first="rtdsrv_a82eb5a1fc404542a18b1336b70d2c4e">
      <tp>
        <v>5</v>
        <stp/>
        <stp>e40bbf40-4d34-4113-a014-f5e989aaff4a</stp>
        <tr r="G5886" s="2"/>
      </tp>
      <tp>
        <v>5</v>
        <stp/>
        <stp>bbaeb9a8-80a9-4151-bab2-6cec0dfbb9ef</stp>
        <tr r="G8289" s="2"/>
      </tp>
      <tp>
        <v>5</v>
        <stp/>
        <stp>942a3ef0-d7ff-48ca-a59e-011cfdab462f</stp>
        <tr r="G8209" s="2"/>
      </tp>
      <tp>
        <v>5</v>
        <stp/>
        <stp>888c2b21-63ac-460e-a5c6-5ab1ef081c9f</stp>
        <tr r="G7483" s="2"/>
      </tp>
    </main>
    <main first="rtdsrv_a82eb5a1fc404542a18b1336b70d2c4e">
      <tp>
        <v>5</v>
        <stp/>
        <stp>f6a4f544-f34a-44e8-a7c1-86350485e281</stp>
        <tr r="G8415" s="2"/>
      </tp>
      <tp>
        <v>5</v>
        <stp/>
        <stp>1242f835-adcf-4141-8d4e-acb05e596f55</stp>
        <tr r="G2934" s="2"/>
      </tp>
    </main>
    <main first="rtdsrv_a82eb5a1fc404542a18b1336b70d2c4e">
      <tp>
        <v>5</v>
        <stp/>
        <stp>20a15660-9578-4d9c-9e1c-35afbc5d4515</stp>
        <tr r="G903" s="2"/>
      </tp>
      <tp>
        <v>5</v>
        <stp/>
        <stp>3ef20cd7-3a8c-46e5-8fad-b91b9714bac8</stp>
        <tr r="G7043" s="2"/>
      </tp>
    </main>
    <main first="rtdsrv_a82eb5a1fc404542a18b1336b70d2c4e">
      <tp>
        <v>5</v>
        <stp/>
        <stp>4c330da4-ec50-47f2-9f05-cbd2640c0842</stp>
        <tr r="G1601" s="2"/>
      </tp>
      <tp>
        <v>5</v>
        <stp/>
        <stp>d8b1586e-7ed6-480a-9f9d-6aa9c132f1ce</stp>
        <tr r="G7429" s="2"/>
      </tp>
    </main>
    <main first="rtdsrv_a82eb5a1fc404542a18b1336b70d2c4e">
      <tp>
        <v>5</v>
        <stp/>
        <stp>1a7288f5-04a8-476d-be7b-b3ceeb51ce4c</stp>
        <tr r="G2913" s="2"/>
      </tp>
      <tp>
        <v>5</v>
        <stp/>
        <stp>dd87072d-386e-4abb-8bc9-29575dc4d288</stp>
        <tr r="G3959" s="2"/>
      </tp>
    </main>
    <main first="rtdsrv_a82eb5a1fc404542a18b1336b70d2c4e">
      <tp>
        <v>5</v>
        <stp/>
        <stp>520422c4-a660-4da8-bfb1-8106840bf01e</stp>
        <tr r="G1921" s="2"/>
      </tp>
    </main>
    <main first="rtdsrv_a82eb5a1fc404542a18b1336b70d2c4e">
      <tp>
        <v>5</v>
        <stp/>
        <stp>4a984f72-ac4f-480d-8f8d-b18055b70064</stp>
        <tr r="G5656" s="2"/>
      </tp>
      <tp>
        <v>5</v>
        <stp/>
        <stp>cae7a2c0-9138-490d-84b4-7bc438c978f6</stp>
        <tr r="G4627" s="2"/>
      </tp>
      <tp>
        <v>5</v>
        <stp/>
        <stp>b88f39cd-1ebc-4298-ac7b-9e329129fe80</stp>
        <tr r="G6307" s="2"/>
      </tp>
      <tp>
        <v>5</v>
        <stp/>
        <stp>26e14fda-a3d6-419c-855a-f7e7dfd17871</stp>
        <tr r="G9225" s="2"/>
      </tp>
      <tp>
        <v>5</v>
        <stp/>
        <stp>824647dd-d7d6-45c3-a823-f8d50fc8506d</stp>
        <tr r="G8748" s="2"/>
      </tp>
      <tp>
        <v>5</v>
        <stp/>
        <stp>33c1948e-c9d1-443b-b8a7-83275ba968cc</stp>
        <tr r="G6648" s="2"/>
      </tp>
      <tp>
        <v>5</v>
        <stp/>
        <stp>bda29b61-74fe-464a-ae61-1d10c577991a</stp>
        <tr r="G9062" s="2"/>
      </tp>
    </main>
    <main first="rtdsrv_a82eb5a1fc404542a18b1336b70d2c4e">
      <tp>
        <v>5</v>
        <stp/>
        <stp>4848535e-30e6-4548-9eb5-e4bd196dea5b</stp>
        <tr r="G6228" s="2"/>
      </tp>
    </main>
    <main first="rtdsrv_a82eb5a1fc404542a18b1336b70d2c4e">
      <tp>
        <v>5</v>
        <stp/>
        <stp>f855dde7-ce17-465e-b7e8-3ee750924d44</stp>
        <tr r="G2006" s="2"/>
      </tp>
      <tp>
        <v>5</v>
        <stp/>
        <stp>16108523-0960-44b8-a8fc-da32f766c593</stp>
        <tr r="G5123" s="2"/>
      </tp>
    </main>
    <main first="rtdsrv_a82eb5a1fc404542a18b1336b70d2c4e">
      <tp>
        <v>5</v>
        <stp/>
        <stp>baf2fc01-5984-4329-981c-e7dcb5956347</stp>
        <tr r="G7961" s="2"/>
      </tp>
    </main>
    <main first="rtdsrv_a82eb5a1fc404542a18b1336b70d2c4e">
      <tp>
        <v>5</v>
        <stp/>
        <stp>61c09e53-ca09-470d-b90d-8fd639f33242</stp>
        <tr r="G2965" s="2"/>
      </tp>
      <tp>
        <v>5</v>
        <stp/>
        <stp>bae5a7c3-bfce-4409-91b3-e509be130170</stp>
        <tr r="G219" s="2"/>
      </tp>
      <tp>
        <v>5</v>
        <stp/>
        <stp>ea58906c-db5a-4b5a-b696-c318ea779143</stp>
        <tr r="G4646" s="2"/>
      </tp>
    </main>
    <main first="rtdsrv_a82eb5a1fc404542a18b1336b70d2c4e">
      <tp>
        <v>5</v>
        <stp/>
        <stp>354ffc51-7dd9-4486-8535-ec75693db012</stp>
        <tr r="G5795" s="2"/>
      </tp>
      <tp>
        <v>5</v>
        <stp/>
        <stp>725bff67-88f3-4614-a502-4f913379f3b0</stp>
        <tr r="G9324" s="2"/>
      </tp>
      <tp>
        <v>5</v>
        <stp/>
        <stp>1ca27a7f-9181-44ba-a756-1d5263dd76e1</stp>
        <tr r="G3771" s="2"/>
      </tp>
    </main>
    <main first="rtdsrv_a82eb5a1fc404542a18b1336b70d2c4e">
      <tp>
        <v>5</v>
        <stp/>
        <stp>be391f6e-0f8e-41c8-9dbb-b07ecbcef505</stp>
        <tr r="G8306" s="2"/>
      </tp>
      <tp>
        <v>5</v>
        <stp/>
        <stp>79f35945-b439-4a3c-9d96-bfe193551ce3</stp>
        <tr r="G7949" s="2"/>
      </tp>
      <tp>
        <v>5</v>
        <stp/>
        <stp>4ad47fc7-06fe-4fd8-bc1c-a7fbbe0cfbbd</stp>
        <tr r="G7632" s="2"/>
      </tp>
      <tp>
        <v>5</v>
        <stp/>
        <stp>1305e373-ed3e-4ba6-9507-10184e7c7840</stp>
        <tr r="G8525" s="2"/>
      </tp>
    </main>
    <main first="rtdsrv_a82eb5a1fc404542a18b1336b70d2c4e">
      <tp>
        <v>5</v>
        <stp/>
        <stp>5308c69d-785b-4f39-95a4-6f740fa56d59</stp>
        <tr r="G6824" s="2"/>
      </tp>
    </main>
    <main first="rtdsrv_a82eb5a1fc404542a18b1336b70d2c4e">
      <tp>
        <v>5</v>
        <stp/>
        <stp>7e98dc9a-a54f-4dff-accc-0676394b2c34</stp>
        <tr r="G6244" s="2"/>
      </tp>
    </main>
    <main first="rtdsrv_a82eb5a1fc404542a18b1336b70d2c4e">
      <tp>
        <v>5</v>
        <stp/>
        <stp>77819efb-8508-4c24-ac2a-dd9fbbeb3d03</stp>
        <tr r="G7945" s="2"/>
      </tp>
      <tp>
        <v>5</v>
        <stp/>
        <stp>b5c598a0-b1ec-4685-838d-6fdd731b19d6</stp>
        <tr r="G5573" s="2"/>
      </tp>
    </main>
    <main first="rtdsrv_a82eb5a1fc404542a18b1336b70d2c4e">
      <tp>
        <v>5</v>
        <stp/>
        <stp>f359d816-b7a6-468a-b63d-35d4fefdae31</stp>
        <tr r="G3814" s="2"/>
      </tp>
    </main>
    <main first="rtdsrv_a82eb5a1fc404542a18b1336b70d2c4e">
      <tp>
        <v>5</v>
        <stp/>
        <stp>b3ad91f8-65b7-4f98-8f57-35e01c5e3a22</stp>
        <tr r="G7047" s="2"/>
      </tp>
      <tp>
        <v>5</v>
        <stp/>
        <stp>04b2bd55-05f6-4cd6-a0c6-9bda8aed882a</stp>
        <tr r="G6497" s="2"/>
      </tp>
      <tp>
        <v>5</v>
        <stp/>
        <stp>d85a38a8-9ce0-45c3-ac87-f6bf736d293f</stp>
        <tr r="G2481" s="2"/>
      </tp>
    </main>
    <main first="rtdsrv_a82eb5a1fc404542a18b1336b70d2c4e">
      <tp>
        <v>5</v>
        <stp/>
        <stp>b4468acb-9c5c-4b18-9093-ea53671695d1</stp>
        <tr r="G749" s="2"/>
      </tp>
      <tp>
        <v>5</v>
        <stp/>
        <stp>50f4d24a-4044-480d-87f3-d3cf283701f9</stp>
        <tr r="G2396" s="2"/>
      </tp>
      <tp>
        <v>5</v>
        <stp/>
        <stp>45067972-fe01-4b4c-acaa-d3160fa24349</stp>
        <tr r="G6268" s="2"/>
      </tp>
    </main>
    <main first="rtdsrv_a82eb5a1fc404542a18b1336b70d2c4e">
      <tp>
        <v>5</v>
        <stp/>
        <stp>29729b78-827c-471f-9a33-db290b1848ef</stp>
        <tr r="G7923" s="2"/>
      </tp>
      <tp>
        <v>5</v>
        <stp/>
        <stp>102c9840-bc75-4e2c-a1ab-63449d1cc1ee</stp>
        <tr r="G3870" s="2"/>
      </tp>
      <tp>
        <v>5</v>
        <stp/>
        <stp>080baa13-4ed6-4221-8d0d-df1bd046d4b7</stp>
        <tr r="G8275" s="2"/>
      </tp>
    </main>
    <main first="rtdsrv_a82eb5a1fc404542a18b1336b70d2c4e">
      <tp>
        <v>5</v>
        <stp/>
        <stp>c919e1f1-642f-4af3-9fe8-77e7838a5bf2</stp>
        <tr r="G7328" s="2"/>
      </tp>
      <tp>
        <v>5</v>
        <stp/>
        <stp>52be50b1-68a1-40cf-a4ea-4b42bc9d3845</stp>
        <tr r="G3010" s="2"/>
      </tp>
    </main>
    <main first="rtdsrv_a82eb5a1fc404542a18b1336b70d2c4e">
      <tp>
        <v>5</v>
        <stp/>
        <stp>a612f7bd-67c0-4aac-8711-2861625e0a60</stp>
        <tr r="G8062" s="2"/>
      </tp>
      <tp>
        <v>5</v>
        <stp/>
        <stp>5c723712-caec-4932-97f6-57dc1bd9d817</stp>
        <tr r="G2534" s="2"/>
      </tp>
    </main>
    <main first="rtdsrv_a82eb5a1fc404542a18b1336b70d2c4e">
      <tp>
        <v>5</v>
        <stp/>
        <stp>11a164ad-8c0d-45cd-804b-eb57f11c40e7</stp>
        <tr r="G1908" s="2"/>
      </tp>
    </main>
    <main first="rtdsrv_a82eb5a1fc404542a18b1336b70d2c4e">
      <tp>
        <v>5</v>
        <stp/>
        <stp>aab6f21a-22c4-49a3-8fe1-0e55286e8d34</stp>
        <tr r="G255" s="2"/>
      </tp>
    </main>
    <main first="rtdsrv_a82eb5a1fc404542a18b1336b70d2c4e">
      <tp>
        <v>5</v>
        <stp/>
        <stp>6f2d606e-8fcd-4044-9487-38ba7743dccc</stp>
        <tr r="G7442" s="2"/>
      </tp>
    </main>
    <main first="rtdsrv_a82eb5a1fc404542a18b1336b70d2c4e">
      <tp>
        <v>5</v>
        <stp/>
        <stp>5b60a2d3-b6be-4991-8838-5925a68fb174</stp>
        <tr r="G1652" s="2"/>
      </tp>
    </main>
    <main first="rtdsrv_a82eb5a1fc404542a18b1336b70d2c4e">
      <tp>
        <v>5</v>
        <stp/>
        <stp>d4106bb3-452f-45ad-9bc9-0679589a8e0d</stp>
        <tr r="G3212" s="2"/>
      </tp>
    </main>
    <main first="rtdsrv_a82eb5a1fc404542a18b1336b70d2c4e">
      <tp>
        <v>5</v>
        <stp/>
        <stp>42c543e7-8cb1-40cd-94c5-313d18f179d1</stp>
        <tr r="G2624" s="2"/>
      </tp>
      <tp>
        <v>5</v>
        <stp/>
        <stp>4d6a774e-f8ca-4533-9d8c-bd878becc6e2</stp>
        <tr r="G9050" s="2"/>
      </tp>
      <tp>
        <v>5</v>
        <stp/>
        <stp>3aebb16c-b45f-46e1-853d-e9759c14fdd1</stp>
        <tr r="G2983" s="2"/>
      </tp>
    </main>
    <main first="rtdsrv_a82eb5a1fc404542a18b1336b70d2c4e">
      <tp>
        <v>5</v>
        <stp/>
        <stp>7210c4a3-3263-4126-a7fc-307099f0cb10</stp>
        <tr r="G4837" s="2"/>
      </tp>
    </main>
    <main first="rtdsrv_a82eb5a1fc404542a18b1336b70d2c4e">
      <tp>
        <v>5</v>
        <stp/>
        <stp>a9c8575f-9674-492b-b127-8d1d386f551b</stp>
        <tr r="G611" s="2"/>
      </tp>
    </main>
    <main first="rtdsrv_a82eb5a1fc404542a18b1336b70d2c4e">
      <tp>
        <v>5</v>
        <stp/>
        <stp>087b9fef-1682-4053-b7b4-f81ab9e121ea</stp>
        <tr r="G1887" s="2"/>
      </tp>
      <tp>
        <v>5</v>
        <stp/>
        <stp>1c2d3d19-1e9d-4f5d-909b-107c26bd9c0d</stp>
        <tr r="G564" s="2"/>
      </tp>
      <tp>
        <v>5</v>
        <stp/>
        <stp>487daf30-7b25-4306-a46b-134a0f2882c7</stp>
        <tr r="G6843" s="2"/>
      </tp>
    </main>
    <main first="rtdsrv_a82eb5a1fc404542a18b1336b70d2c4e">
      <tp>
        <v>5</v>
        <stp/>
        <stp>68995750-caa6-4027-90d9-e17f0ccb3cbe</stp>
        <tr r="G2037" s="2"/>
      </tp>
    </main>
    <main first="rtdsrv_a82eb5a1fc404542a18b1336b70d2c4e">
      <tp>
        <v>5</v>
        <stp/>
        <stp>c36682d5-eeea-4d15-aa47-14f189744f3e</stp>
        <tr r="G6846" s="2"/>
      </tp>
      <tp>
        <v>5</v>
        <stp/>
        <stp>98fd0907-a25c-417d-853b-39d09626762e</stp>
        <tr r="G3644" s="2"/>
      </tp>
    </main>
    <main first="rtdsrv_a82eb5a1fc404542a18b1336b70d2c4e">
      <tp>
        <v>5</v>
        <stp/>
        <stp>1567ffbe-41eb-4e1a-a524-a1f142c69969</stp>
        <tr r="G616" s="2"/>
      </tp>
    </main>
    <main first="rtdsrv_a82eb5a1fc404542a18b1336b70d2c4e">
      <tp>
        <v>5</v>
        <stp/>
        <stp>696c73e8-aec3-4400-8a23-a213fdd55129</stp>
        <tr r="G7656" s="2"/>
      </tp>
    </main>
    <main first="rtdsrv_a82eb5a1fc404542a18b1336b70d2c4e">
      <tp>
        <v>5</v>
        <stp/>
        <stp>ad4315a8-b607-4e16-8ca4-d0c22c5df9cd</stp>
        <tr r="G7020" s="2"/>
      </tp>
      <tp>
        <v>5</v>
        <stp/>
        <stp>9d655004-502f-4b09-bdb5-ba0de4a30a00</stp>
        <tr r="G3490" s="2"/>
      </tp>
      <tp>
        <v>5</v>
        <stp/>
        <stp>8cb0b611-a564-451e-aa82-8324f1770e35</stp>
        <tr r="G4050" s="2"/>
      </tp>
      <tp>
        <v>5</v>
        <stp/>
        <stp>15118e09-b730-40bb-ac8a-3da0d725a5f9</stp>
        <tr r="G1504" s="2"/>
      </tp>
      <tp>
        <v>5</v>
        <stp/>
        <stp>011471e8-d691-42b8-ae04-461bdef601ce</stp>
        <tr r="G8235" s="2"/>
      </tp>
    </main>
    <main first="rtdsrv_a82eb5a1fc404542a18b1336b70d2c4e">
      <tp>
        <v>5</v>
        <stp/>
        <stp>b80d2663-c2d4-48ec-ad6e-a8f5b819f6d7</stp>
        <tr r="G1091" s="2"/>
      </tp>
      <tp>
        <v>5</v>
        <stp/>
        <stp>b233954c-9742-4bcb-9a4b-e523fd1ce732</stp>
        <tr r="G1554" s="2"/>
      </tp>
    </main>
    <main first="rtdsrv_a82eb5a1fc404542a18b1336b70d2c4e">
      <tp>
        <v>5</v>
        <stp/>
        <stp>45a4546d-c65d-46f3-b8b9-d4f7c09f39e8</stp>
        <tr r="G5879" s="2"/>
      </tp>
    </main>
    <main first="rtdsrv_a82eb5a1fc404542a18b1336b70d2c4e">
      <tp>
        <v>5</v>
        <stp/>
        <stp>42581723-b237-4f57-a290-c489e584efff</stp>
        <tr r="G2431" s="2"/>
      </tp>
      <tp>
        <v>5</v>
        <stp/>
        <stp>ab433297-7292-45a9-9f32-2f95dc2a9fe1</stp>
        <tr r="G7859" s="2"/>
      </tp>
      <tp>
        <v>5</v>
        <stp/>
        <stp>20172c87-13d4-4934-8d63-4c64059598e2</stp>
        <tr r="G7640" s="2"/>
      </tp>
      <tp>
        <v>5</v>
        <stp/>
        <stp>511f23bf-7b14-447f-be20-ecb098915490</stp>
        <tr r="G6334" s="2"/>
      </tp>
      <tp>
        <v>5</v>
        <stp/>
        <stp>2d430be0-bda7-451e-a4c3-a6b4993d0c41</stp>
        <tr r="G295" s="2"/>
      </tp>
      <tp>
        <v>5</v>
        <stp/>
        <stp>bf1fbe58-ee87-4216-89f3-751f196b4465</stp>
        <tr r="G3202" s="2"/>
      </tp>
    </main>
    <main first="rtdsrv_a82eb5a1fc404542a18b1336b70d2c4e">
      <tp>
        <v>5</v>
        <stp/>
        <stp>8cae0450-9d38-4912-9b12-56a57ed960d5</stp>
        <tr r="G1552" s="2"/>
      </tp>
      <tp>
        <v>5</v>
        <stp/>
        <stp>3cbbdabe-152a-4a1f-84d4-3cbbe854bd5c</stp>
        <tr r="G8506" s="2"/>
      </tp>
      <tp>
        <v>5</v>
        <stp/>
        <stp>c60f52b1-f6ac-4486-a6c7-5fee2969bfcd</stp>
        <tr r="G8671" s="2"/>
      </tp>
      <tp>
        <v>5</v>
        <stp/>
        <stp>08af3a8d-ece1-488e-8863-96558ac061cf</stp>
        <tr r="G164" s="2"/>
      </tp>
      <tp>
        <v>5</v>
        <stp/>
        <stp>2c96134e-0a47-4a27-8f6b-7b18f3274917</stp>
        <tr r="G6243" s="2"/>
      </tp>
      <tp>
        <v>5</v>
        <stp/>
        <stp>db563c02-2973-4345-aa0c-98f01d415c1f</stp>
        <tr r="G9019" s="2"/>
      </tp>
    </main>
    <main first="rtdsrv_a82eb5a1fc404542a18b1336b70d2c4e">
      <tp>
        <v>5</v>
        <stp/>
        <stp>3b09d433-4764-48b9-b260-b79f7ced80dd</stp>
        <tr r="G6988" s="2"/>
      </tp>
    </main>
    <main first="rtdsrv_a82eb5a1fc404542a18b1336b70d2c4e">
      <tp>
        <v>5</v>
        <stp/>
        <stp>e04b334f-ade8-4191-b71a-2f4d58928542</stp>
        <tr r="G8870" s="2"/>
      </tp>
    </main>
    <main first="rtdsrv_a82eb5a1fc404542a18b1336b70d2c4e">
      <tp>
        <v>5</v>
        <stp/>
        <stp>1e4fb1fc-42a5-4c08-a035-4e9e753e72c4</stp>
        <tr r="G1561" s="2"/>
      </tp>
      <tp>
        <v>5</v>
        <stp/>
        <stp>c09522be-6cc6-4f26-a084-1e2f9232dd12</stp>
        <tr r="G3441" s="2"/>
      </tp>
    </main>
    <main first="rtdsrv_a82eb5a1fc404542a18b1336b70d2c4e">
      <tp>
        <v>5</v>
        <stp/>
        <stp>2ff49dbe-f1cc-4169-bd2c-03e9d665dc93</stp>
        <tr r="G5981" s="2"/>
      </tp>
      <tp>
        <v>5</v>
        <stp/>
        <stp>4c48017c-6657-4362-95f7-8ee43eb35998</stp>
        <tr r="G275" s="2"/>
      </tp>
      <tp>
        <v>5</v>
        <stp/>
        <stp>2bee7dca-8b35-40f0-be7f-1f213f5b6082</stp>
        <tr r="G1085" s="2"/>
      </tp>
    </main>
    <main first="rtdsrv_a82eb5a1fc404542a18b1336b70d2c4e">
      <tp>
        <v>5</v>
        <stp/>
        <stp>3e33e447-212c-4d68-946c-143c559cfebe</stp>
        <tr r="G3260" s="2"/>
      </tp>
      <tp>
        <v>5</v>
        <stp/>
        <stp>edf07239-8dde-4985-bd94-c91131906c09</stp>
        <tr r="G5728" s="2"/>
      </tp>
      <tp>
        <v>5</v>
        <stp/>
        <stp>ba5c7f30-9478-4ca6-8508-01bc62ab7244</stp>
        <tr r="G28" s="2"/>
      </tp>
    </main>
    <main first="rtdsrv_a82eb5a1fc404542a18b1336b70d2c4e">
      <tp>
        <v>5</v>
        <stp/>
        <stp>1f1a1571-58d5-4947-8481-f6e2a2bf4d50</stp>
        <tr r="G8746" s="2"/>
      </tp>
    </main>
    <main first="rtdsrv_a82eb5a1fc404542a18b1336b70d2c4e">
      <tp>
        <v>5</v>
        <stp/>
        <stp>add98fc4-95bf-421f-b74d-60dfc460ad97</stp>
        <tr r="G3804" s="2"/>
      </tp>
    </main>
    <main first="rtdsrv_a82eb5a1fc404542a18b1336b70d2c4e">
      <tp>
        <v>5</v>
        <stp/>
        <stp>e9b7afb9-488f-40c4-b749-e5940239ae61</stp>
        <tr r="G1304" s="2"/>
      </tp>
    </main>
    <main first="rtdsrv_a82eb5a1fc404542a18b1336b70d2c4e">
      <tp>
        <v>5</v>
        <stp/>
        <stp>e0be28d2-39e3-41a7-9ed3-7a1817ad07bf</stp>
        <tr r="G6630" s="2"/>
      </tp>
      <tp>
        <v>5</v>
        <stp/>
        <stp>033c4e4e-2f8c-4fce-8488-e49501f5258b</stp>
        <tr r="G9189" s="2"/>
      </tp>
      <tp>
        <v>5</v>
        <stp/>
        <stp>ef9ed81e-0c31-46e1-a07e-3b2ce31d003a</stp>
        <tr r="G8586" s="2"/>
      </tp>
    </main>
    <main first="rtdsrv_a82eb5a1fc404542a18b1336b70d2c4e">
      <tp>
        <v>5</v>
        <stp/>
        <stp>3fcaaf33-51f5-4908-a7b8-fcb45c1a0f46</stp>
        <tr r="G8876" s="2"/>
      </tp>
    </main>
    <main first="rtdsrv_a82eb5a1fc404542a18b1336b70d2c4e">
      <tp>
        <v>5</v>
        <stp/>
        <stp>93f5c592-8d34-40ea-8be5-b7657e008a62</stp>
        <tr r="G2695" s="2"/>
      </tp>
    </main>
    <main first="rtdsrv_a82eb5a1fc404542a18b1336b70d2c4e">
      <tp>
        <v>5</v>
        <stp/>
        <stp>fc5f1cdd-8fab-4c27-bf7c-736766d9d482</stp>
        <tr r="G5454" s="2"/>
      </tp>
      <tp>
        <v>5</v>
        <stp/>
        <stp>2fead8fe-d474-42ad-837c-139a0171dbd1</stp>
        <tr r="G9064" s="2"/>
      </tp>
    </main>
    <main first="rtdsrv_a82eb5a1fc404542a18b1336b70d2c4e">
      <tp>
        <v>5</v>
        <stp/>
        <stp>5594e8df-7076-4667-80c2-b0f9cd48f331</stp>
        <tr r="G5414" s="2"/>
      </tp>
    </main>
    <main first="rtdsrv_a82eb5a1fc404542a18b1336b70d2c4e">
      <tp>
        <v>5</v>
        <stp/>
        <stp>b6cde4e2-7060-472e-928a-cdff6d803a60</stp>
        <tr r="G9544" s="2"/>
      </tp>
    </main>
    <main first="rtdsrv_a82eb5a1fc404542a18b1336b70d2c4e">
      <tp>
        <v>5</v>
        <stp/>
        <stp>16bb0adb-c2cd-4edf-924f-2c87b96545c6</stp>
        <tr r="G1957" s="2"/>
      </tp>
      <tp>
        <v>5</v>
        <stp/>
        <stp>12e34d81-14b3-4412-9375-a97c03a63a53</stp>
        <tr r="G6617" s="2"/>
      </tp>
    </main>
    <main first="rtdsrv_a82eb5a1fc404542a18b1336b70d2c4e">
      <tp>
        <v>5</v>
        <stp/>
        <stp>82c21538-f5b2-462f-bb4c-59f11ff80e9f</stp>
        <tr r="G2291" s="2"/>
      </tp>
      <tp>
        <v>5</v>
        <stp/>
        <stp>b76586c4-6ca5-4c9e-92df-9c942dd8b82e</stp>
        <tr r="G7082" s="2"/>
      </tp>
    </main>
    <main first="rtdsrv_a82eb5a1fc404542a18b1336b70d2c4e">
      <tp>
        <v>5</v>
        <stp/>
        <stp>8e9d8d8e-a86e-4ca9-9f1b-efb720ea97d7</stp>
        <tr r="G6849" s="2"/>
      </tp>
      <tp>
        <v>5</v>
        <stp/>
        <stp>5a5870b2-e7f0-45b5-a892-106dd9e7a89b</stp>
        <tr r="G271" s="2"/>
      </tp>
      <tp>
        <v>5</v>
        <stp/>
        <stp>62252947-c5fb-46d0-a8e2-6eaa8aab7099</stp>
        <tr r="G6538" s="2"/>
      </tp>
    </main>
    <main first="rtdsrv_a82eb5a1fc404542a18b1336b70d2c4e">
      <tp>
        <v>5</v>
        <stp/>
        <stp>09de4c34-7145-4877-99a0-f2bf885b1896</stp>
        <tr r="G7678" s="2"/>
      </tp>
    </main>
    <main first="rtdsrv_a82eb5a1fc404542a18b1336b70d2c4e">
      <tp>
        <v>5</v>
        <stp/>
        <stp>bda8e4ec-cae2-46ea-af20-8d88c96984c0</stp>
        <tr r="G329" s="2"/>
      </tp>
    </main>
    <main first="rtdsrv_a82eb5a1fc404542a18b1336b70d2c4e">
      <tp>
        <v>5</v>
        <stp/>
        <stp>2d6b0a04-38cb-4d01-a291-946203b280b4</stp>
        <tr r="G8028" s="2"/>
      </tp>
    </main>
    <main first="rtdsrv_a82eb5a1fc404542a18b1336b70d2c4e">
      <tp>
        <v>5</v>
        <stp/>
        <stp>6cdcc307-e83b-4209-bfe4-dd46a06284c7</stp>
        <tr r="G6928" s="2"/>
      </tp>
      <tp>
        <v>5</v>
        <stp/>
        <stp>280f1c6f-15da-486d-8f13-adc22bc1609a</stp>
        <tr r="G1346" s="2"/>
      </tp>
    </main>
    <main first="rtdsrv_a82eb5a1fc404542a18b1336b70d2c4e">
      <tp>
        <v>5</v>
        <stp/>
        <stp>49be5029-5119-4281-abd3-15da0d97116e</stp>
        <tr r="G5303" s="2"/>
      </tp>
      <tp>
        <v>5</v>
        <stp/>
        <stp>dcc2e0ea-f473-4558-8d88-380262bf06a4</stp>
        <tr r="G901" s="2"/>
      </tp>
      <tp>
        <v>5</v>
        <stp/>
        <stp>814b418f-4225-4cd0-a844-d8fb7e702db2</stp>
        <tr r="G189" s="2"/>
      </tp>
      <tp>
        <v>5</v>
        <stp/>
        <stp>fc8aeb6e-b21a-4de8-b71e-4ad12c55da1a</stp>
        <tr r="G2935" s="2"/>
      </tp>
    </main>
    <main first="rtdsrv_a82eb5a1fc404542a18b1336b70d2c4e">
      <tp>
        <v>5</v>
        <stp/>
        <stp>f5adf7d9-ea26-4327-a2b8-b983e384f1ed</stp>
        <tr r="G8947" s="2"/>
      </tp>
    </main>
    <main first="rtdsrv_a82eb5a1fc404542a18b1336b70d2c4e">
      <tp>
        <v>5</v>
        <stp/>
        <stp>184cf33c-a347-4f25-a529-1ace072382fc</stp>
        <tr r="G6559" s="2"/>
      </tp>
      <tp>
        <v>5</v>
        <stp/>
        <stp>b7f99f2a-d5b2-4985-a2d0-1780b9bf5c13</stp>
        <tr r="G2381" s="2"/>
      </tp>
    </main>
    <main first="rtdsrv_a82eb5a1fc404542a18b1336b70d2c4e">
      <tp>
        <v>5</v>
        <stp/>
        <stp>66434f68-beb1-462c-9f04-288ab44e4dec</stp>
        <tr r="G1128" s="2"/>
      </tp>
    </main>
    <main first="rtdsrv_a82eb5a1fc404542a18b1336b70d2c4e">
      <tp>
        <v>5</v>
        <stp/>
        <stp>6991c7ed-b056-40fd-bb2e-ecd6cfea7620</stp>
        <tr r="G847" s="2"/>
      </tp>
    </main>
    <main first="rtdsrv_a82eb5a1fc404542a18b1336b70d2c4e">
      <tp>
        <v>5</v>
        <stp/>
        <stp>807c601e-c3b4-4521-96ce-a98414bd0515</stp>
        <tr r="G5950" s="2"/>
      </tp>
      <tp>
        <v>5</v>
        <stp/>
        <stp>b89e8a51-518c-40cd-a3b0-fb4c69cc58a0</stp>
        <tr r="G9104" s="2"/>
      </tp>
    </main>
    <main first="rtdsrv_a82eb5a1fc404542a18b1336b70d2c4e">
      <tp>
        <v>5</v>
        <stp/>
        <stp>d766813f-7116-4ce4-a6c0-cedf83c8598c</stp>
        <tr r="G9541" s="2"/>
      </tp>
    </main>
    <main first="rtdsrv_a82eb5a1fc404542a18b1336b70d2c4e">
      <tp>
        <v>5</v>
        <stp/>
        <stp>3aa526ea-cefc-4d14-b8cf-5c3f2006f90b</stp>
        <tr r="G5292" s="2"/>
      </tp>
      <tp>
        <v>5</v>
        <stp/>
        <stp>8b8e4629-a17c-4df8-9467-aa46165cce9e</stp>
        <tr r="G2053" s="2"/>
      </tp>
      <tp>
        <v>5</v>
        <stp/>
        <stp>b57a2799-b214-4bab-b280-6094b6b495cf</stp>
        <tr r="G609" s="2"/>
      </tp>
    </main>
    <main first="rtdsrv_a82eb5a1fc404542a18b1336b70d2c4e">
      <tp>
        <v>5</v>
        <stp/>
        <stp>9c0350ea-5744-4be0-ab9f-de86a689c50b</stp>
        <tr r="G1756" s="2"/>
      </tp>
    </main>
    <main first="rtdsrv_a82eb5a1fc404542a18b1336b70d2c4e">
      <tp>
        <v>5</v>
        <stp/>
        <stp>7d7b46a9-8588-4f0d-863a-8dde1a6ad1de</stp>
        <tr r="G4891" s="2"/>
      </tp>
    </main>
    <main first="rtdsrv_a82eb5a1fc404542a18b1336b70d2c4e">
      <tp>
        <v>5</v>
        <stp/>
        <stp>930b32b1-982f-46fe-8559-900d12a9ec77</stp>
        <tr r="G3642" s="2"/>
      </tp>
      <tp>
        <v>5</v>
        <stp/>
        <stp>347ac148-869c-4ced-b7e2-c533c0ca80b3</stp>
        <tr r="G3837" s="2"/>
      </tp>
    </main>
    <main first="rtdsrv_a82eb5a1fc404542a18b1336b70d2c4e">
      <tp>
        <v>5</v>
        <stp/>
        <stp>518be7b8-a03e-44e1-98f2-b29f23b09860</stp>
        <tr r="G9181" s="2"/>
      </tp>
      <tp>
        <v>5</v>
        <stp/>
        <stp>babf3dd7-873d-4605-bec1-cea9f1a47658</stp>
        <tr r="G1244" s="2"/>
      </tp>
    </main>
    <main first="rtdsrv_a82eb5a1fc404542a18b1336b70d2c4e">
      <tp>
        <v>5</v>
        <stp/>
        <stp>4f1e7f9b-780f-41c3-b8e2-c4079d58b82f</stp>
        <tr r="G5336" s="2"/>
      </tp>
      <tp>
        <v>5</v>
        <stp/>
        <stp>2dfaf9da-d242-4846-8072-53d0347886d2</stp>
        <tr r="G3478" s="2"/>
      </tp>
    </main>
    <main first="rtdsrv_a82eb5a1fc404542a18b1336b70d2c4e">
      <tp>
        <v>5</v>
        <stp/>
        <stp>3deef336-7a8f-426e-8020-bb464db208d3</stp>
        <tr r="G6045" s="2"/>
      </tp>
    </main>
    <main first="rtdsrv_a82eb5a1fc404542a18b1336b70d2c4e">
      <tp>
        <v>5</v>
        <stp/>
        <stp>48c758fb-6254-4ee7-b08e-325673c5b118</stp>
        <tr r="G4074" s="2"/>
      </tp>
      <tp>
        <v>5</v>
        <stp/>
        <stp>7629253b-deed-4f38-a8b5-e15b6627b3c1</stp>
        <tr r="G1665" s="2"/>
      </tp>
    </main>
    <main first="rtdsrv_a82eb5a1fc404542a18b1336b70d2c4e">
      <tp>
        <v>5</v>
        <stp/>
        <stp>7c2144ad-b365-4c56-9d8a-e4fe8cb35e01</stp>
        <tr r="G8626" s="2"/>
      </tp>
    </main>
    <main first="rtdsrv_a82eb5a1fc404542a18b1336b70d2c4e">
      <tp>
        <v>5</v>
        <stp/>
        <stp>bffd8629-8cc1-4f31-8743-9a3edd7a1a6d</stp>
        <tr r="G3707" s="2"/>
      </tp>
      <tp>
        <v>5</v>
        <stp/>
        <stp>1fe947b6-f9eb-4419-bff9-3f1dd2ee65e0</stp>
        <tr r="G8611" s="2"/>
      </tp>
      <tp>
        <v>5</v>
        <stp/>
        <stp>dcd020d1-f889-49a9-80b6-4f95d5e4e4d7</stp>
        <tr r="G1476" s="2"/>
      </tp>
      <tp>
        <v>5</v>
        <stp/>
        <stp>6ce7e7c3-2ef3-47a1-9be3-880144b7b74d</stp>
        <tr r="G1037" s="2"/>
      </tp>
      <tp>
        <v>5</v>
        <stp/>
        <stp>e53d2181-5e8f-46f7-a695-1a959161cfb4</stp>
        <tr r="G6758" s="2"/>
      </tp>
    </main>
    <main first="rtdsrv_a82eb5a1fc404542a18b1336b70d2c4e">
      <tp>
        <v>5</v>
        <stp/>
        <stp>13843c71-b179-42b4-bf86-0009e081576a</stp>
        <tr r="G4308" s="2"/>
      </tp>
      <tp>
        <v>5</v>
        <stp/>
        <stp>c6d58ef6-73a6-4dac-87ec-d8396e3fb6d5</stp>
        <tr r="G256" s="2"/>
      </tp>
    </main>
    <main first="rtdsrv_a82eb5a1fc404542a18b1336b70d2c4e">
      <tp>
        <v>5</v>
        <stp/>
        <stp>9f5e1e91-5e58-40fd-a38f-de3e17829127</stp>
        <tr r="G4588" s="2"/>
      </tp>
      <tp>
        <v>5</v>
        <stp/>
        <stp>6922e725-4bc9-4273-860e-5f0c6e6ef373</stp>
        <tr r="G8330" s="2"/>
      </tp>
      <tp>
        <v>5</v>
        <stp/>
        <stp>00cd25e1-bca0-4992-90be-4026691ea74c</stp>
        <tr r="G2989" s="2"/>
      </tp>
      <tp>
        <v>5</v>
        <stp/>
        <stp>7391039b-4e42-472b-aaff-49c685eba52c</stp>
        <tr r="G2298" s="2"/>
      </tp>
      <tp>
        <v>5</v>
        <stp/>
        <stp>843bc20a-a6de-40d6-aaf7-190ef4ff23c2</stp>
        <tr r="G7156" s="2"/>
      </tp>
    </main>
    <main first="rtdsrv_a82eb5a1fc404542a18b1336b70d2c4e">
      <tp>
        <v>5</v>
        <stp/>
        <stp>92f154f5-8a81-4486-842d-59d459a0c374</stp>
        <tr r="G5485" s="2"/>
      </tp>
      <tp>
        <v>5</v>
        <stp/>
        <stp>2935cb54-81da-40f4-a49b-cc2c7137c5cc</stp>
        <tr r="G4416" s="2"/>
      </tp>
      <tp>
        <v>5</v>
        <stp/>
        <stp>cedc170b-0229-4188-a8f4-1fb845672f1a</stp>
        <tr r="G4533" s="2"/>
      </tp>
    </main>
    <main first="rtdsrv_a82eb5a1fc404542a18b1336b70d2c4e">
      <tp>
        <v>5</v>
        <stp/>
        <stp>185d26f8-181b-4ff6-9f44-039eeaf1df72</stp>
        <tr r="G6612" s="2"/>
      </tp>
    </main>
    <main first="rtdsrv_a82eb5a1fc404542a18b1336b70d2c4e">
      <tp>
        <v>5</v>
        <stp/>
        <stp>20e21970-6692-4c8a-b8fe-2dd271ef9d75</stp>
        <tr r="G4257" s="2"/>
      </tp>
    </main>
    <main first="rtdsrv_a82eb5a1fc404542a18b1336b70d2c4e">
      <tp>
        <v>5</v>
        <stp/>
        <stp>cced3fe7-097a-45cf-899f-bc42dfb48f9c</stp>
        <tr r="G5828" s="2"/>
      </tp>
      <tp>
        <v>5</v>
        <stp/>
        <stp>ab90b254-0f42-4c31-afd9-9ee7e851da39</stp>
        <tr r="G3840" s="2"/>
      </tp>
    </main>
    <main first="rtdsrv_a82eb5a1fc404542a18b1336b70d2c4e">
      <tp>
        <v>5</v>
        <stp/>
        <stp>54e4864a-bad3-494f-b58e-f5d9d229b03a</stp>
        <tr r="G8229" s="2"/>
      </tp>
      <tp>
        <v>5</v>
        <stp/>
        <stp>4577d81b-2ea7-4ada-ba45-d01b9659ceb9</stp>
        <tr r="G5366" s="2"/>
      </tp>
    </main>
    <main first="rtdsrv_a82eb5a1fc404542a18b1336b70d2c4e">
      <tp>
        <v>5</v>
        <stp/>
        <stp>5ca2bbf3-8637-4bc5-9462-51acf5da2768</stp>
        <tr r="G5429" s="2"/>
      </tp>
    </main>
    <main first="rtdsrv_a82eb5a1fc404542a18b1336b70d2c4e">
      <tp>
        <v>5</v>
        <stp/>
        <stp>9fb112bb-6108-425d-a352-5940c53ab65e</stp>
        <tr r="G274" s="2"/>
      </tp>
    </main>
    <main first="rtdsrv_a82eb5a1fc404542a18b1336b70d2c4e">
      <tp>
        <v>5</v>
        <stp/>
        <stp>1332dca9-090f-4156-8948-6fd0b8c1b5e1</stp>
        <tr r="G6004" s="2"/>
      </tp>
      <tp>
        <v>5</v>
        <stp/>
        <stp>1edf225d-8608-4be9-8f31-5db539a2f1db</stp>
        <tr r="G7358" s="2"/>
      </tp>
    </main>
    <main first="rtdsrv_a82eb5a1fc404542a18b1336b70d2c4e">
      <tp>
        <v>5</v>
        <stp/>
        <stp>aa3d99a1-49f2-4263-bad8-14685ed1ec0c</stp>
        <tr r="G3084" s="2"/>
      </tp>
      <tp>
        <v>5</v>
        <stp/>
        <stp>c05bc358-eda4-4aa6-b46e-dbc7a4b8791b</stp>
        <tr r="G9585" s="2"/>
      </tp>
      <tp>
        <v>5</v>
        <stp/>
        <stp>80a602c1-93c3-4f1c-9469-07958fe996ef</stp>
        <tr r="G7167" s="2"/>
      </tp>
    </main>
    <main first="rtdsrv_a82eb5a1fc404542a18b1336b70d2c4e">
      <tp>
        <v>5</v>
        <stp/>
        <stp>1a0bc2d5-22ab-4e86-bafe-0e676e51f81e</stp>
        <tr r="G3024" s="2"/>
      </tp>
      <tp>
        <v>5</v>
        <stp/>
        <stp>8edd046e-ef2d-4061-9871-1991c693044a</stp>
        <tr r="G6915" s="2"/>
      </tp>
      <tp>
        <v>5</v>
        <stp/>
        <stp>beb318d4-0045-4b00-8660-b57bc2d0feda</stp>
        <tr r="G1646" s="2"/>
      </tp>
    </main>
    <main first="rtdsrv_a82eb5a1fc404542a18b1336b70d2c4e">
      <tp>
        <v>5</v>
        <stp/>
        <stp>ab5ad412-964d-4889-af8c-7c43cbcf3f70</stp>
        <tr r="G6460" s="2"/>
      </tp>
    </main>
    <main first="rtdsrv_a82eb5a1fc404542a18b1336b70d2c4e">
      <tp>
        <v>5</v>
        <stp/>
        <stp>24eb023a-e55d-48b3-96fd-ccb799e51e21</stp>
        <tr r="G7800" s="2"/>
      </tp>
      <tp>
        <v>5</v>
        <stp/>
        <stp>20cc60d7-2483-4a59-85ec-3aba549bf294</stp>
        <tr r="G1918" s="2"/>
      </tp>
    </main>
    <main first="rtdsrv_a82eb5a1fc404542a18b1336b70d2c4e">
      <tp>
        <v>5</v>
        <stp/>
        <stp>91ba0706-af09-4424-8c83-befa7d011cc6</stp>
        <tr r="G7244" s="2"/>
      </tp>
      <tp>
        <v>5</v>
        <stp/>
        <stp>13f19fc2-b720-4293-96d9-793c6c24738d</stp>
        <tr r="G8336" s="2"/>
      </tp>
      <tp>
        <v>5</v>
        <stp/>
        <stp>9fdc3a57-6f2b-465f-8ae3-58a053ea0020</stp>
        <tr r="G4676" s="2"/>
      </tp>
      <tp>
        <v>5</v>
        <stp/>
        <stp>3aabecd8-ac69-4d4c-8f0c-fcf42b58f8d6</stp>
        <tr r="G3683" s="2"/>
      </tp>
    </main>
    <main first="rtdsrv_a82eb5a1fc404542a18b1336b70d2c4e">
      <tp>
        <v>5</v>
        <stp/>
        <stp>e76997cb-4411-4e5a-b44a-c9e98cc93249</stp>
        <tr r="G7904" s="2"/>
      </tp>
    </main>
    <main first="rtdsrv_a82eb5a1fc404542a18b1336b70d2c4e">
      <tp>
        <v>5</v>
        <stp/>
        <stp>c91871c5-5f2f-4482-a421-ae4684e86ef7</stp>
        <tr r="G3380" s="2"/>
      </tp>
    </main>
    <main first="rtdsrv_a82eb5a1fc404542a18b1336b70d2c4e">
      <tp>
        <v>5</v>
        <stp/>
        <stp>c741cd78-dff1-4126-acc6-8f2d79a04427</stp>
        <tr r="G7153" s="2"/>
      </tp>
    </main>
    <main first="rtdsrv_a82eb5a1fc404542a18b1336b70d2c4e">
      <tp>
        <v>5</v>
        <stp/>
        <stp>b1b90436-19c3-4e96-b3c5-f1f19a98d809</stp>
        <tr r="G6768" s="2"/>
      </tp>
      <tp>
        <v>5</v>
        <stp/>
        <stp>fac00aaa-9922-4ef6-a9f7-06cdb383ced4</stp>
        <tr r="G1050" s="2"/>
      </tp>
      <tp>
        <v>5</v>
        <stp/>
        <stp>a70bc24e-bb84-48d5-a5f3-897ea7ed234c</stp>
        <tr r="G5396" s="2"/>
      </tp>
      <tp>
        <v>5</v>
        <stp/>
        <stp>55d2801e-98a8-4a4b-89d3-e6b8ff7fdc84</stp>
        <tr r="G9677" s="2"/>
      </tp>
    </main>
    <main first="rtdsrv_a82eb5a1fc404542a18b1336b70d2c4e">
      <tp>
        <v>5</v>
        <stp/>
        <stp>b5d25622-f4ee-47e7-94c6-19e988c7d9ab</stp>
        <tr r="G4505" s="2"/>
      </tp>
      <tp>
        <v>5</v>
        <stp/>
        <stp>ff80af5a-e586-48d3-a351-ec9da145487a</stp>
        <tr r="G3184" s="2"/>
      </tp>
    </main>
    <main first="rtdsrv_a82eb5a1fc404542a18b1336b70d2c4e">
      <tp>
        <v>5</v>
        <stp/>
        <stp>c5b8190e-1cf5-498f-a273-ef5ec758c412</stp>
        <tr r="G3678" s="2"/>
      </tp>
      <tp>
        <v>5</v>
        <stp/>
        <stp>78c4b7f5-dfc3-49e0-a36e-d958ce68d860</stp>
        <tr r="G2936" s="2"/>
      </tp>
      <tp>
        <v>5</v>
        <stp/>
        <stp>51fda04d-4791-403e-ab92-2afcbb52fc73</stp>
        <tr r="G1087" s="2"/>
      </tp>
    </main>
    <main first="rtdsrv_a82eb5a1fc404542a18b1336b70d2c4e">
      <tp>
        <v>5</v>
        <stp/>
        <stp>1ec66f39-5c42-48ea-97d2-c9d88a3babe6</stp>
        <tr r="G9561" s="2"/>
      </tp>
      <tp>
        <v>5</v>
        <stp/>
        <stp>743006dc-7853-4065-ad39-9b63697baad0</stp>
        <tr r="G10" s="2"/>
      </tp>
      <tp>
        <v>5</v>
        <stp/>
        <stp>abcb4a15-3b0d-41b2-a976-ea18897f0d38</stp>
        <tr r="G6773" s="2"/>
      </tp>
    </main>
    <main first="rtdsrv_a82eb5a1fc404542a18b1336b70d2c4e">
      <tp>
        <v>5</v>
        <stp/>
        <stp>a065de03-a234-4097-88d8-8bb0c4eae881</stp>
        <tr r="G7852" s="2"/>
      </tp>
    </main>
    <main first="rtdsrv_a82eb5a1fc404542a18b1336b70d2c4e">
      <tp>
        <v>5</v>
        <stp/>
        <stp>7cf689b6-df17-4395-9431-53add152a344</stp>
        <tr r="G3700" s="2"/>
      </tp>
    </main>
    <main first="rtdsrv_a82eb5a1fc404542a18b1336b70d2c4e">
      <tp>
        <v>5</v>
        <stp/>
        <stp>e5835156-5487-43d9-8f2d-0f68e0abfefd</stp>
        <tr r="G6293" s="2"/>
      </tp>
    </main>
    <main first="rtdsrv_a82eb5a1fc404542a18b1336b70d2c4e">
      <tp>
        <v>5</v>
        <stp/>
        <stp>d97e18f6-2e27-45c1-a790-7049838291d6</stp>
        <tr r="G3806" s="2"/>
      </tp>
    </main>
    <main first="rtdsrv_a82eb5a1fc404542a18b1336b70d2c4e">
      <tp>
        <v>5</v>
        <stp/>
        <stp>b68f7d76-7536-429e-8d7e-8da3dbe4887e</stp>
        <tr r="G5975" s="2"/>
      </tp>
      <tp>
        <v>5</v>
        <stp/>
        <stp>e4c7a316-833f-4cf8-b6e2-e880c2b1faef</stp>
        <tr r="G4852" s="2"/>
      </tp>
    </main>
    <main first="rtdsrv_a82eb5a1fc404542a18b1336b70d2c4e">
      <tp>
        <v>5</v>
        <stp/>
        <stp>31980ccd-64f5-48e8-a461-0ce8cfe04f35</stp>
        <tr r="G7757" s="2"/>
      </tp>
      <tp>
        <v>5</v>
        <stp/>
        <stp>94524564-4bbf-4875-b1d6-7d96d134b81c</stp>
        <tr r="G5189" s="2"/>
      </tp>
    </main>
    <main first="rtdsrv_a82eb5a1fc404542a18b1336b70d2c4e">
      <tp>
        <v>5</v>
        <stp/>
        <stp>76206864-748a-4a12-85f6-9c85dc0b6dc0</stp>
        <tr r="G3339" s="2"/>
      </tp>
      <tp>
        <v>5</v>
        <stp/>
        <stp>8248dc8f-f62b-4d29-b7bc-8a0a00a314e5</stp>
        <tr r="G302" s="2"/>
      </tp>
    </main>
    <main first="rtdsrv_a82eb5a1fc404542a18b1336b70d2c4e">
      <tp>
        <v>5</v>
        <stp/>
        <stp>d7f8817e-c807-4463-a76c-c6c8af20f969</stp>
        <tr r="G3544" s="2"/>
      </tp>
    </main>
    <main first="rtdsrv_a82eb5a1fc404542a18b1336b70d2c4e">
      <tp>
        <v>5</v>
        <stp/>
        <stp>94890c4e-be08-4fd8-97e1-7ff1f470a3dd</stp>
        <tr r="G1030" s="2"/>
      </tp>
    </main>
    <main first="rtdsrv_a82eb5a1fc404542a18b1336b70d2c4e">
      <tp>
        <v>5</v>
        <stp/>
        <stp>1e96610d-74c6-4367-9524-687aa3f9ed55</stp>
        <tr r="G3327" s="2"/>
      </tp>
    </main>
    <main first="rtdsrv_a82eb5a1fc404542a18b1336b70d2c4e">
      <tp>
        <v>5</v>
        <stp/>
        <stp>171ceeb0-4993-4cf7-afcc-5b39eaf08816</stp>
        <tr r="G5191" s="2"/>
      </tp>
    </main>
    <main first="rtdsrv_a82eb5a1fc404542a18b1336b70d2c4e">
      <tp>
        <v>5</v>
        <stp/>
        <stp>bd08edc9-6074-4973-9906-a391f91d7601</stp>
        <tr r="G5926" s="2"/>
      </tp>
    </main>
    <main first="rtdsrv_a82eb5a1fc404542a18b1336b70d2c4e">
      <tp>
        <v>5</v>
        <stp/>
        <stp>4f90ad50-23c0-48a7-a1a0-cda2886e1352</stp>
        <tr r="G6124" s="2"/>
      </tp>
    </main>
    <main first="rtdsrv_a82eb5a1fc404542a18b1336b70d2c4e">
      <tp>
        <v>5</v>
        <stp/>
        <stp>a3e0dab2-ad17-4ac9-a539-8a7330738a46</stp>
        <tr r="G2603" s="2"/>
      </tp>
    </main>
    <main first="rtdsrv_a82eb5a1fc404542a18b1336b70d2c4e">
      <tp>
        <v>5</v>
        <stp/>
        <stp>f986de72-dd97-4ddc-811b-62b48c3d1260</stp>
        <tr r="G9448" s="2"/>
      </tp>
    </main>
    <main first="rtdsrv_a82eb5a1fc404542a18b1336b70d2c4e">
      <tp>
        <v>5</v>
        <stp/>
        <stp>13f509f0-031e-45c5-8af5-a6b960222f88</stp>
        <tr r="G7251" s="2"/>
      </tp>
      <tp>
        <v>5</v>
        <stp/>
        <stp>b5fda297-8e5b-4c12-8672-f36366a28617</stp>
        <tr r="G8765" s="2"/>
      </tp>
    </main>
    <main first="rtdsrv_a82eb5a1fc404542a18b1336b70d2c4e">
      <tp>
        <v>5</v>
        <stp/>
        <stp>72b8e056-380c-44c9-9865-fe577d48e65b</stp>
        <tr r="G4398" s="2"/>
      </tp>
      <tp>
        <v>5</v>
        <stp/>
        <stp>355e4d78-39c0-4246-b7dc-ed2fddfae9b1</stp>
        <tr r="G4229" s="2"/>
      </tp>
    </main>
    <main first="rtdsrv_a82eb5a1fc404542a18b1336b70d2c4e">
      <tp>
        <v>5</v>
        <stp/>
        <stp>5e44e2a0-15ac-44ff-92cd-88ddb68c7d67</stp>
        <tr r="G8172" s="2"/>
      </tp>
    </main>
    <main first="rtdsrv_a82eb5a1fc404542a18b1336b70d2c4e">
      <tp>
        <v>5</v>
        <stp/>
        <stp>cc01fee4-45d2-4308-a940-64de9486f7cb</stp>
        <tr r="G7569" s="2"/>
      </tp>
    </main>
    <main first="rtdsrv_a82eb5a1fc404542a18b1336b70d2c4e">
      <tp>
        <v>5</v>
        <stp/>
        <stp>81f74a2b-3064-4aaf-9e8b-e37ead859cff</stp>
        <tr r="G1313" s="2"/>
      </tp>
    </main>
    <main first="rtdsrv_a82eb5a1fc404542a18b1336b70d2c4e">
      <tp>
        <v>5</v>
        <stp/>
        <stp>a164f2ac-847e-4893-8e78-b2f50ac76e17</stp>
        <tr r="G7673" s="2"/>
      </tp>
      <tp>
        <v>5</v>
        <stp/>
        <stp>974fd7a1-7153-4608-88a5-dd2685494683</stp>
        <tr r="G6835" s="2"/>
      </tp>
    </main>
    <main first="rtdsrv_a82eb5a1fc404542a18b1336b70d2c4e">
      <tp>
        <v>5</v>
        <stp/>
        <stp>37e691ae-8faf-4cce-9168-04390b6e120f</stp>
        <tr r="G8941" s="2"/>
      </tp>
    </main>
    <main first="rtdsrv_a82eb5a1fc404542a18b1336b70d2c4e">
      <tp>
        <v>5</v>
        <stp/>
        <stp>f2da7b1a-61d8-4bc3-b588-14ab95ec4e79</stp>
        <tr r="G5259" s="2"/>
      </tp>
      <tp>
        <v>5</v>
        <stp/>
        <stp>85946e39-9aaa-49a7-9810-06e42e2b45cf</stp>
        <tr r="G4020" s="2"/>
      </tp>
      <tp>
        <v>5</v>
        <stp/>
        <stp>63aed747-8847-49ca-a975-ccebcd3ebdaf</stp>
        <tr r="G4661" s="2"/>
      </tp>
      <tp>
        <v>5</v>
        <stp/>
        <stp>a9825f1f-e805-4f1b-9338-53d14a61304a</stp>
        <tr r="G728" s="2"/>
      </tp>
      <tp>
        <v>5</v>
        <stp/>
        <stp>ffc3cc24-be63-4223-ae29-d24b6dfbc908</stp>
        <tr r="G7438" s="2"/>
      </tp>
      <tp>
        <v>5</v>
        <stp/>
        <stp>6d22e132-8ce7-46a4-96f9-114d0d8e3c81</stp>
        <tr r="G2816" s="2"/>
      </tp>
      <tp>
        <v>5</v>
        <stp/>
        <stp>a0b8b843-c847-4b8a-8638-f1aecca84b9b</stp>
        <tr r="G6312" s="2"/>
      </tp>
    </main>
    <main first="rtdsrv_a82eb5a1fc404542a18b1336b70d2c4e">
      <tp>
        <v>5</v>
        <stp/>
        <stp>65eb66e7-7970-49f2-a200-c969151c33fc</stp>
        <tr r="G7520" s="2"/>
      </tp>
      <tp>
        <v>5</v>
        <stp/>
        <stp>93298b08-0582-4dc2-a3cc-958408607424</stp>
        <tr r="G1956" s="2"/>
      </tp>
    </main>
    <main first="rtdsrv_a82eb5a1fc404542a18b1336b70d2c4e">
      <tp>
        <v>5</v>
        <stp/>
        <stp>70bd052b-2b19-4d7b-ab52-289ed078dafb</stp>
        <tr r="G3911" s="2"/>
      </tp>
    </main>
    <main first="rtdsrv_a82eb5a1fc404542a18b1336b70d2c4e">
      <tp>
        <v>5</v>
        <stp/>
        <stp>c979d159-8779-48bc-a188-d80358459baa</stp>
        <tr r="G4263" s="2"/>
      </tp>
      <tp>
        <v>5</v>
        <stp/>
        <stp>4c7fa48d-0001-4d18-868a-12e559df0e77</stp>
        <tr r="G8092" s="2"/>
      </tp>
    </main>
    <main first="rtdsrv_a82eb5a1fc404542a18b1336b70d2c4e">
      <tp>
        <v>5</v>
        <stp/>
        <stp>cec499c1-271c-4552-a8f0-21813531e7d4</stp>
        <tr r="G9284" s="2"/>
      </tp>
    </main>
    <main first="rtdsrv_a82eb5a1fc404542a18b1336b70d2c4e">
      <tp>
        <v>5</v>
        <stp/>
        <stp>45bc8691-b2f1-4cdf-9c6b-a9041cf97b54</stp>
        <tr r="G7285" s="2"/>
      </tp>
      <tp>
        <v>5</v>
        <stp/>
        <stp>9682970d-68be-494e-b669-28188da08116</stp>
        <tr r="G8792" s="2"/>
      </tp>
      <tp>
        <v>5</v>
        <stp/>
        <stp>297b1465-8d80-43a8-a8a2-bd4da927e893</stp>
        <tr r="G5512" s="2"/>
      </tp>
    </main>
    <main first="rtdsrv_a82eb5a1fc404542a18b1336b70d2c4e">
      <tp>
        <v>5</v>
        <stp/>
        <stp>476e235d-b85b-4db3-b7bd-8d6698a13ba1</stp>
        <tr r="G805" s="2"/>
      </tp>
      <tp>
        <v>5</v>
        <stp/>
        <stp>1f39b04e-4c88-4b0f-ba3a-388b22fdf42e</stp>
        <tr r="G8015" s="2"/>
      </tp>
    </main>
    <main first="rtdsrv_a82eb5a1fc404542a18b1336b70d2c4e">
      <tp>
        <v>5</v>
        <stp/>
        <stp>9835c3e1-38d5-4a81-9004-23ee575a34c0</stp>
        <tr r="G7177" s="2"/>
      </tp>
    </main>
    <main first="rtdsrv_a82eb5a1fc404542a18b1336b70d2c4e">
      <tp>
        <v>5</v>
        <stp/>
        <stp>9567f78b-f193-4aad-bf94-95a62667535c</stp>
        <tr r="G6359" s="2"/>
      </tp>
      <tp>
        <v>5</v>
        <stp/>
        <stp>36bd65bf-d916-4999-9672-2be902f2a0a6</stp>
        <tr r="G9974" s="2"/>
      </tp>
      <tp>
        <v>5</v>
        <stp/>
        <stp>013a2686-f790-4fc1-8ede-3b4869e86fa8</stp>
        <tr r="G5006" s="2"/>
      </tp>
      <tp>
        <v>5</v>
        <stp/>
        <stp>0cb642ad-4c80-4c38-bbc8-06c3cd00cebc</stp>
        <tr r="G3746" s="2"/>
      </tp>
    </main>
    <main first="rtdsrv_a82eb5a1fc404542a18b1336b70d2c4e">
      <tp>
        <v>5</v>
        <stp/>
        <stp>5f8e00a3-8188-4d0a-963d-6d0d37a79f42</stp>
        <tr r="G4609" s="2"/>
      </tp>
    </main>
    <main first="rtdsrv_a82eb5a1fc404542a18b1336b70d2c4e">
      <tp>
        <v>5</v>
        <stp/>
        <stp>164aceec-2418-4ee4-85c7-6960c079169c</stp>
        <tr r="G2573" s="2"/>
      </tp>
    </main>
    <main first="rtdsrv_a82eb5a1fc404542a18b1336b70d2c4e">
      <tp>
        <v>5</v>
        <stp/>
        <stp>ed43aec3-4601-48f8-8127-8d21a67e9d9b</stp>
        <tr r="G2535" s="2"/>
      </tp>
      <tp>
        <v>5</v>
        <stp/>
        <stp>8844bbf8-2fd3-4894-bdd1-f2522eb56f88</stp>
        <tr r="G1750" s="2"/>
      </tp>
    </main>
    <main first="rtdsrv_a82eb5a1fc404542a18b1336b70d2c4e">
      <tp>
        <v>5</v>
        <stp/>
        <stp>fac450d0-e91d-4c75-974b-887a0e334a26</stp>
        <tr r="G78" s="2"/>
      </tp>
      <tp>
        <v>5</v>
        <stp/>
        <stp>a31c81d7-4925-41fb-b4c0-8932a2c6c5fd</stp>
        <tr r="G439" s="2"/>
      </tp>
      <tp>
        <v>5</v>
        <stp/>
        <stp>5c6136eb-e01f-49da-9cd8-87c2e3a41831</stp>
        <tr r="G5286" s="2"/>
      </tp>
    </main>
    <main first="rtdsrv_a82eb5a1fc404542a18b1336b70d2c4e">
      <tp>
        <v>5</v>
        <stp/>
        <stp>b7695897-7974-4441-9847-3a54fdfef185</stp>
        <tr r="G6206" s="2"/>
      </tp>
    </main>
    <main first="rtdsrv_a82eb5a1fc404542a18b1336b70d2c4e">
      <tp>
        <v>5</v>
        <stp/>
        <stp>bdded9b2-3928-42ee-96aa-4901fc09b95b</stp>
        <tr r="G8371" s="2"/>
      </tp>
    </main>
    <main first="rtdsrv_a82eb5a1fc404542a18b1336b70d2c4e">
      <tp>
        <v>5</v>
        <stp/>
        <stp>8c3723d6-b0c7-4ec5-96a5-10bc8f9299bb</stp>
        <tr r="G3493" s="2"/>
      </tp>
      <tp>
        <v>5</v>
        <stp/>
        <stp>f68ef0b4-baad-4cc5-b3bc-532909800097</stp>
        <tr r="G4987" s="2"/>
      </tp>
      <tp>
        <v>5</v>
        <stp/>
        <stp>d53d1a35-7c72-4dcf-b58c-23f9ef932a4a</stp>
        <tr r="G1330" s="2"/>
      </tp>
    </main>
    <main first="rtdsrv_a82eb5a1fc404542a18b1336b70d2c4e">
      <tp>
        <v>5</v>
        <stp/>
        <stp>21715095-6d13-4384-8e7b-781fb46cf1de</stp>
        <tr r="G7140" s="2"/>
      </tp>
      <tp>
        <v>5</v>
        <stp/>
        <stp>ed63b4e0-7733-434b-838d-329dfbde2d6e</stp>
        <tr r="G3949" s="2"/>
      </tp>
    </main>
    <main first="rtdsrv_a82eb5a1fc404542a18b1336b70d2c4e">
      <tp>
        <v>5</v>
        <stp/>
        <stp>40658aed-12fa-4939-a03a-d7f00a833555</stp>
        <tr r="G2353" s="2"/>
      </tp>
      <tp>
        <v>5</v>
        <stp/>
        <stp>ad5da925-99c7-49e8-bb64-d97348d3fb23</stp>
        <tr r="G5663" s="2"/>
      </tp>
    </main>
    <main first="rtdsrv_a82eb5a1fc404542a18b1336b70d2c4e">
      <tp>
        <v>5</v>
        <stp/>
        <stp>301f3498-843c-464c-901e-1300f78c9c51</stp>
        <tr r="G8643" s="2"/>
      </tp>
      <tp>
        <v>5</v>
        <stp/>
        <stp>dfbfe088-56c0-4ac9-9254-bb8f90e6d4a7</stp>
        <tr r="G3246" s="2"/>
      </tp>
    </main>
    <main first="rtdsrv_a82eb5a1fc404542a18b1336b70d2c4e">
      <tp>
        <v>5</v>
        <stp/>
        <stp>01eb89f2-132e-4994-a7d6-e1349ef61473</stp>
        <tr r="G5666" s="2"/>
      </tp>
    </main>
    <main first="rtdsrv_a82eb5a1fc404542a18b1336b70d2c4e">
      <tp>
        <v>5</v>
        <stp/>
        <stp>c7aec386-832d-493a-ab49-6dc9cf54fbad</stp>
        <tr r="G4850" s="2"/>
      </tp>
    </main>
    <main first="rtdsrv_a82eb5a1fc404542a18b1336b70d2c4e">
      <tp>
        <v>5</v>
        <stp/>
        <stp>46a2f3f6-b547-4b0e-a48d-fb744eccf4f6</stp>
        <tr r="G911" s="2"/>
      </tp>
    </main>
    <main first="rtdsrv_a82eb5a1fc404542a18b1336b70d2c4e">
      <tp>
        <v>5</v>
        <stp/>
        <stp>41258a66-c3e0-4d2e-b2b0-09e5fe2a1a4f</stp>
        <tr r="G8428" s="2"/>
      </tp>
    </main>
    <main first="rtdsrv_a82eb5a1fc404542a18b1336b70d2c4e">
      <tp>
        <v>5</v>
        <stp/>
        <stp>e9f94834-9a91-49f0-ad44-7ee16378ac66</stp>
        <tr r="G4023" s="2"/>
      </tp>
    </main>
    <main first="rtdsrv_a82eb5a1fc404542a18b1336b70d2c4e">
      <tp>
        <v>5</v>
        <stp/>
        <stp>3efa5286-8b9e-4a17-aeb1-d6bde693032d</stp>
        <tr r="G825" s="2"/>
      </tp>
      <tp>
        <v>5</v>
        <stp/>
        <stp>69fcb77c-27a6-4b7b-8c17-e51a81156b51</stp>
        <tr r="G2211" s="2"/>
      </tp>
      <tp>
        <v>5</v>
        <stp/>
        <stp>153435d3-e2b7-4688-bf64-65bf3ec48249</stp>
        <tr r="G6516" s="2"/>
      </tp>
    </main>
    <main first="rtdsrv_a82eb5a1fc404542a18b1336b70d2c4e">
      <tp>
        <v>5</v>
        <stp/>
        <stp>ecc27cee-5336-4c81-9591-3641cae7ec03</stp>
        <tr r="G1167" s="2"/>
      </tp>
    </main>
    <main first="rtdsrv_a82eb5a1fc404542a18b1336b70d2c4e">
      <tp>
        <v>5</v>
        <stp/>
        <stp>28f2a60d-3271-456a-b0a8-d592305e0155</stp>
        <tr r="G6303" s="2"/>
      </tp>
      <tp>
        <v>5</v>
        <stp/>
        <stp>11032a39-ced4-43f6-9c3e-9c8fde8699fd</stp>
        <tr r="G5824" s="2"/>
      </tp>
    </main>
    <main first="rtdsrv_a82eb5a1fc404542a18b1336b70d2c4e">
      <tp>
        <v>5</v>
        <stp/>
        <stp>d47f4974-e4a7-4154-bf6c-57143fb2a2a4</stp>
        <tr r="G2407" s="2"/>
      </tp>
    </main>
    <main first="rtdsrv_a82eb5a1fc404542a18b1336b70d2c4e">
      <tp>
        <v>5</v>
        <stp/>
        <stp>4be904f9-117b-4f67-a723-daa0c200085c</stp>
        <tr r="G6727" s="2"/>
      </tp>
    </main>
    <main first="rtdsrv_a82eb5a1fc404542a18b1336b70d2c4e">
      <tp>
        <v>5</v>
        <stp/>
        <stp>35aa97fd-dfd7-4e1d-bea2-9909bb2e814d</stp>
        <tr r="G2876" s="2"/>
      </tp>
    </main>
    <main first="rtdsrv_a82eb5a1fc404542a18b1336b70d2c4e">
      <tp>
        <v>5</v>
        <stp/>
        <stp>6f3ebce5-dbe7-4fd3-a5a4-eea54f0e897f</stp>
        <tr r="G661" s="2"/>
      </tp>
    </main>
    <main first="rtdsrv_a82eb5a1fc404542a18b1336b70d2c4e">
      <tp>
        <v>5</v>
        <stp/>
        <stp>cf6e5a5a-f3a7-4e0f-b876-d963e57cf5a1</stp>
        <tr r="G5520" s="2"/>
      </tp>
    </main>
    <main first="rtdsrv_a82eb5a1fc404542a18b1336b70d2c4e">
      <tp>
        <v>5</v>
        <stp/>
        <stp>6b1fde56-fe55-4ffe-8e85-8cd65456cbc5</stp>
        <tr r="G4937" s="2"/>
      </tp>
    </main>
    <main first="rtdsrv_a82eb5a1fc404542a18b1336b70d2c4e">
      <tp>
        <v>5</v>
        <stp/>
        <stp>754505b8-0100-48f1-aedb-49f09a1f5449</stp>
        <tr r="G3838" s="2"/>
      </tp>
      <tp>
        <v>5</v>
        <stp/>
        <stp>210677ca-f7af-43f3-b69a-362c737beff3</stp>
        <tr r="G2669" s="2"/>
      </tp>
    </main>
    <main first="rtdsrv_a82eb5a1fc404542a18b1336b70d2c4e">
      <tp>
        <v>5</v>
        <stp/>
        <stp>46dcf843-0ea7-491f-97c6-62420e5dded4</stp>
        <tr r="G4579" s="2"/>
      </tp>
      <tp>
        <v>5</v>
        <stp/>
        <stp>122b8294-0d58-4acf-90ec-f96d30e3c391</stp>
        <tr r="G585" s="2"/>
      </tp>
    </main>
    <main first="rtdsrv_a82eb5a1fc404542a18b1336b70d2c4e">
      <tp>
        <v>5</v>
        <stp/>
        <stp>380799fa-68a8-42fb-a808-a9094ee160e5</stp>
        <tr r="G2993" s="2"/>
      </tp>
    </main>
    <main first="rtdsrv_a82eb5a1fc404542a18b1336b70d2c4e">
      <tp>
        <v>5</v>
        <stp/>
        <stp>e787edfa-22d5-42d9-b5c4-bc3e9a808041</stp>
        <tr r="G1979" s="2"/>
      </tp>
    </main>
    <main first="rtdsrv_a82eb5a1fc404542a18b1336b70d2c4e">
      <tp>
        <v>5</v>
        <stp/>
        <stp>474a285b-e810-4870-8b0e-d45fd261ce83</stp>
        <tr r="G462" s="2"/>
      </tp>
      <tp>
        <v>5</v>
        <stp/>
        <stp>5672ed31-1013-442b-a913-2814f103e0a7</stp>
        <tr r="G9370" s="2"/>
      </tp>
      <tp>
        <v>5</v>
        <stp/>
        <stp>57eae72b-fea4-4888-beca-91481ccb0fc5</stp>
        <tr r="G6946" s="2"/>
      </tp>
      <tp>
        <v>5</v>
        <stp/>
        <stp>cf6a7e55-36fe-4254-a93b-bff389a03a72</stp>
        <tr r="G1213" s="2"/>
      </tp>
      <tp>
        <v>5</v>
        <stp/>
        <stp>20dde4d4-94e2-44da-a3fd-015ca05e1274</stp>
        <tr r="G1352" s="2"/>
      </tp>
      <tp>
        <v>5</v>
        <stp/>
        <stp>84ea8994-d187-4a0f-8b08-937e51f834c6</stp>
        <tr r="G7550" s="2"/>
      </tp>
      <tp>
        <v>5</v>
        <stp/>
        <stp>a58348cf-db6c-491a-8b35-4088755f47ff</stp>
        <tr r="G5391" s="2"/>
      </tp>
      <tp>
        <v>5</v>
        <stp/>
        <stp>d8049ffe-d7e2-4a0a-b54f-a529e2ba6a05</stp>
        <tr r="G3912" s="2"/>
      </tp>
    </main>
    <main first="rtdsrv_a82eb5a1fc404542a18b1336b70d2c4e">
      <tp>
        <v>5</v>
        <stp/>
        <stp>c2d2de79-b079-4804-9d05-c84975a645c5</stp>
        <tr r="G7499" s="2"/>
      </tp>
    </main>
    <main first="rtdsrv_a82eb5a1fc404542a18b1336b70d2c4e">
      <tp>
        <v>5</v>
        <stp/>
        <stp>5b161600-c2d6-49c9-b3f4-2e552fc48b14</stp>
        <tr r="G4283" s="2"/>
      </tp>
    </main>
    <main first="rtdsrv_a82eb5a1fc404542a18b1336b70d2c4e">
      <tp>
        <v>5</v>
        <stp/>
        <stp>6cd9585e-9592-4a87-9aae-bfd199725b20</stp>
        <tr r="G5542" s="2"/>
      </tp>
    </main>
    <main first="rtdsrv_a82eb5a1fc404542a18b1336b70d2c4e">
      <tp>
        <v>5</v>
        <stp/>
        <stp>7e2a0e73-dc1b-4f5a-bf02-5c681f4dc963</stp>
        <tr r="G7641" s="2"/>
      </tp>
    </main>
    <main first="rtdsrv_a82eb5a1fc404542a18b1336b70d2c4e">
      <tp>
        <v>5</v>
        <stp/>
        <stp>f7b0f9cc-15d5-4981-9953-c2a0942b2449</stp>
        <tr r="G8205" s="2"/>
      </tp>
    </main>
    <main first="rtdsrv_a82eb5a1fc404542a18b1336b70d2c4e">
      <tp>
        <v>5</v>
        <stp/>
        <stp>404cb676-1c7b-4754-993c-db68eb0569dc</stp>
        <tr r="G9238" s="2"/>
      </tp>
      <tp>
        <v>5</v>
        <stp/>
        <stp>04d37bb4-8f79-4c27-a5a4-53ffec1b3ab8</stp>
        <tr r="G7820" s="2"/>
      </tp>
    </main>
    <main first="rtdsrv_a82eb5a1fc404542a18b1336b70d2c4e">
      <tp>
        <v>5</v>
        <stp/>
        <stp>ffa3ea04-2526-4b13-938b-c2f79090158f</stp>
        <tr r="G5647" s="2"/>
      </tp>
      <tp>
        <v>5</v>
        <stp/>
        <stp>3c348825-f55e-4e57-8dfb-4103faddc5c6</stp>
        <tr r="G2441" s="2"/>
      </tp>
    </main>
    <main first="rtdsrv_a82eb5a1fc404542a18b1336b70d2c4e">
      <tp>
        <v>5</v>
        <stp/>
        <stp>454f5b11-f009-485e-8484-02bdec3e0413</stp>
        <tr r="G4035" s="2"/>
      </tp>
    </main>
    <main first="rtdsrv_a82eb5a1fc404542a18b1336b70d2c4e">
      <tp>
        <v>5</v>
        <stp/>
        <stp>453adb4e-878a-4194-962c-cf5f24e202b0</stp>
        <tr r="G6318" s="2"/>
      </tp>
    </main>
    <main first="rtdsrv_a82eb5a1fc404542a18b1336b70d2c4e">
      <tp>
        <v>5</v>
        <stp/>
        <stp>c2559d43-5c2e-4e9b-aba2-9ea588f3046e</stp>
        <tr r="G8882" s="2"/>
      </tp>
      <tp>
        <v>5</v>
        <stp/>
        <stp>b1ce9f3c-c344-498b-8b26-64b408ed3a30</stp>
        <tr r="G8223" s="2"/>
      </tp>
      <tp>
        <v>5</v>
        <stp/>
        <stp>04a43b0f-3c15-4a76-836f-38c9cdcfb059</stp>
        <tr r="G2833" s="2"/>
      </tp>
    </main>
    <main first="rtdsrv_a82eb5a1fc404542a18b1336b70d2c4e">
      <tp>
        <v>5</v>
        <stp/>
        <stp>2956700a-25da-4f08-aa92-6d393cbf2425</stp>
        <tr r="G3365" s="2"/>
      </tp>
      <tp>
        <v>5</v>
        <stp/>
        <stp>c38a590e-46e7-4098-9136-bfc3583a0b9d</stp>
        <tr r="G1275" s="2"/>
      </tp>
      <tp>
        <v>5</v>
        <stp/>
        <stp>027216ac-c192-4173-974f-891334d8bd54</stp>
        <tr r="G3258" s="2"/>
      </tp>
      <tp>
        <v>5</v>
        <stp/>
        <stp>3d4fa6bd-2fcc-4ff5-90c3-3bc8494ddd6f</stp>
        <tr r="G8256" s="2"/>
      </tp>
      <tp>
        <v>5</v>
        <stp/>
        <stp>1a5e2b2e-1d70-4b85-b52f-896af72672ce</stp>
        <tr r="G6123" s="2"/>
      </tp>
    </main>
    <main first="rtdsrv_a82eb5a1fc404542a18b1336b70d2c4e">
      <tp>
        <v>5</v>
        <stp/>
        <stp>4f5fb820-6c12-4a74-bca0-883c48d724a8</stp>
        <tr r="G2788" s="2"/>
      </tp>
      <tp>
        <v>5</v>
        <stp/>
        <stp>4382489e-0935-45b7-aed3-8d9a25a3d014</stp>
        <tr r="G3917" s="2"/>
      </tp>
      <tp>
        <v>5</v>
        <stp/>
        <stp>97286e16-9ea1-41a5-93ea-d3a57e2bcd6f</stp>
        <tr r="G1073" s="2"/>
      </tp>
    </main>
    <main first="rtdsrv_a82eb5a1fc404542a18b1336b70d2c4e">
      <tp>
        <v>5</v>
        <stp/>
        <stp>588b8208-c067-4bf7-bc1d-177b9f81671b</stp>
        <tr r="G3587" s="2"/>
      </tp>
    </main>
    <main first="rtdsrv_a82eb5a1fc404542a18b1336b70d2c4e">
      <tp>
        <v>5</v>
        <stp/>
        <stp>045842a9-ccab-4c0b-a93d-c1b7b4f85854</stp>
        <tr r="G8591" s="2"/>
      </tp>
    </main>
    <main first="rtdsrv_a82eb5a1fc404542a18b1336b70d2c4e">
      <tp>
        <v>5</v>
        <stp/>
        <stp>a8c05756-dc75-497b-889a-5e62b92d8e3b</stp>
        <tr r="G9812" s="2"/>
      </tp>
    </main>
    <main first="rtdsrv_a82eb5a1fc404542a18b1336b70d2c4e">
      <tp>
        <v>5</v>
        <stp/>
        <stp>d0f7fb1d-c033-4578-9fb3-ae7060ef77e8</stp>
        <tr r="G6522" s="2"/>
      </tp>
      <tp>
        <v>5</v>
        <stp/>
        <stp>b5e5e8ca-7ef6-4783-bad2-63d333216ddf</stp>
        <tr r="G4511" s="2"/>
      </tp>
      <tp>
        <v>5</v>
        <stp/>
        <stp>9fe7f9ab-0d19-4965-bcef-8b6492004fc7</stp>
        <tr r="G1457" s="2"/>
      </tp>
    </main>
    <main first="rtdsrv_a82eb5a1fc404542a18b1336b70d2c4e">
      <tp>
        <v>5</v>
        <stp/>
        <stp>d37af1d2-9423-4a02-beeb-d4f01d2cf528</stp>
        <tr r="G9204" s="2"/>
      </tp>
    </main>
    <main first="rtdsrv_a82eb5a1fc404542a18b1336b70d2c4e">
      <tp>
        <v>5</v>
        <stp/>
        <stp>3f3b7bc5-6574-4b12-a71d-f3ad595a4262</stp>
        <tr r="G5049" s="2"/>
      </tp>
    </main>
    <main first="rtdsrv_a82eb5a1fc404542a18b1336b70d2c4e">
      <tp>
        <v>5</v>
        <stp/>
        <stp>2196acbd-d859-4885-a645-97e9183cb1c7</stp>
        <tr r="G2138" s="2"/>
      </tp>
      <tp>
        <v>5</v>
        <stp/>
        <stp>8c9eaf40-ca3b-4e73-a1b1-e982ae02bb68</stp>
        <tr r="G4556" s="2"/>
      </tp>
    </main>
    <main first="rtdsrv_a82eb5a1fc404542a18b1336b70d2c4e">
      <tp>
        <v>5</v>
        <stp/>
        <stp>318d9705-04a9-4377-a65c-e9f67436f16e</stp>
        <tr r="G8823" s="2"/>
      </tp>
    </main>
    <main first="rtdsrv_a82eb5a1fc404542a18b1336b70d2c4e">
      <tp>
        <v>5</v>
        <stp/>
        <stp>df66c141-9484-4a35-80c4-50877a472a23</stp>
        <tr r="G7414" s="2"/>
      </tp>
    </main>
    <main first="rtdsrv_a82eb5a1fc404542a18b1336b70d2c4e">
      <tp>
        <v>5</v>
        <stp/>
        <stp>03afcc69-fcc6-491d-8e93-5324b399fc0a</stp>
        <tr r="G597" s="2"/>
      </tp>
    </main>
    <main first="rtdsrv_a82eb5a1fc404542a18b1336b70d2c4e">
      <tp>
        <v>5</v>
        <stp/>
        <stp>3ed119db-d7f8-46e2-8df3-fb112c1a9e88</stp>
        <tr r="G3113" s="2"/>
      </tp>
      <tp>
        <v>5</v>
        <stp/>
        <stp>7e187c9a-c5d1-4208-aaec-25d3ba734d10</stp>
        <tr r="G1730" s="2"/>
      </tp>
    </main>
    <main first="rtdsrv_a82eb5a1fc404542a18b1336b70d2c4e">
      <tp>
        <v>5</v>
        <stp/>
        <stp>57337dbf-53cd-4dfa-9054-48ac608a6233</stp>
        <tr r="G5701" s="2"/>
      </tp>
    </main>
    <main first="rtdsrv_a82eb5a1fc404542a18b1336b70d2c4e">
      <tp>
        <v>5</v>
        <stp/>
        <stp>5ba6199d-4918-4b82-acbe-ce8404724f6c</stp>
        <tr r="G5424" s="2"/>
      </tp>
      <tp>
        <v>5</v>
        <stp/>
        <stp>ca907718-4afe-4ca8-895e-e3e2d70cccdd</stp>
        <tr r="G4116" s="2"/>
      </tp>
    </main>
    <main first="rtdsrv_a82eb5a1fc404542a18b1336b70d2c4e">
      <tp>
        <v>5</v>
        <stp/>
        <stp>0d078ed9-20da-4484-bc19-5a1f6f4aa9e5</stp>
        <tr r="G6910" s="2"/>
      </tp>
      <tp>
        <v>5</v>
        <stp/>
        <stp>4701654a-6907-47dc-8c7d-b1eb48347a26</stp>
        <tr r="G823" s="2"/>
      </tp>
    </main>
    <main first="rtdsrv_a82eb5a1fc404542a18b1336b70d2c4e">
      <tp>
        <v>5</v>
        <stp/>
        <stp>efc733c4-8bf6-4252-b225-ae451189a1f0</stp>
        <tr r="G1360" s="2"/>
      </tp>
    </main>
    <main first="rtdsrv_a82eb5a1fc404542a18b1336b70d2c4e">
      <tp>
        <v>5</v>
        <stp/>
        <stp>83b3c9fd-33d3-4341-a765-d115fa6fcf8d</stp>
        <tr r="G1107" s="2"/>
      </tp>
    </main>
    <main first="rtdsrv_a82eb5a1fc404542a18b1336b70d2c4e">
      <tp>
        <v>5</v>
        <stp/>
        <stp>bcdde797-0257-4b7b-b89d-ec6d2f7c7271</stp>
        <tr r="G4698" s="2"/>
      </tp>
    </main>
    <main first="rtdsrv_a82eb5a1fc404542a18b1336b70d2c4e">
      <tp>
        <v>5</v>
        <stp/>
        <stp>136c1886-bd69-47fa-b37d-0c0c026e9f5a</stp>
        <tr r="G4774" s="2"/>
      </tp>
      <tp>
        <v>5</v>
        <stp/>
        <stp>ca8701de-5f0c-41a8-9725-711a80552f6b</stp>
        <tr r="G7309" s="2"/>
      </tp>
      <tp>
        <v>5</v>
        <stp/>
        <stp>32af16fe-888d-4461-813b-63b98501702b</stp>
        <tr r="G2554" s="2"/>
      </tp>
    </main>
    <main first="rtdsrv_a82eb5a1fc404542a18b1336b70d2c4e">
      <tp>
        <v>5</v>
        <stp/>
        <stp>17a03acc-41b6-4343-9f14-ee9d746fa95c</stp>
        <tr r="G1443" s="2"/>
      </tp>
    </main>
    <main first="rtdsrv_a82eb5a1fc404542a18b1336b70d2c4e">
      <tp>
        <v>5</v>
        <stp/>
        <stp>345d05c1-6679-4af2-a40c-28ace69203e6</stp>
        <tr r="G5900" s="2"/>
      </tp>
    </main>
    <main first="rtdsrv_a82eb5a1fc404542a18b1336b70d2c4e">
      <tp>
        <v>5</v>
        <stp/>
        <stp>b9cb1a79-420b-4733-b4b8-c1edee7dba29</stp>
        <tr r="G583" s="2"/>
      </tp>
    </main>
    <main first="rtdsrv_a82eb5a1fc404542a18b1336b70d2c4e">
      <tp>
        <v>5</v>
        <stp/>
        <stp>67016a41-98d5-4239-9ec3-6512d91e2114</stp>
        <tr r="G1225" s="2"/>
      </tp>
    </main>
    <main first="rtdsrv_a82eb5a1fc404542a18b1336b70d2c4e">
      <tp>
        <v>5</v>
        <stp/>
        <stp>a1853bc0-6a1a-418d-9925-91afd2cab834</stp>
        <tr r="G3813" s="2"/>
      </tp>
      <tp>
        <v>5</v>
        <stp/>
        <stp>1bbac5f7-6eca-471e-aa88-3cc8446cbc21</stp>
        <tr r="G6169" s="2"/>
      </tp>
    </main>
    <main first="rtdsrv_a82eb5a1fc404542a18b1336b70d2c4e">
      <tp>
        <v>5</v>
        <stp/>
        <stp>593315a5-d0a6-4767-a6a8-cc1adeb11076</stp>
        <tr r="G9923" s="2"/>
      </tp>
    </main>
    <main first="rtdsrv_a82eb5a1fc404542a18b1336b70d2c4e">
      <tp>
        <v>5</v>
        <stp/>
        <stp>e9c7fac1-ec3a-4219-abe8-89b0064f5f27</stp>
        <tr r="G1797" s="2"/>
      </tp>
      <tp>
        <v>5</v>
        <stp/>
        <stp>5d88d14c-88ca-448b-bb17-16e867a3678d</stp>
        <tr r="G9043" s="2"/>
      </tp>
      <tp>
        <v>5</v>
        <stp/>
        <stp>2d91d5c7-46cd-43ad-862a-398c403d229d</stp>
        <tr r="G6488" s="2"/>
      </tp>
      <tp>
        <v>5</v>
        <stp/>
        <stp>c12028b6-65c6-428f-a069-95f8dd7d162e</stp>
        <tr r="G7567" s="2"/>
      </tp>
    </main>
    <main first="rtdsrv_a82eb5a1fc404542a18b1336b70d2c4e">
      <tp>
        <v>5</v>
        <stp/>
        <stp>c42f254e-8818-4bf4-87d4-15df22701ff5</stp>
        <tr r="G1709" s="2"/>
      </tp>
    </main>
    <main first="rtdsrv_a82eb5a1fc404542a18b1336b70d2c4e">
      <tp>
        <v>5</v>
        <stp/>
        <stp>66521791-00b6-44a0-aa9b-3aedd5773d30</stp>
        <tr r="G898" s="2"/>
      </tp>
      <tp>
        <v>5</v>
        <stp/>
        <stp>ae8163a7-93f9-4a1b-b64b-9101672e475d</stp>
        <tr r="G3968" s="2"/>
      </tp>
    </main>
    <main first="rtdsrv_a82eb5a1fc404542a18b1336b70d2c4e">
      <tp>
        <v>5</v>
        <stp/>
        <stp>66499da8-14ce-45a3-8bb0-e4f0d61f389d</stp>
        <tr r="G134" s="2"/>
      </tp>
    </main>
    <main first="rtdsrv_a82eb5a1fc404542a18b1336b70d2c4e">
      <tp>
        <v>5</v>
        <stp/>
        <stp>99e2ce47-00f4-4f16-9af4-0294b51773bf</stp>
        <tr r="G7946" s="2"/>
      </tp>
    </main>
    <main first="rtdsrv_a82eb5a1fc404542a18b1336b70d2c4e">
      <tp>
        <v>5</v>
        <stp/>
        <stp>291c50e3-135a-448a-b3d8-80b980c4d5f8</stp>
        <tr r="G7914" s="2"/>
      </tp>
    </main>
    <main first="rtdsrv_a82eb5a1fc404542a18b1336b70d2c4e">
      <tp>
        <v>5</v>
        <stp/>
        <stp>fd92ffd8-ac3c-460e-8134-257790d2f8a3</stp>
        <tr r="G5083" s="2"/>
      </tp>
    </main>
    <main first="rtdsrv_a82eb5a1fc404542a18b1336b70d2c4e">
      <tp>
        <v>5</v>
        <stp/>
        <stp>1189d876-9cbf-4163-9c1f-a9e18a176bfa</stp>
        <tr r="G9693" s="2"/>
      </tp>
      <tp>
        <v>5</v>
        <stp/>
        <stp>7cb7ad5c-1913-48b2-9251-00b64125187d</stp>
        <tr r="G2815" s="2"/>
      </tp>
    </main>
    <main first="rtdsrv_a82eb5a1fc404542a18b1336b70d2c4e">
      <tp>
        <v>5</v>
        <stp/>
        <stp>5d9207a7-fe96-4e23-89d1-e92bbc15c078</stp>
        <tr r="G3600" s="2"/>
      </tp>
    </main>
    <main first="rtdsrv_a82eb5a1fc404542a18b1336b70d2c4e">
      <tp>
        <v>5</v>
        <stp/>
        <stp>3fd13bd4-3abd-414a-a39a-adb911c49292</stp>
        <tr r="G6242" s="2"/>
      </tp>
      <tp>
        <v>5</v>
        <stp/>
        <stp>e8be8dff-35e9-4948-8fc6-0989866af314</stp>
        <tr r="G5053" s="2"/>
      </tp>
      <tp>
        <v>5</v>
        <stp/>
        <stp>e0806ef8-bbd0-4415-80a7-6e37689ef699</stp>
        <tr r="G9044" s="2"/>
      </tp>
    </main>
    <main first="rtdsrv_a82eb5a1fc404542a18b1336b70d2c4e">
      <tp>
        <v>5</v>
        <stp/>
        <stp>a49c9efc-b7bb-423c-a4c6-b1f6a373c97f</stp>
        <tr r="G7596" s="2"/>
      </tp>
    </main>
    <main first="rtdsrv_a82eb5a1fc404542a18b1336b70d2c4e">
      <tp>
        <v>5</v>
        <stp/>
        <stp>2c3dfcac-8758-4147-933f-f5a3c4c7559a</stp>
        <tr r="G8005" s="2"/>
      </tp>
      <tp>
        <v>5</v>
        <stp/>
        <stp>09adf9c8-b7c7-4a5a-a525-6d8cd9de4ddf</stp>
        <tr r="G3540" s="2"/>
      </tp>
    </main>
    <main first="rtdsrv_a82eb5a1fc404542a18b1336b70d2c4e">
      <tp>
        <v>5</v>
        <stp/>
        <stp>b3f9ca21-ce14-40b1-b2eb-307e4e9ae8e7</stp>
        <tr r="G5834" s="2"/>
      </tp>
      <tp>
        <v>5</v>
        <stp/>
        <stp>298d0052-7f38-4aff-8131-46ea2d3a514e</stp>
        <tr r="G5106" s="2"/>
      </tp>
      <tp>
        <v>5</v>
        <stp/>
        <stp>c7687838-7124-4986-804c-67f9da8c8d10</stp>
        <tr r="G1032" s="2"/>
      </tp>
      <tp>
        <v>5</v>
        <stp/>
        <stp>58e5df70-cc85-4e31-a6fc-5287ca3bb1a7</stp>
        <tr r="G7477" s="2"/>
      </tp>
    </main>
    <main first="rtdsrv_a82eb5a1fc404542a18b1336b70d2c4e">
      <tp>
        <v>5</v>
        <stp/>
        <stp>db7dcc32-ec35-4125-b119-9947f7b9ef19</stp>
        <tr r="G9493" s="2"/>
      </tp>
    </main>
    <main first="rtdsrv_a82eb5a1fc404542a18b1336b70d2c4e">
      <tp>
        <v>5</v>
        <stp/>
        <stp>63cf485d-84ce-4822-af3c-2198d9be92c1</stp>
        <tr r="G9112" s="2"/>
      </tp>
    </main>
    <main first="rtdsrv_a82eb5a1fc404542a18b1336b70d2c4e">
      <tp>
        <v>5</v>
        <stp/>
        <stp>28a19ce7-b68b-49b2-863d-e64b67b5d199</stp>
        <tr r="G1786" s="2"/>
      </tp>
      <tp>
        <v>5</v>
        <stp/>
        <stp>7606b232-b550-49bd-9822-00a4f09238ed</stp>
        <tr r="G7680" s="2"/>
      </tp>
    </main>
    <main first="rtdsrv_a82eb5a1fc404542a18b1336b70d2c4e">
      <tp>
        <v>5</v>
        <stp/>
        <stp>06bc17dd-8992-428b-a270-8572a0df2aeb</stp>
        <tr r="G6769" s="2"/>
      </tp>
    </main>
    <main first="rtdsrv_a82eb5a1fc404542a18b1336b70d2c4e">
      <tp>
        <v>5</v>
        <stp/>
        <stp>f5372039-9f2b-49db-a0d8-2c3815fb7d13</stp>
        <tr r="G2618" s="2"/>
      </tp>
    </main>
    <main first="rtdsrv_a82eb5a1fc404542a18b1336b70d2c4e">
      <tp>
        <v>5</v>
        <stp/>
        <stp>277155e4-078e-4cf9-8ed6-cc9a664402d8</stp>
        <tr r="G5741" s="2"/>
      </tp>
    </main>
    <main first="rtdsrv_a82eb5a1fc404542a18b1336b70d2c4e">
      <tp>
        <v>5</v>
        <stp/>
        <stp>0a97bd7c-bd5d-4a55-b25b-fe3d1362e97a</stp>
        <tr r="G9810" s="2"/>
      </tp>
    </main>
    <main first="rtdsrv_a82eb5a1fc404542a18b1336b70d2c4e">
      <tp>
        <v>5</v>
        <stp/>
        <stp>9b9ffbdc-1393-481e-9ceb-84fd45c6d838</stp>
        <tr r="G5841" s="2"/>
      </tp>
    </main>
    <main first="rtdsrv_a82eb5a1fc404542a18b1336b70d2c4e">
      <tp>
        <v>5</v>
        <stp/>
        <stp>ff975b72-9ed9-4144-a327-1e77a445bbec</stp>
        <tr r="G1054" s="2"/>
      </tp>
    </main>
    <main first="rtdsrv_a82eb5a1fc404542a18b1336b70d2c4e">
      <tp>
        <v>5</v>
        <stp/>
        <stp>185025d3-bc99-4273-8399-e8e300a66e41</stp>
        <tr r="G2212" s="2"/>
      </tp>
    </main>
    <main first="rtdsrv_a82eb5a1fc404542a18b1336b70d2c4e">
      <tp>
        <v>5</v>
        <stp/>
        <stp>5e3dddd4-ed46-4b87-9eb2-6922290c398c</stp>
        <tr r="G4605" s="2"/>
      </tp>
    </main>
    <main first="rtdsrv_a82eb5a1fc404542a18b1336b70d2c4e">
      <tp>
        <v>5</v>
        <stp/>
        <stp>13604945-e61f-4e2d-97b9-67feb5fa9c6f</stp>
        <tr r="G6363" s="2"/>
      </tp>
      <tp>
        <v>5</v>
        <stp/>
        <stp>258ec911-6c58-4e21-a2bb-ae8ef18d1530</stp>
        <tr r="G4634" s="2"/>
      </tp>
      <tp>
        <v>5</v>
        <stp/>
        <stp>24b846e1-b94e-485c-bbfc-e8aa5a60441c</stp>
        <tr r="G3383" s="2"/>
      </tp>
      <tp>
        <v>5</v>
        <stp/>
        <stp>fbd19207-416c-4096-9bbd-b407a539899a</stp>
        <tr r="G5802" s="2"/>
      </tp>
    </main>
    <main first="rtdsrv_a82eb5a1fc404542a18b1336b70d2c4e">
      <tp>
        <v>5</v>
        <stp/>
        <stp>df35be9b-af8d-4dc4-8dff-1c7d5c2a584d</stp>
        <tr r="G7566" s="2"/>
      </tp>
    </main>
    <main first="rtdsrv_a82eb5a1fc404542a18b1336b70d2c4e">
      <tp>
        <v>5</v>
        <stp/>
        <stp>cd68b164-f816-467a-ad2c-09ecc74c7f18</stp>
        <tr r="G835" s="2"/>
      </tp>
    </main>
    <main first="rtdsrv_a82eb5a1fc404542a18b1336b70d2c4e">
      <tp>
        <v>5</v>
        <stp/>
        <stp>8ccf8928-474e-497b-813e-14e63ae8bb7e</stp>
        <tr r="G7014" s="2"/>
      </tp>
      <tp>
        <v>5</v>
        <stp/>
        <stp>4269ac9c-8e91-4cf5-94a7-43f17682f078</stp>
        <tr r="G5722" s="2"/>
      </tp>
    </main>
    <main first="rtdsrv_a82eb5a1fc404542a18b1336b70d2c4e">
      <tp>
        <v>5</v>
        <stp/>
        <stp>6cba48a1-abc3-449d-9e67-6cc14f7c5e6a</stp>
        <tr r="G2644" s="2"/>
      </tp>
      <tp>
        <v>5</v>
        <stp/>
        <stp>6873d2df-96e3-434a-8bb7-89788bc60c28</stp>
        <tr r="G3527" s="2"/>
      </tp>
    </main>
    <main first="rtdsrv_a82eb5a1fc404542a18b1336b70d2c4e">
      <tp>
        <v>5</v>
        <stp/>
        <stp>8e8f52b3-a483-4d4f-95df-1ddcfa9f19ac</stp>
        <tr r="G4802" s="2"/>
      </tp>
      <tp>
        <v>5</v>
        <stp/>
        <stp>b10dac5e-46c9-4a10-a8cc-f9fabb6b0f46</stp>
        <tr r="G3095" s="2"/>
      </tp>
    </main>
    <main first="rtdsrv_a82eb5a1fc404542a18b1336b70d2c4e">
      <tp>
        <v>5</v>
        <stp/>
        <stp>7efc02d6-d2fa-4859-b8ba-d8505968baf3</stp>
        <tr r="G387" s="2"/>
      </tp>
    </main>
    <main first="rtdsrv_a82eb5a1fc404542a18b1336b70d2c4e">
      <tp>
        <v>5</v>
        <stp/>
        <stp>8e38dde2-f38d-4caf-882f-a6266950d402</stp>
        <tr r="G4625" s="2"/>
      </tp>
      <tp>
        <v>5</v>
        <stp/>
        <stp>f0ca0cc6-9e4e-4bec-b02b-7378672cd76e</stp>
        <tr r="G8048" s="2"/>
      </tp>
      <tp>
        <v>5</v>
        <stp/>
        <stp>c0417f5e-7e38-4b65-8f0c-69dda13c9dde</stp>
        <tr r="G2805" s="2"/>
      </tp>
      <tp>
        <v>5</v>
        <stp/>
        <stp>87e01242-5257-4ed8-b4a2-678745da2c99</stp>
        <tr r="G6945" s="2"/>
      </tp>
      <tp>
        <v>5</v>
        <stp/>
        <stp>34627827-3c30-44f7-9ca7-d0503e0d14a6</stp>
        <tr r="G7317" s="2"/>
      </tp>
    </main>
    <main first="rtdsrv_a82eb5a1fc404542a18b1336b70d2c4e">
      <tp>
        <v>5</v>
        <stp/>
        <stp>35bd806d-161e-490b-acbb-98abe305e7ee</stp>
        <tr r="G7041" s="2"/>
      </tp>
    </main>
    <main first="rtdsrv_a82eb5a1fc404542a18b1336b70d2c4e">
      <tp>
        <v>5</v>
        <stp/>
        <stp>1716c76d-13cc-4ccd-9505-8917911b2e43</stp>
        <tr r="G6778" s="2"/>
      </tp>
      <tp>
        <v>5</v>
        <stp/>
        <stp>da9bfbac-454c-45ae-a75a-69bacd8732c9</stp>
        <tr r="G9650" s="2"/>
      </tp>
    </main>
    <main first="rtdsrv_a82eb5a1fc404542a18b1336b70d2c4e">
      <tp>
        <v>5</v>
        <stp/>
        <stp>0096262d-6951-4eb7-a28c-4b69bb6627dd</stp>
        <tr r="G2023" s="2"/>
      </tp>
      <tp>
        <v>5</v>
        <stp/>
        <stp>108ec8a0-485a-4884-ba50-765ed1c2822d</stp>
        <tr r="G1771" s="2"/>
      </tp>
    </main>
    <main first="rtdsrv_a82eb5a1fc404542a18b1336b70d2c4e">
      <tp>
        <v>5</v>
        <stp/>
        <stp>b0d8ff18-94e7-40c5-8baf-d616c604033e</stp>
        <tr r="G2686" s="2"/>
      </tp>
    </main>
    <main first="rtdsrv_a82eb5a1fc404542a18b1336b70d2c4e">
      <tp>
        <v>5</v>
        <stp/>
        <stp>c7a80be2-1f0d-4fce-bbae-3938652d4d36</stp>
        <tr r="G636" s="2"/>
      </tp>
      <tp>
        <v>5</v>
        <stp/>
        <stp>66ece5e2-9f71-49fe-9e26-7d68d62247a9</stp>
        <tr r="G445" s="2"/>
      </tp>
    </main>
    <main first="rtdsrv_a82eb5a1fc404542a18b1336b70d2c4e">
      <tp>
        <v>5</v>
        <stp/>
        <stp>77755bf4-99c5-4254-82df-4e4717907f69</stp>
        <tr r="G3514" s="2"/>
      </tp>
    </main>
    <main first="rtdsrv_a82eb5a1fc404542a18b1336b70d2c4e">
      <tp>
        <v>5</v>
        <stp/>
        <stp>f4e2c9fc-3aed-4667-a4df-f4af12ec7c59</stp>
        <tr r="G7918" s="2"/>
      </tp>
    </main>
    <main first="rtdsrv_a82eb5a1fc404542a18b1336b70d2c4e">
      <tp>
        <v>5</v>
        <stp/>
        <stp>4895018d-975f-4c87-b850-6bb38a1729ce</stp>
        <tr r="G8761" s="2"/>
      </tp>
    </main>
    <main first="rtdsrv_a82eb5a1fc404542a18b1336b70d2c4e">
      <tp>
        <v>5</v>
        <stp/>
        <stp>8fd970b5-e62a-4279-98e5-9cca4537c1cf</stp>
        <tr r="G7738" s="2"/>
      </tp>
    </main>
    <main first="rtdsrv_a82eb5a1fc404542a18b1336b70d2c4e">
      <tp>
        <v>5</v>
        <stp/>
        <stp>7c541d93-a5ac-4df6-bcc8-9967c517f70c</stp>
        <tr r="G8773" s="2"/>
      </tp>
    </main>
    <main first="rtdsrv_a82eb5a1fc404542a18b1336b70d2c4e">
      <tp>
        <v>5</v>
        <stp/>
        <stp>e3211f2f-7a99-42d6-badc-b7b078f2f706</stp>
        <tr r="G9526" s="2"/>
      </tp>
      <tp>
        <v>5</v>
        <stp/>
        <stp>66db4971-4d83-4d9f-b1ff-c55ba4e3b277</stp>
        <tr r="G2664" s="2"/>
      </tp>
    </main>
    <main first="rtdsrv_a82eb5a1fc404542a18b1336b70d2c4e">
      <tp>
        <v>5</v>
        <stp/>
        <stp>440a4004-5d8d-4679-ae33-74e9c14b7604</stp>
        <tr r="G5103" s="2"/>
      </tp>
      <tp>
        <v>5</v>
        <stp/>
        <stp>6a84f00b-f5f1-4367-ba50-778f324f2874</stp>
        <tr r="G9187" s="2"/>
      </tp>
      <tp>
        <v>5</v>
        <stp/>
        <stp>810418b9-b7d8-43c9-80a4-d9c5c47fe63f</stp>
        <tr r="G7833" s="2"/>
      </tp>
    </main>
    <main first="rtdsrv_a82eb5a1fc404542a18b1336b70d2c4e">
      <tp>
        <v>5</v>
        <stp/>
        <stp>56315397-7961-4752-9e77-1e9a2835ab88</stp>
        <tr r="G3588" s="2"/>
      </tp>
    </main>
    <main first="rtdsrv_a82eb5a1fc404542a18b1336b70d2c4e">
      <tp>
        <v>5</v>
        <stp/>
        <stp>c844c867-f6a9-41a1-a2fd-e90eda74daa0</stp>
        <tr r="G7729" s="2"/>
      </tp>
    </main>
    <main first="rtdsrv_a82eb5a1fc404542a18b1336b70d2c4e">
      <tp>
        <v>5</v>
        <stp/>
        <stp>a170bb2a-ea63-4e20-8f88-7e808b3f01a1</stp>
        <tr r="G5146" s="2"/>
      </tp>
    </main>
    <main first="rtdsrv_a82eb5a1fc404542a18b1336b70d2c4e">
      <tp>
        <v>5</v>
        <stp/>
        <stp>ad720272-78df-4747-879b-d69ccdc5356b</stp>
        <tr r="G5383" s="2"/>
      </tp>
      <tp>
        <v>5</v>
        <stp/>
        <stp>5a50f74d-6d17-475d-9381-271c3556e6fe</stp>
        <tr r="G9201" s="2"/>
      </tp>
    </main>
    <main first="rtdsrv_a82eb5a1fc404542a18b1336b70d2c4e">
      <tp>
        <v>5</v>
        <stp/>
        <stp>604c5aac-70b6-4e0e-a815-df064ddcf836</stp>
        <tr r="G8818" s="2"/>
      </tp>
    </main>
    <main first="rtdsrv_a82eb5a1fc404542a18b1336b70d2c4e">
      <tp>
        <v>5</v>
        <stp/>
        <stp>becadb47-6e8a-4803-9e9f-a5096d653bec</stp>
        <tr r="G7966" s="2"/>
      </tp>
      <tp>
        <v>5</v>
        <stp/>
        <stp>32c6f248-7de3-495f-b7a8-0d8d29e2feaf</stp>
        <tr r="G5253" s="2"/>
      </tp>
      <tp>
        <v>5</v>
        <stp/>
        <stp>aa19bf5c-c643-42db-9a5f-53b1e92a2138</stp>
        <tr r="G7955" s="2"/>
      </tp>
    </main>
    <main first="rtdsrv_a82eb5a1fc404542a18b1336b70d2c4e">
      <tp>
        <v>5</v>
        <stp/>
        <stp>3268f31c-0771-4718-aeb4-7abbe7a4e50d</stp>
        <tr r="G5281" s="2"/>
      </tp>
      <tp>
        <v>5</v>
        <stp/>
        <stp>da8ea2a8-d968-4626-ba6f-6a10e8115f17</stp>
        <tr r="G3407" s="2"/>
      </tp>
      <tp>
        <v>5</v>
        <stp/>
        <stp>292e1b35-55ce-4c8b-8b4c-0e709dda7132</stp>
        <tr r="G9961" s="2"/>
      </tp>
    </main>
    <main first="rtdsrv_a82eb5a1fc404542a18b1336b70d2c4e">
      <tp>
        <v>5</v>
        <stp/>
        <stp>200c9f01-5df3-4c90-95bd-cf59e9d17ff3</stp>
        <tr r="G4892" s="2"/>
      </tp>
      <tp>
        <v>5</v>
        <stp/>
        <stp>51cd1e7d-5d22-44a8-a151-dda02d674da0</stp>
        <tr r="G7671" s="2"/>
      </tp>
    </main>
    <main first="rtdsrv_a82eb5a1fc404542a18b1336b70d2c4e">
      <tp>
        <v>5</v>
        <stp/>
        <stp>d81ea1be-48db-4644-8864-924a069ff3e3</stp>
        <tr r="G891" s="2"/>
      </tp>
      <tp>
        <v>5</v>
        <stp/>
        <stp>d7178afe-3a9f-4a22-b11b-189aadb4028b</stp>
        <tr r="G4493" s="2"/>
      </tp>
    </main>
    <main first="rtdsrv_a82eb5a1fc404542a18b1336b70d2c4e">
      <tp>
        <v>5</v>
        <stp/>
        <stp>07a1e214-e52f-4358-8704-5d4d1be5cf74</stp>
        <tr r="G2276" s="2"/>
      </tp>
      <tp>
        <v>5</v>
        <stp/>
        <stp>6e0f7feb-2b0d-4130-b05a-5909b1dfc45c</stp>
        <tr r="G161" s="2"/>
      </tp>
    </main>
    <main first="rtdsrv_a82eb5a1fc404542a18b1336b70d2c4e">
      <tp>
        <v>5</v>
        <stp/>
        <stp>147cce6f-b6e3-4eff-b1b2-a92691dd77c6</stp>
        <tr r="G5517" s="2"/>
      </tp>
      <tp>
        <v>5</v>
        <stp/>
        <stp>c10a2ef6-9af2-4039-846b-69eae1624b6d</stp>
        <tr r="G2696" s="2"/>
      </tp>
      <tp>
        <v>5</v>
        <stp/>
        <stp>80fe18c7-5426-4d36-b52b-20dcacc2cbd8</stp>
        <tr r="G7416" s="2"/>
      </tp>
      <tp>
        <v>5</v>
        <stp/>
        <stp>afe37e70-57cb-4b18-a1dd-7066cfcf24d8</stp>
        <tr r="G1707" s="2"/>
      </tp>
    </main>
    <main first="rtdsrv_a82eb5a1fc404542a18b1336b70d2c4e">
      <tp>
        <v>5</v>
        <stp/>
        <stp>74bdf637-81a3-466d-b03c-8db70422a5c7</stp>
        <tr r="G334" s="2"/>
      </tp>
      <tp>
        <v>5</v>
        <stp/>
        <stp>5fa2db80-0745-47a8-8f22-c389b55f80a6</stp>
        <tr r="G4853" s="2"/>
      </tp>
    </main>
    <main first="rtdsrv_a82eb5a1fc404542a18b1336b70d2c4e">
      <tp>
        <v>5</v>
        <stp/>
        <stp>c57da8a8-9cf6-493e-bf80-1c6f7615742c</stp>
        <tr r="G5988" s="2"/>
      </tp>
      <tp>
        <v>5</v>
        <stp/>
        <stp>8a795472-8359-4b83-b06d-b0d8041c5d24</stp>
        <tr r="G5896" s="2"/>
      </tp>
      <tp>
        <v>5</v>
        <stp/>
        <stp>79ae4e3b-a689-4547-b330-402f6258f3cd</stp>
        <tr r="G6061" s="2"/>
      </tp>
    </main>
    <main first="rtdsrv_a82eb5a1fc404542a18b1336b70d2c4e">
      <tp>
        <v>5</v>
        <stp/>
        <stp>14e38a4e-fab9-4ad9-87e3-42dde72d5be4</stp>
        <tr r="G7069" s="2"/>
      </tp>
      <tp>
        <v>5</v>
        <stp/>
        <stp>58c8218e-7136-4457-a3e8-ef17b2a0e02f</stp>
        <tr r="G8400" s="2"/>
      </tp>
    </main>
    <main first="rtdsrv_a82eb5a1fc404542a18b1336b70d2c4e">
      <tp>
        <v>5</v>
        <stp/>
        <stp>42276854-46b5-4808-8b4d-28ae93c3c1f3</stp>
        <tr r="G4114" s="2"/>
      </tp>
      <tp>
        <v>5</v>
        <stp/>
        <stp>02555b5b-35cc-46d1-bc92-a61dea4ca43b</stp>
        <tr r="G1024" s="2"/>
      </tp>
    </main>
    <main first="rtdsrv_a82eb5a1fc404542a18b1336b70d2c4e">
      <tp>
        <v>5</v>
        <stp/>
        <stp>2af047e8-9acf-40e3-8846-acce454e562d</stp>
        <tr r="G2508" s="2"/>
      </tp>
    </main>
    <main first="rtdsrv_a82eb5a1fc404542a18b1336b70d2c4e">
      <tp>
        <v>5</v>
        <stp/>
        <stp>66479045-cfbc-4a85-8a76-22e2fe5d281a</stp>
        <tr r="G8874" s="2"/>
      </tp>
      <tp>
        <v>5</v>
        <stp/>
        <stp>09e96092-f7be-4b6d-9430-db08e3944ac0</stp>
        <tr r="G5457" s="2"/>
      </tp>
    </main>
    <main first="rtdsrv_a82eb5a1fc404542a18b1336b70d2c4e">
      <tp>
        <v>5</v>
        <stp/>
        <stp>e7b2115a-5504-4ce8-9477-fe5d357a1df5</stp>
        <tr r="G6479" s="2"/>
      </tp>
    </main>
    <main first="rtdsrv_a82eb5a1fc404542a18b1336b70d2c4e">
      <tp>
        <v>5</v>
        <stp/>
        <stp>abbb38fd-1072-4779-80f9-df291b81e86c</stp>
        <tr r="G6831" s="2"/>
      </tp>
      <tp>
        <v>5</v>
        <stp/>
        <stp>fd582f1f-95a1-4e44-8210-dc04da5d145e</stp>
        <tr r="G2559" s="2"/>
      </tp>
    </main>
    <main first="rtdsrv_a82eb5a1fc404542a18b1336b70d2c4e">
      <tp>
        <v>5</v>
        <stp/>
        <stp>5acdb835-6cd4-41fc-bb1c-c255615316a2</stp>
        <tr r="G7529" s="2"/>
      </tp>
      <tp>
        <v>5</v>
        <stp/>
        <stp>7da2c272-8d3a-4089-af03-4dda086fe3b8</stp>
        <tr r="G9789" s="2"/>
      </tp>
    </main>
    <main first="rtdsrv_a82eb5a1fc404542a18b1336b70d2c4e">
      <tp>
        <v>5</v>
        <stp/>
        <stp>24e7f043-2afd-4084-8f8c-cb4e11532ace</stp>
        <tr r="G3382" s="2"/>
      </tp>
    </main>
    <main first="rtdsrv_a82eb5a1fc404542a18b1336b70d2c4e">
      <tp>
        <v>5</v>
        <stp/>
        <stp>e1071e7e-f72a-4867-9056-f876df413f7b</stp>
        <tr r="G6686" s="2"/>
      </tp>
      <tp>
        <v>5</v>
        <stp/>
        <stp>673b1d6c-2171-477b-bc0d-5cf679a0aaea</stp>
        <tr r="G699" s="2"/>
      </tp>
    </main>
    <main first="rtdsrv_a82eb5a1fc404542a18b1336b70d2c4e">
      <tp>
        <v>5</v>
        <stp/>
        <stp>8490b0e1-79b2-478f-82d7-b9b9b5a6a5ce</stp>
        <tr r="G6284" s="2"/>
      </tp>
      <tp>
        <v>5</v>
        <stp/>
        <stp>d9e4c3e8-4ff3-40cb-abe9-35b30099c461</stp>
        <tr r="G2503" s="2"/>
      </tp>
      <tp>
        <v>5</v>
        <stp/>
        <stp>8af688f2-6c03-4fc3-adbe-c0ecc45e02d5</stp>
        <tr r="G5878" s="2"/>
      </tp>
    </main>
    <main first="rtdsrv_a82eb5a1fc404542a18b1336b70d2c4e">
      <tp>
        <v>5</v>
        <stp/>
        <stp>cae35d25-85de-4cf0-a12a-18583815275a</stp>
        <tr r="G5787" s="2"/>
      </tp>
      <tp>
        <v>5</v>
        <stp/>
        <stp>7d2330bd-308d-4389-a8f7-a9eea1a1c8ae</stp>
        <tr r="G120" s="2"/>
      </tp>
    </main>
    <main first="rtdsrv_a82eb5a1fc404542a18b1336b70d2c4e">
      <tp>
        <v>5</v>
        <stp/>
        <stp>da76b912-6af8-4427-82b1-5536501456fc</stp>
        <tr r="G9885" s="2"/>
      </tp>
    </main>
    <main first="rtdsrv_a82eb5a1fc404542a18b1336b70d2c4e">
      <tp>
        <v>5</v>
        <stp/>
        <stp>e83a3105-04d6-4755-8a0c-085ae86434ec</stp>
        <tr r="G8830" s="2"/>
      </tp>
    </main>
    <main first="rtdsrv_a82eb5a1fc404542a18b1336b70d2c4e">
      <tp>
        <v>5</v>
        <stp/>
        <stp>59056232-dbf7-4816-bb1d-3c561708142e</stp>
        <tr r="G6509" s="2"/>
      </tp>
    </main>
    <main first="rtdsrv_a82eb5a1fc404542a18b1336b70d2c4e">
      <tp>
        <v>5</v>
        <stp/>
        <stp>29124cc2-e1e1-4a2d-bb66-26696c48c0e6</stp>
        <tr r="G4092" s="2"/>
      </tp>
    </main>
    <main first="rtdsrv_a82eb5a1fc404542a18b1336b70d2c4e">
      <tp>
        <v>5</v>
        <stp/>
        <stp>dc9744e3-9fb5-44d6-8f46-6a8212143770</stp>
        <tr r="G6202" s="2"/>
      </tp>
    </main>
    <main first="rtdsrv_a82eb5a1fc404542a18b1336b70d2c4e">
      <tp>
        <v>5</v>
        <stp/>
        <stp>e08bba51-f0a0-4e69-a536-83958789118f</stp>
        <tr r="G6176" s="2"/>
      </tp>
      <tp>
        <v>5</v>
        <stp/>
        <stp>ad6dc9cf-1e50-4af5-80a6-f03d427ba202</stp>
        <tr r="G4477" s="2"/>
      </tp>
      <tp>
        <v>5</v>
        <stp/>
        <stp>b13d29d5-e7c1-4914-93ad-82155f194d6d</stp>
        <tr r="G5092" s="2"/>
      </tp>
      <tp>
        <v>5</v>
        <stp/>
        <stp>56dcbde0-ec60-46c3-87b0-dc10c8b5c535</stp>
        <tr r="G8916" s="2"/>
      </tp>
    </main>
    <main first="rtdsrv_a82eb5a1fc404542a18b1336b70d2c4e">
      <tp>
        <v>5</v>
        <stp/>
        <stp>b775fd42-eac7-47a1-a886-97e0b7a6a7c0</stp>
        <tr r="G8604" s="2"/>
      </tp>
    </main>
    <main first="rtdsrv_a82eb5a1fc404542a18b1336b70d2c4e">
      <tp>
        <v>5</v>
        <stp/>
        <stp>24888609-26f8-4352-af98-7ed547aa5a0f</stp>
        <tr r="G614" s="2"/>
      </tp>
    </main>
    <main first="rtdsrv_a82eb5a1fc404542a18b1336b70d2c4e">
      <tp>
        <v>5</v>
        <stp/>
        <stp>8e660246-8641-4b83-b96b-ca78eb6fcad0</stp>
        <tr r="G8290" s="2"/>
      </tp>
      <tp>
        <v>5</v>
        <stp/>
        <stp>ef409528-ce92-4a07-93c7-2d6a980fe0a4</stp>
        <tr r="G4819" s="2"/>
      </tp>
      <tp>
        <v>5</v>
        <stp/>
        <stp>c436c78c-4b75-4627-b15d-f6c233312811</stp>
        <tr r="G9130" s="2"/>
      </tp>
    </main>
    <main first="rtdsrv_a82eb5a1fc404542a18b1336b70d2c4e">
      <tp>
        <v>5</v>
        <stp/>
        <stp>33793c99-6594-430b-b497-63f42b07cd6f</stp>
        <tr r="G8995" s="2"/>
      </tp>
    </main>
    <main first="rtdsrv_a82eb5a1fc404542a18b1336b70d2c4e">
      <tp>
        <v>5</v>
        <stp/>
        <stp>f0e30ccd-0567-4f02-9879-4f4e11d6496c</stp>
        <tr r="G4323" s="2"/>
      </tp>
    </main>
    <main first="rtdsrv_a82eb5a1fc404542a18b1336b70d2c4e">
      <tp>
        <v>5</v>
        <stp/>
        <stp>1eaa3ebc-9c06-4379-b308-79a0361077d4</stp>
        <tr r="G7132" s="2"/>
      </tp>
    </main>
    <main first="rtdsrv_a82eb5a1fc404542a18b1336b70d2c4e">
      <tp>
        <v>5</v>
        <stp/>
        <stp>c023692e-3996-4e53-89cc-bf01542aa041</stp>
        <tr r="G7837" s="2"/>
      </tp>
      <tp>
        <v>5</v>
        <stp/>
        <stp>248c6ca0-4d2a-4518-bdc1-6cfdf5bd8fde</stp>
        <tr r="G3852" s="2"/>
      </tp>
    </main>
    <main first="rtdsrv_a82eb5a1fc404542a18b1336b70d2c4e">
      <tp>
        <v>5</v>
        <stp/>
        <stp>36d3f06a-0825-4650-9d94-f650bd3c2e59</stp>
        <tr r="G994" s="2"/>
      </tp>
    </main>
    <main first="rtdsrv_a82eb5a1fc404542a18b1336b70d2c4e">
      <tp>
        <v>5</v>
        <stp/>
        <stp>633ac859-7c8b-4ad1-bfea-c53c3e9fa0ce</stp>
        <tr r="G9813" s="2"/>
      </tp>
      <tp>
        <v>5</v>
        <stp/>
        <stp>c33a7319-c0b9-4f69-ae5b-e013d145cf87</stp>
        <tr r="G946" s="2"/>
      </tp>
    </main>
    <main first="rtdsrv_a82eb5a1fc404542a18b1336b70d2c4e">
      <tp>
        <v>5</v>
        <stp/>
        <stp>b9ed36e9-bf2a-43d9-ac03-6b83d8f436f5</stp>
        <tr r="G7936" s="2"/>
      </tp>
      <tp>
        <v>5</v>
        <stp/>
        <stp>646bb4a8-b7da-426b-8c79-d66d981fd139</stp>
        <tr r="G2863" s="2"/>
      </tp>
    </main>
    <main first="rtdsrv_a82eb5a1fc404542a18b1336b70d2c4e">
      <tp>
        <v>5</v>
        <stp/>
        <stp>694e9790-42a7-4724-9265-b50df4c85141</stp>
        <tr r="G370" s="2"/>
      </tp>
      <tp>
        <v>5</v>
        <stp/>
        <stp>ab9c98fd-e6ad-4b15-b762-c4408a544a73</stp>
        <tr r="G1400" s="2"/>
      </tp>
    </main>
    <main first="rtdsrv_a82eb5a1fc404542a18b1336b70d2c4e">
      <tp>
        <v>5</v>
        <stp/>
        <stp>d497da8d-19f3-46bc-a2ee-e9ba06f24e4b</stp>
        <tr r="G9113" s="2"/>
      </tp>
    </main>
    <main first="rtdsrv_a82eb5a1fc404542a18b1336b70d2c4e">
      <tp>
        <v>5</v>
        <stp/>
        <stp>5ab8d906-f956-4961-af57-7459bcbcaee8</stp>
        <tr r="G6838" s="2"/>
      </tp>
      <tp>
        <v>5</v>
        <stp/>
        <stp>5b4d4434-748a-4378-ac49-72ec9374ed6c</stp>
        <tr r="G4240" s="2"/>
      </tp>
    </main>
    <main first="rtdsrv_a82eb5a1fc404542a18b1336b70d2c4e">
      <tp>
        <v>5</v>
        <stp/>
        <stp>c4248499-f080-4ca4-8124-18af857b8e7a</stp>
        <tr r="G328" s="2"/>
      </tp>
    </main>
    <main first="rtdsrv_a82eb5a1fc404542a18b1336b70d2c4e">
      <tp>
        <v>5</v>
        <stp/>
        <stp>61d94faa-5479-4a07-9131-79f59a9f6613</stp>
        <tr r="G2703" s="2"/>
      </tp>
    </main>
    <main first="rtdsrv_a82eb5a1fc404542a18b1336b70d2c4e">
      <tp>
        <v>5</v>
        <stp/>
        <stp>f78e6122-3931-42f0-adce-6512fb8ce915</stp>
        <tr r="G9139" s="2"/>
      </tp>
    </main>
    <main first="rtdsrv_a82eb5a1fc404542a18b1336b70d2c4e">
      <tp>
        <v>5</v>
        <stp/>
        <stp>8a85ab7b-4a09-4ed8-86c2-89fa1db9a968</stp>
        <tr r="G9804" s="2"/>
      </tp>
    </main>
    <main first="rtdsrv_a82eb5a1fc404542a18b1336b70d2c4e">
      <tp>
        <v>5</v>
        <stp/>
        <stp>b9a47c4b-55d3-40f9-9a8e-551a50c1ec91</stp>
        <tr r="G9200" s="2"/>
      </tp>
    </main>
    <main first="rtdsrv_a82eb5a1fc404542a18b1336b70d2c4e">
      <tp>
        <v>5</v>
        <stp/>
        <stp>ff0e28c2-df75-4d06-ad08-cf30717b6cf3</stp>
        <tr r="G4460" s="2"/>
      </tp>
    </main>
    <main first="rtdsrv_a82eb5a1fc404542a18b1336b70d2c4e">
      <tp>
        <v>5</v>
        <stp/>
        <stp>5faddd45-b444-4581-bf89-0b7c45d4b6db</stp>
        <tr r="G3980" s="2"/>
      </tp>
    </main>
    <main first="rtdsrv_a82eb5a1fc404542a18b1336b70d2c4e">
      <tp>
        <v>5</v>
        <stp/>
        <stp>86e8e107-4227-4a7e-8e99-55fbba3753d3</stp>
        <tr r="G7888" s="2"/>
      </tp>
      <tp>
        <v>5</v>
        <stp/>
        <stp>2e477f9f-0dbe-4b68-a364-ef8237861d27</stp>
        <tr r="G809" s="2"/>
      </tp>
      <tp>
        <v>5</v>
        <stp/>
        <stp>935f178b-fcfb-45d1-8c64-885293853f8e</stp>
        <tr r="G6105" s="2"/>
      </tp>
      <tp>
        <v>5</v>
        <stp/>
        <stp>ba25dad0-97a9-443c-808a-2ff15907559c</stp>
        <tr r="G2206" s="2"/>
      </tp>
      <tp>
        <v>5</v>
        <stp/>
        <stp>62755e1e-2937-4a48-9cfa-15c00c6beedf</stp>
        <tr r="G9910" s="2"/>
      </tp>
    </main>
    <main first="rtdsrv_a82eb5a1fc404542a18b1336b70d2c4e">
      <tp>
        <v>5</v>
        <stp/>
        <stp>755d6178-28c7-47bd-bf95-bbdfbbb60cf1</stp>
        <tr r="G780" s="2"/>
      </tp>
    </main>
    <main first="rtdsrv_a82eb5a1fc404542a18b1336b70d2c4e">
      <tp>
        <v>5</v>
        <stp/>
        <stp>e52db1d2-000f-489b-8a5b-b83887a92d90</stp>
        <tr r="G1534" s="2"/>
      </tp>
    </main>
    <main first="rtdsrv_a82eb5a1fc404542a18b1336b70d2c4e">
      <tp>
        <v>5</v>
        <stp/>
        <stp>fc6b678d-7a32-4db3-afb3-5946947f1702</stp>
        <tr r="G5040" s="2"/>
      </tp>
      <tp>
        <v>5</v>
        <stp/>
        <stp>1c00878d-61b6-4f7d-bc2b-79e4737aa6f5</stp>
        <tr r="G3296" s="2"/>
      </tp>
      <tp>
        <v>5</v>
        <stp/>
        <stp>5568dddf-496e-483e-9adb-0e0b995a90c6</stp>
        <tr r="G4945" s="2"/>
      </tp>
      <tp>
        <v>5</v>
        <stp/>
        <stp>41365ab8-1624-4c36-a8c9-05d0897e80b6</stp>
        <tr r="G8657" s="2"/>
      </tp>
      <tp>
        <v>5</v>
        <stp/>
        <stp>7f3a5929-ea47-41ec-b540-0f90273af450</stp>
        <tr r="G8386" s="2"/>
      </tp>
    </main>
    <main first="rtdsrv_a82eb5a1fc404542a18b1336b70d2c4e">
      <tp>
        <v>5</v>
        <stp/>
        <stp>2627c471-32c6-4379-937a-54b25bda1a88</stp>
        <tr r="G8901" s="2"/>
      </tp>
      <tp>
        <v>5</v>
        <stp/>
        <stp>9dd0c968-53c8-44c0-b01a-e58857d34c42</stp>
        <tr r="G3194" s="2"/>
      </tp>
    </main>
    <main first="rtdsrv_a82eb5a1fc404542a18b1336b70d2c4e">
      <tp>
        <v>5</v>
        <stp/>
        <stp>d8f09fd1-c26b-4588-b458-2ef548618e0a</stp>
        <tr r="G8810" s="2"/>
      </tp>
      <tp>
        <v>5</v>
        <stp/>
        <stp>d8b75c87-9798-40e2-a546-e22588b99fcd</stp>
        <tr r="G9611" s="2"/>
      </tp>
      <tp>
        <v>5</v>
        <stp/>
        <stp>25c3078a-3202-4e3a-a734-fe4ed7e619d4</stp>
        <tr r="G8721" s="2"/>
      </tp>
      <tp>
        <v>5</v>
        <stp/>
        <stp>686f2604-d77f-4c7e-9d98-3172393716e9</stp>
        <tr r="G9007" s="2"/>
      </tp>
      <tp>
        <v>5</v>
        <stp/>
        <stp>97bcdfa8-e969-4869-8458-f3d0948f5767</stp>
        <tr r="G8664" s="2"/>
      </tp>
    </main>
    <main first="rtdsrv_a82eb5a1fc404542a18b1336b70d2c4e">
      <tp>
        <v>5</v>
        <stp/>
        <stp>2a8b5133-3790-4b7c-8611-c56048d9e475</stp>
        <tr r="G9782" s="2"/>
      </tp>
      <tp>
        <v>5</v>
        <stp/>
        <stp>b46470dd-8917-486e-ad52-bb36becb8cab</stp>
        <tr r="G5249" s="2"/>
      </tp>
    </main>
    <main first="rtdsrv_a82eb5a1fc404542a18b1336b70d2c4e">
      <tp>
        <v>5</v>
        <stp/>
        <stp>9bcfc2d1-c00e-445b-8830-4fad459d497a</stp>
        <tr r="G9124" s="2"/>
      </tp>
    </main>
    <main first="rtdsrv_a82eb5a1fc404542a18b1336b70d2c4e">
      <tp>
        <v>5</v>
        <stp/>
        <stp>de0d3d66-a82d-466f-b26a-0193217ef893</stp>
        <tr r="G2370" s="2"/>
      </tp>
      <tp>
        <v>5</v>
        <stp/>
        <stp>7f06760d-0640-430a-ad88-8b25c01d8ce4</stp>
        <tr r="G567" s="2"/>
      </tp>
    </main>
    <main first="rtdsrv_a82eb5a1fc404542a18b1336b70d2c4e">
      <tp>
        <v>5</v>
        <stp/>
        <stp>624d39bf-6297-47c3-8c18-83e39abc7e39</stp>
        <tr r="G6632" s="2"/>
      </tp>
    </main>
    <main first="rtdsrv_a82eb5a1fc404542a18b1336b70d2c4e">
      <tp>
        <v>5</v>
        <stp/>
        <stp>d8852c7b-2c91-406e-9b9a-5aae486b0d3c</stp>
        <tr r="G7917" s="2"/>
      </tp>
      <tp>
        <v>5</v>
        <stp/>
        <stp>33f6680c-c80d-449f-9e79-d01e246fd59d</stp>
        <tr r="G8678" s="2"/>
      </tp>
    </main>
    <main first="rtdsrv_a82eb5a1fc404542a18b1336b70d2c4e">
      <tp>
        <v>5</v>
        <stp/>
        <stp>2fe04a26-a2d5-4c00-9fab-d1836727c9d6</stp>
        <tr r="G9404" s="2"/>
      </tp>
    </main>
    <main first="rtdsrv_a82eb5a1fc404542a18b1336b70d2c4e">
      <tp>
        <v>5</v>
        <stp/>
        <stp>53c70b7b-df88-4896-8749-b00208a12739</stp>
        <tr r="G539" s="2"/>
      </tp>
    </main>
    <main first="rtdsrv_a82eb5a1fc404542a18b1336b70d2c4e">
      <tp>
        <v>5</v>
        <stp/>
        <stp>aa0cee7f-343d-4cec-b985-933316910aef</stp>
        <tr r="G1682" s="2"/>
      </tp>
      <tp>
        <v>5</v>
        <stp/>
        <stp>705b97ff-5970-49fb-821d-7d4954da7977</stp>
        <tr r="G1217" s="2"/>
      </tp>
      <tp>
        <v>5</v>
        <stp/>
        <stp>5a440dff-88e5-4ab7-ac46-7b758a69154d</stp>
        <tr r="G5474" s="2"/>
      </tp>
    </main>
    <main first="rtdsrv_a82eb5a1fc404542a18b1336b70d2c4e">
      <tp>
        <v>5</v>
        <stp/>
        <stp>7487016c-18ae-457d-b1a6-c29bf31fb8bc</stp>
        <tr r="G1389" s="2"/>
      </tp>
    </main>
    <main first="rtdsrv_a82eb5a1fc404542a18b1336b70d2c4e">
      <tp>
        <v>5</v>
        <stp/>
        <stp>478f226d-6b64-4637-a8cf-e8cea3088d38</stp>
        <tr r="G4777" s="2"/>
      </tp>
      <tp>
        <v>5</v>
        <stp/>
        <stp>370b6838-f562-4c31-9789-1960bfe7b766</stp>
        <tr r="G5384" s="2"/>
      </tp>
    </main>
    <main first="rtdsrv_a82eb5a1fc404542a18b1336b70d2c4e">
      <tp>
        <v>5</v>
        <stp/>
        <stp>a596012b-6d19-4ba1-b25b-d9dca220b518</stp>
        <tr r="G6703" s="2"/>
      </tp>
    </main>
    <main first="rtdsrv_a82eb5a1fc404542a18b1336b70d2c4e">
      <tp>
        <v>5</v>
        <stp/>
        <stp>d493e66d-2a92-4338-b2e1-2f570a550b56</stp>
        <tr r="G5603" s="2"/>
      </tp>
    </main>
    <main first="rtdsrv_a82eb5a1fc404542a18b1336b70d2c4e">
      <tp>
        <v>5</v>
        <stp/>
        <stp>a2d17617-527d-43ef-8f8b-ad805bed9a26</stp>
        <tr r="G4280" s="2"/>
      </tp>
      <tp>
        <v>5</v>
        <stp/>
        <stp>5f4d1199-e440-4cd7-b728-04ea799f3274</stp>
        <tr r="G9639" s="2"/>
      </tp>
    </main>
    <main first="rtdsrv_a82eb5a1fc404542a18b1336b70d2c4e">
      <tp>
        <v>5</v>
        <stp/>
        <stp>662879fe-10d8-4e66-9f2b-46daa303e790</stp>
        <tr r="G3463" s="2"/>
      </tp>
    </main>
    <main first="rtdsrv_a82eb5a1fc404542a18b1336b70d2c4e">
      <tp>
        <v>5</v>
        <stp/>
        <stp>f5c6890d-d20a-43b5-b8ad-eee10f8f473e</stp>
        <tr r="G6714" s="2"/>
      </tp>
      <tp>
        <v>5</v>
        <stp/>
        <stp>fb8fdffb-93cd-4d1d-a3bd-913d5dbf7f3c</stp>
        <tr r="G5880" s="2"/>
      </tp>
    </main>
    <main first="rtdsrv_a82eb5a1fc404542a18b1336b70d2c4e">
      <tp>
        <v>5</v>
        <stp/>
        <stp>40524328-6ae3-46f4-9089-638e2196a350</stp>
        <tr r="G3900" s="2"/>
      </tp>
    </main>
    <main first="rtdsrv_a82eb5a1fc404542a18b1336b70d2c4e">
      <tp>
        <v>5</v>
        <stp/>
        <stp>4feb2526-d2ff-478a-9963-18874c161341</stp>
        <tr r="G1792" s="2"/>
      </tp>
      <tp>
        <v>5</v>
        <stp/>
        <stp>15c783fd-a694-4ee9-b4c8-12ab200fe71e</stp>
        <tr r="G5401" s="2"/>
      </tp>
    </main>
    <main first="rtdsrv_a82eb5a1fc404542a18b1336b70d2c4e">
      <tp>
        <v>5</v>
        <stp/>
        <stp>94f4f1bf-1047-446f-b683-80ae3b5b0089</stp>
        <tr r="G8840" s="2"/>
      </tp>
      <tp>
        <v>5</v>
        <stp/>
        <stp>61b74fa0-f756-4558-844e-3eb2f2972ba3</stp>
        <tr r="G5334" s="2"/>
      </tp>
      <tp>
        <v>5</v>
        <stp/>
        <stp>5d249dc3-7963-47f8-993f-9ee97004aa08</stp>
        <tr r="G5091" s="2"/>
      </tp>
    </main>
    <main first="rtdsrv_a82eb5a1fc404542a18b1336b70d2c4e">
      <tp>
        <v>5</v>
        <stp/>
        <stp>42cbc50e-d36a-4aee-af18-18359e17bb1b</stp>
        <tr r="G2347" s="2"/>
      </tp>
    </main>
    <main first="rtdsrv_a82eb5a1fc404542a18b1336b70d2c4e">
      <tp>
        <v>5</v>
        <stp/>
        <stp>623c001a-305f-45c4-bded-ff86f8d8f6a2</stp>
        <tr r="G4048" s="2"/>
      </tp>
    </main>
    <main first="rtdsrv_a82eb5a1fc404542a18b1336b70d2c4e">
      <tp>
        <v>5</v>
        <stp/>
        <stp>14d2d39b-8597-4647-916d-49a2d8129779</stp>
        <tr r="G7421" s="2"/>
      </tp>
    </main>
    <main first="rtdsrv_a82eb5a1fc404542a18b1336b70d2c4e">
      <tp>
        <v>5</v>
        <stp/>
        <stp>e8ffcb7c-f7f5-470c-be92-bb01e995c593</stp>
        <tr r="G1801" s="2"/>
      </tp>
      <tp>
        <v>5</v>
        <stp/>
        <stp>eefe1aee-5bd1-4be2-9cec-7901cad92625</stp>
        <tr r="G1486" s="2"/>
      </tp>
      <tp>
        <v>5</v>
        <stp/>
        <stp>4b7a780f-70a0-4fa7-bebd-03e7c73304ae</stp>
        <tr r="G4102" s="2"/>
      </tp>
      <tp>
        <v>5</v>
        <stp/>
        <stp>fd7bab70-9fab-42ad-8a3b-2e2d106aa5d3</stp>
        <tr r="G4158" s="2"/>
      </tp>
      <tp>
        <v>5</v>
        <stp/>
        <stp>02302f61-3741-44cd-9800-89585d599ff0</stp>
        <tr r="G1390" s="2"/>
      </tp>
      <tp>
        <v>5</v>
        <stp/>
        <stp>33f3a357-7951-4429-b209-5759f754067c</stp>
        <tr r="G2663" s="2"/>
      </tp>
      <tp>
        <v>5</v>
        <stp/>
        <stp>e6feca11-207f-4039-8dcf-eb33c30ebff7</stp>
        <tr r="G1113" s="2"/>
      </tp>
    </main>
    <main first="rtdsrv_a82eb5a1fc404542a18b1336b70d2c4e">
      <tp>
        <v>5</v>
        <stp/>
        <stp>c1427aec-270a-403d-a59f-770f7ef35e25</stp>
        <tr r="G5707" s="2"/>
      </tp>
    </main>
    <main first="rtdsrv_a82eb5a1fc404542a18b1336b70d2c4e">
      <tp>
        <v>5</v>
        <stp/>
        <stp>3057f16d-b6a4-4528-9b53-c6476a4a91b4</stp>
        <tr r="G1944" s="2"/>
      </tp>
    </main>
    <main first="rtdsrv_a82eb5a1fc404542a18b1336b70d2c4e">
      <tp>
        <v>5</v>
        <stp/>
        <stp>bf5ff63f-ae75-4d7f-8476-495a9f62d72f</stp>
        <tr r="G195" s="2"/>
      </tp>
    </main>
    <main first="rtdsrv_a82eb5a1fc404542a18b1336b70d2c4e">
      <tp>
        <v>5</v>
        <stp/>
        <stp>6b3a6a89-a30a-47b3-8f97-90fdda58018d</stp>
        <tr r="G9634" s="2"/>
      </tp>
      <tp>
        <v>5</v>
        <stp/>
        <stp>2da476e5-b2e3-46fb-aa34-bba9e36ca811</stp>
        <tr r="G6693" s="2"/>
      </tp>
    </main>
    <main first="rtdsrv_a82eb5a1fc404542a18b1336b70d2c4e">
      <tp>
        <v>5</v>
        <stp/>
        <stp>483277dc-62aa-4f0f-bb3c-a2729f0460d6</stp>
        <tr r="G2231" s="2"/>
      </tp>
      <tp>
        <v>5</v>
        <stp/>
        <stp>926a2da0-3cd6-42a6-8c9b-2cb8fdc29e20</stp>
        <tr r="G4990" s="2"/>
      </tp>
      <tp>
        <v>5</v>
        <stp/>
        <stp>cd405808-eded-45f7-86c5-6ef18c3c3ce2</stp>
        <tr r="G9822" s="2"/>
      </tp>
      <tp>
        <v>5</v>
        <stp/>
        <stp>d6104912-fd74-471b-8291-88b5cc165ac9</stp>
        <tr r="G2524" s="2"/>
      </tp>
      <tp>
        <v>5</v>
        <stp/>
        <stp>2db40990-543c-48db-9768-126ef2ec54a2</stp>
        <tr r="G6044" s="2"/>
      </tp>
    </main>
    <main first="rtdsrv_a82eb5a1fc404542a18b1336b70d2c4e">
      <tp>
        <v>5</v>
        <stp/>
        <stp>59bb4ac3-eafe-449c-81c5-c03b3551e06f</stp>
        <tr r="G3638" s="2"/>
      </tp>
    </main>
    <main first="rtdsrv_a82eb5a1fc404542a18b1336b70d2c4e">
      <tp>
        <v>5</v>
        <stp/>
        <stp>c0844cca-0d6d-4b2b-863b-1007b2014880</stp>
        <tr r="G331" s="2"/>
      </tp>
    </main>
    <main first="rtdsrv_a82eb5a1fc404542a18b1336b70d2c4e">
      <tp>
        <v>5</v>
        <stp/>
        <stp>02a30a28-ee10-4c02-9cfe-097541bd2bcf</stp>
        <tr r="G3114" s="2"/>
      </tp>
    </main>
    <main first="rtdsrv_a82eb5a1fc404542a18b1336b70d2c4e">
      <tp>
        <v>5</v>
        <stp/>
        <stp>15456a8b-a814-4c4f-9998-eb3c0ec3ae90</stp>
        <tr r="G3164" s="2"/>
      </tp>
      <tp>
        <v>5</v>
        <stp/>
        <stp>85a31d4b-7db4-4496-85ac-d90f27779707</stp>
        <tr r="G5949" s="2"/>
      </tp>
      <tp>
        <v>5</v>
        <stp/>
        <stp>39a45a48-da48-44da-aafa-1471b7d7e0c2</stp>
        <tr r="G2122" s="2"/>
      </tp>
      <tp>
        <v>5</v>
        <stp/>
        <stp>4cf25216-e0da-4d92-aed5-3859cba070c7</stp>
        <tr r="G9192" s="2"/>
      </tp>
      <tp>
        <v>5</v>
        <stp/>
        <stp>d96798ca-d4f5-44f5-b5af-69c4bb0edb23</stp>
        <tr r="G9157" s="2"/>
      </tp>
      <tp>
        <v>5</v>
        <stp/>
        <stp>59e60da5-7dbd-4727-9ac0-437d0ad8dde4</stp>
        <tr r="G4800" s="2"/>
      </tp>
      <tp>
        <v>5</v>
        <stp/>
        <stp>8c8c605c-59ef-4d62-bdda-a1d1a053e9bb</stp>
        <tr r="G8405" s="2"/>
      </tp>
    </main>
    <main first="rtdsrv_a82eb5a1fc404542a18b1336b70d2c4e">
      <tp>
        <v>5</v>
        <stp/>
        <stp>8235259a-f88c-4ada-8286-44b2a668c263</stp>
        <tr r="G3739" s="2"/>
      </tp>
      <tp>
        <v>5</v>
        <stp/>
        <stp>e3ea79c0-0059-475c-9e38-40ef018f5c5b</stp>
        <tr r="G7546" s="2"/>
      </tp>
      <tp>
        <v>5</v>
        <stp/>
        <stp>0ed2925a-9fe7-472b-8456-d72f34e6820b</stp>
        <tr r="G8848" s="2"/>
      </tp>
    </main>
    <main first="rtdsrv_a82eb5a1fc404542a18b1336b70d2c4e">
      <tp>
        <v>5</v>
        <stp/>
        <stp>b385afde-694c-47c6-84b9-8cae2dbc5899</stp>
        <tr r="G841" s="2"/>
      </tp>
    </main>
    <main first="rtdsrv_a82eb5a1fc404542a18b1336b70d2c4e">
      <tp>
        <v>5</v>
        <stp/>
        <stp>f558e064-4917-411e-8c99-9c57a4dba25d</stp>
        <tr r="G3220" s="2"/>
      </tp>
      <tp>
        <v>5</v>
        <stp/>
        <stp>25294264-cd2b-4f07-bf9e-65148ec8b201</stp>
        <tr r="G8157" s="2"/>
      </tp>
      <tp>
        <v>5</v>
        <stp/>
        <stp>be04f1a2-a20f-4b64-a35c-3a507d0159b4</stp>
        <tr r="G4762" s="2"/>
      </tp>
      <tp>
        <v>5</v>
        <stp/>
        <stp>ddfa3690-a121-4a84-8e9f-c2f8b2853617</stp>
        <tr r="G197" s="2"/>
      </tp>
    </main>
    <main first="rtdsrv_a82eb5a1fc404542a18b1336b70d2c4e">
      <tp>
        <v>5</v>
        <stp/>
        <stp>376cc047-bb93-4ce1-b02e-a9da91c98fe6</stp>
        <tr r="G7979" s="2"/>
      </tp>
      <tp>
        <v>5</v>
        <stp/>
        <stp>cc2aa9de-932e-4ddd-ab65-cc434963dc50</stp>
        <tr r="G8119" s="2"/>
      </tp>
    </main>
    <main first="rtdsrv_a82eb5a1fc404542a18b1336b70d2c4e">
      <tp>
        <v>5</v>
        <stp/>
        <stp>8d1f3803-f1cc-4224-9459-249f81a5366c</stp>
        <tr r="G6904" s="2"/>
      </tp>
    </main>
    <main first="rtdsrv_a82eb5a1fc404542a18b1336b70d2c4e">
      <tp>
        <v>5</v>
        <stp/>
        <stp>cba4aae3-9423-4bd2-b03c-d5ed967fa0f9</stp>
        <tr r="G4498" s="2"/>
      </tp>
    </main>
    <main first="rtdsrv_a82eb5a1fc404542a18b1336b70d2c4e">
      <tp>
        <v>5</v>
        <stp/>
        <stp>2a33a249-a4ff-4860-8f8b-ff10fdcda0d7</stp>
        <tr r="G2530" s="2"/>
      </tp>
    </main>
    <main first="rtdsrv_a82eb5a1fc404542a18b1336b70d2c4e">
      <tp>
        <v>5</v>
        <stp/>
        <stp>ddbb5b3b-ce45-4636-9acf-47ce36f3290f</stp>
        <tr r="G6115" s="2"/>
      </tp>
      <tp>
        <v>5</v>
        <stp/>
        <stp>948a0882-2c7e-424c-a54c-a1e3cec415af</stp>
        <tr r="G1838" s="2"/>
      </tp>
    </main>
    <main first="rtdsrv_a82eb5a1fc404542a18b1336b70d2c4e">
      <tp>
        <v>5</v>
        <stp/>
        <stp>fb432d28-9261-4d5e-a7af-13b53a1beaf3</stp>
        <tr r="G9221" s="2"/>
      </tp>
    </main>
    <main first="rtdsrv_a82eb5a1fc404542a18b1336b70d2c4e">
      <tp>
        <v>5</v>
        <stp/>
        <stp>094712d8-7920-41d5-bb68-5edf5deca675</stp>
        <tr r="G8233" s="2"/>
      </tp>
    </main>
    <main first="rtdsrv_a82eb5a1fc404542a18b1336b70d2c4e">
      <tp>
        <v>5</v>
        <stp/>
        <stp>de2b6d1c-a937-4eed-b938-a9d9a756814b</stp>
        <tr r="G2758" s="2"/>
      </tp>
      <tp>
        <v>5</v>
        <stp/>
        <stp>28161117-00d9-437f-a457-40a31a29b348</stp>
        <tr r="G3426" s="2"/>
      </tp>
    </main>
    <main first="rtdsrv_a82eb5a1fc404542a18b1336b70d2c4e">
      <tp>
        <v>5</v>
        <stp/>
        <stp>0ad41382-e196-4a28-9163-c5813a05be6b</stp>
        <tr r="G420" s="2"/>
      </tp>
      <tp>
        <v>5</v>
        <stp/>
        <stp>62c08a76-b04d-461f-acd3-2353e9a721cc</stp>
        <tr r="G4784" s="2"/>
      </tp>
    </main>
    <main first="rtdsrv_a82eb5a1fc404542a18b1336b70d2c4e">
      <tp>
        <v>5</v>
        <stp/>
        <stp>9620ae27-96b4-4ed1-aa05-aab2c63f7429</stp>
        <tr r="G2195" s="2"/>
      </tp>
    </main>
    <main first="rtdsrv_a82eb5a1fc404542a18b1336b70d2c4e">
      <tp>
        <v>5</v>
        <stp/>
        <stp>97a029c5-3c88-4b34-822a-7416baa27f04</stp>
        <tr r="G1201" s="2"/>
      </tp>
      <tp>
        <v>5</v>
        <stp/>
        <stp>6129ed2b-1fcf-4b63-aac9-392cff998c46</stp>
        <tr r="G6959" s="2"/>
      </tp>
    </main>
    <main first="rtdsrv_a82eb5a1fc404542a18b1336b70d2c4e">
      <tp>
        <v>5</v>
        <stp/>
        <stp>9a179b7c-62a2-4f6f-9a8a-775f42ebefe2</stp>
        <tr r="G7267" s="2"/>
      </tp>
      <tp>
        <v>5</v>
        <stp/>
        <stp>17f34d23-baf5-4359-84ed-2e2a7374034d</stp>
        <tr r="G1999" s="2"/>
      </tp>
    </main>
    <main first="rtdsrv_a82eb5a1fc404542a18b1336b70d2c4e">
      <tp>
        <v>5</v>
        <stp/>
        <stp>19afe03d-e58f-42b0-a9ed-b32a32c1002d</stp>
        <tr r="G7605" s="2"/>
      </tp>
      <tp>
        <v>5</v>
        <stp/>
        <stp>76aaa18d-a850-4f09-b140-c047372d6d79</stp>
        <tr r="G5441" s="2"/>
      </tp>
    </main>
    <main first="rtdsrv_a82eb5a1fc404542a18b1336b70d2c4e">
      <tp>
        <v>5</v>
        <stp/>
        <stp>df6a07a1-4b7a-410b-ad2d-45fe382030de</stp>
        <tr r="G1374" s="2"/>
      </tp>
      <tp>
        <v>5</v>
        <stp/>
        <stp>e6fc0f9b-de24-464a-a8e5-f8dfa780a725</stp>
        <tr r="G2517" s="2"/>
      </tp>
      <tp>
        <v>5</v>
        <stp/>
        <stp>d48b912f-8820-491c-b5bc-e8e8357fd9b3</stp>
        <tr r="G7274" s="2"/>
      </tp>
      <tp>
        <v>5</v>
        <stp/>
        <stp>374ead9a-b3ce-4eb0-9080-815dea9edac9</stp>
        <tr r="G162" s="2"/>
      </tp>
      <tp>
        <v>5</v>
        <stp/>
        <stp>fcd7bab7-9f34-4e9c-930b-f7a7fad706fc</stp>
        <tr r="G9511" s="2"/>
      </tp>
      <tp>
        <v>5</v>
        <stp/>
        <stp>c03592f9-db50-467e-b9a7-087807577ec6</stp>
        <tr r="G156" s="2"/>
      </tp>
    </main>
    <main first="rtdsrv_a82eb5a1fc404542a18b1336b70d2c4e">
      <tp>
        <v>5</v>
        <stp/>
        <stp>7442fdbc-54dc-43d3-be21-0fb573f21963</stp>
        <tr r="G4881" s="2"/>
      </tp>
      <tp>
        <v>5</v>
        <stp/>
        <stp>09ef0c2b-7789-43fc-9a1a-356b8131b3e4</stp>
        <tr r="G4942" s="2"/>
      </tp>
      <tp>
        <v>5</v>
        <stp/>
        <stp>55e2cedf-4bba-435f-893b-8baee873ac67</stp>
        <tr r="G2712" s="2"/>
      </tp>
    </main>
    <main first="rtdsrv_a82eb5a1fc404542a18b1336b70d2c4e">
      <tp>
        <v>5</v>
        <stp/>
        <stp>abd5c0b1-cfe7-4568-877e-2b4456b5ab27</stp>
        <tr r="G1776" s="2"/>
      </tp>
    </main>
    <main first="rtdsrv_a82eb5a1fc404542a18b1336b70d2c4e">
      <tp>
        <v>5</v>
        <stp/>
        <stp>091df6e5-936f-4ef8-9bca-d1199bba967b</stp>
        <tr r="G2331" s="2"/>
      </tp>
      <tp>
        <v>5</v>
        <stp/>
        <stp>c2a4746e-0689-4d5e-b53e-9d54251589bb</stp>
        <tr r="G1832" s="2"/>
      </tp>
    </main>
    <main first="rtdsrv_a82eb5a1fc404542a18b1336b70d2c4e">
      <tp>
        <v>5</v>
        <stp/>
        <stp>8cc11ddf-bcfe-4c6f-a4d8-a4f2eca96895</stp>
        <tr r="G8872" s="2"/>
      </tp>
    </main>
    <main first="rtdsrv_a82eb5a1fc404542a18b1336b70d2c4e">
      <tp>
        <v>5</v>
        <stp/>
        <stp>3a167620-b33d-4f7a-8f76-6110cbe6880b</stp>
        <tr r="G1308" s="2"/>
      </tp>
    </main>
    <main first="rtdsrv_a82eb5a1fc404542a18b1336b70d2c4e">
      <tp>
        <v>5</v>
        <stp/>
        <stp>3c6067a9-e1ea-4e79-830e-bf791501fcf0</stp>
        <tr r="G9143" s="2"/>
      </tp>
    </main>
    <main first="rtdsrv_a82eb5a1fc404542a18b1336b70d2c4e">
      <tp>
        <v>5</v>
        <stp/>
        <stp>cdbc6f35-1894-400d-b2b3-a990866bd27e</stp>
        <tr r="G2021" s="2"/>
      </tp>
    </main>
    <main first="rtdsrv_a82eb5a1fc404542a18b1336b70d2c4e">
      <tp>
        <v>5</v>
        <stp/>
        <stp>aaf8406f-5346-449c-95b3-74b588a4aa10</stp>
        <tr r="G2746" s="2"/>
      </tp>
      <tp>
        <v>5</v>
        <stp/>
        <stp>a655dc39-2978-4fc2-81aa-8d623a820929</stp>
        <tr r="G6378" s="2"/>
      </tp>
    </main>
    <main first="rtdsrv_a82eb5a1fc404542a18b1336b70d2c4e">
      <tp>
        <v>5</v>
        <stp/>
        <stp>895e06c5-5ab3-4a86-959b-9aaf1ec4695f</stp>
        <tr r="G5475" s="2"/>
      </tp>
    </main>
    <main first="rtdsrv_a82eb5a1fc404542a18b1336b70d2c4e">
      <tp>
        <v>5</v>
        <stp/>
        <stp>ab7dd100-f4a5-4ad4-aba6-27cef9b7fff8</stp>
        <tr r="G2411" s="2"/>
      </tp>
      <tp>
        <v>5</v>
        <stp/>
        <stp>b73b5611-4cd0-4d5e-9067-d0c20fff781f</stp>
        <tr r="G8027" s="2"/>
      </tp>
      <tp>
        <v>5</v>
        <stp/>
        <stp>d20f1e41-652c-4c95-9e42-f2f43c2f1957</stp>
        <tr r="G1002" s="2"/>
      </tp>
    </main>
    <main first="rtdsrv_a82eb5a1fc404542a18b1336b70d2c4e">
      <tp>
        <v>5</v>
        <stp/>
        <stp>5197a9be-6a58-46e9-bbba-5e0710102894</stp>
        <tr r="G6194" s="2"/>
      </tp>
      <tp>
        <v>5</v>
        <stp/>
        <stp>2ee3398b-d8f3-47aa-9853-4054f643db41</stp>
        <tr r="G2464" s="2"/>
      </tp>
    </main>
    <main first="rtdsrv_a82eb5a1fc404542a18b1336b70d2c4e">
      <tp>
        <v>5</v>
        <stp/>
        <stp>f90a18ef-b3a1-496c-82e0-597532171f35</stp>
        <tr r="G1451" s="2"/>
      </tp>
      <tp>
        <v>5</v>
        <stp/>
        <stp>4b73045a-280a-4d61-8981-61823618dbad</stp>
        <tr r="G2135" s="2"/>
      </tp>
      <tp>
        <v>5</v>
        <stp/>
        <stp>cc02b1be-11c7-45b2-b206-2b6672dee9da</stp>
        <tr r="G3349" s="2"/>
      </tp>
      <tp>
        <v>5</v>
        <stp/>
        <stp>9c2542e9-3591-473a-b6bc-c2225cd3a843</stp>
        <tr r="G4218" s="2"/>
      </tp>
    </main>
    <main first="rtdsrv_a82eb5a1fc404542a18b1336b70d2c4e">
      <tp>
        <v>5</v>
        <stp/>
        <stp>2a6eb0e9-8245-447c-a0d1-112ab1484f59</stp>
        <tr r="G8361" s="2"/>
      </tp>
      <tp>
        <v>5</v>
        <stp/>
        <stp>62f9f67b-ae94-40f8-a25f-ed19d62c5224</stp>
        <tr r="G1363" s="2"/>
      </tp>
    </main>
    <main first="rtdsrv_a82eb5a1fc404542a18b1336b70d2c4e">
      <tp>
        <v>5</v>
        <stp/>
        <stp>8706d22c-9f04-4367-b925-fdcc779c1a72</stp>
        <tr r="G5198" s="2"/>
      </tp>
    </main>
    <main first="rtdsrv_a82eb5a1fc404542a18b1336b70d2c4e">
      <tp>
        <v>5</v>
        <stp/>
        <stp>dc13c92f-e148-4da2-84a6-f5c6fd8e96cc</stp>
        <tr r="G4301" s="2"/>
      </tp>
      <tp>
        <v>5</v>
        <stp/>
        <stp>98ef6a6a-103b-4681-9505-63d47f60d781</stp>
        <tr r="G2877" s="2"/>
      </tp>
    </main>
    <main first="rtdsrv_a82eb5a1fc404542a18b1336b70d2c4e">
      <tp>
        <v>5</v>
        <stp/>
        <stp>e7bddf1b-0bf5-45fb-8133-09dca0b40283</stp>
        <tr r="G3882" s="2"/>
      </tp>
      <tp>
        <v>5</v>
        <stp/>
        <stp>254dc14c-cd86-493f-9029-594d9bdacc10</stp>
        <tr r="G737" s="2"/>
      </tp>
      <tp>
        <v>5</v>
        <stp/>
        <stp>36678c64-a8c4-46ac-879f-0572e37c2cb5</stp>
        <tr r="G2494" s="2"/>
      </tp>
    </main>
    <main first="rtdsrv_a82eb5a1fc404542a18b1336b70d2c4e">
      <tp>
        <v>5</v>
        <stp/>
        <stp>12e5ca89-a5fb-4590-9d1b-304450178832</stp>
        <tr r="G736" s="2"/>
      </tp>
    </main>
    <main first="rtdsrv_a82eb5a1fc404542a18b1336b70d2c4e">
      <tp>
        <v>5</v>
        <stp/>
        <stp>9f20cb1a-0982-4fce-8ee3-6a77a878bf5f</stp>
        <tr r="G8377" s="2"/>
      </tp>
      <tp>
        <v>5</v>
        <stp/>
        <stp>ddc68552-b3df-4c0c-b47f-28eb969d1bc8</stp>
        <tr r="G3384" s="2"/>
      </tp>
    </main>
    <main first="rtdsrv_a82eb5a1fc404542a18b1336b70d2c4e">
      <tp>
        <v>5</v>
        <stp/>
        <stp>2fc3b2f2-6d5a-41b9-ae3f-4c3a4e9e5e0d</stp>
        <tr r="G562" s="2"/>
      </tp>
    </main>
    <main first="rtdsrv_a82eb5a1fc404542a18b1336b70d2c4e">
      <tp>
        <v>5</v>
        <stp/>
        <stp>27ba6e1c-431f-4da0-bd2e-1a6ed861068c</stp>
        <tr r="G9826" s="2"/>
      </tp>
    </main>
    <main first="rtdsrv_a82eb5a1fc404542a18b1336b70d2c4e">
      <tp>
        <v>5</v>
        <stp/>
        <stp>7a6bd0a7-c690-4ec9-9820-9a871a28b2f1</stp>
        <tr r="G6088" s="2"/>
      </tp>
      <tp>
        <v>5</v>
        <stp/>
        <stp>51acda74-c9d7-44e4-a94f-f429997bf513</stp>
        <tr r="G9205" s="2"/>
      </tp>
    </main>
    <main first="rtdsrv_a82eb5a1fc404542a18b1336b70d2c4e">
      <tp>
        <v>5</v>
        <stp/>
        <stp>c7d7c5c9-b6d4-481b-a480-f606c585f249</stp>
        <tr r="G8750" s="2"/>
      </tp>
    </main>
    <main first="rtdsrv_a82eb5a1fc404542a18b1336b70d2c4e">
      <tp>
        <v>5</v>
        <stp/>
        <stp>589d9cd7-69c6-472a-81f7-f14b8d8834b6</stp>
        <tr r="G5456" s="2"/>
      </tp>
      <tp>
        <v>5</v>
        <stp/>
        <stp>a3dbc4cb-885d-4fd0-bbea-d67be127dff7</stp>
        <tr r="G5163" s="2"/>
      </tp>
      <tp>
        <v>5</v>
        <stp/>
        <stp>f6111854-89ba-4f21-86e7-831bbcdca9bd</stp>
        <tr r="G8475" s="2"/>
      </tp>
      <tp>
        <v>5</v>
        <stp/>
        <stp>3f9bb104-305d-4029-bb7d-86f4135a5d39</stp>
        <tr r="G7373" s="2"/>
      </tp>
      <tp>
        <v>5</v>
        <stp/>
        <stp>dafd55ce-1817-4e9d-9d98-03b83988b9b3</stp>
        <tr r="G8572" s="2"/>
      </tp>
      <tp>
        <v>5</v>
        <stp/>
        <stp>786a0394-ea0d-46d1-9e32-323687c7eb13</stp>
        <tr r="G9151" s="2"/>
      </tp>
    </main>
    <main first="rtdsrv_a82eb5a1fc404542a18b1336b70d2c4e">
      <tp>
        <v>5</v>
        <stp/>
        <stp>94f1ac15-a384-44fc-8075-19e54426dd86</stp>
        <tr r="G9570" s="2"/>
      </tp>
      <tp>
        <v>5</v>
        <stp/>
        <stp>678f40b2-92e5-4ac3-b9b7-db1bd4db7247</stp>
        <tr r="G6440" s="2"/>
      </tp>
    </main>
    <main first="rtdsrv_a82eb5a1fc404542a18b1336b70d2c4e">
      <tp>
        <v>5</v>
        <stp/>
        <stp>57f793d4-afd2-44ef-839e-9a97f3b1dcdd</stp>
        <tr r="G5558" s="2"/>
      </tp>
    </main>
    <main first="rtdsrv_a82eb5a1fc404542a18b1336b70d2c4e">
      <tp>
        <v>5</v>
        <stp/>
        <stp>ec645283-b7f8-4b28-86aa-fe7c035b27df</stp>
        <tr r="G6081" s="2"/>
      </tp>
    </main>
    <main first="rtdsrv_a82eb5a1fc404542a18b1336b70d2c4e">
      <tp>
        <v>5</v>
        <stp/>
        <stp>390ca938-0cdc-4494-b59e-0d8f41742c57</stp>
        <tr r="G4178" s="2"/>
      </tp>
      <tp>
        <v>5</v>
        <stp/>
        <stp>3f4b537d-3442-4d86-8486-c27d3d074593</stp>
        <tr r="G845" s="2"/>
      </tp>
    </main>
    <main first="rtdsrv_a82eb5a1fc404542a18b1336b70d2c4e">
      <tp>
        <v>5</v>
        <stp/>
        <stp>5b7b59c1-1e51-47a3-a0a8-750576d7c0be</stp>
        <tr r="G3576" s="2"/>
      </tp>
    </main>
    <main first="rtdsrv_a82eb5a1fc404542a18b1336b70d2c4e">
      <tp>
        <v>5</v>
        <stp/>
        <stp>911dc2d1-8fb7-4531-9540-be580b755292</stp>
        <tr r="G5044" s="2"/>
      </tp>
      <tp>
        <v>5</v>
        <stp/>
        <stp>b69896da-c919-42b8-93c0-e73097fcf396</stp>
        <tr r="G7337" s="2"/>
      </tp>
      <tp>
        <v>5</v>
        <stp/>
        <stp>07e60877-5c9b-4027-ab10-e55c54835649</stp>
        <tr r="G179" s="2"/>
      </tp>
      <tp>
        <v>5</v>
        <stp/>
        <stp>6b88ad44-8cdd-4fb0-b918-c461338d93a1</stp>
        <tr r="G5079" s="2"/>
      </tp>
    </main>
    <main first="rtdsrv_a82eb5a1fc404542a18b1336b70d2c4e">
      <tp>
        <v>5</v>
        <stp/>
        <stp>39eeee72-6e51-49b7-b5bb-80039bd55f89</stp>
        <tr r="G1378" s="2"/>
      </tp>
    </main>
    <main first="rtdsrv_a82eb5a1fc404542a18b1336b70d2c4e">
      <tp>
        <v>5</v>
        <stp/>
        <stp>df38776a-9012-44a5-877a-da21f5fb759c</stp>
        <tr r="G5479" s="2"/>
      </tp>
      <tp>
        <v>5</v>
        <stp/>
        <stp>29ce544e-2a39-4dda-a08f-ebd18646d99f</stp>
        <tr r="G9237" s="2"/>
      </tp>
    </main>
    <main first="rtdsrv_a82eb5a1fc404542a18b1336b70d2c4e">
      <tp>
        <v>5</v>
        <stp/>
        <stp>157a0942-7963-4d64-ac1b-b27d0bfe8e3e</stp>
        <tr r="G8270" s="2"/>
      </tp>
      <tp>
        <v>5</v>
        <stp/>
        <stp>93f3ba96-80f3-467d-94bd-e07c9d798313</stp>
        <tr r="G3182" s="2"/>
      </tp>
    </main>
    <main first="rtdsrv_a82eb5a1fc404542a18b1336b70d2c4e">
      <tp>
        <v>5</v>
        <stp/>
        <stp>dab205d9-16ce-47fa-8eed-c9dbd73a5d9e</stp>
        <tr r="G5162" s="2"/>
      </tp>
      <tp>
        <v>5</v>
        <stp/>
        <stp>d0d202d3-3989-47b9-a507-f7274fb71bdb</stp>
        <tr r="G1846" s="2"/>
      </tp>
    </main>
    <main first="rtdsrv_a82eb5a1fc404542a18b1336b70d2c4e">
      <tp>
        <v>5</v>
        <stp/>
        <stp>b33eedfe-ed82-4a8c-a084-db3f0056409a</stp>
        <tr r="G1491" s="2"/>
      </tp>
    </main>
    <main first="rtdsrv_a82eb5a1fc404542a18b1336b70d2c4e">
      <tp>
        <v>5</v>
        <stp/>
        <stp>fdc886ff-8bba-444c-8f08-efe56da2f0aa</stp>
        <tr r="G1151" s="2"/>
      </tp>
    </main>
    <main first="rtdsrv_a82eb5a1fc404542a18b1336b70d2c4e">
      <tp>
        <v>5</v>
        <stp/>
        <stp>8860ecc0-b5e9-44b2-a465-0e5465b7df95</stp>
        <tr r="G142" s="2"/>
      </tp>
      <tp>
        <v>5</v>
        <stp/>
        <stp>f6339e70-08ba-4139-805c-d779e2ea8a60</stp>
        <tr r="G5257" s="2"/>
      </tp>
    </main>
    <main first="rtdsrv_a82eb5a1fc404542a18b1336b70d2c4e">
      <tp>
        <v>5</v>
        <stp/>
        <stp>23e441d3-e14f-47cb-b8db-b08649033ca7</stp>
        <tr r="G4278" s="2"/>
      </tp>
    </main>
    <main first="rtdsrv_a82eb5a1fc404542a18b1336b70d2c4e">
      <tp>
        <v>5</v>
        <stp/>
        <stp>783803da-6934-4b4d-b80e-3d5fd5d733af</stp>
        <tr r="G4522" s="2"/>
      </tp>
      <tp>
        <v>5</v>
        <stp/>
        <stp>86b1b792-e5c1-441f-996a-c463d3460866</stp>
        <tr r="G7077" s="2"/>
      </tp>
    </main>
    <main first="rtdsrv_a82eb5a1fc404542a18b1336b70d2c4e">
      <tp>
        <v>5</v>
        <stp/>
        <stp>48c9961e-76cf-484b-a440-b18d60494eca</stp>
        <tr r="G251" s="2"/>
      </tp>
    </main>
    <main first="rtdsrv_a82eb5a1fc404542a18b1336b70d2c4e">
      <tp>
        <v>5</v>
        <stp/>
        <stp>f4596331-0083-40dc-9597-c4c206dc2d2f</stp>
        <tr r="G155" s="2"/>
      </tp>
    </main>
    <main first="rtdsrv_a82eb5a1fc404542a18b1336b70d2c4e">
      <tp>
        <v>5</v>
        <stp/>
        <stp>89c87164-c59d-42ed-8fb4-b50000a4fc12</stp>
        <tr r="G9438" s="2"/>
      </tp>
      <tp>
        <v>5</v>
        <stp/>
        <stp>5b6183c7-b7fc-4dd4-9a56-783e1bf73c5e</stp>
        <tr r="G3717" s="2"/>
      </tp>
      <tp>
        <v>5</v>
        <stp/>
        <stp>60fe7cac-348d-4cbb-ae95-30f383faf32d</stp>
        <tr r="G1705" s="2"/>
      </tp>
      <tp>
        <v>5</v>
        <stp/>
        <stp>c1a183f8-cd43-4f9d-9ee6-e96eef2a74e2</stp>
        <tr r="G7134" s="2"/>
      </tp>
      <tp>
        <v>5</v>
        <stp/>
        <stp>62c46d54-99e4-4a74-9e61-77184bbca393</stp>
        <tr r="G1502" s="2"/>
      </tp>
      <tp>
        <v>5</v>
        <stp/>
        <stp>0a63bdd3-559c-47b7-946f-2ed1bfd5195e</stp>
        <tr r="G5779" s="2"/>
      </tp>
      <tp>
        <v>5</v>
        <stp/>
        <stp>b04bd046-047d-45b1-bd74-af08b92c3b63</stp>
        <tr r="G1810" s="2"/>
      </tp>
      <tp>
        <v>5</v>
        <stp/>
        <stp>b15033c8-5861-4e8a-b109-ecdd5971d705</stp>
        <tr r="G7714" s="2"/>
      </tp>
      <tp>
        <v>5</v>
        <stp/>
        <stp>b869a1a0-d894-450e-953f-8b302b7d6091</stp>
        <tr r="G7896" s="2"/>
      </tp>
      <tp>
        <v>5</v>
        <stp/>
        <stp>d71aa41a-901d-476e-b552-ef43ae446b68</stp>
        <tr r="G6190" s="2"/>
      </tp>
    </main>
    <main first="rtdsrv_a82eb5a1fc404542a18b1336b70d2c4e">
      <tp>
        <v>5</v>
        <stp/>
        <stp>fc518abf-a8ad-4624-ba88-ea0a6cb53f02</stp>
        <tr r="G9754" s="2"/>
      </tp>
    </main>
    <main first="rtdsrv_a82eb5a1fc404542a18b1336b70d2c4e">
      <tp>
        <v>5</v>
        <stp/>
        <stp>8cfeb008-76b4-4f78-acf9-ef08a196efe0</stp>
        <tr r="G6996" s="2"/>
      </tp>
    </main>
    <main first="rtdsrv_a82eb5a1fc404542a18b1336b70d2c4e">
      <tp>
        <v>5</v>
        <stp/>
        <stp>563044ef-4b4c-4a46-a237-3b2bd8539b10</stp>
        <tr r="G8779" s="2"/>
      </tp>
      <tp>
        <v>5</v>
        <stp/>
        <stp>2cf5f9da-74b7-491a-a820-607ac03fa57e</stp>
        <tr r="G3446" s="2"/>
      </tp>
    </main>
    <main first="rtdsrv_a82eb5a1fc404542a18b1336b70d2c4e">
      <tp>
        <v>5</v>
        <stp/>
        <stp>a0785173-1b17-4a69-a64c-526585699149</stp>
        <tr r="G1927" s="2"/>
      </tp>
    </main>
    <main first="rtdsrv_a82eb5a1fc404542a18b1336b70d2c4e">
      <tp>
        <v>5</v>
        <stp/>
        <stp>1ca4fe36-61ec-468f-9cb4-68eb732db45d</stp>
        <tr r="G9010" s="2"/>
      </tp>
      <tp>
        <v>5</v>
        <stp/>
        <stp>2cdda1a4-2561-4a0f-a64f-9350e808d2f9</stp>
        <tr r="G5747" s="2"/>
      </tp>
    </main>
    <main first="rtdsrv_a82eb5a1fc404542a18b1336b70d2c4e">
      <tp>
        <v>5</v>
        <stp/>
        <stp>e5bc0d9c-dedf-48c6-9a8e-31f24b326c8c</stp>
        <tr r="G1614" s="2"/>
      </tp>
      <tp>
        <v>5</v>
        <stp/>
        <stp>5609c426-46bc-4e03-960f-9ee6f8d9dce8</stp>
        <tr r="G5007" s="2"/>
      </tp>
      <tp>
        <v>5</v>
        <stp/>
        <stp>39d325e0-8563-40eb-9d9f-1999eeda889d</stp>
        <tr r="G8483" s="2"/>
      </tp>
      <tp>
        <v>5</v>
        <stp/>
        <stp>c95c817e-ca42-44e5-b316-30d06bbb66e7</stp>
        <tr r="G1742" s="2"/>
      </tp>
      <tp>
        <v>5</v>
        <stp/>
        <stp>46287f47-63d7-4e72-9374-f86dde45f55e</stp>
        <tr r="G1627" s="2"/>
      </tp>
    </main>
    <main first="rtdsrv_a82eb5a1fc404542a18b1336b70d2c4e">
      <tp>
        <v>5</v>
        <stp/>
        <stp>cc277bdb-ccd2-46b6-b782-eee4141fc6eb</stp>
        <tr r="G2330" s="2"/>
      </tp>
    </main>
    <main first="rtdsrv_a82eb5a1fc404542a18b1336b70d2c4e">
      <tp>
        <v>5</v>
        <stp/>
        <stp>dea0e29f-ae3a-45c1-9a5f-e8888ee21d03</stp>
        <tr r="G970" s="2"/>
      </tp>
    </main>
    <main first="rtdsrv_a82eb5a1fc404542a18b1336b70d2c4e">
      <tp>
        <v>5</v>
        <stp/>
        <stp>b4f855cc-e1ad-4a9b-908f-da50775e9ce2</stp>
        <tr r="G512" s="2"/>
      </tp>
      <tp>
        <v>5</v>
        <stp/>
        <stp>0afd09a6-f9e6-4437-a279-9cc292a54d2b</stp>
        <tr r="G727" s="2"/>
      </tp>
      <tp>
        <v>5</v>
        <stp/>
        <stp>fd7bb7fa-00c3-453a-bb0d-0d6668a09ee0</stp>
        <tr r="G1553" s="2"/>
      </tp>
      <tp>
        <v>5</v>
        <stp/>
        <stp>f014b8bb-4c77-4cb5-adfb-11dfbc31a628</stp>
        <tr r="G4857" s="2"/>
      </tp>
    </main>
    <main first="rtdsrv_a82eb5a1fc404542a18b1336b70d2c4e">
      <tp>
        <v>5</v>
        <stp/>
        <stp>82664b79-5288-473b-9cdc-30450a1de9bb</stp>
        <tr r="G1136" s="2"/>
      </tp>
      <tp>
        <v>5</v>
        <stp/>
        <stp>0ccd2e88-a242-4dbb-a6bc-6695cc182957</stp>
        <tr r="G750" s="2"/>
      </tp>
    </main>
    <main first="rtdsrv_a82eb5a1fc404542a18b1336b70d2c4e">
      <tp>
        <v>5</v>
        <stp/>
        <stp>948d4984-ebb0-4027-84be-676c2e3f1d5b</stp>
        <tr r="G686" s="2"/>
      </tp>
    </main>
    <main first="rtdsrv_a82eb5a1fc404542a18b1336b70d2c4e">
      <tp>
        <v>5</v>
        <stp/>
        <stp>32b14544-3993-494e-99f9-89b20157f46c</stp>
        <tr r="G2471" s="2"/>
      </tp>
    </main>
    <main first="rtdsrv_a82eb5a1fc404542a18b1336b70d2c4e">
      <tp>
        <v>5</v>
        <stp/>
        <stp>73252de8-e563-41ab-9dd3-6a6c0f1a68f6</stp>
        <tr r="G5059" s="2"/>
      </tp>
      <tp>
        <v>5</v>
        <stp/>
        <stp>391a7e33-268d-4b9d-8670-7fb933092cf0</stp>
        <tr r="G2056" s="2"/>
      </tp>
    </main>
    <main first="rtdsrv_a82eb5a1fc404542a18b1336b70d2c4e">
      <tp>
        <v>5</v>
        <stp/>
        <stp>8eaddbf8-8a7b-4aa6-a083-f8a746b1c4fb</stp>
        <tr r="G3052" s="2"/>
      </tp>
      <tp>
        <v>5</v>
        <stp/>
        <stp>93640a73-e15f-49be-bd3b-ebce90c338b0</stp>
        <tr r="G654" s="2"/>
      </tp>
    </main>
    <main first="rtdsrv_a82eb5a1fc404542a18b1336b70d2c4e">
      <tp>
        <v>5</v>
        <stp/>
        <stp>0970b761-e1db-40b0-955b-2fd1001d4373</stp>
        <tr r="G1959" s="2"/>
      </tp>
      <tp>
        <v>5</v>
        <stp/>
        <stp>d69fde16-a24d-4b1f-9de0-019548308300</stp>
        <tr r="G333" s="2"/>
      </tp>
    </main>
    <main first="rtdsrv_a82eb5a1fc404542a18b1336b70d2c4e">
      <tp>
        <v>5</v>
        <stp/>
        <stp>6215c21c-b3b6-431f-b2c4-f9d7c4b39a15</stp>
        <tr r="G3565" s="2"/>
      </tp>
      <tp>
        <v>5</v>
        <stp/>
        <stp>502663e8-23ad-4fb1-949d-05b2e3fff440</stp>
        <tr r="G9332" s="2"/>
      </tp>
      <tp>
        <v>5</v>
        <stp/>
        <stp>36ac857e-42ba-49e6-909b-c6059f57cc32</stp>
        <tr r="G3487" s="2"/>
      </tp>
      <tp>
        <v>5</v>
        <stp/>
        <stp>a705e8b5-5d12-4af3-b0af-4c9b7d838da4</stp>
        <tr r="G6670" s="2"/>
      </tp>
    </main>
    <main first="rtdsrv_a82eb5a1fc404542a18b1336b70d2c4e">
      <tp>
        <v>5</v>
        <stp/>
        <stp>92afaf17-b3fa-4638-a44e-a344d72ac50d</stp>
        <tr r="G5185" s="2"/>
      </tp>
      <tp>
        <v>5</v>
        <stp/>
        <stp>13ba38d5-05a1-4c81-974b-667f3afbab08</stp>
        <tr r="G3591" s="2"/>
      </tp>
      <tp>
        <v>5</v>
        <stp/>
        <stp>441cbd38-8f81-419f-81ee-a179402b8a4b</stp>
        <tr r="G3981" s="2"/>
      </tp>
      <tp>
        <v>5</v>
        <stp/>
        <stp>2129b3cb-e415-42a8-8630-3d0713e46000</stp>
        <tr r="G1303" s="2"/>
      </tp>
    </main>
    <main first="rtdsrv_a82eb5a1fc404542a18b1336b70d2c4e">
      <tp>
        <v>5</v>
        <stp/>
        <stp>0e3a4a25-8714-4c4e-a4cf-01c916eeb6fb</stp>
        <tr r="G2645" s="2"/>
      </tp>
      <tp>
        <v>5</v>
        <stp/>
        <stp>df2b6830-1042-4e45-8db4-52c460b7e14a</stp>
        <tr r="G9626" s="2"/>
      </tp>
      <tp>
        <v>5</v>
        <stp/>
        <stp>744ef8ed-db99-42ce-abeb-90313615dec6</stp>
        <tr r="G6908" s="2"/>
      </tp>
    </main>
    <main first="rtdsrv_a82eb5a1fc404542a18b1336b70d2c4e">
      <tp>
        <v>5</v>
        <stp/>
        <stp>c0507bed-1dc5-4af3-93e3-ed1a2cf899a4</stp>
        <tr r="G2565" s="2"/>
      </tp>
    </main>
    <main first="rtdsrv_a82eb5a1fc404542a18b1336b70d2c4e">
      <tp>
        <v>5</v>
        <stp/>
        <stp>2c47a9a6-9190-46aa-a7bc-d77d9d35c827</stp>
        <tr r="G347" s="2"/>
      </tp>
    </main>
    <main first="rtdsrv_a82eb5a1fc404542a18b1336b70d2c4e">
      <tp>
        <v>5</v>
        <stp/>
        <stp>9e255978-5428-406f-8f34-f3b7a5a28179</stp>
        <tr r="G2227" s="2"/>
      </tp>
    </main>
    <main first="rtdsrv_a82eb5a1fc404542a18b1336b70d2c4e">
      <tp>
        <v>5</v>
        <stp/>
        <stp>c2fbd62c-9def-4fa9-85f1-a5256e6a4949</stp>
        <tr r="G6797" s="2"/>
      </tp>
      <tp>
        <v>5</v>
        <stp/>
        <stp>3a07fc12-9dbc-4f4b-8c7c-c2b99bc2156e</stp>
        <tr r="G8343" s="2"/>
      </tp>
    </main>
    <main first="rtdsrv_a82eb5a1fc404542a18b1336b70d2c4e">
      <tp>
        <v>5</v>
        <stp/>
        <stp>dfedf8d2-2db5-48e5-96a6-bc525baee260</stp>
        <tr r="G2631" s="2"/>
      </tp>
      <tp>
        <v>5</v>
        <stp/>
        <stp>e737390c-5017-4958-be18-b86c5699b756</stp>
        <tr r="G8284" s="2"/>
      </tp>
    </main>
    <main first="rtdsrv_a82eb5a1fc404542a18b1336b70d2c4e">
      <tp>
        <v>5</v>
        <stp/>
        <stp>241edc10-8630-41e5-93b4-793732533853</stp>
        <tr r="G4458" s="2"/>
      </tp>
      <tp>
        <v>5</v>
        <stp/>
        <stp>c98c6d63-c06f-4b2d-86f5-8f4faa703090</stp>
        <tr r="G9705" s="2"/>
      </tp>
      <tp>
        <v>5</v>
        <stp/>
        <stp>9f295d36-8bb3-482a-aa08-e49c161aeba6</stp>
        <tr r="G6801" s="2"/>
      </tp>
      <tp>
        <v>5</v>
        <stp/>
        <stp>b3b0ad16-2191-4c45-9b5a-cf0d10803890</stp>
        <tr r="G3867" s="2"/>
      </tp>
      <tp>
        <v>5</v>
        <stp/>
        <stp>2b3cbcab-3aef-4583-89bc-a4484de4783f</stp>
        <tr r="G9073" s="2"/>
      </tp>
      <tp>
        <v>5</v>
        <stp/>
        <stp>8d6fcde7-983e-49d9-b711-18cdcd2e7f94</stp>
        <tr r="G2616" s="2"/>
      </tp>
    </main>
    <main first="rtdsrv_a82eb5a1fc404542a18b1336b70d2c4e">
      <tp>
        <v>5</v>
        <stp/>
        <stp>8e26f5d9-ac88-41ee-8687-5f02b9f2a8f4</stp>
        <tr r="G1562" s="2"/>
      </tp>
      <tp>
        <v>5</v>
        <stp/>
        <stp>721f0e59-b811-420e-be18-dfe005a40920</stp>
        <tr r="G2237" s="2"/>
      </tp>
      <tp>
        <v>5</v>
        <stp/>
        <stp>068a6a5c-324c-4c6c-945e-1e91684cbde5</stp>
        <tr r="G7446" s="2"/>
      </tp>
    </main>
    <main first="rtdsrv_a82eb5a1fc404542a18b1336b70d2c4e">
      <tp>
        <v>5</v>
        <stp/>
        <stp>9933e243-d57d-4b69-b3e2-99e074fa3517</stp>
        <tr r="G8458" s="2"/>
      </tp>
    </main>
    <main first="rtdsrv_a82eb5a1fc404542a18b1336b70d2c4e">
      <tp>
        <v>5</v>
        <stp/>
        <stp>b59bf5d2-840d-4461-a267-41d2828b571a</stp>
        <tr r="G4859" s="2"/>
      </tp>
      <tp>
        <v>5</v>
        <stp/>
        <stp>38ffe2f5-14c5-48df-837f-2b91e0afd39a</stp>
        <tr r="G6550" s="2"/>
      </tp>
    </main>
    <main first="rtdsrv_a82eb5a1fc404542a18b1336b70d2c4e">
      <tp>
        <v>5</v>
        <stp/>
        <stp>9ed24fa5-298e-483e-abb7-645a609ef946</stp>
        <tr r="G7345" s="2"/>
      </tp>
      <tp>
        <v>5</v>
        <stp/>
        <stp>d8496893-67ef-4c3d-8e90-39391a28a88a</stp>
        <tr r="G5223" s="2"/>
      </tp>
    </main>
    <main first="rtdsrv_a82eb5a1fc404542a18b1336b70d2c4e">
      <tp>
        <v>5</v>
        <stp/>
        <stp>29adb1a8-a41d-4c57-83fc-cf5f04742af3</stp>
        <tr r="G8402" s="2"/>
      </tp>
      <tp>
        <v>5</v>
        <stp/>
        <stp>d53eb8dc-43a1-47f5-a0fa-6332cf76f42f</stp>
        <tr r="G6351" s="2"/>
      </tp>
    </main>
    <main first="rtdsrv_a82eb5a1fc404542a18b1336b70d2c4e">
      <tp>
        <v>5</v>
        <stp/>
        <stp>f63b5c10-5167-43a6-b411-48ce0a5b3587</stp>
        <tr r="G8603" s="2"/>
      </tp>
      <tp>
        <v>5</v>
        <stp/>
        <stp>339cd1cc-e7c1-43ed-888b-81b56219030a</stp>
        <tr r="G6643" s="2"/>
      </tp>
    </main>
    <main first="rtdsrv_a82eb5a1fc404542a18b1336b70d2c4e">
      <tp>
        <v>5</v>
        <stp/>
        <stp>9bc57983-230c-4f2f-9e76-a26da514b459</stp>
        <tr r="G9212" s="2"/>
      </tp>
    </main>
    <main first="rtdsrv_a82eb5a1fc404542a18b1336b70d2c4e">
      <tp>
        <v>5</v>
        <stp/>
        <stp>e94cbcc8-fa28-4423-b19e-b84e379d9221</stp>
        <tr r="G668" s="2"/>
      </tp>
      <tp>
        <v>5</v>
        <stp/>
        <stp>25488bb7-e26c-4d67-ab9a-8360a3f08793</stp>
        <tr r="G6116" s="2"/>
      </tp>
    </main>
    <main first="rtdsrv_a82eb5a1fc404542a18b1336b70d2c4e">
      <tp>
        <v>5</v>
        <stp/>
        <stp>e59b3c85-43ce-4f9f-93d9-59b85c1e414b</stp>
        <tr r="G411" s="2"/>
      </tp>
    </main>
    <main first="rtdsrv_a82eb5a1fc404542a18b1336b70d2c4e">
      <tp>
        <v>5</v>
        <stp/>
        <stp>0f6c7549-ea87-402d-a5e4-6380c933860b</stp>
        <tr r="G8782" s="2"/>
      </tp>
      <tp>
        <v>5</v>
        <stp/>
        <stp>b8f00825-417e-4f03-9f62-268945f4e9e2</stp>
        <tr r="G7315" s="2"/>
      </tp>
    </main>
    <main first="rtdsrv_a82eb5a1fc404542a18b1336b70d2c4e">
      <tp>
        <v>5</v>
        <stp/>
        <stp>887694da-9986-4f52-8f92-2c3c9566ac18</stp>
        <tr r="G1508" s="2"/>
      </tp>
    </main>
    <main first="rtdsrv_a82eb5a1fc404542a18b1336b70d2c4e">
      <tp>
        <v>5</v>
        <stp/>
        <stp>59d4ee7a-080f-4917-bb04-9eaa24dbc16d</stp>
        <tr r="G7007" s="2"/>
      </tp>
    </main>
    <main first="rtdsrv_a82eb5a1fc404542a18b1336b70d2c4e">
      <tp>
        <v>5</v>
        <stp/>
        <stp>1db9ffa3-ff43-4d99-93d8-e80b52270822</stp>
        <tr r="G9348" s="2"/>
      </tp>
      <tp>
        <v>5</v>
        <stp/>
        <stp>13d99d3b-17f9-419b-bd14-e259a983854f</stp>
        <tr r="G5438" s="2"/>
      </tp>
    </main>
    <main first="rtdsrv_a82eb5a1fc404542a18b1336b70d2c4e">
      <tp>
        <v>5</v>
        <stp/>
        <stp>19ae1670-f40a-4474-9eaf-c58b937941f0</stp>
        <tr r="G2437" s="2"/>
      </tp>
      <tp>
        <v>5</v>
        <stp/>
        <stp>b5f81d55-762a-42e2-a398-e623bc5ac372</stp>
        <tr r="G4871" s="2"/>
      </tp>
    </main>
    <main first="rtdsrv_a82eb5a1fc404542a18b1336b70d2c4e">
      <tp>
        <v>5</v>
        <stp/>
        <stp>ac692288-fd94-4492-ad8b-d6f60f05af3a</stp>
        <tr r="G8616" s="2"/>
      </tp>
      <tp>
        <v>5</v>
        <stp/>
        <stp>fd60009e-cc2f-4e04-9c26-fc608a628871</stp>
        <tr r="G3408" s="2"/>
      </tp>
    </main>
    <main first="rtdsrv_a82eb5a1fc404542a18b1336b70d2c4e">
      <tp>
        <v>5</v>
        <stp/>
        <stp>75184a20-84b0-4ecf-9365-6a8baac26746</stp>
        <tr r="G2112" s="2"/>
      </tp>
    </main>
    <main first="rtdsrv_a82eb5a1fc404542a18b1336b70d2c4e">
      <tp>
        <v>5</v>
        <stp/>
        <stp>5290e891-78d7-438c-bc9f-ea3b54f009ea</stp>
        <tr r="G6638" s="2"/>
      </tp>
      <tp>
        <v>5</v>
        <stp/>
        <stp>c6bf7475-87a4-4183-890b-f40df08076fc</stp>
        <tr r="G8715" s="2"/>
      </tp>
      <tp>
        <v>5</v>
        <stp/>
        <stp>0486f6d8-c60e-4026-a65d-fcf3285c3231</stp>
        <tr r="G9820" s="2"/>
      </tp>
    </main>
    <main first="rtdsrv_a82eb5a1fc404542a18b1336b70d2c4e">
      <tp>
        <v>5</v>
        <stp/>
        <stp>68d08d63-3ef0-4011-9bf4-37a7c341e78a</stp>
        <tr r="G9881" s="2"/>
      </tp>
    </main>
    <main first="rtdsrv_a82eb5a1fc404542a18b1336b70d2c4e">
      <tp>
        <v>5</v>
        <stp/>
        <stp>16a94df4-242e-46f1-8043-b3e18833ae8e</stp>
        <tr r="G4977" s="2"/>
      </tp>
      <tp>
        <v>5</v>
        <stp/>
        <stp>7acd6067-2917-471a-bc86-231c72515005</stp>
        <tr r="G7841" s="2"/>
      </tp>
    </main>
    <main first="rtdsrv_a82eb5a1fc404542a18b1336b70d2c4e">
      <tp>
        <v>5</v>
        <stp/>
        <stp>53379555-856f-485f-9910-434f75884da8</stp>
        <tr r="G6751" s="2"/>
      </tp>
      <tp>
        <v>5</v>
        <stp/>
        <stp>156f4785-81b2-422b-9e3b-57b61e4db2e4</stp>
        <tr r="G2480" s="2"/>
      </tp>
    </main>
    <main first="rtdsrv_a82eb5a1fc404542a18b1336b70d2c4e">
      <tp>
        <v>5</v>
        <stp/>
        <stp>22428818-d688-46c2-9272-42a70b66108f</stp>
        <tr r="G6702" s="2"/>
      </tp>
    </main>
    <main first="rtdsrv_a82eb5a1fc404542a18b1336b70d2c4e">
      <tp>
        <v>5</v>
        <stp/>
        <stp>c431119b-1ae7-44a5-9d16-833cb1366935</stp>
        <tr r="G8979" s="2"/>
      </tp>
      <tp>
        <v>5</v>
        <stp/>
        <stp>2907185e-979d-4b78-9609-82fb50fcf9d5</stp>
        <tr r="G8511" s="2"/>
      </tp>
    </main>
    <main first="rtdsrv_a82eb5a1fc404542a18b1336b70d2c4e">
      <tp>
        <v>5</v>
        <stp/>
        <stp>cf17b5b8-289e-49e0-ba34-a81a6f743760</stp>
        <tr r="G5572" s="2"/>
      </tp>
    </main>
    <main first="rtdsrv_a82eb5a1fc404542a18b1336b70d2c4e">
      <tp>
        <v>5</v>
        <stp/>
        <stp>b94c2337-e486-445f-9728-fedba4175a1d</stp>
        <tr r="G2035" s="2"/>
      </tp>
    </main>
    <main first="rtdsrv_a82eb5a1fc404542a18b1336b70d2c4e">
      <tp>
        <v>5</v>
        <stp/>
        <stp>f639e2d5-d7a5-4041-b93c-3d846552a8ae</stp>
        <tr r="G4049" s="2"/>
      </tp>
    </main>
    <main first="rtdsrv_a82eb5a1fc404542a18b1336b70d2c4e">
      <tp>
        <v>5</v>
        <stp/>
        <stp>2f9c88ad-6c2a-4b84-a322-554945cafe16</stp>
        <tr r="G3112" s="2"/>
      </tp>
    </main>
    <main first="rtdsrv_a82eb5a1fc404542a18b1336b70d2c4e">
      <tp>
        <v>5</v>
        <stp/>
        <stp>4d45a787-ea4b-4729-8c7f-d0a9d2649141</stp>
        <tr r="G1366" s="2"/>
      </tp>
    </main>
    <main first="rtdsrv_a82eb5a1fc404542a18b1336b70d2c4e">
      <tp>
        <v>5</v>
        <stp/>
        <stp>6cbdf8eb-3e36-48d5-91d9-d7c8533316c1</stp>
        <tr r="G7289" s="2"/>
      </tp>
    </main>
    <main first="rtdsrv_a82eb5a1fc404542a18b1336b70d2c4e">
      <tp>
        <v>5</v>
        <stp/>
        <stp>7f984173-14cc-4020-b6e4-7244e31f19ca</stp>
        <tr r="G2087" s="2"/>
      </tp>
    </main>
    <main first="rtdsrv_a82eb5a1fc404542a18b1336b70d2c4e">
      <tp>
        <v>5</v>
        <stp/>
        <stp>3080ab10-6df0-4d19-ac37-737e9e6aa330</stp>
        <tr r="G8035" s="2"/>
      </tp>
    </main>
    <main first="rtdsrv_a82eb5a1fc404542a18b1336b70d2c4e">
      <tp>
        <v>5</v>
        <stp/>
        <stp>8c554375-e121-45e8-ae0a-91a1308f07cb</stp>
        <tr r="G606" s="2"/>
      </tp>
      <tp>
        <v>5</v>
        <stp/>
        <stp>eb18f6bb-75e0-41a0-8377-e983d0992f8a</stp>
        <tr r="G5797" s="2"/>
      </tp>
    </main>
    <main first="rtdsrv_a82eb5a1fc404542a18b1336b70d2c4e">
      <tp>
        <v>5</v>
        <stp/>
        <stp>3ed4f8b5-4ccb-4e90-8b6a-e3b53e67e298</stp>
        <tr r="G4772" s="2"/>
      </tp>
    </main>
    <main first="rtdsrv_a82eb5a1fc404542a18b1336b70d2c4e">
      <tp>
        <v>5</v>
        <stp/>
        <stp>e5af8a05-445d-4730-9dfc-99b89e5d7a84</stp>
        <tr r="G8439" s="2"/>
      </tp>
    </main>
    <main first="rtdsrv_a82eb5a1fc404542a18b1336b70d2c4e">
      <tp>
        <v>5</v>
        <stp/>
        <stp>d1663133-5f3a-4908-a44d-d59e94dff33e</stp>
        <tr r="G8153" s="2"/>
      </tp>
      <tp>
        <v>5</v>
        <stp/>
        <stp>9a05cfa8-884e-46dc-aa3d-9bbea615c077</stp>
        <tr r="G2949" s="2"/>
      </tp>
    </main>
    <main first="rtdsrv_a82eb5a1fc404542a18b1336b70d2c4e">
      <tp>
        <v>5</v>
        <stp/>
        <stp>088f1351-1d6f-4566-8322-2c45f2252d40</stp>
        <tr r="G489" s="2"/>
      </tp>
    </main>
    <main first="rtdsrv_a82eb5a1fc404542a18b1336b70d2c4e">
      <tp>
        <v>5</v>
        <stp/>
        <stp>7f5869e4-99d8-4563-a336-ba1b287da40d</stp>
        <tr r="G9326" s="2"/>
      </tp>
    </main>
    <main first="rtdsrv_a82eb5a1fc404542a18b1336b70d2c4e">
      <tp>
        <v>5</v>
        <stp/>
        <stp>fe095966-3806-4271-b9f7-43cd5a604a5c</stp>
        <tr r="G2148" s="2"/>
      </tp>
      <tp>
        <v>5</v>
        <stp/>
        <stp>fcbfc75a-8f45-48fa-9bd5-4b541a9d1abf</stp>
        <tr r="G9052" s="2"/>
      </tp>
      <tp>
        <v>5</v>
        <stp/>
        <stp>4954d594-5aee-45f7-92f8-67fccfa8c284</stp>
        <tr r="G1211" s="2"/>
      </tp>
    </main>
    <main first="rtdsrv_a82eb5a1fc404542a18b1336b70d2c4e">
      <tp>
        <v>5</v>
        <stp/>
        <stp>bd3187c4-0a6d-4349-bff7-f05146a5018d</stp>
        <tr r="G5854" s="2"/>
      </tp>
    </main>
    <main first="rtdsrv_a82eb5a1fc404542a18b1336b70d2c4e">
      <tp>
        <v>5</v>
        <stp/>
        <stp>e39752f9-2f80-426f-87de-587e26c424ba</stp>
        <tr r="G5843" s="2"/>
      </tp>
      <tp>
        <v>5</v>
        <stp/>
        <stp>0ee58510-ae12-4ddf-9988-c665e77a0eb3</stp>
        <tr r="G503" s="2"/>
      </tp>
      <tp>
        <v>5</v>
        <stp/>
        <stp>ff1ff957-b4e0-4875-bb94-0f3d2d9cd8da</stp>
        <tr r="G9304" s="2"/>
      </tp>
    </main>
    <main first="rtdsrv_a82eb5a1fc404542a18b1336b70d2c4e">
      <tp>
        <v>5</v>
        <stp/>
        <stp>e6e6a19d-5b5c-435e-bb80-56d10e35973b</stp>
        <tr r="G6280" s="2"/>
      </tp>
    </main>
    <main first="rtdsrv_a82eb5a1fc404542a18b1336b70d2c4e">
      <tp>
        <v>5</v>
        <stp/>
        <stp>752c2d3d-199b-46be-b906-58badc106e7a</stp>
        <tr r="G6677" s="2"/>
      </tp>
      <tp>
        <v>5</v>
        <stp/>
        <stp>8dfbe5bd-7b20-478f-8399-831a61004040</stp>
        <tr r="G108" s="2"/>
      </tp>
    </main>
    <main first="rtdsrv_a82eb5a1fc404542a18b1336b70d2c4e">
      <tp>
        <v>5</v>
        <stp/>
        <stp>2cc69531-610c-4be1-a37e-adecc89f9132</stp>
        <tr r="G6646" s="2"/>
      </tp>
    </main>
    <main first="rtdsrv_a82eb5a1fc404542a18b1336b70d2c4e">
      <tp>
        <v>5</v>
        <stp/>
        <stp>2ef48024-95cf-432a-85b5-4d2acf5fbf86</stp>
        <tr r="G2289" s="2"/>
      </tp>
      <tp>
        <v>5</v>
        <stp/>
        <stp>ca87dd93-dac6-4be2-bbd4-3a891e5d682c</stp>
        <tr r="G8052" s="2"/>
      </tp>
    </main>
    <main first="rtdsrv_a82eb5a1fc404542a18b1336b70d2c4e">
      <tp>
        <v>5</v>
        <stp/>
        <stp>a3d58f51-6dd2-418a-b57c-866148584019</stp>
        <tr r="G1019" s="2"/>
      </tp>
    </main>
    <main first="rtdsrv_a82eb5a1fc404542a18b1336b70d2c4e">
      <tp>
        <v>5</v>
        <stp/>
        <stp>8ecfd7d2-abc6-41fd-9a85-a840ad50a850</stp>
        <tr r="G2902" s="2"/>
      </tp>
      <tp>
        <v>5</v>
        <stp/>
        <stp>30a29103-4b25-40e9-bba2-23b9beea00b3</stp>
        <tr r="G6524" s="2"/>
      </tp>
      <tp>
        <v>5</v>
        <stp/>
        <stp>ea8698a6-b305-4153-83f9-7bae540d53f3</stp>
        <tr r="G1865" s="2"/>
      </tp>
      <tp>
        <v>5</v>
        <stp/>
        <stp>e1c1201f-f5e9-4c21-91b4-61b917dc4919</stp>
        <tr r="G5644" s="2"/>
      </tp>
      <tp>
        <v>5</v>
        <stp/>
        <stp>ef824617-f07c-4444-9e8b-0752f098663a</stp>
        <tr r="G3826" s="2"/>
      </tp>
      <tp>
        <v>5</v>
        <stp/>
        <stp>1df235c8-645b-4708-a867-e3775ac8a063</stp>
        <tr r="G7539" s="2"/>
      </tp>
    </main>
    <main first="rtdsrv_a82eb5a1fc404542a18b1336b70d2c4e">
      <tp>
        <v>5</v>
        <stp/>
        <stp>bc3a98e2-f3d3-4d6e-aabf-1537af759bb7</stp>
        <tr r="G9407" s="2"/>
      </tp>
    </main>
    <main first="rtdsrv_a82eb5a1fc404542a18b1336b70d2c4e">
      <tp>
        <v>5</v>
        <stp/>
        <stp>b5d213bb-5ee5-4f16-aa9e-30bd3d854c9a</stp>
        <tr r="G5974" s="2"/>
      </tp>
      <tp>
        <v>5</v>
        <stp/>
        <stp>381ffdad-47fb-49ec-bb6d-e0adf618306a</stp>
        <tr r="G382" s="2"/>
      </tp>
      <tp>
        <v>5</v>
        <stp/>
        <stp>47f8652a-6a7d-4bfd-8587-a4dff57d5b44</stp>
        <tr r="G2273" s="2"/>
      </tp>
      <tp>
        <v>5</v>
        <stp/>
        <stp>406743dc-acb9-48e1-97ab-8f7a29537f4f</stp>
        <tr r="G691" s="2"/>
      </tp>
    </main>
    <main first="rtdsrv_a82eb5a1fc404542a18b1336b70d2c4e">
      <tp>
        <v>5</v>
        <stp/>
        <stp>1726fec7-24ff-4a08-90eb-c56ba72e64f1</stp>
        <tr r="G1441" s="2"/>
      </tp>
    </main>
    <main first="rtdsrv_a82eb5a1fc404542a18b1336b70d2c4e">
      <tp>
        <v>5</v>
        <stp/>
        <stp>262d294d-650a-4972-8650-eb3caabf067b</stp>
        <tr r="G3821" s="2"/>
      </tp>
    </main>
    <main first="rtdsrv_a82eb5a1fc404542a18b1336b70d2c4e">
      <tp>
        <v>5</v>
        <stp/>
        <stp>6ba7e348-4a60-4da8-9cb1-a2cffce3fefc</stp>
        <tr r="G949" s="2"/>
      </tp>
    </main>
    <main first="rtdsrv_a82eb5a1fc404542a18b1336b70d2c4e">
      <tp>
        <v>5</v>
        <stp/>
        <stp>ebdb14ad-1bcd-4628-8a5f-60e842b81cc1</stp>
        <tr r="G8364" s="2"/>
      </tp>
      <tp>
        <v>5</v>
        <stp/>
        <stp>062ade4d-81ef-4271-b9c8-820099c8599b</stp>
        <tr r="G5301" s="2"/>
      </tp>
    </main>
    <main first="rtdsrv_a82eb5a1fc404542a18b1336b70d2c4e">
      <tp>
        <v>5</v>
        <stp/>
        <stp>4a565e63-3d35-42e4-a57b-b36bb40d68ee</stp>
        <tr r="G9274" s="2"/>
      </tp>
      <tp>
        <v>5</v>
        <stp/>
        <stp>589ff622-a618-4caf-ae6b-9721f422d79d</stp>
        <tr r="G6231" s="2"/>
      </tp>
    </main>
    <main first="rtdsrv_a82eb5a1fc404542a18b1336b70d2c4e">
      <tp>
        <v>5</v>
        <stp/>
        <stp>a1c08cd0-c49f-4037-943d-31cb163b99a2</stp>
        <tr r="G84" s="2"/>
      </tp>
    </main>
    <main first="rtdsrv_a82eb5a1fc404542a18b1336b70d2c4e">
      <tp>
        <v>5</v>
        <stp/>
        <stp>597b212f-b9ec-407d-a0e0-6c682e82afd7</stp>
        <tr r="G9047" s="2"/>
      </tp>
    </main>
    <main first="rtdsrv_a82eb5a1fc404542a18b1336b70d2c4e">
      <tp>
        <v>5</v>
        <stp/>
        <stp>9cbd5cf0-d631-4138-b560-a13205161ef9</stp>
        <tr r="G1255" s="2"/>
      </tp>
    </main>
    <main first="rtdsrv_a82eb5a1fc404542a18b1336b70d2c4e">
      <tp>
        <v>5</v>
        <stp/>
        <stp>a87f0c29-e5a4-4f7b-8448-60f8b28b9a03</stp>
        <tr r="G1596" s="2"/>
      </tp>
    </main>
    <main first="rtdsrv_a82eb5a1fc404542a18b1336b70d2c4e">
      <tp>
        <v>5</v>
        <stp/>
        <stp>24b3d0d0-3d46-4218-85a3-ca034e098a7a</stp>
        <tr r="G3309" s="2"/>
      </tp>
    </main>
    <main first="rtdsrv_a82eb5a1fc404542a18b1336b70d2c4e">
      <tp>
        <v>5</v>
        <stp/>
        <stp>77a4523d-13be-4261-a4bd-d85700d60d27</stp>
        <tr r="G4348" s="2"/>
      </tp>
      <tp>
        <v>5</v>
        <stp/>
        <stp>c35899a1-43ba-49ad-a2ce-8a58bb5881dc</stp>
        <tr r="G6921" s="2"/>
      </tp>
    </main>
    <main first="rtdsrv_a82eb5a1fc404542a18b1336b70d2c4e">
      <tp>
        <v>5</v>
        <stp/>
        <stp>19ae0d05-1fd4-41af-971b-a166d44b9519</stp>
        <tr r="G2513" s="2"/>
      </tp>
    </main>
    <main first="rtdsrv_a82eb5a1fc404542a18b1336b70d2c4e">
      <tp>
        <v>5</v>
        <stp/>
        <stp>6e2bc1e8-f285-4b1a-8431-28611b53711f</stp>
        <tr r="G6813" s="2"/>
      </tp>
      <tp>
        <v>5</v>
        <stp/>
        <stp>3676b480-da97-4d40-8f6b-00e29b657998</stp>
        <tr r="G1992" s="2"/>
      </tp>
    </main>
    <main first="rtdsrv_a82eb5a1fc404542a18b1336b70d2c4e">
      <tp>
        <v>5</v>
        <stp/>
        <stp>e1885be4-ff11-42a1-a40e-5c39de96c93b</stp>
        <tr r="G4716" s="2"/>
      </tp>
      <tp>
        <v>5</v>
        <stp/>
        <stp>dfb8e7e8-3073-4b28-b6df-d41e09bb08e8</stp>
        <tr r="G1157" s="2"/>
      </tp>
    </main>
    <main first="rtdsrv_a82eb5a1fc404542a18b1336b70d2c4e">
      <tp>
        <v>5</v>
        <stp/>
        <stp>5a741342-2bd3-4913-8b23-80452b3cb82c</stp>
        <tr r="G3102" s="2"/>
      </tp>
    </main>
    <main first="rtdsrv_a82eb5a1fc404542a18b1336b70d2c4e">
      <tp>
        <v>5</v>
        <stp/>
        <stp>6635fe8c-99ba-4bd8-94f4-c23388fe554c</stp>
        <tr r="G4833" s="2"/>
      </tp>
    </main>
    <main first="rtdsrv_a82eb5a1fc404542a18b1336b70d2c4e">
      <tp>
        <v>5</v>
        <stp/>
        <stp>a352c2de-3845-4460-9e45-2106258a1948</stp>
        <tr r="G8820" s="2"/>
      </tp>
      <tp>
        <v>5</v>
        <stp/>
        <stp>8327c74b-1405-48a2-9dfd-7adb13b62802</stp>
        <tr r="G9185" s="2"/>
      </tp>
      <tp>
        <v>5</v>
        <stp/>
        <stp>95bd9876-46f7-4be5-b10b-51148cf20e60</stp>
        <tr r="G3373" s="2"/>
      </tp>
    </main>
    <main first="rtdsrv_a82eb5a1fc404542a18b1336b70d2c4e">
      <tp>
        <v>5</v>
        <stp/>
        <stp>e234978c-792a-4269-b79e-23da736fe9e9</stp>
        <tr r="G7034" s="2"/>
      </tp>
    </main>
    <main first="rtdsrv_a82eb5a1fc404542a18b1336b70d2c4e">
      <tp>
        <v>5</v>
        <stp/>
        <stp>4341ecba-56c6-4548-b8b9-25be75ca1484</stp>
        <tr r="G7832" s="2"/>
      </tp>
    </main>
    <main first="rtdsrv_a82eb5a1fc404542a18b1336b70d2c4e">
      <tp>
        <v>5</v>
        <stp/>
        <stp>6ff9cfbd-9baf-4538-9791-e79e779fe37d</stp>
        <tr r="G4855" s="2"/>
      </tp>
    </main>
    <main first="rtdsrv_a82eb5a1fc404542a18b1336b70d2c4e">
      <tp>
        <v>5</v>
        <stp/>
        <stp>5775c818-8b5d-478a-9794-337e01575f26</stp>
        <tr r="G5362" s="2"/>
      </tp>
    </main>
    <main first="rtdsrv_a82eb5a1fc404542a18b1336b70d2c4e">
      <tp>
        <v>5</v>
        <stp/>
        <stp>2d8483ff-851d-4d26-adc1-04ab908d95c2</stp>
        <tr r="G7802" s="2"/>
      </tp>
      <tp>
        <v>5</v>
        <stp/>
        <stp>8b89929f-8a26-4d51-a43d-80ca6e2c1457</stp>
        <tr r="G7307" s="2"/>
      </tp>
    </main>
    <main first="rtdsrv_a82eb5a1fc404542a18b1336b70d2c4e">
      <tp>
        <v>5</v>
        <stp/>
        <stp>3f4fd16d-d397-4839-a245-b2fb9728800a</stp>
        <tr r="G5218" s="2"/>
      </tp>
      <tp>
        <v>5</v>
        <stp/>
        <stp>dcb078e3-3bc2-471a-8bff-d9c56dea09ea</stp>
        <tr r="G7665" s="2"/>
      </tp>
      <tp>
        <v>5</v>
        <stp/>
        <stp>d27c8c17-862d-44fb-bcb0-07dab1095d42</stp>
        <tr r="G452" s="2"/>
      </tp>
      <tp>
        <v>5</v>
        <stp/>
        <stp>25fa6c09-71a9-4779-b037-ec3576f705e4</stp>
        <tr r="G6131" s="2"/>
      </tp>
    </main>
    <main first="rtdsrv_a82eb5a1fc404542a18b1336b70d2c4e">
      <tp>
        <v>5</v>
        <stp/>
        <stp>0b08f67a-dc1e-4a1f-b1be-ac48585a3da6</stp>
        <tr r="G5681" s="2"/>
      </tp>
    </main>
    <main first="rtdsrv_a82eb5a1fc404542a18b1336b70d2c4e">
      <tp>
        <v>5</v>
        <stp/>
        <stp>41c9124d-853d-4b65-a4a2-854dd7410f18</stp>
        <tr r="G9689" s="2"/>
      </tp>
    </main>
    <main first="rtdsrv_a82eb5a1fc404542a18b1336b70d2c4e">
      <tp>
        <v>5</v>
        <stp/>
        <stp>0f2b2bfe-bb55-4df2-a810-9048dfee586b</stp>
        <tr r="G874" s="2"/>
      </tp>
      <tp>
        <v>5</v>
        <stp/>
        <stp>438d5783-53a8-4916-b77e-4622586b1534</stp>
        <tr r="G9623" s="2"/>
      </tp>
    </main>
    <main first="rtdsrv_a82eb5a1fc404542a18b1336b70d2c4e">
      <tp>
        <v>5</v>
        <stp/>
        <stp>c819d524-e6b7-48da-935f-40231aa93fa5</stp>
        <tr r="G8619" s="2"/>
      </tp>
    </main>
    <main first="rtdsrv_a82eb5a1fc404542a18b1336b70d2c4e">
      <tp>
        <v>5</v>
        <stp/>
        <stp>90325e00-0ed7-403a-9027-08b5274422f7</stp>
        <tr r="G6553" s="2"/>
      </tp>
      <tp>
        <v>5</v>
        <stp/>
        <stp>0fe72120-848c-447b-b9aa-9a5c60ace672</stp>
        <tr r="G9553" s="2"/>
      </tp>
    </main>
    <main first="rtdsrv_a82eb5a1fc404542a18b1336b70d2c4e">
      <tp>
        <v>5</v>
        <stp/>
        <stp>dc5ca095-bae6-4aae-b969-f85bac74124c</stp>
        <tr r="G7199" s="2"/>
      </tp>
    </main>
    <main first="rtdsrv_a82eb5a1fc404542a18b1336b70d2c4e">
      <tp>
        <v>5</v>
        <stp/>
        <stp>e371543b-ce77-4e34-b31a-48ac4d068634</stp>
        <tr r="G2103" s="2"/>
      </tp>
    </main>
    <main first="rtdsrv_a82eb5a1fc404542a18b1336b70d2c4e">
      <tp>
        <v>5</v>
        <stp/>
        <stp>88fa4740-aeb2-44bd-aa70-51bc0ab3bfe5</stp>
        <tr r="G704" s="2"/>
      </tp>
    </main>
    <main first="rtdsrv_a82eb5a1fc404542a18b1336b70d2c4e">
      <tp>
        <v>5</v>
        <stp/>
        <stp>e7add0ef-4950-4c28-89a8-1ef12ab57ece</stp>
        <tr r="G5015" s="2"/>
      </tp>
      <tp>
        <v>5</v>
        <stp/>
        <stp>0e56e881-8c65-46d5-9efb-cfc65b829955</stp>
        <tr r="G9842" s="2"/>
      </tp>
      <tp>
        <v>5</v>
        <stp/>
        <stp>4503139e-6723-4b72-8b2d-973c943e0880</stp>
        <tr r="G7270" s="2"/>
      </tp>
      <tp>
        <v>5</v>
        <stp/>
        <stp>56f82f97-eee8-436f-b997-c7d534217b96</stp>
        <tr r="G7369" s="2"/>
      </tp>
      <tp>
        <v>5</v>
        <stp/>
        <stp>c9e8f64e-5225-463d-9615-cb38076d1116</stp>
        <tr r="G3217" s="2"/>
      </tp>
    </main>
    <main first="rtdsrv_a82eb5a1fc404542a18b1336b70d2c4e">
      <tp>
        <v>5</v>
        <stp/>
        <stp>34827963-8aa4-4dfe-85d8-71dae74959e3</stp>
        <tr r="G5335" s="2"/>
      </tp>
    </main>
    <main first="rtdsrv_a82eb5a1fc404542a18b1336b70d2c4e">
      <tp>
        <v>5</v>
        <stp/>
        <stp>37dbfee2-5b20-475b-91dd-8ec2c970f610</stp>
        <tr r="G5416" s="2"/>
      </tp>
      <tp>
        <v>5</v>
        <stp/>
        <stp>5039890d-b6db-4dfc-bf47-d62ab4bd650b</stp>
        <tr r="G6966" s="2"/>
      </tp>
      <tp>
        <v>5</v>
        <stp/>
        <stp>52f33d70-9064-459f-a8cd-1ec265086141</stp>
        <tr r="G4331" s="2"/>
      </tp>
      <tp>
        <v>5</v>
        <stp/>
        <stp>915f07ef-a5f2-4fc1-99fe-1bc36820ea3a</stp>
        <tr r="G8116" s="2"/>
      </tp>
      <tp>
        <v>5</v>
        <stp/>
        <stp>ed4ded66-f8d4-403e-8e92-4e930bb80603</stp>
        <tr r="G4789" s="2"/>
      </tp>
    </main>
    <main first="rtdsrv_a82eb5a1fc404542a18b1336b70d2c4e">
      <tp>
        <v>5</v>
        <stp/>
        <stp>f9fb3bce-c78f-4842-b971-0850e94c87a7</stp>
        <tr r="G2548" s="2"/>
      </tp>
      <tp>
        <v>5</v>
        <stp/>
        <stp>39a6fcb4-c43f-458d-ba1b-816e35b30cb1</stp>
        <tr r="G3663" s="2"/>
      </tp>
      <tp>
        <v>5</v>
        <stp/>
        <stp>72a96ef7-12c5-4be9-8981-9e6b41a8580c</stp>
        <tr r="G7146" s="2"/>
      </tp>
    </main>
    <main first="rtdsrv_a82eb5a1fc404542a18b1336b70d2c4e">
      <tp>
        <v>5</v>
        <stp/>
        <stp>84cb8f1b-210b-4d72-8711-3dff296a85ac</stp>
        <tr r="G6222" s="2"/>
      </tp>
      <tp>
        <v>5</v>
        <stp/>
        <stp>12e854ee-1ee4-4079-a526-1ee573da2a15</stp>
        <tr r="G6103" s="2"/>
      </tp>
    </main>
    <main first="rtdsrv_a82eb5a1fc404542a18b1336b70d2c4e">
      <tp>
        <v>5</v>
        <stp/>
        <stp>b034861f-e135-4daf-ad4b-d863dfe37da1</stp>
        <tr r="G8239" s="2"/>
      </tp>
    </main>
    <main first="rtdsrv_a82eb5a1fc404542a18b1336b70d2c4e">
      <tp>
        <v>5</v>
        <stp/>
        <stp>23073d5b-1d7f-466c-b9bd-506028af3d10</stp>
        <tr r="G4228" s="2"/>
      </tp>
    </main>
    <main first="rtdsrv_a82eb5a1fc404542a18b1336b70d2c4e">
      <tp>
        <v>5</v>
        <stp/>
        <stp>3b299b52-5685-4079-ae70-cdd9c021dd46</stp>
        <tr r="G5089" s="2"/>
      </tp>
    </main>
    <main first="rtdsrv_a82eb5a1fc404542a18b1336b70d2c4e">
      <tp>
        <v>5</v>
        <stp/>
        <stp>ed04afcd-9f92-4536-91c0-31de1a9054d7</stp>
        <tr r="G783" s="2"/>
      </tp>
    </main>
    <main first="rtdsrv_a82eb5a1fc404542a18b1336b70d2c4e">
      <tp>
        <v>5</v>
        <stp/>
        <stp>5a5a6eb4-ecf8-475a-bf80-be40c19ccf56</stp>
        <tr r="G6327" s="2"/>
      </tp>
    </main>
    <main first="rtdsrv_a82eb5a1fc404542a18b1336b70d2c4e">
      <tp>
        <v>5</v>
        <stp/>
        <stp>0a7988fb-20aa-47b3-b969-4ea16e6d6d37</stp>
        <tr r="G8817" s="2"/>
      </tp>
      <tp>
        <v>5</v>
        <stp/>
        <stp>4d8687cf-2f24-4e8f-8a9e-b14df3aad614</stp>
        <tr r="G6936" s="2"/>
      </tp>
      <tp>
        <v>5</v>
        <stp/>
        <stp>40fa1cb1-7d3d-48ef-92b9-0b3941d6b92b</stp>
        <tr r="G1298" s="2"/>
      </tp>
    </main>
    <main first="rtdsrv_a82eb5a1fc404542a18b1336b70d2c4e">
      <tp>
        <v>5</v>
        <stp/>
        <stp>b040694d-f829-4379-b950-9331481c3b60</stp>
        <tr r="G7422" s="2"/>
      </tp>
    </main>
    <main first="rtdsrv_a82eb5a1fc404542a18b1336b70d2c4e">
      <tp>
        <v>5</v>
        <stp/>
        <stp>284773fb-048a-4b61-9829-c7879a814dcc</stp>
        <tr r="G3570" s="2"/>
      </tp>
      <tp>
        <v>5</v>
        <stp/>
        <stp>5f0993f5-283c-469a-b2e5-06462f1299b3</stp>
        <tr r="G3699" s="2"/>
      </tp>
    </main>
    <main first="rtdsrv_a82eb5a1fc404542a18b1336b70d2c4e">
      <tp>
        <v>5</v>
        <stp/>
        <stp>43a1f6e7-96aa-415b-a952-8b5d6680950d</stp>
        <tr r="G5180" s="2"/>
      </tp>
    </main>
    <main first="rtdsrv_a82eb5a1fc404542a18b1336b70d2c4e">
      <tp>
        <v>5</v>
        <stp/>
        <stp>292e3153-0286-41c4-a4d0-e4775d81d277</stp>
        <tr r="G8832" s="2"/>
      </tp>
      <tp>
        <v>5</v>
        <stp/>
        <stp>4b1daa8c-f7c0-4a3f-870d-acb4f955ec06</stp>
        <tr r="G9165" s="2"/>
      </tp>
    </main>
    <main first="rtdsrv_a82eb5a1fc404542a18b1336b70d2c4e">
      <tp>
        <v>5</v>
        <stp/>
        <stp>bb54ed19-e7b0-455f-ad5d-479ab57838d5</stp>
        <tr r="G9904" s="2"/>
      </tp>
    </main>
    <main first="rtdsrv_a82eb5a1fc404542a18b1336b70d2c4e">
      <tp>
        <v>5</v>
        <stp/>
        <stp>558f70f9-d736-4018-9272-2a6646bc732c</stp>
        <tr r="G1651" s="2"/>
      </tp>
    </main>
    <main first="rtdsrv_a82eb5a1fc404542a18b1336b70d2c4e">
      <tp>
        <v>5</v>
        <stp/>
        <stp>d3330939-722a-462a-88f9-360a004ff615</stp>
        <tr r="G7305" s="2"/>
      </tp>
    </main>
    <main first="rtdsrv_a82eb5a1fc404542a18b1336b70d2c4e">
      <tp>
        <v>5</v>
        <stp/>
        <stp>3bb3e55e-8738-432e-a496-d39438fe227f</stp>
        <tr r="G2620" s="2"/>
      </tp>
    </main>
    <main first="rtdsrv_a82eb5a1fc404542a18b1336b70d2c4e">
      <tp>
        <v>5</v>
        <stp/>
        <stp>764047b3-9ec8-4b4b-a5df-70e3fe7c8a90</stp>
        <tr r="G1594" s="2"/>
      </tp>
    </main>
    <main first="rtdsrv_a82eb5a1fc404542a18b1336b70d2c4e">
      <tp>
        <v>5</v>
        <stp/>
        <stp>391bf79b-9011-436a-8420-b2321e0cc95a</stp>
        <tr r="G2082" s="2"/>
      </tp>
      <tp>
        <v>5</v>
        <stp/>
        <stp>05ff1ae0-e4bd-4549-886c-3acddf8cd315</stp>
        <tr r="G2358" s="2"/>
      </tp>
    </main>
    <main first="rtdsrv_a82eb5a1fc404542a18b1336b70d2c4e">
      <tp>
        <v>5</v>
        <stp/>
        <stp>fed28ca4-9e3b-453f-a749-41703c6a05ff</stp>
        <tr r="G8102" s="2"/>
      </tp>
    </main>
    <main first="rtdsrv_a82eb5a1fc404542a18b1336b70d2c4e">
      <tp>
        <v>5</v>
        <stp/>
        <stp>c91d23df-0ba4-4324-a96d-c0f74f989d2d</stp>
        <tr r="G9025" s="2"/>
      </tp>
      <tp>
        <v>5</v>
        <stp/>
        <stp>4647b067-2f55-4558-96f8-3f1ef0a03627</stp>
        <tr r="G8047" s="2"/>
      </tp>
    </main>
    <main first="rtdsrv_a82eb5a1fc404542a18b1336b70d2c4e">
      <tp>
        <v>5</v>
        <stp/>
        <stp>99f75efc-d510-424e-ab41-f1b4e48b4faf</stp>
        <tr r="G4223" s="2"/>
      </tp>
    </main>
    <main first="rtdsrv_a82eb5a1fc404542a18b1336b70d2c4e">
      <tp>
        <v>5</v>
        <stp/>
        <stp>3f70758f-e579-4b11-8d23-73fec86cf4f2</stp>
        <tr r="G5285" s="2"/>
      </tp>
      <tp>
        <v>5</v>
        <stp/>
        <stp>29a932e9-762f-4b0f-a0e2-7bb162988ed7</stp>
        <tr r="G3156" s="2"/>
      </tp>
      <tp>
        <v>5</v>
        <stp/>
        <stp>de65a353-47de-4b4b-a5a6-921c2a884845</stp>
        <tr r="G9710" s="2"/>
      </tp>
    </main>
    <main first="rtdsrv_a82eb5a1fc404542a18b1336b70d2c4e">
      <tp>
        <v>5</v>
        <stp/>
        <stp>76ffd828-1480-4e3c-9868-eb3b436151bc</stp>
        <tr r="G9743" s="2"/>
      </tp>
    </main>
    <main first="rtdsrv_a82eb5a1fc404542a18b1336b70d2c4e">
      <tp>
        <v>5</v>
        <stp/>
        <stp>03252515-de97-4e7e-8e09-444dc125e8ff</stp>
        <tr r="G4604" s="2"/>
      </tp>
      <tp>
        <v>5</v>
        <stp/>
        <stp>637042b3-8a0f-4e06-bb2a-ec94d7524cfa</stp>
        <tr r="G2895" s="2"/>
      </tp>
    </main>
    <main first="rtdsrv_a82eb5a1fc404542a18b1336b70d2c4e">
      <tp>
        <v>5</v>
        <stp/>
        <stp>38376263-6249-4a10-8b12-fa124233ad85</stp>
        <tr r="G4708" s="2"/>
      </tp>
    </main>
    <main first="rtdsrv_a82eb5a1fc404542a18b1336b70d2c4e">
      <tp>
        <v>5</v>
        <stp/>
        <stp>b9370dcd-fcb5-4c42-9c0d-94805763a0f2</stp>
        <tr r="G2253" s="2"/>
      </tp>
    </main>
    <main first="rtdsrv_a82eb5a1fc404542a18b1336b70d2c4e">
      <tp>
        <v>5</v>
        <stp/>
        <stp>b611b861-b1ce-4b96-bcb7-9570946b1385</stp>
        <tr r="G5352" s="2"/>
      </tp>
    </main>
    <main first="rtdsrv_a82eb5a1fc404542a18b1336b70d2c4e">
      <tp>
        <v>5</v>
        <stp/>
        <stp>daac28a9-035a-4348-9c14-d015886a1b86</stp>
        <tr r="G3929" s="2"/>
      </tp>
    </main>
    <main first="rtdsrv_a82eb5a1fc404542a18b1336b70d2c4e">
      <tp>
        <v>5</v>
        <stp/>
        <stp>1a155c0e-7163-441a-b624-8cf0e68989b6</stp>
        <tr r="G9426" s="2"/>
      </tp>
    </main>
    <main first="rtdsrv_a82eb5a1fc404542a18b1336b70d2c4e">
      <tp>
        <v>5</v>
        <stp/>
        <stp>a5b1eff5-b49d-4c97-b194-7f80b0267c61</stp>
        <tr r="G3818" s="2"/>
      </tp>
    </main>
    <main first="rtdsrv_a82eb5a1fc404542a18b1336b70d2c4e">
      <tp>
        <v>5</v>
        <stp/>
        <stp>adf0d43c-49d2-4239-a530-f1c09f4c033e</stp>
        <tr r="G6659" s="2"/>
      </tp>
    </main>
    <main first="rtdsrv_a82eb5a1fc404542a18b1336b70d2c4e">
      <tp>
        <v>5</v>
        <stp/>
        <stp>d354e9dd-1529-4696-817a-fdf4e0b3ed90</stp>
        <tr r="G741" s="2"/>
      </tp>
      <tp>
        <v>5</v>
        <stp/>
        <stp>19aeda97-83ef-4744-b68b-f11722853e9d</stp>
        <tr r="G8758" s="2"/>
      </tp>
    </main>
    <main first="rtdsrv_a82eb5a1fc404542a18b1336b70d2c4e">
      <tp>
        <v>5</v>
        <stp/>
        <stp>7300f0bb-8994-4c9c-a5fa-04458cc75cde</stp>
        <tr r="G1210" s="2"/>
      </tp>
      <tp>
        <v>5</v>
        <stp/>
        <stp>c786a6a9-249e-4ad6-9e3e-68214a77ee4f</stp>
        <tr r="G3754" s="2"/>
      </tp>
    </main>
    <main first="rtdsrv_a82eb5a1fc404542a18b1336b70d2c4e">
      <tp>
        <v>5</v>
        <stp/>
        <stp>e12b7358-de46-43ba-8f93-63cd1b833e38</stp>
        <tr r="G4767" s="2"/>
      </tp>
      <tp>
        <v>5</v>
        <stp/>
        <stp>a5374f1f-ac79-4f3e-b03d-2d86a9e983a8</stp>
        <tr r="G2873" s="2"/>
      </tp>
      <tp>
        <v>5</v>
        <stp/>
        <stp>bb432349-6731-4173-8a18-888ea19b1f7a</stp>
        <tr r="G7933" s="2"/>
      </tp>
    </main>
    <main first="rtdsrv_a82eb5a1fc404542a18b1336b70d2c4e">
      <tp>
        <v>5</v>
        <stp/>
        <stp>810119ce-40e8-40ad-b1d1-fb9d91740eea</stp>
        <tr r="G4133" s="2"/>
      </tp>
      <tp>
        <v>5</v>
        <stp/>
        <stp>7ef990d7-ea99-4adf-b922-adf4f37f3995</stp>
        <tr r="G1044" s="2"/>
      </tp>
      <tp>
        <v>5</v>
        <stp/>
        <stp>4e6ed09e-dccb-487d-8187-f3cc5b70d66c</stp>
        <tr r="G5069" s="2"/>
      </tp>
    </main>
    <main first="rtdsrv_a82eb5a1fc404542a18b1336b70d2c4e">
      <tp>
        <v>5</v>
        <stp/>
        <stp>68149d38-6fa4-4249-b7b9-b1dc238ae98a</stp>
        <tr r="G306" s="2"/>
      </tp>
      <tp>
        <v>5</v>
        <stp/>
        <stp>58a36c4e-0da7-4b1d-9d76-18b3339339e3</stp>
        <tr r="G9594" s="2"/>
      </tp>
    </main>
    <main first="rtdsrv_a82eb5a1fc404542a18b1336b70d2c4e">
      <tp>
        <v>5</v>
        <stp/>
        <stp>217befb6-2fbc-4118-81d3-7591d5f333e9</stp>
        <tr r="G7242" s="2"/>
      </tp>
      <tp>
        <v>5</v>
        <stp/>
        <stp>c0c8b59c-5594-4861-9fb1-99e70e6fd574</stp>
        <tr r="G2100" s="2"/>
      </tp>
    </main>
    <main first="rtdsrv_a82eb5a1fc404542a18b1336b70d2c4e">
      <tp>
        <v>5</v>
        <stp/>
        <stp>1fac513f-128a-4158-856d-b6574c21a791</stp>
        <tr r="G8905" s="2"/>
      </tp>
    </main>
    <main first="rtdsrv_a82eb5a1fc404542a18b1336b70d2c4e">
      <tp>
        <v>5</v>
        <stp/>
        <stp>271a3899-5083-4e15-90b6-0602fb373377</stp>
        <tr r="G5731" s="2"/>
      </tp>
    </main>
    <main first="rtdsrv_a82eb5a1fc404542a18b1336b70d2c4e">
      <tp>
        <v>5</v>
        <stp/>
        <stp>2af26e03-66b6-4c83-862b-884c908d8147</stp>
        <tr r="G2859" s="2"/>
      </tp>
    </main>
    <main first="rtdsrv_a82eb5a1fc404542a18b1336b70d2c4e">
      <tp>
        <v>5</v>
        <stp/>
        <stp>da6a055c-85ee-4d5c-9a83-12b216d72996</stp>
        <tr r="G3215" s="2"/>
      </tp>
    </main>
    <main first="rtdsrv_a82eb5a1fc404542a18b1336b70d2c4e">
      <tp>
        <v>5</v>
        <stp/>
        <stp>eb0a8682-c4a8-41ea-8e8c-beb255f934af</stp>
        <tr r="G6051" s="2"/>
      </tp>
    </main>
    <main first="rtdsrv_a82eb5a1fc404542a18b1336b70d2c4e">
      <tp>
        <v>5</v>
        <stp/>
        <stp>70334136-c330-4199-8130-cb97248a7483</stp>
        <tr r="G6761" s="2"/>
      </tp>
    </main>
    <main first="rtdsrv_a82eb5a1fc404542a18b1336b70d2c4e">
      <tp>
        <v>5</v>
        <stp/>
        <stp>beb7d3de-589b-41c8-b747-871a06109d2d</stp>
        <tr r="G5884" s="2"/>
      </tp>
      <tp>
        <v>5</v>
        <stp/>
        <stp>03ef6617-01d9-41cd-99fe-59a49fcbfb9f</stp>
        <tr r="G9546" s="2"/>
      </tp>
    </main>
    <main first="rtdsrv_a82eb5a1fc404542a18b1336b70d2c4e">
      <tp>
        <v>5</v>
        <stp/>
        <stp>279ad37c-3c32-4e84-89ce-b9766b7c1136</stp>
        <tr r="G633" s="2"/>
      </tp>
      <tp>
        <v>5</v>
        <stp/>
        <stp>eb046994-66ac-4d9b-b9c7-a32fbee3a0d8</stp>
        <tr r="G5368" s="2"/>
      </tp>
    </main>
    <main first="rtdsrv_a82eb5a1fc404542a18b1336b70d2c4e">
      <tp>
        <v>5</v>
        <stp/>
        <stp>230ef61f-7946-42a4-b6ad-1feb1855837a</stp>
        <tr r="G9742" s="2"/>
      </tp>
    </main>
    <main first="rtdsrv_a82eb5a1fc404542a18b1336b70d2c4e">
      <tp>
        <v>5</v>
        <stp/>
        <stp>490c825a-b569-449c-93a2-b095da0a7003</stp>
        <tr r="G399" s="2"/>
      </tp>
    </main>
    <main first="rtdsrv_a82eb5a1fc404542a18b1336b70d2c4e">
      <tp>
        <v>5</v>
        <stp/>
        <stp>3e42f61d-9169-4a6e-9e4f-bec9601ffd4a</stp>
        <tr r="G3613" s="2"/>
      </tp>
      <tp>
        <v>5</v>
        <stp/>
        <stp>181a26fb-b519-4dbf-b1c9-0fa81c94cf79</stp>
        <tr r="G8688" s="2"/>
      </tp>
      <tp>
        <v>5</v>
        <stp/>
        <stp>94c2b9bc-db59-4b50-aad1-5fc813382b6e</stp>
        <tr r="G4024" s="2"/>
      </tp>
      <tp>
        <v>5</v>
        <stp/>
        <stp>c83c8d7b-e858-4c74-8f79-fcf6fcae3062</stp>
        <tr r="G5527" s="2"/>
      </tp>
      <tp>
        <v>5</v>
        <stp/>
        <stp>df1ca138-2a6a-4d18-beae-cb3f0c543746</stp>
        <tr r="G1758" s="2"/>
      </tp>
    </main>
    <main first="rtdsrv_a82eb5a1fc404542a18b1336b70d2c4e">
      <tp>
        <v>5</v>
        <stp/>
        <stp>79d405de-3e99-4f8c-8fda-a2dec1da4108</stp>
        <tr r="G3274" s="2"/>
      </tp>
      <tp>
        <v>5</v>
        <stp/>
        <stp>bffdf711-b7b4-4877-99cc-d97ba6a1eba1</stp>
        <tr r="G8298" s="2"/>
      </tp>
      <tp>
        <v>5</v>
        <stp/>
        <stp>b950f81d-8646-44b0-bc0b-8fa0eb61573b</stp>
        <tr r="G9752" s="2"/>
      </tp>
      <tp>
        <v>5</v>
        <stp/>
        <stp>080c6fec-6c24-424b-a959-314d229f4665</stp>
        <tr r="G2256" s="2"/>
      </tp>
    </main>
    <main first="rtdsrv_a82eb5a1fc404542a18b1336b70d2c4e">
      <tp>
        <v>5</v>
        <stp/>
        <stp>28be4b6b-cf1d-4419-8477-42425839876b</stp>
        <tr r="G8143" s="2"/>
      </tp>
    </main>
    <main first="rtdsrv_a82eb5a1fc404542a18b1336b70d2c4e">
      <tp>
        <v>5</v>
        <stp/>
        <stp>50229461-7f7e-4e71-8a6b-180db213245a</stp>
        <tr r="G6295" s="2"/>
      </tp>
      <tp>
        <v>5</v>
        <stp/>
        <stp>f90a70df-ec02-4e3f-86de-aa4ce273a7ee</stp>
        <tr r="G4138" s="2"/>
      </tp>
      <tp>
        <v>5</v>
        <stp/>
        <stp>b8834a9a-d750-4f05-8936-3c405bad40a6</stp>
        <tr r="G8757" s="2"/>
      </tp>
      <tp>
        <v>5</v>
        <stp/>
        <stp>2c0f00c3-ebcd-48a8-888a-e9e514233124</stp>
        <tr r="G8006" s="2"/>
      </tp>
    </main>
    <main first="rtdsrv_a82eb5a1fc404542a18b1336b70d2c4e">
      <tp>
        <v>5</v>
        <stp/>
        <stp>72c07761-5f26-4df3-808e-42c6b519461b</stp>
        <tr r="G8388" s="2"/>
      </tp>
      <tp>
        <v>5</v>
        <stp/>
        <stp>bec108b0-0f0c-44ac-a38a-f9f0e545b0ac</stp>
        <tr r="G3028" s="2"/>
      </tp>
      <tp>
        <v>5</v>
        <stp/>
        <stp>02f52674-4be7-4cf5-8083-32f77aba8d19</stp>
        <tr r="G8136" s="2"/>
      </tp>
      <tp>
        <v>5</v>
        <stp/>
        <stp>09067ddd-247d-461f-b83c-bd06a6cb7be5</stp>
        <tr r="G6652" s="2"/>
      </tp>
    </main>
    <main first="rtdsrv_a82eb5a1fc404542a18b1336b70d2c4e">
      <tp>
        <v>5</v>
        <stp/>
        <stp>3f8546c8-d4d1-4438-a393-cb1c08a5ce99</stp>
        <tr r="G6601" s="2"/>
      </tp>
    </main>
    <main first="rtdsrv_a82eb5a1fc404542a18b1336b70d2c4e">
      <tp>
        <v>5</v>
        <stp/>
        <stp>f650c0b7-4e8f-4d3b-afb1-a8cea8b7e84d</stp>
        <tr r="G7278" s="2"/>
      </tp>
      <tp>
        <v>5</v>
        <stp/>
        <stp>6b721253-acb2-4cad-892d-095d010b4e62</stp>
        <tr r="G3209" s="2"/>
      </tp>
      <tp>
        <v>5</v>
        <stp/>
        <stp>198602d1-1fd6-442e-9168-26270dcc71e6</stp>
        <tr r="G4320" s="2"/>
      </tp>
      <tp>
        <v>5</v>
        <stp/>
        <stp>f5dbaef9-a1d2-4d5d-ba9f-74744da35650</stp>
        <tr r="G4230" s="2"/>
      </tp>
      <tp>
        <v>5</v>
        <stp/>
        <stp>05125458-5fe6-4c83-914e-73b478e89266</stp>
        <tr r="G1134" s="2"/>
      </tp>
      <tp>
        <v>5</v>
        <stp/>
        <stp>8d200b88-a8c8-4ead-bbf7-e506881edb25</stp>
        <tr r="G7575" s="2"/>
      </tp>
    </main>
    <main first="rtdsrv_a82eb5a1fc404542a18b1336b70d2c4e">
      <tp>
        <v>5</v>
        <stp/>
        <stp>9fd831d3-ae31-427e-b49c-3a37d2b703a8</stp>
        <tr r="G1254" s="2"/>
      </tp>
      <tp>
        <v>5</v>
        <stp/>
        <stp>9f106f0a-936a-43ed-91c7-941d3ead6ec0</stp>
        <tr r="G3647" s="2"/>
      </tp>
      <tp>
        <v>5</v>
        <stp/>
        <stp>9153b649-8023-488a-9017-b64f6234aa73</stp>
        <tr r="G4587" s="2"/>
      </tp>
      <tp>
        <v>5</v>
        <stp/>
        <stp>94428f99-274f-44d8-bc34-225bda8b9250</stp>
        <tr r="G1034" s="2"/>
      </tp>
      <tp>
        <v>5</v>
        <stp/>
        <stp>47a93ea2-5679-4a52-a3f2-468db63e6988</stp>
        <tr r="G9749" s="2"/>
      </tp>
      <tp>
        <v>5</v>
        <stp/>
        <stp>624574e8-2ebf-4a96-9214-fb633c040811</stp>
        <tr r="G8329" s="2"/>
      </tp>
      <tp>
        <v>5</v>
        <stp/>
        <stp>99ab7070-d5a9-4767-b465-ff4bfa395af1</stp>
        <tr r="G3831" s="2"/>
      </tp>
      <tp>
        <v>5</v>
        <stp/>
        <stp>3951d06a-0769-4323-90b6-ed30c11d5777</stp>
        <tr r="G3765" s="2"/>
      </tp>
    </main>
    <main first="rtdsrv_a82eb5a1fc404542a18b1336b70d2c4e">
      <tp>
        <v>5</v>
        <stp/>
        <stp>d0e7d84e-d4c1-457f-9ae6-04f20df7b5d7</stp>
        <tr r="G1703" s="2"/>
      </tp>
      <tp>
        <v>5</v>
        <stp/>
        <stp>a4a5c039-250e-4f64-b59f-af536f22b112</stp>
        <tr r="G5428" s="2"/>
      </tp>
      <tp>
        <v>5</v>
        <stp/>
        <stp>991eb4c3-85fd-460e-885b-b9192d1e5226</stp>
        <tr r="G798" s="2"/>
      </tp>
      <tp>
        <v>5</v>
        <stp/>
        <stp>c1542b02-91d1-4fa7-8647-74edb1049fa8</stp>
        <tr r="G5473" s="2"/>
      </tp>
    </main>
    <main first="rtdsrv_a82eb5a1fc404542a18b1336b70d2c4e">
      <tp>
        <v>5</v>
        <stp/>
        <stp>e6415dc3-7a7d-46d8-b26b-d423f4f08a75</stp>
        <tr r="G9196" s="2"/>
      </tp>
      <tp>
        <v>5</v>
        <stp/>
        <stp>afecfcb7-925f-4fb9-8e2a-f61b29c8e214</stp>
        <tr r="G7281" s="2"/>
      </tp>
      <tp>
        <v>5</v>
        <stp/>
        <stp>61c16db4-aabd-4639-acae-4cfc32d6e707</stp>
        <tr r="G9034" s="2"/>
      </tp>
    </main>
    <main first="rtdsrv_a82eb5a1fc404542a18b1336b70d2c4e">
      <tp>
        <v>5</v>
        <stp/>
        <stp>c552c688-67ce-4454-a0f2-cb3d38925757</stp>
        <tr r="G457" s="2"/>
      </tp>
    </main>
    <main first="rtdsrv_a82eb5a1fc404542a18b1336b70d2c4e">
      <tp>
        <v>5</v>
        <stp/>
        <stp>7d2a72a0-84b6-4fb7-a457-6e381e2d1ff3</stp>
        <tr r="G8912" s="2"/>
      </tp>
    </main>
    <main first="rtdsrv_a82eb5a1fc404542a18b1336b70d2c4e">
      <tp>
        <v>5</v>
        <stp/>
        <stp>fb379897-6d5f-48af-9caa-439ce6eaadc6</stp>
        <tr r="G273" s="2"/>
      </tp>
      <tp>
        <v>5</v>
        <stp/>
        <stp>1b74d811-bbf9-4f2c-b778-b692c3e1fc0e</stp>
        <tr r="G9013" s="2"/>
      </tp>
    </main>
    <main first="rtdsrv_a82eb5a1fc404542a18b1336b70d2c4e">
      <tp>
        <v>5</v>
        <stp/>
        <stp>b0d90a1b-91b4-4977-8208-8e40029d42ab</stp>
        <tr r="G8345" s="2"/>
      </tp>
      <tp>
        <v>5</v>
        <stp/>
        <stp>908efe80-aa67-480d-9084-5cfe4c3ebb04</stp>
        <tr r="G1179" s="2"/>
      </tp>
      <tp>
        <v>5</v>
        <stp/>
        <stp>0d20f073-a1af-40f8-bdfe-5c234dff0f55</stp>
        <tr r="G3915" s="2"/>
      </tp>
    </main>
    <main first="rtdsrv_a82eb5a1fc404542a18b1336b70d2c4e">
      <tp>
        <v>5</v>
        <stp/>
        <stp>ab99e380-6fa0-4345-a079-e72799e78a9b</stp>
        <tr r="G3986" s="2"/>
      </tp>
    </main>
    <main first="rtdsrv_a82eb5a1fc404542a18b1336b70d2c4e">
      <tp>
        <v>5</v>
        <stp/>
        <stp>507e98ea-8c9c-43e8-8f2b-10eb07f797a3</stp>
        <tr r="G2188" s="2"/>
      </tp>
      <tp>
        <v>5</v>
        <stp/>
        <stp>43dc6310-e51b-4426-a862-c37e19067ed6</stp>
        <tr r="G943" s="2"/>
      </tp>
      <tp>
        <v>5</v>
        <stp/>
        <stp>6c26af9c-8760-41ab-87d9-6e48e1c86ec6</stp>
        <tr r="G5940" s="2"/>
      </tp>
    </main>
    <main first="rtdsrv_a82eb5a1fc404542a18b1336b70d2c4e">
      <tp>
        <v>5</v>
        <stp/>
        <stp>8c68535b-aae5-48a8-a91f-3f74b748ac61</stp>
        <tr r="G6027" s="2"/>
      </tp>
      <tp>
        <v>5</v>
        <stp/>
        <stp>16759811-2e96-4872-8f09-758a14fc255d</stp>
        <tr r="G1955" s="2"/>
      </tp>
      <tp>
        <v>5</v>
        <stp/>
        <stp>add756ef-c473-48a0-8193-c74340ea05e0</stp>
        <tr r="G9264" s="2"/>
      </tp>
      <tp>
        <v>5</v>
        <stp/>
        <stp>3e5d8065-38e9-4030-aa97-df9ae1d1f2c1</stp>
        <tr r="G8518" s="2"/>
      </tp>
    </main>
    <main first="rtdsrv_a82eb5a1fc404542a18b1336b70d2c4e">
      <tp>
        <v>5</v>
        <stp/>
        <stp>861c2ca2-d349-4f91-a95a-29766041363f</stp>
        <tr r="G7588" s="2"/>
      </tp>
      <tp>
        <v>5</v>
        <stp/>
        <stp>5c54ea98-828b-4240-bb23-0b6a3499dd04</stp>
        <tr r="G205" s="2"/>
      </tp>
    </main>
    <main first="rtdsrv_a82eb5a1fc404542a18b1336b70d2c4e">
      <tp>
        <v>5</v>
        <stp/>
        <stp>61249533-3f6e-4729-a557-bc1833b38a18</stp>
        <tr r="G9987" s="2"/>
      </tp>
      <tp>
        <v>5</v>
        <stp/>
        <stp>b8c71546-84b8-4032-a091-2f1d8c2901c8</stp>
        <tr r="G7247" s="2"/>
      </tp>
      <tp>
        <v>5</v>
        <stp/>
        <stp>d824f749-750d-4521-a96e-6a78f6debb7c</stp>
        <tr r="G2207" s="2"/>
      </tp>
      <tp>
        <v>5</v>
        <stp/>
        <stp>f538a9d6-7c69-4081-8c27-dee5232e6df0</stp>
        <tr r="G2538" s="2"/>
      </tp>
      <tp>
        <v>5</v>
        <stp/>
        <stp>841302c0-b3fa-4904-9d95-926d4fb0c72c</stp>
        <tr r="G1182" s="2"/>
      </tp>
    </main>
    <main first="rtdsrv_a82eb5a1fc404542a18b1336b70d2c4e">
      <tp>
        <v>5</v>
        <stp/>
        <stp>65e678ec-ebd9-40f5-981f-25dde165cbd1</stp>
        <tr r="G4411" s="2"/>
      </tp>
    </main>
    <main first="rtdsrv_a82eb5a1fc404542a18b1336b70d2c4e">
      <tp>
        <v>5</v>
        <stp/>
        <stp>baac195b-b991-4517-8a58-124ae10991c7</stp>
        <tr r="G3908" s="2"/>
      </tp>
    </main>
    <main first="rtdsrv_a82eb5a1fc404542a18b1336b70d2c4e">
      <tp>
        <v>5</v>
        <stp/>
        <stp>93c89eb2-ea6d-4cb4-80a6-114dcdb6f932</stp>
        <tr r="G1523" s="2"/>
      </tp>
      <tp>
        <v>5</v>
        <stp/>
        <stp>b0e70bf2-1bab-4276-8757-38384cf2110d</stp>
        <tr r="G9156" s="2"/>
      </tp>
      <tp>
        <v>5</v>
        <stp/>
        <stp>56ccfe5a-8d91-4506-9130-8317aeb332b3</stp>
        <tr r="G6435" s="2"/>
      </tp>
      <tp>
        <v>5</v>
        <stp/>
        <stp>c61d04a4-dfc8-4d28-b4f5-4a0c6d45174b</stp>
        <tr r="G8669" s="2"/>
      </tp>
    </main>
    <main first="rtdsrv_a82eb5a1fc404542a18b1336b70d2c4e">
      <tp>
        <v>5</v>
        <stp/>
        <stp>85236902-e356-42fa-873b-d27ff039f3dc</stp>
        <tr r="G5445" s="2"/>
      </tp>
    </main>
    <main first="rtdsrv_a82eb5a1fc404542a18b1336b70d2c4e">
      <tp>
        <v>5</v>
        <stp/>
        <stp>df5e2dab-1356-4225-a89d-e7a5c25150d1</stp>
        <tr r="G1284" s="2"/>
      </tp>
      <tp>
        <v>5</v>
        <stp/>
        <stp>1be674e1-8b25-4efd-bc15-aa227e3485ea</stp>
        <tr r="G3093" s="2"/>
      </tp>
      <tp>
        <v>5</v>
        <stp/>
        <stp>d7a9962e-f273-4368-94fc-312fb3ebe1f0</stp>
        <tr r="G3401" s="2"/>
      </tp>
    </main>
    <main first="rtdsrv_a82eb5a1fc404542a18b1336b70d2c4e">
      <tp>
        <v>5</v>
        <stp/>
        <stp>81510c52-d8af-46d0-9a91-2178de9e7a4f</stp>
        <tr r="G8296" s="2"/>
      </tp>
      <tp>
        <v>5</v>
        <stp/>
        <stp>d9148542-90cf-4bf1-b412-e7a7b9f4e130</stp>
        <tr r="G8867" s="2"/>
      </tp>
      <tp>
        <v>5</v>
        <stp/>
        <stp>b12efdaa-f0c4-4418-9be3-be6135c31468</stp>
        <tr r="G1604" s="2"/>
      </tp>
    </main>
    <main first="rtdsrv_a82eb5a1fc404542a18b1336b70d2c4e">
      <tp>
        <v>5</v>
        <stp/>
        <stp>54d22c39-9a69-4eab-9a90-5409a20aa95d</stp>
        <tr r="G9197" s="2"/>
      </tp>
    </main>
    <main first="rtdsrv_a82eb5a1fc404542a18b1336b70d2c4e">
      <tp>
        <v>5</v>
        <stp/>
        <stp>dc3272d9-8b30-43cc-a3ca-1c5c6c027cba</stp>
        <tr r="G9608" s="2"/>
      </tp>
    </main>
    <main first="rtdsrv_a82eb5a1fc404542a18b1336b70d2c4e">
      <tp>
        <v>5</v>
        <stp/>
        <stp>70fcc368-b01f-4610-85a6-9a47f9810b6a</stp>
        <tr r="G4560" s="2"/>
      </tp>
    </main>
    <main first="rtdsrv_a82eb5a1fc404542a18b1336b70d2c4e">
      <tp>
        <v>5</v>
        <stp/>
        <stp>d98b09e0-9e19-4f8a-870b-737b3b83b39a</stp>
        <tr r="G4735" s="2"/>
      </tp>
    </main>
    <main first="rtdsrv_a82eb5a1fc404542a18b1336b70d2c4e">
      <tp>
        <v>5</v>
        <stp/>
        <stp>d87bb3c5-a5ba-47ed-8a7d-dbab2f04578e</stp>
        <tr r="G9278" s="2"/>
      </tp>
    </main>
    <main first="rtdsrv_a82eb5a1fc404542a18b1336b70d2c4e">
      <tp>
        <v>5</v>
        <stp/>
        <stp>3d9c4aa9-a140-4abf-9895-e77624bf72e0</stp>
        <tr r="G9247" s="2"/>
      </tp>
    </main>
    <main first="rtdsrv_a82eb5a1fc404542a18b1336b70d2c4e">
      <tp>
        <v>5</v>
        <stp/>
        <stp>334ecc84-b086-44e1-9c09-485003e83290</stp>
        <tr r="G6498" s="2"/>
      </tp>
    </main>
    <main first="rtdsrv_a82eb5a1fc404542a18b1336b70d2c4e">
      <tp>
        <v>5</v>
        <stp/>
        <stp>b60a362a-29b5-4e19-98c5-6aefff7b7e11</stp>
        <tr r="G9149" s="2"/>
      </tp>
      <tp>
        <v>5</v>
        <stp/>
        <stp>de0fd113-9790-4ab3-9d45-ce96172632eb</stp>
        <tr r="G9907" s="2"/>
      </tp>
    </main>
    <main first="rtdsrv_a82eb5a1fc404542a18b1336b70d2c4e">
      <tp>
        <v>5</v>
        <stp/>
        <stp>b9fa0dc0-d975-4bb8-9c95-1a525ea0160b</stp>
        <tr r="G6245" s="2"/>
      </tp>
      <tp>
        <v>5</v>
        <stp/>
        <stp>c1c32902-4b42-4dac-8fea-16b52df2ab97</stp>
        <tr r="G8152" s="2"/>
      </tp>
      <tp>
        <v>5</v>
        <stp/>
        <stp>4cf36804-9dca-4909-98da-9255b1981623</stp>
        <tr r="G303" s="2"/>
      </tp>
    </main>
    <main first="rtdsrv_a82eb5a1fc404542a18b1336b70d2c4e">
      <tp>
        <v>5</v>
        <stp/>
        <stp>3b9f4e17-12df-4028-b1ee-04134f1fd316</stp>
        <tr r="G3412" s="2"/>
      </tp>
    </main>
    <main first="rtdsrv_a82eb5a1fc404542a18b1336b70d2c4e">
      <tp>
        <v>5</v>
        <stp/>
        <stp>ba4e9af3-caf8-465c-868e-da9785699f77</stp>
        <tr r="G6605" s="2"/>
      </tp>
    </main>
    <main first="rtdsrv_a82eb5a1fc404542a18b1336b70d2c4e">
      <tp>
        <v>5</v>
        <stp/>
        <stp>0aeb0009-f590-448d-928f-afa77586921c</stp>
        <tr r="G1326" s="2"/>
      </tp>
    </main>
    <main first="rtdsrv_a82eb5a1fc404542a18b1336b70d2c4e">
      <tp>
        <v>5</v>
        <stp/>
        <stp>3639a5ce-a91f-4173-a596-eba9976307fa</stp>
        <tr r="G7054" s="2"/>
      </tp>
    </main>
    <main first="rtdsrv_a82eb5a1fc404542a18b1336b70d2c4e">
      <tp>
        <v>5</v>
        <stp/>
        <stp>e45ebf80-c68a-4aee-9e72-f92561481aac</stp>
        <tr r="G1035" s="2"/>
      </tp>
      <tp>
        <v>5</v>
        <stp/>
        <stp>7e266e8f-a4b3-4cb5-b9c1-df328bad392c</stp>
        <tr r="G7407" s="2"/>
      </tp>
    </main>
    <main first="rtdsrv_a82eb5a1fc404542a18b1336b70d2c4e">
      <tp>
        <v>5</v>
        <stp/>
        <stp>b0214ab9-beda-46cb-ad8c-87814cb727c5</stp>
        <tr r="G2378" s="2"/>
      </tp>
    </main>
    <main first="rtdsrv_a82eb5a1fc404542a18b1336b70d2c4e">
      <tp>
        <v>5</v>
        <stp/>
        <stp>5d856eee-7eb4-45a9-b11f-336822d2b5ce</stp>
        <tr r="G3303" s="2"/>
      </tp>
      <tp>
        <v>5</v>
        <stp/>
        <stp>feb7eee3-8cb5-49c6-b6e0-2b35be8d1f09</stp>
        <tr r="G771" s="2"/>
      </tp>
    </main>
    <main first="rtdsrv_a82eb5a1fc404542a18b1336b70d2c4e">
      <tp>
        <v>5</v>
        <stp/>
        <stp>ae08e073-3398-4601-858b-ba062f013b9c</stp>
        <tr r="G5897" s="2"/>
      </tp>
    </main>
    <main first="rtdsrv_a82eb5a1fc404542a18b1336b70d2c4e">
      <tp>
        <v>5</v>
        <stp/>
        <stp>86aa9fa6-95fa-40b0-95c3-4b2957d3fe85</stp>
        <tr r="G4302" s="2"/>
      </tp>
      <tp>
        <v>5</v>
        <stp/>
        <stp>975cf9c4-bbda-46d2-bb1e-e3163590ac1f</stp>
        <tr r="G5372" s="2"/>
      </tp>
    </main>
    <main first="rtdsrv_a82eb5a1fc404542a18b1336b70d2c4e">
      <tp>
        <v>5</v>
        <stp/>
        <stp>2bcb4a84-e28c-43d5-8f92-da24b065917f</stp>
        <tr r="G4641" s="2"/>
      </tp>
    </main>
    <main first="rtdsrv_a82eb5a1fc404542a18b1336b70d2c4e">
      <tp>
        <v>5</v>
        <stp/>
        <stp>60a9c410-a8a8-47fe-8184-053551569623</stp>
        <tr r="G2621" s="2"/>
      </tp>
      <tp>
        <v>5</v>
        <stp/>
        <stp>f876fe48-bdab-4057-a968-de594d0ff521</stp>
        <tr r="G2418" s="2"/>
      </tp>
    </main>
    <main first="rtdsrv_a82eb5a1fc404542a18b1336b70d2c4e">
      <tp>
        <v>5</v>
        <stp/>
        <stp>c23ff1b0-eb55-4584-847e-a9f6d3a7ee91</stp>
        <tr r="G3259" s="2"/>
      </tp>
    </main>
    <main first="rtdsrv_a82eb5a1fc404542a18b1336b70d2c4e">
      <tp>
        <v>5</v>
        <stp/>
        <stp>fc893b38-8491-43f5-942f-2e08ae85d49f</stp>
        <tr r="G6014" s="2"/>
      </tp>
    </main>
    <main first="rtdsrv_a82eb5a1fc404542a18b1336b70d2c4e">
      <tp>
        <v>5</v>
        <stp/>
        <stp>f8fd4ad3-89a6-4400-bcb2-4dafcd452952</stp>
        <tr r="G9691" s="2"/>
      </tp>
      <tp>
        <v>5</v>
        <stp/>
        <stp>ee9b324a-6b13-45cd-aac1-16db4beca86f</stp>
        <tr r="G7592" s="2"/>
      </tp>
    </main>
    <main first="rtdsrv_a82eb5a1fc404542a18b1336b70d2c4e">
      <tp>
        <v>5</v>
        <stp/>
        <stp>f32d89d3-718c-4a86-975e-d7c8d69fa51d</stp>
        <tr r="G1104" s="2"/>
      </tp>
    </main>
    <main first="rtdsrv_a82eb5a1fc404542a18b1336b70d2c4e">
      <tp>
        <v>5</v>
        <stp/>
        <stp>1fedf049-3dd4-4b22-93bc-476c209ac805</stp>
        <tr r="G9966" s="2"/>
      </tp>
    </main>
    <main first="rtdsrv_a82eb5a1fc404542a18b1336b70d2c4e">
      <tp>
        <v>5</v>
        <stp/>
        <stp>46dcc543-168b-43f3-9f9c-0031acf23a90</stp>
        <tr r="G5624" s="2"/>
      </tp>
      <tp>
        <v>5</v>
        <stp/>
        <stp>b06a8268-04a5-4f2c-adb0-c99bc667b6b5</stp>
        <tr r="G2710" s="2"/>
      </tp>
    </main>
    <main first="rtdsrv_a82eb5a1fc404542a18b1336b70d2c4e">
      <tp>
        <v>5</v>
        <stp/>
        <stp>0e04c46b-0ba7-4c43-a5a9-46405670f941</stp>
        <tr r="G6507" s="2"/>
      </tp>
    </main>
    <main first="rtdsrv_a82eb5a1fc404542a18b1336b70d2c4e">
      <tp>
        <v>5</v>
        <stp/>
        <stp>b7cc72e8-d2bc-4691-8b97-039f254c6ed2</stp>
        <tr r="G6564" s="2"/>
      </tp>
      <tp>
        <v>5</v>
        <stp/>
        <stp>ad5ec684-41b2-4344-9eac-03cd53e8993e</stp>
        <tr r="G6000" s="2"/>
      </tp>
      <tp>
        <v>5</v>
        <stp/>
        <stp>b21309b3-02a0-4e3b-ad5f-4c964c1f2fe5</stp>
        <tr r="G5034" s="2"/>
      </tp>
      <tp>
        <v>5</v>
        <stp/>
        <stp>c6f3e387-ee5d-4252-9264-f3947ee69899</stp>
        <tr r="G2457" s="2"/>
      </tp>
    </main>
    <main first="rtdsrv_a82eb5a1fc404542a18b1336b70d2c4e">
      <tp>
        <v>5</v>
        <stp/>
        <stp>a0e66e83-7b66-4aa1-a010-394c8d4695ee</stp>
        <tr r="G3280" s="2"/>
      </tp>
      <tp>
        <v>5</v>
        <stp/>
        <stp>cbbafe8a-d35a-4568-86f5-ab6bcea200ad</stp>
        <tr r="G393" s="2"/>
      </tp>
    </main>
    <main first="rtdsrv_a82eb5a1fc404542a18b1336b70d2c4e">
      <tp>
        <v>5</v>
        <stp/>
        <stp>1415b56c-9842-4dd2-a185-49afd3e032d8</stp>
        <tr r="G3965" s="2"/>
      </tp>
    </main>
    <main first="rtdsrv_a82eb5a1fc404542a18b1336b70d2c4e">
      <tp>
        <v>5</v>
        <stp/>
        <stp>8707e003-94bc-43a5-a244-30aab4971122</stp>
        <tr r="G2583" s="2"/>
      </tp>
      <tp>
        <v>5</v>
        <stp/>
        <stp>bbc0040b-75ce-4d73-8d8f-229da4f91f5a</stp>
        <tr r="G3021" s="2"/>
      </tp>
    </main>
    <main first="rtdsrv_a82eb5a1fc404542a18b1336b70d2c4e">
      <tp>
        <v>5</v>
        <stp/>
        <stp>0a1a19f2-c5bc-4b73-a4f0-637366682a9e</stp>
        <tr r="G2079" s="2"/>
      </tp>
      <tp>
        <v>5</v>
        <stp/>
        <stp>f7b1c821-c937-46d1-8125-fc51e7a081bb</stp>
        <tr r="G8622" s="2"/>
      </tp>
      <tp>
        <v>5</v>
        <stp/>
        <stp>2535abc2-9027-45fd-8158-1bff3f6241b2</stp>
        <tr r="G1761" s="2"/>
      </tp>
      <tp>
        <v>5</v>
        <stp/>
        <stp>dd9c4bd3-cd8a-4944-99de-c0271743e802</stp>
        <tr r="G9883" s="2"/>
      </tp>
      <tp>
        <v>5</v>
        <stp/>
        <stp>da44e85d-f53a-45bd-92f2-76c01b6c0c9f</stp>
        <tr r="G4450" s="2"/>
      </tp>
      <tp>
        <v>5</v>
        <stp/>
        <stp>8c99b057-a671-4da6-9fce-68b01b4977c6</stp>
        <tr r="G1506" s="2"/>
      </tp>
    </main>
    <main first="rtdsrv_a82eb5a1fc404542a18b1336b70d2c4e">
      <tp>
        <v>5</v>
        <stp/>
        <stp>5834528b-d713-4fb4-a07d-54cf1a31e2c4</stp>
        <tr r="G9982" s="2"/>
      </tp>
    </main>
    <main first="rtdsrv_a82eb5a1fc404542a18b1336b70d2c4e">
      <tp>
        <v>5</v>
        <stp/>
        <stp>c92aba32-f283-40ad-aff9-09b4c8bd47ae</stp>
        <tr r="G6356" s="2"/>
      </tp>
      <tp>
        <v>5</v>
        <stp/>
        <stp>4f4ddc30-07f6-4fd8-81b9-7dc531e310db</stp>
        <tr r="G9655" s="2"/>
      </tp>
    </main>
    <main first="rtdsrv_a82eb5a1fc404542a18b1336b70d2c4e">
      <tp>
        <v>5</v>
        <stp/>
        <stp>dac1fe2c-d21a-4ca7-aeff-a5ecf886063b</stp>
        <tr r="G9249" s="2"/>
      </tp>
      <tp>
        <v>5</v>
        <stp/>
        <stp>b5b5830d-eea1-4afa-8128-0e6309d54f69</stp>
        <tr r="G650" s="2"/>
      </tp>
    </main>
    <main first="rtdsrv_a82eb5a1fc404542a18b1336b70d2c4e">
      <tp>
        <v>5</v>
        <stp/>
        <stp>5f66da66-0722-4fd4-849d-857185862079</stp>
        <tr r="G8350" s="2"/>
      </tp>
    </main>
    <main first="rtdsrv_a82eb5a1fc404542a18b1336b70d2c4e">
      <tp>
        <v>5</v>
        <stp/>
        <stp>6202ad91-c18d-426b-a570-8ab0e81d830b</stp>
        <tr r="G6483" s="2"/>
      </tp>
    </main>
    <main first="rtdsrv_a82eb5a1fc404542a18b1336b70d2c4e">
      <tp>
        <v>5</v>
        <stp/>
        <stp>3d2b45c0-9b65-47a6-acc8-ca50a2c97d96</stp>
        <tr r="G2570" s="2"/>
      </tp>
      <tp>
        <v>5</v>
        <stp/>
        <stp>2ca555bd-f2b1-4187-8ffe-0b4058562112</stp>
        <tr r="G1227" s="2"/>
      </tp>
      <tp>
        <v>5</v>
        <stp/>
        <stp>630815af-7020-4df3-86aa-256238b4fd08</stp>
        <tr r="G5996" s="2"/>
      </tp>
    </main>
    <main first="rtdsrv_a82eb5a1fc404542a18b1336b70d2c4e">
      <tp>
        <v>5</v>
        <stp/>
        <stp>cf2ae933-d1a5-4a4a-a4d6-e2fa4b1a4d58</stp>
        <tr r="G3639" s="2"/>
      </tp>
      <tp>
        <v>5</v>
        <stp/>
        <stp>e9ac07cc-edd3-4ef6-9eae-cd007d5d26b9</stp>
        <tr r="G2789" s="2"/>
      </tp>
      <tp>
        <v>5</v>
        <stp/>
        <stp>38a696c7-71fa-424f-afa6-2b50926aedb3</stp>
        <tr r="G6414" s="2"/>
      </tp>
    </main>
    <main first="rtdsrv_a82eb5a1fc404542a18b1336b70d2c4e">
      <tp>
        <v>5</v>
        <stp/>
        <stp>4f4c4955-b265-4824-b8bc-1675dfa951bf</stp>
        <tr r="G941" s="2"/>
      </tp>
    </main>
    <main first="rtdsrv_a82eb5a1fc404542a18b1336b70d2c4e">
      <tp>
        <v>5</v>
        <stp/>
        <stp>f3bc891a-27b5-440d-b26d-ea12d3d5221c</stp>
        <tr r="G2210" s="2"/>
      </tp>
      <tp>
        <v>5</v>
        <stp/>
        <stp>2aba1984-93fd-4707-8363-188a0d070669</stp>
        <tr r="G1511" s="2"/>
      </tp>
    </main>
    <main first="rtdsrv_a82eb5a1fc404542a18b1336b70d2c4e">
      <tp>
        <v>5</v>
        <stp/>
        <stp>7dfa9bc0-f385-411f-b024-d6cb21518907</stp>
        <tr r="G2402" s="2"/>
      </tp>
    </main>
    <main first="rtdsrv_a82eb5a1fc404542a18b1336b70d2c4e">
      <tp>
        <v>5</v>
        <stp/>
        <stp>0be6e481-7118-44a0-8f37-1deec8cc5489</stp>
        <tr r="G5184" s="2"/>
      </tp>
    </main>
    <main first="rtdsrv_a82eb5a1fc404542a18b1336b70d2c4e">
      <tp>
        <v>5</v>
        <stp/>
        <stp>7e2b6747-6194-42ac-8fd5-c8d3371b7f20</stp>
        <tr r="G1470" s="2"/>
      </tp>
    </main>
    <main first="rtdsrv_a82eb5a1fc404542a18b1336b70d2c4e">
      <tp>
        <v>5</v>
        <stp/>
        <stp>7c7a937c-0deb-470a-887c-96a1c814c22e</stp>
        <tr r="G8247" s="2"/>
      </tp>
      <tp>
        <v>5</v>
        <stp/>
        <stp>182c8ceb-c3de-434d-8952-5cef1fedbf3d</stp>
        <tr r="G2586" s="2"/>
      </tp>
      <tp>
        <v>5</v>
        <stp/>
        <stp>cfc95ddc-2fc9-4ed8-b4c2-00b82ad6b009</stp>
        <tr r="G405" s="2"/>
      </tp>
    </main>
    <main first="rtdsrv_a82eb5a1fc404542a18b1336b70d2c4e">
      <tp>
        <v>5</v>
        <stp/>
        <stp>4907a416-4120-43ba-9d63-a2c7ea1e3749</stp>
        <tr r="G7172" s="2"/>
      </tp>
      <tp>
        <v>5</v>
        <stp/>
        <stp>cad601e9-836e-4a27-be6f-0cf77f5fafb6</stp>
        <tr r="G5392" s="2"/>
      </tp>
    </main>
    <main first="rtdsrv_a82eb5a1fc404542a18b1336b70d2c4e">
      <tp>
        <v>5</v>
        <stp/>
        <stp>31ffa9db-c92e-4d67-9698-9490ec9538f4</stp>
        <tr r="G6030" s="2"/>
      </tp>
    </main>
    <main first="rtdsrv_a82eb5a1fc404542a18b1336b70d2c4e">
      <tp>
        <v>5</v>
        <stp/>
        <stp>88826e0a-c9b3-454f-b120-a34647a32d2b</stp>
        <tr r="G5767" s="2"/>
      </tp>
      <tp>
        <v>5</v>
        <stp/>
        <stp>a20c30b5-734e-4aeb-ba33-19cc8c21c4e1</stp>
        <tr r="G9596" s="2"/>
      </tp>
    </main>
    <main first="rtdsrv_a82eb5a1fc404542a18b1336b70d2c4e">
      <tp>
        <v>5</v>
        <stp/>
        <stp>0ff59d31-5f77-4a24-9286-d6e5866c2101</stp>
        <tr r="G249" s="2"/>
      </tp>
      <tp>
        <v>5</v>
        <stp/>
        <stp>cce21797-f5a3-4ba0-8e98-1c72b782fe82</stp>
        <tr r="G9450" s="2"/>
      </tp>
      <tp>
        <v>5</v>
        <stp/>
        <stp>5bd05fd2-ef2d-4038-b341-e11d2e987392</stp>
        <tr r="G4360" s="2"/>
      </tp>
      <tp>
        <v>5</v>
        <stp/>
        <stp>57a6e67b-3d99-437c-bdba-7313b312d951</stp>
        <tr r="G5831" s="2"/>
      </tp>
      <tp>
        <v>5</v>
        <stp/>
        <stp>6c9e07f5-a00d-4293-97a6-f74308218b9d</stp>
        <tr r="G4047" s="2"/>
      </tp>
      <tp>
        <v>5</v>
        <stp/>
        <stp>b8edad50-2b3a-46db-aff0-fee867714267</stp>
        <tr r="G3145" s="2"/>
      </tp>
      <tp>
        <v>5</v>
        <stp/>
        <stp>9be131fd-0227-46ba-95cc-a12ffc3cb95c</stp>
        <tr r="G533" s="2"/>
      </tp>
      <tp>
        <v>5</v>
        <stp/>
        <stp>6ca088d6-d7f8-4445-8b7b-36a1944005cb</stp>
        <tr r="G1961" s="2"/>
      </tp>
      <tp>
        <v>5</v>
        <stp/>
        <stp>6d2ea3f6-a245-42e9-84c3-b4560d62c60a</stp>
        <tr r="G5664" s="2"/>
      </tp>
      <tp>
        <v>5</v>
        <stp/>
        <stp>2566d8d1-e1d8-4ec3-96c2-ba68fa8b0290</stp>
        <tr r="G2769" s="2"/>
      </tp>
      <tp>
        <v>5</v>
        <stp/>
        <stp>d33e32a1-324e-4a7f-a5b5-31d005f01812</stp>
        <tr r="G4397" s="2"/>
      </tp>
    </main>
    <main first="rtdsrv_a82eb5a1fc404542a18b1336b70d2c4e">
      <tp>
        <v>5</v>
        <stp/>
        <stp>1696f585-bc01-4ab0-9e8a-dff0013a540b</stp>
        <tr r="G8967" s="2"/>
      </tp>
      <tp>
        <v>5</v>
        <stp/>
        <stp>6dee8993-dcef-48e2-b6bf-6bfd599118a8</stp>
        <tr r="G7200" s="2"/>
      </tp>
    </main>
    <main first="rtdsrv_a82eb5a1fc404542a18b1336b70d2c4e">
      <tp>
        <v>5</v>
        <stp/>
        <stp>eac2b12a-92da-4c80-a084-79f0003aabee</stp>
        <tr r="G5267" s="2"/>
      </tp>
    </main>
    <main first="rtdsrv_a82eb5a1fc404542a18b1336b70d2c4e">
      <tp>
        <v>5</v>
        <stp/>
        <stp>833f78ed-b3ec-4815-ab3e-7ed44e2cbe18</stp>
        <tr r="G6258" s="2"/>
      </tp>
    </main>
    <main first="rtdsrv_a82eb5a1fc404542a18b1336b70d2c4e">
      <tp>
        <v>5</v>
        <stp/>
        <stp>4c847708-a859-4167-bf45-421a07d1597f</stp>
        <tr r="G6571" s="2"/>
      </tp>
    </main>
    <main first="rtdsrv_a82eb5a1fc404542a18b1336b70d2c4e">
      <tp>
        <v>5</v>
        <stp/>
        <stp>28790695-a89e-4a38-9f84-6814f9b60d67</stp>
        <tr r="G3195" s="2"/>
      </tp>
    </main>
    <main first="rtdsrv_a82eb5a1fc404542a18b1336b70d2c4e">
      <tp>
        <v>5</v>
        <stp/>
        <stp>514ea67e-92e6-4228-84bc-e5e4a9ed4b5e</stp>
        <tr r="G30" s="2"/>
      </tp>
      <tp>
        <v>5</v>
        <stp/>
        <stp>e082b4ef-ac52-4cff-8cea-c48cba020901</stp>
        <tr r="G4598" s="2"/>
      </tp>
      <tp>
        <v>5</v>
        <stp/>
        <stp>97fe6ede-90de-4aaf-aa7b-ceb3863f1ca5</stp>
        <tr r="G6762" s="2"/>
      </tp>
      <tp>
        <v>5</v>
        <stp/>
        <stp>bf163b90-fb2a-4504-a90e-5083d94d2ec2</stp>
        <tr r="G362" s="2"/>
      </tp>
    </main>
    <main first="rtdsrv_a82eb5a1fc404542a18b1336b70d2c4e">
      <tp>
        <v>5</v>
        <stp/>
        <stp>86e01ef5-d2f8-449d-8a03-f15f9a58c9b6</stp>
        <tr r="G9604" s="2"/>
      </tp>
    </main>
    <main first="rtdsrv_a82eb5a1fc404542a18b1336b70d2c4e">
      <tp>
        <v>5</v>
        <stp/>
        <stp>3b455574-6f4c-469b-bc13-b33e08ae93da</stp>
        <tr r="G7008" s="2"/>
      </tp>
    </main>
    <main first="rtdsrv_a82eb5a1fc404542a18b1336b70d2c4e">
      <tp>
        <v>5</v>
        <stp/>
        <stp>c2499a6c-7a2f-4286-ba7d-e86d2350cddf</stp>
        <tr r="G3183" s="2"/>
      </tp>
    </main>
    <main first="rtdsrv_a82eb5a1fc404542a18b1336b70d2c4e">
      <tp>
        <v>5</v>
        <stp/>
        <stp>f004cb63-6010-4383-b7d2-c8c9d4a5a5f9</stp>
        <tr r="G9753" s="2"/>
      </tp>
    </main>
    <main first="rtdsrv_a82eb5a1fc404542a18b1336b70d2c4e">
      <tp>
        <v>5</v>
        <stp/>
        <stp>3a68fec4-32aa-4099-ad61-4255221ed221</stp>
        <tr r="G9886" s="2"/>
      </tp>
      <tp>
        <v>5</v>
        <stp/>
        <stp>fcc2c472-239d-4057-809a-b5bafb401609</stp>
        <tr r="G5075" s="2"/>
      </tp>
    </main>
    <main first="rtdsrv_a82eb5a1fc404542a18b1336b70d2c4e">
      <tp>
        <v>5</v>
        <stp/>
        <stp>5d6aabda-1337-4cb1-993c-e998eb8bcdb6</stp>
        <tr r="G1764" s="2"/>
      </tp>
    </main>
    <main first="rtdsrv_a82eb5a1fc404542a18b1336b70d2c4e">
      <tp>
        <v>5</v>
        <stp/>
        <stp>948877a5-eec4-417d-861e-a9036c9f1c17</stp>
        <tr r="G4309" s="2"/>
      </tp>
      <tp>
        <v>5</v>
        <stp/>
        <stp>68871f96-5bd0-414c-84f6-3f4e86760479</stp>
        <tr r="G4007" s="2"/>
      </tp>
    </main>
    <main first="rtdsrv_a82eb5a1fc404542a18b1336b70d2c4e">
      <tp>
        <v>5</v>
        <stp/>
        <stp>83b1f2bc-2f76-43e8-8ce3-40d3473d8cc9</stp>
        <tr r="G7332" s="2"/>
      </tp>
      <tp>
        <v>5</v>
        <stp/>
        <stp>5105550c-fc7a-45f0-9bcc-d448b705a8ea</stp>
        <tr r="G6447" s="2"/>
      </tp>
      <tp>
        <v>5</v>
        <stp/>
        <stp>9ec62f54-28ae-4585-8f5b-1f052e93c8de</stp>
        <tr r="G2478" s="2"/>
      </tp>
    </main>
    <main first="rtdsrv_a82eb5a1fc404542a18b1336b70d2c4e">
      <tp>
        <v>5</v>
        <stp/>
        <stp>acdfc955-daf9-4031-a2c3-4b4e7a75beae</stp>
        <tr r="G8998" s="2"/>
      </tp>
    </main>
    <main first="rtdsrv_a82eb5a1fc404542a18b1336b70d2c4e">
      <tp>
        <v>5</v>
        <stp/>
        <stp>af04287d-a70e-4f1d-9310-50f395ef2eb4</stp>
        <tr r="G9521" s="2"/>
      </tp>
    </main>
    <main first="rtdsrv_a82eb5a1fc404542a18b1336b70d2c4e">
      <tp>
        <v>5</v>
        <stp/>
        <stp>6ebf4564-2575-4e12-8934-605b58c2cab3</stp>
        <tr r="G4151" s="2"/>
      </tp>
    </main>
    <main first="rtdsrv_a82eb5a1fc404542a18b1336b70d2c4e">
      <tp>
        <v>5</v>
        <stp/>
        <stp>3319fe18-376c-47f9-a8af-e78b8f3b7f8f</stp>
        <tr r="G1650" s="2"/>
      </tp>
    </main>
    <main first="rtdsrv_a82eb5a1fc404542a18b1336b70d2c4e">
      <tp>
        <v>5</v>
        <stp/>
        <stp>2a6cdcf4-1a8f-4449-914a-decbe5337db0</stp>
        <tr r="G2118" s="2"/>
      </tp>
    </main>
    <main first="rtdsrv_a82eb5a1fc404542a18b1336b70d2c4e">
      <tp>
        <v>5</v>
        <stp/>
        <stp>3c15aaf0-9b23-46c2-b52b-7a2aea64b119</stp>
        <tr r="G8440" s="2"/>
      </tp>
      <tp>
        <v>5</v>
        <stp/>
        <stp>830a6c58-6d50-4a48-936c-1f42122746fd</stp>
        <tr r="G1459" s="2"/>
      </tp>
      <tp>
        <v>5</v>
        <stp/>
        <stp>d24ecde0-f16e-4bb9-a05e-e6eff0f5c0dd</stp>
        <tr r="G869" s="2"/>
      </tp>
      <tp>
        <v>5</v>
        <stp/>
        <stp>f6f0b030-2bcd-4c29-93ba-2446ffaa77a0</stp>
        <tr r="G5487" s="2"/>
      </tp>
    </main>
    <main first="rtdsrv_a82eb5a1fc404542a18b1336b70d2c4e">
      <tp>
        <v>5</v>
        <stp/>
        <stp>b7e4710b-738c-4aeb-a4ff-ecde7d7bd813</stp>
        <tr r="G6924" s="2"/>
      </tp>
      <tp>
        <v>5</v>
        <stp/>
        <stp>786795ff-0b48-40c0-b303-2e19ef3e24a0</stp>
        <tr r="G3853" s="2"/>
      </tp>
      <tp>
        <v>5</v>
        <stp/>
        <stp>aed8c6f9-ff40-42cc-a36f-4bd020c0c8fd</stp>
        <tr r="G9211" s="2"/>
      </tp>
    </main>
    <main first="rtdsrv_a82eb5a1fc404542a18b1336b70d2c4e">
      <tp>
        <v>5</v>
        <stp/>
        <stp>b56498f6-ffa8-4819-ab0b-d1301a0d184a</stp>
        <tr r="G5850" s="2"/>
      </tp>
    </main>
    <main first="rtdsrv_a82eb5a1fc404542a18b1336b70d2c4e">
      <tp>
        <v>5</v>
        <stp/>
        <stp>dc71d41b-8d80-48a1-9b77-edf416d96143</stp>
        <tr r="G8647" s="2"/>
      </tp>
      <tp>
        <v>5</v>
        <stp/>
        <stp>21bf777a-8570-4461-a574-714cf717142d</stp>
        <tr r="G6433" s="2"/>
      </tp>
    </main>
    <main first="rtdsrv_a82eb5a1fc404542a18b1336b70d2c4e">
      <tp>
        <v>5</v>
        <stp/>
        <stp>a8c47887-d8f8-4138-a98d-16183489232c</stp>
        <tr r="G7404" s="2"/>
      </tp>
    </main>
    <main first="rtdsrv_a82eb5a1fc404542a18b1336b70d2c4e">
      <tp>
        <v>5</v>
        <stp/>
        <stp>977feb75-f8ce-4967-92d3-e6057278010c</stp>
        <tr r="G5063" s="2"/>
      </tp>
    </main>
    <main first="rtdsrv_a82eb5a1fc404542a18b1336b70d2c4e">
      <tp>
        <v>5</v>
        <stp/>
        <stp>aa27cbcc-86d4-4d4b-ba63-f9a2b39ef009</stp>
        <tr r="G2463" s="2"/>
      </tp>
      <tp>
        <v>5</v>
        <stp/>
        <stp>148da4e7-433d-4710-a520-fd1edda3ec29</stp>
        <tr r="G6876" s="2"/>
      </tp>
      <tp>
        <v>5</v>
        <stp/>
        <stp>952cef8c-317e-4a53-990e-62a4361d822d</stp>
        <tr r="G3020" s="2"/>
      </tp>
    </main>
    <main first="rtdsrv_a82eb5a1fc404542a18b1336b70d2c4e">
      <tp>
        <v>5</v>
        <stp/>
        <stp>251ba515-164a-4af9-af04-cc45f881f63f</stp>
        <tr r="G1517" s="2"/>
      </tp>
    </main>
    <main first="rtdsrv_a82eb5a1fc404542a18b1336b70d2c4e">
      <tp>
        <v>5</v>
        <stp/>
        <stp>ee666f04-5542-4669-bf8f-bb0fe2a59290</stp>
        <tr r="G6947" s="2"/>
      </tp>
      <tp>
        <v>5</v>
        <stp/>
        <stp>deddc321-2389-4dc7-b002-a68f8162a1d7</stp>
        <tr r="G8238" s="2"/>
      </tp>
    </main>
    <main first="rtdsrv_a82eb5a1fc404542a18b1336b70d2c4e">
      <tp>
        <v>5</v>
        <stp/>
        <stp>cdb023b8-d952-4f33-9ffa-4537d107f7f7</stp>
        <tr r="G2646" s="2"/>
      </tp>
    </main>
    <main first="rtdsrv_a82eb5a1fc404542a18b1336b70d2c4e">
      <tp>
        <v>5</v>
        <stp/>
        <stp>2f910eca-18b6-4059-bd2e-1d4a489f2070</stp>
        <tr r="G1022" s="2"/>
      </tp>
      <tp>
        <v>5</v>
        <stp/>
        <stp>81ccc052-3da4-4e4c-a95e-049b13a97628</stp>
        <tr r="G2030" s="2"/>
      </tp>
      <tp>
        <v>5</v>
        <stp/>
        <stp>ce707e8a-611b-45c3-a74d-03a4b3b05ddb</stp>
        <tr r="G8600" s="2"/>
      </tp>
      <tp>
        <v>5</v>
        <stp/>
        <stp>a758371e-b44f-42ad-9688-534b199cca80</stp>
        <tr r="G6699" s="2"/>
      </tp>
    </main>
    <main first="rtdsrv_a82eb5a1fc404542a18b1336b70d2c4e">
      <tp>
        <v>5</v>
        <stp/>
        <stp>38e1d660-59d0-4591-86cb-e043f95aa54d</stp>
        <tr r="G9376" s="2"/>
      </tp>
    </main>
    <main first="rtdsrv_a82eb5a1fc404542a18b1336b70d2c4e">
      <tp>
        <v>5</v>
        <stp/>
        <stp>92043be6-09fa-4b1c-924a-2bef9d00cde6</stp>
        <tr r="G7137" s="2"/>
      </tp>
      <tp>
        <v>5</v>
        <stp/>
        <stp>922bbd98-80c6-4f3f-b6cd-ed062cab8933</stp>
        <tr r="G9328" s="2"/>
      </tp>
    </main>
    <main first="rtdsrv_a82eb5a1fc404542a18b1336b70d2c4e">
      <tp>
        <v>5</v>
        <stp/>
        <stp>242963a1-d1ca-4db3-9c20-071168db289e</stp>
        <tr r="G7478" s="2"/>
      </tp>
      <tp>
        <v>5</v>
        <stp/>
        <stp>df3e1acc-18f9-4a65-bd53-6bdb7e6b8d7b</stp>
        <tr r="G4822" s="2"/>
      </tp>
    </main>
    <main first="rtdsrv_a82eb5a1fc404542a18b1336b70d2c4e">
      <tp>
        <v>5</v>
        <stp/>
        <stp>972de667-6431-4a81-b4ae-ec9527718fed</stp>
        <tr r="G2322" s="2"/>
      </tp>
    </main>
    <main first="rtdsrv_a82eb5a1fc404542a18b1336b70d2c4e">
      <tp>
        <v>5</v>
        <stp/>
        <stp>9f5f4dd1-a653-45b5-8c5c-82095029048e</stp>
        <tr r="G9000" s="2"/>
      </tp>
      <tp>
        <v>5</v>
        <stp/>
        <stp>3eac6f71-42ae-4826-9523-9df5418cb370</stp>
        <tr r="G6315" s="2"/>
      </tp>
      <tp>
        <v>5</v>
        <stp/>
        <stp>95fd5c6f-c800-463c-ba64-9a0b5cfe8747</stp>
        <tr r="G2171" s="2"/>
      </tp>
    </main>
    <main first="rtdsrv_a82eb5a1fc404542a18b1336b70d2c4e">
      <tp>
        <v>5</v>
        <stp/>
        <stp>9c3171f0-e33c-45c6-93dd-70806bbb8bf1</stp>
        <tr r="G3262" s="2"/>
      </tp>
      <tp>
        <v>5</v>
        <stp/>
        <stp>65b34c5b-9dfc-4159-aad9-36e8e4c4ce24</stp>
        <tr r="G6291" s="2"/>
      </tp>
    </main>
    <main first="rtdsrv_a82eb5a1fc404542a18b1336b70d2c4e">
      <tp>
        <v>5</v>
        <stp/>
        <stp>23390ffc-6934-451f-858d-a45809f64ee3</stp>
        <tr r="G4065" s="2"/>
      </tp>
      <tp>
        <v>5</v>
        <stp/>
        <stp>da873ec4-07ff-48e5-b030-a2f11f23436d</stp>
        <tr r="G9191" s="2"/>
      </tp>
      <tp>
        <v>5</v>
        <stp/>
        <stp>796e1097-2762-4de9-84a1-e34423ad66b3</stp>
        <tr r="G965" s="2"/>
      </tp>
      <tp>
        <v>5</v>
        <stp/>
        <stp>3e8123b9-ec8c-438c-a8cc-350dcffa353c</stp>
        <tr r="G7751" s="2"/>
      </tp>
      <tp>
        <v>5</v>
        <stp/>
        <stp>95c5a57d-f1aa-416b-95a0-f3080fb50e80</stp>
        <tr r="G3618" s="2"/>
      </tp>
      <tp>
        <v>5</v>
        <stp/>
        <stp>f31beaff-4539-4aa3-bfa3-04ea842d7a96</stp>
        <tr r="G4185" s="2"/>
      </tp>
    </main>
    <main first="rtdsrv_a82eb5a1fc404542a18b1336b70d2c4e">
      <tp>
        <v>5</v>
        <stp/>
        <stp>a507a442-7851-4148-88ee-296000f8976e</stp>
        <tr r="G4786" s="2"/>
      </tp>
      <tp>
        <v>5</v>
        <stp/>
        <stp>bd8d4e9e-34b8-49cd-85f4-cba20a9cdfff</stp>
        <tr r="G6212" s="2"/>
      </tp>
      <tp>
        <v>5</v>
        <stp/>
        <stp>45829005-24f8-4ad1-a6e7-77fedc017bbc</stp>
        <tr r="G397" s="2"/>
      </tp>
      <tp>
        <v>5</v>
        <stp/>
        <stp>578d78e5-7092-4721-b21f-3868b3dbbff0</stp>
        <tr r="G8467" s="2"/>
      </tp>
      <tp>
        <v>5</v>
        <stp/>
        <stp>e9702fe3-aaf0-4aec-809c-cb1a0b89c1f3</stp>
        <tr r="G3117" s="2"/>
      </tp>
    </main>
    <main first="rtdsrv_a82eb5a1fc404542a18b1336b70d2c4e">
      <tp>
        <v>5</v>
        <stp/>
        <stp>354c64bc-0bbc-461d-90a8-7db17250a7d1</stp>
        <tr r="G8951" s="2"/>
      </tp>
      <tp>
        <v>5</v>
        <stp/>
        <stp>391a91b8-52f0-43ab-bb09-a91897f88401</stp>
        <tr r="G7850" s="2"/>
      </tp>
      <tp>
        <v>5</v>
        <stp/>
        <stp>0ea89c5c-767a-4723-8c29-bf88c1d25286</stp>
        <tr r="G5290" s="2"/>
      </tp>
    </main>
    <main first="rtdsrv_a82eb5a1fc404542a18b1336b70d2c4e">
      <tp>
        <v>5</v>
        <stp/>
        <stp>12067469-c056-49ac-87e0-558ad6b6c5c7</stp>
        <tr r="G8983" s="2"/>
      </tp>
      <tp>
        <v>5</v>
        <stp/>
        <stp>22633a97-bb25-449f-9d59-4725cda49d8a</stp>
        <tr r="G4967" s="2"/>
      </tp>
    </main>
    <main first="rtdsrv_a82eb5a1fc404542a18b1336b70d2c4e">
      <tp>
        <v>5</v>
        <stp/>
        <stp>04e6fc1c-0c33-48c5-9eda-80d6e7204d8c</stp>
        <tr r="G2220" s="2"/>
      </tp>
    </main>
    <main first="rtdsrv_a82eb5a1fc404542a18b1336b70d2c4e">
      <tp>
        <v>5</v>
        <stp/>
        <stp>44592b0a-56af-41c6-8bab-17a45783aa08</stp>
        <tr r="G7125" s="2"/>
      </tp>
    </main>
    <main first="rtdsrv_a82eb5a1fc404542a18b1336b70d2c4e">
      <tp>
        <v>5</v>
        <stp/>
        <stp>7e41e22f-a88a-41b6-92c0-c7c96d71deb0</stp>
        <tr r="G5380" s="2"/>
      </tp>
      <tp>
        <v>5</v>
        <stp/>
        <stp>d3e1925e-eb04-4643-98ba-a4bfeb87a61e</stp>
        <tr r="G8574" s="2"/>
      </tp>
    </main>
    <main first="rtdsrv_a82eb5a1fc404542a18b1336b70d2c4e">
      <tp>
        <v>5</v>
        <stp/>
        <stp>ad8a5ed3-cf6e-40ef-89cb-bc6de5068dfe</stp>
        <tr r="G9559" s="2"/>
      </tp>
    </main>
    <main first="rtdsrv_a82eb5a1fc404542a18b1336b70d2c4e">
      <tp>
        <v>5</v>
        <stp/>
        <stp>413c338a-2ec1-46fc-b0b5-b5f2b7299f69</stp>
        <tr r="G7312" s="2"/>
      </tp>
      <tp>
        <v>5</v>
        <stp/>
        <stp>a7fc0249-c605-4f17-8cf9-058aa1d47f8a</stp>
        <tr r="G2734" s="2"/>
      </tp>
      <tp>
        <v>5</v>
        <stp/>
        <stp>4b799989-61bf-4f71-a101-697aff92af86</stp>
        <tr r="G4829" s="2"/>
      </tp>
    </main>
    <main first="rtdsrv_a82eb5a1fc404542a18b1336b70d2c4e">
      <tp>
        <v>5</v>
        <stp/>
        <stp>4390e1c6-54da-4cc9-884c-d973e7537a66</stp>
        <tr r="G9768" s="2"/>
      </tp>
    </main>
    <main first="rtdsrv_a82eb5a1fc404542a18b1336b70d2c4e">
      <tp>
        <v>5</v>
        <stp/>
        <stp>9a86371a-3c16-44ee-973f-0a684e545b62</stp>
        <tr r="G8829" s="2"/>
      </tp>
      <tp>
        <v>5</v>
        <stp/>
        <stp>a80977de-6828-4a1d-9dc9-ae8328b7866d</stp>
        <tr r="G3492" s="2"/>
      </tp>
    </main>
    <main first="rtdsrv_a82eb5a1fc404542a18b1336b70d2c4e">
      <tp>
        <v>5</v>
        <stp/>
        <stp>a8ef95ae-9809-42d4-9504-82f66e3d92d9</stp>
        <tr r="G3226" s="2"/>
      </tp>
      <tp>
        <v>5</v>
        <stp/>
        <stp>9ca6469d-336a-4dae-bafa-38a9206f78dc</stp>
        <tr r="G7286" s="2"/>
      </tp>
    </main>
    <main first="rtdsrv_a82eb5a1fc404542a18b1336b70d2c4e">
      <tp>
        <v>5</v>
        <stp/>
        <stp>d4426273-a187-40e6-8a69-21ef9bf65a18</stp>
        <tr r="G6780" s="2"/>
      </tp>
      <tp>
        <v>5</v>
        <stp/>
        <stp>ef3fc9a5-f616-46f1-889e-cee987d78698</stp>
        <tr r="G6942" s="2"/>
      </tp>
      <tp>
        <v>5</v>
        <stp/>
        <stp>da7ec928-4f0a-4950-a694-5f82d5abfc4a</stp>
        <tr r="G6408" s="2"/>
      </tp>
    </main>
    <main first="rtdsrv_a82eb5a1fc404542a18b1336b70d2c4e">
      <tp>
        <v>5</v>
        <stp/>
        <stp>06080ef7-c775-4727-9d60-7ec7d6110791</stp>
        <tr r="G5363" s="2"/>
      </tp>
    </main>
    <main first="rtdsrv_a82eb5a1fc404542a18b1336b70d2c4e">
      <tp>
        <v>5</v>
        <stp/>
        <stp>ab5d7191-dfc7-4ffe-93b9-33e1fa4b7787</stp>
        <tr r="G8029" s="2"/>
      </tp>
    </main>
    <main first="rtdsrv_a82eb5a1fc404542a18b1336b70d2c4e">
      <tp>
        <v>5</v>
        <stp/>
        <stp>6e4aecd4-ebea-44e6-904d-50040addce8b</stp>
        <tr r="G8900" s="2"/>
      </tp>
    </main>
    <main first="rtdsrv_a82eb5a1fc404542a18b1336b70d2c4e">
      <tp>
        <v>5</v>
        <stp/>
        <stp>eeb21a23-5d93-4681-af10-5313b6875a74</stp>
        <tr r="G4546" s="2"/>
      </tp>
    </main>
    <main first="rtdsrv_a82eb5a1fc404542a18b1336b70d2c4e">
      <tp>
        <v>5</v>
        <stp/>
        <stp>7182c605-2c26-4f26-9cd6-6a1a0b7471af</stp>
        <tr r="G3691" s="2"/>
      </tp>
      <tp>
        <v>5</v>
        <stp/>
        <stp>9694aa47-b4c6-4721-854b-04aa1bada3a3</stp>
        <tr r="G8368" s="2"/>
      </tp>
    </main>
    <main first="rtdsrv_a82eb5a1fc404542a18b1336b70d2c4e">
      <tp>
        <v>5</v>
        <stp/>
        <stp>a349f673-57cb-41e5-a82c-9d98004036a6</stp>
        <tr r="G1988" s="2"/>
      </tp>
    </main>
    <main first="rtdsrv_a82eb5a1fc404542a18b1336b70d2c4e">
      <tp>
        <v>5</v>
        <stp/>
        <stp>a56e500b-b224-4831-bd24-72506661e589</stp>
        <tr r="G3238" s="2"/>
      </tp>
      <tp>
        <v>5</v>
        <stp/>
        <stp>aa98166e-ea02-443e-ae4e-c5a5263b55b8</stp>
        <tr r="G2906" s="2"/>
      </tp>
      <tp>
        <v>5</v>
        <stp/>
        <stp>0ac1c410-2d56-4f67-ace0-1672909eef38</stp>
        <tr r="G6125" s="2"/>
      </tp>
      <tp>
        <v>5</v>
        <stp/>
        <stp>1f2cf72e-ef5b-41e0-bae8-a2e88edc9cdd</stp>
        <tr r="G6087" s="2"/>
      </tp>
    </main>
    <main first="rtdsrv_a82eb5a1fc404542a18b1336b70d2c4e">
      <tp>
        <v>5</v>
        <stp/>
        <stp>c71b8109-1277-4e11-b209-1af11d223fe0</stp>
        <tr r="G4305" s="2"/>
      </tp>
      <tp>
        <v>5</v>
        <stp/>
        <stp>fa990695-39e0-4623-ad31-bda53e3fd0a5</stp>
        <tr r="G17" s="2"/>
      </tp>
      <tp>
        <v>5</v>
        <stp/>
        <stp>31b66148-4929-485c-a34f-4af1b6f91a24</stp>
        <tr r="G3950" s="2"/>
      </tp>
    </main>
    <main first="rtdsrv_a82eb5a1fc404542a18b1336b70d2c4e">
      <tp>
        <v>5</v>
        <stp/>
        <stp>da25f6ce-731a-4b4a-b203-8cfd7c2b8d1c</stp>
        <tr r="G9575" s="2"/>
      </tp>
    </main>
    <main first="rtdsrv_a82eb5a1fc404542a18b1336b70d2c4e">
      <tp>
        <v>5</v>
        <stp/>
        <stp>6f6ff412-84bf-4cf8-bb49-52cfddec0e85</stp>
        <tr r="G6572" s="2"/>
      </tp>
    </main>
    <main first="rtdsrv_a82eb5a1fc404542a18b1336b70d2c4e">
      <tp>
        <v>5</v>
        <stp/>
        <stp>098ecff3-54ef-45da-9b9f-00b9fcc09491</stp>
        <tr r="G1399" s="2"/>
      </tp>
    </main>
    <main first="rtdsrv_a82eb5a1fc404542a18b1336b70d2c4e">
      <tp>
        <v>5</v>
        <stp/>
        <stp>6ec30066-18c7-4941-9714-d2ee36124591</stp>
        <tr r="G9654" s="2"/>
      </tp>
    </main>
    <main first="rtdsrv_a82eb5a1fc404542a18b1336b70d2c4e">
      <tp>
        <v>5</v>
        <stp/>
        <stp>ed696073-1ed5-4813-b065-06bbd4e067be</stp>
        <tr r="G3129" s="2"/>
      </tp>
    </main>
    <main first="rtdsrv_a82eb5a1fc404542a18b1336b70d2c4e">
      <tp>
        <v>5</v>
        <stp/>
        <stp>141d81f0-8a1e-4ac8-b788-1e290893451c</stp>
        <tr r="G6737" s="2"/>
      </tp>
    </main>
    <main first="rtdsrv_a82eb5a1fc404542a18b1336b70d2c4e">
      <tp>
        <v>5</v>
        <stp/>
        <stp>a97af906-c2cf-4893-9dd1-e5806596da18</stp>
        <tr r="G9089" s="2"/>
      </tp>
      <tp>
        <v>5</v>
        <stp/>
        <stp>e52c804c-7a4a-4627-8df5-50c300a876dd</stp>
        <tr r="G652" s="2"/>
      </tp>
      <tp>
        <v>5</v>
        <stp/>
        <stp>6191de42-81d9-49e0-88b9-f04d7b25d97b</stp>
        <tr r="G1265" s="2"/>
      </tp>
    </main>
    <main first="rtdsrv_a82eb5a1fc404542a18b1336b70d2c4e">
      <tp>
        <v>5</v>
        <stp/>
        <stp>4c3acb71-9745-478a-8a4f-cc5a98174cea</stp>
        <tr r="G2973" s="2"/>
      </tp>
      <tp>
        <v>5</v>
        <stp/>
        <stp>094f9d4a-e8ce-40d2-89ea-236d488bf1c4</stp>
        <tr r="G692" s="2"/>
      </tp>
      <tp>
        <v>5</v>
        <stp/>
        <stp>545a482d-9e8d-44e5-90c0-d2297a7f1ec0</stp>
        <tr r="G2777" s="2"/>
      </tp>
    </main>
    <main first="rtdsrv_a82eb5a1fc404542a18b1336b70d2c4e">
      <tp>
        <v>5</v>
        <stp/>
        <stp>b758b997-79f8-4616-bd1e-b6e1fd9e9981</stp>
        <tr r="G3726" s="2"/>
      </tp>
      <tp>
        <v>5</v>
        <stp/>
        <stp>b6020aba-bc0d-428f-a846-5a0d425e9a75</stp>
        <tr r="G864" s="2"/>
      </tp>
      <tp>
        <v>5</v>
        <stp/>
        <stp>611f5fb1-c08b-45be-9bef-23baf6f58d43</stp>
        <tr r="G2270" s="2"/>
      </tp>
      <tp>
        <v>5</v>
        <stp/>
        <stp>5d42370e-eb7f-4f5d-b40d-c42ee14b921c</stp>
        <tr r="G8727" s="2"/>
      </tp>
    </main>
    <main first="rtdsrv_a82eb5a1fc404542a18b1336b70d2c4e">
      <tp>
        <v>5</v>
        <stp/>
        <stp>0a89c549-2349-491e-903d-3e873ffd5f0e</stp>
        <tr r="G1586" s="2"/>
      </tp>
    </main>
    <main first="rtdsrv_a82eb5a1fc404542a18b1336b70d2c4e">
      <tp>
        <v>5</v>
        <stp/>
        <stp>5bcaf413-4502-4564-937e-e335a20e8546</stp>
        <tr r="G9593" s="2"/>
      </tp>
      <tp>
        <v>5</v>
        <stp/>
        <stp>3aa304ed-4afd-4a16-aaf7-770dda38d2de</stp>
        <tr r="G4500" s="2"/>
      </tp>
      <tp>
        <v>5</v>
        <stp/>
        <stp>db38063e-3bf2-450a-8feb-df16ef319678</stp>
        <tr r="G9649" s="2"/>
      </tp>
    </main>
    <main first="rtdsrv_a82eb5a1fc404542a18b1336b70d2c4e">
      <tp>
        <v>5</v>
        <stp/>
        <stp>4b2ea56c-3b2c-495a-8ede-ee6c7330cb35</stp>
        <tr r="G9658" s="2"/>
      </tp>
      <tp>
        <v>5</v>
        <stp/>
        <stp>1df65222-f0a6-4f98-b49d-8c3de27a8518</stp>
        <tr r="G6815" s="2"/>
      </tp>
    </main>
    <main first="rtdsrv_a82eb5a1fc404542a18b1336b70d2c4e">
      <tp>
        <v>5</v>
        <stp/>
        <stp>7706bd28-029c-4d1c-8975-065e61feaec5</stp>
        <tr r="G366" s="2"/>
      </tp>
    </main>
    <main first="rtdsrv_a82eb5a1fc404542a18b1336b70d2c4e">
      <tp>
        <v>5</v>
        <stp/>
        <stp>9fbf99da-80db-4a12-898b-2953932562fd</stp>
        <tr r="G3902" s="2"/>
      </tp>
      <tp>
        <v>5</v>
        <stp/>
        <stp>e51237b7-8c59-425a-a7b6-b91c20480e6a</stp>
        <tr r="G6456" s="2"/>
      </tp>
    </main>
    <main first="rtdsrv_a82eb5a1fc404542a18b1336b70d2c4e">
      <tp>
        <v>5</v>
        <stp/>
        <stp>ee55587e-19b1-4566-ac9d-6c075b8477ab</stp>
        <tr r="G2943" s="2"/>
      </tp>
      <tp>
        <v>5</v>
        <stp/>
        <stp>a67c187d-2381-4bb4-9d75-2b4731e089ab</stp>
        <tr r="G8618" s="2"/>
      </tp>
    </main>
    <main first="rtdsrv_a82eb5a1fc404542a18b1336b70d2c4e">
      <tp>
        <v>5</v>
        <stp/>
        <stp>cac5d40d-d59d-4664-80aa-e92f2915b126</stp>
        <tr r="G1777" s="2"/>
      </tp>
      <tp>
        <v>5</v>
        <stp/>
        <stp>4eb3c221-23c9-4190-80af-d050f7decfb0</stp>
        <tr r="G143" s="2"/>
      </tp>
      <tp>
        <v>5</v>
        <stp/>
        <stp>d50c158c-5d65-47d5-ae31-d12851812faf</stp>
        <tr r="G5560" s="2"/>
      </tp>
      <tp>
        <v>5</v>
        <stp/>
        <stp>93f6b930-ee81-4728-9616-f0e963fb703d</stp>
        <tr r="G3507" s="2"/>
      </tp>
      <tp>
        <v>5</v>
        <stp/>
        <stp>2e403059-e2c7-44b3-8603-eb374b0c3f58</stp>
        <tr r="G542" s="2"/>
      </tp>
    </main>
    <main first="rtdsrv_a82eb5a1fc404542a18b1336b70d2c4e">
      <tp>
        <v>5</v>
        <stp/>
        <stp>fa563337-f0d7-4591-a055-a7406f76946b</stp>
        <tr r="G246" s="2"/>
      </tp>
      <tp>
        <v>5</v>
        <stp/>
        <stp>1afed267-34ba-4f76-b2f6-dae440ec24d1</stp>
        <tr r="G689" s="2"/>
      </tp>
      <tp>
        <v>5</v>
        <stp/>
        <stp>baf0411b-5146-4a8c-a1ec-95606741c415</stp>
        <tr r="G9167" s="2"/>
      </tp>
      <tp>
        <v>5</v>
        <stp/>
        <stp>a6ef7061-b25a-418d-8a05-110cd6f7db4c</stp>
        <tr r="G5867" s="2"/>
      </tp>
      <tp>
        <v>5</v>
        <stp/>
        <stp>a1c68a56-1426-4a52-b4ec-7f64043b5129</stp>
        <tr r="G7395" s="2"/>
      </tp>
    </main>
    <main first="rtdsrv_a82eb5a1fc404542a18b1336b70d2c4e">
      <tp>
        <v>5</v>
        <stp/>
        <stp>ef9cd3b6-05f4-4024-b058-4ddde74deb1d</stp>
        <tr r="G600" s="2"/>
      </tp>
      <tp>
        <v>5</v>
        <stp/>
        <stp>41e1560a-cc91-4c81-8959-8613329e610b</stp>
        <tr r="G2964" s="2"/>
      </tp>
      <tp>
        <v>5</v>
        <stp/>
        <stp>1c1c008a-1805-4715-b261-fa7bdd443143</stp>
        <tr r="G7508" s="2"/>
      </tp>
      <tp>
        <v>5</v>
        <stp/>
        <stp>eaef7bd8-cba8-4c0e-9e22-465b50148db1</stp>
        <tr r="G1195" s="2"/>
      </tp>
      <tp>
        <v>5</v>
        <stp/>
        <stp>8cada569-c58a-43b0-a7af-4aeda2224bdc</stp>
        <tr r="G4888" s="2"/>
      </tp>
      <tp>
        <v>5</v>
        <stp/>
        <stp>f37470a4-0057-45b3-a31b-77120b1f7139</stp>
        <tr r="G8952" s="2"/>
      </tp>
      <tp>
        <v>5</v>
        <stp/>
        <stp>71c2ffef-6482-4ad9-ba6e-f83ae52436a7</stp>
        <tr r="G9896" s="2"/>
      </tp>
      <tp>
        <v>5</v>
        <stp/>
        <stp>4a903044-62d1-4228-b499-31c82da5cf32</stp>
        <tr r="G1739" s="2"/>
      </tp>
    </main>
    <main first="rtdsrv_a82eb5a1fc404542a18b1336b70d2c4e">
      <tp>
        <v>5</v>
        <stp/>
        <stp>f61f002b-2e15-431b-b98a-88a09ae4cb46</stp>
        <tr r="G4364" s="2"/>
      </tp>
      <tp>
        <v>5</v>
        <stp/>
        <stp>5d177456-fe79-4bcd-a660-98771100e8ab</stp>
        <tr r="G394" s="2"/>
      </tp>
    </main>
    <main first="rtdsrv_a82eb5a1fc404542a18b1336b70d2c4e">
      <tp>
        <v>5</v>
        <stp/>
        <stp>66e415bf-d854-40e9-a0a7-23242a45989f</stp>
        <tr r="G2251" s="2"/>
      </tp>
      <tp>
        <v>5</v>
        <stp/>
        <stp>5b42bba7-4ff1-4fe0-9da2-0b4ec1524c76</stp>
        <tr r="G4008" s="2"/>
      </tp>
    </main>
    <main first="rtdsrv_a82eb5a1fc404542a18b1336b70d2c4e">
      <tp>
        <v>5</v>
        <stp/>
        <stp>e8ddb5f6-fbd2-4c38-a4ca-7cbaf46572ee</stp>
        <tr r="G6715" s="2"/>
      </tp>
    </main>
    <main first="rtdsrv_a82eb5a1fc404542a18b1336b70d2c4e">
      <tp>
        <v>5</v>
        <stp/>
        <stp>c265efce-e180-4fa4-994d-cfd80d093fd7</stp>
        <tr r="G5683" s="2"/>
      </tp>
      <tp>
        <v>5</v>
        <stp/>
        <stp>8f09d3b5-e57a-425d-9ee4-75f3dbd2d3a3</stp>
        <tr r="G8460" s="2"/>
      </tp>
      <tp>
        <v>5</v>
        <stp/>
        <stp>80d5caec-1feb-4ab9-a5cd-145af84bac22</stp>
        <tr r="G9667" s="2"/>
      </tp>
    </main>
    <main first="rtdsrv_a82eb5a1fc404542a18b1336b70d2c4e">
      <tp>
        <v>5</v>
        <stp/>
        <stp>06d3704d-34d4-4d15-90e0-52ae452fc77d</stp>
        <tr r="G7750" s="2"/>
      </tp>
      <tp>
        <v>5</v>
        <stp/>
        <stp>446931c8-5ac0-43b4-86ac-2f2b5cb39572</stp>
        <tr r="G3297" s="2"/>
      </tp>
    </main>
    <main first="rtdsrv_a82eb5a1fc404542a18b1336b70d2c4e">
      <tp>
        <v>5</v>
        <stp/>
        <stp>acd47286-c3a3-4603-8a00-6f9a1db8df4e</stp>
        <tr r="G8422" s="2"/>
      </tp>
      <tp>
        <v>5</v>
        <stp/>
        <stp>d13f4e9d-78c2-4d7d-98c4-d6c0b07f67b6</stp>
        <tr r="G6457" s="2"/>
      </tp>
      <tp>
        <v>5</v>
        <stp/>
        <stp>9f6741e1-07af-4053-99db-9b6edcd69de9</stp>
        <tr r="G4246" s="2"/>
      </tp>
      <tp>
        <v>5</v>
        <stp/>
        <stp>42f38976-31a9-4bab-9b4b-4228090c701c</stp>
        <tr r="G6919" s="2"/>
      </tp>
    </main>
    <main first="rtdsrv_a82eb5a1fc404542a18b1336b70d2c4e">
      <tp>
        <v>5</v>
        <stp/>
        <stp>c498b155-37a2-49f0-bc58-102a6b32c43e</stp>
        <tr r="G3393" s="2"/>
      </tp>
      <tp>
        <v>5</v>
        <stp/>
        <stp>6ceded6c-1a2b-4156-a169-009747605d5a</stp>
        <tr r="G294" s="2"/>
      </tp>
      <tp>
        <v>5</v>
        <stp/>
        <stp>5d1e08c1-5163-4fa9-bc43-2ee01c18a75b</stp>
        <tr r="G4194" s="2"/>
      </tp>
    </main>
    <main first="rtdsrv_a82eb5a1fc404542a18b1336b70d2c4e">
      <tp>
        <v>5</v>
        <stp/>
        <stp>e75fa335-67d7-4503-8033-0b3e9a61fd69</stp>
        <tr r="G8224" s="2"/>
      </tp>
      <tp>
        <v>5</v>
        <stp/>
        <stp>11becb87-9511-4f0b-ba89-5977294e4edb</stp>
        <tr r="G4181" s="2"/>
      </tp>
      <tp>
        <v>5</v>
        <stp/>
        <stp>0077faf2-fb73-4a5c-bbf5-9446ca75a24e</stp>
        <tr r="G3103" s="2"/>
      </tp>
    </main>
    <main first="rtdsrv_a82eb5a1fc404542a18b1336b70d2c4e">
      <tp>
        <v>5</v>
        <stp/>
        <stp>2f9be0ea-9664-45b5-a3b7-10866db2e969</stp>
        <tr r="G1305" s="2"/>
      </tp>
    </main>
    <main first="rtdsrv_a82eb5a1fc404542a18b1336b70d2c4e">
      <tp>
        <v>5</v>
        <stp/>
        <stp>5b70f658-cbd4-4b3c-9316-a702ace82d2f</stp>
        <tr r="G7142" s="2"/>
      </tp>
    </main>
    <main first="rtdsrv_a82eb5a1fc404542a18b1336b70d2c4e">
      <tp>
        <v>5</v>
        <stp/>
        <stp>1fefe3e3-4466-4454-b94a-9fc670e77ba7</stp>
        <tr r="G3157" s="2"/>
      </tp>
      <tp>
        <v>5</v>
        <stp/>
        <stp>d2f534f5-22b4-4572-abd2-451014106625</stp>
        <tr r="G3999" s="2"/>
      </tp>
      <tp>
        <v>5</v>
        <stp/>
        <stp>37acaccb-6033-4170-b265-b2408450374b</stp>
        <tr r="G9724" s="2"/>
      </tp>
    </main>
    <main first="rtdsrv_a82eb5a1fc404542a18b1336b70d2c4e">
      <tp>
        <v>5</v>
        <stp/>
        <stp>ec72a7a8-3277-499e-8dec-9637d3be47df</stp>
        <tr r="G3500" s="2"/>
      </tp>
      <tp>
        <v>5</v>
        <stp/>
        <stp>e070e8ed-1a7e-41a2-8286-30dc542f5baf</stp>
        <tr r="G1583" s="2"/>
      </tp>
      <tp>
        <v>5</v>
        <stp/>
        <stp>f9219b0d-3438-4078-9279-9077a78b7520</stp>
        <tr r="G3030" s="2"/>
      </tp>
    </main>
    <main first="rtdsrv_a82eb5a1fc404542a18b1336b70d2c4e">
      <tp>
        <v>5</v>
        <stp/>
        <stp>3860b5fd-1593-475b-9030-5fc7c8315f71</stp>
        <tr r="G7298" s="2"/>
      </tp>
      <tp>
        <v>5</v>
        <stp/>
        <stp>544f45a7-d03f-4633-bfad-80bcc45a7fdc</stp>
        <tr r="G9093" s="2"/>
      </tp>
    </main>
    <main first="rtdsrv_a82eb5a1fc404542a18b1336b70d2c4e">
      <tp>
        <v>5</v>
        <stp/>
        <stp>b0d6ef24-b1b3-43c1-bb20-a6b3ddb4d0ef</stp>
        <tr r="G1258" s="2"/>
      </tp>
    </main>
    <main first="rtdsrv_a82eb5a1fc404542a18b1336b70d2c4e">
      <tp>
        <v>5</v>
        <stp/>
        <stp>d7b6a46f-3778-44dd-b4e4-244a0bb47235</stp>
        <tr r="G8442" s="2"/>
      </tp>
      <tp>
        <v>5</v>
        <stp/>
        <stp>b3716300-b497-4f15-88e1-dfb59878e9e7</stp>
        <tr r="G7038" s="2"/>
      </tp>
    </main>
    <main first="rtdsrv_a82eb5a1fc404542a18b1336b70d2c4e">
      <tp>
        <v>5</v>
        <stp/>
        <stp>320061b4-f48c-46b4-be2d-cdaecb4fe0e4</stp>
        <tr r="G2747" s="2"/>
      </tp>
      <tp>
        <v>5</v>
        <stp/>
        <stp>c13a34e7-aef4-4546-a46f-72b9ebfa7acd</stp>
        <tr r="G8579" s="2"/>
      </tp>
    </main>
    <main first="rtdsrv_a82eb5a1fc404542a18b1336b70d2c4e">
      <tp>
        <v>5</v>
        <stp/>
        <stp>eedeb729-3a75-4d23-a2b5-ef3831d702fd</stp>
        <tr r="G2050" s="2"/>
      </tp>
      <tp>
        <v>5</v>
        <stp/>
        <stp>3f73cbe4-1376-46f1-a1a6-cd7e4d7650d4</stp>
        <tr r="G2421" s="2"/>
      </tp>
      <tp>
        <v>5</v>
        <stp/>
        <stp>04a03b23-a69f-4642-b932-08b8884ecc22</stp>
        <tr r="G2838" s="2"/>
      </tp>
    </main>
    <main first="rtdsrv_a82eb5a1fc404542a18b1336b70d2c4e">
      <tp>
        <v>5</v>
        <stp/>
        <stp>eef77cbb-d281-4476-a96a-76de1253035c</stp>
        <tr r="G7864" s="2"/>
      </tp>
    </main>
    <main first="rtdsrv_a82eb5a1fc404542a18b1336b70d2c4e">
      <tp>
        <v>5</v>
        <stp/>
        <stp>94e10f6d-49a1-451e-8103-b76e5c9042ed</stp>
        <tr r="G8781" s="2"/>
      </tp>
      <tp>
        <v>5</v>
        <stp/>
        <stp>60402053-1468-488b-858f-851948da035e</stp>
        <tr r="G6999" s="2"/>
      </tp>
      <tp>
        <v>5</v>
        <stp/>
        <stp>f3f13c35-4fd3-4315-bc0f-c403fab86a40</stp>
        <tr r="G5347" s="2"/>
      </tp>
    </main>
    <main first="rtdsrv_a82eb5a1fc404542a18b1336b70d2c4e">
      <tp>
        <v>5</v>
        <stp/>
        <stp>4b4ceff3-edfc-4b0f-ad42-eaf6eeefeb47</stp>
        <tr r="G4750" s="2"/>
      </tp>
    </main>
    <main first="rtdsrv_a82eb5a1fc404542a18b1336b70d2c4e">
      <tp>
        <v>5</v>
        <stp/>
        <stp>7b86227f-63d6-4ccd-8fee-7423f490f2a2</stp>
        <tr r="G4867" s="2"/>
      </tp>
      <tp>
        <v>5</v>
        <stp/>
        <stp>7cc727e6-b340-4e51-9db2-d66ae0a166cf</stp>
        <tr r="G3003" s="2"/>
      </tp>
      <tp>
        <v>5</v>
        <stp/>
        <stp>c1a9a7bc-1d46-4b89-bd24-621b694e6be0</stp>
        <tr r="G2874" s="2"/>
      </tp>
      <tp>
        <v>5</v>
        <stp/>
        <stp>9e71cd7b-f9d2-4f56-913e-51cbdc44be8e</stp>
        <tr r="G962" s="2"/>
      </tp>
    </main>
    <main first="rtdsrv_a82eb5a1fc404542a18b1336b70d2c4e">
      <tp>
        <v>5</v>
        <stp/>
        <stp>30913efc-c0bc-47d1-a67a-ee7e980ed8ed</stp>
        <tr r="G944" s="2"/>
      </tp>
      <tp>
        <v>5</v>
        <stp/>
        <stp>14afac3e-7869-45f5-b3cd-2ce3232d0357</stp>
        <tr r="G9352" s="2"/>
      </tp>
    </main>
    <main first="rtdsrv_a82eb5a1fc404542a18b1336b70d2c4e">
      <tp>
        <v>5</v>
        <stp/>
        <stp>92bc6188-78d4-40e5-9e20-9b1874930063</stp>
        <tr r="G4273" s="2"/>
      </tp>
    </main>
    <main first="rtdsrv_a82eb5a1fc404542a18b1336b70d2c4e">
      <tp>
        <v>5</v>
        <stp/>
        <stp>186cf000-3aa1-4800-ba6d-f245198d8cc2</stp>
        <tr r="G2156" s="2"/>
      </tp>
    </main>
    <main first="rtdsrv_a82eb5a1fc404542a18b1336b70d2c4e">
      <tp>
        <v>5</v>
        <stp/>
        <stp>c4f1a6a5-48e4-42bd-ba21-37cd1f7ccd6e</stp>
        <tr r="G3939" s="2"/>
      </tp>
      <tp>
        <v>5</v>
        <stp/>
        <stp>dc2d83ed-3304-4f61-be58-d7af26ebf34c</stp>
        <tr r="G5963" s="2"/>
      </tp>
      <tp>
        <v>5</v>
        <stp/>
        <stp>680ae59a-bf55-41dc-9f0d-25db39ff6eee</stp>
        <tr r="G945" s="2"/>
      </tp>
    </main>
    <main first="rtdsrv_a82eb5a1fc404542a18b1336b70d2c4e">
      <tp>
        <v>5</v>
        <stp/>
        <stp>57adfaf1-3413-4e6c-839d-0180a9066b3f</stp>
        <tr r="G4925" s="2"/>
      </tp>
      <tp>
        <v>5</v>
        <stp/>
        <stp>f6b8e006-5d76-45f7-b228-446ebae0961a</stp>
        <tr r="G6003" s="2"/>
      </tp>
    </main>
    <main first="rtdsrv_a82eb5a1fc404542a18b1336b70d2c4e">
      <tp>
        <v>5</v>
        <stp/>
        <stp>83f3a4c0-6610-4c18-b490-9b4bf6ba8186</stp>
        <tr r="G9031" s="2"/>
      </tp>
      <tp>
        <v>5</v>
        <stp/>
        <stp>8f886b46-c136-4b7c-ad5f-f7387fd705a6</stp>
        <tr r="G3866" s="2"/>
      </tp>
      <tp>
        <v>5</v>
        <stp/>
        <stp>1ac9d4b1-58df-4b91-8223-93fe437da665</stp>
        <tr r="G8597" s="2"/>
      </tp>
    </main>
    <main first="rtdsrv_a82eb5a1fc404542a18b1336b70d2c4e">
      <tp>
        <v>5</v>
        <stp/>
        <stp>618ef3b0-4e52-48cc-98f6-c60934b0ed6f</stp>
        <tr r="G1202" s="2"/>
      </tp>
      <tp>
        <v>5</v>
        <stp/>
        <stp>edea448f-f82a-4dd1-85a9-2e1c1de7f2e5</stp>
        <tr r="G2033" s="2"/>
      </tp>
    </main>
    <main first="rtdsrv_a82eb5a1fc404542a18b1336b70d2c4e">
      <tp>
        <v>5</v>
        <stp/>
        <stp>3eccc85a-6ad1-4bf4-8e79-d7aa930b892b</stp>
        <tr r="G5986" s="2"/>
      </tp>
    </main>
    <main first="rtdsrv_a82eb5a1fc404542a18b1336b70d2c4e">
      <tp>
        <v>5</v>
        <stp/>
        <stp>c9f0b06c-5088-47ce-ba9b-27116ae07c89</stp>
        <tr r="G8222" s="2"/>
      </tp>
      <tp>
        <v>5</v>
        <stp/>
        <stp>18150a7e-606e-42e8-b9fa-609371fd0efc</stp>
        <tr r="G563" s="2"/>
      </tp>
      <tp>
        <v>5</v>
        <stp/>
        <stp>619ce8d3-4123-44c2-981c-48f8171c1d66</stp>
        <tr r="G8051" s="2"/>
      </tp>
      <tp>
        <v>5</v>
        <stp/>
        <stp>d123b5c3-acad-4937-95ae-0d79a37aa197</stp>
        <tr r="G3548" s="2"/>
      </tp>
    </main>
    <main first="rtdsrv_a82eb5a1fc404542a18b1336b70d2c4e">
      <tp>
        <v>5</v>
        <stp/>
        <stp>a55f814a-74b7-4726-abcf-0e4d2d952203</stp>
        <tr r="G5321" s="2"/>
      </tp>
    </main>
    <main first="rtdsrv_a82eb5a1fc404542a18b1336b70d2c4e">
      <tp>
        <v>5</v>
        <stp/>
        <stp>81f4ac85-2957-4b14-96e8-565c90223b6d</stp>
        <tr r="G3706" s="2"/>
      </tp>
    </main>
    <main first="rtdsrv_a82eb5a1fc404542a18b1336b70d2c4e">
      <tp>
        <v>5</v>
        <stp/>
        <stp>5642041d-f2a5-491d-8dda-f273ca8d1b6a</stp>
        <tr r="G9245" s="2"/>
      </tp>
    </main>
    <main first="rtdsrv_a82eb5a1fc404542a18b1336b70d2c4e">
      <tp>
        <v>5</v>
        <stp/>
        <stp>3d88bb2c-9d58-4ddf-96ad-390ab6fddb36</stp>
        <tr r="G7664" s="2"/>
      </tp>
      <tp>
        <v>5</v>
        <stp/>
        <stp>ab1a2c9e-01b1-4f54-b33d-56c99d5a51d4</stp>
        <tr r="G904" s="2"/>
      </tp>
    </main>
    <main first="rtdsrv_a82eb5a1fc404542a18b1336b70d2c4e">
      <tp>
        <v>5</v>
        <stp/>
        <stp>2f131490-16cb-496a-a80a-08214f309910</stp>
        <tr r="G6547" s="2"/>
      </tp>
    </main>
    <main first="rtdsrv_a82eb5a1fc404542a18b1336b70d2c4e">
      <tp>
        <v>5</v>
        <stp/>
        <stp>b05aadc1-a546-4f1d-89c0-427aa1919d28</stp>
        <tr r="G5126" s="2"/>
      </tp>
      <tp>
        <v>5</v>
        <stp/>
        <stp>480966b1-08a0-4f08-9e64-ec6572f3c4ab</stp>
        <tr r="G1439" s="2"/>
      </tp>
      <tp>
        <v>5</v>
        <stp/>
        <stp>f3b23d07-fd18-411d-bfee-ed64b499c538</stp>
        <tr r="G2245" s="2"/>
      </tp>
    </main>
    <main first="rtdsrv_a82eb5a1fc404542a18b1336b70d2c4e">
      <tp>
        <v>5</v>
        <stp/>
        <stp>6aeda3cc-bc88-436a-84c0-5db18ffffe9d</stp>
        <tr r="G9948" s="2"/>
      </tp>
    </main>
    <main first="rtdsrv_a82eb5a1fc404542a18b1336b70d2c4e">
      <tp>
        <v>5</v>
        <stp/>
        <stp>667bff81-c229-431c-9445-53e3b15db304</stp>
        <tr r="G2174" s="2"/>
      </tp>
    </main>
    <main first="rtdsrv_a82eb5a1fc404542a18b1336b70d2c4e">
      <tp>
        <v>5</v>
        <stp/>
        <stp>29ad9b64-8074-4245-ba31-4c6e85981f1c</stp>
        <tr r="G5736" s="2"/>
      </tp>
      <tp>
        <v>5</v>
        <stp/>
        <stp>46ac4889-0f40-41d0-87ce-e9c94c063bac</stp>
        <tr r="G2821" s="2"/>
      </tp>
      <tp>
        <v>5</v>
        <stp/>
        <stp>85adbac2-97e3-4115-a946-d93f2f935fac</stp>
        <tr r="G466" s="2"/>
      </tp>
      <tp>
        <v>5</v>
        <stp/>
        <stp>a984e0ee-8c10-4423-9002-b0d9da843681</stp>
        <tr r="G7377" s="2"/>
      </tp>
    </main>
    <main first="rtdsrv_a82eb5a1fc404542a18b1336b70d2c4e">
      <tp>
        <v>5</v>
        <stp/>
        <stp>d22d5f7c-25d1-4303-aa25-9f794bcdb691</stp>
        <tr r="G9609" s="2"/>
      </tp>
      <tp>
        <v>5</v>
        <stp/>
        <stp>9b72fc00-ba05-46d3-986e-1482bfaa7a21</stp>
        <tr r="G4578" s="2"/>
      </tp>
      <tp>
        <v>5</v>
        <stp/>
        <stp>6f2461f3-4ece-495a-bb6a-b30124815f0e</stp>
        <tr r="G9449" s="2"/>
      </tp>
      <tp>
        <v>5</v>
        <stp/>
        <stp>72692822-6d4d-4a9f-a6f5-cf9e7775a835</stp>
        <tr r="G8561" s="2"/>
      </tp>
    </main>
    <main first="rtdsrv_a82eb5a1fc404542a18b1336b70d2c4e">
      <tp>
        <v>5</v>
        <stp/>
        <stp>09b1cddc-a3fb-43ab-9dde-975be99b4a53</stp>
        <tr r="G1962" s="2"/>
      </tp>
    </main>
    <main first="rtdsrv_a82eb5a1fc404542a18b1336b70d2c4e">
      <tp>
        <v>5</v>
        <stp/>
        <stp>1ff8e33c-7b75-4a1f-b6c9-f24d1e24fea6</stp>
        <tr r="G3411" s="2"/>
      </tp>
    </main>
    <main first="rtdsrv_a82eb5a1fc404542a18b1336b70d2c4e">
      <tp>
        <v>5</v>
        <stp/>
        <stp>3387d9d5-aee8-423c-aca5-41ae591c345f</stp>
        <tr r="G8769" s="2"/>
      </tp>
    </main>
    <main first="rtdsrv_a82eb5a1fc404542a18b1336b70d2c4e">
      <tp>
        <v>5</v>
        <stp/>
        <stp>9341ee4a-e5d1-4cab-aec5-168ba5516dd7</stp>
        <tr r="G8857" s="2"/>
      </tp>
    </main>
    <main first="rtdsrv_a82eb5a1fc404542a18b1336b70d2c4e">
      <tp>
        <v>5</v>
        <stp/>
        <stp>208fc8e6-0344-4b73-9c9e-2c92328096ca</stp>
        <tr r="G4900" s="2"/>
      </tp>
    </main>
    <main first="rtdsrv_a82eb5a1fc404542a18b1336b70d2c4e">
      <tp>
        <v>5</v>
        <stp/>
        <stp>60513fe9-012f-461e-8b41-9a75ce910f45</stp>
        <tr r="G2014" s="2"/>
      </tp>
    </main>
    <main first="rtdsrv_a82eb5a1fc404542a18b1336b70d2c4e">
      <tp>
        <v>5</v>
        <stp/>
        <stp>4be6ddbc-7560-4fb7-871a-0584fc083417</stp>
        <tr r="G6994" s="2"/>
      </tp>
    </main>
    <main first="rtdsrv_a82eb5a1fc404542a18b1336b70d2c4e">
      <tp>
        <v>5</v>
        <stp/>
        <stp>98ca184c-a64e-45c2-bc0c-2b9d16cf6b2b</stp>
        <tr r="G6132" s="2"/>
      </tp>
    </main>
    <main first="rtdsrv_a82eb5a1fc404542a18b1336b70d2c4e">
      <tp>
        <v>5</v>
        <stp/>
        <stp>58024550-0519-493c-a574-6599891d50f5</stp>
        <tr r="G281" s="2"/>
      </tp>
      <tp>
        <v>5</v>
        <stp/>
        <stp>1306dfeb-4b9a-47fe-a8a1-25dee114e49e</stp>
        <tr r="G2369" s="2"/>
      </tp>
    </main>
    <main first="rtdsrv_a82eb5a1fc404542a18b1336b70d2c4e">
      <tp>
        <v>5</v>
        <stp/>
        <stp>d8e038de-d31d-484f-a549-c6cfb7cafba3</stp>
        <tr r="G5165" s="2"/>
      </tp>
      <tp>
        <v>5</v>
        <stp/>
        <stp>7ff88e57-2f08-47cd-bb2c-b24d371af79e</stp>
        <tr r="G7790" s="2"/>
      </tp>
      <tp>
        <v>5</v>
        <stp/>
        <stp>16dfdcf3-c725-4cd1-a20a-0c851724c641</stp>
        <tr r="G3466" s="2"/>
      </tp>
    </main>
    <main first="rtdsrv_a82eb5a1fc404542a18b1336b70d2c4e">
      <tp>
        <v>5</v>
        <stp/>
        <stp>4afd0047-55ae-4c1e-99d8-8bbb16697dac</stp>
        <tr r="G6136" s="2"/>
      </tp>
      <tp>
        <v>5</v>
        <stp/>
        <stp>69691934-caaa-4a66-a2fb-3514cb9c91de</stp>
        <tr r="G2750" s="2"/>
      </tp>
    </main>
    <main first="rtdsrv_a82eb5a1fc404542a18b1336b70d2c4e">
      <tp>
        <v>5</v>
        <stp/>
        <stp>50cf85dc-9a18-40bf-8d7f-e9873d455efe</stp>
        <tr r="G955" s="2"/>
      </tp>
      <tp>
        <v>5</v>
        <stp/>
        <stp>a75cb210-16a5-4dc7-a3a9-13bb13380706</stp>
        <tr r="G6775" s="2"/>
      </tp>
      <tp>
        <v>5</v>
        <stp/>
        <stp>f180fea0-9687-4037-a18d-edd1af5b050a</stp>
        <tr r="G36" s="2"/>
      </tp>
    </main>
    <main first="rtdsrv_a82eb5a1fc404542a18b1336b70d2c4e">
      <tp>
        <v>5</v>
        <stp/>
        <stp>5e9b4112-73cc-403d-a1c7-c01e6977b8a3</stp>
        <tr r="G735" s="2"/>
      </tp>
    </main>
    <main first="rtdsrv_a82eb5a1fc404542a18b1336b70d2c4e">
      <tp>
        <v>5</v>
        <stp/>
        <stp>30aa9ec3-4edc-46d2-973f-4c8d303f5fa7</stp>
        <tr r="G5921" s="2"/>
      </tp>
    </main>
    <main first="rtdsrv_a82eb5a1fc404542a18b1336b70d2c4e">
      <tp>
        <v>5</v>
        <stp/>
        <stp>d7a88d35-1fa3-4581-a459-c3af6dff2da0</stp>
        <tr r="G1052" s="2"/>
      </tp>
    </main>
    <main first="rtdsrv_a82eb5a1fc404542a18b1336b70d2c4e">
      <tp>
        <v>5</v>
        <stp/>
        <stp>c693c4de-b74b-4aaf-97fb-94b051cb20ba</stp>
        <tr r="G7858" s="2"/>
      </tp>
      <tp>
        <v>5</v>
        <stp/>
        <stp>3f3cd55c-305b-4dac-9a75-658bd06e8df0</stp>
        <tr r="G9978" s="2"/>
      </tp>
    </main>
    <main first="rtdsrv_a82eb5a1fc404542a18b1336b70d2c4e">
      <tp>
        <v>5</v>
        <stp/>
        <stp>68b61cd7-0e11-4521-9bf4-68bd12e8ac4e</stp>
        <tr r="G6215" s="2"/>
      </tp>
      <tp>
        <v>5</v>
        <stp/>
        <stp>27ac52b1-2e58-4b25-9829-6d81adb2dea9</stp>
        <tr r="G879" s="2"/>
      </tp>
    </main>
    <main first="rtdsrv_a82eb5a1fc404542a18b1336b70d2c4e">
      <tp>
        <v>5</v>
        <stp/>
        <stp>dadb1c05-d593-4121-9555-ae420d6ab627</stp>
        <tr r="G9153" s="2"/>
      </tp>
      <tp>
        <v>5</v>
        <stp/>
        <stp>e02f19bd-2b9c-4029-8c8e-28b48e28d2c2</stp>
        <tr r="G5813" s="2"/>
      </tp>
      <tp>
        <v>5</v>
        <stp/>
        <stp>d4606a66-7adc-486e-bc2e-7cc50707b433</stp>
        <tr r="G5325" s="2"/>
      </tp>
      <tp>
        <v>5</v>
        <stp/>
        <stp>7fde0077-d7a2-4b66-8cd2-bedcfcb2d341</stp>
        <tr r="G854" s="2"/>
      </tp>
      <tp>
        <v>5</v>
        <stp/>
        <stp>44d81a97-6d8f-431a-9b4d-2e906c300e34</stp>
        <tr r="G1542" s="2"/>
      </tp>
    </main>
    <main first="rtdsrv_a82eb5a1fc404542a18b1336b70d2c4e">
      <tp>
        <v>5</v>
        <stp/>
        <stp>cc8d577e-2a49-4569-8482-629efd0f1d10</stp>
        <tr r="G1986" s="2"/>
      </tp>
      <tp>
        <v>5</v>
        <stp/>
        <stp>2e626f0f-ad3c-4c8b-a2f3-81f97318a1b2</stp>
        <tr r="G5080" s="2"/>
      </tp>
      <tp>
        <v>5</v>
        <stp/>
        <stp>bd756329-6b0a-46cb-843f-f57cf6153fc5</stp>
        <tr r="G6743" s="2"/>
      </tp>
      <tp>
        <v>5</v>
        <stp/>
        <stp>f52dc7f1-ffc7-4b93-b337-a671ea047ffb</stp>
        <tr r="G4038" s="2"/>
      </tp>
    </main>
    <main first="rtdsrv_a82eb5a1fc404542a18b1336b70d2c4e">
      <tp>
        <v>5</v>
        <stp/>
        <stp>d0539e1e-a921-4d0c-aaa8-8f91268613ac</stp>
        <tr r="G6804" s="2"/>
      </tp>
      <tp>
        <v>5</v>
        <stp/>
        <stp>2aa47b4a-4c5b-4090-b0c5-1aa2eb7d320a</stp>
        <tr r="G2046" s="2"/>
      </tp>
      <tp>
        <v>5</v>
        <stp/>
        <stp>942c5bae-5090-4887-84a5-174826db7acc</stp>
        <tr r="G1237" s="2"/>
      </tp>
      <tp>
        <v>5</v>
        <stp/>
        <stp>965537e4-eaea-4275-b46a-c336bc4c4b2c</stp>
        <tr r="G7869" s="2"/>
      </tp>
    </main>
    <main first="rtdsrv_a82eb5a1fc404542a18b1336b70d2c4e">
      <tp>
        <v>5</v>
        <stp/>
        <stp>b06e42d3-8e3e-4eb5-83a0-2252811ed8fb</stp>
        <tr r="G5329" s="2"/>
      </tp>
    </main>
    <main first="rtdsrv_a82eb5a1fc404542a18b1336b70d2c4e">
      <tp>
        <v>5</v>
        <stp/>
        <stp>bb1bf901-cbf3-4ad4-bfa4-272d17e848ec</stp>
        <tr r="G5871" s="2"/>
      </tp>
      <tp>
        <v>5</v>
        <stp/>
        <stp>1a7cdc2e-adba-4a7a-9524-94924d84c511</stp>
        <tr r="G7096" s="2"/>
      </tp>
    </main>
    <main first="rtdsrv_a82eb5a1fc404542a18b1336b70d2c4e">
      <tp>
        <v>5</v>
        <stp/>
        <stp>aa115e0a-519e-43e4-ab1a-6afe347ce4f8</stp>
        <tr r="G1721" s="2"/>
      </tp>
      <tp>
        <v>5</v>
        <stp/>
        <stp>a4325dc4-ff6c-468a-83ec-8e51e3499120</stp>
        <tr r="G7527" s="2"/>
      </tp>
      <tp>
        <v>5</v>
        <stp/>
        <stp>c7e5f2b0-7fe9-48ba-8dd6-c0e3bb2640fc</stp>
        <tr r="G784" s="2"/>
      </tp>
      <tp>
        <v>5</v>
        <stp/>
        <stp>b67d2529-f629-4070-9888-c08bc83170f2</stp>
        <tr r="G7709" s="2"/>
      </tp>
      <tp>
        <v>5</v>
        <stp/>
        <stp>11b2da03-c3e2-4356-b435-c37b13072c5a</stp>
        <tr r="G4306" s="2"/>
      </tp>
    </main>
    <main first="rtdsrv_a82eb5a1fc404542a18b1336b70d2c4e">
      <tp>
        <v>5</v>
        <stp/>
        <stp>b3c9cbbf-345a-41c7-af03-ec0297f52d60</stp>
        <tr r="G6523" s="2"/>
      </tp>
    </main>
    <main first="rtdsrv_a82eb5a1fc404542a18b1336b70d2c4e">
      <tp>
        <v>5</v>
        <stp/>
        <stp>4589c5c8-afa8-445e-a9c7-fddf3c99451c</stp>
        <tr r="G3097" s="2"/>
      </tp>
      <tp>
        <v>5</v>
        <stp/>
        <stp>050d715a-ba04-4d31-bbfa-7adcd069851b</stp>
        <tr r="G4956" s="2"/>
      </tp>
    </main>
    <main first="rtdsrv_a82eb5a1fc404542a18b1336b70d2c4e">
      <tp>
        <v>5</v>
        <stp/>
        <stp>f2cbd2c6-da2e-4466-9c31-002797f813b0</stp>
        <tr r="G9944" s="2"/>
      </tp>
      <tp>
        <v>5</v>
        <stp/>
        <stp>e8ed1829-d5fd-4a6a-887f-63bbc07e3d75</stp>
        <tr r="G7522" s="2"/>
      </tp>
    </main>
    <main first="rtdsrv_a82eb5a1fc404542a18b1336b70d2c4e">
      <tp>
        <v>5</v>
        <stp/>
        <stp>b942a47c-d010-4d81-b42d-e65951f668b8</stp>
        <tr r="G7486" s="2"/>
      </tp>
      <tp>
        <v>5</v>
        <stp/>
        <stp>15b37890-d156-4f12-8dfd-13e34899ac43</stp>
        <tr r="G5003" s="2"/>
      </tp>
      <tp>
        <v>5</v>
        <stp/>
        <stp>634731f3-2589-4e80-8d71-22ff412d2ad0</stp>
        <tr r="G183" s="2"/>
      </tp>
    </main>
    <main first="rtdsrv_a82eb5a1fc404542a18b1336b70d2c4e">
      <tp>
        <v>5</v>
        <stp/>
        <stp>2b732af1-525d-4714-82dc-e0dec0d463f1</stp>
        <tr r="G8558" s="2"/>
      </tp>
    </main>
    <main first="rtdsrv_a82eb5a1fc404542a18b1336b70d2c4e">
      <tp>
        <v>5</v>
        <stp/>
        <stp>71c1bb3a-2620-4f74-9e40-22d55e7d4cc7</stp>
        <tr r="G9150" s="2"/>
      </tp>
    </main>
    <main first="rtdsrv_a82eb5a1fc404542a18b1336b70d2c4e">
      <tp>
        <v>5</v>
        <stp/>
        <stp>872b1eaf-4501-44e5-b5d2-7c985139e09a</stp>
        <tr r="G7382" s="2"/>
      </tp>
    </main>
    <main first="rtdsrv_a82eb5a1fc404542a18b1336b70d2c4e">
      <tp>
        <v>5</v>
        <stp/>
        <stp>b1d5d8fa-04ce-4fb0-94eb-383e25aef4af</stp>
        <tr r="G644" s="2"/>
      </tp>
    </main>
    <main first="rtdsrv_a82eb5a1fc404542a18b1336b70d2c4e">
      <tp>
        <v>5</v>
        <stp/>
        <stp>f3e25481-f9d4-4d2c-8625-bf760a20ab32</stp>
        <tr r="G4851" s="2"/>
      </tp>
    </main>
    <main first="rtdsrv_a82eb5a1fc404542a18b1336b70d2c4e">
      <tp>
        <v>5</v>
        <stp/>
        <stp>98cf69a6-52dc-4d85-88ad-4395a021968e</stp>
        <tr r="G7607" s="2"/>
      </tp>
    </main>
    <main first="rtdsrv_a82eb5a1fc404542a18b1336b70d2c4e">
      <tp>
        <v>5</v>
        <stp/>
        <stp>1e2d822c-ba9f-457b-ba68-a349243b739b</stp>
        <tr r="G8195" s="2"/>
      </tp>
      <tp>
        <v>5</v>
        <stp/>
        <stp>65206b1c-2bb3-4844-be7e-8cd39eff55ab</stp>
        <tr r="G4176" s="2"/>
      </tp>
      <tp>
        <v>5</v>
        <stp/>
        <stp>ba2d6dab-4506-4633-8353-661c35003a36</stp>
        <tr r="G1909" s="2"/>
      </tp>
    </main>
    <main first="rtdsrv_a82eb5a1fc404542a18b1336b70d2c4e">
      <tp>
        <v>5</v>
        <stp/>
        <stp>b2aa0601-fd00-4345-a08e-2a7338b9dcbb</stp>
        <tr r="G8697" s="2"/>
      </tp>
      <tp>
        <v>5</v>
        <stp/>
        <stp>ca7fa692-5d99-4e5c-ba3e-1c842e2adae8</stp>
        <tr r="G1281" s="2"/>
      </tp>
    </main>
    <main first="rtdsrv_a82eb5a1fc404542a18b1336b70d2c4e">
      <tp>
        <v>5</v>
        <stp/>
        <stp>0e2ce086-9e4b-40b6-9291-5349709cb533</stp>
        <tr r="G118" s="2"/>
      </tp>
      <tp>
        <v>5</v>
        <stp/>
        <stp>17b6bf2b-02c4-4563-840a-0f4dfddf7539</stp>
        <tr r="G8529" s="2"/>
      </tp>
      <tp>
        <v>5</v>
        <stp/>
        <stp>3e1c32ef-b3a8-4cdd-aba5-40d0d33bcfe6</stp>
        <tr r="G6854" s="2"/>
      </tp>
    </main>
    <main first="rtdsrv_a82eb5a1fc404542a18b1336b70d2c4e">
      <tp>
        <v>5</v>
        <stp/>
        <stp>570925c1-e4a7-475c-88f7-34a823a6600d</stp>
        <tr r="G6401" s="2"/>
      </tp>
      <tp>
        <v>5</v>
        <stp/>
        <stp>80b27244-1682-476d-bcf1-131b9484cc80</stp>
        <tr r="G4037" s="2"/>
      </tp>
    </main>
    <main first="rtdsrv_a82eb5a1fc404542a18b1336b70d2c4e">
      <tp>
        <v>5</v>
        <stp/>
        <stp>c55814ed-1d39-4ddc-b2c9-1ef82b39fb8a</stp>
        <tr r="G4157" s="2"/>
      </tp>
      <tp>
        <v>5</v>
        <stp/>
        <stp>fa6ff13e-068a-4251-9bc7-31d83c3d553e</stp>
        <tr r="G378" s="2"/>
      </tp>
      <tp>
        <v>5</v>
        <stp/>
        <stp>4bc1519a-6c41-49c9-90b7-78a9118cab75</stp>
        <tr r="G5846" s="2"/>
      </tp>
    </main>
    <main first="rtdsrv_a82eb5a1fc404542a18b1336b70d2c4e">
      <tp>
        <v>5</v>
        <stp/>
        <stp>9b5ce42a-1031-43ae-b9c4-500e076b03e0</stp>
        <tr r="G6785" s="2"/>
      </tp>
    </main>
    <main first="rtdsrv_a82eb5a1fc404542a18b1336b70d2c4e">
      <tp>
        <v>5</v>
        <stp/>
        <stp>4b5e7bd0-9532-451e-aca3-a9bb7e1194d0</stp>
        <tr r="G9937" s="2"/>
      </tp>
      <tp>
        <v>5</v>
        <stp/>
        <stp>95c6502e-1ace-4efd-9cb2-4a08edd5eb63</stp>
        <tr r="G6276" s="2"/>
      </tp>
      <tp>
        <v>5</v>
        <stp/>
        <stp>9cf7a677-fa55-4b97-a019-b7f2a2955e6b</stp>
        <tr r="G2355" s="2"/>
      </tp>
      <tp>
        <v>5</v>
        <stp/>
        <stp>d1b2d9c0-2130-4ca9-ae7c-4cc66f1d9da2</stp>
        <tr r="G4307" s="2"/>
      </tp>
    </main>
    <main first="rtdsrv_a82eb5a1fc404542a18b1336b70d2c4e">
      <tp>
        <v>5</v>
        <stp/>
        <stp>29d61bf2-3e62-4620-9ade-e1bf49443a42</stp>
        <tr r="G8013" s="2"/>
      </tp>
    </main>
    <main first="rtdsrv_a82eb5a1fc404542a18b1336b70d2c4e">
      <tp>
        <v>5</v>
        <stp/>
        <stp>2564cce3-6af1-4804-95f6-3f3524b7854c</stp>
        <tr r="G2159" s="2"/>
      </tp>
    </main>
    <main first="rtdsrv_a82eb5a1fc404542a18b1336b70d2c4e">
      <tp>
        <v>5</v>
        <stp/>
        <stp>8c513422-4723-413f-8f13-e4e97e4d303f</stp>
        <tr r="G3470" s="2"/>
      </tp>
      <tp>
        <v>5</v>
        <stp/>
        <stp>d3f9c83c-9762-4b22-b25c-597cf8f08a11</stp>
        <tr r="G1488" s="2"/>
      </tp>
    </main>
    <main first="rtdsrv_a82eb5a1fc404542a18b1336b70d2c4e">
      <tp>
        <v>5</v>
        <stp/>
        <stp>4ee80d20-3dad-4e11-9d5d-17c80dd6c012</stp>
        <tr r="G1770" s="2"/>
      </tp>
    </main>
    <main first="rtdsrv_a82eb5a1fc404542a18b1336b70d2c4e">
      <tp>
        <v>5</v>
        <stp/>
        <stp>e30d2365-8821-419f-8974-a9a90f96ac30</stp>
        <tr r="G9479" s="2"/>
      </tp>
      <tp>
        <v>5</v>
        <stp/>
        <stp>ff3c5902-f8c1-414c-a5bd-fc9076a258f5</stp>
        <tr r="G4123" s="2"/>
      </tp>
      <tp>
        <v>5</v>
        <stp/>
        <stp>0ed7e58a-366a-46cb-9d68-afb0f6c00228</stp>
        <tr r="G7169" s="2"/>
      </tp>
      <tp>
        <v>5</v>
        <stp/>
        <stp>e5136614-59ba-4535-9dad-dd49d51f4f9f</stp>
        <tr r="G1005" s="2"/>
      </tp>
    </main>
    <main first="rtdsrv_a82eb5a1fc404542a18b1336b70d2c4e">
      <tp>
        <v>5</v>
        <stp/>
        <stp>8d2bd82a-84db-47cf-b99a-960cdaa599e4</stp>
        <tr r="G7969" s="2"/>
      </tp>
      <tp>
        <v>5</v>
        <stp/>
        <stp>14b907fc-734f-4074-8b74-ee628c520da4</stp>
        <tr r="G3518" s="2"/>
      </tp>
      <tp>
        <v>5</v>
        <stp/>
        <stp>8f487bcd-cfcd-4c43-a64a-eecd1cf4e340</stp>
        <tr r="G336" s="2"/>
      </tp>
      <tp>
        <v>5</v>
        <stp/>
        <stp>4ff05086-aec2-4797-9e22-5ff429952874</stp>
        <tr r="G9666" s="2"/>
      </tp>
      <tp>
        <v>5</v>
        <stp/>
        <stp>bd05760b-aa1b-4c57-8a50-245d8d0db45c</stp>
        <tr r="G2971" s="2"/>
      </tp>
      <tp>
        <v>5</v>
        <stp/>
        <stp>82f36503-953c-48c5-bf6a-86efffa888d2</stp>
        <tr r="G5616" s="2"/>
      </tp>
      <tp>
        <v>5</v>
        <stp/>
        <stp>5054ff64-cabf-4ecf-a247-fafb0175bbf7</stp>
        <tr r="G4645" s="2"/>
      </tp>
      <tp>
        <v>5</v>
        <stp/>
        <stp>bc420c7b-b31d-47cc-be6d-918adf6df587</stp>
        <tr r="G8996" s="2"/>
      </tp>
      <tp>
        <v>5</v>
        <stp/>
        <stp>3a245e81-24b0-4362-badd-40cc269e33b1</stp>
        <tr r="G5602" s="2"/>
      </tp>
    </main>
    <main first="rtdsrv_a82eb5a1fc404542a18b1336b70d2c4e">
      <tp>
        <v>5</v>
        <stp/>
        <stp>bbc832ae-6b32-49f5-9c71-7c687e6a3739</stp>
        <tr r="G2482" s="2"/>
      </tp>
      <tp>
        <v>5</v>
        <stp/>
        <stp>92c0545e-a8f8-474a-9c52-6edaaeb6bf8b</stp>
        <tr r="G4648" s="2"/>
      </tp>
      <tp>
        <v>5</v>
        <stp/>
        <stp>571c92e5-8de3-42b2-b506-d9e29d5aa748</stp>
        <tr r="G8" s="2"/>
      </tp>
      <tp>
        <v>5</v>
        <stp/>
        <stp>a1f2dbc5-d833-4fed-9d13-5a90ea7727bf</stp>
        <tr r="G4189" s="2"/>
      </tp>
      <tp>
        <v>5</v>
        <stp/>
        <stp>1910c506-e4c6-4478-8219-eeef552c1e9f</stp>
        <tr r="G1852" s="2"/>
      </tp>
      <tp>
        <v>5</v>
        <stp/>
        <stp>c1aeb91e-4215-41c8-a621-2ee7c714d1e6</stp>
        <tr r="G6598" s="2"/>
      </tp>
    </main>
    <main first="rtdsrv_a82eb5a1fc404542a18b1336b70d2c4e">
      <tp>
        <v>5</v>
        <stp/>
        <stp>753df844-ff06-4db2-9f9f-b5e91621262e</stp>
        <tr r="G2670" s="2"/>
      </tp>
      <tp>
        <v>5</v>
        <stp/>
        <stp>e4e5c0f8-fd48-4163-825d-f53fce4e2afc</stp>
        <tr r="G9908" s="2"/>
      </tp>
    </main>
    <main first="rtdsrv_a82eb5a1fc404542a18b1336b70d2c4e">
      <tp>
        <v>5</v>
        <stp/>
        <stp>4ab3b6f3-c593-422e-96a1-9c2f8e186ca2</stp>
        <tr r="G6892" s="2"/>
      </tp>
    </main>
    <main first="rtdsrv_a82eb5a1fc404542a18b1336b70d2c4e">
      <tp>
        <v>5</v>
        <stp/>
        <stp>761a7a71-1621-4607-8bf3-7fb571341507</stp>
        <tr r="G5147" s="2"/>
      </tp>
    </main>
    <main first="rtdsrv_a82eb5a1fc404542a18b1336b70d2c4e">
      <tp>
        <v>5</v>
        <stp/>
        <stp>c68d57b2-b32b-4931-8d47-accea580bef5</stp>
        <tr r="G3846" s="2"/>
      </tp>
    </main>
    <main first="rtdsrv_a82eb5a1fc404542a18b1336b70d2c4e">
      <tp>
        <v>5</v>
        <stp/>
        <stp>aa2eadee-a31e-4466-8273-f87520586866</stp>
        <tr r="G1215" s="2"/>
      </tp>
    </main>
    <main first="rtdsrv_a82eb5a1fc404542a18b1336b70d2c4e">
      <tp>
        <v>5</v>
        <stp/>
        <stp>d204585b-2538-46f8-aacf-9db08bdc303a</stp>
        <tr r="G7939" s="2"/>
      </tp>
      <tp>
        <v>5</v>
        <stp/>
        <stp>a6f1d36f-2776-462f-9c6c-56ca44e880a7</stp>
        <tr r="G8731" s="2"/>
      </tp>
      <tp>
        <v>5</v>
        <stp/>
        <stp>671b82da-cc73-4c19-b16e-a8eb20ddd412</stp>
        <tr r="G4172" s="2"/>
      </tp>
      <tp>
        <v>5</v>
        <stp/>
        <stp>c6609f79-4f07-42e1-81d6-0abc3cf07f6a</stp>
        <tr r="G26" s="2"/>
      </tp>
      <tp>
        <v>5</v>
        <stp/>
        <stp>a1bddea0-f72f-473f-a512-b813712be9fb</stp>
        <tr r="G208" s="2"/>
      </tp>
      <tp>
        <v>5</v>
        <stp/>
        <stp>dfe4a95e-fa83-40db-bf86-a4a276286472</stp>
        <tr r="G9132" s="2"/>
      </tp>
    </main>
    <main first="rtdsrv_a82eb5a1fc404542a18b1336b70d2c4e">
      <tp>
        <v>5</v>
        <stp/>
        <stp>db6d2005-23e0-4c83-b9d9-7223c6d88f93</stp>
        <tr r="G6191" s="2"/>
      </tp>
      <tp>
        <v>5</v>
        <stp/>
        <stp>a9e5e71e-4d5a-4e09-8c5c-f803acb638b3</stp>
        <tr r="G795" s="2"/>
      </tp>
      <tp>
        <v>5</v>
        <stp/>
        <stp>b6106d60-aa29-483d-b6f2-01d4c3ae5f26</stp>
        <tr r="G8699" s="2"/>
      </tp>
      <tp>
        <v>5</v>
        <stp/>
        <stp>0630cc24-28fa-4f87-8756-c2863ff42d24</stp>
        <tr r="G1333" s="2"/>
      </tp>
    </main>
    <main first="rtdsrv_a82eb5a1fc404542a18b1336b70d2c4e">
      <tp>
        <v>5</v>
        <stp/>
        <stp>6cbf88fc-fc09-44b6-abe4-dbcb18dc2a75</stp>
        <tr r="G6220" s="2"/>
      </tp>
    </main>
    <main first="rtdsrv_a82eb5a1fc404542a18b1336b70d2c4e">
      <tp>
        <v>5</v>
        <stp/>
        <stp>74508a1a-b75b-43a0-ac53-b24634310ada</stp>
        <tr r="G787" s="2"/>
      </tp>
    </main>
    <main first="rtdsrv_a82eb5a1fc404542a18b1336b70d2c4e">
      <tp>
        <v>5</v>
        <stp/>
        <stp>71924109-4f70-4c3b-9b74-a48b89dbe9d4</stp>
        <tr r="G4207" s="2"/>
      </tp>
    </main>
    <main first="rtdsrv_a82eb5a1fc404542a18b1336b70d2c4e">
      <tp>
        <v>5</v>
        <stp/>
        <stp>30495a76-7ff6-475e-be1b-02f7ed2c2106</stp>
        <tr r="G339" s="2"/>
      </tp>
    </main>
    <main first="rtdsrv_a82eb5a1fc404542a18b1336b70d2c4e">
      <tp>
        <v>5</v>
        <stp/>
        <stp>6e42faf8-6872-4b1e-8b74-d97df867f5c0</stp>
        <tr r="G7227" s="2"/>
      </tp>
      <tp>
        <v>5</v>
        <stp/>
        <stp>958ddfed-0eeb-407f-a29d-00fc4a5f1935</stp>
        <tr r="G5894" s="2"/>
      </tp>
    </main>
    <main first="rtdsrv_a82eb5a1fc404542a18b1336b70d2c4e">
      <tp>
        <v>5</v>
        <stp/>
        <stp>6fa27fd2-a881-4fa9-971e-a4c32127885b</stp>
        <tr r="G1263" s="2"/>
      </tp>
      <tp>
        <v>5</v>
        <stp/>
        <stp>c16295af-7c64-42d2-a160-2ab3a18573b5</stp>
        <tr r="G2909" s="2"/>
      </tp>
      <tp>
        <v>5</v>
        <stp/>
        <stp>34eb3063-e72d-4b7d-82e6-917412a7d789</stp>
        <tr r="G6851" s="2"/>
      </tp>
    </main>
    <main first="rtdsrv_a82eb5a1fc404542a18b1336b70d2c4e">
      <tp>
        <v>5</v>
        <stp/>
        <stp>205b085e-785b-45e4-9400-24d35b33d9c6</stp>
        <tr r="G4171" s="2"/>
      </tp>
    </main>
    <main first="rtdsrv_a82eb5a1fc404542a18b1336b70d2c4e">
      <tp>
        <v>5</v>
        <stp/>
        <stp>d969763b-f87a-48b1-9894-447d2c72ab51</stp>
        <tr r="G988" s="2"/>
      </tp>
    </main>
    <main first="rtdsrv_a82eb5a1fc404542a18b1336b70d2c4e">
      <tp>
        <v>5</v>
        <stp/>
        <stp>bc9a134e-6340-4b00-b6fe-ed410e73bedf</stp>
        <tr r="G1478" s="2"/>
      </tp>
      <tp>
        <v>5</v>
        <stp/>
        <stp>12ed5f9a-849d-4f60-8111-4223f3b15855</stp>
        <tr r="G8139" s="2"/>
      </tp>
    </main>
    <main first="rtdsrv_a82eb5a1fc404542a18b1336b70d2c4e">
      <tp>
        <v>5</v>
        <stp/>
        <stp>9f20e502-cc27-4883-91f2-a2f7de9d6f03</stp>
        <tr r="G832" s="2"/>
      </tp>
    </main>
    <main first="rtdsrv_a82eb5a1fc404542a18b1336b70d2c4e">
      <tp>
        <v>5</v>
        <stp/>
        <stp>e8d28ea0-580f-414c-b8ad-61b4675ef82b</stp>
        <tr r="G9867" s="2"/>
      </tp>
    </main>
    <main first="rtdsrv_a82eb5a1fc404542a18b1336b70d2c4e">
      <tp>
        <v>5</v>
        <stp/>
        <stp>becf1b77-181b-44df-94b2-9a863d9adccf</stp>
        <tr r="G4686" s="2"/>
      </tp>
      <tp>
        <v>5</v>
        <stp/>
        <stp>0f4e6c54-d87a-4457-80a6-8ee68c061ef7</stp>
        <tr r="G5239" s="2"/>
      </tp>
    </main>
    <main first="rtdsrv_a82eb5a1fc404542a18b1336b70d2c4e">
      <tp>
        <v>5</v>
        <stp/>
        <stp>48b3a74f-3eb5-468c-8795-6325471f7697</stp>
        <tr r="G3116" s="2"/>
      </tp>
      <tp>
        <v>5</v>
        <stp/>
        <stp>38e76988-3128-4e4d-919c-e8d084b70759</stp>
        <tr r="G8563" s="2"/>
      </tp>
      <tp>
        <v>5</v>
        <stp/>
        <stp>da6a82d6-2c91-4503-be01-8752f981281e</stp>
        <tr r="G2945" s="2"/>
      </tp>
    </main>
    <main first="rtdsrv_a82eb5a1fc404542a18b1336b70d2c4e">
      <tp>
        <v>5</v>
        <stp/>
        <stp>3901d11f-9808-4f21-a964-ab228b68fb52</stp>
        <tr r="G346" s="2"/>
      </tp>
    </main>
    <main first="rtdsrv_a82eb5a1fc404542a18b1336b70d2c4e">
      <tp>
        <v>5</v>
        <stp/>
        <stp>4b274f33-7ee3-4cc9-b753-c8e4df74c58a</stp>
        <tr r="G851" s="2"/>
      </tp>
      <tp>
        <v>5</v>
        <stp/>
        <stp>8c9a64dd-9996-48f6-a7a2-889e33ed0f7f</stp>
        <tr r="G2295" s="2"/>
      </tp>
      <tp>
        <v>5</v>
        <stp/>
        <stp>bd532064-790e-4eb7-8e5d-31828a8b0ec8</stp>
        <tr r="G5484" s="2"/>
      </tp>
    </main>
    <main first="rtdsrv_a82eb5a1fc404542a18b1336b70d2c4e">
      <tp>
        <v>5</v>
        <stp/>
        <stp>a755ac03-48f9-444b-bf17-c0798cc7b4c3</stp>
        <tr r="G2960" s="2"/>
      </tp>
      <tp>
        <v>5</v>
        <stp/>
        <stp>df9c42da-4dc3-4628-ad61-b8a5b1a3b35f</stp>
        <tr r="G3979" s="2"/>
      </tp>
    </main>
    <main first="rtdsrv_a82eb5a1fc404542a18b1336b70d2c4e">
      <tp>
        <v>5</v>
        <stp/>
        <stp>fbaa435a-08e1-4da5-ae37-b0c711de72ad</stp>
        <tr r="G8609" s="2"/>
      </tp>
    </main>
    <main first="rtdsrv_a82eb5a1fc404542a18b1336b70d2c4e">
      <tp>
        <v>5</v>
        <stp/>
        <stp>a6d71e83-4328-4e43-846e-c51e9fc8feee</stp>
        <tr r="G3448" s="2"/>
      </tp>
      <tp>
        <v>5</v>
        <stp/>
        <stp>9bade395-9cb0-4e45-aa8a-36208daf0c42</stp>
        <tr r="G6379" s="2"/>
      </tp>
      <tp>
        <v>5</v>
        <stp/>
        <stp>a5fc6e9c-416e-40cd-842d-ac6f72571743</stp>
        <tr r="G6452" s="2"/>
      </tp>
      <tp>
        <v>5</v>
        <stp/>
        <stp>7a3ca446-b107-4e7c-8bee-1d4ce0c6f193</stp>
        <tr r="G4202" s="2"/>
      </tp>
    </main>
    <main first="rtdsrv_a82eb5a1fc404542a18b1336b70d2c4e">
      <tp>
        <v>5</v>
        <stp/>
        <stp>386a0bd1-8bc3-4578-b089-b7c963fc221a</stp>
        <tr r="G7995" s="2"/>
      </tp>
      <tp>
        <v>5</v>
        <stp/>
        <stp>653a28a5-9f20-489f-8e6b-75eb6d78ba9c</stp>
        <tr r="G8263" s="2"/>
      </tp>
    </main>
    <main first="rtdsrv_a82eb5a1fc404542a18b1336b70d2c4e">
      <tp>
        <v>5</v>
        <stp/>
        <stp>1bea138d-b5c0-4cc5-8672-fef55ac80aa5</stp>
        <tr r="G6205" s="2"/>
      </tp>
      <tp>
        <v>5</v>
        <stp/>
        <stp>aced5852-ddf3-48f9-9037-1e8726f552c4</stp>
        <tr r="G8471" s="2"/>
      </tp>
      <tp>
        <v>5</v>
        <stp/>
        <stp>065db42c-99cd-4077-ae9a-520a6b3691bb</stp>
        <tr r="G1079" s="2"/>
      </tp>
      <tp>
        <v>5</v>
        <stp/>
        <stp>400a5070-90a6-4704-8e30-39973e19a611</stp>
        <tr r="G1615" s="2"/>
      </tp>
    </main>
    <main first="rtdsrv_a82eb5a1fc404542a18b1336b70d2c4e">
      <tp>
        <v>5</v>
        <stp/>
        <stp>25defb95-6610-47ed-9272-22aa0dc870e5</stp>
        <tr r="G2058" s="2"/>
      </tp>
      <tp>
        <v>5</v>
        <stp/>
        <stp>469d7c70-963b-4c58-92bc-275f41479dda</stp>
        <tr r="G2026" s="2"/>
      </tp>
      <tp>
        <v>5</v>
        <stp/>
        <stp>858833d2-a3d9-429d-9203-31b9b3eafee3</stp>
        <tr r="G6254" s="2"/>
      </tp>
      <tp>
        <v>5</v>
        <stp/>
        <stp>12bb7824-b272-41f1-8d8e-8bd89b99a5da</stp>
        <tr r="G2419" s="2"/>
      </tp>
    </main>
    <main first="rtdsrv_a82eb5a1fc404542a18b1336b70d2c4e">
      <tp>
        <v>5</v>
        <stp/>
        <stp>32e555fd-ede9-4ee3-aa5b-5e97976f5b45</stp>
        <tr r="G9175" s="2"/>
      </tp>
      <tp>
        <v>5</v>
        <stp/>
        <stp>cd3f7235-41d6-4aeb-86ba-75e662395184</stp>
        <tr r="G730" s="2"/>
      </tp>
    </main>
    <main first="rtdsrv_a82eb5a1fc404542a18b1336b70d2c4e">
      <tp>
        <v>5</v>
        <stp/>
        <stp>d1a4b39a-1288-4fc3-902e-dc76a65ba333</stp>
        <tr r="G8613" s="2"/>
      </tp>
    </main>
    <main first="rtdsrv_a82eb5a1fc404542a18b1336b70d2c4e">
      <tp>
        <v>5</v>
        <stp/>
        <stp>9e71029e-5d0c-4ca8-a4ad-6a10e6686878</stp>
        <tr r="G6263" s="2"/>
      </tp>
    </main>
    <main first="rtdsrv_a82eb5a1fc404542a18b1336b70d2c4e">
      <tp>
        <v>5</v>
        <stp/>
        <stp>33b2627f-1964-46a7-a561-630c0511ccb0</stp>
        <tr r="G478" s="2"/>
      </tp>
      <tp>
        <v>5</v>
        <stp/>
        <stp>f9952705-02d9-4a93-ae87-bf579c433d32</stp>
        <tr r="G1319" s="2"/>
      </tp>
    </main>
    <main first="rtdsrv_a82eb5a1fc404542a18b1336b70d2c4e">
      <tp>
        <v>5</v>
        <stp/>
        <stp>799bc0d3-6b17-482d-909f-d7a9f9c078e7</stp>
        <tr r="G8293" s="2"/>
      </tp>
    </main>
    <main first="rtdsrv_a82eb5a1fc404542a18b1336b70d2c4e">
      <tp>
        <v>5</v>
        <stp/>
        <stp>dae58c1e-88f9-4998-8c49-f59bf5cc4b02</stp>
        <tr r="G8287" s="2"/>
      </tp>
    </main>
    <main first="rtdsrv_a82eb5a1fc404542a18b1336b70d2c4e">
      <tp>
        <v>5</v>
        <stp/>
        <stp>36175671-7eb6-47fa-ba8a-e394f9b7e0f5</stp>
        <tr r="G1203" s="2"/>
      </tp>
      <tp>
        <v>5</v>
        <stp/>
        <stp>cc0e4e82-30ec-48b7-81da-04f3d5e5d3e3</stp>
        <tr r="G1062" s="2"/>
      </tp>
    </main>
    <main first="rtdsrv_a82eb5a1fc404542a18b1336b70d2c4e">
      <tp>
        <v>5</v>
        <stp/>
        <stp>8734c56a-60fd-4268-a349-cd22c1c359bc</stp>
        <tr r="G6525" s="2"/>
      </tp>
    </main>
    <main first="rtdsrv_a82eb5a1fc404542a18b1336b70d2c4e">
      <tp>
        <v>5</v>
        <stp/>
        <stp>ce06e356-4866-4ee9-9e6f-acd8c95dfc5b</stp>
        <tr r="G9075" s="2"/>
      </tp>
    </main>
    <main first="rtdsrv_a82eb5a1fc404542a18b1336b70d2c4e">
      <tp>
        <v>5</v>
        <stp/>
        <stp>ac3fc03a-d124-4ced-b8c6-84cbfc8163c0</stp>
        <tr r="G163" s="2"/>
      </tp>
      <tp>
        <v>5</v>
        <stp/>
        <stp>21430d78-0552-403e-b6a0-7ce9f29d6dea</stp>
        <tr r="G5238" s="2"/>
      </tp>
      <tp>
        <v>5</v>
        <stp/>
        <stp>f59fe551-2289-479f-a47d-75c8d44de629</stp>
        <tr r="G789" s="2"/>
      </tp>
    </main>
    <main first="rtdsrv_a82eb5a1fc404542a18b1336b70d2c4e">
      <tp>
        <v>5</v>
        <stp/>
        <stp>9c8e8586-8374-49c8-a514-78eec2e0e982</stp>
        <tr r="G4723" s="2"/>
      </tp>
      <tp>
        <v>5</v>
        <stp/>
        <stp>1f1752a5-72d8-4cbb-9fd9-eb2505f4af0f</stp>
        <tr r="G5856" s="2"/>
      </tp>
    </main>
    <main first="rtdsrv_a82eb5a1fc404542a18b1336b70d2c4e">
      <tp>
        <v>5</v>
        <stp/>
        <stp>713a8559-a183-4420-b6ba-c68507543bc1</stp>
        <tr r="G1180" s="2"/>
      </tp>
      <tp>
        <v>5</v>
        <stp/>
        <stp>9b972f22-66ef-4faf-9605-5e940494da08</stp>
        <tr r="G7057" s="2"/>
      </tp>
    </main>
    <main first="rtdsrv_a82eb5a1fc404542a18b1336b70d2c4e">
      <tp>
        <v>5</v>
        <stp/>
        <stp>1a1a2d40-ab5d-4ef0-89b0-8719bb8047f0</stp>
        <tr r="G5555" s="2"/>
      </tp>
    </main>
    <main first="rtdsrv_a82eb5a1fc404542a18b1336b70d2c4e">
      <tp>
        <v>5</v>
        <stp/>
        <stp>c52178c1-aa58-4ab9-9002-a64f27764097</stp>
        <tr r="G4285" s="2"/>
      </tp>
    </main>
    <main first="rtdsrv_a82eb5a1fc404542a18b1336b70d2c4e">
      <tp>
        <v>5</v>
        <stp/>
        <stp>b1b0bdbc-e5eb-4ca5-9fdb-723914e6c395</stp>
        <tr r="G7704" s="2"/>
      </tp>
    </main>
    <main first="rtdsrv_a82eb5a1fc404542a18b1336b70d2c4e">
      <tp>
        <v>5</v>
        <stp/>
        <stp>be96834a-e5d1-48c0-9ad0-a10ceffa0dfc</stp>
        <tr r="G4243" s="2"/>
      </tp>
    </main>
    <main first="rtdsrv_a82eb5a1fc404542a18b1336b70d2c4e">
      <tp>
        <v>5</v>
        <stp/>
        <stp>819d0d0f-4d2a-456f-8c1b-cabeeb64aac2</stp>
        <tr r="G1782" s="2"/>
      </tp>
    </main>
    <main first="rtdsrv_a82eb5a1fc404542a18b1336b70d2c4e">
      <tp>
        <v>5</v>
        <stp/>
        <stp>1fa59681-6fc9-41e2-90b2-5de79c4daedb</stp>
        <tr r="G1863" s="2"/>
      </tp>
    </main>
    <main first="rtdsrv_a82eb5a1fc404542a18b1336b70d2c4e">
      <tp>
        <v>5</v>
        <stp/>
        <stp>5127c642-925a-44f2-bbac-6122489a00e3</stp>
        <tr r="G3532" s="2"/>
      </tp>
    </main>
    <main first="rtdsrv_a82eb5a1fc404542a18b1336b70d2c4e">
      <tp>
        <v>5</v>
        <stp/>
        <stp>c70952f0-f314-4965-a859-47e8c507850b</stp>
        <tr r="G6971" s="2"/>
      </tp>
    </main>
    <main first="rtdsrv_a82eb5a1fc404542a18b1336b70d2c4e">
      <tp>
        <v>5</v>
        <stp/>
        <stp>e5e57184-febf-489e-af2a-2f5c8be67e0a</stp>
        <tr r="G3098" s="2"/>
      </tp>
      <tp>
        <v>5</v>
        <stp/>
        <stp>06e3d1ca-8eb4-41a7-8428-24cc38615b7e</stp>
        <tr r="G5346" s="2"/>
      </tp>
    </main>
    <main first="rtdsrv_a82eb5a1fc404542a18b1336b70d2c4e">
      <tp>
        <v>5</v>
        <stp/>
        <stp>9e001da7-a497-4d63-87b6-f1235caa5799</stp>
        <tr r="G718" s="2"/>
      </tp>
    </main>
    <main first="rtdsrv_a82eb5a1fc404542a18b1336b70d2c4e">
      <tp>
        <v>5</v>
        <stp/>
        <stp>2116b848-8368-4f8a-8839-024ed17b7457</stp>
        <tr r="G2991" s="2"/>
      </tp>
      <tp>
        <v>5</v>
        <stp/>
        <stp>4967b0cf-8294-4507-8af8-9fe22b585069</stp>
        <tr r="G7558" s="2"/>
      </tp>
    </main>
    <main first="rtdsrv_a82eb5a1fc404542a18b1336b70d2c4e">
      <tp>
        <v>5</v>
        <stp/>
        <stp>19e1c8a5-ac1d-4080-8eb5-7766bd9fd5d4</stp>
        <tr r="G5228" s="2"/>
      </tp>
    </main>
    <main first="rtdsrv_a82eb5a1fc404542a18b1336b70d2c4e">
      <tp>
        <v>5</v>
        <stp/>
        <stp>540bf331-a51f-4e3b-8032-12993f2e075c</stp>
        <tr r="G8099" s="2"/>
      </tp>
      <tp>
        <v>5</v>
        <stp/>
        <stp>90f095b1-48aa-47c3-b217-d56bce5a6724</stp>
        <tr r="G8080" s="2"/>
      </tp>
      <tp>
        <v>5</v>
        <stp/>
        <stp>c97f6996-c40f-4caf-89d1-711c846d2060</stp>
        <tr r="G7748" s="2"/>
      </tp>
    </main>
    <main first="rtdsrv_a82eb5a1fc404542a18b1336b70d2c4e">
      <tp>
        <v>5</v>
        <stp/>
        <stp>064ecd8a-6000-43c2-9b06-27de8aca7d70</stp>
        <tr r="G2798" s="2"/>
      </tp>
    </main>
    <main first="rtdsrv_a82eb5a1fc404542a18b1336b70d2c4e">
      <tp>
        <v>5</v>
        <stp/>
        <stp>ff8c2494-ddbc-478d-acbe-049481bd9aab</stp>
        <tr r="G3121" s="2"/>
      </tp>
    </main>
    <main first="rtdsrv_a82eb5a1fc404542a18b1336b70d2c4e">
      <tp>
        <v>5</v>
        <stp/>
        <stp>dd05d332-47b8-4855-a112-358b7d476b05</stp>
        <tr r="G7104" s="2"/>
      </tp>
    </main>
    <main first="rtdsrv_a82eb5a1fc404542a18b1336b70d2c4e">
      <tp>
        <v>5</v>
        <stp/>
        <stp>e196be2b-1bcf-4fda-b0fa-0a481f2f9143</stp>
        <tr r="G6404" s="2"/>
      </tp>
      <tp>
        <v>5</v>
        <stp/>
        <stp>06db0147-2b24-4e92-b82b-9285ab14f1bd</stp>
        <tr r="G3955" s="2"/>
      </tp>
      <tp>
        <v>5</v>
        <stp/>
        <stp>8c9338e5-5819-434e-a6d0-9295b83df1e2</stp>
        <tr r="G1836" s="2"/>
      </tp>
      <tp>
        <v>5</v>
        <stp/>
        <stp>8942462c-7ad7-4d8d-bf74-a35798eb848a</stp>
        <tr r="G5423" s="2"/>
      </tp>
    </main>
    <main first="rtdsrv_a82eb5a1fc404542a18b1336b70d2c4e">
      <tp>
        <v>5</v>
        <stp/>
        <stp>ca95b871-4a6d-4794-8b99-28827576d9b5</stp>
        <tr r="G541" s="2"/>
      </tp>
    </main>
    <main first="rtdsrv_a82eb5a1fc404542a18b1336b70d2c4e">
      <tp>
        <v>5</v>
        <stp/>
        <stp>9cd1448c-6a47-4fd8-aeb2-fe14797df329</stp>
        <tr r="G3948" s="2"/>
      </tp>
      <tp>
        <v>5</v>
        <stp/>
        <stp>032643a0-1571-4571-b9e9-ce2685284ada</stp>
        <tr r="G9018" s="2"/>
      </tp>
    </main>
    <main first="rtdsrv_a82eb5a1fc404542a18b1336b70d2c4e">
      <tp>
        <v>5</v>
        <stp/>
        <stp>a784e50e-fbb4-4255-95fb-f12c767aad61</stp>
        <tr r="G1573" s="2"/>
      </tp>
    </main>
    <main first="rtdsrv_a82eb5a1fc404542a18b1336b70d2c4e">
      <tp>
        <v>5</v>
        <stp/>
        <stp>396bd1b1-a0c2-4d38-9161-67d29b3d1f9e</stp>
        <tr r="G9384" s="2"/>
      </tp>
      <tp>
        <v>5</v>
        <stp/>
        <stp>94953d4c-3fe3-4f3d-acba-17d4c3cae569</stp>
        <tr r="G6322" s="2"/>
      </tp>
      <tp>
        <v>5</v>
        <stp/>
        <stp>87863f89-6a8b-490e-9f7d-8106fb1ff20c</stp>
        <tr r="G9419" s="2"/>
      </tp>
    </main>
    <main first="rtdsrv_a82eb5a1fc404542a18b1336b70d2c4e">
      <tp>
        <v>5</v>
        <stp/>
        <stp>edc3b6bf-d39e-4dad-9c35-02dec72070ee</stp>
        <tr r="G7408" s="2"/>
      </tp>
      <tp>
        <v>5</v>
        <stp/>
        <stp>24d70e65-4701-4b9c-8c5f-5b06d30d8679</stp>
        <tr r="G9518" s="2"/>
      </tp>
      <tp>
        <v>5</v>
        <stp/>
        <stp>eb040b28-8e12-4c8e-ae67-817e59ac2720</stp>
        <tr r="G4893" s="2"/>
      </tp>
    </main>
    <main first="rtdsrv_a82eb5a1fc404542a18b1336b70d2c4e">
      <tp>
        <v>5</v>
        <stp/>
        <stp>f195f715-f8b8-4f4e-a7c2-a26304fba4fc</stp>
        <tr r="G8541" s="2"/>
      </tp>
    </main>
    <main first="rtdsrv_a82eb5a1fc404542a18b1336b70d2c4e">
      <tp>
        <v>5</v>
        <stp/>
        <stp>1529d6d5-cfff-44a7-865c-a1be11a0f6e5</stp>
        <tr r="G523" s="2"/>
      </tp>
    </main>
    <main first="rtdsrv_a82eb5a1fc404542a18b1336b70d2c4e">
      <tp>
        <v>5</v>
        <stp/>
        <stp>6a374a8c-43c4-48aa-94f8-7a53ee33cc34</stp>
        <tr r="G8512" s="2"/>
      </tp>
      <tp>
        <v>5</v>
        <stp/>
        <stp>99127e61-26a5-4559-91a3-0a83bf8fde79</stp>
        <tr r="G7219" s="2"/>
      </tp>
      <tp>
        <v>5</v>
        <stp/>
        <stp>947ba03a-283d-426e-bc5d-10a33a560c9f</stp>
        <tr r="G3581" s="2"/>
      </tp>
      <tp>
        <v>5</v>
        <stp/>
        <stp>76ef1129-a6d9-4222-aee0-b6bea7dfadbd</stp>
        <tr r="G5930" s="2"/>
      </tp>
    </main>
    <main first="rtdsrv_a82eb5a1fc404542a18b1336b70d2c4e">
      <tp>
        <v>5</v>
        <stp/>
        <stp>32ccd51f-3d0d-49ed-b76f-9db40fc950d3</stp>
        <tr r="G492" s="2"/>
      </tp>
      <tp>
        <v>5</v>
        <stp/>
        <stp>39560fdb-1b79-45f5-971f-381e523f84b1</stp>
        <tr r="G381" s="2"/>
      </tp>
      <tp>
        <v>5</v>
        <stp/>
        <stp>70fe21b7-05b7-4dee-a027-6a25c5999f8d</stp>
        <tr r="G7643" s="2"/>
      </tp>
    </main>
    <main first="rtdsrv_a82eb5a1fc404542a18b1336b70d2c4e">
      <tp>
        <v>5</v>
        <stp/>
        <stp>d8b1cd54-cdfb-4691-b25d-e5e309cb1cd8</stp>
        <tr r="G3777" s="2"/>
      </tp>
      <tp>
        <v>5</v>
        <stp/>
        <stp>bcbcbc12-b6df-4ede-8595-7a0048e68300</stp>
        <tr r="G758" s="2"/>
      </tp>
    </main>
    <main first="rtdsrv_a82eb5a1fc404542a18b1336b70d2c4e">
      <tp>
        <v>5</v>
        <stp/>
        <stp>b32ad509-d025-453b-a7c2-4822c6cf39d0</stp>
        <tr r="G7512" s="2"/>
      </tp>
      <tp>
        <v>5</v>
        <stp/>
        <stp>94863dd6-a3d8-4c1e-9e15-37599dce5b98</stp>
        <tr r="G6548" s="2"/>
      </tp>
    </main>
    <main first="rtdsrv_a82eb5a1fc404542a18b1336b70d2c4e">
      <tp>
        <v>5</v>
        <stp/>
        <stp>f9331408-1fa9-44b7-8a4e-266fc8176e10</stp>
        <tr r="G4553" s="2"/>
      </tp>
      <tp>
        <v>5</v>
        <stp/>
        <stp>8aff3d27-2b3a-4587-9127-d074f4e90beb</stp>
        <tr r="G8255" s="2"/>
      </tp>
      <tp>
        <v>5</v>
        <stp/>
        <stp>f13c333f-723b-440d-809f-31a315e258f8</stp>
        <tr r="G3039" s="2"/>
      </tp>
    </main>
    <main first="rtdsrv_a82eb5a1fc404542a18b1336b70d2c4e">
      <tp>
        <v>5</v>
        <stp/>
        <stp>d4648ae0-6d06-4ea7-88cd-0a96e7ea6592</stp>
        <tr r="G4026" s="2"/>
      </tp>
    </main>
    <main first="rtdsrv_a82eb5a1fc404542a18b1336b70d2c4e">
      <tp>
        <v>5</v>
        <stp/>
        <stp>db78f76e-d50a-4031-9563-fcdbec738bb8</stp>
        <tr r="G4692" s="2"/>
      </tp>
      <tp>
        <v>5</v>
        <stp/>
        <stp>b0698aea-3c70-49a6-83d7-744cdf2a267b</stp>
        <tr r="G1269" s="2"/>
      </tp>
      <tp>
        <v>5</v>
        <stp/>
        <stp>83172a44-b17e-4b42-8025-57266626ce7d</stp>
        <tr r="G8969" s="2"/>
      </tp>
      <tp>
        <v>5</v>
        <stp/>
        <stp>aab815fb-4b2b-4cb3-816f-b209c7768417</stp>
        <tr r="G1127" s="2"/>
      </tp>
      <tp>
        <v>5</v>
        <stp/>
        <stp>7e6d2c50-d27f-4092-bff1-b9c91b0639e5</stp>
        <tr r="G6380" s="2"/>
      </tp>
      <tp>
        <v>5</v>
        <stp/>
        <stp>3ef9226b-d0fd-4034-8ef7-6e31b5f1fe4c</stp>
        <tr r="G4318" s="2"/>
      </tp>
      <tp>
        <v>5</v>
        <stp/>
        <stp>633d0fd3-10c3-45fe-acfe-8d469d86d387</stp>
        <tr r="G6110" s="2"/>
      </tp>
      <tp>
        <v>5</v>
        <stp/>
        <stp>289abb7c-977a-4f8c-8a29-a3e6b4223aa8</stp>
        <tr r="G5322" s="2"/>
      </tp>
    </main>
    <main first="rtdsrv_a82eb5a1fc404542a18b1336b70d2c4e">
      <tp>
        <v>5</v>
        <stp/>
        <stp>d160f21f-912e-4322-915a-4a5999a7a152</stp>
        <tr r="G4253" s="2"/>
      </tp>
    </main>
    <main first="rtdsrv_a82eb5a1fc404542a18b1336b70d2c4e">
      <tp>
        <v>5</v>
        <stp/>
        <stp>737d233c-c64f-4d3e-a40f-85c84385fd9f</stp>
        <tr r="G3197" s="2"/>
      </tp>
    </main>
    <main first="rtdsrv_a82eb5a1fc404542a18b1336b70d2c4e">
      <tp>
        <v>5</v>
        <stp/>
        <stp>a8f39b04-d48c-4dd9-b9de-0a670f299042</stp>
        <tr r="G6729" s="2"/>
      </tp>
    </main>
    <main first="rtdsrv_a82eb5a1fc404542a18b1336b70d2c4e">
      <tp>
        <v>5</v>
        <stp/>
        <stp>26a552fd-2015-4b65-b6b5-64ad466997b3</stp>
        <tr r="G6179" s="2"/>
      </tp>
      <tp>
        <v>5</v>
        <stp/>
        <stp>6f5706d9-a3f9-497c-913c-306c1450e154</stp>
        <tr r="G7624" s="2"/>
      </tp>
    </main>
    <main first="rtdsrv_a82eb5a1fc404542a18b1336b70d2c4e">
      <tp>
        <v>5</v>
        <stp/>
        <stp>2d788185-0500-4e0f-bb5f-2eea6f85fa6f</stp>
        <tr r="G104" s="2"/>
      </tp>
      <tp>
        <v>5</v>
        <stp/>
        <stp>371be93b-ac4e-4552-a49f-a02c1516853a</stp>
        <tr r="G8314" s="2"/>
      </tp>
    </main>
    <main first="rtdsrv_a82eb5a1fc404542a18b1336b70d2c4e">
      <tp>
        <v>5</v>
        <stp/>
        <stp>46552bdb-aad5-4d07-b1f4-2b37476ede60</stp>
        <tr r="G7782" s="2"/>
      </tp>
    </main>
    <main first="rtdsrv_a82eb5a1fc404542a18b1336b70d2c4e">
      <tp>
        <v>5</v>
        <stp/>
        <stp>cfba9793-4bd7-462a-a5cc-24c9fc8d8d6f</stp>
        <tr r="G460" s="2"/>
      </tp>
      <tp>
        <v>5</v>
        <stp/>
        <stp>cb37cc43-a966-40d4-a90d-17e15182067d</stp>
        <tr r="G7058" s="2"/>
      </tp>
      <tp>
        <v>5</v>
        <stp/>
        <stp>d4e9b183-7225-4b9c-93e2-af4f7b83dda2</stp>
        <tr r="G4043" s="2"/>
      </tp>
      <tp>
        <v>5</v>
        <stp/>
        <stp>2f6cbc18-cb59-488d-bea5-c9e318a7a6d5</stp>
        <tr r="G6662" s="2"/>
      </tp>
      <tp>
        <v>5</v>
        <stp/>
        <stp>601826ec-b632-4c1a-8547-7aa2947a703f</stp>
        <tr r="G6759" s="2"/>
      </tp>
    </main>
    <main first="rtdsrv_a82eb5a1fc404542a18b1336b70d2c4e">
      <tp>
        <v>5</v>
        <stp/>
        <stp>c99b2514-c9c7-42c0-bc42-10a8d6c9591c</stp>
        <tr r="G7694" s="2"/>
      </tp>
    </main>
    <main first="rtdsrv_a82eb5a1fc404542a18b1336b70d2c4e">
      <tp>
        <v>5</v>
        <stp/>
        <stp>cd21f24d-bf74-4377-b422-fb63771010e1</stp>
        <tr r="G2735" s="2"/>
      </tp>
    </main>
    <main first="rtdsrv_a82eb5a1fc404542a18b1336b70d2c4e">
      <tp>
        <v>5</v>
        <stp/>
        <stp>acd62cd4-d340-43ed-971e-3828c974adc2</stp>
        <tr r="G1414" s="2"/>
      </tp>
      <tp>
        <v>5</v>
        <stp/>
        <stp>8594d832-0b37-4e37-afc8-e6e1a3651837</stp>
        <tr r="G148" s="2"/>
      </tp>
      <tp>
        <v>5</v>
        <stp/>
        <stp>af96ecf6-6399-429d-b4a6-8e8cdbd57e63</stp>
        <tr r="G1884" s="2"/>
      </tp>
      <tp>
        <v>5</v>
        <stp/>
        <stp>d73d1ff0-d275-4cc0-8271-2abad77fc032</stp>
        <tr r="G3269" s="2"/>
      </tp>
      <tp>
        <v>5</v>
        <stp/>
        <stp>a3f8a103-7143-4ffe-88d2-42596fd8c445</stp>
        <tr r="G3135" s="2"/>
      </tp>
      <tp>
        <v>5</v>
        <stp/>
        <stp>f524562f-106f-4045-a3be-e005b7ab5642</stp>
        <tr r="G9412" s="2"/>
      </tp>
      <tp>
        <v>5</v>
        <stp/>
        <stp>6a01b02e-607a-4b4a-ae2a-db25bd2b9fce</stp>
        <tr r="G3072" s="2"/>
      </tp>
      <tp>
        <v>5</v>
        <stp/>
        <stp>161cc21e-0f83-4148-afaa-1455c8f855d0</stp>
        <tr r="G9453" s="2"/>
      </tp>
      <tp>
        <v>5</v>
        <stp/>
        <stp>7dd8cf6d-458f-4b12-9a46-44edde712534</stp>
        <tr r="G8661" s="2"/>
      </tp>
      <tp>
        <v>5</v>
        <stp/>
        <stp>b34a6fb3-d13e-4a0d-85cd-83042bfc73e1</stp>
        <tr r="G7183" s="2"/>
      </tp>
      <tp>
        <v>5</v>
        <stp/>
        <stp>bbb13cb3-1ceb-430a-8e07-f5ccc2bbb2e6</stp>
        <tr r="G3646" s="2"/>
      </tp>
      <tp>
        <v>5</v>
        <stp/>
        <stp>c2eb8546-1f57-4f59-a321-4cc4d8cba276</stp>
        <tr r="G4129" s="2"/>
      </tp>
    </main>
    <main first="rtdsrv_a82eb5a1fc404542a18b1336b70d2c4e">
      <tp>
        <v>5</v>
        <stp/>
        <stp>2abd5c74-4b63-4b6e-b033-7ed490e96a4b</stp>
        <tr r="G3855" s="2"/>
      </tp>
      <tp>
        <v>5</v>
        <stp/>
        <stp>299cd5fc-65e3-4268-a6a1-ee7b068c4dec</stp>
        <tr r="G4055" s="2"/>
      </tp>
      <tp>
        <v>5</v>
        <stp/>
        <stp>46a0c04a-2360-436b-8767-7b3847eb5a6a</stp>
        <tr r="G4831" s="2"/>
      </tp>
      <tp>
        <v>5</v>
        <stp/>
        <stp>d690fda0-d5fa-4b4d-9b43-fc2362e9dc8e</stp>
        <tr r="G9266" s="2"/>
      </tp>
      <tp>
        <v>5</v>
        <stp/>
        <stp>9a2c69c5-1553-455b-8754-55585fbfe96c</stp>
        <tr r="G2153" s="2"/>
      </tp>
    </main>
    <main first="rtdsrv_a82eb5a1fc404542a18b1336b70d2c4e">
      <tp>
        <v>5</v>
        <stp/>
        <stp>76da9daf-0156-4036-817d-cc0e0df2e070</stp>
        <tr r="G8990" s="2"/>
      </tp>
      <tp>
        <v>5</v>
        <stp/>
        <stp>02eea45a-c699-453c-90fd-9f298aba63c1</stp>
        <tr r="G8580" s="2"/>
      </tp>
      <tp>
        <v>5</v>
        <stp/>
        <stp>1d0630fe-6fcd-455f-8c3b-00c85faed5bd</stp>
        <tr r="G6913" s="2"/>
      </tp>
    </main>
    <main first="rtdsrv_a82eb5a1fc404542a18b1336b70d2c4e">
      <tp>
        <v>5</v>
        <stp/>
        <stp>e910d5a1-da31-49b6-90e0-58b7f4ec3c4a</stp>
        <tr r="G2337" s="2"/>
      </tp>
      <tp>
        <v>5</v>
        <stp/>
        <stp>f74b0939-bb0e-4a39-a37d-6c103da8b1cc</stp>
        <tr r="G245" s="2"/>
      </tp>
    </main>
    <main first="rtdsrv_a82eb5a1fc404542a18b1336b70d2c4e">
      <tp>
        <v>5</v>
        <stp/>
        <stp>42ef70ba-56ba-41bc-834a-15a7c871e94e</stp>
        <tr r="G6606" s="2"/>
      </tp>
      <tp>
        <v>5</v>
        <stp/>
        <stp>3305529d-45e6-46bd-bcce-7f2a0b889ba0</stp>
        <tr r="G6855" s="2"/>
      </tp>
    </main>
    <main first="rtdsrv_a82eb5a1fc404542a18b1336b70d2c4e">
      <tp>
        <v>5</v>
        <stp/>
        <stp>8bbf032c-efb7-4fc6-a6ff-e151946965ab</stp>
        <tr r="G2980" s="2"/>
      </tp>
    </main>
    <main first="rtdsrv_a82eb5a1fc404542a18b1336b70d2c4e">
      <tp>
        <v>5</v>
        <stp/>
        <stp>f9e72f99-b1eb-4242-aff2-f523a99f01f8</stp>
        <tr r="G4525" s="2"/>
      </tp>
      <tp>
        <v>5</v>
        <stp/>
        <stp>d3d80a9f-b395-409d-ab24-df3f8a81c5c4</stp>
        <tr r="G7432" s="2"/>
      </tp>
    </main>
    <main first="rtdsrv_a82eb5a1fc404542a18b1336b70d2c4e">
      <tp>
        <v>5</v>
        <stp/>
        <stp>bff7925c-0a81-4726-98ec-450d542bbba3</stp>
        <tr r="G1499" s="2"/>
      </tp>
      <tp>
        <v>5</v>
        <stp/>
        <stp>5776b04c-f386-4bf4-9174-6345945a6175</stp>
        <tr r="G8105" s="2"/>
      </tp>
      <tp>
        <v>5</v>
        <stp/>
        <stp>b01dfeab-33e2-426b-9152-6468ccad624d</stp>
        <tr r="G4678" s="2"/>
      </tp>
    </main>
    <main first="rtdsrv_a82eb5a1fc404542a18b1336b70d2c4e">
      <tp>
        <v>5</v>
        <stp/>
        <stp>9322077a-ca75-4547-9a61-5cbb106b9a35</stp>
        <tr r="G3295" s="2"/>
      </tp>
    </main>
    <main first="rtdsrv_a82eb5a1fc404542a18b1336b70d2c4e">
      <tp>
        <v>5</v>
        <stp/>
        <stp>5edc5ed0-6ec2-48db-bacf-3a4551fd33cb</stp>
        <tr r="G6425" s="2"/>
      </tp>
    </main>
    <main first="rtdsrv_a82eb5a1fc404542a18b1336b70d2c4e">
      <tp>
        <v>5</v>
        <stp/>
        <stp>862d87e7-55a4-4a81-b0ef-3764d1666273</stp>
        <tr r="G5973" s="2"/>
      </tp>
    </main>
    <main first="rtdsrv_a82eb5a1fc404542a18b1336b70d2c4e">
      <tp>
        <v>5</v>
        <stp/>
        <stp>c12db0cf-2ed9-4a07-bf8d-891d43729bef</stp>
        <tr r="G6997" s="2"/>
      </tp>
      <tp>
        <v>5</v>
        <stp/>
        <stp>1b566746-8420-4a4c-b37a-19be1ea3c1d1</stp>
        <tr r="G199" s="2"/>
      </tp>
      <tp>
        <v>5</v>
        <stp/>
        <stp>2b20b66e-6986-498d-823d-15d29c695781</stp>
        <tr r="G5944" s="2"/>
      </tp>
      <tp>
        <v>5</v>
        <stp/>
        <stp>e2025cf6-35a0-40ed-bca1-211280cad232</stp>
        <tr r="G2390" s="2"/>
      </tp>
      <tp>
        <v>5</v>
        <stp/>
        <stp>0aa87baa-f88b-4be0-8ccd-9d81e21914fe</stp>
        <tr r="G551" s="2"/>
      </tp>
      <tp>
        <v>5</v>
        <stp/>
        <stp>3764429d-e7ee-4e76-bc54-8f8b20659a15</stp>
        <tr r="G373" s="2"/>
      </tp>
      <tp>
        <v>5</v>
        <stp/>
        <stp>19148d56-9075-4e50-8ee5-6a6300b564f2</stp>
        <tr r="G8281" s="2"/>
      </tp>
    </main>
    <main first="rtdsrv_a82eb5a1fc404542a18b1336b70d2c4e">
      <tp>
        <v>5</v>
        <stp/>
        <stp>10dd22fc-8891-4888-b9e5-c631b2db8747</stp>
        <tr r="G1418" s="2"/>
      </tp>
    </main>
    <main first="rtdsrv_a82eb5a1fc404542a18b1336b70d2c4e">
      <tp>
        <v>5</v>
        <stp/>
        <stp>e615e79e-a037-4781-99dd-22f53fb5254d</stp>
        <tr r="G9244" s="2"/>
      </tp>
      <tp>
        <v>5</v>
        <stp/>
        <stp>2f980fca-2fee-4922-a918-ae29ff852fbb</stp>
        <tr r="G9339" s="2"/>
      </tp>
    </main>
    <main first="rtdsrv_a82eb5a1fc404542a18b1336b70d2c4e">
      <tp>
        <v>5</v>
        <stp/>
        <stp>30d9c790-49f7-404e-adb5-368d0f48b013</stp>
        <tr r="G9389" s="2"/>
      </tp>
    </main>
    <main first="rtdsrv_a82eb5a1fc404542a18b1336b70d2c4e">
      <tp>
        <v>5</v>
        <stp/>
        <stp>cb9d0821-d51a-49c8-8d41-6e2974cee72d</stp>
        <tr r="G7208" s="2"/>
      </tp>
      <tp>
        <v>5</v>
        <stp/>
        <stp>2751481f-6477-428f-9123-3c7ac8aceb91</stp>
        <tr r="G930" s="2"/>
      </tp>
      <tp>
        <v>5</v>
        <stp/>
        <stp>62e6bb1c-6804-44ab-ae84-8879b1b2daab</stp>
        <tr r="G6533" s="2"/>
      </tp>
    </main>
    <main first="rtdsrv_a82eb5a1fc404542a18b1336b70d2c4e">
      <tp>
        <v>5</v>
        <stp/>
        <stp>8cbd028f-ef2c-41cd-aab4-36b862498b3e</stp>
        <tr r="G3983" s="2"/>
      </tp>
    </main>
    <main first="rtdsrv_a82eb5a1fc404542a18b1336b70d2c4e">
      <tp>
        <v>5</v>
        <stp/>
        <stp>b51415b3-833c-4f6c-af18-35adf3ea3818</stp>
        <tr r="G9115" s="2"/>
      </tp>
    </main>
    <main first="rtdsrv_a82eb5a1fc404542a18b1336b70d2c4e">
      <tp>
        <v>5</v>
        <stp/>
        <stp>9f5f7d94-9ddc-47cd-9492-b640313d4509</stp>
        <tr r="G2061" s="2"/>
      </tp>
      <tp>
        <v>5</v>
        <stp/>
        <stp>666394bb-41d0-4ff0-a51c-9687dbbf4713</stp>
        <tr r="G631" s="2"/>
      </tp>
    </main>
    <main first="rtdsrv_a82eb5a1fc404542a18b1336b70d2c4e">
      <tp>
        <v>5</v>
        <stp/>
        <stp>e2f17a4c-df22-4830-88c4-6d999caef75c</stp>
        <tr r="G7030" s="2"/>
      </tp>
    </main>
    <main first="rtdsrv_a82eb5a1fc404542a18b1336b70d2c4e">
      <tp>
        <v>5</v>
        <stp/>
        <stp>2c071bbe-7dbd-466f-8a8f-4b259849df85</stp>
        <tr r="G6427" s="2"/>
      </tp>
    </main>
    <main first="rtdsrv_a82eb5a1fc404542a18b1336b70d2c4e">
      <tp>
        <v>5</v>
        <stp/>
        <stp>1aeb4f9a-119a-4dec-b96b-fc345a6305d8</stp>
        <tr r="G2648" s="2"/>
      </tp>
    </main>
    <main first="rtdsrv_a82eb5a1fc404542a18b1336b70d2c4e">
      <tp>
        <v>5</v>
        <stp/>
        <stp>bddd1c0a-08ed-4994-b469-f7b78786aaa5</stp>
        <tr r="G1767" s="2"/>
      </tp>
    </main>
    <main first="rtdsrv_a82eb5a1fc404542a18b1336b70d2c4e">
      <tp>
        <v>5</v>
        <stp/>
        <stp>3236eb81-d7e6-4e43-803b-35cc4b1a77be</stp>
        <tr r="G6038" s="2"/>
      </tp>
    </main>
    <main first="rtdsrv_a82eb5a1fc404542a18b1336b70d2c4e">
      <tp>
        <v>5</v>
        <stp/>
        <stp>3ec17bfb-ec74-49f7-a758-5e174fc3b7c8</stp>
        <tr r="G2379" s="2"/>
      </tp>
      <tp>
        <v>5</v>
        <stp/>
        <stp>6c5fd5a2-bbbb-46bd-b369-7cf754dfceb2</stp>
        <tr r="G342" s="2"/>
      </tp>
      <tp>
        <v>5</v>
        <stp/>
        <stp>ba22b2fd-0ae1-4820-97e2-f64755d14a88</stp>
        <tr r="G550" s="2"/>
      </tp>
      <tp>
        <v>5</v>
        <stp/>
        <stp>9575e7e4-4f06-4f84-824c-db4aa04e208e</stp>
        <tr r="G9589" s="2"/>
      </tp>
    </main>
    <main first="rtdsrv_a82eb5a1fc404542a18b1336b70d2c4e">
      <tp>
        <v>5</v>
        <stp/>
        <stp>68389736-22c9-4d8d-b4cf-69357c898402</stp>
        <tr r="G7372" s="2"/>
      </tp>
    </main>
    <main first="rtdsrv_a82eb5a1fc404542a18b1336b70d2c4e">
      <tp>
        <v>5</v>
        <stp/>
        <stp>45494864-a682-403e-a04a-4fae299476bd</stp>
        <tr r="G1161" s="2"/>
      </tp>
      <tp>
        <v>5</v>
        <stp/>
        <stp>1a290ec0-a1a2-4837-b4e6-f4929aa026ab</stp>
        <tr r="G4388" s="2"/>
      </tp>
    </main>
    <main first="rtdsrv_a82eb5a1fc404542a18b1336b70d2c4e">
      <tp>
        <v>5</v>
        <stp/>
        <stp>d0f5071c-9a2c-4ffe-8aed-299f3f4f950d</stp>
        <tr r="G8262" s="2"/>
      </tp>
    </main>
    <main first="rtdsrv_a82eb5a1fc404542a18b1336b70d2c4e">
      <tp>
        <v>5</v>
        <stp/>
        <stp>6c98aae4-ed52-4280-98ea-0c421a0dad5e</stp>
        <tr r="G6167" s="2"/>
      </tp>
      <tp>
        <v>5</v>
        <stp/>
        <stp>e84eebed-84dd-4ce6-9b12-b214b09ce37d</stp>
        <tr r="G867" s="2"/>
      </tp>
      <tp>
        <v>5</v>
        <stp/>
        <stp>56bc39eb-99bc-4c97-b66f-0bf833c2025e</stp>
        <tr r="G1813" s="2"/>
      </tp>
    </main>
    <main first="rtdsrv_a82eb5a1fc404542a18b1336b70d2c4e">
      <tp>
        <v>5</v>
        <stp/>
        <stp>60b77f70-f408-4f47-96e9-ed04318eac80</stp>
        <tr r="G1268" s="2"/>
      </tp>
      <tp>
        <v>5</v>
        <stp/>
        <stp>339dbc06-caee-4d35-9ea1-8777d13d0552</stp>
        <tr r="G3503" s="2"/>
      </tp>
    </main>
    <main first="rtdsrv_a82eb5a1fc404542a18b1336b70d2c4e">
      <tp>
        <v>5</v>
        <stp/>
        <stp>aebc3415-49be-44f4-ac65-6dd4c5efdb76</stp>
        <tr r="G6230" s="2"/>
      </tp>
      <tp>
        <v>5</v>
        <stp/>
        <stp>eba24b72-88c7-4ba9-b3bf-c6c7e920d80c</stp>
        <tr r="G7536" s="2"/>
      </tp>
    </main>
    <main first="rtdsrv_a82eb5a1fc404542a18b1336b70d2c4e">
      <tp>
        <v>5</v>
        <stp/>
        <stp>4f77c34c-ef45-4972-9082-db358481c85f</stp>
        <tr r="G9172" s="2"/>
      </tp>
      <tp>
        <v>5</v>
        <stp/>
        <stp>24b3f29a-f1bb-497d-8f11-dfb07fecaa5a</stp>
        <tr r="G1483" s="2"/>
      </tp>
      <tp>
        <v>5</v>
        <stp/>
        <stp>edd41832-c3d8-4629-9f3f-ceed47997373</stp>
        <tr r="G4514" s="2"/>
      </tp>
      <tp>
        <v>5</v>
        <stp/>
        <stp>f875f50c-6d74-486c-adb3-d9535a802648</stp>
        <tr r="G269" s="2"/>
      </tp>
    </main>
    <main first="rtdsrv_a82eb5a1fc404542a18b1336b70d2c4e">
      <tp>
        <v>5</v>
        <stp/>
        <stp>35d62c2d-b083-4f42-a07f-bff0de7e5f85</stp>
        <tr r="G6273" s="2"/>
      </tp>
      <tp>
        <v>5</v>
        <stp/>
        <stp>f864dc35-9f04-47cf-a683-b9c283c90b9c</stp>
        <tr r="G1410" s="2"/>
      </tp>
    </main>
    <main first="rtdsrv_a82eb5a1fc404542a18b1336b70d2c4e">
      <tp>
        <v>5</v>
        <stp/>
        <stp>649089a3-8b83-4870-aebb-94ca91e3667d</stp>
        <tr r="G1928" s="2"/>
      </tp>
      <tp>
        <v>5</v>
        <stp/>
        <stp>67c11e8d-2751-4e7e-a3f3-2be3f05bcefe</stp>
        <tr r="G4706" s="2"/>
      </tp>
      <tp>
        <v>5</v>
        <stp/>
        <stp>105f08d8-09f3-4082-8e8e-18b4dfda78b5</stp>
        <tr r="G1920" s="2"/>
      </tp>
      <tp>
        <v>5</v>
        <stp/>
        <stp>c3128b2d-77b1-4b47-9d58-cf510ec84337</stp>
        <tr r="G3944" s="2"/>
      </tp>
    </main>
    <main first="rtdsrv_a82eb5a1fc404542a18b1336b70d2c4e">
      <tp>
        <v>5</v>
        <stp/>
        <stp>5d5844bd-5a25-48ee-8cee-f89aa86ef157</stp>
        <tr r="G981" s="2"/>
      </tp>
      <tp>
        <v>5</v>
        <stp/>
        <stp>5b8c986d-d259-4756-aeec-681733c812d6</stp>
        <tr r="G9580" s="2"/>
      </tp>
      <tp>
        <v>5</v>
        <stp/>
        <stp>348f7235-bd23-4ef0-b3a0-b6584341cd71</stp>
        <tr r="G3756" s="2"/>
      </tp>
      <tp>
        <v>5</v>
        <stp/>
        <stp>8b402303-568a-4f85-a72d-443eca57ab91</stp>
        <tr r="G7510" s="2"/>
      </tp>
    </main>
    <main first="rtdsrv_a82eb5a1fc404542a18b1336b70d2c4e">
      <tp>
        <v>5</v>
        <stp/>
        <stp>ab3e97d3-c47f-47fe-8797-6928b2871578</stp>
        <tr r="G2674" s="2"/>
      </tp>
      <tp>
        <v>5</v>
        <stp/>
        <stp>64c11af4-9783-4a29-bbd8-cb1582df1564</stp>
        <tr r="G6511" s="2"/>
      </tp>
      <tp>
        <v>5</v>
        <stp/>
        <stp>e0f74b2e-d360-4af5-b3b7-d71b170f2588</stp>
        <tr r="G6803" s="2"/>
      </tp>
      <tp>
        <v>5</v>
        <stp/>
        <stp>283ef910-9758-476f-ae49-b59e499c62f6</stp>
        <tr r="G6196" s="2"/>
      </tp>
    </main>
    <main first="rtdsrv_a82eb5a1fc404542a18b1336b70d2c4e">
      <tp>
        <v>5</v>
        <stp/>
        <stp>57b5e161-9f0d-4da9-aa56-9130949ddbdd</stp>
        <tr r="G1691" s="2"/>
      </tp>
    </main>
    <main first="rtdsrv_a82eb5a1fc404542a18b1336b70d2c4e">
      <tp>
        <v>5</v>
        <stp/>
        <stp>a42b5506-0906-4064-915f-1e3ef2be63fd</stp>
        <tr r="G4294" s="2"/>
      </tp>
    </main>
    <main first="rtdsrv_a82eb5a1fc404542a18b1336b70d2c4e">
      <tp>
        <v>5</v>
        <stp/>
        <stp>ff52ef9c-6e20-4526-bfe6-97eab7d77147</stp>
        <tr r="G6886" s="2"/>
      </tp>
      <tp>
        <v>5</v>
        <stp/>
        <stp>dbdb0f41-4848-4563-991f-cd888fd7ad83</stp>
        <tr r="G3347" s="2"/>
      </tp>
      <tp>
        <v>5</v>
        <stp/>
        <stp>9aa22f86-dd06-4623-97ca-815c3a195721</stp>
        <tr r="G416" s="2"/>
      </tp>
    </main>
    <main first="rtdsrv_a82eb5a1fc404542a18b1336b70d2c4e">
      <tp>
        <v>5</v>
        <stp/>
        <stp>778c4d32-17b2-41da-96c0-5453310271cd</stp>
        <tr r="G9811" s="2"/>
      </tp>
      <tp>
        <v>5</v>
        <stp/>
        <stp>ca992a99-f0d4-4730-8949-84ec1c6c1a04</stp>
        <tr r="G8864" s="2"/>
      </tp>
    </main>
    <main first="rtdsrv_a82eb5a1fc404542a18b1336b70d2c4e">
      <tp>
        <v>5</v>
        <stp/>
        <stp>65b5ba76-4642-4c5c-82fa-fa961ac1a123</stp>
        <tr r="G2479" s="2"/>
      </tp>
    </main>
    <main first="rtdsrv_a82eb5a1fc404542a18b1336b70d2c4e">
      <tp>
        <v>5</v>
        <stp/>
        <stp>7130ea24-3fac-44a9-bbf9-7efd55fcb855</stp>
        <tr r="G5947" s="2"/>
      </tp>
    </main>
    <main first="rtdsrv_a82eb5a1fc404542a18b1336b70d2c4e">
      <tp>
        <v>5</v>
        <stp/>
        <stp>985c6ad2-dff0-41af-8eea-f9be8ffbc593</stp>
        <tr r="G6505" s="2"/>
      </tp>
      <tp>
        <v>5</v>
        <stp/>
        <stp>b5886a34-ceb2-49c4-b460-fbde87bb043d</stp>
        <tr r="G4124" s="2"/>
      </tp>
      <tp>
        <v>5</v>
        <stp/>
        <stp>1553c24d-2d90-4d88-9021-4b9a68737116</stp>
        <tr r="G7980" s="2"/>
      </tp>
      <tp>
        <v>5</v>
        <stp/>
        <stp>da5c22da-7839-4ab0-89fe-03f9fac824b9</stp>
        <tr r="G8659" s="2"/>
      </tp>
    </main>
    <main first="rtdsrv_a82eb5a1fc404542a18b1336b70d2c4e">
      <tp>
        <v>5</v>
        <stp/>
        <stp>980b862f-f836-4814-8448-528bd72259c4</stp>
        <tr r="G7009" s="2"/>
      </tp>
      <tp>
        <v>5</v>
        <stp/>
        <stp>ca39d88a-1441-45ad-a4fe-2c6008c77edb</stp>
        <tr r="G1864" s="2"/>
      </tp>
    </main>
    <main first="rtdsrv_a82eb5a1fc404542a18b1336b70d2c4e">
      <tp>
        <v>5</v>
        <stp/>
        <stp>ff9ecca0-f83c-4c47-8a1e-709aeb242ce6</stp>
        <tr r="G5212" s="2"/>
      </tp>
    </main>
    <main first="rtdsrv_a82eb5a1fc404542a18b1336b70d2c4e">
      <tp>
        <v>5</v>
        <stp/>
        <stp>15d704ce-a186-4fc8-a265-127491f58992</stp>
        <tr r="G3499" s="2"/>
      </tp>
    </main>
    <main first="rtdsrv_a82eb5a1fc404542a18b1336b70d2c4e">
      <tp>
        <v>5</v>
        <stp/>
        <stp>81fd7587-7418-4924-8ee5-ea69cb6d254e</stp>
        <tr r="G9121" s="2"/>
      </tp>
      <tp>
        <v>5</v>
        <stp/>
        <stp>a5b88211-1bd7-48bf-b112-da1e9a7125ae</stp>
        <tr r="G5689" s="2"/>
      </tp>
    </main>
    <main first="rtdsrv_a82eb5a1fc404542a18b1336b70d2c4e">
      <tp>
        <v>5</v>
        <stp/>
        <stp>f3e476e6-bf15-4cbf-9e3a-0cb1345fa143</stp>
        <tr r="G7775" s="2"/>
      </tp>
      <tp>
        <v>5</v>
        <stp/>
        <stp>8b942a17-ecaa-4cfb-8754-580ca9314d8c</stp>
        <tr r="G253" s="2"/>
      </tp>
    </main>
    <main first="rtdsrv_a82eb5a1fc404542a18b1336b70d2c4e">
      <tp>
        <v>5</v>
        <stp/>
        <stp>c6c0e1f8-12de-496a-8766-aba4f3443d0f</stp>
        <tr r="G4795" s="2"/>
      </tp>
      <tp>
        <v>5</v>
        <stp/>
        <stp>26d9b708-d728-4b61-94d0-57ac0beae13a</stp>
        <tr r="G7387" s="2"/>
      </tp>
    </main>
    <main first="rtdsrv_a82eb5a1fc404542a18b1336b70d2c4e">
      <tp>
        <v>5</v>
        <stp/>
        <stp>00351056-4719-449b-9bb5-14c7fab9f5aa</stp>
        <tr r="G1789" s="2"/>
      </tp>
      <tp>
        <v>5</v>
        <stp/>
        <stp>4c5e5775-6c3b-4a6f-b303-abeae35531fd</stp>
        <tr r="G4329" s="2"/>
      </tp>
      <tp>
        <v>5</v>
        <stp/>
        <stp>75a0086d-4ab0-451a-aa8f-cdbf14ed2d30</stp>
        <tr r="G3701" s="2"/>
      </tp>
    </main>
    <main first="rtdsrv_a82eb5a1fc404542a18b1336b70d2c4e">
      <tp>
        <v>5</v>
        <stp/>
        <stp>ae92dea8-35e4-4aac-855b-31db9e680e90</stp>
        <tr r="G4224" s="2"/>
      </tp>
      <tp>
        <v>5</v>
        <stp/>
        <stp>074efe41-645b-4661-93be-a0fd6e0b36c7</stp>
        <tr r="G42" s="2"/>
      </tp>
      <tp>
        <v>5</v>
        <stp/>
        <stp>bc4e9f24-0771-4b6a-8677-610224e1b27f</stp>
        <tr r="G2507" s="2"/>
      </tp>
      <tp>
        <v>5</v>
        <stp/>
        <stp>452d14a9-36e7-459f-aac6-8b5437467664</stp>
        <tr r="G8991" s="2"/>
      </tp>
      <tp>
        <v>5</v>
        <stp/>
        <stp>32efe4c9-b4f6-4c01-a360-bb038dfa2103</stp>
        <tr r="G8899" s="2"/>
      </tp>
      <tp>
        <v>5</v>
        <stp/>
        <stp>0960b95c-ed42-4af4-9b50-6cc8c5d65f54</stp>
        <tr r="G7157" s="2"/>
      </tp>
    </main>
    <main first="rtdsrv_a82eb5a1fc404542a18b1336b70d2c4e">
      <tp>
        <v>5</v>
        <stp/>
        <stp>7a7a6ba8-cf6a-41e6-83b8-53020beba18b</stp>
        <tr r="G5314" s="2"/>
      </tp>
    </main>
    <main first="rtdsrv_a82eb5a1fc404542a18b1336b70d2c4e">
      <tp>
        <v>5</v>
        <stp/>
        <stp>02a7d4a1-da26-46ac-b2ae-561530b38223</stp>
        <tr r="G751" s="2"/>
      </tp>
      <tp>
        <v>5</v>
        <stp/>
        <stp>d0c56436-dc79-433a-aaba-cd625f62c573</stp>
        <tr r="G7046" s="2"/>
      </tp>
    </main>
    <main first="rtdsrv_a82eb5a1fc404542a18b1336b70d2c4e">
      <tp>
        <v>5</v>
        <stp/>
        <stp>3b2aaff3-63cb-46af-9221-1d2b408edf9e</stp>
        <tr r="G9460" s="2"/>
      </tp>
    </main>
    <main first="rtdsrv_a82eb5a1fc404542a18b1336b70d2c4e">
      <tp>
        <v>5</v>
        <stp/>
        <stp>43ab4ad7-caa6-4a61-99ae-5231076fa0ad</stp>
        <tr r="G2951" s="2"/>
      </tp>
      <tp>
        <v>5</v>
        <stp/>
        <stp>12661cf7-1efa-4cf3-a405-f22c5ff52c22</stp>
        <tr r="G8791" s="2"/>
      </tp>
      <tp>
        <v>5</v>
        <stp/>
        <stp>8e71f9dd-de96-43a5-b982-e3636bd4b006</stp>
        <tr r="G2048" s="2"/>
      </tp>
      <tp>
        <v>5</v>
        <stp/>
        <stp>a15fca65-8eff-42b9-880a-54aef66d9767</stp>
        <tr r="G9385" s="2"/>
      </tp>
    </main>
    <main first="rtdsrv_a82eb5a1fc404542a18b1336b70d2c4e">
      <tp>
        <v>5</v>
        <stp/>
        <stp>564a5f43-fb95-479c-b361-52fd1aca7d02</stp>
        <tr r="G7237" s="2"/>
      </tp>
    </main>
    <main first="rtdsrv_a82eb5a1fc404542a18b1336b70d2c4e">
      <tp>
        <v>5</v>
        <stp/>
        <stp>17ea25d3-fcc4-48fb-a01d-134b9f5e56ad</stp>
        <tr r="G7849" s="2"/>
      </tp>
      <tp>
        <v>5</v>
        <stp/>
        <stp>bdecc5d7-a33e-4fca-aac2-16bf1de784ad</stp>
        <tr r="G619" s="2"/>
      </tp>
    </main>
    <main first="rtdsrv_a82eb5a1fc404542a18b1336b70d2c4e">
      <tp>
        <v>5</v>
        <stp/>
        <stp>6cdfee22-482c-4b55-a078-29f4d960adae</stp>
        <tr r="G1246" s="2"/>
      </tp>
    </main>
    <main first="rtdsrv_a82eb5a1fc404542a18b1336b70d2c4e">
      <tp>
        <v>5</v>
        <stp/>
        <stp>e8475a78-c0db-4625-bb0b-bba8611f98fd</stp>
        <tr r="G1231" s="2"/>
      </tp>
    </main>
    <main first="rtdsrv_a82eb5a1fc404542a18b1336b70d2c4e">
      <tp>
        <v>5</v>
        <stp/>
        <stp>7390043c-43b0-4094-b76f-469ea72b9d3c</stp>
        <tr r="G6595" s="2"/>
      </tp>
    </main>
    <main first="rtdsrv_a82eb5a1fc404542a18b1336b70d2c4e">
      <tp>
        <v>5</v>
        <stp/>
        <stp>7aaef06b-2122-4007-ad27-496ae9808287</stp>
        <tr r="G1841" s="2"/>
      </tp>
      <tp>
        <v>5</v>
        <stp/>
        <stp>d0469720-1603-4c99-a42f-5f6b080ca776</stp>
        <tr r="G6375" s="2"/>
      </tp>
    </main>
    <main first="rtdsrv_a82eb5a1fc404542a18b1336b70d2c4e">
      <tp>
        <v>5</v>
        <stp/>
        <stp>573b3852-30b0-4b8f-af82-e6094b06dbc3</stp>
        <tr r="G4526" s="2"/>
      </tp>
      <tp>
        <v>5</v>
        <stp/>
        <stp>c4a87b0a-560b-44ac-b620-e424ef702455</stp>
        <tr r="G7581" s="2"/>
      </tp>
      <tp>
        <v>5</v>
        <stp/>
        <stp>41e554bc-8238-485f-8051-81a8e86ff345</stp>
        <tr r="G7411" s="2"/>
      </tp>
    </main>
    <main first="rtdsrv_a82eb5a1fc404542a18b1336b70d2c4e">
      <tp>
        <v>5</v>
        <stp/>
        <stp>75dd061e-8a52-45d6-865e-b87c01ed5ed5</stp>
        <tr r="G757" s="2"/>
      </tp>
    </main>
    <main first="rtdsrv_a82eb5a1fc404542a18b1336b70d2c4e">
      <tp>
        <v>5</v>
        <stp/>
        <stp>9209ba15-95d2-42ea-9363-03ea0c54a90f</stp>
        <tr r="G4703" s="2"/>
      </tp>
      <tp>
        <v>5</v>
        <stp/>
        <stp>56e39c49-2630-459b-87fb-32bfc743e241</stp>
        <tr r="G9429" s="2"/>
      </tp>
      <tp>
        <v>5</v>
        <stp/>
        <stp>761080fd-aa45-4350-995b-bdcdc4591fef</stp>
        <tr r="G57" s="2"/>
      </tp>
      <tp>
        <v>5</v>
        <stp/>
        <stp>30414f0f-d7e8-472e-8712-dccd6a22e078</stp>
        <tr r="G5176" s="2"/>
      </tp>
      <tp>
        <v>5</v>
        <stp/>
        <stp>9741671c-df4e-4fa3-9e20-6ff196feba41</stp>
        <tr r="G2505" s="2"/>
      </tp>
      <tp>
        <v>5</v>
        <stp/>
        <stp>c591e7b4-fdeb-414c-8fae-2daccf9400ec</stp>
        <tr r="G8403" s="2"/>
      </tp>
    </main>
    <main first="rtdsrv_a82eb5a1fc404542a18b1336b70d2c4e">
      <tp>
        <v>5</v>
        <stp/>
        <stp>366c3905-d661-4c83-ae8f-887409398555</stp>
        <tr r="G1847" s="2"/>
      </tp>
      <tp>
        <v>5</v>
        <stp/>
        <stp>e7b8d34a-4958-41c1-817f-b2c7a3828c2d</stp>
        <tr r="G8726" s="2"/>
      </tp>
    </main>
    <main first="rtdsrv_a82eb5a1fc404542a18b1336b70d2c4e">
      <tp>
        <v>5</v>
        <stp/>
        <stp>af3d8396-97a2-4d43-a20a-a88de45ce711</stp>
        <tr r="G2774" s="2"/>
      </tp>
    </main>
    <main first="rtdsrv_a82eb5a1fc404542a18b1336b70d2c4e">
      <tp>
        <v>5</v>
        <stp/>
        <stp>a247ea5f-57d8-4b9b-befc-9345573da22f</stp>
        <tr r="G1537" s="2"/>
      </tp>
      <tp>
        <v>5</v>
        <stp/>
        <stp>1dfa771f-317b-417e-8609-e1ba6e9b55d9</stp>
        <tr r="G170" s="2"/>
      </tp>
      <tp>
        <v>5</v>
        <stp/>
        <stp>2cf370ff-b8ad-4558-b198-a084bfa6b29b</stp>
        <tr r="G6002" s="2"/>
      </tp>
    </main>
    <main first="rtdsrv_a82eb5a1fc404542a18b1336b70d2c4e">
      <tp>
        <v>5</v>
        <stp/>
        <stp>251df560-edcb-4084-9e22-7dc112fc5a4c</stp>
        <tr r="G7584" s="2"/>
      </tp>
      <tp>
        <v>5</v>
        <stp/>
        <stp>a5721d66-3d08-4f0c-a2c5-50e0a33955f5</stp>
        <tr r="G4519" s="2"/>
      </tp>
      <tp>
        <v>5</v>
        <stp/>
        <stp>02e634ba-611e-49f2-a431-27e720f1fbd1</stp>
        <tr r="G7150" s="2"/>
      </tp>
      <tp>
        <v>5</v>
        <stp/>
        <stp>f9d326f0-629a-4599-b287-e8ebcb7df65a</stp>
        <tr r="G6225" s="2"/>
      </tp>
      <tp>
        <v>5</v>
        <stp/>
        <stp>1b082fb5-1f9a-4b4b-87e3-654637aaad23</stp>
        <tr r="G5804" s="2"/>
      </tp>
    </main>
    <main first="rtdsrv_a82eb5a1fc404542a18b1336b70d2c4e">
      <tp>
        <v>5</v>
        <stp/>
        <stp>53939dc1-6171-4653-b959-af3a3008be13</stp>
        <tr r="G808" s="2"/>
      </tp>
      <tp>
        <v>5</v>
        <stp/>
        <stp>11b4655c-acb7-496e-9e16-90e3e0519e2c</stp>
        <tr r="G5149" s="2"/>
      </tp>
    </main>
    <main first="rtdsrv_a82eb5a1fc404542a18b1336b70d2c4e">
      <tp>
        <v>5</v>
        <stp/>
        <stp>60f2aa45-e223-4939-b690-0415d2287f32</stp>
        <tr r="G6400" s="2"/>
      </tp>
    </main>
    <main first="rtdsrv_a82eb5a1fc404542a18b1336b70d2c4e">
      <tp>
        <v>5</v>
        <stp/>
        <stp>4f1de2d3-6517-4b12-b543-daf4bdf78537</stp>
        <tr r="G1916" s="2"/>
      </tp>
    </main>
    <main first="rtdsrv_a82eb5a1fc404542a18b1336b70d2c4e">
      <tp>
        <v>5</v>
        <stp/>
        <stp>3eb7070a-9616-4861-bbbb-c9aee64a2c3d</stp>
        <tr r="G8677" s="2"/>
      </tp>
      <tp>
        <v>5</v>
        <stp/>
        <stp>b0c2fdc4-ca1f-4ae4-9db7-d0b38ced8f1e</stp>
        <tr r="G9702" s="2"/>
      </tp>
    </main>
    <main first="rtdsrv_a82eb5a1fc404542a18b1336b70d2c4e">
      <tp>
        <v>5</v>
        <stp/>
        <stp>3ab6d755-30f4-4972-b267-6270206be712</stp>
        <tr r="G7525" s="2"/>
      </tp>
      <tp>
        <v>5</v>
        <stp/>
        <stp>9781b532-a9ee-4c6b-8caa-96de21f45316</stp>
        <tr r="G604" s="2"/>
      </tp>
      <tp>
        <v>5</v>
        <stp/>
        <stp>d4055a17-ee28-417e-90bb-66c471198d55</stp>
        <tr r="G6986" s="2"/>
      </tp>
      <tp>
        <v>5</v>
        <stp/>
        <stp>9312dd28-c166-41a5-9a8e-b9f3c6224bb7</stp>
        <tr r="G1580" s="2"/>
      </tp>
      <tp>
        <v>5</v>
        <stp/>
        <stp>bd2f3ae4-d1a6-44bd-8fee-9c4d6f7ac1a6</stp>
        <tr r="G1873" s="2"/>
      </tp>
    </main>
    <main first="rtdsrv_a82eb5a1fc404542a18b1336b70d2c4e">
      <tp>
        <v>5</v>
        <stp/>
        <stp>5e4d6219-e14c-4784-9311-30009be15112</stp>
        <tr r="G5810" s="2"/>
      </tp>
      <tp>
        <v>5</v>
        <stp/>
        <stp>771e287e-3d0a-4d39-9e52-27b166a11e28</stp>
        <tr r="G9441" s="2"/>
      </tp>
      <tp>
        <v>5</v>
        <stp/>
        <stp>a2bd33e3-c4be-462e-afc7-2b41cbd56053</stp>
        <tr r="G6413" s="2"/>
      </tp>
    </main>
    <main first="rtdsrv_a82eb5a1fc404542a18b1336b70d2c4e">
      <tp>
        <v>5</v>
        <stp/>
        <stp>81896bb2-5007-4dd7-a8b2-f232d6885c12</stp>
        <tr r="G7368" s="2"/>
      </tp>
      <tp>
        <v>5</v>
        <stp/>
        <stp>e0597211-309f-4356-a2b6-d1f4187a6811</stp>
        <tr r="G7737" s="2"/>
      </tp>
      <tp>
        <v>5</v>
        <stp/>
        <stp>6ef0a529-15e1-4db6-a2de-f8e5f909af3b</stp>
        <tr r="G6128" s="2"/>
      </tp>
      <tp>
        <v>5</v>
        <stp/>
        <stp>cb1f6fc9-5afc-42a6-8b34-0ad117905685</stp>
        <tr r="G3059" s="2"/>
      </tp>
      <tp>
        <v>5</v>
        <stp/>
        <stp>9cdf4dec-de0c-4fbf-9944-07acd750def9</stp>
        <tr r="G7913" s="2"/>
      </tp>
      <tp>
        <v>5</v>
        <stp/>
        <stp>b3c42e35-f771-4e85-bfcc-74b7c07f963a</stp>
        <tr r="G5667" s="2"/>
      </tp>
      <tp>
        <v>5</v>
        <stp/>
        <stp>d54788ee-6d47-4679-8ff2-d30e3a381bf7</stp>
        <tr r="G8193" s="2"/>
      </tp>
      <tp>
        <v>5</v>
        <stp/>
        <stp>f3468c65-a2eb-4c06-8f55-79ba697fef29</stp>
        <tr r="G3619" s="2"/>
      </tp>
      <tp>
        <v>5</v>
        <stp/>
        <stp>1f8520c0-ef5f-48fc-a578-7fc6e6553c1f</stp>
        <tr r="G4054" s="2"/>
      </tp>
      <tp>
        <v>5</v>
        <stp/>
        <stp>7942abee-ac1e-4224-9eed-3be78e27d8cc</stp>
        <tr r="G8909" s="2"/>
      </tp>
      <tp>
        <v>5</v>
        <stp/>
        <stp>1ff300f6-41a6-4541-8f77-846e3361a7d3</stp>
        <tr r="G4319" s="2"/>
      </tp>
    </main>
    <main first="rtdsrv_a82eb5a1fc404542a18b1336b70d2c4e">
      <tp>
        <v>5</v>
        <stp/>
        <stp>ce72d153-b061-47bf-9537-cf7b8d4f95d7</stp>
        <tr r="G186" s="2"/>
      </tp>
      <tp>
        <v>5</v>
        <stp/>
        <stp>f6b96e59-4e6b-427e-8c0c-7311bb1e473c</stp>
        <tr r="G6403" s="2"/>
      </tp>
    </main>
    <main first="rtdsrv_a82eb5a1fc404542a18b1336b70d2c4e">
      <tp>
        <v>5</v>
        <stp/>
        <stp>0208e3c0-313e-4e07-9f27-bd162fba7ada</stp>
        <tr r="G5600" s="2"/>
      </tp>
    </main>
    <main first="rtdsrv_a82eb5a1fc404542a18b1336b70d2c4e">
      <tp>
        <v>5</v>
        <stp/>
        <stp>b3384d15-278b-4ef0-9e23-04123ca1cd48</stp>
        <tr r="G8492" s="2"/>
      </tp>
      <tp>
        <v>5</v>
        <stp/>
        <stp>aea72c7d-c2bc-4f7d-a5ed-16ca927a246d</stp>
        <tr r="G46" s="2"/>
      </tp>
    </main>
    <main first="rtdsrv_a82eb5a1fc404542a18b1336b70d2c4e">
      <tp>
        <v>5</v>
        <stp/>
        <stp>026e1489-5846-4d83-a9cb-876272a702a4</stp>
        <tr r="G8709" s="2"/>
      </tp>
      <tp>
        <v>5</v>
        <stp/>
        <stp>51291aa5-a916-4c98-8c8f-5ae21231e688</stp>
        <tr r="G7388" s="2"/>
      </tp>
    </main>
    <main first="rtdsrv_a82eb5a1fc404542a18b1336b70d2c4e">
      <tp>
        <v>5</v>
        <stp/>
        <stp>63d612d4-5c59-4e62-bbc2-8e28afb4c2cd</stp>
        <tr r="G8514" s="2"/>
      </tp>
      <tp>
        <v>5</v>
        <stp/>
        <stp>b7345b5a-96bd-4ae3-8e70-c9b722e4d7e4</stp>
        <tr r="G4376" s="2"/>
      </tp>
      <tp>
        <v>5</v>
        <stp/>
        <stp>3375b51b-71f0-4e46-99d7-d234ac08bfa8</stp>
        <tr r="G5738" s="2"/>
      </tp>
      <tp>
        <v>5</v>
        <stp/>
        <stp>edfb3b53-0249-4603-9174-0603a2de2bce</stp>
        <tr r="G1598" s="2"/>
      </tp>
      <tp>
        <v>5</v>
        <stp/>
        <stp>0bd3e155-050b-4ee5-8cf3-4e7f0845e96b</stp>
        <tr r="G6161" s="2"/>
      </tp>
    </main>
    <main first="rtdsrv_a82eb5a1fc404542a18b1336b70d2c4e">
      <tp>
        <v>5</v>
        <stp/>
        <stp>1fa4183a-2629-4f1c-bf87-3e133ecb4cb0</stp>
        <tr r="G788" s="2"/>
      </tp>
    </main>
    <main first="rtdsrv_a82eb5a1fc404542a18b1336b70d2c4e">
      <tp>
        <v>5</v>
        <stp/>
        <stp>d0b9c288-c568-4f82-a539-7fe646e0bd59</stp>
        <tr r="G4531" s="2"/>
      </tp>
      <tp>
        <v>5</v>
        <stp/>
        <stp>8c808b2c-09ae-4d3a-9df4-69163bcf5960</stp>
        <tr r="G5084" s="2"/>
      </tp>
    </main>
    <main first="rtdsrv_a82eb5a1fc404542a18b1336b70d2c4e">
      <tp>
        <v>5</v>
        <stp/>
        <stp>4c5a60cb-a8e9-4442-babd-20bc6b847d30</stp>
        <tr r="G8590" s="2"/>
      </tp>
      <tp>
        <v>5</v>
        <stp/>
        <stp>66650006-73bd-4fa7-bf20-b43f30386dff</stp>
        <tr r="G8391" s="2"/>
      </tp>
      <tp>
        <v>5</v>
        <stp/>
        <stp>51fad7a2-93a0-49fe-a217-d97fa6e1c02b</stp>
        <tr r="G1230" s="2"/>
      </tp>
      <tp>
        <v>5</v>
        <stp/>
        <stp>353178c3-7b91-4967-968b-e04e15be6dea</stp>
        <tr r="G1871" s="2"/>
      </tp>
      <tp>
        <v>5</v>
        <stp/>
        <stp>3e7d859a-238d-42ea-8060-ed8cb006369f</stp>
        <tr r="G7192" s="2"/>
      </tp>
      <tp>
        <v>5</v>
        <stp/>
        <stp>96f8d590-c024-4337-b77d-22b427cc1269</stp>
        <tr r="G8538" s="2"/>
      </tp>
      <tp>
        <v>5</v>
        <stp/>
        <stp>f1e5c199-737e-4ae2-9ffe-8bab67e48a23</stp>
        <tr r="G9595" s="2"/>
      </tp>
    </main>
    <main first="rtdsrv_a82eb5a1fc404542a18b1336b70d2c4e">
      <tp>
        <v>5</v>
        <stp/>
        <stp>923bc20b-d635-4e8c-83b2-fafd2ed69694</stp>
        <tr r="G9991" s="2"/>
      </tp>
      <tp>
        <v>5</v>
        <stp/>
        <stp>4135431d-c92e-40de-a002-0c0be4a754d3</stp>
        <tr r="G2828" s="2"/>
      </tp>
      <tp>
        <v>5</v>
        <stp/>
        <stp>8b3557bc-ed40-4ae8-b79d-91c1239a5d7e</stp>
        <tr r="G1900" s="2"/>
      </tp>
      <tp>
        <v>5</v>
        <stp/>
        <stp>e6d281d8-5164-463b-a029-3139c116d560</stp>
        <tr r="G7173" s="2"/>
      </tp>
      <tp>
        <v>5</v>
        <stp/>
        <stp>0c61afb8-1594-4efc-b448-71fc52f307e0</stp>
        <tr r="G9144" s="2"/>
      </tp>
      <tp>
        <v>5</v>
        <stp/>
        <stp>95f75728-628e-4493-86a3-15989151f5ee</stp>
        <tr r="G2998" s="2"/>
      </tp>
      <tp>
        <v>5</v>
        <stp/>
        <stp>077dbdb7-88d9-4635-9166-1ee11b3a6818</stp>
        <tr r="G8100" s="2"/>
      </tp>
    </main>
    <main first="rtdsrv_a82eb5a1fc404542a18b1336b70d2c4e">
      <tp>
        <v>5</v>
        <stp/>
        <stp>9a70e16b-cfc6-4e9a-8a1a-af4fc39c4a75</stp>
        <tr r="G7012" s="2"/>
      </tp>
    </main>
    <main first="rtdsrv_a82eb5a1fc404542a18b1336b70d2c4e">
      <tp>
        <v>5</v>
        <stp/>
        <stp>fe759c9f-1c34-46b0-a791-af3fd85537f9</stp>
        <tr r="G5097" s="2"/>
      </tp>
      <tp>
        <v>5</v>
        <stp/>
        <stp>27ea9dfa-1ea1-4045-b801-44ce3799c316</stp>
        <tr r="G6474" s="2"/>
      </tp>
    </main>
    <main first="rtdsrv_a82eb5a1fc404542a18b1336b70d2c4e">
      <tp>
        <v>5</v>
        <stp/>
        <stp>dbe835b3-1c89-40e1-b606-929c974655b4</stp>
        <tr r="G1332" s="2"/>
      </tp>
    </main>
    <main first="rtdsrv_a82eb5a1fc404542a18b1336b70d2c4e">
      <tp>
        <v>5</v>
        <stp/>
        <stp>9bbf108e-0be6-456d-9345-b33bcce3d5f0</stp>
        <tr r="G8640" s="2"/>
      </tp>
      <tp>
        <v>5</v>
        <stp/>
        <stp>bdf7524a-0dcc-4122-ada9-bbf2f66556b4</stp>
        <tr r="G203" s="2"/>
      </tp>
      <tp>
        <v>5</v>
        <stp/>
        <stp>358f8cdd-a777-42c2-bb83-c4074fc1a865</stp>
        <tr r="G6975" s="2"/>
      </tp>
    </main>
    <main first="rtdsrv_a82eb5a1fc404542a18b1336b70d2c4e">
      <tp>
        <v>5</v>
        <stp/>
        <stp>f960f4ec-a8a7-4d22-bd30-3854a222a0ab</stp>
        <tr r="G3092" s="2"/>
      </tp>
    </main>
    <main first="rtdsrv_a82eb5a1fc404542a18b1336b70d2c4e">
      <tp>
        <v>5</v>
        <stp/>
        <stp>760ec31b-f936-4205-9dab-157a76390cc6</stp>
        <tr r="G4932" s="2"/>
      </tp>
      <tp>
        <v>5</v>
        <stp/>
        <stp>bdb785d4-fee4-41ea-a5aa-288f1af769a6</stp>
        <tr r="G6914" s="2"/>
      </tp>
    </main>
    <main first="rtdsrv_a82eb5a1fc404542a18b1336b70d2c4e">
      <tp>
        <v>5</v>
        <stp/>
        <stp>730ededd-b220-4f40-9a4a-2c86d57b815b</stp>
        <tr r="G8122" s="2"/>
      </tp>
      <tp>
        <v>5</v>
        <stp/>
        <stp>416d7eed-794b-4a88-8376-2a5e5b0c08d0</stp>
        <tr r="G6247" s="2"/>
      </tp>
      <tp>
        <v>5</v>
        <stp/>
        <stp>9a8cfa28-3e1c-43e7-9d2c-c2eb6fe43523</stp>
        <tr r="G6358" s="2"/>
      </tp>
    </main>
    <main first="rtdsrv_a82eb5a1fc404542a18b1336b70d2c4e">
      <tp>
        <v>5</v>
        <stp/>
        <stp>0da5ed8b-c48c-41d7-8277-d069177a63e1</stp>
        <tr r="G60" s="2"/>
      </tp>
    </main>
    <main first="rtdsrv_a82eb5a1fc404542a18b1336b70d2c4e">
      <tp>
        <v>5</v>
        <stp/>
        <stp>2ac0cadc-7ea6-4f4a-b448-15c8e4a3e4f5</stp>
        <tr r="G324" s="2"/>
      </tp>
      <tp>
        <v>5</v>
        <stp/>
        <stp>bd8cb525-3f28-4d70-911a-58c6f83524c2</stp>
        <tr r="G3792" s="2"/>
      </tp>
      <tp>
        <v>5</v>
        <stp/>
        <stp>48fb02e1-a143-4f18-9469-94f576ef006c</stp>
        <tr r="G3101" s="2"/>
      </tp>
      <tp>
        <v>5</v>
        <stp/>
        <stp>368dcb4f-d815-4e2f-b70a-0e08a69debbc</stp>
        <tr r="G9960" s="2"/>
      </tp>
    </main>
    <main first="rtdsrv_a82eb5a1fc404542a18b1336b70d2c4e">
      <tp>
        <v>5</v>
        <stp/>
        <stp>a03aef25-02fc-4a83-af14-ca0fda15a385</stp>
        <tr r="G428" s="2"/>
      </tp>
      <tp>
        <v>5</v>
        <stp/>
        <stp>e9397609-d7f4-4bf5-a597-26d7fca35e84</stp>
        <tr r="G444" s="2"/>
      </tp>
      <tp>
        <v>5</v>
        <stp/>
        <stp>7752beff-ea97-49f0-a7f4-d58265ceb6c7</stp>
        <tr r="G477" s="2"/>
      </tp>
      <tp>
        <v>5</v>
        <stp/>
        <stp>c776f9ae-f3a1-4f96-a40c-3887e08d8180</stp>
        <tr r="G5001" s="2"/>
      </tp>
      <tp>
        <v>5</v>
        <stp/>
        <stp>764ee51d-c94f-41c7-b061-1bca6afc2565</stp>
        <tr r="G4457" s="2"/>
      </tp>
    </main>
    <main first="rtdsrv_a82eb5a1fc404542a18b1336b70d2c4e">
      <tp>
        <v>5</v>
        <stp/>
        <stp>d22bd460-39a5-4f08-a18a-ffc1f2dfc6e1</stp>
        <tr r="G1111" s="2"/>
      </tp>
      <tp>
        <v>5</v>
        <stp/>
        <stp>4d84f436-65b4-4f8e-b971-52b18eabc42e</stp>
        <tr r="G4135" s="2"/>
      </tp>
      <tp>
        <v>5</v>
        <stp/>
        <stp>4eddb179-3435-4ea4-8543-07d9919fd670</stp>
        <tr r="G3561" s="2"/>
      </tp>
    </main>
    <main first="rtdsrv_a82eb5a1fc404542a18b1336b70d2c4e">
      <tp>
        <v>5</v>
        <stp/>
        <stp>c201e1f6-773f-4b33-864c-fa5ca40ea197</stp>
        <tr r="G6620" s="2"/>
      </tp>
    </main>
    <main first="rtdsrv_a82eb5a1fc404542a18b1336b70d2c4e">
      <tp>
        <v>5</v>
        <stp/>
        <stp>1400c46c-c38c-4a8c-a8b8-10104af50dd4</stp>
        <tr r="G494" s="2"/>
      </tp>
      <tp>
        <v>5</v>
        <stp/>
        <stp>a47512a4-b8e1-4774-b9f5-dc4dbc565ad8</stp>
        <tr r="G3713" s="2"/>
      </tp>
    </main>
    <main first="rtdsrv_a82eb5a1fc404542a18b1336b70d2c4e">
      <tp>
        <v>5</v>
        <stp/>
        <stp>8aff51d1-c9d9-4a5a-b033-c4c4272a15fd</stp>
        <tr r="G6020" s="2"/>
      </tp>
    </main>
    <main first="rtdsrv_a82eb5a1fc404542a18b1336b70d2c4e">
      <tp>
        <v>5</v>
        <stp/>
        <stp>bde5c227-db25-463a-8f29-99eef65ca9c5</stp>
        <tr r="G6673" s="2"/>
      </tp>
      <tp>
        <v>5</v>
        <stp/>
        <stp>29364b2d-8703-458b-b963-916823959b56</stp>
        <tr r="G7383" s="2"/>
      </tp>
      <tp>
        <v>5</v>
        <stp/>
        <stp>4fc5ef81-1335-4100-9692-f97a8df7024f</stp>
        <tr r="G2955" s="2"/>
      </tp>
      <tp>
        <v>5</v>
        <stp/>
        <stp>d70a751d-cae9-4b36-811c-5a01d656ff97</stp>
        <tr r="G4191" s="2"/>
      </tp>
    </main>
    <main first="rtdsrv_a82eb5a1fc404542a18b1336b70d2c4e">
      <tp>
        <v>5</v>
        <stp/>
        <stp>ce18a321-5f11-4497-97db-4744ba9fa153</stp>
        <tr r="G640" s="2"/>
      </tp>
      <tp>
        <v>5</v>
        <stp/>
        <stp>f09e3df7-d69e-466e-ba7e-b63807bcd4b3</stp>
        <tr r="G8018" s="2"/>
      </tp>
    </main>
    <main first="rtdsrv_a82eb5a1fc404542a18b1336b70d2c4e">
      <tp>
        <v>5</v>
        <stp/>
        <stp>82c9189e-1b0c-4a9f-9f46-a9cd803897a7</stp>
        <tr r="G5098" s="2"/>
      </tp>
    </main>
    <main first="rtdsrv_a82eb5a1fc404542a18b1336b70d2c4e">
      <tp>
        <v>5</v>
        <stp/>
        <stp>b1aa7bc7-e712-4c33-9d9a-dad7227b5881</stp>
        <tr r="G7003" s="2"/>
      </tp>
      <tp>
        <v>5</v>
        <stp/>
        <stp>b5e778ea-1d5c-498b-b17e-789f17c681d2</stp>
        <tr r="G3454" s="2"/>
      </tp>
      <tp>
        <v>5</v>
        <stp/>
        <stp>32efd877-25c6-418c-b02b-4c277888ee05</stp>
        <tr r="G5020" s="2"/>
      </tp>
    </main>
    <main first="rtdsrv_a82eb5a1fc404542a18b1336b70d2c4e">
      <tp>
        <v>5</v>
        <stp/>
        <stp>1a8f8d80-619a-43c5-9f69-4a4d4ef40cb6</stp>
        <tr r="G6825" s="2"/>
      </tp>
    </main>
    <main first="rtdsrv_a82eb5a1fc404542a18b1336b70d2c4e">
      <tp>
        <v>5</v>
        <stp/>
        <stp>bb7840f9-3b79-42fd-9584-10ec89cf1c96</stp>
        <tr r="G3483" s="2"/>
      </tp>
      <tp>
        <v>5</v>
        <stp/>
        <stp>e0530dea-32f7-4ee9-99d8-0ef5d1fdf9b7</stp>
        <tr r="G791" s="2"/>
      </tp>
    </main>
    <main first="rtdsrv_a82eb5a1fc404542a18b1336b70d2c4e">
      <tp>
        <v>5</v>
        <stp/>
        <stp>81b5606b-9980-4062-a0aa-7e472a5e385d</stp>
        <tr r="G959" s="2"/>
      </tp>
      <tp>
        <v>5</v>
        <stp/>
        <stp>65e779a5-c9ea-48fd-8c4b-5d5a74ce5817</stp>
        <tr r="G4292" s="2"/>
      </tp>
      <tp>
        <v>5</v>
        <stp/>
        <stp>2d775b82-5c8e-4b42-922f-42346a9d578c</stp>
        <tr r="G9914" s="2"/>
      </tp>
      <tp>
        <v>5</v>
        <stp/>
        <stp>6b59b99c-937c-4de6-808e-b8308bfeca74</stp>
        <tr r="G7702" s="2"/>
      </tp>
      <tp>
        <v>5</v>
        <stp/>
        <stp>128d22f2-9a6b-45d8-ba10-95d4d61e7db6</stp>
        <tr r="G3080" s="2"/>
      </tp>
    </main>
    <main first="rtdsrv_a82eb5a1fc404542a18b1336b70d2c4e">
      <tp>
        <v>5</v>
        <stp/>
        <stp>bc6dbed7-f14b-4ccc-9e46-c69a2feaa01f</stp>
        <tr r="G4720" s="2"/>
      </tp>
    </main>
    <main first="rtdsrv_a82eb5a1fc404542a18b1336b70d2c4e">
      <tp>
        <v>5</v>
        <stp/>
        <stp>0a8cfcc7-bb94-4ea2-99ae-52268259adb9</stp>
        <tr r="G5024" s="2"/>
      </tp>
    </main>
    <main first="rtdsrv_a82eb5a1fc404542a18b1336b70d2c4e">
      <tp>
        <v>5</v>
        <stp/>
        <stp>6d5057bd-0636-4f92-853f-04d2ee898db3</stp>
        <tr r="G4923" s="2"/>
      </tp>
      <tp>
        <v>5</v>
        <stp/>
        <stp>ed860f5a-a1d3-4a2f-8c20-ce56d10ab402</stp>
        <tr r="G9353" s="2"/>
      </tp>
      <tp>
        <v>5</v>
        <stp/>
        <stp>84bd5ff1-2a02-4c89-bb98-2ab16cc165e0</stp>
        <tr r="G3667" s="2"/>
      </tp>
      <tp>
        <v>5</v>
        <stp/>
        <stp>f61e08b5-6bd1-49b9-a675-140106891c50</stp>
        <tr r="G6771" s="2"/>
      </tp>
    </main>
    <main first="rtdsrv_a82eb5a1fc404542a18b1336b70d2c4e">
      <tp>
        <v>5</v>
        <stp/>
        <stp>f659b2b4-8f6a-47a3-ad18-7ca9e22d58cb</stp>
        <tr r="G9291" s="2"/>
      </tp>
      <tp>
        <v>5</v>
        <stp/>
        <stp>3fb5166d-839d-4562-8864-3801e49237c4</stp>
        <tr r="G1984" s="2"/>
      </tp>
      <tp>
        <v>5</v>
        <stp/>
        <stp>968eb232-debb-46e0-9dd5-831e51e6fa61</stp>
        <tr r="G9730" s="2"/>
      </tp>
    </main>
    <main first="rtdsrv_a82eb5a1fc404542a18b1336b70d2c4e">
      <tp>
        <v>5</v>
        <stp/>
        <stp>e7ae2d50-add0-45e4-9ef8-d11455443373</stp>
        <tr r="G3256" s="2"/>
      </tp>
      <tp>
        <v>5</v>
        <stp/>
        <stp>f4e5afb1-ae72-486a-a7e2-6de5ee8e3a70</stp>
        <tr r="G8414" s="2"/>
      </tp>
      <tp>
        <v>5</v>
        <stp/>
        <stp>0d23d2e3-170f-4677-95a9-80b3fe8d139b</stp>
        <tr r="G667" s="2"/>
      </tp>
    </main>
    <main first="rtdsrv_a82eb5a1fc404542a18b1336b70d2c4e">
      <tp>
        <v>5</v>
        <stp/>
        <stp>8012fc11-8d97-444a-909e-a2915e1fa330</stp>
        <tr r="G9554" s="2"/>
      </tp>
    </main>
    <main first="rtdsrv_a82eb5a1fc404542a18b1336b70d2c4e">
      <tp>
        <v>5</v>
        <stp/>
        <stp>e7bce2da-2e90-45f2-83c4-f9878800f0ec</stp>
        <tr r="G3286" s="2"/>
      </tp>
    </main>
    <main first="rtdsrv_a82eb5a1fc404542a18b1336b70d2c4e">
      <tp>
        <v>5</v>
        <stp/>
        <stp>8c116e97-69ba-4cb7-bd09-11597027ba53</stp>
        <tr r="G8207" s="2"/>
      </tp>
    </main>
    <main first="rtdsrv_a82eb5a1fc404542a18b1336b70d2c4e">
      <tp>
        <v>5</v>
        <stp/>
        <stp>014ce773-c98a-49e6-8235-424413cd96bc</stp>
        <tr r="G2123" s="2"/>
      </tp>
      <tp>
        <v>5</v>
        <stp/>
        <stp>3dfef37c-46f6-4761-b1c3-04be4a90334e</stp>
        <tr r="G4349" s="2"/>
      </tp>
    </main>
    <main first="rtdsrv_a82eb5a1fc404542a18b1336b70d2c4e">
      <tp>
        <v>5</v>
        <stp/>
        <stp>9222ae89-2b8d-47a2-8db8-b21ef39e3cc3</stp>
        <tr r="G130" s="2"/>
      </tp>
      <tp>
        <v>5</v>
        <stp/>
        <stp>12982191-941a-42cd-b868-37f3214129eb</stp>
        <tr r="G9494" s="2"/>
      </tp>
      <tp>
        <v>5</v>
        <stp/>
        <stp>d6ff09c9-0935-411b-ba63-170d4957621e</stp>
        <tr r="G480" s="2"/>
      </tp>
      <tp>
        <v>5</v>
        <stp/>
        <stp>81fb8d0b-8fe5-44b3-940d-f886d2f6231c</stp>
        <tr r="G231" s="2"/>
      </tp>
    </main>
    <main first="rtdsrv_a82eb5a1fc404542a18b1336b70d2c4e">
      <tp>
        <v>5</v>
        <stp/>
        <stp>e36dd7be-2853-4947-abc3-9f8216876ed4</stp>
        <tr r="G1310" s="2"/>
      </tp>
      <tp>
        <v>5</v>
        <stp/>
        <stp>088db899-c6ef-43ab-a0a9-243c53d290be</stp>
        <tr r="G5361" s="2"/>
      </tp>
      <tp>
        <v>5</v>
        <stp/>
        <stp>fd6c61f7-26d3-4e6d-9df5-92cd9a9c2a24</stp>
        <tr r="G1675" s="2"/>
      </tp>
    </main>
    <main first="rtdsrv_a82eb5a1fc404542a18b1336b70d2c4e">
      <tp>
        <v>5</v>
        <stp/>
        <stp>8d71adac-af63-4185-8f51-3e87d2174a34</stp>
        <tr r="G383" s="2"/>
      </tp>
    </main>
    <main first="rtdsrv_a82eb5a1fc404542a18b1336b70d2c4e">
      <tp>
        <v>5</v>
        <stp/>
        <stp>94c728d6-8c2d-4ee2-a8b5-c3bd56baf6e7</stp>
        <tr r="G2982" s="2"/>
      </tp>
    </main>
    <main first="rtdsrv_a82eb5a1fc404542a18b1336b70d2c4e">
      <tp>
        <v>5</v>
        <stp/>
        <stp>39ac5f8a-7805-44ad-a933-3a15295600be</stp>
        <tr r="G4504" s="2"/>
      </tp>
      <tp>
        <v>5</v>
        <stp/>
        <stp>ae5ee6d6-5cb6-4dc6-a3fb-6702ed2372f4</stp>
        <tr r="G1759" s="2"/>
      </tp>
    </main>
    <main first="rtdsrv_a82eb5a1fc404542a18b1336b70d2c4e">
      <tp>
        <v>5</v>
        <stp/>
        <stp>cec5809b-9dc1-44cc-9de8-ced33a2ee9db</stp>
        <tr r="G9099" s="2"/>
      </tp>
    </main>
    <main first="rtdsrv_a82eb5a1fc404542a18b1336b70d2c4e">
      <tp>
        <v>5</v>
        <stp/>
        <stp>ba4993a5-e401-4e5e-a9ff-4a7e0215005c</stp>
        <tr r="G5636" s="2"/>
      </tp>
      <tp>
        <v>5</v>
        <stp/>
        <stp>cbf6ccaa-d477-4985-aa0c-d75666ec564f</stp>
        <tr r="G761" s="2"/>
      </tp>
      <tp>
        <v>5</v>
        <stp/>
        <stp>35ecc8fd-a393-463c-b06b-8916c3c94d47</stp>
        <tr r="G1717" s="2"/>
      </tp>
      <tp>
        <v>5</v>
        <stp/>
        <stp>9f1dc3ee-f3af-4bf5-ae42-05daf231fb6a</stp>
        <tr r="G2694" s="2"/>
      </tp>
      <tp>
        <v>5</v>
        <stp/>
        <stp>20dabdc1-6747-43f3-b171-2ff0d6dc6a75</stp>
        <tr r="G2278" s="2"/>
      </tp>
    </main>
    <main first="rtdsrv_a82eb5a1fc404542a18b1336b70d2c4e">
      <tp>
        <v>5</v>
        <stp/>
        <stp>bbb06bb6-63d8-4a9c-9f3c-6417104755ac</stp>
        <tr r="G7127" s="2"/>
      </tp>
    </main>
    <main first="rtdsrv_a82eb5a1fc404542a18b1336b70d2c4e">
      <tp>
        <v>5</v>
        <stp/>
        <stp>69a230e8-c4ef-4d0e-a591-98618820ca10</stp>
        <tr r="G5064" s="2"/>
      </tp>
      <tp>
        <v>5</v>
        <stp/>
        <stp>53c8fcba-9f87-4052-93a3-84e84a0ba847</stp>
        <tr r="G2485" s="2"/>
      </tp>
      <tp>
        <v>5</v>
        <stp/>
        <stp>17d26b43-d4ec-4780-8950-bf3462e8a77a</stp>
        <tr r="G7097" s="2"/>
      </tp>
      <tp>
        <v>5</v>
        <stp/>
        <stp>e7144da6-bf11-4fe6-9ddf-0679656077dc</stp>
        <tr r="G6614" s="2"/>
      </tp>
    </main>
    <main first="rtdsrv_a82eb5a1fc404542a18b1336b70d2c4e">
      <tp>
        <v>5</v>
        <stp/>
        <stp>c872127b-2b69-4206-94ee-b11ae9197422</stp>
        <tr r="G8921" s="2"/>
      </tp>
      <tp>
        <v>5</v>
        <stp/>
        <stp>96337860-5b8f-4739-b54d-4a1b7ffbafab</stp>
        <tr r="G8953" s="2"/>
      </tp>
    </main>
    <main first="rtdsrv_a82eb5a1fc404542a18b1336b70d2c4e">
      <tp>
        <v>5</v>
        <stp/>
        <stp>0ae15a0e-ea2f-4391-8895-8a0cac761836</stp>
        <tr r="G5498" s="2"/>
      </tp>
      <tp>
        <v>5</v>
        <stp/>
        <stp>ebb60700-a1d7-48e9-a4a0-e00139c72252</stp>
        <tr r="G7868" s="2"/>
      </tp>
      <tp>
        <v>5</v>
        <stp/>
        <stp>d708bed7-dde4-402c-bf9e-9500393cc7cd</stp>
        <tr r="G3203" s="2"/>
      </tp>
      <tp>
        <v>5</v>
        <stp/>
        <stp>b2127ec9-9f84-4476-8463-7201e36ce84d</stp>
        <tr r="G262" s="2"/>
      </tp>
      <tp>
        <v>5</v>
        <stp/>
        <stp>e0c13ba6-1498-4cdc-beae-1312a36156a5</stp>
        <tr r="G1068" s="2"/>
      </tp>
    </main>
    <main first="rtdsrv_a82eb5a1fc404542a18b1336b70d2c4e">
      <tp>
        <v>5</v>
        <stp/>
        <stp>5c1d42a3-36e2-4f4d-9747-a40ea01f9aed</stp>
        <tr r="G315" s="2"/>
      </tp>
      <tp>
        <v>5</v>
        <stp/>
        <stp>e8b4fe35-fa0f-46c6-a0ff-f730191f62ad</stp>
        <tr r="G3360" s="2"/>
      </tp>
      <tp>
        <v>5</v>
        <stp/>
        <stp>1baa18a8-434c-4e0c-9515-b9471edf07c5</stp>
        <tr r="G6443" s="2"/>
      </tp>
      <tp>
        <v>5</v>
        <stp/>
        <stp>5e6aac59-19e2-4ca7-9125-3d0ad93d7894</stp>
        <tr r="G9663" s="2"/>
      </tp>
      <tp>
        <v>5</v>
        <stp/>
        <stp>391e84f9-1563-4d2a-b43e-c138295ce14a</stp>
        <tr r="G3945" s="2"/>
      </tp>
      <tp>
        <v>5</v>
        <stp/>
        <stp>c7c95ecb-c64b-4bd4-8f3e-a9f26ae479ed</stp>
        <tr r="G2410" s="2"/>
      </tp>
      <tp>
        <v>5</v>
        <stp/>
        <stp>320f6736-2f00-4563-91eb-01d6dec42b59</stp>
        <tr r="G8269" s="2"/>
      </tp>
      <tp>
        <v>5</v>
        <stp/>
        <stp>87832c60-287f-4662-a5d6-e25411624d62</stp>
        <tr r="G5375" s="2"/>
      </tp>
    </main>
    <main first="rtdsrv_a82eb5a1fc404542a18b1336b70d2c4e">
      <tp>
        <v>5</v>
        <stp/>
        <stp>9aa76433-4f0b-4a16-95dd-80b7daa235f5</stp>
        <tr r="G7129" s="2"/>
      </tp>
    </main>
    <main first="rtdsrv_a82eb5a1fc404542a18b1336b70d2c4e">
      <tp>
        <v>5</v>
        <stp/>
        <stp>f14a914e-bd63-4390-9021-a229a2cf1719</stp>
        <tr r="G2577" s="2"/>
      </tp>
      <tp>
        <v>5</v>
        <stp/>
        <stp>9c7841cd-0dc1-4257-a004-35a3165fe1ec</stp>
        <tr r="G58" s="2"/>
      </tp>
      <tp>
        <v>5</v>
        <stp/>
        <stp>2a379bae-9e90-47cc-a38f-1277505fb4f7</stp>
        <tr r="G1876" s="2"/>
      </tp>
      <tp>
        <v>5</v>
        <stp/>
        <stp>4475714e-3242-40b3-98d7-79dc06a21958</stp>
        <tr r="G7488" s="2"/>
      </tp>
    </main>
    <main first="rtdsrv_a82eb5a1fc404542a18b1336b70d2c4e">
      <tp>
        <v>5</v>
        <stp/>
        <stp>e01852c0-d708-4ed3-9a0a-5c2ed79f1f9a</stp>
        <tr r="G8462" s="2"/>
      </tp>
      <tp>
        <v>5</v>
        <stp/>
        <stp>cd2fa587-4dcd-4a45-96ed-718b1078dc37</stp>
        <tr r="G335" s="2"/>
      </tp>
      <tp>
        <v>5</v>
        <stp/>
        <stp>a7d947e3-57e7-4b95-92dd-aa6d9112bccb</stp>
        <tr r="G6860" s="2"/>
      </tp>
    </main>
    <main first="rtdsrv_a82eb5a1fc404542a18b1336b70d2c4e">
      <tp>
        <v>5</v>
        <stp/>
        <stp>76788eab-29c6-4a02-9208-c0a6e7a823ab</stp>
        <tr r="G5028" s="2"/>
      </tp>
    </main>
    <main first="rtdsrv_a82eb5a1fc404542a18b1336b70d2c4e">
      <tp>
        <v>5</v>
        <stp/>
        <stp>b71b011b-c807-44b4-8259-a40481ed46bc</stp>
        <tr r="G4467" s="2"/>
      </tp>
      <tp>
        <v>5</v>
        <stp/>
        <stp>7cf48587-924d-46f2-be48-f9c935b462cf</stp>
        <tr r="G4903" s="2"/>
      </tp>
    </main>
    <main first="rtdsrv_a82eb5a1fc404542a18b1336b70d2c4e">
      <tp>
        <v>5</v>
        <stp/>
        <stp>cbe897ca-c190-406d-8e5a-31f08403256a</stp>
        <tr r="G7079" s="2"/>
      </tp>
    </main>
    <main first="rtdsrv_a82eb5a1fc404542a18b1336b70d2c4e">
      <tp>
        <v>5</v>
        <stp/>
        <stp>0abfbfbe-3016-44b4-96f6-5d049c3f3638</stp>
        <tr r="G8930" s="2"/>
      </tp>
      <tp>
        <v>5</v>
        <stp/>
        <stp>8dbf4d7b-3c66-4bea-8846-6b8f566a5e89</stp>
        <tr r="G6650" s="2"/>
      </tp>
    </main>
    <main first="rtdsrv_a82eb5a1fc404542a18b1336b70d2c4e">
      <tp>
        <v>5</v>
        <stp/>
        <stp>b02aab68-5747-45a4-97e7-abff5055a3ac</stp>
        <tr r="G8961" s="2"/>
      </tp>
    </main>
    <main first="rtdsrv_a82eb5a1fc404542a18b1336b70d2c4e">
      <tp>
        <v>5</v>
        <stp/>
        <stp>04aa5676-273d-4ec2-bb69-f5073f8100f9</stp>
        <tr r="G4321" s="2"/>
      </tp>
      <tp>
        <v>5</v>
        <stp/>
        <stp>1dff7571-a6b7-44c6-9b46-66a1627cea17</stp>
        <tr r="G7555" s="2"/>
      </tp>
      <tp>
        <v>5</v>
        <stp/>
        <stp>adc0bcbc-4b71-4776-9b59-87ca748a4d75</stp>
        <tr r="G3292" s="2"/>
      </tp>
      <tp>
        <v>5</v>
        <stp/>
        <stp>23d7e435-cd62-43f7-bfc4-12b167075bc8</stp>
        <tr r="G4756" s="2"/>
      </tp>
    </main>
    <main first="rtdsrv_a82eb5a1fc404542a18b1336b70d2c4e">
      <tp>
        <v>5</v>
        <stp/>
        <stp>6bc55e14-453b-4408-9896-4d766250e3d7</stp>
        <tr r="G4041" s="2"/>
      </tp>
      <tp>
        <v>5</v>
        <stp/>
        <stp>1bb505e2-1fec-4dbe-b352-92a6edd997ad</stp>
        <tr r="G367" s="2"/>
      </tp>
      <tp>
        <v>5</v>
        <stp/>
        <stp>d857abd3-ff55-4608-a672-d5cafd3045b8</stp>
        <tr r="G2089" s="2"/>
      </tp>
      <tp>
        <v>5</v>
        <stp/>
        <stp>21c6502e-cca4-42ec-b703-a0785e21a33a</stp>
        <tr r="G6162" s="2"/>
      </tp>
      <tp>
        <v>5</v>
        <stp/>
        <stp>6a077646-59ab-4cfa-baa4-3292a3da34c8</stp>
        <tr r="G6772" s="2"/>
      </tp>
      <tp>
        <v>5</v>
        <stp/>
        <stp>d7c5f4ae-34fe-4f46-bdb4-b6ed05c8903e</stp>
        <tr r="G9524" s="2"/>
      </tp>
      <tp>
        <v>5</v>
        <stp/>
        <stp>c742be85-c7a4-4d06-804e-83c134878c27</stp>
        <tr r="G3620" s="2"/>
      </tp>
    </main>
    <main first="rtdsrv_a82eb5a1fc404542a18b1336b70d2c4e">
      <tp>
        <v>5</v>
        <stp/>
        <stp>50b3b9a6-f234-4149-b2fe-44deb1157b6c</stp>
        <tr r="G2592" s="2"/>
      </tp>
      <tp>
        <v>5</v>
        <stp/>
        <stp>b69f7550-2a49-45a7-9f15-81868c5772b8</stp>
        <tr r="G2715" s="2"/>
      </tp>
    </main>
    <main first="rtdsrv_a82eb5a1fc404542a18b1336b70d2c4e">
      <tp>
        <v>5</v>
        <stp/>
        <stp>cd03e55a-7674-44f7-a721-d03100d5d4bd</stp>
        <tr r="G5868" s="2"/>
      </tp>
    </main>
    <main first="rtdsrv_a82eb5a1fc404542a18b1336b70d2c4e">
      <tp>
        <v>5</v>
        <stp/>
        <stp>afcb6d23-5945-4ed4-ac5d-235d5c66818a</stp>
        <tr r="G1401" s="2"/>
      </tp>
      <tp>
        <v>5</v>
        <stp/>
        <stp>0ce2fba1-7663-488d-8340-1337ec31fa5a</stp>
        <tr r="G3851" s="2"/>
      </tp>
      <tp>
        <v>5</v>
        <stp/>
        <stp>70cbbd40-2c4a-4ab1-8b22-2d5bef360077</stp>
        <tr r="G2428" s="2"/>
      </tp>
      <tp>
        <v>5</v>
        <stp/>
        <stp>1e063170-10fb-427a-871e-aa24a5d5c637</stp>
        <tr r="G8186" s="2"/>
      </tp>
      <tp>
        <v>5</v>
        <stp/>
        <stp>ba1dd110-7a2e-4426-8d92-3204880085d0</stp>
        <tr r="G4805" s="2"/>
      </tp>
    </main>
    <main first="rtdsrv_a82eb5a1fc404542a18b1336b70d2c4e">
      <tp>
        <v>5</v>
        <stp/>
        <stp>c7815322-576f-4343-85e7-371510978729</stp>
        <tr r="G8853" s="2"/>
      </tp>
    </main>
    <main first="rtdsrv_a82eb5a1fc404542a18b1336b70d2c4e">
      <tp>
        <v>5</v>
        <stp/>
        <stp>b84f5761-d191-4beb-a47f-247fe9e1bd74</stp>
        <tr r="G7191" s="2"/>
      </tp>
    </main>
    <main first="rtdsrv_a82eb5a1fc404542a18b1336b70d2c4e">
      <tp>
        <v>5</v>
        <stp/>
        <stp>00d17def-9b32-4a18-b12b-324e87c2b5f9</stp>
        <tr r="G7572" s="2"/>
      </tp>
      <tp>
        <v>5</v>
        <stp/>
        <stp>d5f9c4e9-c516-458d-92be-d3aff9d5f9fe</stp>
        <tr r="G196" s="2"/>
      </tp>
      <tp>
        <v>5</v>
        <stp/>
        <stp>bacb2f7a-300d-4bc6-a2ef-a7562df30caa</stp>
        <tr r="G4739" s="2"/>
      </tp>
    </main>
    <main first="rtdsrv_a82eb5a1fc404542a18b1336b70d2c4e">
      <tp>
        <v>5</v>
        <stp/>
        <stp>2b2cf271-098a-4478-8b40-d8663f96ae33</stp>
        <tr r="G9905" s="2"/>
      </tp>
      <tp>
        <v>5</v>
        <stp/>
        <stp>30037318-b053-47b4-8a3e-cd786ea9502f</stp>
        <tr r="G1435" s="2"/>
      </tp>
      <tp>
        <v>5</v>
        <stp/>
        <stp>8bb2929e-c64c-4cd3-b4b3-d139c6d51298</stp>
        <tr r="G2966" s="2"/>
      </tp>
    </main>
    <main first="rtdsrv_a82eb5a1fc404542a18b1336b70d2c4e">
      <tp>
        <v>5</v>
        <stp/>
        <stp>5cdc8913-df23-47a3-8b75-fd2dc83ef173</stp>
        <tr r="G4583" s="2"/>
      </tp>
      <tp>
        <v>5</v>
        <stp/>
        <stp>e1d67ce9-b1fa-4bf6-9654-4772806a1c59</stp>
        <tr r="G7363" s="2"/>
      </tp>
    </main>
    <main first="rtdsrv_a82eb5a1fc404542a18b1336b70d2c4e">
      <tp>
        <v>5</v>
        <stp/>
        <stp>2f143cf6-ff0d-49a8-9083-c7c230a9e30b</stp>
        <tr r="G8633" s="2"/>
      </tp>
    </main>
    <main first="rtdsrv_a82eb5a1fc404542a18b1336b70d2c4e">
      <tp>
        <v>5</v>
        <stp/>
        <stp>c1dcb3ce-71b7-4d10-9175-f889c99bbd3b</stp>
        <tr r="G433" s="2"/>
      </tp>
      <tp>
        <v>5</v>
        <stp/>
        <stp>84f51c39-0fce-4467-8c42-53cd697b69de</stp>
        <tr r="G1423" s="2"/>
      </tp>
      <tp>
        <v>5</v>
        <stp/>
        <stp>ff3c2876-896e-433f-9623-9690d5576f3f</stp>
        <tr r="G4793" s="2"/>
      </tp>
    </main>
    <main first="rtdsrv_a82eb5a1fc404542a18b1336b70d2c4e">
      <tp>
        <v>5</v>
        <stp/>
        <stp>bfb707ba-ebd1-4b90-8022-56aeed5b7358</stp>
        <tr r="G403" s="2"/>
      </tp>
      <tp>
        <v>5</v>
        <stp/>
        <stp>097dda7b-4cff-45f9-bb23-7b0714cf5f26</stp>
        <tr r="G9255" s="2"/>
      </tp>
      <tp>
        <v>5</v>
        <stp/>
        <stp>b1d34623-ca49-4f69-b081-480e98309247</stp>
        <tr r="G8000" s="2"/>
      </tp>
    </main>
    <main first="rtdsrv_a82eb5a1fc404542a18b1336b70d2c4e">
      <tp>
        <v>5</v>
        <stp/>
        <stp>20666b39-b5c3-4e30-825a-c62ebaaf753a</stp>
        <tr r="G9720" s="2"/>
      </tp>
      <tp>
        <v>5</v>
        <stp/>
        <stp>16500ee8-959d-4347-adbc-a215f9007c65</stp>
        <tr r="G2366" s="2"/>
      </tp>
      <tp>
        <v>5</v>
        <stp/>
        <stp>34be5dca-4e27-4d77-816b-4ea456bf0a4e</stp>
        <tr r="G7487" s="2"/>
      </tp>
    </main>
    <main first="rtdsrv_a82eb5a1fc404542a18b1336b70d2c4e">
      <tp>
        <v>5</v>
        <stp/>
        <stp>9beb71bf-d7ea-4728-9d0b-b9a65731ef11</stp>
        <tr r="G3757" s="2"/>
      </tp>
    </main>
    <main first="rtdsrv_a82eb5a1fc404542a18b1336b70d2c4e">
      <tp>
        <v>5</v>
        <stp/>
        <stp>aea79efa-1511-41ac-b7df-500325b8bd49</stp>
        <tr r="G5262" s="2"/>
      </tp>
    </main>
    <main first="rtdsrv_a82eb5a1fc404542a18b1336b70d2c4e">
      <tp>
        <v>5</v>
        <stp/>
        <stp>be415e48-6a5f-47a0-8e7e-e3cabc31c6fa</stp>
        <tr r="G5207" s="2"/>
      </tp>
    </main>
    <main first="rtdsrv_a82eb5a1fc404542a18b1336b70d2c4e">
      <tp>
        <v>5</v>
        <stp/>
        <stp>66224204-90e4-4f53-bf9a-eba5ec1a8a1f</stp>
        <tr r="G7874" s="2"/>
      </tp>
    </main>
    <main first="rtdsrv_a82eb5a1fc404542a18b1336b70d2c4e">
      <tp>
        <v>5</v>
        <stp/>
        <stp>6b397e89-2af5-4bfb-8605-55e98316a69f</stp>
        <tr r="G5544" s="2"/>
      </tp>
      <tp>
        <v>5</v>
        <stp/>
        <stp>0f92a391-dd91-4e2f-876b-8c936b926746</stp>
        <tr r="G8133" s="2"/>
      </tp>
    </main>
    <main first="rtdsrv_a82eb5a1fc404542a18b1336b70d2c4e">
      <tp>
        <v>5</v>
        <stp/>
        <stp>4da8d14c-e46f-4b34-bbbb-1ee190de9d0a</stp>
        <tr r="G6490" s="2"/>
      </tp>
      <tp>
        <v>5</v>
        <stp/>
        <stp>15d73898-417a-433e-b881-ea8706fead1a</stp>
        <tr r="G6344" s="2"/>
      </tp>
    </main>
    <main first="rtdsrv_a82eb5a1fc404542a18b1336b70d2c4e">
      <tp>
        <v>5</v>
        <stp/>
        <stp>99bb3f0e-22c5-4ab3-a789-a56cb58c21df</stp>
        <tr r="G5853" s="2"/>
      </tp>
    </main>
    <main first="rtdsrv_a82eb5a1fc404542a18b1336b70d2c4e">
      <tp>
        <v>5</v>
        <stp/>
        <stp>67df8888-dd0e-41fb-b51a-199f950b7cc7</stp>
        <tr r="G7330" s="2"/>
      </tp>
      <tp>
        <v>5</v>
        <stp/>
        <stp>2d7a9d31-7165-408a-964f-df07b7ea0d57</stp>
        <tr r="G6554" s="2"/>
      </tp>
      <tp>
        <v>5</v>
        <stp/>
        <stp>63d009de-939b-44bc-a12a-2721f62694a1</stp>
        <tr r="G1428" s="2"/>
      </tp>
      <tp>
        <v>5</v>
        <stp/>
        <stp>16ceb6b2-d460-4958-bc13-eb293ab029e9</stp>
        <tr r="G5994" s="2"/>
      </tp>
    </main>
    <main first="rtdsrv_a82eb5a1fc404542a18b1336b70d2c4e">
      <tp>
        <v>5</v>
        <stp/>
        <stp>302cc59d-476c-4b31-b847-849f2513fb04</stp>
        <tr r="G3845" s="2"/>
      </tp>
    </main>
    <main first="rtdsrv_a82eb5a1fc404542a18b1336b70d2c4e">
      <tp>
        <v>5</v>
        <stp/>
        <stp>42e52639-cf1a-4bcf-b17d-fd5e00bee50a</stp>
        <tr r="G1243" s="2"/>
      </tp>
    </main>
    <main first="rtdsrv_a82eb5a1fc404542a18b1336b70d2c4e">
      <tp>
        <v>5</v>
        <stp/>
        <stp>d8536a28-cc79-4641-b56e-15fd0f7a89c3</stp>
        <tr r="G766" s="2"/>
      </tp>
      <tp>
        <v>5</v>
        <stp/>
        <stp>05f9184c-94e3-4f97-812c-d6706a389127</stp>
        <tr r="G2638" s="2"/>
      </tp>
    </main>
    <main first="rtdsrv_a82eb5a1fc404542a18b1336b70d2c4e">
      <tp>
        <v>5</v>
        <stp/>
        <stp>747daa66-a572-42f4-8679-9694cfc730d6</stp>
        <tr r="G8203" s="2"/>
      </tp>
    </main>
    <main first="rtdsrv_a82eb5a1fc404542a18b1336b70d2c4e">
      <tp>
        <v>5</v>
        <stp/>
        <stp>36d96c87-bebc-46e5-8b53-0e5dcf5b0cfa</stp>
        <tr r="G6826" s="2"/>
      </tp>
    </main>
    <main first="rtdsrv_a82eb5a1fc404542a18b1336b70d2c4e">
      <tp>
        <v>5</v>
        <stp/>
        <stp>fa039aa8-0184-4724-b152-c38e4669dc07</stp>
        <tr r="G7634" s="2"/>
      </tp>
      <tp>
        <v>5</v>
        <stp/>
        <stp>a265ebf7-3002-469b-8441-bf3d4e847a6d</stp>
        <tr r="G3417" s="2"/>
      </tp>
      <tp>
        <v>5</v>
        <stp/>
        <stp>154868f2-8eed-4c3a-a8f6-847f72b99c8f</stp>
        <tr r="G7282" s="2"/>
      </tp>
      <tp>
        <v>5</v>
        <stp/>
        <stp>3453c1ce-265f-422e-a865-455b4c4b6e8f</stp>
        <tr r="G8880" s="2"/>
      </tp>
    </main>
    <main first="rtdsrv_a82eb5a1fc404542a18b1336b70d2c4e">
      <tp>
        <v>5</v>
        <stp/>
        <stp>3375c659-58b6-412b-9a75-e67c11fcf521</stp>
        <tr r="G8366" s="2"/>
      </tp>
      <tp>
        <v>5</v>
        <stp/>
        <stp>5aab5d89-ec21-44cc-874a-220f43c38ada</stp>
        <tr r="G1532" s="2"/>
      </tp>
    </main>
    <main first="rtdsrv_a82eb5a1fc404542a18b1336b70d2c4e">
      <tp>
        <v>5</v>
        <stp/>
        <stp>7af1a6bf-2300-4173-9818-52ed7ab50cdc</stp>
        <tr r="G1660" s="2"/>
      </tp>
      <tp>
        <v>5</v>
        <stp/>
        <stp>c62f31bf-7bed-4a23-b22f-cebdc1c9329b</stp>
        <tr r="G1188" s="2"/>
      </tp>
      <tp>
        <v>5</v>
        <stp/>
        <stp>439ecc83-e5e9-4150-8268-8cd82dd3eca5</stp>
        <tr r="G8940" s="2"/>
      </tp>
    </main>
    <main first="rtdsrv_a82eb5a1fc404542a18b1336b70d2c4e">
      <tp>
        <v>5</v>
        <stp/>
        <stp>8eb19b3e-cc79-45d3-8b21-4baabd890474</stp>
        <tr r="G7991" s="2"/>
      </tp>
      <tp>
        <v>5</v>
        <stp/>
        <stp>91e461be-e4fc-4827-a15b-37f36dbf6c87</stp>
        <tr r="G5026" s="2"/>
      </tp>
    </main>
    <main first="rtdsrv_a82eb5a1fc404542a18b1336b70d2c4e">
      <tp>
        <v>5</v>
        <stp/>
        <stp>2a61c5af-167e-4ca0-9875-ea66b28b7f7f</stp>
        <tr r="G7753" s="2"/>
      </tp>
    </main>
    <main first="rtdsrv_a82eb5a1fc404542a18b1336b70d2c4e">
      <tp>
        <v>5</v>
        <stp/>
        <stp>728a2df9-60b5-48b5-8e7a-1bdada41562a</stp>
        <tr r="G8532" s="2"/>
      </tp>
    </main>
    <main first="rtdsrv_a82eb5a1fc404542a18b1336b70d2c4e">
      <tp>
        <v>5</v>
        <stp/>
        <stp>84811e10-d15e-4144-b701-3f4a11f5f16e</stp>
        <tr r="G9590" s="2"/>
      </tp>
      <tp>
        <v>5</v>
        <stp/>
        <stp>c4f294d7-2dc6-4eda-a6a2-41c2179a5cca</stp>
        <tr r="G6557" s="2"/>
      </tp>
      <tp>
        <v>5</v>
        <stp/>
        <stp>1a90ba77-b1ac-4584-bd54-286b392355b2</stp>
        <tr r="G107" s="2"/>
      </tp>
      <tp>
        <v>5</v>
        <stp/>
        <stp>460a8380-bce9-417c-aacb-4ddfb170fe7a</stp>
        <tr r="G3136" s="2"/>
      </tp>
      <tp>
        <v>5</v>
        <stp/>
        <stp>1ee72f1e-d8dd-47c7-af77-7b385d504604</stp>
        <tr r="G4110" s="2"/>
      </tp>
    </main>
    <main first="rtdsrv_a82eb5a1fc404542a18b1336b70d2c4e">
      <tp>
        <v>5</v>
        <stp/>
        <stp>2a005188-4d30-4f9d-bc3d-bbc5d5cee3e6</stp>
        <tr r="G3210" s="2"/>
      </tp>
      <tp>
        <v>5</v>
        <stp/>
        <stp>41f3e653-415b-45a1-a106-6d97336f9251</stp>
        <tr r="G1821" s="2"/>
      </tp>
    </main>
    <main first="rtdsrv_a82eb5a1fc404542a18b1336b70d2c4e">
      <tp>
        <v>5</v>
        <stp/>
        <stp>86956cb7-9767-450b-91e3-996eedce1ad5</stp>
        <tr r="G1369" s="2"/>
      </tp>
    </main>
    <main first="rtdsrv_a82eb5a1fc404542a18b1336b70d2c4e">
      <tp>
        <v>5</v>
        <stp/>
        <stp>929b2855-6a6e-4f29-af06-d240bc68d379</stp>
        <tr r="G6965" s="2"/>
      </tp>
      <tp>
        <v>5</v>
        <stp/>
        <stp>df1ced9e-20bb-4741-a43d-ac2bcc37ce37</stp>
        <tr r="G9837" s="2"/>
      </tp>
      <tp>
        <v>5</v>
        <stp/>
        <stp>b739dcd7-68ae-4fc7-bd23-cdfff67e4bc9</stp>
        <tr r="G5213" s="2"/>
      </tp>
    </main>
    <main first="rtdsrv_a82eb5a1fc404542a18b1336b70d2c4e">
      <tp>
        <v>5</v>
        <stp/>
        <stp>f51e91fc-c4e4-4b98-b881-edacf0dd2d96</stp>
        <tr r="G3064" s="2"/>
      </tp>
    </main>
    <main first="rtdsrv_a82eb5a1fc404542a18b1336b70d2c4e">
      <tp>
        <v>5</v>
        <stp/>
        <stp>901c6c7c-9da5-4da8-abf7-618c8739ee0c</stp>
        <tr r="G258" s="2"/>
      </tp>
      <tp>
        <v>5</v>
        <stp/>
        <stp>4cd44f2c-a9dc-49cd-a9d0-aa1cc795fe9d</stp>
        <tr r="G5823" s="2"/>
      </tp>
    </main>
    <main first="rtdsrv_a82eb5a1fc404542a18b1336b70d2c4e">
      <tp>
        <v>5</v>
        <stp/>
        <stp>6210cdc9-5eee-4de6-9864-05729387c2c4</stp>
        <tr r="G6599" s="2"/>
      </tp>
      <tp>
        <v>5</v>
        <stp/>
        <stp>dbc02db1-2b62-4bc8-a176-6b02b981c725</stp>
        <tr r="G3684" s="2"/>
      </tp>
      <tp>
        <v>5</v>
        <stp/>
        <stp>26785bce-38fc-4b22-a611-18590223f950</stp>
        <tr r="G3921" s="2"/>
      </tp>
      <tp>
        <v>5</v>
        <stp/>
        <stp>2b1d607f-0654-42f4-9b48-8bd6fea8d2b0</stp>
        <tr r="G1747" s="2"/>
      </tp>
    </main>
    <main first="rtdsrv_a82eb5a1fc404542a18b1336b70d2c4e">
      <tp>
        <v>5</v>
        <stp/>
        <stp>cb71a396-2e59-497f-bad4-b0a1fcc5de2a</stp>
        <tr r="G3940" s="2"/>
      </tp>
    </main>
    <main first="rtdsrv_a82eb5a1fc404542a18b1336b70d2c4e">
      <tp>
        <v>5</v>
        <stp/>
        <stp>fb6d2b58-25fc-42d3-abe8-2c62baf1b11b</stp>
        <tr r="G2692" s="2"/>
      </tp>
    </main>
    <main first="rtdsrv_a82eb5a1fc404542a18b1336b70d2c4e">
      <tp>
        <v>5</v>
        <stp/>
        <stp>2a7bf515-c754-4583-808d-87f88de62894</stp>
        <tr r="G7223" s="2"/>
      </tp>
    </main>
    <main first="rtdsrv_a82eb5a1fc404542a18b1336b70d2c4e">
      <tp>
        <v>5</v>
        <stp/>
        <stp>7c35b034-5381-4d5c-8eb6-aab67417fe92</stp>
        <tr r="G2238" s="2"/>
      </tp>
    </main>
    <main first="rtdsrv_a82eb5a1fc404542a18b1336b70d2c4e">
      <tp>
        <v>5</v>
        <stp/>
        <stp>ccda85ac-de5b-4e3b-a747-bb71fb6fc399</stp>
        <tr r="G1248" s="2"/>
      </tp>
      <tp>
        <v>5</v>
        <stp/>
        <stp>f98bcb49-98ba-460b-a658-3e2ffb5deed2</stp>
        <tr r="G4424" s="2"/>
      </tp>
    </main>
    <main first="rtdsrv_a82eb5a1fc404542a18b1336b70d2c4e">
      <tp>
        <v>5</v>
        <stp/>
        <stp>471ab496-40f1-41c4-995b-e50e855a0a0b</stp>
        <tr r="G372" s="2"/>
      </tp>
    </main>
    <main first="rtdsrv_a82eb5a1fc404542a18b1336b70d2c4e">
      <tp>
        <v>5</v>
        <stp/>
        <stp>3921c9f4-721f-4f1e-8b5b-ea28f5853dfc</stp>
        <tr r="G8805" s="2"/>
      </tp>
    </main>
    <main first="rtdsrv_a82eb5a1fc404542a18b1336b70d2c4e">
      <tp>
        <v>5</v>
        <stp/>
        <stp>0c1918f1-fb7f-44b6-8558-698263921cd2</stp>
        <tr r="G666" s="2"/>
      </tp>
      <tp>
        <v>5</v>
        <stp/>
        <stp>572e0040-0da4-416e-87b8-b66a9059ba1d</stp>
        <tr r="G9985" s="2"/>
      </tp>
    </main>
    <main first="rtdsrv_a82eb5a1fc404542a18b1336b70d2c4e">
      <tp>
        <v>5</v>
        <stp/>
        <stp>6631bfac-24a4-4117-9828-0d2c4c2a4765</stp>
        <tr r="G5935" s="2"/>
      </tp>
    </main>
    <main first="rtdsrv_a82eb5a1fc404542a18b1336b70d2c4e">
      <tp>
        <v>5</v>
        <stp/>
        <stp>9483d643-65ca-400f-952d-ed063c52900f</stp>
        <tr r="G5291" s="2"/>
      </tp>
    </main>
    <main first="rtdsrv_a82eb5a1fc404542a18b1336b70d2c4e">
      <tp>
        <v>5</v>
        <stp/>
        <stp>0c942ffc-e211-4d99-912a-e1b735709816</stp>
        <tr r="G2018" s="2"/>
      </tp>
      <tp>
        <v>5</v>
        <stp/>
        <stp>0e653cc1-dd80-4305-92fe-1e76e326209c</stp>
        <tr r="G593" s="2"/>
      </tp>
    </main>
    <main first="rtdsrv_a82eb5a1fc404542a18b1336b70d2c4e">
      <tp>
        <v>5</v>
        <stp/>
        <stp>67b553c1-57d5-4b7c-ba08-eefed4364d3b</stp>
        <tr r="G9146" s="2"/>
      </tp>
      <tp>
        <v>5</v>
        <stp/>
        <stp>d335a37a-fc60-4a69-bdf9-efa358b7e057</stp>
        <tr r="G4798" s="2"/>
      </tp>
    </main>
    <main first="rtdsrv_a82eb5a1fc404542a18b1336b70d2c4e">
      <tp>
        <v>5</v>
        <stp/>
        <stp>5ab7df17-bfe8-4bc0-b0b9-fd6c372523a2</stp>
        <tr r="G2443" s="2"/>
      </tp>
      <tp>
        <v>5</v>
        <stp/>
        <stp>e0923515-75be-4e5f-b61c-5dea7333cea2</stp>
        <tr r="G1694" s="2"/>
      </tp>
    </main>
    <main first="rtdsrv_a82eb5a1fc404542a18b1336b70d2c4e">
      <tp>
        <v>5</v>
        <stp/>
        <stp>ce8412f0-401e-4c04-bad6-e44d730ecc59</stp>
        <tr r="G1636" s="2"/>
      </tp>
      <tp>
        <v>5</v>
        <stp/>
        <stp>bfb8040f-b8e6-4e8f-a44b-6bbdc2f33eef</stp>
        <tr r="G8066" s="2"/>
      </tp>
    </main>
    <main first="rtdsrv_a82eb5a1fc404542a18b1336b70d2c4e">
      <tp>
        <v>5</v>
        <stp/>
        <stp>25613a13-7953-458b-a46c-1b822298b05c</stp>
        <tr r="G3934" s="2"/>
      </tp>
    </main>
    <main first="rtdsrv_a82eb5a1fc404542a18b1336b70d2c4e">
      <tp>
        <v>5</v>
        <stp/>
        <stp>3501feb0-e8c1-4f06-96d4-f20fc73d454a</stp>
        <tr r="G8684" s="2"/>
      </tp>
      <tp>
        <v>5</v>
        <stp/>
        <stp>8114b605-9029-4b20-a384-a6930e4cc2a8</stp>
        <tr r="G992" s="2"/>
      </tp>
      <tp>
        <v>5</v>
        <stp/>
        <stp>ce9ed61f-dde2-4617-8c7c-c177c57c3dfd</stp>
        <tr r="G9874" s="2"/>
      </tp>
      <tp>
        <v>5</v>
        <stp/>
        <stp>a41e6b10-dd93-42f6-aabb-b15190ce4093</stp>
        <tr r="G2149" s="2"/>
      </tp>
    </main>
    <main first="rtdsrv_a82eb5a1fc404542a18b1336b70d2c4e">
      <tp>
        <v>5</v>
        <stp/>
        <stp>933bee3a-66bf-489f-9f4e-11758e87f158</stp>
        <tr r="G8480" s="2"/>
      </tp>
      <tp>
        <v>5</v>
        <stp/>
        <stp>2f57d109-e930-4637-b488-ef82e80a04ea</stp>
        <tr r="G7204" s="2"/>
      </tp>
    </main>
    <main first="rtdsrv_a82eb5a1fc404542a18b1336b70d2c4e">
      <tp>
        <v>5</v>
        <stp/>
        <stp>03c5efdc-ce8d-415d-bd7b-c6908b4fdfd0</stp>
        <tr r="G8641" s="2"/>
      </tp>
    </main>
    <main first="rtdsrv_a82eb5a1fc404542a18b1336b70d2c4e">
      <tp>
        <v>5</v>
        <stp/>
        <stp>e8bcdac8-f884-4f22-8cc3-c6b876753955</stp>
        <tr r="G942" s="2"/>
      </tp>
      <tp>
        <v>5</v>
        <stp/>
        <stp>f92ce5ff-197c-4b5e-ad9f-ab17bd6dc0fb</stp>
        <tr r="G115" s="2"/>
      </tp>
      <tp>
        <v>5</v>
        <stp/>
        <stp>fa994054-1162-49ae-9e76-52b714f8dce8</stp>
        <tr r="G924" s="2"/>
      </tp>
      <tp>
        <v>5</v>
        <stp/>
        <stp>6a9c8c25-114e-4bfb-b154-56d83f9f2c92</stp>
        <tr r="G8593" s="2"/>
      </tp>
    </main>
    <main first="rtdsrv_a82eb5a1fc404542a18b1336b70d2c4e">
      <tp>
        <v>5</v>
        <stp/>
        <stp>79a9d0be-1e63-450f-ba43-f94d452b1193</stp>
        <tr r="G3469" s="2"/>
      </tp>
      <tp>
        <v>5</v>
        <stp/>
        <stp>b3bc8f35-d13e-4c00-8517-e78e254e3e14</stp>
        <tr r="G4910" s="2"/>
      </tp>
    </main>
    <main first="rtdsrv_a82eb5a1fc404542a18b1336b70d2c4e">
      <tp>
        <v>5</v>
        <stp/>
        <stp>359f4343-55da-4585-949e-25b8fddec915</stp>
        <tr r="G7386" s="2"/>
      </tp>
      <tp>
        <v>5</v>
        <stp/>
        <stp>73d86028-a076-4d77-96f3-f6feaa8a43a9</stp>
        <tr r="G9633" s="2"/>
      </tp>
      <tp>
        <v>5</v>
        <stp/>
        <stp>a4b3518b-3034-4f50-a57c-5d6b067be4b4</stp>
        <tr r="G5698" s="2"/>
      </tp>
    </main>
    <main first="rtdsrv_a82eb5a1fc404542a18b1336b70d2c4e">
      <tp>
        <v>5</v>
        <stp/>
        <stp>b441b4a8-1738-417e-a7e8-b3c7ee2e20aa</stp>
        <tr r="G807" s="2"/>
      </tp>
      <tp>
        <v>5</v>
        <stp/>
        <stp>f383d622-63ff-41e6-b420-d4183bcd6613</stp>
        <tr r="G1644" s="2"/>
      </tp>
    </main>
    <main first="rtdsrv_a82eb5a1fc404542a18b1336b70d2c4e">
      <tp>
        <v>5</v>
        <stp/>
        <stp>aabc7377-de26-4af7-9594-15a3b869eb88</stp>
        <tr r="G1866" s="2"/>
      </tp>
    </main>
    <main first="rtdsrv_a82eb5a1fc404542a18b1336b70d2c4e">
      <tp>
        <v>5</v>
        <stp/>
        <stp>12c42869-70fd-4105-9c96-fb91573c1328</stp>
        <tr r="G573" s="2"/>
      </tp>
      <tp>
        <v>5</v>
        <stp/>
        <stp>51be21f9-06a7-485a-8690-d99cf0f6766a</stp>
        <tr r="G3330" s="2"/>
      </tp>
      <tp>
        <v>5</v>
        <stp/>
        <stp>6eecc2a5-d7f7-4ec0-b5df-8b795e927705</stp>
        <tr r="G8841" s="2"/>
      </tp>
    </main>
    <main first="rtdsrv_a82eb5a1fc404542a18b1336b70d2c4e">
      <tp>
        <v>5</v>
        <stp/>
        <stp>6d40093f-4053-470c-b791-bf93d6fad422</stp>
        <tr r="G5381" s="2"/>
      </tp>
    </main>
    <main first="rtdsrv_a82eb5a1fc404542a18b1336b70d2c4e">
      <tp>
        <v>5</v>
        <stp/>
        <stp>7cb5683b-1cda-4b7e-b968-aa5de8e5e715</stp>
        <tr r="G3922" s="2"/>
      </tp>
      <tp>
        <v>5</v>
        <stp/>
        <stp>eb60a388-2636-4b32-87ef-2cc0505720c6</stp>
        <tr r="G6434" s="2"/>
      </tp>
    </main>
    <main first="rtdsrv_a82eb5a1fc404542a18b1336b70d2c4e">
      <tp>
        <v>5</v>
        <stp/>
        <stp>ca9912b9-2f99-4ddd-8114-06ae962b8c10</stp>
        <tr r="G4190" s="2"/>
      </tp>
    </main>
    <main first="rtdsrv_a82eb5a1fc404542a18b1336b70d2c4e">
      <tp>
        <v>5</v>
        <stp/>
        <stp>f28fad15-cd77-4c7a-80ec-0fb4ec169c6b</stp>
        <tr r="G6422" s="2"/>
      </tp>
    </main>
    <main first="rtdsrv_a82eb5a1fc404542a18b1336b70d2c4e">
      <tp>
        <v>5</v>
        <stp/>
        <stp>89e8de4d-b517-457a-9fc7-6975a4063f0f</stp>
        <tr r="G6867" s="2"/>
      </tp>
    </main>
    <main first="rtdsrv_a82eb5a1fc404542a18b1336b70d2c4e">
      <tp>
        <v>5</v>
        <stp/>
        <stp>0ddaa027-aba5-4233-af60-185cf9673fc3</stp>
        <tr r="G4136" s="2"/>
      </tp>
    </main>
    <main first="rtdsrv_a82eb5a1fc404542a18b1336b70d2c4e">
      <tp>
        <v>5</v>
        <stp/>
        <stp>6f04fbd1-268f-4120-aa2e-b4b08ebb72c3</stp>
        <tr r="G119" s="2"/>
      </tp>
      <tp>
        <v>5</v>
        <stp/>
        <stp>c61cce23-eba2-4c1c-bc1d-0c783a5cc1cf</stp>
        <tr r="G1175" s="2"/>
      </tp>
    </main>
    <main first="rtdsrv_a82eb5a1fc404542a18b1336b70d2c4e">
      <tp>
        <v>5</v>
        <stp/>
        <stp>8cc3cdd4-123e-4b60-9928-f2e79c574298</stp>
        <tr r="G8076" s="2"/>
      </tp>
    </main>
    <main first="rtdsrv_a82eb5a1fc404542a18b1336b70d2c4e">
      <tp>
        <v>5</v>
        <stp/>
        <stp>966324a7-dc05-4cae-afd0-31f2fb212c4d</stp>
        <tr r="G3431" s="2"/>
      </tp>
      <tp>
        <v>5</v>
        <stp/>
        <stp>fc3ce701-5f38-4f02-bd2b-4767d87789b7</stp>
        <tr r="G2647" s="2"/>
      </tp>
    </main>
    <main first="rtdsrv_a82eb5a1fc404542a18b1336b70d2c4e">
      <tp>
        <v>5</v>
        <stp/>
        <stp>c47fd022-6daf-4962-a24e-f7d621b70ef2</stp>
        <tr r="G198" s="2"/>
      </tp>
    </main>
    <main first="rtdsrv_a82eb5a1fc404542a18b1336b70d2c4e">
      <tp>
        <v>5</v>
        <stp/>
        <stp>40a944d1-94a0-498a-a773-c6d773dea9f9</stp>
        <tr r="G8837" s="2"/>
      </tp>
      <tp>
        <v>5</v>
        <stp/>
        <stp>3a55495b-0d50-4fde-98df-29bf12f775b7</stp>
        <tr r="G2499" s="2"/>
      </tp>
    </main>
    <main first="rtdsrv_a82eb5a1fc404542a18b1336b70d2c4e">
      <tp>
        <v>5</v>
        <stp/>
        <stp>4cd7ade9-88f8-49b8-9559-d24e53f8fd78</stp>
        <tr r="G2290" s="2"/>
      </tp>
    </main>
    <main first="rtdsrv_a82eb5a1fc404542a18b1336b70d2c4e">
      <tp>
        <v>5</v>
        <stp/>
        <stp>0b57160a-bb01-4c62-ad31-0abe745925d2</stp>
        <tr r="G5811" s="2"/>
      </tp>
    </main>
    <main first="rtdsrv_a82eb5a1fc404542a18b1336b70d2c4e">
      <tp>
        <v>5</v>
        <stp/>
        <stp>efd8712f-878c-4828-9e65-46b1c56675e6</stp>
        <tr r="G5331" s="2"/>
      </tp>
    </main>
    <main first="rtdsrv_a82eb5a1fc404542a18b1336b70d2c4e">
      <tp>
        <v>5</v>
        <stp/>
        <stp>82151f10-4c34-4a50-bef7-c76c3d419237</stp>
        <tr r="G8182" s="2"/>
      </tp>
      <tp>
        <v>5</v>
        <stp/>
        <stp>13dc8d28-8c59-4f6b-943b-e4071d71595e</stp>
        <tr r="G4939" s="2"/>
      </tp>
      <tp>
        <v>5</v>
        <stp/>
        <stp>010ba40c-40f6-4a9b-aedc-ed1f90c5b4df</stp>
        <tr r="G613" s="2"/>
      </tp>
      <tp>
        <v>5</v>
        <stp/>
        <stp>024ba961-3b5e-49ff-a21b-b5b004dda9a9</stp>
        <tr r="G5625" s="2"/>
      </tp>
      <tp>
        <v>5</v>
        <stp/>
        <stp>2448f930-5c22-453d-98ec-f7b38a83288e</stp>
        <tr r="G6539" s="2"/>
      </tp>
      <tp>
        <v>5</v>
        <stp/>
        <stp>dc055e37-1006-4433-812f-f01d9b834395</stp>
        <tr r="G6091" s="2"/>
      </tp>
      <tp>
        <v>5</v>
        <stp/>
        <stp>f1ef0fb9-dee0-46e5-a93f-c543fa0ea6ef</stp>
        <tr r="G929" s="2"/>
      </tp>
      <tp>
        <v>5</v>
        <stp/>
        <stp>4db17be5-2b39-4a56-99d8-4c2a9384fa2c</stp>
        <tr r="G5110" s="2"/>
      </tp>
      <tp>
        <v>5</v>
        <stp/>
        <stp>8c40925d-c680-4803-991c-17fb81b02a5d</stp>
        <tr r="G9373" s="2"/>
      </tp>
      <tp>
        <v>5</v>
        <stp/>
        <stp>84a77393-37aa-4c0e-b539-bd757ce0a2be</stp>
        <tr r="G4118" s="2"/>
      </tp>
      <tp>
        <v>5</v>
        <stp/>
        <stp>303526cf-f12c-4c67-9a03-ee070f12d359</stp>
        <tr r="G9433" s="2"/>
      </tp>
      <tp>
        <v>5</v>
        <stp/>
        <stp>7b6ff55f-5b74-410c-ae7e-ed7f504075a1</stp>
        <tr r="G1778" s="2"/>
      </tp>
    </main>
    <main first="rtdsrv_a82eb5a1fc404542a18b1336b70d2c4e">
      <tp>
        <v>5</v>
        <stp/>
        <stp>0799f68a-cf94-4144-add3-e5893b8fe22f</stp>
        <tr r="G6953" s="2"/>
      </tp>
      <tp>
        <v>5</v>
        <stp/>
        <stp>2bc34322-7003-43d2-96f0-6d6208473955</stp>
        <tr r="G1267" s="2"/>
      </tp>
    </main>
    <main first="rtdsrv_a82eb5a1fc404542a18b1336b70d2c4e">
      <tp>
        <v>5</v>
        <stp/>
        <stp>104c0a28-4d6c-49e9-815b-2c9b79fabd98</stp>
        <tr r="G4535" s="2"/>
      </tp>
      <tp>
        <v>5</v>
        <stp/>
        <stp>078b99c2-1cdb-4263-9160-9859719dbdb5</stp>
        <tr r="G5068" s="2"/>
      </tp>
      <tp>
        <v>5</v>
        <stp/>
        <stp>73447ebe-285c-468c-b0ac-03e18274309e</stp>
        <tr r="G1433" s="2"/>
      </tp>
    </main>
    <main first="rtdsrv_a82eb5a1fc404542a18b1336b70d2c4e">
      <tp>
        <v>5</v>
        <stp/>
        <stp>fe2a9dba-574d-4071-85c1-5759c1c6b7fa</stp>
        <tr r="G3758" s="2"/>
      </tp>
    </main>
    <main first="rtdsrv_a82eb5a1fc404542a18b1336b70d2c4e">
      <tp>
        <v>5</v>
        <stp/>
        <stp>9e9b98d6-0e3b-4cbc-b5e4-7f7268e58b89</stp>
        <tr r="G2459" s="2"/>
      </tp>
      <tp>
        <v>5</v>
        <stp/>
        <stp>bceec5d6-369b-4dd7-b9da-83f05fec543f</stp>
        <tr r="G5090" s="2"/>
      </tp>
      <tp>
        <v>5</v>
        <stp/>
        <stp>856e7d63-7586-4d2a-9b51-73dcca30874d</stp>
        <tr r="G149" s="2"/>
      </tp>
      <tp>
        <v>5</v>
        <stp/>
        <stp>7ada36cd-6d18-4e8e-ac2c-e4df7d0dd132</stp>
        <tr r="G7998" s="2"/>
      </tp>
      <tp>
        <v>5</v>
        <stp/>
        <stp>9627261f-7768-49b6-9dc6-41f97b2faf18</stp>
        <tr r="G6153" s="2"/>
      </tp>
      <tp>
        <v>5</v>
        <stp/>
        <stp>46ea2ea0-ba38-4b1b-b5d7-8cdc5507c6a6</stp>
        <tr r="G6308" s="2"/>
      </tp>
    </main>
    <main first="rtdsrv_a82eb5a1fc404542a18b1336b70d2c4e">
      <tp>
        <v>5</v>
        <stp/>
        <stp>bb134cd9-1d6d-4c08-ad9f-0ce0f3a6a649</stp>
        <tr r="G1545" s="2"/>
      </tp>
      <tp>
        <v>5</v>
        <stp/>
        <stp>43bb4619-a359-4564-977c-b2e5816f7370</stp>
        <tr r="G1064" s="2"/>
      </tp>
    </main>
    <main first="rtdsrv_a82eb5a1fc404542a18b1336b70d2c4e">
      <tp>
        <v>5</v>
        <stp/>
        <stp>84b3ff49-648e-4890-aac1-4ba88fa2ad4c</stp>
        <tr r="G4219" s="2"/>
      </tp>
      <tp>
        <v>5</v>
        <stp/>
        <stp>762591e3-bf4f-49e7-aeae-d4070d7bb443</stp>
        <tr r="G8784" s="2"/>
      </tp>
    </main>
    <main first="rtdsrv_a82eb5a1fc404542a18b1336b70d2c4e">
      <tp>
        <v>5</v>
        <stp/>
        <stp>8352b1c9-a43b-4894-b886-c9acc0a00138</stp>
        <tr r="G1736" s="2"/>
      </tp>
      <tp>
        <v>5</v>
        <stp/>
        <stp>1a755bfd-3d8e-47b5-b4c2-16a3c77c506f</stp>
        <tr r="G9766" s="2"/>
      </tp>
      <tp>
        <v>5</v>
        <stp/>
        <stp>1f4090b5-03ac-41dc-bc25-6ce3577954e7</stp>
        <tr r="G998" s="2"/>
      </tp>
      <tp>
        <v>5</v>
        <stp/>
        <stp>45f58367-2cd8-49b4-9974-64263c1087c4</stp>
        <tr r="G7669" s="2"/>
      </tp>
    </main>
    <main first="rtdsrv_a82eb5a1fc404542a18b1336b70d2c4e">
      <tp>
        <v>5</v>
        <stp/>
        <stp>dbe4d934-96f1-496f-88c9-f41ebb9a5f65</stp>
        <tr r="G660" s="2"/>
      </tp>
      <tp>
        <v>5</v>
        <stp/>
        <stp>4266306a-a0d2-442a-8937-77b520a4cacb</stp>
        <tr r="G7113" s="2"/>
      </tp>
    </main>
    <main first="rtdsrv_a82eb5a1fc404542a18b1336b70d2c4e">
      <tp>
        <v>5</v>
        <stp/>
        <stp>7d3ca055-45f7-451f-96cb-4aca17077dbd</stp>
        <tr r="G3611" s="2"/>
      </tp>
    </main>
    <main first="rtdsrv_a82eb5a1fc404542a18b1336b70d2c4e">
      <tp>
        <v>5</v>
        <stp/>
        <stp>4439edf1-fd00-442e-a105-b3d652f585ff</stp>
        <tr r="G3495" s="2"/>
      </tp>
      <tp>
        <v>5</v>
        <stp/>
        <stp>588cd687-8baf-48f8-8354-9e30e1a588d9</stp>
        <tr r="G8807" s="2"/>
      </tp>
      <tp>
        <v>5</v>
        <stp/>
        <stp>bba31c24-6dcf-401c-a3e7-e777ca1e00f7</stp>
        <tr r="G1232" s="2"/>
      </tp>
    </main>
    <main first="rtdsrv_a82eb5a1fc404542a18b1336b70d2c4e">
      <tp>
        <v>5</v>
        <stp/>
        <stp>81a8aa62-5e8e-41b2-a0f8-e588cc7ef0ed</stp>
        <tr r="G2492" s="2"/>
      </tp>
    </main>
    <main first="rtdsrv_a82eb5a1fc404542a18b1336b70d2c4e">
      <tp>
        <v>5</v>
        <stp/>
        <stp>23f541a0-8421-4a30-98b3-a2340902a4bc</stp>
        <tr r="G648" s="2"/>
      </tp>
      <tp>
        <v>5</v>
        <stp/>
        <stp>5f3bee25-56af-48b9-8026-d9f6775ddd32</stp>
        <tr r="G2918" s="2"/>
      </tp>
    </main>
    <main first="rtdsrv_a82eb5a1fc404542a18b1336b70d2c4e">
      <tp>
        <v>5</v>
        <stp/>
        <stp>c824c98b-fa67-4d4b-bda3-d2601d960e61</stp>
        <tr r="G5318" s="2"/>
      </tp>
      <tp>
        <v>5</v>
        <stp/>
        <stp>3aecb258-ef72-4301-a105-ccd0213f9257</stp>
        <tr r="G9545" s="2"/>
      </tp>
      <tp>
        <v>5</v>
        <stp/>
        <stp>eb111e5f-d4d4-45da-a020-37f45e29f552</stp>
        <tr r="G951" s="2"/>
      </tp>
      <tp>
        <v>5</v>
        <stp/>
        <stp>140130f8-63d5-4f82-b8a1-cb035d0a005a</stp>
        <tr r="G9457" s="2"/>
      </tp>
    </main>
    <main first="rtdsrv_a82eb5a1fc404542a18b1336b70d2c4e">
      <tp>
        <v>5</v>
        <stp/>
        <stp>6fea0017-b342-40d0-a6aa-765b0fdb3b56</stp>
        <tr r="G3083" s="2"/>
      </tp>
      <tp>
        <v>5</v>
        <stp/>
        <stp>231b9c53-a2cb-4f47-b032-ab3eaf32dfff</stp>
        <tr r="G7144" s="2"/>
      </tp>
      <tp>
        <v>5</v>
        <stp/>
        <stp>acbe544a-6c83-4f7e-8c61-59a06d5e3827</stp>
        <tr r="G3416" s="2"/>
      </tp>
      <tp>
        <v>5</v>
        <stp/>
        <stp>3bf117ba-07a4-4b76-bb66-b7b5ffff5ccc</stp>
        <tr r="G6789" s="2"/>
      </tp>
      <tp>
        <v>5</v>
        <stp/>
        <stp>db98fcb0-fe7b-44b5-9533-da3991d6ff81</stp>
        <tr r="G7490" s="2"/>
      </tp>
      <tp>
        <v>5</v>
        <stp/>
        <stp>f511ff6f-78bd-479d-93bc-8b37b253ce82</stp>
        <tr r="G4356" s="2"/>
      </tp>
    </main>
    <main first="rtdsrv_a82eb5a1fc404542a18b1336b70d2c4e">
      <tp>
        <v>5</v>
        <stp/>
        <stp>0ebef1a8-09d0-4f5f-b2d8-fae3eb44a214</stp>
        <tr r="G7693" s="2"/>
      </tp>
      <tp>
        <v>5</v>
        <stp/>
        <stp>4c9a90ea-7819-47c0-ad15-cc680c0ae254</stp>
        <tr r="G9865" s="2"/>
      </tp>
    </main>
    <main first="rtdsrv_a82eb5a1fc404542a18b1336b70d2c4e">
      <tp>
        <v>5</v>
        <stp/>
        <stp>e1c3ea48-2334-4179-8cfc-e95f10a1ac12</stp>
        <tr r="G7819" s="2"/>
      </tp>
    </main>
    <main first="rtdsrv_a82eb5a1fc404542a18b1336b70d2c4e">
      <tp>
        <v>5</v>
        <stp/>
        <stp>e34c5f13-742f-4654-aba3-32ed7e4c171a</stp>
        <tr r="G653" s="2"/>
      </tp>
      <tp>
        <v>5</v>
        <stp/>
        <stp>12ba93c5-afea-4261-8b22-eb70e40a2b09</stp>
        <tr r="G8642" s="2"/>
      </tp>
    </main>
    <main first="rtdsrv_a82eb5a1fc404542a18b1336b70d2c4e">
      <tp>
        <v>5</v>
        <stp/>
        <stp>bfe0f224-e2d0-4ed7-8578-dede02c33184</stp>
        <tr r="G5032" s="2"/>
      </tp>
    </main>
    <main first="rtdsrv_a82eb5a1fc404542a18b1336b70d2c4e">
      <tp>
        <v>5</v>
        <stp/>
        <stp>54744cfd-a84e-4db0-a3ce-5dc49a8e4745</stp>
        <tr r="G9827" s="2"/>
      </tp>
    </main>
    <main first="rtdsrv_a82eb5a1fc404542a18b1336b70d2c4e">
      <tp>
        <v>5</v>
        <stp/>
        <stp>0f3e363a-6cca-4b71-a42d-4d0297666abb</stp>
        <tr r="G4882" s="2"/>
      </tp>
    </main>
    <main first="rtdsrv_a82eb5a1fc404542a18b1336b70d2c4e">
      <tp>
        <v>5</v>
        <stp/>
        <stp>bd9fba2a-3769-4dc7-af9e-bb3518008592</stp>
        <tr r="G2843" s="2"/>
      </tp>
      <tp>
        <v>5</v>
        <stp/>
        <stp>f47693db-b50d-47f3-a90b-c323bdc2af60</stp>
        <tr r="G2773" s="2"/>
      </tp>
    </main>
    <main first="rtdsrv_a82eb5a1fc404542a18b1336b70d2c4e">
      <tp>
        <v>5</v>
        <stp/>
        <stp>4812f053-c74b-4fb3-bfe0-48f45c187170</stp>
        <tr r="G974" s="2"/>
      </tp>
      <tp>
        <v>5</v>
        <stp/>
        <stp>66ef22b1-a73a-4c15-8e65-eb36aed6b611</stp>
        <tr r="G4081" s="2"/>
      </tp>
      <tp>
        <v>5</v>
        <stp/>
        <stp>d4e4557e-b6b7-4c66-93b5-335096ce3ed2</stp>
        <tr r="G2754" s="2"/>
      </tp>
    </main>
    <main first="rtdsrv_a82eb5a1fc404542a18b1336b70d2c4e">
      <tp>
        <v>5</v>
        <stp/>
        <stp>cdb02e97-ad3b-4c7f-9703-e2a4ab6f8183</stp>
        <tr r="G4196" s="2"/>
      </tp>
    </main>
    <main first="rtdsrv_a82eb5a1fc404542a18b1336b70d2c4e">
      <tp>
        <v>5</v>
        <stp/>
        <stp>c4b9e1ed-016b-4a90-bc00-913b812b6bdc</stp>
        <tr r="G693" s="2"/>
      </tp>
      <tp>
        <v>5</v>
        <stp/>
        <stp>e6ab87d9-816d-4854-8894-ee782bee7d1d</stp>
        <tr r="G5431" s="2"/>
      </tp>
      <tp>
        <v>5</v>
        <stp/>
        <stp>1fe5b761-2508-47b3-b00d-442883f58058</stp>
        <tr r="G9408" s="2"/>
      </tp>
      <tp>
        <v>5</v>
        <stp/>
        <stp>15e5cda6-392a-49bf-b5fd-1b4e926a5e88</stp>
        <tr r="G6833" s="2"/>
      </tp>
      <tp>
        <v>5</v>
        <stp/>
        <stp>9665a24e-5e7b-4a51-9b30-0475b4198d2e</stp>
        <tr r="G3394" s="2"/>
      </tp>
      <tp>
        <v>5</v>
        <stp/>
        <stp>3f7e19e8-8040-43da-89d8-4197b3107714</stp>
        <tr r="G7065" s="2"/>
      </tp>
    </main>
    <main first="rtdsrv_a82eb5a1fc404542a18b1336b70d2c4e">
      <tp>
        <v>5</v>
        <stp/>
        <stp>654afcf7-fc6c-4ca2-ba5a-6bc5a3b3b125</stp>
        <tr r="G1631" s="2"/>
      </tp>
      <tp>
        <v>5</v>
        <stp/>
        <stp>b4288b5b-9789-48dc-a296-b5fe9ea7d2b5</stp>
        <tr r="G8274" s="2"/>
      </tp>
      <tp>
        <v>5</v>
        <stp/>
        <stp>df1d223b-aa95-4280-a7e3-0b724b2ab76f</stp>
        <tr r="G4322" s="2"/>
      </tp>
      <tp>
        <v>5</v>
        <stp/>
        <stp>46acb1d8-44bb-4a21-b1f3-8b16eccd6232</stp>
        <tr r="G6487" s="2"/>
      </tp>
      <tp>
        <v>5</v>
        <stp/>
        <stp>8ba4341c-fe5d-47e9-a179-edb519ae953c</stp>
        <tr r="G4539" s="2"/>
      </tp>
    </main>
    <main first="rtdsrv_a82eb5a1fc404542a18b1336b70d2c4e">
      <tp>
        <v>5</v>
        <stp/>
        <stp>b30ccae0-0f5c-47a0-98f4-9996bb43f96f</stp>
        <tr r="G9055" s="2"/>
      </tp>
    </main>
    <main first="rtdsrv_a82eb5a1fc404542a18b1336b70d2c4e">
      <tp>
        <v>5</v>
        <stp/>
        <stp>957da78d-c2e5-4ecf-9f64-daa387f9e137</stp>
        <tr r="G615" s="2"/>
      </tp>
      <tp>
        <v>5</v>
        <stp/>
        <stp>b11bd292-ef36-4ec1-b474-7ddb2e1a372b</stp>
        <tr r="G7136" s="2"/>
      </tp>
    </main>
    <main first="rtdsrv_a82eb5a1fc404542a18b1336b70d2c4e">
      <tp>
        <v>5</v>
        <stp/>
        <stp>bd452983-ce8f-4dc7-8b5c-09c71e1c46e0</stp>
        <tr r="G3809" s="2"/>
      </tp>
    </main>
    <main first="rtdsrv_a82eb5a1fc404542a18b1336b70d2c4e">
      <tp>
        <v>5</v>
        <stp/>
        <stp>41a6c482-7fa9-46d6-a361-ae300e3ced3c</stp>
        <tr r="G4804" s="2"/>
      </tp>
    </main>
    <main first="rtdsrv_a82eb5a1fc404542a18b1336b70d2c4e">
      <tp>
        <v>5</v>
        <stp/>
        <stp>687738aa-956a-4775-9e75-688b8472fad7</stp>
        <tr r="G6770" s="2"/>
      </tp>
      <tp>
        <v>5</v>
        <stp/>
        <stp>db63bc9c-c7b9-44ae-b7b5-de4a9eabd3e3</stp>
        <tr r="G7630" s="2"/>
      </tp>
    </main>
    <main first="rtdsrv_a82eb5a1fc404542a18b1336b70d2c4e">
      <tp>
        <v>5</v>
        <stp/>
        <stp>7a661c8a-b1bb-4bff-b60e-742086ca2b68</stp>
        <tr r="G6680" s="2"/>
      </tp>
      <tp>
        <v>5</v>
        <stp/>
        <stp>efb93087-76a5-46df-be63-f4e76c16a06c</stp>
        <tr r="G2055" s="2"/>
      </tp>
      <tp>
        <v>5</v>
        <stp/>
        <stp>4070bc95-0b32-4452-8046-69eaa8f9f2d9</stp>
        <tr r="G6370" s="2"/>
      </tp>
    </main>
    <main first="rtdsrv_a82eb5a1fc404542a18b1336b70d2c4e">
      <tp>
        <v>5</v>
        <stp/>
        <stp>4eb8c65b-60c1-4064-8715-44e7a3118186</stp>
        <tr r="G68" s="2"/>
      </tp>
      <tp>
        <v>5</v>
        <stp/>
        <stp>2d10048a-5ba4-4f10-8445-9e6c20232bd1</stp>
        <tr r="G3553" s="2"/>
      </tp>
    </main>
    <main first="rtdsrv_a82eb5a1fc404542a18b1336b70d2c4e">
      <tp>
        <v>5</v>
        <stp/>
        <stp>290d75dc-d6fc-4832-b2ae-0911c09e2d1e</stp>
        <tr r="G4134" s="2"/>
      </tp>
      <tp>
        <v>5</v>
        <stp/>
        <stp>33067f64-ed66-40ba-98aa-0da3a7dae58d</stp>
        <tr r="G5406" s="2"/>
      </tp>
      <tp>
        <v>5</v>
        <stp/>
        <stp>e17786cb-f646-4b8c-b709-fcc7c2d035b0</stp>
        <tr r="G5461" s="2"/>
      </tp>
    </main>
    <main first="rtdsrv_a82eb5a1fc404542a18b1336b70d2c4e">
      <tp>
        <v>5</v>
        <stp/>
        <stp>86090c17-df98-4e07-b553-f0f29c9cb650</stp>
        <tr r="G7182" s="2"/>
      </tp>
    </main>
    <main first="rtdsrv_a82eb5a1fc404542a18b1336b70d2c4e">
      <tp>
        <v>5</v>
        <stp/>
        <stp>0f182c41-e277-4b5e-98e0-0bf2af9102f5</stp>
        <tr r="G4425" s="2"/>
      </tp>
    </main>
    <main first="rtdsrv_a82eb5a1fc404542a18b1336b70d2c4e">
      <tp>
        <v>5</v>
        <stp/>
        <stp>96109800-72a3-429e-ad52-2b8f2db0f9e8</stp>
        <tr r="G6069" s="2"/>
      </tp>
    </main>
    <main first="rtdsrv_a82eb5a1fc404542a18b1336b70d2c4e">
      <tp>
        <v>5</v>
        <stp/>
        <stp>b885935f-9238-4e92-9a47-90b7c1e79c08</stp>
        <tr r="G3422" s="2"/>
      </tp>
    </main>
    <main first="rtdsrv_a82eb5a1fc404542a18b1336b70d2c4e">
      <tp>
        <v>5</v>
        <stp/>
        <stp>10fde21f-10c5-42c3-beb5-726d7b8d3dc1</stp>
        <tr r="G6335" s="2"/>
      </tp>
      <tp>
        <v>5</v>
        <stp/>
        <stp>7d44ca23-b802-47b3-8a20-faf5d239bcd6</stp>
        <tr r="G418" s="2"/>
      </tp>
      <tp>
        <v>5</v>
        <stp/>
        <stp>d0bd2cb1-1f33-469f-a34f-dfd1f99ae9bb</stp>
        <tr r="G5711" s="2"/>
      </tp>
      <tp>
        <v>5</v>
        <stp/>
        <stp>f795a169-ffd1-4be2-ac6a-2bcefa7531c7</stp>
        <tr r="G7273" s="2"/>
      </tp>
      <tp>
        <v>5</v>
        <stp/>
        <stp>04178959-d87f-47df-a611-e804cba242cd</stp>
        <tr r="G9669" s="2"/>
      </tp>
    </main>
    <main first="rtdsrv_a82eb5a1fc404542a18b1336b70d2c4e">
      <tp>
        <v>5</v>
        <stp/>
        <stp>a4973fad-69db-4851-a344-5257fcfd8f92</stp>
        <tr r="G4541" s="2"/>
      </tp>
    </main>
    <main first="rtdsrv_a82eb5a1fc404542a18b1336b70d2c4e">
      <tp>
        <v>5</v>
        <stp/>
        <stp>41729e20-59d5-49f1-9907-f11b8b230e7b</stp>
        <tr r="G617" s="2"/>
      </tp>
    </main>
    <main first="rtdsrv_a82eb5a1fc404542a18b1336b70d2c4e">
      <tp>
        <v>5</v>
        <stp/>
        <stp>7772ee2f-c8bb-4228-8b99-85f95f9b75d5</stp>
        <tr r="G3812" s="2"/>
      </tp>
    </main>
    <main first="rtdsrv_a82eb5a1fc404542a18b1336b70d2c4e">
      <tp>
        <v>5</v>
        <stp/>
        <stp>ec6bcd9e-3671-4885-874f-7f2120ad7537</stp>
        <tr r="G5721" s="2"/>
      </tp>
      <tp>
        <v>5</v>
        <stp/>
        <stp>4918d410-6580-4aa8-9618-f67e44c19ffa</stp>
        <tr r="G4740" s="2"/>
      </tp>
      <tp>
        <v>5</v>
        <stp/>
        <stp>8334d4c0-177c-4864-add9-12c6f517c733</stp>
        <tr r="G1108" s="2"/>
      </tp>
    </main>
    <main first="rtdsrv_a82eb5a1fc404542a18b1336b70d2c4e">
      <tp>
        <v>5</v>
        <stp/>
        <stp>19c82798-deb6-4be0-8c9b-be68630f7ccb</stp>
        <tr r="G6059" s="2"/>
      </tp>
    </main>
    <main first="rtdsrv_a82eb5a1fc404542a18b1336b70d2c4e">
      <tp>
        <v>5</v>
        <stp/>
        <stp>e54238b5-09d3-4ef4-bd3a-39272706bb4c</stp>
        <tr r="G4014" s="2"/>
      </tp>
    </main>
    <main first="rtdsrv_a82eb5a1fc404542a18b1336b70d2c4e">
      <tp>
        <v>5</v>
        <stp/>
        <stp>e122dd9a-4bd4-4526-9a7c-3e691204fa45</stp>
        <tr r="G5538" s="2"/>
      </tp>
      <tp>
        <v>5</v>
        <stp/>
        <stp>6c318057-acfd-4873-8218-bc0082f9f73e</stp>
        <tr r="G5430" s="2"/>
      </tp>
      <tp>
        <v>5</v>
        <stp/>
        <stp>76e3e4d5-3181-4b5b-a9d2-90f6149b5eef</stp>
        <tr r="G8714" s="2"/>
      </tp>
      <tp>
        <v>5</v>
        <stp/>
        <stp>74935a22-46ef-4572-8b66-04008377f44f</stp>
        <tr r="G8041" s="2"/>
      </tp>
    </main>
    <main first="rtdsrv_a82eb5a1fc404542a18b1336b70d2c4e">
      <tp>
        <v>5</v>
        <stp/>
        <stp>cdd3be9a-8929-4b9a-b791-b66accb46b9b</stp>
        <tr r="G9467" s="2"/>
      </tp>
    </main>
    <main first="rtdsrv_a82eb5a1fc404542a18b1336b70d2c4e">
      <tp>
        <v>5</v>
        <stp/>
        <stp>9d039bcf-d9be-4265-a527-250fdbdadd11</stp>
        <tr r="G7715" s="2"/>
      </tp>
      <tp>
        <v>5</v>
        <stp/>
        <stp>315e5ed1-d9d8-4f7e-8504-d8f0d2424960</stp>
        <tr r="G8801" s="2"/>
      </tp>
    </main>
    <main first="rtdsrv_a82eb5a1fc404542a18b1336b70d2c4e">
      <tp>
        <v>5</v>
        <stp/>
        <stp>422e286f-74b9-43d7-81e9-028d1205099e</stp>
        <tr r="G9446" s="2"/>
      </tp>
    </main>
    <main first="rtdsrv_a82eb5a1fc404542a18b1336b70d2c4e">
      <tp>
        <v>5</v>
        <stp/>
        <stp>14429f77-4d24-47d6-960b-2195bb738e20</stp>
        <tr r="G9083" s="2"/>
      </tp>
    </main>
    <main first="rtdsrv_a82eb5a1fc404542a18b1336b70d2c4e">
      <tp>
        <v>5</v>
        <stp/>
        <stp>ce7162d5-ee51-4734-b561-849c66b8dde5</stp>
        <tr r="G3724" s="2"/>
      </tp>
    </main>
    <main first="rtdsrv_a82eb5a1fc404542a18b1336b70d2c4e">
      <tp>
        <v>5</v>
        <stp/>
        <stp>2ee0bc93-f4d7-40f6-858a-6222a9d3c3f8</stp>
        <tr r="G3789" s="2"/>
      </tp>
      <tp>
        <v>5</v>
        <stp/>
        <stp>80951ffc-e12e-4650-985c-83246e247649</stp>
        <tr r="G7807" s="2"/>
      </tp>
      <tp>
        <v>5</v>
        <stp/>
        <stp>ebb39d05-f535-48eb-8c4b-c21d3c936141</stp>
        <tr r="G1347" s="2"/>
      </tp>
    </main>
    <main first="rtdsrv_a82eb5a1fc404542a18b1336b70d2c4e">
      <tp>
        <v>5</v>
        <stp/>
        <stp>f1b79d30-b805-4d2d-a8dd-17ea37e40a49</stp>
        <tr r="G1587" s="2"/>
      </tp>
    </main>
    <main first="rtdsrv_a82eb5a1fc404542a18b1336b70d2c4e">
      <tp>
        <v>5</v>
        <stp/>
        <stp>ec63068a-7a4f-456f-98c0-95cf7664823b</stp>
        <tr r="G4286" s="2"/>
      </tp>
    </main>
    <main first="rtdsrv_a82eb5a1fc404542a18b1336b70d2c4e">
      <tp>
        <v>5</v>
        <stp/>
        <stp>5430c68b-368f-4700-bf23-ff2080229348</stp>
        <tr r="G7816" s="2"/>
      </tp>
    </main>
    <main first="rtdsrv_a82eb5a1fc404542a18b1336b70d2c4e">
      <tp>
        <v>5</v>
        <stp/>
        <stp>4a047904-885b-4488-9395-542c7eabdfd8</stp>
        <tr r="G5455" s="2"/>
      </tp>
    </main>
    <main first="rtdsrv_a82eb5a1fc404542a18b1336b70d2c4e">
      <tp>
        <v>5</v>
        <stp/>
        <stp>58cd9459-a059-4ca7-8a99-ea4776f94b70</stp>
        <tr r="G4959" s="2"/>
      </tp>
    </main>
    <main first="rtdsrv_a82eb5a1fc404542a18b1336b70d2c4e">
      <tp>
        <v>5</v>
        <stp/>
        <stp>c320aeb7-b9fc-4f24-b49b-e32ead45b87e</stp>
        <tr r="G421" s="2"/>
      </tp>
      <tp>
        <v>5</v>
        <stp/>
        <stp>7e0e33aa-6450-4561-b373-1995993b70fb</stp>
        <tr r="G7454" s="2"/>
      </tp>
      <tp>
        <v>5</v>
        <stp/>
        <stp>7c0b9f3a-3eaa-4887-8269-fb27b0a05369</stp>
        <tr r="G8987" s="2"/>
      </tp>
      <tp>
        <v>5</v>
        <stp/>
        <stp>d88919f5-1ee7-4df5-88e5-0219225a3601</stp>
        <tr r="G6674" s="2"/>
      </tp>
    </main>
    <main first="rtdsrv_a82eb5a1fc404542a18b1336b70d2c4e">
      <tp>
        <v>5</v>
        <stp/>
        <stp>bcfe9cb5-a530-4945-bd0a-0281cda38d3b</stp>
        <tr r="G9243" s="2"/>
      </tp>
    </main>
    <main first="rtdsrv_a82eb5a1fc404542a18b1336b70d2c4e">
      <tp>
        <v>5</v>
        <stp/>
        <stp>a092ac54-f4f8-4238-82af-0ceea8643a7c</stp>
        <tr r="G4876" s="2"/>
      </tp>
      <tp>
        <v>5</v>
        <stp/>
        <stp>9f85cfe7-b420-4b20-8270-34747d7c1ccd</stp>
        <tr r="G3399" s="2"/>
      </tp>
    </main>
    <main first="rtdsrv_a82eb5a1fc404542a18b1336b70d2c4e">
      <tp>
        <v>5</v>
        <stp/>
        <stp>4febd69a-2dae-4ce5-b021-b5e75c57debe</stp>
        <tr r="G4640" s="2"/>
      </tp>
      <tp>
        <v>5</v>
        <stp/>
        <stp>06e8ae42-d7ae-4366-b337-26aaad2e8698</stp>
        <tr r="G5596" s="2"/>
      </tp>
    </main>
    <main first="rtdsrv_a82eb5a1fc404542a18b1336b70d2c4e">
      <tp>
        <v>5</v>
        <stp/>
        <stp>f7475b5b-56bc-4ae3-ad49-df7b4d07e32a</stp>
        <tr r="G8691" s="2"/>
      </tp>
    </main>
    <main first="rtdsrv_a82eb5a1fc404542a18b1336b70d2c4e">
      <tp>
        <v>5</v>
        <stp/>
        <stp>1d0c3b38-0b6a-42d7-8e0f-dd839f4cee08</stp>
        <tr r="G1572" s="2"/>
      </tp>
    </main>
    <main first="rtdsrv_a82eb5a1fc404542a18b1336b70d2c4e">
      <tp>
        <v>5</v>
        <stp/>
        <stp>79993986-f31b-462b-9f19-2c072721d72b</stp>
        <tr r="G6269" s="2"/>
      </tp>
    </main>
    <main first="rtdsrv_a82eb5a1fc404542a18b1336b70d2c4e">
      <tp>
        <v>5</v>
        <stp/>
        <stp>157f3de2-e143-4ab2-824c-fb056b2b4d90</stp>
        <tr r="G4906" s="2"/>
      </tp>
    </main>
    <main first="rtdsrv_a82eb5a1fc404542a18b1336b70d2c4e">
      <tp>
        <v>5</v>
        <stp/>
        <stp>1a01fb3c-45f1-4424-a8d4-cd6940617e96</stp>
        <tr r="G9217" s="2"/>
      </tp>
      <tp>
        <v>5</v>
        <stp/>
        <stp>73769acf-b2e5-482c-bbc9-fc3bfce6ff2c</stp>
        <tr r="G359" s="2"/>
      </tp>
      <tp>
        <v>5</v>
        <stp/>
        <stp>22ef36c8-a964-4150-a1a0-7e6d1673d155</stp>
        <tr r="G3635" s="2"/>
      </tp>
    </main>
    <main first="rtdsrv_a82eb5a1fc404542a18b1336b70d2c4e">
      <tp>
        <v>5</v>
        <stp/>
        <stp>8d7261cc-cfa9-48d7-bce7-dcf30b9283a0</stp>
        <tr r="G308" s="2"/>
      </tp>
      <tp>
        <v>5</v>
        <stp/>
        <stp>426387ca-76bd-4a84-ad71-bd51feaf0f2d</stp>
        <tr r="G5127" s="2"/>
      </tp>
      <tp>
        <v>5</v>
        <stp/>
        <stp>895630ff-bca7-4712-92c7-f9517a0af46c</stp>
        <tr r="G4971" s="2"/>
      </tp>
    </main>
    <main first="rtdsrv_a82eb5a1fc404542a18b1336b70d2c4e">
      <tp>
        <v>5</v>
        <stp/>
        <stp>95cb1157-46a7-46c3-a047-c85808b12a4b</stp>
        <tr r="G9295" s="2"/>
      </tp>
    </main>
    <main first="rtdsrv_a82eb5a1fc404542a18b1336b70d2c4e">
      <tp>
        <v>5</v>
        <stp/>
        <stp>26550743-c7f3-479b-9e23-bfb59ad5ec78</stp>
        <tr r="G6198" s="2"/>
      </tp>
      <tp>
        <v>5</v>
        <stp/>
        <stp>b659b9d4-855c-4a3d-a963-6a2cd1049ca9</stp>
        <tr r="G1608" s="2"/>
      </tp>
      <tp>
        <v>5</v>
        <stp/>
        <stp>c3b1ebee-05e4-4934-8c3a-f757d7e9507b</stp>
        <tr r="G2527" s="2"/>
      </tp>
    </main>
    <main first="rtdsrv_a82eb5a1fc404542a18b1336b70d2c4e">
      <tp>
        <v>5</v>
        <stp/>
        <stp>41587267-b465-4803-a63b-ccd60dd6a0a8</stp>
        <tr r="G2161" s="2"/>
      </tp>
      <tp>
        <v>5</v>
        <stp/>
        <stp>d475d567-fb49-4303-892a-5764e0cd37c6</stp>
        <tr r="G276" s="2"/>
      </tp>
    </main>
    <main first="rtdsrv_a82eb5a1fc404542a18b1336b70d2c4e">
      <tp>
        <v>5</v>
        <stp/>
        <stp>aca8a26e-4198-4489-9f91-4b75cbf9233a</stp>
        <tr r="G885" s="2"/>
      </tp>
      <tp>
        <v>5</v>
        <stp/>
        <stp>bfa4b029-5dcf-496f-aa00-b0e4c0b35c55</stp>
        <tr r="G7831" s="2"/>
      </tp>
      <tp>
        <v>5</v>
        <stp/>
        <stp>49d1fa65-863f-4a2f-bc7b-1012a3dbcdfa</stp>
        <tr r="G5529" s="2"/>
      </tp>
    </main>
    <main first="rtdsrv_a82eb5a1fc404542a18b1336b70d2c4e">
      <tp>
        <v>5</v>
        <stp/>
        <stp>407d5876-35e8-414c-b41d-6cabfe0dc95d</stp>
        <tr r="G4944" s="2"/>
      </tp>
      <tp>
        <v>5</v>
        <stp/>
        <stp>0c8c47d2-baaa-4942-8b45-370af79adf40</stp>
        <tr r="G3437" s="2"/>
      </tp>
    </main>
    <main first="rtdsrv_a82eb5a1fc404542a18b1336b70d2c4e">
      <tp>
        <v>5</v>
        <stp/>
        <stp>6bd2c6bb-7412-439f-886b-7ce68360556a</stp>
        <tr r="G8663" s="2"/>
      </tp>
      <tp>
        <v>5</v>
        <stp/>
        <stp>3b536536-1e0f-4b75-9a5d-e6349640505e</stp>
        <tr r="G6806" s="2"/>
      </tp>
    </main>
    <main first="rtdsrv_a82eb5a1fc404542a18b1336b70d2c4e">
      <tp>
        <v>5</v>
        <stp/>
        <stp>22e92141-0d0b-40f0-b316-f12d3deb41a8</stp>
        <tr r="G3798" s="2"/>
      </tp>
      <tp>
        <v>5</v>
        <stp/>
        <stp>ca8ee594-bf5f-457c-81f1-b950ad3438e8</stp>
        <tr r="G3820" s="2"/>
      </tp>
      <tp>
        <v>5</v>
        <stp/>
        <stp>1a2e1384-d9ad-4a45-8db7-e5d137fa453e</stp>
        <tr r="G2523" s="2"/>
      </tp>
    </main>
    <main first="rtdsrv_a82eb5a1fc404542a18b1336b70d2c4e">
      <tp>
        <v>5</v>
        <stp/>
        <stp>6a7d96e6-b08c-45d5-8540-273a8cc9b67d</stp>
        <tr r="G124" s="2"/>
      </tp>
    </main>
    <main first="rtdsrv_a82eb5a1fc404542a18b1336b70d2c4e">
      <tp>
        <v>5</v>
        <stp/>
        <stp>c357d399-1d02-4b05-8036-4440ab90b7ee</stp>
        <tr r="G4907" s="2"/>
      </tp>
      <tp>
        <v>5</v>
        <stp/>
        <stp>4424f714-f17c-4390-a45f-5cd15c1cd675</stp>
        <tr r="G972" s="2"/>
      </tp>
      <tp>
        <v>5</v>
        <stp/>
        <stp>31582242-3570-41f1-b0af-d9eda81d970c</stp>
        <tr r="G4856" s="2"/>
      </tp>
    </main>
    <main first="rtdsrv_a82eb5a1fc404542a18b1336b70d2c4e">
      <tp>
        <v>5</v>
        <stp/>
        <stp>cbaf6656-9af0-4fc9-9ee8-54454c80807d</stp>
        <tr r="G5928" s="2"/>
      </tp>
    </main>
    <main first="rtdsrv_a82eb5a1fc404542a18b1336b70d2c4e">
      <tp>
        <v>5</v>
        <stp/>
        <stp>94819260-2312-4aca-8bde-5e9005f1971b</stp>
        <tr r="G412" s="2"/>
      </tp>
    </main>
    <main first="rtdsrv_a82eb5a1fc404542a18b1336b70d2c4e">
      <tp>
        <v>5</v>
        <stp/>
        <stp>6f441384-74eb-465f-9a0a-3e9f25ac2278</stp>
        <tr r="G2213" s="2"/>
      </tp>
      <tp>
        <v>5</v>
        <stp/>
        <stp>1d133c72-b0e0-470f-978e-2df939a250b2</stp>
        <tr r="G3521" s="2"/>
      </tp>
    </main>
    <main first="rtdsrv_a82eb5a1fc404542a18b1336b70d2c4e">
      <tp>
        <v>5</v>
        <stp/>
        <stp>cd168ed9-fa2f-4448-b0c2-1343f8459a01</stp>
        <tr r="G4100" s="2"/>
      </tp>
      <tp>
        <v>5</v>
        <stp/>
        <stp>d0bf3f57-a701-4431-ab57-be1017ea4758</stp>
        <tr r="G6388" s="2"/>
      </tp>
      <tp>
        <v>5</v>
        <stp/>
        <stp>6c57d31e-d550-467a-b741-f2c9274322aa</stp>
        <tr r="G8968" s="2"/>
      </tp>
      <tp>
        <v>5</v>
        <stp/>
        <stp>1f96ed11-b387-4a20-a10b-8f92c2edfb30</stp>
        <tr r="G6129" s="2"/>
      </tp>
      <tp>
        <v>5</v>
        <stp/>
        <stp>ca7373b5-ddcb-4c1f-8819-f71d7b631b92</stp>
        <tr r="G4982" s="2"/>
      </tp>
      <tp>
        <v>5</v>
        <stp/>
        <stp>67603231-5148-4057-b323-93c83f0b76bf</stp>
        <tr r="G7666" s="2"/>
      </tp>
      <tp>
        <v>5</v>
        <stp/>
        <stp>8095bc0b-45b0-4f72-9b1f-94c48b894d6c</stp>
        <tr r="G1881" s="2"/>
      </tp>
      <tp>
        <v>5</v>
        <stp/>
        <stp>1a900b70-b88e-4f68-9181-970dfd574d50</stp>
        <tr r="G9832" s="2"/>
      </tp>
      <tp>
        <v>5</v>
        <stp/>
        <stp>7a56eada-fd5a-4ec7-9c15-5e39e520df62</stp>
        <tr r="G8993" s="2"/>
      </tp>
      <tp>
        <v>5</v>
        <stp/>
        <stp>4beba6a7-85a4-4db8-a73b-167ac6b5d11b</stp>
        <tr r="G2130" s="2"/>
      </tp>
      <tp>
        <v>5</v>
        <stp/>
        <stp>8bf779dc-4a5e-4fba-b1ef-d6360860637c</stp>
        <tr r="G2533" s="2"/>
      </tp>
      <tp>
        <v>5</v>
        <stp/>
        <stp>4bb978ac-4b39-4ff7-8c9f-d3e53a672dc6</stp>
        <tr r="G602" s="2"/>
      </tp>
      <tp>
        <v>5</v>
        <stp/>
        <stp>1bc4e71d-2cef-46af-b941-4ad1c6d8747d</stp>
        <tr r="G395" s="2"/>
      </tp>
    </main>
    <main first="rtdsrv_a82eb5a1fc404542a18b1336b70d2c4e">
      <tp>
        <v>5</v>
        <stp/>
        <stp>dc5506f6-624a-4097-8863-98dba90d3510</stp>
        <tr r="G3006" s="2"/>
      </tp>
      <tp>
        <v>5</v>
        <stp/>
        <stp>7a5f96ea-f20a-4db5-9536-267206753acd</stp>
        <tr r="G8120" s="2"/>
      </tp>
    </main>
    <main first="rtdsrv_a82eb5a1fc404542a18b1336b70d2c4e">
      <tp>
        <v>5</v>
        <stp/>
        <stp>dfaa4442-c4b0-4213-98a8-a4e10c2ffb9f</stp>
        <tr r="G8569" s="2"/>
      </tp>
      <tp>
        <v>5</v>
        <stp/>
        <stp>70225b24-ae69-4361-a2bb-1ee6b7a6ad47</stp>
        <tr r="G321" s="2"/>
      </tp>
      <tp>
        <v>5</v>
        <stp/>
        <stp>9ab6ce69-b81e-4904-a549-b20d0267b0dc</stp>
        <tr r="G4658" s="2"/>
      </tp>
    </main>
    <main first="rtdsrv_a82eb5a1fc404542a18b1336b70d2c4e">
      <tp>
        <v>5</v>
        <stp/>
        <stp>b34e5668-fbd1-4982-9023-84ccab7a9c0e</stp>
        <tr r="G516" s="2"/>
      </tp>
    </main>
    <main first="rtdsrv_a82eb5a1fc404542a18b1336b70d2c4e">
      <tp>
        <v>5</v>
        <stp/>
        <stp>53a86dba-29aa-43d4-a979-711cfb172c4f</stp>
        <tr r="G181" s="2"/>
      </tp>
      <tp>
        <v>5</v>
        <stp/>
        <stp>ee9dbbb5-e927-4faa-bfed-d45ec42c1069</stp>
        <tr r="G1130" s="2"/>
      </tp>
      <tp>
        <v>5</v>
        <stp/>
        <stp>f1f5106a-021d-4e03-844a-ed6024abf0c1</stp>
        <tr r="G2049" s="2"/>
      </tp>
      <tp>
        <v>5</v>
        <stp/>
        <stp>d3839312-0e39-4c59-baee-5f157e974915</stp>
        <tr r="G8988" s="2"/>
      </tp>
      <tp>
        <v>5</v>
        <stp/>
        <stp>83ac942b-7a4f-4921-9f41-ba042356b162</stp>
        <tr r="G6347" s="2"/>
      </tp>
      <tp>
        <v>5</v>
        <stp/>
        <stp>1d06e2b5-3bc6-4354-bd6c-9cee7e23e74a</stp>
        <tr r="G8383" s="2"/>
      </tp>
      <tp>
        <v>5</v>
        <stp/>
        <stp>5fbced79-5c7b-43d6-b602-a549844b1f4a</stp>
        <tr r="G3633" s="2"/>
      </tp>
      <tp>
        <v>5</v>
        <stp/>
        <stp>57290de9-2261-4ae4-a5b8-ff9de6dfd103</stp>
        <tr r="G4201" s="2"/>
      </tp>
    </main>
    <main first="rtdsrv_a82eb5a1fc404542a18b1336b70d2c4e">
      <tp>
        <v>5</v>
        <stp/>
        <stp>80839db9-f59b-4996-a0b9-a0c3afd80fa4</stp>
        <tr r="G6471" s="2"/>
      </tp>
    </main>
    <main first="rtdsrv_a82eb5a1fc404542a18b1336b70d2c4e">
      <tp>
        <v>5</v>
        <stp/>
        <stp>de943a49-1663-48e4-a32e-3c813305f5f1</stp>
        <tr r="G759" s="2"/>
      </tp>
      <tp>
        <v>5</v>
        <stp/>
        <stp>3c08f18b-7c7e-48fa-90e6-0688c1cad06f</stp>
        <tr r="G4717" s="2"/>
      </tp>
      <tp>
        <v>5</v>
        <stp/>
        <stp>5d592eed-4f7d-4a17-8ef2-9a3ecb738106</stp>
        <tr r="G2449" s="2"/>
      </tp>
      <tp>
        <v>5</v>
        <stp/>
        <stp>039b204e-6679-4647-a3fe-6bc8de455596</stp>
        <tr r="G3177" s="2"/>
      </tp>
      <tp>
        <v>5</v>
        <stp/>
        <stp>986848aa-e704-4931-adb7-0428c64edba1</stp>
        <tr r="G7352" s="2"/>
      </tp>
      <tp>
        <v>5</v>
        <stp/>
        <stp>507427f4-c318-468b-93c4-5a468604ddba</stp>
        <tr r="G254" s="2"/>
      </tp>
      <tp>
        <v>5</v>
        <stp/>
        <stp>9aa3c447-d533-4fef-af2e-65d925bfb332</stp>
        <tr r="G6279" s="2"/>
      </tp>
    </main>
    <main first="rtdsrv_a82eb5a1fc404542a18b1336b70d2c4e">
      <tp>
        <v>5</v>
        <stp/>
        <stp>f5c7b363-283d-44f4-9e9a-7f80803af96c</stp>
        <tr r="G2163" s="2"/>
      </tp>
      <tp>
        <v>5</v>
        <stp/>
        <stp>4d97e298-4b76-4bdd-800b-e1ef32696cb6</stp>
        <tr r="G3229" s="2"/>
      </tp>
      <tp>
        <v>5</v>
        <stp/>
        <stp>ad690607-ae6d-4ce0-ba4f-0be5ee273fc0</stp>
        <tr r="G3139" s="2"/>
      </tp>
      <tp>
        <v>5</v>
        <stp/>
        <stp>0a2e6dfd-1008-4c01-84d9-09e3261b5880</stp>
        <tr r="G8734" s="2"/>
      </tp>
      <tp>
        <v>5</v>
        <stp/>
        <stp>ccc53183-0e2a-48da-8491-433faf8fd95a</stp>
        <tr r="G8323" s="2"/>
      </tp>
      <tp>
        <v>5</v>
        <stp/>
        <stp>2a196b2d-130d-4ab1-8de3-fbafb6767dd2</stp>
        <tr r="G9437" s="2"/>
      </tp>
      <tp>
        <v>5</v>
        <stp/>
        <stp>6a0e1196-bcfc-4e8d-bf08-ed31d5640afa</stp>
        <tr r="G6781" s="2"/>
      </tp>
      <tp>
        <v>5</v>
        <stp/>
        <stp>5f94899e-cfcd-4597-84bf-f8fc1bc29e48</stp>
        <tr r="G6266" s="2"/>
      </tp>
    </main>
    <main first="rtdsrv_a82eb5a1fc404542a18b1336b70d2c4e">
      <tp>
        <v>5</v>
        <stp/>
        <stp>87b03fae-f1ca-4033-bed9-5148ef8dca6f</stp>
        <tr r="G532" s="2"/>
      </tp>
    </main>
    <main first="rtdsrv_a82eb5a1fc404542a18b1336b70d2c4e">
      <tp>
        <v>5</v>
        <stp/>
        <stp>862259aa-3f13-4ebd-a47e-62caa825f330</stp>
        <tr r="G9776" s="2"/>
      </tp>
      <tp>
        <v>5</v>
        <stp/>
        <stp>be9d7cd3-c48a-4903-b6ac-839f4e4f9756</stp>
        <tr r="G3199" s="2"/>
      </tp>
      <tp>
        <v>5</v>
        <stp/>
        <stp>5d957399-7fc3-4a82-84ae-1ef234e3e424</stp>
        <tr r="G6918" s="2"/>
      </tp>
      <tp>
        <v>5</v>
        <stp/>
        <stp>1f85e08a-1edc-482f-a944-5abc241a460e</stp>
        <tr r="G6819" s="2"/>
      </tp>
      <tp>
        <v>5</v>
        <stp/>
        <stp>ca91032b-819d-44cf-a578-36df9ca0985a</stp>
        <tr r="G1794" s="2"/>
      </tp>
      <tp>
        <v>5</v>
        <stp/>
        <stp>06c75088-1b4a-4614-a313-0298d248dd58</stp>
        <tr r="G1514" s="2"/>
      </tp>
      <tp>
        <v>5</v>
        <stp/>
        <stp>06a78b2a-1fc6-4159-999c-7f9943eb8f83</stp>
        <tr r="G2183" s="2"/>
      </tp>
      <tp>
        <v>5</v>
        <stp/>
        <stp>80018b59-f03e-4e4c-860a-6eb5602aed6d</stp>
        <tr r="G1658" s="2"/>
      </tp>
      <tp>
        <v>5</v>
        <stp/>
        <stp>58572777-203f-4168-ac70-731e1ae4d6db</stp>
        <tr r="G5319" s="2"/>
      </tp>
    </main>
    <main first="rtdsrv_a82eb5a1fc404542a18b1336b70d2c4e">
      <tp>
        <v>5</v>
        <stp/>
        <stp>52b071e1-c7d2-4526-89e6-876b6be8a0f0</stp>
        <tr r="G2354" s="2"/>
      </tp>
      <tp>
        <v>5</v>
        <stp/>
        <stp>9d227d37-140a-4683-95b3-2eba773d7dd3</stp>
        <tr r="G5250" s="2"/>
      </tp>
    </main>
    <main first="rtdsrv_a82eb5a1fc404542a18b1336b70d2c4e">
      <tp>
        <v>5</v>
        <stp/>
        <stp>c87c1a03-366f-4d7a-a996-f722cc218044</stp>
        <tr r="G2166" s="2"/>
      </tp>
      <tp>
        <v>5</v>
        <stp/>
        <stp>f0bdd67e-e12d-491e-9e3e-f75e6d2fe05e</stp>
        <tr r="G8562" s="2"/>
      </tp>
      <tp>
        <v>5</v>
        <stp/>
        <stp>4be97497-cc2a-4edf-8ce1-6db6f69bd2fb</stp>
        <tr r="G2192" s="2"/>
      </tp>
      <tp>
        <v>5</v>
        <stp/>
        <stp>b56b4dd4-2bad-4293-bf6d-df6d0c4035eb</stp>
        <tr r="G7283" s="2"/>
      </tp>
      <tp>
        <v>5</v>
        <stp/>
        <stp>4f0ec1a3-a0be-4c0b-8367-554485e03447</stp>
        <tr r="G3471" s="2"/>
      </tp>
      <tp>
        <v>5</v>
        <stp/>
        <stp>08ba9bac-a736-49a8-a08f-d5279a0de9cc</stp>
        <tr r="G3320" s="2"/>
      </tp>
    </main>
    <main first="rtdsrv_a82eb5a1fc404542a18b1336b70d2c4e">
      <tp>
        <v>5</v>
        <stp/>
        <stp>50d255cc-5190-4d35-89da-3a295bcb4454</stp>
        <tr r="G3363" s="2"/>
      </tp>
      <tp>
        <v>5</v>
        <stp/>
        <stp>dae873ee-07a7-463b-9e76-2e0230e0c487</stp>
        <tr r="G569" s="2"/>
      </tp>
    </main>
    <main first="rtdsrv_a82eb5a1fc404542a18b1336b70d2c4e">
      <tp>
        <v>5</v>
        <stp/>
        <stp>99290a01-5e2d-4ce9-b4a1-5b36fc9c8b0b</stp>
        <tr r="G7399" s="2"/>
      </tp>
    </main>
    <main first="rtdsrv_a82eb5a1fc404542a18b1336b70d2c4e">
      <tp>
        <v>5</v>
        <stp/>
        <stp>65412e7b-3c5d-41cb-80da-64ce4a781f9c</stp>
        <tr r="G7728" s="2"/>
      </tp>
      <tp>
        <v>5</v>
        <stp/>
        <stp>3ed38580-d080-4771-a222-47698051ef17</stp>
        <tr r="G2321" s="2"/>
      </tp>
    </main>
    <main first="rtdsrv_a82eb5a1fc404542a18b1336b70d2c4e">
      <tp>
        <v>5</v>
        <stp/>
        <stp>e2c54982-9cea-426a-8bb2-da93dc92aef4</stp>
        <tr r="G2473" s="2"/>
      </tp>
    </main>
    <main first="rtdsrv_a82eb5a1fc404542a18b1336b70d2c4e">
      <tp>
        <v>5</v>
        <stp/>
        <stp>9411ff75-1c81-475b-9df1-008fc3d632ef</stp>
        <tr r="G7215" s="2"/>
      </tp>
    </main>
    <main first="rtdsrv_a82eb5a1fc404542a18b1336b70d2c4e">
      <tp>
        <v>5</v>
        <stp/>
        <stp>fd8c14d0-c686-49a9-b67c-6730d9104ef0</stp>
        <tr r="G4162" s="2"/>
      </tp>
      <tp>
        <v>5</v>
        <stp/>
        <stp>d928301a-53dd-436f-a489-9ae814be0ac2</stp>
        <tr r="G4628" s="2"/>
      </tp>
      <tp>
        <v>5</v>
        <stp/>
        <stp>b29d90cc-2adf-4d64-9a50-b1078209bdf2</stp>
        <tr r="G2562" s="2"/>
      </tp>
    </main>
    <main first="rtdsrv_a82eb5a1fc404542a18b1336b70d2c4e">
      <tp>
        <v>5</v>
        <stp/>
        <stp>1e43f0df-6381-41a1-a2db-238f3a7b62c7</stp>
        <tr r="G1065" s="2"/>
      </tp>
    </main>
    <main first="rtdsrv_a82eb5a1fc404542a18b1336b70d2c4e">
      <tp>
        <v>5</v>
        <stp/>
        <stp>ad8cc2b6-b683-45ab-985e-89dda44c6842</stp>
        <tr r="G496" s="2"/>
      </tp>
      <tp>
        <v>5</v>
        <stp/>
        <stp>9b9b2754-8ca7-45aa-8655-c54978324b0d</stp>
        <tr r="G4538" s="2"/>
      </tp>
    </main>
    <main first="rtdsrv_a82eb5a1fc404542a18b1336b70d2c4e">
      <tp>
        <v>5</v>
        <stp/>
        <stp>0d1904e5-4339-4412-b7b9-8b5c6f4a5f26</stp>
        <tr r="G4783" s="2"/>
      </tp>
    </main>
    <main first="rtdsrv_a82eb5a1fc404542a18b1336b70d2c4e">
      <tp>
        <v>5</v>
        <stp/>
        <stp>6a8caa47-b749-4556-9771-b5878af6ba94</stp>
        <tr r="G535" s="2"/>
      </tp>
      <tp>
        <v>5</v>
        <stp/>
        <stp>1f17aa36-3927-4f58-bcbc-85c54849a5ba</stp>
        <tr r="G2167" s="2"/>
      </tp>
    </main>
    <main first="rtdsrv_a82eb5a1fc404542a18b1336b70d2c4e">
      <tp>
        <v>5</v>
        <stp/>
        <stp>2f76ca61-4970-4d41-838e-a8fdf778bcb4</stp>
        <tr r="G8493" s="2"/>
      </tp>
      <tp>
        <v>5</v>
        <stp/>
        <stp>7fb7ddf3-4d40-480c-80f4-720fba86c62f</stp>
        <tr r="G5655" s="2"/>
      </tp>
    </main>
    <main first="rtdsrv_a82eb5a1fc404542a18b1336b70d2c4e">
      <tp>
        <v>5</v>
        <stp/>
        <stp>cbbaa397-cce5-4662-bc95-09379eda0340</stp>
        <tr r="G9556" s="2"/>
      </tp>
      <tp>
        <v>5</v>
        <stp/>
        <stp>0dea43a2-b702-4277-a32e-6f6bc572a59b</stp>
        <tr r="G1498" s="2"/>
      </tp>
      <tp>
        <v>5</v>
        <stp/>
        <stp>c6e21587-e57a-4034-95ab-e4959de8d584</stp>
        <tr r="G8513" s="2"/>
      </tp>
    </main>
    <main first="rtdsrv_a82eb5a1fc404542a18b1336b70d2c4e">
      <tp>
        <v>5</v>
        <stp/>
        <stp>f495ebaf-6a25-42c4-806a-10e387b5b31a</stp>
        <tr r="G5117" s="2"/>
      </tp>
    </main>
    <main first="rtdsrv_a82eb5a1fc404542a18b1336b70d2c4e">
      <tp>
        <v>5</v>
        <stp/>
        <stp>a2ac84d5-dc44-4822-9091-4150d949e78e</stp>
        <tr r="G1066" s="2"/>
      </tp>
      <tp>
        <v>5</v>
        <stp/>
        <stp>7a8aef30-c8a4-455e-9e12-95c67d972756</stp>
        <tr r="G8053" s="2"/>
      </tp>
      <tp>
        <v>5</v>
        <stp/>
        <stp>83d4f351-d643-4554-adba-97f87e90a679</stp>
        <tr r="G6147" s="2"/>
      </tp>
    </main>
    <main first="rtdsrv_a82eb5a1fc404542a18b1336b70d2c4e">
      <tp>
        <v>5</v>
        <stp/>
        <stp>4009b38a-05ad-4a8d-badc-41df1610dbe2</stp>
        <tr r="G7817" s="2"/>
      </tp>
    </main>
    <main first="rtdsrv_a82eb5a1fc404542a18b1336b70d2c4e">
      <tp>
        <v>5</v>
        <stp/>
        <stp>a22cf406-b9f9-4ae8-9a3c-490bff076f78</stp>
        <tr r="G5371" s="2"/>
      </tp>
    </main>
    <main first="rtdsrv_a82eb5a1fc404542a18b1336b70d2c4e">
      <tp>
        <v>5</v>
        <stp/>
        <stp>88f67b90-c3fb-4b26-b0d2-6c06df34082d</stp>
        <tr r="G8082" s="2"/>
      </tp>
    </main>
    <main first="rtdsrv_a82eb5a1fc404542a18b1336b70d2c4e">
      <tp>
        <v>5</v>
        <stp/>
        <stp>590fee9f-6d21-4908-8145-fbfa81e61c4e</stp>
        <tr r="G7549" s="2"/>
      </tp>
      <tp>
        <v>5</v>
        <stp/>
        <stp>6344bc85-e5b2-40e0-bbdd-5c17cef5b1e1</stp>
        <tr r="G5065" s="2"/>
      </tp>
    </main>
    <main first="rtdsrv_a82eb5a1fc404542a18b1336b70d2c4e">
      <tp>
        <v>5</v>
        <stp/>
        <stp>523b33f7-72a2-44a9-ab8c-2eb8c59ac106</stp>
        <tr r="G495" s="2"/>
      </tp>
      <tp>
        <v>5</v>
        <stp/>
        <stp>dd3e51b2-daca-43aa-8eff-bb9485519752</stp>
        <tr r="G6872" s="2"/>
      </tp>
      <tp>
        <v>5</v>
        <stp/>
        <stp>90cc1b3f-3c74-40f0-9107-bc7d8be3969d</stp>
        <tr r="G8913" s="2"/>
      </tp>
    </main>
    <main first="rtdsrv_a82eb5a1fc404542a18b1336b70d2c4e">
      <tp>
        <v>5</v>
        <stp/>
        <stp>d2ad9d86-de8c-4f74-b70a-3bc843d9e15d</stp>
        <tr r="G5642" s="2"/>
      </tp>
    </main>
    <main first="rtdsrv_a82eb5a1fc404542a18b1336b70d2c4e">
      <tp>
        <v>5</v>
        <stp/>
        <stp>5272308f-3036-4d31-b354-775a5e3cb1b8</stp>
        <tr r="G2803" s="2"/>
      </tp>
    </main>
    <main first="rtdsrv_a82eb5a1fc404542a18b1336b70d2c4e">
      <tp>
        <v>5</v>
        <stp/>
        <stp>3f5cf675-dfe3-48eb-9503-2736de824b40</stp>
        <tr r="G6286" s="2"/>
      </tp>
    </main>
    <main first="rtdsrv_a82eb5a1fc404542a18b1336b70d2c4e">
      <tp>
        <v>5</v>
        <stp/>
        <stp>b7b047a0-3c90-4a91-85b9-7d309cfe61d5</stp>
        <tr r="G909" s="2"/>
      </tp>
    </main>
    <main first="rtdsrv_a82eb5a1fc404542a18b1336b70d2c4e">
      <tp>
        <v>5</v>
        <stp/>
        <stp>ccec3684-448f-4f50-a300-2fbcc3238ba7</stp>
        <tr r="G4456" s="2"/>
      </tp>
    </main>
    <main first="rtdsrv_a82eb5a1fc404542a18b1336b70d2c4e">
      <tp>
        <v>5</v>
        <stp/>
        <stp>c4ba6091-b216-4bc6-ac70-a90d79c001b9</stp>
        <tr r="G3918" s="2"/>
      </tp>
      <tp>
        <v>5</v>
        <stp/>
        <stp>d75e238d-cb95-44e5-ad5a-a37ff3b3a130</stp>
        <tr r="G8627" s="2"/>
      </tp>
    </main>
    <main first="rtdsrv_a82eb5a1fc404542a18b1336b70d2c4e">
      <tp>
        <v>5</v>
        <stp/>
        <stp>e1fe500d-d9ed-4765-ad3c-e8d1652d3823</stp>
        <tr r="G4570" s="2"/>
      </tp>
    </main>
    <main first="rtdsrv_a82eb5a1fc404542a18b1336b70d2c4e">
      <tp>
        <v>5</v>
        <stp/>
        <stp>9be0d643-d9e4-4fac-b69a-eca51fe929e9</stp>
        <tr r="G4508" s="2"/>
      </tp>
    </main>
    <main first="rtdsrv_a82eb5a1fc404542a18b1336b70d2c4e">
      <tp>
        <v>5</v>
        <stp/>
        <stp>54ab4d05-35cc-4d57-a231-32d1e68d75a9</stp>
        <tr r="G9603" s="2"/>
      </tp>
      <tp>
        <v>5</v>
        <stp/>
        <stp>342d4244-94fb-485b-af58-3cac9d53396b</stp>
        <tr r="G296" s="2"/>
      </tp>
      <tp>
        <v>5</v>
        <stp/>
        <stp>d81e9697-90df-4107-9eac-5bdcb4ab3a6e</stp>
        <tr r="G9956" s="2"/>
      </tp>
    </main>
    <main first="rtdsrv_a82eb5a1fc404542a18b1336b70d2c4e">
      <tp>
        <v>5</v>
        <stp/>
        <stp>d6d09de8-1adc-4eb8-a7b6-5bcd29df9491</stp>
        <tr r="G4921" s="2"/>
      </tp>
    </main>
    <main first="rtdsrv_a82eb5a1fc404542a18b1336b70d2c4e">
      <tp>
        <v>5</v>
        <stp/>
        <stp>9f289630-f0cf-40d8-97d7-c6d7289ad220</stp>
        <tr r="G2850" s="2"/>
      </tp>
    </main>
    <main first="rtdsrv_a82eb5a1fc404542a18b1336b70d2c4e">
      <tp>
        <v>5</v>
        <stp/>
        <stp>e7898e08-0d27-4855-84ae-1be572cb40fd</stp>
        <tr r="G2202" s="2"/>
      </tp>
    </main>
    <main first="rtdsrv_a82eb5a1fc404542a18b1336b70d2c4e">
      <tp>
        <v>5</v>
        <stp/>
        <stp>6661d486-f124-4c6c-8879-3b8943a16763</stp>
        <tr r="G3881" s="2"/>
      </tp>
    </main>
    <main first="rtdsrv_a82eb5a1fc404542a18b1336b70d2c4e">
      <tp>
        <v>5</v>
        <stp/>
        <stp>199eae7a-8283-44ca-9185-6b31b8d6b17e</stp>
        <tr r="G4291" s="2"/>
      </tp>
    </main>
    <main first="rtdsrv_a82eb5a1fc404542a18b1336b70d2c4e">
      <tp>
        <v>5</v>
        <stp/>
        <stp>1a719228-4955-4620-b1e7-bdf17cd80cce</stp>
        <tr r="G8831" s="2"/>
      </tp>
    </main>
    <main first="rtdsrv_a82eb5a1fc404542a18b1336b70d2c4e">
      <tp>
        <v>5</v>
        <stp/>
        <stp>a740436e-1ed3-4bd4-a4c4-f145ea84dd55</stp>
        <tr r="G2004" s="2"/>
      </tp>
    </main>
    <main first="rtdsrv_a82eb5a1fc404542a18b1336b70d2c4e">
      <tp>
        <v>5</v>
        <stp/>
        <stp>7b554330-c469-4fae-a5e8-911836438ce2</stp>
        <tr r="G8851" s="2"/>
      </tp>
    </main>
    <main first="rtdsrv_a82eb5a1fc404542a18b1336b70d2c4e">
      <tp>
        <v>5</v>
        <stp/>
        <stp>cc56b459-2a11-4900-be1f-75821bc93e6a</stp>
        <tr r="G2958" s="2"/>
      </tp>
      <tp>
        <v>5</v>
        <stp/>
        <stp>522a7fa3-5be9-46e2-96c8-242a26fb4d71</stp>
        <tr r="G6298" s="2"/>
      </tp>
      <tp>
        <v>5</v>
        <stp/>
        <stp>ff4eb559-9da0-47ab-8692-fe03cf8ccd56</stp>
        <tr r="G9695" s="2"/>
      </tp>
      <tp>
        <v>5</v>
        <stp/>
        <stp>badb95af-c8b9-49b6-876c-6b422b7f2a7f</stp>
        <tr r="G7893" s="2"/>
      </tp>
    </main>
    <main first="rtdsrv_a82eb5a1fc404542a18b1336b70d2c4e">
      <tp>
        <v>5</v>
        <stp/>
        <stp>58dc92c2-1cb7-4937-9e5f-57fef98fea6a</stp>
        <tr r="G6364" s="2"/>
      </tp>
    </main>
    <main first="rtdsrv_a82eb5a1fc404542a18b1336b70d2c4e">
      <tp>
        <v>5</v>
        <stp/>
        <stp>07de30fb-0e98-4b1f-9e48-6b2c5c0b1277</stp>
        <tr r="G5410" s="2"/>
      </tp>
      <tp>
        <v>5</v>
        <stp/>
        <stp>528370d1-3a69-4eb5-80db-2b2eb7a73cff</stp>
        <tr r="G4086" s="2"/>
      </tp>
    </main>
    <main first="rtdsrv_a82eb5a1fc404542a18b1336b70d2c4e">
      <tp>
        <v>5</v>
        <stp/>
        <stp>9268c225-29e7-41ca-a871-d45c3df7fb52</stp>
        <tr r="G5042" s="2"/>
      </tp>
    </main>
    <main first="rtdsrv_a82eb5a1fc404542a18b1336b70d2c4e">
      <tp>
        <v>5</v>
        <stp/>
        <stp>6cd9a1f5-39a9-41f5-a4ef-0fc6d9e03804</stp>
        <tr r="G192" s="2"/>
      </tp>
    </main>
    <main first="rtdsrv_a82eb5a1fc404542a18b1336b70d2c4e">
      <tp>
        <v>5</v>
        <stp/>
        <stp>39dba319-68d3-44a1-b673-cd4ed148d95d</stp>
        <tr r="G6346" s="2"/>
      </tp>
      <tp>
        <v>5</v>
        <stp/>
        <stp>ac39caee-eb30-4fb3-8c1f-f636552cc089</stp>
        <tr r="G927" s="2"/>
      </tp>
    </main>
    <main first="rtdsrv_a82eb5a1fc404542a18b1336b70d2c4e">
      <tp>
        <v>5</v>
        <stp/>
        <stp>1a03ea13-563e-4fd2-9e4e-1fe8d1e9e295</stp>
        <tr r="G6145" s="2"/>
      </tp>
      <tp>
        <v>5</v>
        <stp/>
        <stp>91c883f0-52c9-4b0d-9c7c-85f67d5a6ccb</stp>
        <tr r="G4064" s="2"/>
      </tp>
      <tp>
        <v>5</v>
        <stp/>
        <stp>9a6c65f7-75fe-4b60-ba8e-1676d9c2e201</stp>
        <tr r="G9918" s="2"/>
      </tp>
      <tp>
        <v>5</v>
        <stp/>
        <stp>440b0ad3-ee31-4c7a-94c4-d678c33f7aee</stp>
        <tr r="G7428" s="2"/>
      </tp>
    </main>
    <main first="rtdsrv_a82eb5a1fc404542a18b1336b70d2c4e">
      <tp>
        <v>5</v>
        <stp/>
        <stp>36399bc2-6556-4e22-ab3a-b3d19144d702</stp>
        <tr r="G8266" s="2"/>
      </tp>
      <tp>
        <v>5</v>
        <stp/>
        <stp>8fe4a856-9b63-4ab3-95c8-9e7ea78b83ad</stp>
        <tr r="G121" s="2"/>
      </tp>
    </main>
    <main first="rtdsrv_a82eb5a1fc404542a18b1336b70d2c4e">
      <tp>
        <v>5</v>
        <stp/>
        <stp>8d06e8f5-332f-4844-814d-9804593c38f3</stp>
        <tr r="G1149" s="2"/>
      </tp>
      <tp>
        <v>5</v>
        <stp/>
        <stp>69d3adc0-c64a-4509-bbcb-bfbe6d3500ff</stp>
        <tr r="G5467" s="2"/>
      </tp>
    </main>
    <main first="rtdsrv_a82eb5a1fc404542a18b1336b70d2c4e">
      <tp>
        <v>5</v>
        <stp/>
        <stp>14d528b3-8c3a-48a6-b6c0-9dbad26d6ae6</stp>
        <tr r="G9872" s="2"/>
      </tp>
      <tp>
        <v>5</v>
        <stp/>
        <stp>aa7b8a44-8741-48b2-b350-ec3f52f10857</stp>
        <tr r="G7119" s="2"/>
      </tp>
      <tp>
        <v>5</v>
        <stp/>
        <stp>372aa7ea-b5ca-4ff6-9fca-9fb2ccdeada3</stp>
        <tr r="G3118" s="2"/>
      </tp>
      <tp>
        <v>5</v>
        <stp/>
        <stp>b0b7da60-d01e-4d78-8c85-c7569cfc57ff</stp>
        <tr r="G3043" s="2"/>
      </tp>
    </main>
    <main first="rtdsrv_a82eb5a1fc404542a18b1336b70d2c4e">
      <tp>
        <v>5</v>
        <stp/>
        <stp>282a57af-a9d7-492e-8995-5b8d14f262d3</stp>
        <tr r="G440" s="2"/>
      </tp>
      <tp>
        <v>5</v>
        <stp/>
        <stp>49edda2a-24d0-4dc3-adf6-891011d16aee</stp>
        <tr r="G9072" s="2"/>
      </tp>
      <tp>
        <v>5</v>
        <stp/>
        <stp>6ae5f279-ec9e-4b80-9963-c2ca87099c47</stp>
        <tr r="G7351" s="2"/>
      </tp>
    </main>
    <main first="rtdsrv_a82eb5a1fc404542a18b1336b70d2c4e">
      <tp>
        <v>5</v>
        <stp/>
        <stp>843b7bcc-f194-4a67-8df4-39df89cbb77d</stp>
        <tr r="G8251" s="2"/>
      </tp>
    </main>
    <main first="rtdsrv_a82eb5a1fc404542a18b1336b70d2c4e">
      <tp>
        <v>5</v>
        <stp/>
        <stp>d136e4f5-4863-4135-a261-ccd8ac8fade6</stp>
        <tr r="G9182" s="2"/>
      </tp>
      <tp>
        <v>5</v>
        <stp/>
        <stp>c750b0fd-2e38-4ab7-81c5-5cdb86253b0b</stp>
        <tr r="G9618" s="2"/>
      </tp>
      <tp>
        <v>5</v>
        <stp/>
        <stp>5edc75ca-2f6a-445b-ad44-9b3ce505e53c</stp>
        <tr r="G6865" s="2"/>
      </tp>
      <tp>
        <v>5</v>
        <stp/>
        <stp>21f6d75f-d20d-4ca4-a6d6-a3d5f3240dd4</stp>
        <tr r="G1757" s="2"/>
      </tp>
      <tp>
        <v>5</v>
        <stp/>
        <stp>3181ad16-e311-44af-bf5e-c78b4f20dd0b</stp>
        <tr r="G7465" s="2"/>
      </tp>
      <tp>
        <v>5</v>
        <stp/>
        <stp>ba157e07-dd4a-4286-b675-edfb217f8bd3</stp>
        <tr r="G7108" s="2"/>
      </tp>
      <tp>
        <v>5</v>
        <stp/>
        <stp>e7d506af-2e97-462e-af4a-5465fdc8ed1b</stp>
        <tr r="G5583" s="2"/>
      </tp>
      <tp>
        <v>5</v>
        <stp/>
        <stp>f4841481-6767-4881-9f7e-fc734571107c</stp>
        <tr r="G1103" s="2"/>
      </tp>
      <tp>
        <v>5</v>
        <stp/>
        <stp>de800055-85da-43bf-a0a8-d346860f39a0</stp>
        <tr r="G4537" s="2"/>
      </tp>
    </main>
    <main first="rtdsrv_a82eb5a1fc404542a18b1336b70d2c4e">
      <tp>
        <v>5</v>
        <stp/>
        <stp>81648f4a-f4be-48ef-b36e-85e075b5a715</stp>
        <tr r="G6468" s="2"/>
      </tp>
    </main>
    <main first="rtdsrv_a82eb5a1fc404542a18b1336b70d2c4e">
      <tp>
        <v>5</v>
        <stp/>
        <stp>adf94684-55b9-41cb-8fa3-5e2c83889d7c</stp>
        <tr r="G6716" s="2"/>
      </tp>
      <tp>
        <v>5</v>
        <stp/>
        <stp>abdbda90-6203-4a87-b193-69402c582781</stp>
        <tr r="G6541" s="2"/>
      </tp>
      <tp>
        <v>5</v>
        <stp/>
        <stp>e4196bc8-1456-4748-bc9f-06a8066fa02d</stp>
        <tr r="G9712" s="2"/>
      </tp>
    </main>
    <main first="rtdsrv_a82eb5a1fc404542a18b1336b70d2c4e">
      <tp>
        <v>5</v>
        <stp/>
        <stp>5dc74835-5ae6-4e1f-b695-7df145fdb1b1</stp>
        <tr r="G7053" s="2"/>
      </tp>
      <tp>
        <v>5</v>
        <stp/>
        <stp>a2514da6-e7d9-4354-81ec-bbe8a7177a2a</stp>
        <tr r="G5242" s="2"/>
      </tp>
      <tp>
        <v>5</v>
        <stp/>
        <stp>baa94dc0-428f-452e-b8fb-36004ea217eb</stp>
        <tr r="G4936" s="2"/>
      </tp>
    </main>
    <main first="rtdsrv_a82eb5a1fc404542a18b1336b70d2c4e">
      <tp>
        <v>5</v>
        <stp/>
        <stp>b8195dc8-86f6-4538-af35-abb4a9ce4b6a</stp>
        <tr r="G5408" s="2"/>
      </tp>
    </main>
    <main first="rtdsrv_a82eb5a1fc404542a18b1336b70d2c4e">
      <tp>
        <v>5</v>
        <stp/>
        <stp>3b23a54e-a5ad-4096-bca3-f32816d2b20a</stp>
        <tr r="G1963" s="2"/>
      </tp>
    </main>
    <main first="rtdsrv_a82eb5a1fc404542a18b1336b70d2c4e">
      <tp>
        <v>5</v>
        <stp/>
        <stp>2cae2fe8-a04f-46dc-80fc-1b2134680a5e</stp>
        <tr r="G5070" s="2"/>
      </tp>
      <tp>
        <v>5</v>
        <stp/>
        <stp>bb4acdad-78f7-44db-a93a-623a06abf28e</stp>
        <tr r="G8101" s="2"/>
      </tp>
    </main>
    <main first="rtdsrv_a82eb5a1fc404542a18b1336b70d2c4e">
      <tp>
        <v>5</v>
        <stp/>
        <stp>e42d6afc-dd85-4e07-b3d7-6b750e76c3af</stp>
        <tr r="G5979" s="2"/>
      </tp>
      <tp>
        <v>5</v>
        <stp/>
        <stp>1b85b586-e1b7-4d6d-81cd-514fe1677c11</stp>
        <tr r="G7187" s="2"/>
      </tp>
      <tp>
        <v>5</v>
        <stp/>
        <stp>c3997049-13dd-40ac-985e-a0b21296b0f6</stp>
        <tr r="G7091" s="2"/>
      </tp>
    </main>
    <main first="rtdsrv_a82eb5a1fc404542a18b1336b70d2c4e">
      <tp>
        <v>5</v>
        <stp/>
        <stp>4abff56c-7275-4e8f-9f32-85277ed810ee</stp>
        <tr r="G3967" s="2"/>
      </tp>
      <tp>
        <v>5</v>
        <stp/>
        <stp>dfd2369b-b6d8-472f-ab79-c6dfde4f5fef</stp>
        <tr r="G8775" s="2"/>
      </tp>
    </main>
    <main first="rtdsrv_a82eb5a1fc404542a18b1336b70d2c4e">
      <tp>
        <v>5</v>
        <stp/>
        <stp>2f11f5fc-9f8f-4f78-9c1c-28e4c53288c1</stp>
        <tr r="G5649" s="2"/>
      </tp>
    </main>
    <main first="rtdsrv_a82eb5a1fc404542a18b1336b70d2c4e">
      <tp>
        <v>5</v>
        <stp/>
        <stp>02aba4ad-c2b9-4eeb-89b2-ad628f0681a5</stp>
        <tr r="G5477" s="2"/>
      </tp>
    </main>
    <main first="rtdsrv_a82eb5a1fc404542a18b1336b70d2c4e">
      <tp>
        <v>5</v>
        <stp/>
        <stp>966d7f63-a4f2-4e1a-923b-ce18bc305333</stp>
        <tr r="G7197" s="2"/>
      </tp>
      <tp>
        <v>5</v>
        <stp/>
        <stp>f166c1e8-4153-4379-8685-8fb135fa6046</stp>
        <tr r="G1146" s="2"/>
      </tp>
    </main>
    <main first="rtdsrv_a82eb5a1fc404542a18b1336b70d2c4e">
      <tp>
        <v>5</v>
        <stp/>
        <stp>59549a8c-d938-4835-ba37-9addf5b038b9</stp>
        <tr r="G6584" s="2"/>
      </tp>
      <tp>
        <v>5</v>
        <stp/>
        <stp>5d485bda-363a-4c63-a93d-e1d440d32be2</stp>
        <tr r="G8631" s="2"/>
      </tp>
    </main>
    <main first="rtdsrv_a82eb5a1fc404542a18b1336b70d2c4e">
      <tp>
        <v>5</v>
        <stp/>
        <stp>9186d499-d290-4ef0-9c0b-c56de031823e</stp>
        <tr r="G7676" s="2"/>
      </tp>
    </main>
    <main first="rtdsrv_a82eb5a1fc404542a18b1336b70d2c4e">
      <tp>
        <v>5</v>
        <stp/>
        <stp>f2cd3dea-6d4a-4004-9fa6-e55c87ed5ad8</stp>
        <tr r="G9483" s="2"/>
      </tp>
    </main>
    <main first="rtdsrv_a82eb5a1fc404542a18b1336b70d2c4e">
      <tp>
        <v>5</v>
        <stp/>
        <stp>512d7ae0-3339-4f82-b670-4e3a93128f60</stp>
        <tr r="G9333" s="2"/>
      </tp>
      <tp>
        <v>5</v>
        <stp/>
        <stp>fc5f5fcd-e445-43ad-bf75-d0af943c6aeb</stp>
        <tr r="G9137" s="2"/>
      </tp>
      <tp>
        <v>5</v>
        <stp/>
        <stp>ad47d5fe-41a1-45fc-841a-7e23364402d8</stp>
        <tr r="G9289" s="2"/>
      </tp>
      <tp>
        <v>5</v>
        <stp/>
        <stp>e4e7ce03-3d96-4164-98cb-03018df4f4e1</stp>
        <tr r="G6418" s="2"/>
      </tp>
      <tp>
        <v>5</v>
        <stp/>
        <stp>a45ec342-c026-4a86-b05b-8cce57a1de10</stp>
        <tr r="G1496" s="2"/>
      </tp>
      <tp>
        <v>5</v>
        <stp/>
        <stp>9a3a6e21-7b7e-43af-9be0-8e38a6c125cf</stp>
        <tr r="G6610" s="2"/>
      </tp>
      <tp>
        <v>5</v>
        <stp/>
        <stp>ba668619-cce1-459c-9aa5-6136443cce10</stp>
        <tr r="G641" s="2"/>
      </tp>
    </main>
    <main first="rtdsrv_a82eb5a1fc404542a18b1336b70d2c4e">
      <tp>
        <v>5</v>
        <stp/>
        <stp>806277d2-773e-41ee-ae04-85f4bea16c6e</stp>
        <tr r="G3947" s="2"/>
      </tp>
    </main>
    <main first="rtdsrv_a82eb5a1fc404542a18b1336b70d2c4e">
      <tp>
        <v>5</v>
        <stp/>
        <stp>bbc2b0a8-582c-4e2e-b27f-be846ea12ce4</stp>
        <tr r="G6880" s="2"/>
      </tp>
      <tp>
        <v>5</v>
        <stp/>
        <stp>bb274d40-5aba-436c-8a12-77626f404f7c</stp>
        <tr r="G6117" s="2"/>
      </tp>
      <tp>
        <v>5</v>
        <stp/>
        <stp>8770d5e5-c432-42db-8227-3af72bfe1d1f</stp>
        <tr r="G1716" s="2"/>
      </tp>
    </main>
    <main first="rtdsrv_a82eb5a1fc404542a18b1336b70d2c4e">
      <tp>
        <v>5</v>
        <stp/>
        <stp>7f991c6b-10a8-48cf-ae3a-4fd9ce8134ba</stp>
        <tr r="G9067" s="2"/>
      </tp>
      <tp>
        <v>5</v>
        <stp/>
        <stp>75f1fbb7-9cc6-429d-8b25-0363ee34487c</stp>
        <tr r="G6183" s="2"/>
      </tp>
      <tp>
        <v>5</v>
        <stp/>
        <stp>25577147-5fa5-49d2-9653-bf010d17db52</stp>
        <tr r="G8878" s="2"/>
      </tp>
    </main>
    <main first="rtdsrv_a82eb5a1fc404542a18b1336b70d2c4e">
      <tp>
        <v>5</v>
        <stp/>
        <stp>8f6c9819-02ef-471e-aadb-57d599a92724</stp>
        <tr r="G5943" s="2"/>
      </tp>
    </main>
    <main first="rtdsrv_a82eb5a1fc404542a18b1336b70d2c4e">
      <tp>
        <v>5</v>
        <stp/>
        <stp>7d3f4657-beae-4362-96c5-17b8795319ab</stp>
        <tr r="G2348" s="2"/>
      </tp>
    </main>
    <main first="rtdsrv_a82eb5a1fc404542a18b1336b70d2c4e">
      <tp>
        <v>5</v>
        <stp/>
        <stp>02eb3e77-e4b7-4b07-9860-bda5a3eb622e</stp>
        <tr r="G3251" s="2"/>
      </tp>
      <tp>
        <v>5</v>
        <stp/>
        <stp>138160bc-580b-4732-a3a5-4785306a3498</stp>
        <tr r="G4408" s="2"/>
      </tp>
    </main>
    <main first="rtdsrv_a82eb5a1fc404542a18b1336b70d2c4e">
      <tp>
        <v>5</v>
        <stp/>
        <stp>58af25f6-2ce1-472d-a7aa-073dc85d0cc8</stp>
        <tr r="G1198" s="2"/>
      </tp>
    </main>
    <main first="rtdsrv_a82eb5a1fc404542a18b1336b70d2c4e">
      <tp>
        <v>5</v>
        <stp/>
        <stp>b83efa59-b303-4ad7-ba6b-c12958bd3ef2</stp>
        <tr r="G2742" s="2"/>
      </tp>
      <tp>
        <v>5</v>
        <stp/>
        <stp>10c4c4cb-26da-425e-8d2f-7cb897e4ac66</stp>
        <tr r="G2511" s="2"/>
      </tp>
    </main>
    <main first="rtdsrv_a82eb5a1fc404542a18b1336b70d2c4e">
      <tp>
        <v>5</v>
        <stp/>
        <stp>3c21736e-381b-479e-a28a-b928bb6f938a</stp>
        <tr r="G5109" s="2"/>
      </tp>
      <tp>
        <v>5</v>
        <stp/>
        <stp>f8445ed9-75ac-4752-b486-645ddc0c8a72</stp>
        <tr r="G6290" s="2"/>
      </tp>
      <tp>
        <v>5</v>
        <stp/>
        <stp>1798d46e-a5c3-4837-9948-6d136168dbd8</stp>
        <tr r="G8482" s="2"/>
      </tp>
      <tp>
        <v>5</v>
        <stp/>
        <stp>82c76ae2-eb22-4190-a81b-01c9144f6d05</stp>
        <tr r="G6858" s="2"/>
      </tp>
    </main>
    <main first="rtdsrv_a82eb5a1fc404542a18b1336b70d2c4e">
      <tp>
        <v>5</v>
        <stp/>
        <stp>33694a65-10e0-4766-9b73-278350c9439e</stp>
        <tr r="G6031" s="2"/>
      </tp>
      <tp>
        <v>5</v>
        <stp/>
        <stp>84c11c26-d428-41e5-b112-91f9cdeda452</stp>
        <tr r="G5998" s="2"/>
      </tp>
    </main>
    <main first="rtdsrv_a82eb5a1fc404542a18b1336b70d2c4e">
      <tp>
        <v>5</v>
        <stp/>
        <stp>023aae4c-3ce8-43b0-9cd0-15e7cf3675c8</stp>
        <tr r="G7357" s="2"/>
      </tp>
    </main>
    <main first="rtdsrv_a82eb5a1fc404542a18b1336b70d2c4e">
      <tp>
        <v>5</v>
        <stp/>
        <stp>8e80f944-117e-4a59-a9ad-2a8fd731a532</stp>
        <tr r="G6024" s="2"/>
      </tp>
    </main>
    <main first="rtdsrv_a82eb5a1fc404542a18b1336b70d2c4e">
      <tp>
        <v>5</v>
        <stp/>
        <stp>cab5c0f9-c6f2-42ce-8faa-fa91c291b321</stp>
        <tr r="G8009" s="2"/>
      </tp>
      <tp>
        <v>5</v>
        <stp/>
        <stp>28053b27-58d0-4f21-9723-097c74f6d792</stp>
        <tr r="G151" s="2"/>
      </tp>
      <tp>
        <v>5</v>
        <stp/>
        <stp>2b8bbd8d-370c-4fc1-bca5-feb93d20023d</stp>
        <tr r="G3473" s="2"/>
      </tp>
      <tp>
        <v>5</v>
        <stp/>
        <stp>f89432a8-59e3-49a8-a2cd-4ea815043b69</stp>
        <tr r="G800" s="2"/>
      </tp>
      <tp>
        <v>5</v>
        <stp/>
        <stp>09afd042-9352-42c1-b4ec-4318780419f8</stp>
        <tr r="G3045" s="2"/>
      </tp>
    </main>
    <main first="rtdsrv_a82eb5a1fc404542a18b1336b70d2c4e">
      <tp>
        <v>5</v>
        <stp/>
        <stp>64e18586-3f61-47c9-8dc7-e83b34d9229f</stp>
        <tr r="G5387" s="2"/>
      </tp>
    </main>
    <main first="rtdsrv_a82eb5a1fc404542a18b1336b70d2c4e">
      <tp>
        <v>5</v>
        <stp/>
        <stp>ebd9743a-fd65-42b4-becd-23d1c4e7f646</stp>
        <tr r="G6186" s="2"/>
      </tp>
    </main>
    <main first="rtdsrv_a82eb5a1fc404542a18b1336b70d2c4e">
      <tp>
        <v>5</v>
        <stp/>
        <stp>46874692-1832-46dd-a5f9-ad18b260e3eb</stp>
        <tr r="G5155" s="2"/>
      </tp>
      <tp>
        <v>5</v>
        <stp/>
        <stp>062c4a1c-16ec-4be9-bf55-2fa4acfe79eb</stp>
        <tr r="G7960" s="2"/>
      </tp>
    </main>
    <main first="rtdsrv_a82eb5a1fc404542a18b1336b70d2c4e">
      <tp>
        <v>5</v>
        <stp/>
        <stp>a85754e2-a06f-4421-9506-52d9a06708fc</stp>
        <tr r="G990" s="2"/>
      </tp>
    </main>
    <main first="rtdsrv_a82eb5a1fc404542a18b1336b70d2c4e">
      <tp>
        <v>5</v>
        <stp/>
        <stp>5cc4a707-3f78-4b7b-9a0e-94079f16d130</stp>
        <tr r="G9298" s="2"/>
      </tp>
      <tp>
        <v>5</v>
        <stp/>
        <stp>7b23cfd3-378d-4052-8451-ce0e8a726b58</stp>
        <tr r="G1162" s="2"/>
      </tp>
    </main>
    <main first="rtdsrv_a82eb5a1fc404542a18b1336b70d2c4e">
      <tp>
        <v>5</v>
        <stp/>
        <stp>204d320d-84c4-4999-958c-680f5da3d1a3</stp>
        <tr r="G9888" s="2"/>
      </tp>
    </main>
    <main first="rtdsrv_a82eb5a1fc404542a18b1336b70d2c4e">
      <tp>
        <v>5</v>
        <stp/>
        <stp>8c7bb7cd-2dae-42cb-bed6-6cd31ede00e7</stp>
        <tr r="G8739" s="2"/>
      </tp>
    </main>
    <main first="rtdsrv_a82eb5a1fc404542a18b1336b70d2c4e">
      <tp>
        <v>5</v>
        <stp/>
        <stp>18e68c17-20cc-4de6-a3f3-eed7f3ca293b</stp>
        <tr r="G744" s="2"/>
      </tp>
      <tp>
        <v>5</v>
        <stp/>
        <stp>85cf83e6-b7e4-4c3e-87f7-f3edf63e6433</stp>
        <tr r="G2713" s="2"/>
      </tp>
      <tp>
        <v>5</v>
        <stp/>
        <stp>6c1ce5e7-b463-49f7-8eb5-9ca8ceef512a</stp>
        <tr r="G9361" s="2"/>
      </tp>
      <tp>
        <v>5</v>
        <stp/>
        <stp>34ae4b71-dfeb-42c5-89cb-3b0f93549c41</stp>
        <tr r="G8919" s="2"/>
      </tp>
      <tp>
        <v>5</v>
        <stp/>
        <stp>1c619b70-49dd-478e-864d-be0cfc64549d</stp>
        <tr r="G3132" s="2"/>
      </tp>
    </main>
    <main first="rtdsrv_a82eb5a1fc404542a18b1336b70d2c4e">
      <tp>
        <v>5</v>
        <stp/>
        <stp>f1f2a6bb-f86b-47fe-8946-2d795c9aef85</stp>
        <tr r="G5340" s="2"/>
      </tp>
      <tp>
        <v>5</v>
        <stp/>
        <stp>821a9664-fc45-42b7-8aff-939e55c8add3</stp>
        <tr r="G2341" s="2"/>
      </tp>
    </main>
    <main first="rtdsrv_a82eb5a1fc404542a18b1336b70d2c4e">
      <tp>
        <v>5</v>
        <stp/>
        <stp>508f4316-5ce8-4bf3-abfd-fb630fe386a6</stp>
        <tr r="G2360" s="2"/>
      </tp>
      <tp>
        <v>5</v>
        <stp/>
        <stp>f663be88-a0ef-4c10-a6bd-8068b8b1292d</stp>
        <tr r="G3302" s="2"/>
      </tp>
    </main>
    <main first="rtdsrv_a82eb5a1fc404542a18b1336b70d2c4e">
      <tp>
        <v>5</v>
        <stp/>
        <stp>2e2f8ed9-240c-4e71-aa29-d5447c1596bd</stp>
        <tr r="G2234" s="2"/>
      </tp>
    </main>
    <main first="rtdsrv_a82eb5a1fc404542a18b1336b70d2c4e">
      <tp>
        <v>5</v>
        <stp/>
        <stp>1ba5921e-4a2e-4940-8404-10070f87ec15</stp>
        <tr r="G53" s="2"/>
      </tp>
    </main>
    <main first="rtdsrv_a82eb5a1fc404542a18b1336b70d2c4e">
      <tp>
        <v>5</v>
        <stp/>
        <stp>cdd87524-d8b3-465b-897a-dbb20d54e7d9</stp>
        <tr r="G9797" s="2"/>
      </tp>
      <tp>
        <v>5</v>
        <stp/>
        <stp>c5d9c266-ba97-4d51-8e1f-74157eae9e9b</stp>
        <tr r="G2997" s="2"/>
      </tp>
    </main>
    <main first="rtdsrv_a82eb5a1fc404542a18b1336b70d2c4e">
      <tp>
        <v>5</v>
        <stp/>
        <stp>6cc78951-1fd3-473e-9977-ee530589b87a</stp>
        <tr r="G5783" s="2"/>
      </tp>
    </main>
    <main first="rtdsrv_a82eb5a1fc404542a18b1336b70d2c4e">
      <tp>
        <v>5</v>
        <stp/>
        <stp>9e946305-94e6-45d4-9ca4-98f7bbfda146</stp>
        <tr r="G6884" s="2"/>
      </tp>
      <tp>
        <v>5</v>
        <stp/>
        <stp>f4219f61-8eb2-4861-81f2-8a39399dd4d0</stp>
        <tr r="G3891" s="2"/>
      </tp>
      <tp>
        <v>5</v>
        <stp/>
        <stp>2625a6b7-381e-41c0-8ca7-a23325d91459</stp>
        <tr r="G5610" s="2"/>
      </tp>
      <tp>
        <v>5</v>
        <stp/>
        <stp>4620fa50-9a4c-473c-b3b9-0f194abd3915</stp>
        <tr r="G2476" s="2"/>
      </tp>
    </main>
    <main first="rtdsrv_a82eb5a1fc404542a18b1336b70d2c4e">
      <tp>
        <v>5</v>
        <stp/>
        <stp>4e46159b-9d34-4c2a-bba5-247f084ba4b4</stp>
        <tr r="G3062" s="2"/>
      </tp>
    </main>
    <main first="rtdsrv_a82eb5a1fc404542a18b1336b70d2c4e">
      <tp>
        <v>5</v>
        <stp/>
        <stp>b3c20c20-4fc5-4760-9487-77d698a91282</stp>
        <tr r="G1365" s="2"/>
      </tp>
      <tp>
        <v>5</v>
        <stp/>
        <stp>4b22b337-78cc-4e00-9573-d073420f8202</stp>
        <tr r="G7410" s="2"/>
      </tp>
    </main>
    <main first="rtdsrv_a82eb5a1fc404542a18b1336b70d2c4e">
      <tp>
        <v>5</v>
        <stp/>
        <stp>2b753492-ce3b-48b8-aeb7-591066c3d131</stp>
        <tr r="G404" s="2"/>
      </tp>
    </main>
    <main first="rtdsrv_a82eb5a1fc404542a18b1336b70d2c4e">
      <tp>
        <v>5</v>
        <stp/>
        <stp>f99ddebd-8d1e-4193-8a9e-1099e9e67680</stp>
        <tr r="G9853" s="2"/>
      </tp>
    </main>
    <main first="rtdsrv_a82eb5a1fc404542a18b1336b70d2c4e">
      <tp>
        <v>5</v>
        <stp/>
        <stp>579f9dc4-4e48-46b8-8222-63630625397a</stp>
        <tr r="G7217" s="2"/>
      </tp>
      <tp>
        <v>5</v>
        <stp/>
        <stp>35bde509-89ff-4538-98ed-8ec82eb8e408</stp>
        <tr r="G861" s="2"/>
      </tp>
    </main>
    <main first="rtdsrv_a82eb5a1fc404542a18b1336b70d2c4e">
      <tp>
        <v>5</v>
        <stp/>
        <stp>b0538677-ac29-4009-8b65-b8ce9516b48b</stp>
        <tr r="G6907" s="2"/>
      </tp>
    </main>
    <main first="rtdsrv_a82eb5a1fc404542a18b1336b70d2c4e">
      <tp>
        <v>5</v>
        <stp/>
        <stp>3fe73805-084b-47dc-b0eb-69ad8264e2f9</stp>
        <tr r="G1392" s="2"/>
      </tp>
      <tp>
        <v>5</v>
        <stp/>
        <stp>020570cd-4f1f-4d94-950d-514bde8a47c4</stp>
        <tr r="G2678" s="2"/>
      </tp>
      <tp>
        <v>5</v>
        <stp/>
        <stp>876161c0-ce0d-4f8b-8b2d-f04bc6871bf1</stp>
        <tr r="G2424" s="2"/>
      </tp>
      <tp>
        <v>5</v>
        <stp/>
        <stp>2e98fa72-fadc-49a1-bad5-3bc2c2b4c6ef</stp>
        <tr r="G8741" s="2"/>
      </tp>
    </main>
    <main first="rtdsrv_a82eb5a1fc404542a18b1336b70d2c4e">
      <tp>
        <v>5</v>
        <stp/>
        <stp>ce9adcd5-6dbb-40a4-a151-e65584fe5bed</stp>
        <tr r="G7799" s="2"/>
      </tp>
    </main>
    <main first="rtdsrv_a82eb5a1fc404542a18b1336b70d2c4e">
      <tp>
        <v>5</v>
        <stp/>
        <stp>0aa36feb-0b5e-42e7-993b-93e1cf9017f0</stp>
        <tr r="G4863" s="2"/>
      </tp>
    </main>
    <main first="rtdsrv_a82eb5a1fc404542a18b1336b70d2c4e">
      <tp>
        <v>5</v>
        <stp/>
        <stp>12b2a2ed-f312-47ae-b77c-c1da3c87f74b</stp>
        <tr r="G5377" s="2"/>
      </tp>
      <tp>
        <v>5</v>
        <stp/>
        <stp>8097cc35-a582-4ced-95a2-9bb6d1ae8514</stp>
        <tr r="G8265" s="2"/>
      </tp>
    </main>
    <main first="rtdsrv_a82eb5a1fc404542a18b1336b70d2c4e">
      <tp>
        <v>5</v>
        <stp/>
        <stp>0cfb32a6-144d-4f00-9bf2-4d3320497394</stp>
        <tr r="G2120" s="2"/>
      </tp>
    </main>
    <main first="rtdsrv_a82eb5a1fc404542a18b1336b70d2c4e">
      <tp>
        <v>5</v>
        <stp/>
        <stp>a9f4ddd4-252b-4284-ac29-a71bd694c998</stp>
        <tr r="G1277" s="2"/>
      </tp>
    </main>
    <main first="rtdsrv_a82eb5a1fc404542a18b1336b70d2c4e">
      <tp>
        <v>5</v>
        <stp/>
        <stp>e0180baf-1964-4611-9d9f-39baeeab6f33</stp>
        <tr r="G5261" s="2"/>
      </tp>
      <tp>
        <v>5</v>
        <stp/>
        <stp>1fe79d0a-1788-4cd6-8351-63ef961f7d8b</stp>
        <tr r="G4690" s="2"/>
      </tp>
      <tp>
        <v>5</v>
        <stp/>
        <stp>9d3f1efd-f99b-4921-a720-634c9effac11</stp>
        <tr r="G8929" s="2"/>
      </tp>
      <tp>
        <v>5</v>
        <stp/>
        <stp>e73fc2a1-21e9-439d-836b-9461d506a58a</stp>
        <tr r="G5120" s="2"/>
      </tp>
    </main>
    <main first="rtdsrv_a82eb5a1fc404542a18b1336b70d2c4e">
      <tp>
        <v>5</v>
        <stp/>
        <stp>0cd253cf-a0fd-44f5-bd09-4e0e34779413</stp>
        <tr r="G263" s="2"/>
      </tp>
    </main>
    <main first="rtdsrv_a82eb5a1fc404542a18b1336b70d2c4e">
      <tp>
        <v>5</v>
        <stp/>
        <stp>6b8910d0-5b28-4746-acf6-714ef2b82ef7</stp>
        <tr r="G4478" s="2"/>
      </tp>
      <tp>
        <v>5</v>
        <stp/>
        <stp>2ec3bba5-18b0-44f3-aa41-0d710a166e56</stp>
        <tr r="G6970" s="2"/>
      </tp>
    </main>
    <main first="rtdsrv_a82eb5a1fc404542a18b1336b70d2c4e">
      <tp>
        <v>5</v>
        <stp/>
        <stp>d5e22d9b-e154-4081-9c63-59c30c4c5811</stp>
        <tr r="G40" s="2"/>
      </tp>
    </main>
    <main first="rtdsrv_a82eb5a1fc404542a18b1336b70d2c4e">
      <tp>
        <v>5</v>
        <stp/>
        <stp>7397a2ca-c4da-4c32-b735-5105ff1f7eb5</stp>
        <tr r="G7023" s="2"/>
      </tp>
      <tp>
        <v>5</v>
        <stp/>
        <stp>19cb82d7-041b-4fd0-b99e-dba0479e366d</stp>
        <tr r="G3294" s="2"/>
      </tp>
    </main>
    <main first="rtdsrv_a82eb5a1fc404542a18b1336b70d2c4e">
      <tp>
        <v>5</v>
        <stp/>
        <stp>ff451859-cb03-4cd4-9e88-c71691000fb1</stp>
        <tr r="G3770" s="2"/>
      </tp>
      <tp>
        <v>5</v>
        <stp/>
        <stp>ddc92d7c-a069-4bc5-9f27-9d8fd2ce0a0f</stp>
        <tr r="G2640" s="2"/>
      </tp>
      <tp>
        <v>5</v>
        <stp/>
        <stp>2623d701-fab6-46a4-93dd-96c53fd19688</stp>
        <tr r="G2143" s="2"/>
      </tp>
      <tp>
        <v>5</v>
        <stp/>
        <stp>32b4b4b8-da10-411b-a335-f5b6f579fb91</stp>
        <tr r="G5118" s="2"/>
      </tp>
      <tp>
        <v>5</v>
        <stp/>
        <stp>ec7ffedd-58f7-45c6-920e-82354b314461</stp>
        <tr r="G5925" s="2"/>
      </tp>
      <tp>
        <v>5</v>
        <stp/>
        <stp>844fc09a-1f4e-462a-afb3-cddc426a8128</stp>
        <tr r="G2839" s="2"/>
      </tp>
    </main>
    <main first="rtdsrv_a82eb5a1fc404542a18b1336b70d2c4e">
      <tp>
        <v>5</v>
        <stp/>
        <stp>8cb06f87-5725-45a7-8424-b414ce4d15d0</stp>
        <tr r="G9036" s="2"/>
      </tp>
      <tp>
        <v>5</v>
        <stp/>
        <stp>61f91c3e-ebb9-4b8d-a768-70286bde6fa8</stp>
        <tr r="G4268" s="2"/>
      </tp>
    </main>
    <main first="rtdsrv_a82eb5a1fc404542a18b1336b70d2c4e">
      <tp>
        <v>5</v>
        <stp/>
        <stp>42ee1ef7-f897-4617-b389-c9026a9a0735</stp>
        <tr r="G6735" s="2"/>
      </tp>
      <tp>
        <v>5</v>
        <stp/>
        <stp>b09806a6-ff1f-464c-8a5c-9719ca6d01b5</stp>
        <tr r="G3364" s="2"/>
      </tp>
    </main>
    <main first="rtdsrv_a82eb5a1fc404542a18b1336b70d2c4e">
      <tp>
        <v>5</v>
        <stp/>
        <stp>418365b9-0d33-4eb3-b320-dfe8b2fc904b</stp>
        <tr r="G2537" s="2"/>
      </tp>
      <tp>
        <v>5</v>
        <stp/>
        <stp>0b94db50-496c-4741-b561-2e65fe8f7b35</stp>
        <tr r="G2510" s="2"/>
      </tp>
      <tp>
        <v>5</v>
        <stp/>
        <stp>37d564a7-dc65-48fa-9068-d4c39e2d606c</stp>
        <tr r="G2515" s="2"/>
      </tp>
    </main>
    <main first="rtdsrv_a82eb5a1fc404542a18b1336b70d2c4e">
      <tp>
        <v>5</v>
        <stp/>
        <stp>ca23dad1-1832-4e80-8655-5abcfe969a97</stp>
        <tr r="G7686" s="2"/>
      </tp>
    </main>
    <main first="rtdsrv_a82eb5a1fc404542a18b1336b70d2c4e">
      <tp>
        <v>5</v>
        <stp/>
        <stp>99793383-41e5-4662-b3c9-a88eac7cfe12</stp>
        <tr r="G8959" s="2"/>
      </tp>
    </main>
    <main first="rtdsrv_a82eb5a1fc404542a18b1336b70d2c4e">
      <tp>
        <v>5</v>
        <stp/>
        <stp>0bd45142-5cfc-4757-95fe-0b2d2184c5e4</stp>
        <tr r="G5770" s="2"/>
      </tp>
    </main>
    <main first="rtdsrv_a82eb5a1fc404542a18b1336b70d2c4e">
      <tp>
        <v>5</v>
        <stp/>
        <stp>8d1da5d7-52da-4e12-abdd-2a1a7731a584</stp>
        <tr r="G4803" s="2"/>
      </tp>
    </main>
    <main first="rtdsrv_a82eb5a1fc404542a18b1336b70d2c4e">
      <tp>
        <v>5</v>
        <stp/>
        <stp>35fcf793-ff71-4886-85bc-011e15f8de4a</stp>
        <tr r="G9636" s="2"/>
      </tp>
    </main>
    <main first="rtdsrv_a82eb5a1fc404542a18b1336b70d2c4e">
      <tp>
        <v>5</v>
        <stp/>
        <stp>77467abe-7798-4392-8db7-ac80a1fb5221</stp>
        <tr r="G8777" s="2"/>
      </tp>
    </main>
    <main first="rtdsrv_a82eb5a1fc404542a18b1336b70d2c4e">
      <tp>
        <v>5</v>
        <stp/>
        <stp>fff3b63f-f2b4-4c3e-a476-8484f0c62108</stp>
        <tr r="G8722" s="2"/>
      </tp>
      <tp>
        <v>5</v>
        <stp/>
        <stp>c3e18fb0-d52d-48ca-bfb4-1a954d01ef5b</stp>
        <tr r="G272" s="2"/>
      </tp>
    </main>
    <main first="rtdsrv_a82eb5a1fc404542a18b1336b70d2c4e">
      <tp>
        <v>5</v>
        <stp/>
        <stp>158c951b-9b65-4b4d-b95d-bd48081e5e07</stp>
        <tr r="G1021" s="2"/>
      </tp>
    </main>
    <main first="rtdsrv_a82eb5a1fc404542a18b1336b70d2c4e">
      <tp>
        <v>5</v>
        <stp/>
        <stp>d662815f-6988-4f92-aad6-ea316ba405d1</stp>
        <tr r="G1560" s="2"/>
      </tp>
    </main>
    <main first="rtdsrv_a82eb5a1fc404542a18b1336b70d2c4e">
      <tp>
        <v>5</v>
        <stp/>
        <stp>de444fef-00d7-4739-b088-1ef0c139f760</stp>
        <tr r="G5687" s="2"/>
      </tp>
      <tp>
        <v>5</v>
        <stp/>
        <stp>8920bee8-7866-4af5-af31-3403797351cd</stp>
        <tr r="G5903" s="2"/>
      </tp>
      <tp>
        <v>5</v>
        <stp/>
        <stp>480a925a-3443-4665-9918-2d217990118a</stp>
        <tr r="G2096" s="2"/>
      </tp>
    </main>
    <main first="rtdsrv_a82eb5a1fc404542a18b1336b70d2c4e">
      <tp>
        <v>5</v>
        <stp/>
        <stp>e45fe1c2-4e8c-4ed7-8858-a9322c2c881d</stp>
        <tr r="G7290" s="2"/>
      </tp>
    </main>
    <main first="rtdsrv_a82eb5a1fc404542a18b1336b70d2c4e">
      <tp>
        <v>5</v>
        <stp/>
        <stp>fd9cd184-f5d6-4a80-9d4f-c6a9051dae93</stp>
        <tr r="G4251" s="2"/>
      </tp>
      <tp>
        <v>5</v>
        <stp/>
        <stp>4bef7cab-b7ef-4ca6-b1e0-22aebaa2d282</stp>
        <tr r="G8479" s="2"/>
      </tp>
    </main>
    <main first="rtdsrv_a82eb5a1fc404542a18b1336b70d2c4e">
      <tp>
        <v>5</v>
        <stp/>
        <stp>633b084a-64cb-463c-a653-ff545877ad94</stp>
        <tr r="G3134" s="2"/>
      </tp>
      <tp>
        <v>5</v>
        <stp/>
        <stp>7051875a-4d33-4979-99e8-45e328ac83c3</stp>
        <tr r="G2659" s="2"/>
      </tp>
      <tp>
        <v>5</v>
        <stp/>
        <stp>42207967-9831-47b6-b156-63076d82d79e</stp>
        <tr r="G7675" s="2"/>
      </tp>
      <tp>
        <v>5</v>
        <stp/>
        <stp>0b636b83-bdbe-4347-901e-8f20526b4a09</stp>
        <tr r="G2252" s="2"/>
      </tp>
      <tp>
        <v>5</v>
        <stp/>
        <stp>dd9e4a50-dbfd-4cb7-9dbf-ad5b4e3a6d5f</stp>
        <tr r="G1434" s="2"/>
      </tp>
    </main>
    <main first="rtdsrv_a82eb5a1fc404542a18b1336b70d2c4e">
      <tp>
        <v>5</v>
        <stp/>
        <stp>9eda45b7-bd00-4dea-9b01-7665e18395f7</stp>
        <tr r="G7006" s="2"/>
      </tp>
      <tp>
        <v>5</v>
        <stp/>
        <stp>031c6990-334a-41ce-a05f-8c233cb6f868</stp>
        <tr r="G8413" s="2"/>
      </tp>
    </main>
    <main first="rtdsrv_a82eb5a1fc404542a18b1336b70d2c4e">
      <tp>
        <v>5</v>
        <stp/>
        <stp>c7ee620c-fe03-4bb0-a05d-2a9e10357fe1</stp>
        <tr r="G8140" s="2"/>
      </tp>
    </main>
    <main first="rtdsrv_a82eb5a1fc404542a18b1336b70d2c4e">
      <tp>
        <v>5</v>
        <stp/>
        <stp>21fe0238-bad4-46c6-bf5e-16f85f8d3c4f</stp>
        <tr r="G5814" s="2"/>
      </tp>
    </main>
    <main first="rtdsrv_a82eb5a1fc404542a18b1336b70d2c4e">
      <tp>
        <v>5</v>
        <stp/>
        <stp>6e7ec043-58c8-49d3-95ca-85cb1a765550</stp>
        <tr r="G5882" s="2"/>
      </tp>
      <tp>
        <v>5</v>
        <stp/>
        <stp>44cf85c2-04b7-497c-8e58-6b66c51e8a05</stp>
        <tr r="G3029" s="2"/>
      </tp>
      <tp>
        <v>5</v>
        <stp/>
        <stp>6ac2d395-f72d-4846-83e0-427ca35d97da</stp>
        <tr r="G673" s="2"/>
      </tp>
      <tp>
        <v>5</v>
        <stp/>
        <stp>7003026f-9673-4856-9124-c83f029ddd52</stp>
        <tr r="G6067" s="2"/>
      </tp>
      <tp>
        <v>5</v>
        <stp/>
        <stp>be7b65ef-083e-49da-a1b5-74decb34bd3c</stp>
        <tr r="G2705" s="2"/>
      </tp>
      <tp>
        <v>5</v>
        <stp/>
        <stp>0f8f4137-17bf-4f54-90e8-7d9de2eee0c0</stp>
        <tr r="G6805" s="2"/>
      </tp>
      <tp>
        <v>5</v>
        <stp/>
        <stp>a3065fe9-ddb0-44a0-9127-a57b942f1c89</stp>
        <tr r="G8888" s="2"/>
      </tp>
      <tp>
        <v>5</v>
        <stp/>
        <stp>dbc65046-a8ce-47f1-94f3-63eb5d41ab6f</stp>
        <tr r="G3036" s="2"/>
      </tp>
      <tp>
        <v>5</v>
        <stp/>
        <stp>ac904b21-3067-4c84-9874-a5c650687ea8</stp>
        <tr r="G857" s="2"/>
      </tp>
      <tp>
        <v>5</v>
        <stp/>
        <stp>9509bf1e-7832-447d-b4c2-3ec60fe89193</stp>
        <tr r="G5247" s="2"/>
      </tp>
    </main>
    <main first="rtdsrv_a82eb5a1fc404542a18b1336b70d2c4e">
      <tp>
        <v>5</v>
        <stp/>
        <stp>bcaf69c3-3c01-4198-add3-0258c5a0bc29</stp>
        <tr r="G4649" s="2"/>
      </tp>
      <tp>
        <v>5</v>
        <stp/>
        <stp>d3783ef1-43b4-4ec5-86a9-cef77d158f81</stp>
        <tr r="G6249" s="2"/>
      </tp>
      <tp>
        <v>5</v>
        <stp/>
        <stp>abbac325-0148-4607-b0b3-0a4167e21372</stp>
        <tr r="G9341" s="2"/>
      </tp>
    </main>
    <main first="rtdsrv_a82eb5a1fc404542a18b1336b70d2c4e">
      <tp>
        <v>5</v>
        <stp/>
        <stp>d4425ab0-1d5d-4f5c-a253-31d1e3fb1a7d</stp>
        <tr r="G8826" s="2"/>
      </tp>
      <tp>
        <v>5</v>
        <stp/>
        <stp>41296cfc-cbea-4a37-a4b7-14bb632f52e9</stp>
        <tr r="G8468" s="2"/>
      </tp>
      <tp>
        <v>5</v>
        <stp/>
        <stp>13c4c3dc-03c9-40e1-a584-712ff810da71</stp>
        <tr r="G1985" s="2"/>
      </tp>
      <tp>
        <v>5</v>
        <stp/>
        <stp>3c06f2fa-f347-40d1-9619-dcf75497f17d</stp>
        <tr r="G8033" s="2"/>
      </tp>
      <tp>
        <v>5</v>
        <stp/>
        <stp>0c4b9ec0-088e-4d9c-a21f-c8eff9a7d497</stp>
        <tr r="G548" s="2"/>
      </tp>
      <tp>
        <v>5</v>
        <stp/>
        <stp>cb5390d3-b909-4027-ad22-bec2624be398</stp>
        <tr r="G2751" s="2"/>
      </tp>
      <tp>
        <v>5</v>
        <stp/>
        <stp>40e7b56b-ac64-46f4-82ba-e34c5da75403</stp>
        <tr r="G2201" s="2"/>
      </tp>
      <tp>
        <v>5</v>
        <stp/>
        <stp>1b475e8f-e555-4a2f-aad8-070cd7092154</stp>
        <tr r="G1958" s="2"/>
      </tp>
      <tp>
        <v>5</v>
        <stp/>
        <stp>915bb278-9ed5-4bd7-a0b9-9f02c9b83a8b</stp>
        <tr r="G2698" s="2"/>
      </tp>
      <tp>
        <v>5</v>
        <stp/>
        <stp>6208e487-c86e-42cc-a637-4b7b34b8d2fe</stp>
        <tr r="G7654" s="2"/>
      </tp>
    </main>
    <main first="rtdsrv_a82eb5a1fc404542a18b1336b70d2c4e">
      <tp>
        <v>5</v>
        <stp/>
        <stp>cdb0c6a6-f257-49b7-acb0-802d87f7c7ad</stp>
        <tr r="G380" s="2"/>
      </tp>
    </main>
    <main first="rtdsrv_a82eb5a1fc404542a18b1336b70d2c4e">
      <tp>
        <v>5</v>
        <stp/>
        <stp>35e99656-7084-4e8b-a4f7-5ba7a04c037c</stp>
        <tr r="G3334" s="2"/>
      </tp>
    </main>
    <main first="rtdsrv_a82eb5a1fc404542a18b1336b70d2c4e">
      <tp>
        <v>5</v>
        <stp/>
        <stp>2a4f5639-2ba1-4077-9ed6-524250be8e0c</stp>
        <tr r="G4877" s="2"/>
      </tp>
    </main>
    <main first="rtdsrv_a82eb5a1fc404542a18b1336b70d2c4e">
      <tp>
        <v>5</v>
        <stp/>
        <stp>748d0e15-2687-4d33-a1b3-90a23baa8192</stp>
        <tr r="G6861" s="2"/>
      </tp>
    </main>
    <main first="rtdsrv_a82eb5a1fc404542a18b1336b70d2c4e">
      <tp>
        <v>5</v>
        <stp/>
        <stp>eca75d0d-5443-4357-9574-0c1cdf33cff5</stp>
        <tr r="G6285" s="2"/>
      </tp>
    </main>
    <main first="rtdsrv_a82eb5a1fc404542a18b1336b70d2c4e">
      <tp>
        <v>5</v>
        <stp/>
        <stp>85a55eb8-45b8-4fd1-aaea-b1e5313e4a43</stp>
        <tr r="G574" s="2"/>
      </tp>
    </main>
    <main first="rtdsrv_a82eb5a1fc404542a18b1336b70d2c4e">
      <tp>
        <v>5</v>
        <stp/>
        <stp>96b8303c-6c04-49f7-a0d4-52411f2caf55</stp>
        <tr r="G81" s="2"/>
      </tp>
      <tp>
        <v>5</v>
        <stp/>
        <stp>5866eed2-fe6b-4e60-ac93-2d144244754a</stp>
        <tr r="G2689" s="2"/>
      </tp>
      <tp>
        <v>5</v>
        <stp/>
        <stp>3d5cbcf0-2dbe-4e87-a801-6bfbf7ad864d</stp>
        <tr r="G4506" s="2"/>
      </tp>
      <tp>
        <v>5</v>
        <stp/>
        <stp>386d8023-c154-4dae-a693-6dd7fac7fc45</stp>
        <tr r="G9131" s="2"/>
      </tp>
      <tp>
        <v>5</v>
        <stp/>
        <stp>b46333f6-54b3-46ec-a74c-705b535c772c</stp>
        <tr r="G6368" s="2"/>
      </tp>
      <tp>
        <v>5</v>
        <stp/>
        <stp>e8878321-9730-48ce-8fcb-dbc2169ee101</stp>
        <tr r="G250" s="2"/>
      </tp>
      <tp>
        <v>5</v>
        <stp/>
        <stp>700161bf-4a2b-40f5-b926-72fc5250ecc8</stp>
        <tr r="G4657" s="2"/>
      </tp>
      <tp>
        <v>5</v>
        <stp/>
        <stp>6bfa9a72-741b-419d-aee1-e9a688489e4b</stp>
        <tr r="G1824" s="2"/>
      </tp>
      <tp>
        <v>5</v>
        <stp/>
        <stp>592b2975-3081-41bd-8907-3d46f1588c66</stp>
        <tr r="G1910" s="2"/>
      </tp>
    </main>
    <main first="rtdsrv_a82eb5a1fc404542a18b1336b70d2c4e">
      <tp>
        <v>5</v>
        <stp/>
        <stp>94b6199c-a9aa-403d-901b-590a9e6d543a</stp>
        <tr r="G8057" s="2"/>
      </tp>
      <tp>
        <v>5</v>
        <stp/>
        <stp>6283f727-78c9-4c89-a08f-720e33df3c6b</stp>
        <tr r="G772" s="2"/>
      </tp>
      <tp>
        <v>5</v>
        <stp/>
        <stp>50154715-7d92-4805-a8d9-3b9b81c08c15</stp>
        <tr r="G5511" s="2"/>
      </tp>
      <tp>
        <v>5</v>
        <stp/>
        <stp>a30a26ac-452a-42cd-9373-e211f6a91713</stp>
        <tr r="G9818" s="2"/>
      </tp>
      <tp>
        <v>5</v>
        <stp/>
        <stp>d1d79ec1-67ed-4daf-9203-6f6d100cc339</stp>
        <tr r="G7760" s="2"/>
      </tp>
      <tp>
        <v>5</v>
        <stp/>
        <stp>b1633454-bb43-43da-9048-6ec8f2476487</stp>
        <tr r="G6458" s="2"/>
      </tp>
      <tp>
        <v>5</v>
        <stp/>
        <stp>e6643472-7904-4056-baa4-f1bf2fa7dd99</stp>
        <tr r="G6180" s="2"/>
      </tp>
    </main>
    <main first="rtdsrv_a82eb5a1fc404542a18b1336b70d2c4e">
      <tp>
        <v>5</v>
        <stp/>
        <stp>03fb9973-c239-4695-970a-a8231de09ace</stp>
        <tr r="G6578" s="2"/>
      </tp>
    </main>
    <main first="rtdsrv_a82eb5a1fc404542a18b1336b70d2c4e">
      <tp>
        <v>5</v>
        <stp/>
        <stp>f8e8bee1-4970-4635-9983-3359709e8608</stp>
        <tr r="G5774" s="2"/>
      </tp>
      <tp>
        <v>5</v>
        <stp/>
        <stp>7b135595-70c4-4b9c-a61e-02d2f381ab73</stp>
        <tr r="G2637" s="2"/>
      </tp>
      <tp>
        <v>5</v>
        <stp/>
        <stp>1ed46556-b01a-43ed-aeff-46dce576dbbf</stp>
        <tr r="G2121" s="2"/>
      </tp>
      <tp>
        <v>5</v>
        <stp/>
        <stp>6db9a2d4-2287-4a04-a12e-871f2327f7d6</stp>
        <tr r="G6609" s="2"/>
      </tp>
      <tp>
        <v>5</v>
        <stp/>
        <stp>885dd020-b6b7-4f02-969e-82ead74dd532</stp>
        <tr r="G3772" s="2"/>
      </tp>
    </main>
    <main first="rtdsrv_a82eb5a1fc404542a18b1336b70d2c4e">
      <tp>
        <v>5</v>
        <stp/>
        <stp>3c66f469-0aae-46c2-ae5a-c567f7c263cd</stp>
        <tr r="G3283" s="2"/>
      </tp>
      <tp>
        <v>5</v>
        <stp/>
        <stp>878c1c8e-236c-41fb-a1bf-77e97703e763</stp>
        <tr r="G327" s="2"/>
      </tp>
      <tp>
        <v>5</v>
        <stp/>
        <stp>a6c76d4a-52a3-48b2-a45c-534c6243900d</stp>
        <tr r="G3621" s="2"/>
      </tp>
    </main>
    <main first="rtdsrv_a82eb5a1fc404542a18b1336b70d2c4e">
      <tp>
        <v>5</v>
        <stp/>
        <stp>76ecc417-74d3-4fb8-bb9c-6e3a4c7e6c0f</stp>
        <tr r="G3153" s="2"/>
      </tp>
      <tp>
        <v>5</v>
        <stp/>
        <stp>ea5f441b-213e-4922-8246-107decba8cae</stp>
        <tr r="G5111" s="2"/>
      </tp>
    </main>
    <main first="rtdsrv_a82eb5a1fc404542a18b1336b70d2c4e">
      <tp>
        <v>5</v>
        <stp/>
        <stp>1a137c1a-33d6-4b6e-99bc-7eae1cc7baec</stp>
        <tr r="G4989" s="2"/>
      </tp>
      <tp>
        <v>5</v>
        <stp/>
        <stp>d17ba40f-a3b0-49e6-a692-84bfe96fe7eb</stp>
        <tr r="G1436" s="2"/>
      </tp>
    </main>
    <main first="rtdsrv_a82eb5a1fc404542a18b1336b70d2c4e">
      <tp>
        <v>5</v>
        <stp/>
        <stp>a73eea0c-92a9-41f2-85c5-70e1ffe6e931</stp>
        <tr r="G2688" s="2"/>
      </tp>
    </main>
    <main first="rtdsrv_a82eb5a1fc404542a18b1336b70d2c4e">
      <tp>
        <v>5</v>
        <stp/>
        <stp>6611c79c-95f4-4a07-989f-82e93b64f78e</stp>
        <tr r="G1249" s="2"/>
      </tp>
      <tp>
        <v>5</v>
        <stp/>
        <stp>d35706c5-a893-485e-a1f8-5f8c72876bf3</stp>
        <tr r="G8481" s="2"/>
      </tp>
      <tp>
        <v>5</v>
        <stp/>
        <stp>1f5ec470-4ba8-4194-b7cb-9e2fc1525454</stp>
        <tr r="G6591" s="2"/>
      </tp>
      <tp>
        <v>5</v>
        <stp/>
        <stp>f7d1c9a1-9b15-4f81-8f64-c2d876d45ecc</stp>
        <tr r="G3391" s="2"/>
      </tp>
    </main>
    <main first="rtdsrv_a82eb5a1fc404542a18b1336b70d2c4e">
      <tp>
        <v>5</v>
        <stp/>
        <stp>c4dc663e-4096-4135-94e7-6baa17bd9bcf</stp>
        <tr r="G479" s="2"/>
      </tp>
      <tp>
        <v>5</v>
        <stp/>
        <stp>53f411f3-3cbd-4f5a-a4b2-0d7d4d556ccf</stp>
        <tr r="G4358" s="2"/>
      </tp>
      <tp>
        <v>5</v>
        <stp/>
        <stp>e0435336-64c0-466f-9437-32fa27cfa418</stp>
        <tr r="G8922" s="2"/>
      </tp>
      <tp>
        <v>5</v>
        <stp/>
        <stp>c3a6eb48-26ce-4625-9680-6d13d9721be5</stp>
        <tr r="G4121" s="2"/>
      </tp>
    </main>
    <main first="rtdsrv_a82eb5a1fc404542a18b1336b70d2c4e">
      <tp>
        <v>5</v>
        <stp/>
        <stp>c128fe97-f919-443a-81cb-4a035eface67</stp>
        <tr r="G1839" s="2"/>
      </tp>
      <tp>
        <v>5</v>
        <stp/>
        <stp>038ce636-0b01-4616-a1b2-e788bceddd69</stp>
        <tr r="G6909" s="2"/>
      </tp>
      <tp>
        <v>5</v>
        <stp/>
        <stp>51c9f33d-7fb6-4526-92fe-f6b68fb32dcf</stp>
        <tr r="G4547" s="2"/>
      </tp>
      <tp>
        <v>5</v>
        <stp/>
        <stp>5cc580fa-54e9-45cf-b3df-b6d203f270e7</stp>
        <tr r="G8545" s="2"/>
      </tp>
      <tp>
        <v>5</v>
        <stp/>
        <stp>22472f6d-dc5a-4a54-92f5-39cb92308840</stp>
        <tr r="G9012" s="2"/>
      </tp>
    </main>
    <main first="rtdsrv_a82eb5a1fc404542a18b1336b70d2c4e">
      <tp>
        <v>5</v>
        <stp/>
        <stp>3b35e985-982b-43b6-95b8-368df7b25fa3</stp>
        <tr r="G5648" s="2"/>
      </tp>
    </main>
    <main first="rtdsrv_a82eb5a1fc404542a18b1336b70d2c4e">
      <tp>
        <v>5</v>
        <stp/>
        <stp>a2a2fda6-82c8-41ff-841e-4b3b585e32a2</stp>
        <tr r="G9732" s="2"/>
      </tp>
      <tp>
        <v>5</v>
        <stp/>
        <stp>9a174086-0af7-45d3-9ed5-489bc9f84f35</stp>
        <tr r="G5219" s="2"/>
      </tp>
      <tp>
        <v>5</v>
        <stp/>
        <stp>7cce87fe-1da9-4651-a191-a16014ba995f</stp>
        <tr r="G7851" s="2"/>
      </tp>
      <tp>
        <v>5</v>
        <stp/>
        <stp>b6b13973-52fc-4414-b289-13a91a70e598</stp>
        <tr r="G6287" s="2"/>
      </tp>
      <tp>
        <v>5</v>
        <stp/>
        <stp>2a1549ab-0c56-47f8-b8e3-70b9fdd87075</stp>
        <tr r="G4764" s="2"/>
      </tp>
      <tp>
        <v>5</v>
        <stp/>
        <stp>9095e929-0b7c-4c6f-a5a8-5ba269900488</stp>
        <tr r="G2051" s="2"/>
      </tp>
      <tp>
        <v>5</v>
        <stp/>
        <stp>65b728b7-f7d9-4929-a4c9-5f318b86dd47</stp>
        <tr r="G7087" s="2"/>
      </tp>
      <tp>
        <v>5</v>
        <stp/>
        <stp>5b4ac6e4-c926-4718-90ea-b290804b0957</stp>
        <tr r="G5829" s="2"/>
      </tp>
    </main>
    <main first="rtdsrv_a82eb5a1fc404542a18b1336b70d2c4e">
      <tp>
        <v>5</v>
        <stp/>
        <stp>7704b401-645a-48b3-b2e3-957ca2b445c2</stp>
        <tr r="G6393" s="2"/>
      </tp>
      <tp>
        <v>5</v>
        <stp/>
        <stp>51fb2ed1-2159-4e35-8121-7b24718a6c9f</stp>
        <tr r="G2639" s="2"/>
      </tp>
    </main>
    <main first="rtdsrv_a82eb5a1fc404542a18b1336b70d2c4e">
      <tp>
        <v>5</v>
        <stp/>
        <stp>d46c26b4-e3b8-4047-ab55-830f160f91c4</stp>
        <tr r="G4427" s="2"/>
      </tp>
    </main>
    <main first="rtdsrv_a82eb5a1fc404542a18b1336b70d2c4e">
      <tp>
        <v>5</v>
        <stp/>
        <stp>f819992e-012d-4d42-9928-73dcd1912bf2</stp>
        <tr r="G4745" s="2"/>
      </tp>
    </main>
    <main first="rtdsrv_a82eb5a1fc404542a18b1336b70d2c4e">
      <tp>
        <v>5</v>
        <stp/>
        <stp>d855621e-1c9a-4992-91a6-3d518901dde6</stp>
        <tr r="G4434" s="2"/>
      </tp>
      <tp>
        <v>5</v>
        <stp/>
        <stp>6863c9b6-c5b7-411a-8189-101758a5ab93</stp>
        <tr r="G8846" s="2"/>
      </tp>
      <tp>
        <v>5</v>
        <stp/>
        <stp>63408f1d-b7cb-446d-acdb-5a39c3db446c</stp>
        <tr r="G6644" s="2"/>
      </tp>
    </main>
    <main first="rtdsrv_a82eb5a1fc404542a18b1336b70d2c4e">
      <tp>
        <v>5</v>
        <stp/>
        <stp>362bb1f4-ba6f-40dc-b5f5-3ab1f42c5dbe</stp>
        <tr r="G3406" s="2"/>
      </tp>
      <tp>
        <v>5</v>
        <stp/>
        <stp>9da7dc50-d3fe-49e1-8aaa-42b07f5b86c3</stp>
        <tr r="G7089" s="2"/>
      </tp>
      <tp>
        <v>5</v>
        <stp/>
        <stp>4ac9a8a2-f296-4cf0-b363-09ffee3a84d6</stp>
        <tr r="G3432" s="2"/>
      </tp>
    </main>
    <main first="rtdsrv_a82eb5a1fc404542a18b1336b70d2c4e">
      <tp>
        <v>5</v>
        <stp/>
        <stp>3f4c22f4-10cc-42cc-8cc6-6f76f759fed9</stp>
        <tr r="G4402" s="2"/>
      </tp>
      <tp>
        <v>5</v>
        <stp/>
        <stp>dbd5c0c8-ab7a-429e-b421-ce31a10b4ae1</stp>
        <tr r="G8496" s="2"/>
      </tp>
      <tp>
        <v>5</v>
        <stp/>
        <stp>cb6474b0-c4ae-423f-ac2a-ea79c2451c03</stp>
        <tr r="G7616" s="2"/>
      </tp>
    </main>
    <main first="rtdsrv_a82eb5a1fc404542a18b1336b70d2c4e">
      <tp>
        <v>5</v>
        <stp/>
        <stp>aac5b579-64b2-4ce2-a554-a3166e157bfe</stp>
        <tr r="G5193" s="2"/>
      </tp>
    </main>
    <main first="rtdsrv_a82eb5a1fc404542a18b1336b70d2c4e">
      <tp>
        <v>5</v>
        <stp/>
        <stp>2b48460b-943c-4e2c-9a8a-0f24002611cb</stp>
        <tr r="G3612" s="2"/>
      </tp>
      <tp>
        <v>5</v>
        <stp/>
        <stp>e57c3ab1-fe8b-48fa-9691-973395c899c1</stp>
        <tr r="G1148" s="2"/>
      </tp>
      <tp>
        <v>5</v>
        <stp/>
        <stp>e4c27ec2-7b22-4d6e-aefb-60d69001c4fc</stp>
        <tr r="G2442" s="2"/>
      </tp>
    </main>
    <main first="rtdsrv_a82eb5a1fc404542a18b1336b70d2c4e">
      <tp>
        <v>5</v>
        <stp/>
        <stp>19063a1f-b86a-4e51-a7d7-0918264c219f</stp>
        <tr r="G3759" s="2"/>
      </tp>
      <tp>
        <v>5</v>
        <stp/>
        <stp>d6efbccf-33cd-4954-afa8-7d8d6b333d43</stp>
        <tr r="G8340" s="2"/>
      </tp>
    </main>
    <main first="rtdsrv_a82eb5a1fc404542a18b1336b70d2c4e">
      <tp>
        <v>5</v>
        <stp/>
        <stp>5acc9406-150b-4357-8faa-9d240d7a4c0c</stp>
        <tr r="G146" s="2"/>
      </tp>
      <tp>
        <v>5</v>
        <stp/>
        <stp>3ee1d1e6-fe2b-4ae7-ac59-4b994ebd9f53</stp>
        <tr r="G1648" s="2"/>
      </tp>
      <tp>
        <v>5</v>
        <stp/>
        <stp>455bec79-b724-4604-89f7-45f624bdf650</stp>
        <tr r="G1155" s="2"/>
      </tp>
    </main>
    <main first="rtdsrv_a82eb5a1fc404542a18b1336b70d2c4e">
      <tp>
        <v>5</v>
        <stp/>
        <stp>b948160c-60eb-4674-9181-3a4c422d6701</stp>
        <tr r="G3617" s="2"/>
      </tp>
      <tp>
        <v>5</v>
        <stp/>
        <stp>66b0ec09-3a1d-4d86-9365-c4ff10a41327</stp>
        <tr r="G621" s="2"/>
      </tp>
      <tp>
        <v>5</v>
        <stp/>
        <stp>9c49c984-50ed-4815-ab92-9841e20ab89c</stp>
        <tr r="G8984" s="2"/>
      </tp>
      <tp>
        <v>5</v>
        <stp/>
        <stp>c4b5184f-5bc2-4573-adb0-50a368db7127</stp>
        <tr r="G1316" s="2"/>
      </tp>
    </main>
    <main first="rtdsrv_a82eb5a1fc404542a18b1336b70d2c4e">
      <tp>
        <v>5</v>
        <stp/>
        <stp>5fad9258-bbf5-4310-a947-227a65f69dc3</stp>
        <tr r="G7470" s="2"/>
      </tp>
      <tp>
        <v>5</v>
        <stp/>
        <stp>77aba388-77c8-4090-a878-a0bd6043ee31</stp>
        <tr r="G9228" s="2"/>
      </tp>
    </main>
    <main first="rtdsrv_a82eb5a1fc404542a18b1336b70d2c4e">
      <tp>
        <v>5</v>
        <stp/>
        <stp>e358bfcc-cbf9-4f53-8c0f-4e7b8e08edf2</stp>
        <tr r="G5298" s="2"/>
      </tp>
      <tp>
        <v>5</v>
        <stp/>
        <stp>ec4ba6a6-8c0b-4cb4-a299-d2c1eb9f0afe</stp>
        <tr r="G3489" s="2"/>
      </tp>
      <tp>
        <v>5</v>
        <stp/>
        <stp>c03d0e5c-f075-4722-97a0-6171b358a37d</stp>
        <tr r="G2016" s="2"/>
      </tp>
    </main>
    <main first="rtdsrv_a82eb5a1fc404542a18b1336b70d2c4e">
      <tp>
        <v>5</v>
        <stp/>
        <stp>8805f5ce-4c6c-492a-b183-1c231bffd0d6</stp>
        <tr r="G4017" s="2"/>
      </tp>
    </main>
    <main first="rtdsrv_a82eb5a1fc404542a18b1336b70d2c4e">
      <tp>
        <v>5</v>
        <stp/>
        <stp>6d8a00fd-1c08-4a8f-93fd-6d067ec9e5fb</stp>
        <tr r="G8381" s="2"/>
      </tp>
      <tp>
        <v>5</v>
        <stp/>
        <stp>3164f2be-dca3-43df-9928-8014aea82734</stp>
        <tr r="G3745" s="2"/>
      </tp>
      <tp>
        <v>5</v>
        <stp/>
        <stp>09006eb0-8313-4aa1-a620-5e146c8df04c</stp>
        <tr r="G102" s="2"/>
      </tp>
      <tp>
        <v>5</v>
        <stp/>
        <stp>e80962a6-18ad-41e8-a573-ae022638d657</stp>
        <tr r="G6800" s="2"/>
      </tp>
      <tp>
        <v>5</v>
        <stp/>
        <stp>8bad604d-2ec4-4989-ac2b-eb57aa860939</stp>
        <tr r="G4825" s="2"/>
      </tp>
    </main>
    <main first="rtdsrv_a82eb5a1fc404542a18b1336b70d2c4e">
      <tp>
        <v>5</v>
        <stp/>
        <stp>a0e3b280-72a5-456c-9600-0e76d43caf74</stp>
        <tr r="G9697" s="2"/>
      </tp>
      <tp>
        <v>5</v>
        <stp/>
        <stp>67621528-23d8-4d4c-928b-383e5a394c9d</stp>
        <tr r="G447" s="2"/>
      </tp>
      <tp>
        <v>5</v>
        <stp/>
        <stp>4a6b4225-07c4-43df-b0cc-1c9c8058cd05</stp>
        <tr r="G1939" s="2"/>
      </tp>
    </main>
    <main first="rtdsrv_a82eb5a1fc404542a18b1336b70d2c4e">
      <tp>
        <v>5</v>
        <stp/>
        <stp>48044896-6f15-4d46-a4ac-f73ca3bd741d</stp>
        <tr r="G2846" s="2"/>
      </tp>
      <tp>
        <v>5</v>
        <stp/>
        <stp>4c214fb6-201f-4acd-95f5-f0ae6f9822ae</stp>
        <tr r="G3205" s="2"/>
      </tp>
    </main>
    <main first="rtdsrv_a82eb5a1fc404542a18b1336b70d2c4e">
      <tp>
        <v>5</v>
        <stp/>
        <stp>128e75e5-1ba5-4d3a-a721-27bbe7619468</stp>
        <tr r="G3137" s="2"/>
      </tp>
    </main>
    <main first="rtdsrv_a82eb5a1fc404542a18b1336b70d2c4e">
      <tp>
        <v>5</v>
        <stp/>
        <stp>e5988046-7593-4377-807c-311aa044cb21</stp>
        <tr r="G7971" s="2"/>
      </tp>
      <tp>
        <v>5</v>
        <stp/>
        <stp>cd7df6b6-3221-4143-9c1f-7de12e95c315</stp>
        <tr r="G6529" s="2"/>
      </tp>
    </main>
    <main first="rtdsrv_a82eb5a1fc404542a18b1336b70d2c4e">
      <tp>
        <v>5</v>
        <stp/>
        <stp>a1433182-62f4-449e-8021-867a22d65410</stp>
        <tr r="G1214" s="2"/>
      </tp>
    </main>
    <main first="rtdsrv_a82eb5a1fc404542a18b1336b70d2c4e">
      <tp>
        <v>5</v>
        <stp/>
        <stp>f02ba676-0cf4-4a4d-aad5-9feccb84bcc5</stp>
        <tr r="G9495" s="2"/>
      </tp>
    </main>
    <main first="rtdsrv_a82eb5a1fc404542a18b1336b70d2c4e">
      <tp>
        <v>5</v>
        <stp/>
        <stp>236e785e-3a0a-4da8-b138-dbdc4f75bfd1</stp>
        <tr r="G2003" s="2"/>
      </tp>
    </main>
    <main first="rtdsrv_a82eb5a1fc404542a18b1336b70d2c4e">
      <tp>
        <v>5</v>
        <stp/>
        <stp>e075bd83-558f-403a-96ff-0779da3e5a57</stp>
        <tr r="G1199" s="2"/>
      </tp>
    </main>
    <main first="rtdsrv_a82eb5a1fc404542a18b1336b70d2c4e">
      <tp>
        <v>5</v>
        <stp/>
        <stp>752ed70d-327a-4907-9e60-6561e19bbeab</stp>
        <tr r="G853" s="2"/>
      </tp>
    </main>
    <main first="rtdsrv_a82eb5a1fc404542a18b1336b70d2c4e">
      <tp>
        <v>5</v>
        <stp/>
        <stp>461463e4-c2b4-4266-a929-6a6367e09eb0</stp>
        <tr r="G9285" s="2"/>
      </tp>
      <tp>
        <v>5</v>
        <stp/>
        <stp>40eff51f-0a1f-4fe1-a918-2da4ba240a05</stp>
        <tr r="G8783" s="2"/>
      </tp>
      <tp>
        <v>5</v>
        <stp/>
        <stp>984f44e1-0c55-45a9-bde8-e26a8ed8bf6a</stp>
        <tr r="G4763" s="2"/>
      </tp>
    </main>
    <main first="rtdsrv_a82eb5a1fc404542a18b1336b70d2c4e">
      <tp>
        <v>5</v>
        <stp/>
        <stp>669881f7-cc7b-4220-a2ae-2ae5f03305ac</stp>
        <tr r="G8920" s="2"/>
      </tp>
    </main>
    <main first="rtdsrv_a82eb5a1fc404542a18b1336b70d2c4e">
      <tp>
        <v>5</v>
        <stp/>
        <stp>5f53500f-50ad-4cdd-95b9-237243d1641b</stp>
        <tr r="G2764" s="2"/>
      </tp>
      <tp>
        <v>5</v>
        <stp/>
        <stp>d2381c22-5c79-4a14-8500-142e328c5766</stp>
        <tr r="G6721" s="2"/>
      </tp>
      <tp>
        <v>5</v>
        <stp/>
        <stp>4ea92a4a-ab36-4641-b361-97857ba9ef1f</stp>
        <tr r="G5709" s="2"/>
      </tp>
    </main>
    <main first="rtdsrv_a82eb5a1fc404542a18b1336b70d2c4e">
      <tp>
        <v>5</v>
        <stp/>
        <stp>c37fdd7b-688c-422f-a615-3d2cfba97a0e</stp>
        <tr r="G4245" s="2"/>
      </tp>
    </main>
    <main first="rtdsrv_a82eb5a1fc404542a18b1336b70d2c4e">
      <tp>
        <v>5</v>
        <stp/>
        <stp>20052a91-3d27-426f-add9-50a23581a4c8</stp>
        <tr r="G9178" s="2"/>
      </tp>
      <tp>
        <v>5</v>
        <stp/>
        <stp>ebf174ce-798d-4278-911d-5d1b0d28795e</stp>
        <tr r="G2522" s="2"/>
      </tp>
    </main>
    <main first="rtdsrv_a82eb5a1fc404542a18b1336b70d2c4e">
      <tp>
        <v>5</v>
        <stp/>
        <stp>e388a237-11c8-4997-99bc-d23df1027758</stp>
        <tr r="G1828" s="2"/>
      </tp>
    </main>
    <main first="rtdsrv_a82eb5a1fc404542a18b1336b70d2c4e">
      <tp>
        <v>5</v>
        <stp/>
        <stp>2b7a9c30-56e5-416c-90bf-27421d902760</stp>
        <tr r="G3077" s="2"/>
      </tp>
      <tp>
        <v>5</v>
        <stp/>
        <stp>46cda2b0-530c-4f5d-8d44-5999c158d8e3</stp>
        <tr r="G5494" s="2"/>
      </tp>
      <tp>
        <v>5</v>
        <stp/>
        <stp>3a44de46-e6cc-4fc5-92f9-f64d6617dce8</stp>
        <tr r="G647" s="2"/>
      </tp>
    </main>
    <main first="rtdsrv_a82eb5a1fc404542a18b1336b70d2c4e">
      <tp>
        <v>5</v>
        <stp/>
        <stp>09d8d72d-9f3d-43a4-831c-ab87591ac85d</stp>
        <tr r="G9926" s="2"/>
      </tp>
      <tp>
        <v>5</v>
        <stp/>
        <stp>c9a654a0-acab-4518-b001-3f9e3c5a201c</stp>
        <tr r="G3042" s="2"/>
      </tp>
    </main>
    <main first="rtdsrv_a82eb5a1fc404542a18b1336b70d2c4e">
      <tp>
        <v>5</v>
        <stp/>
        <stp>d766d580-404c-45ba-acb2-fdbb9282d29f</stp>
        <tr r="G2126" s="2"/>
      </tp>
      <tp>
        <v>5</v>
        <stp/>
        <stp>bada5f47-7074-4b75-ad6d-0aa5959a063f</stp>
        <tr r="G743" s="2"/>
      </tp>
    </main>
    <main first="rtdsrv_a82eb5a1fc404542a18b1336b70d2c4e">
      <tp>
        <v>5</v>
        <stp/>
        <stp>7cc68f4e-9a18-46d4-8c0f-6c694370699a</stp>
        <tr r="G5348" s="2"/>
      </tp>
      <tp>
        <v>5</v>
        <stp/>
        <stp>68f20af4-c55b-4e6e-928c-269cafa95ff3</stp>
        <tr r="G1292" s="2"/>
      </tp>
      <tp>
        <v>5</v>
        <stp/>
        <stp>8ea1f149-292f-4a3a-b8eb-9df27a550658</stp>
        <tr r="G8375" s="2"/>
      </tp>
      <tp>
        <v>5</v>
        <stp/>
        <stp>4e73f511-266d-4fcf-8bd4-a1fdd6299680</stp>
        <tr r="G1105" s="2"/>
      </tp>
    </main>
    <main first="rtdsrv_a82eb5a1fc404542a18b1336b70d2c4e">
      <tp>
        <v>5</v>
        <stp/>
        <stp>9a931c32-163b-4e15-982c-f3d460c0df0d</stp>
        <tr r="G769" s="2"/>
      </tp>
    </main>
    <main first="rtdsrv_a82eb5a1fc404542a18b1336b70d2c4e">
      <tp>
        <v>5</v>
        <stp/>
        <stp>7a250025-f2a9-40e8-b8eb-083b95325687</stp>
        <tr r="G3124" s="2"/>
      </tp>
      <tp>
        <v>5</v>
        <stp/>
        <stp>0d25c4ee-75f7-4818-8714-f5046875629c</stp>
        <tr r="G7730" s="2"/>
      </tp>
    </main>
    <main first="rtdsrv_a82eb5a1fc404542a18b1336b70d2c4e">
      <tp>
        <v>5</v>
        <stp/>
        <stp>38f88479-9c47-4086-af79-817a90a00d5f</stp>
        <tr r="G2687" s="2"/>
      </tp>
      <tp>
        <v>5</v>
        <stp/>
        <stp>0ec96325-341d-44bb-bd1c-7e48878ef5be</stp>
        <tr r="G7130" s="2"/>
      </tp>
      <tp>
        <v>5</v>
        <stp/>
        <stp>6b3f5013-09a2-400b-8726-c060c6f21e5c</stp>
        <tr r="G2114" s="2"/>
      </tp>
    </main>
    <main first="rtdsrv_a82eb5a1fc404542a18b1336b70d2c4e">
      <tp>
        <v>5</v>
        <stp/>
        <stp>37cea488-ba4d-4f27-abca-2140fff7a3a6</stp>
        <tr r="G9443" s="2"/>
      </tp>
    </main>
    <main first="rtdsrv_a82eb5a1fc404542a18b1336b70d2c4e">
      <tp>
        <v>5</v>
        <stp/>
        <stp>3d20ca51-ab81-4d3c-9a41-d62a468efb69</stp>
        <tr r="G9081" s="2"/>
      </tp>
      <tp>
        <v>5</v>
        <stp/>
        <stp>0e15d5b7-0909-44fb-b725-d322bfee34a1</stp>
        <tr r="G4068" s="2"/>
      </tp>
    </main>
    <main first="rtdsrv_a82eb5a1fc404542a18b1336b70d2c4e">
      <tp>
        <v>5</v>
        <stp/>
        <stp>9a41e40c-a18f-4d08-a980-eb794e9bfbb8</stp>
        <tr r="G774" s="2"/>
      </tp>
    </main>
    <main first="rtdsrv_a82eb5a1fc404542a18b1336b70d2c4e">
      <tp>
        <v>5</v>
        <stp/>
        <stp>24a0ed8b-9841-44d8-8fb0-daf0e786d4f9</stp>
        <tr r="G2925" s="2"/>
      </tp>
      <tp>
        <v>5</v>
        <stp/>
        <stp>d4735971-05ad-4428-a80e-f274459fdc77</stp>
        <tr r="G7619" s="2"/>
      </tp>
    </main>
    <main first="rtdsrv_a82eb5a1fc404542a18b1336b70d2c4e">
      <tp>
        <v>5</v>
        <stp/>
        <stp>5b0ba743-bc9f-45bc-b53e-56ae003c309d</stp>
        <tr r="G7937" s="2"/>
      </tp>
      <tp>
        <v>5</v>
        <stp/>
        <stp>7225cd60-ccc4-42b3-bac5-02981c365e1e</stp>
        <tr r="G2008" s="2"/>
      </tp>
      <tp>
        <v>5</v>
        <stp/>
        <stp>82171bc5-2f99-4227-8dcb-da2b4e493c97</stp>
        <tr r="G4983" s="2"/>
      </tp>
    </main>
    <main first="rtdsrv_a82eb5a1fc404542a18b1336b70d2c4e">
      <tp>
        <v>5</v>
        <stp/>
        <stp>3f38248c-da6a-4f71-a72a-90e98540da0f</stp>
        <tr r="G5275" s="2"/>
      </tp>
    </main>
    <main first="rtdsrv_a82eb5a1fc404542a18b1336b70d2c4e">
      <tp>
        <v>5</v>
        <stp/>
        <stp>8cf7eb8b-74a5-4e7c-b3e4-63c8e7336ed8</stp>
        <tr r="G1076" s="2"/>
      </tp>
      <tp>
        <v>5</v>
        <stp/>
        <stp>806500e8-097c-4609-9b24-99c6c25eaabd</stp>
        <tr r="G8717" s="2"/>
      </tp>
    </main>
    <main first="rtdsrv_a82eb5a1fc404542a18b1336b70d2c4e">
      <tp>
        <v>5</v>
        <stp/>
        <stp>401b6098-4949-4e93-9085-8693fa6289a0</stp>
        <tr r="G9206" s="2"/>
      </tp>
    </main>
    <main first="rtdsrv_a82eb5a1fc404542a18b1336b70d2c4e">
      <tp>
        <v>5</v>
        <stp/>
        <stp>984f3246-feb7-4772-9585-338e1a0a8e24</stp>
        <tr r="G6508" s="2"/>
      </tp>
    </main>
    <main first="rtdsrv_a82eb5a1fc404542a18b1336b70d2c4e">
      <tp>
        <v>5</v>
        <stp/>
        <stp>bafeeccf-c38b-4cdf-85d5-6688c00734aa</stp>
        <tr r="G6122" s="2"/>
      </tp>
    </main>
    <main first="rtdsrv_a82eb5a1fc404542a18b1336b70d2c4e">
      <tp>
        <v>5</v>
        <stp/>
        <stp>442e3002-3be7-447b-9deb-8e8692aa9618</stp>
        <tr r="G2729" s="2"/>
      </tp>
      <tp>
        <v>5</v>
        <stp/>
        <stp>7f62252d-6938-4877-891c-17bc537c06a4</stp>
        <tr r="G2697" s="2"/>
      </tp>
    </main>
    <main first="rtdsrv_a82eb5a1fc404542a18b1336b70d2c4e">
      <tp>
        <v>5</v>
        <stp/>
        <stp>affb6e6f-0a15-48e7-8a79-9ca86370224b</stp>
        <tr r="G1888" s="2"/>
      </tp>
      <tp>
        <v>5</v>
        <stp/>
        <stp>f44b7beb-0e2b-41e3-97aa-6773a0108b9f</stp>
        <tr r="G2995" s="2"/>
      </tp>
    </main>
    <main first="rtdsrv_a82eb5a1fc404542a18b1336b70d2c4e">
      <tp>
        <v>5</v>
        <stp/>
        <stp>f1e5634b-a0c0-4bbe-907e-372ab5e63b9c</stp>
        <tr r="G6777" s="2"/>
      </tp>
      <tp>
        <v>5</v>
        <stp/>
        <stp>cdfa670f-1e6e-41a6-96a8-8374cf5921b1</stp>
        <tr r="G5923" s="2"/>
      </tp>
      <tp>
        <v>5</v>
        <stp/>
        <stp>39ca1979-73de-4cb8-a84d-606e7c88b9fe</stp>
        <tr r="G103" s="2"/>
      </tp>
    </main>
    <main first="rtdsrv_a82eb5a1fc404542a18b1336b70d2c4e">
      <tp>
        <v>5</v>
        <stp/>
        <stp>cfb0b2b9-4cae-4d9e-a769-eb179999399c</stp>
        <tr r="G3933" s="2"/>
      </tp>
    </main>
    <main first="rtdsrv_a82eb5a1fc404542a18b1336b70d2c4e">
      <tp>
        <v>5</v>
        <stp/>
        <stp>f6e9328d-f344-4721-847f-b32280e0d64f</stp>
        <tr r="G9276" s="2"/>
      </tp>
      <tp>
        <v>5</v>
        <stp/>
        <stp>9c959970-c406-4459-b7af-b465519ea581</stp>
        <tr r="G4683" s="2"/>
      </tp>
      <tp>
        <v>5</v>
        <stp/>
        <stp>fab781dc-e9d7-44fe-893d-45b0ea472ff6</stp>
        <tr r="G5936" s="2"/>
      </tp>
      <tp>
        <v>5</v>
        <stp/>
        <stp>49715d86-96c8-4d31-9051-c903b92bd1aa</stp>
        <tr r="G7691" s="2"/>
      </tp>
      <tp>
        <v>5</v>
        <stp/>
        <stp>7ab3b04e-1c0a-4e91-8d67-cc7e76fc3c86</stp>
        <tr r="G3893" s="2"/>
      </tp>
    </main>
    <main first="rtdsrv_a82eb5a1fc404542a18b1336b70d2c4e">
      <tp>
        <v>5</v>
        <stp/>
        <stp>2331fd22-cd80-481c-88fe-3a16c49d55c9</stp>
        <tr r="G591" s="2"/>
      </tp>
    </main>
    <main first="rtdsrv_a82eb5a1fc404542a18b1336b70d2c4e">
      <tp>
        <v>5</v>
        <stp/>
        <stp>c6115f46-77ea-4cee-89ad-80a35188f3da</stp>
        <tr r="G1351" s="2"/>
      </tp>
      <tp>
        <v>5</v>
        <stp/>
        <stp>63576e09-b466-439c-b368-4fd47302ae63</stp>
        <tr r="G4428" s="2"/>
      </tp>
    </main>
    <main first="rtdsrv_a82eb5a1fc404542a18b1336b70d2c4e">
      <tp>
        <v>5</v>
        <stp/>
        <stp>8a080914-f9be-48d7-9087-1a9bd9f81842</stp>
        <tr r="G5482" s="2"/>
      </tp>
      <tp>
        <v>5</v>
        <stp/>
        <stp>88acc525-522f-44c4-be9b-c33dcbf0f52e</stp>
        <tr r="G9860" s="2"/>
      </tp>
    </main>
    <main first="rtdsrv_a82eb5a1fc404542a18b1336b70d2c4e">
      <tp>
        <v>5</v>
        <stp/>
        <stp>a28547de-8731-4064-9383-7e9a47a582d2</stp>
        <tr r="G7720" s="2"/>
      </tp>
      <tp>
        <v>5</v>
        <stp/>
        <stp>36e6065c-40cc-48f6-b6c5-9f436bc7a4fd</stp>
        <tr r="G1480" s="2"/>
      </tp>
    </main>
    <main first="rtdsrv_a82eb5a1fc404542a18b1336b70d2c4e">
      <tp>
        <v>5</v>
        <stp/>
        <stp>b23b83c1-bdbc-436f-8d9e-f97c6aa2c5cd</stp>
        <tr r="G2656" s="2"/>
      </tp>
      <tp>
        <v>5</v>
        <stp/>
        <stp>f5bd12ed-da18-4f3a-991d-8cda87314616</stp>
        <tr r="G1047" s="2"/>
      </tp>
      <tp>
        <v>5</v>
        <stp/>
        <stp>e70b6e7d-4268-428d-a526-bdb20cdcbfa9</stp>
        <tr r="G4724" s="2"/>
      </tp>
      <tp>
        <v>5</v>
        <stp/>
        <stp>41d92ec4-eaf0-4bf0-a7b2-93a190d51158</stp>
        <tr r="G6210" s="2"/>
      </tp>
      <tp>
        <v>5</v>
        <stp/>
        <stp>ae924955-8fe9-4cc7-91fd-21a9d19bed21</stp>
        <tr r="G2039" s="2"/>
      </tp>
    </main>
    <main first="rtdsrv_a82eb5a1fc404542a18b1336b70d2c4e">
      <tp>
        <v>5</v>
        <stp/>
        <stp>d3a2fade-3a7d-4ed7-9218-14473a54ac9a</stp>
        <tr r="G6514" s="2"/>
      </tp>
      <tp>
        <v>5</v>
        <stp/>
        <stp>81ccee7e-a0ff-47d2-9add-8e3efaddf637</stp>
        <tr r="G3522" s="2"/>
      </tp>
    </main>
    <main first="rtdsrv_a82eb5a1fc404542a18b1336b70d2c4e">
      <tp>
        <v>5</v>
        <stp/>
        <stp>e72a0b9f-b405-40c4-bcb1-f6fe9458129b</stp>
        <tr r="G7763" s="2"/>
      </tp>
      <tp>
        <v>5</v>
        <stp/>
        <stp>b3caf153-314f-45dd-b94a-bdd4eb1d666e</stp>
        <tr r="G8834" s="2"/>
      </tp>
      <tp>
        <v>5</v>
        <stp/>
        <stp>bd39a6b2-9430-4c54-9329-7d9f7a929997</stp>
        <tr r="G8192" s="2"/>
      </tp>
      <tp>
        <v>5</v>
        <stp/>
        <stp>2e514734-66c4-4875-87f1-a1fdc6d04af0</stp>
        <tr r="G1402" s="2"/>
      </tp>
      <tp>
        <v>5</v>
        <stp/>
        <stp>6020c821-7c8a-4b78-bf08-dfc542d72295</stp>
        <tr r="G101" s="2"/>
      </tp>
      <tp>
        <v>5</v>
        <stp/>
        <stp>c42f48dd-4a0b-47b6-a8e4-b07922af9802</stp>
        <tr r="G5463" s="2"/>
      </tp>
      <tp>
        <v>5</v>
        <stp/>
        <stp>4351db74-c085-49e4-891c-1f374af33aa1</stp>
        <tr r="G3249" s="2"/>
      </tp>
      <tp>
        <v>5</v>
        <stp/>
        <stp>51e31f01-970c-49b4-b7d3-4b3b9451b920</stp>
        <tr r="G3577" s="2"/>
      </tp>
    </main>
    <main first="rtdsrv_a82eb5a1fc404542a18b1336b70d2c4e">
      <tp>
        <v>5</v>
        <stp/>
        <stp>fe495837-967d-4856-b0bb-7ae3b37bb3db</stp>
        <tr r="G8942" s="2"/>
      </tp>
      <tp>
        <v>5</v>
        <stp/>
        <stp>b1fe3121-e9cf-442b-88a1-ad9925ce2fc6</stp>
        <tr r="G6755" s="2"/>
      </tp>
      <tp>
        <v>5</v>
        <stp/>
        <stp>492108b0-bea5-49af-8eb3-4fb2d333bc21</stp>
        <tr r="G1516" s="2"/>
      </tp>
    </main>
    <main first="rtdsrv_a82eb5a1fc404542a18b1336b70d2c4e">
      <tp>
        <v>5</v>
        <stp/>
        <stp>d0896b90-b5a8-4afd-bd42-60ff4558f40f</stp>
        <tr r="G7105" s="2"/>
      </tp>
      <tp>
        <v>5</v>
        <stp/>
        <stp>ae5e8550-019c-4cb3-b832-fa2173c5dc77</stp>
        <tr r="G4139" s="2"/>
      </tp>
    </main>
    <main first="rtdsrv_a82eb5a1fc404542a18b1336b70d2c4e">
      <tp>
        <v>5</v>
        <stp/>
        <stp>f5788925-a366-4c26-879b-30f907a86469</stp>
        <tr r="G9136" s="2"/>
      </tp>
      <tp>
        <v>5</v>
        <stp/>
        <stp>090b6f4b-5a05-421f-9d9a-21cc70fd1ede</stp>
        <tr r="G1481" s="2"/>
      </tp>
    </main>
    <main first="rtdsrv_a82eb5a1fc404542a18b1336b70d2c4e">
      <tp>
        <v>5</v>
        <stp/>
        <stp>f2a2930f-b0b3-4a20-89a9-1b458d9fee39</stp>
        <tr r="G1819" s="2"/>
      </tp>
      <tp>
        <v>5</v>
        <stp/>
        <stp>aa153945-9550-41c5-b0ac-4eb48ea15d6f</stp>
        <tr r="G2988" s="2"/>
      </tp>
      <tp>
        <v>5</v>
        <stp/>
        <stp>a43cc50e-6785-44b5-97f8-f2cc5f8d9a15</stp>
        <tr r="G7848" s="2"/>
      </tp>
      <tp>
        <v>5</v>
        <stp/>
        <stp>623e1447-a72a-4896-8cad-8b0e56fd15dc</stp>
        <tr r="G8369" s="2"/>
      </tp>
    </main>
    <main first="rtdsrv_a82eb5a1fc404542a18b1336b70d2c4e">
      <tp>
        <v>5</v>
        <stp/>
        <stp>759dd052-fc4b-47ad-bdc2-c324ee05cc98</stp>
        <tr r="G3185" s="2"/>
      </tp>
    </main>
    <main first="rtdsrv_a82eb5a1fc404542a18b1336b70d2c4e">
      <tp>
        <v>5</v>
        <stp/>
        <stp>6620c3f6-04cc-488c-95fb-5bec32761168</stp>
        <tr r="G9707" s="2"/>
      </tp>
    </main>
    <main first="rtdsrv_a82eb5a1fc404542a18b1336b70d2c4e">
      <tp>
        <v>5</v>
        <stp/>
        <stp>c9161def-c59d-4c86-8bc6-29127382a089</stp>
        <tr r="G3753" s="2"/>
      </tp>
      <tp>
        <v>5</v>
        <stp/>
        <stp>c8a0224d-8a85-4e20-89e3-40c05433921d</stp>
        <tr r="G2146" s="2"/>
      </tp>
    </main>
    <main first="rtdsrv_a82eb5a1fc404542a18b1336b70d2c4e">
      <tp>
        <v>5</v>
        <stp/>
        <stp>5f37b7b9-b2fe-48c4-9a60-05b8ee4a90cb</stp>
        <tr r="G4591" s="2"/>
      </tp>
      <tp>
        <v>5</v>
        <stp/>
        <stp>8f90d1b8-1df1-43a2-9c3d-61b5cef91b94</stp>
        <tr r="G3872" s="2"/>
      </tp>
    </main>
    <main first="rtdsrv_a82eb5a1fc404542a18b1336b70d2c4e">
      <tp>
        <v>5</v>
        <stp/>
        <stp>266b4e15-0a03-4007-8b84-1e70c91a5a2d</stp>
        <tr r="G5567" s="2"/>
      </tp>
      <tp>
        <v>5</v>
        <stp/>
        <stp>15a649d1-8dbd-4315-82fe-54c11f239d37</stp>
        <tr r="G4169" s="2"/>
      </tp>
    </main>
    <main first="rtdsrv_a82eb5a1fc404542a18b1336b70d2c4e">
      <tp>
        <v>5</v>
        <stp/>
        <stp>3a79bcda-fa78-409d-93ee-a7d0e4a1975b</stp>
        <tr r="G7860" s="2"/>
      </tp>
      <tp>
        <v>5</v>
        <stp/>
        <stp>b0731125-16f6-401a-b44b-e130eccf7ffe</stp>
        <tr r="G3014" s="2"/>
      </tp>
      <tp>
        <v>5</v>
        <stp/>
        <stp>7fbda819-34ae-4662-bc72-3bf2ac1968ea</stp>
        <tr r="G9421" s="2"/>
      </tp>
      <tp>
        <v>5</v>
        <stp/>
        <stp>44c06715-ff0d-4763-9a63-21c7a9f599e4</stp>
        <tr r="G9077" s="2"/>
      </tp>
      <tp>
        <v>5</v>
        <stp/>
        <stp>f808a2a0-43f8-4641-8124-68f51baad669</stp>
        <tr r="G546" s="2"/>
      </tp>
    </main>
    <main first="rtdsrv_a82eb5a1fc404542a18b1336b70d2c4e">
      <tp>
        <v>5</v>
        <stp/>
        <stp>17e2a6c2-0c1b-445a-bbb2-970fdaf985f1</stp>
        <tr r="G9900" s="2"/>
      </tp>
      <tp>
        <v>5</v>
        <stp/>
        <stp>46397371-7095-42a1-8604-8c78a3f91263</stp>
        <tr r="G3988" s="2"/>
      </tp>
      <tp>
        <v>5</v>
        <stp/>
        <stp>ea22c1ce-44dc-4f1a-99a8-ab8ac11e0f3b</stp>
        <tr r="G4788" s="2"/>
      </tp>
    </main>
    <main first="rtdsrv_a82eb5a1fc404542a18b1336b70d2c4e">
      <tp>
        <v>5</v>
        <stp/>
        <stp>ffa0f8b7-6b04-4cd4-b783-916e4654d260</stp>
        <tr r="G5617" s="2"/>
      </tp>
      <tp>
        <v>5</v>
        <stp/>
        <stp>fd620d4a-79fa-4dbf-b556-91c0e202669a</stp>
        <tr r="G6706" s="2"/>
      </tp>
      <tp>
        <v>5</v>
        <stp/>
        <stp>9866b807-8ab0-4537-b782-96400f1a5677</stp>
        <tr r="G6371" s="2"/>
      </tp>
    </main>
    <main first="rtdsrv_a82eb5a1fc404542a18b1336b70d2c4e">
      <tp>
        <v>5</v>
        <stp/>
        <stp>ec30f591-c946-4044-99be-0d9f1e075387</stp>
        <tr r="G3755" s="2"/>
      </tp>
      <tp>
        <v>5</v>
        <stp/>
        <stp>73f38e75-9a6c-41fd-8391-8cfdb2fdf2fb</stp>
        <tr r="G9534" s="2"/>
      </tp>
      <tp>
        <v>5</v>
        <stp/>
        <stp>cff6af4a-c78b-4e1a-a5c3-30295ebdcef2</stp>
        <tr r="G8111" s="2"/>
      </tp>
      <tp>
        <v>5</v>
        <stp/>
        <stp>27abc98e-4a47-40f7-a170-b8924ca1c00e</stp>
        <tr r="G610" s="2"/>
      </tp>
    </main>
    <main first="rtdsrv_a82eb5a1fc404542a18b1336b70d2c4e">
      <tp>
        <v>5</v>
        <stp/>
        <stp>db19adbc-e515-4537-8923-364d4e67bd70</stp>
        <tr r="G7898" s="2"/>
      </tp>
    </main>
    <main first="rtdsrv_a82eb5a1fc404542a18b1336b70d2c4e">
      <tp>
        <v>5</v>
        <stp/>
        <stp>e530a4aa-c371-4e27-a8d1-c303bcd250df</stp>
        <tr r="G1289" s="2"/>
      </tp>
    </main>
    <main first="rtdsrv_a82eb5a1fc404542a18b1336b70d2c4e">
      <tp>
        <v>5</v>
        <stp/>
        <stp>523223ac-1a6c-42c0-9f46-d1f5c10a4e39</stp>
        <tr r="G3485" s="2"/>
      </tp>
    </main>
    <main first="rtdsrv_a82eb5a1fc404542a18b1336b70d2c4e">
      <tp>
        <v>5</v>
        <stp/>
        <stp>8a374e8f-5416-47a5-9a09-e1061c03c7fe</stp>
        <tr r="G56" s="2"/>
      </tp>
      <tp>
        <v>5</v>
        <stp/>
        <stp>eb0571e3-6c62-4260-8850-071f10ff3612</stp>
        <tr r="G8194" s="2"/>
      </tp>
      <tp>
        <v>5</v>
        <stp/>
        <stp>f471c632-3e4c-4cd5-bdc0-b07e8cbceed9</stp>
        <tr r="G4965" s="2"/>
      </tp>
    </main>
    <main first="rtdsrv_a82eb5a1fc404542a18b1336b70d2c4e">
      <tp>
        <v>5</v>
        <stp/>
        <stp>155f351f-c70b-4e13-bbff-28279920af5e</stp>
        <tr r="G4362" s="2"/>
      </tp>
      <tp>
        <v>5</v>
        <stp/>
        <stp>6b086cd0-a38d-4c7e-b0f6-c9570805f34e</stp>
        <tr r="G464" s="2"/>
      </tp>
      <tp>
        <v>5</v>
        <stp/>
        <stp>eba53e99-d111-4e38-87b4-2c2cc26d8991</stp>
        <tr r="G7727" s="2"/>
      </tp>
    </main>
    <main first="rtdsrv_a82eb5a1fc404542a18b1336b70d2c4e">
      <tp>
        <v>5</v>
        <stp/>
        <stp>3bc7ae4f-9554-4221-b284-c52ef2b55af5</stp>
        <tr r="G2725" s="2"/>
      </tp>
      <tp>
        <v>5</v>
        <stp/>
        <stp>bb5eb370-eafc-469d-9337-6458b207f41b</stp>
        <tr r="G3849" s="2"/>
      </tp>
      <tp>
        <v>5</v>
        <stp/>
        <stp>4a1a78c3-7fbe-4aed-ae96-41a7955b6f67</stp>
        <tr r="G6100" s="2"/>
      </tp>
      <tp>
        <v>5</v>
        <stp/>
        <stp>c06b5d05-d95f-4569-9aae-0472c9873455</stp>
        <tr r="G4647" s="2"/>
      </tp>
      <tp>
        <v>5</v>
        <stp/>
        <stp>8ea81504-0809-42d4-9942-d5d01ef84a9a</stp>
        <tr r="G6940" s="2"/>
      </tp>
      <tp>
        <v>5</v>
        <stp/>
        <stp>3bf34c2c-3efd-410f-aed5-0bab2b792a2e</stp>
        <tr r="G3780" s="2"/>
      </tp>
    </main>
    <main first="rtdsrv_a82eb5a1fc404542a18b1336b70d2c4e">
      <tp>
        <v>5</v>
        <stp/>
        <stp>a3962a82-263e-4b1b-bc86-9336eac9691a</stp>
        <tr r="G6657" s="2"/>
      </tp>
      <tp>
        <v>5</v>
        <stp/>
        <stp>6f7fddbc-7e1e-4ac3-9e5d-a1dce7d38d4f</stp>
        <tr r="G1233" s="2"/>
      </tp>
      <tp>
        <v>5</v>
        <stp/>
        <stp>d71fb2ff-7c15-4543-90f4-d6595c263cf3</stp>
        <tr r="G141" s="2"/>
      </tp>
      <tp>
        <v>5</v>
        <stp/>
        <stp>2141fe9c-d83a-40cc-b81c-32d46ed94d72</stp>
        <tr r="G61" s="2"/>
      </tp>
    </main>
    <main first="rtdsrv_a82eb5a1fc404542a18b1336b70d2c4e">
      <tp>
        <v>5</v>
        <stp/>
        <stp>462c3dd9-905f-4d42-bb50-c58ea0909867</stp>
        <tr r="G5584" s="2"/>
      </tp>
      <tp>
        <v>5</v>
        <stp/>
        <stp>4b51b056-1aa0-4a6f-a329-bb36b3875723</stp>
        <tr r="G2059" s="2"/>
      </tp>
    </main>
    <main first="rtdsrv_a82eb5a1fc404542a18b1336b70d2c4e">
      <tp>
        <v>5</v>
        <stp/>
        <stp>9ead1116-0482-43b6-9557-950f9056937f</stp>
        <tr r="G5235" s="2"/>
      </tp>
      <tp>
        <v>5</v>
        <stp/>
        <stp>1a66dcdd-8147-485c-81e3-7a2fc5b559ac</stp>
        <tr r="G3656" s="2"/>
      </tp>
    </main>
    <main first="rtdsrv_a82eb5a1fc404542a18b1336b70d2c4e">
      <tp>
        <v>5</v>
        <stp/>
        <stp>b34b0e50-2460-4a71-8e2d-d1ff27f2b008</stp>
        <tr r="G999" s="2"/>
      </tp>
      <tp>
        <v>5</v>
        <stp/>
        <stp>5fc7d0e2-54cf-4175-b850-3370d8da4906</stp>
        <tr r="G6407" s="2"/>
      </tp>
      <tp>
        <v>5</v>
        <stp/>
        <stp>1d09d4fc-dd7d-4ece-8a54-7152a63bd2a3</stp>
        <tr r="G9733" s="2"/>
      </tp>
      <tp>
        <v>5</v>
        <stp/>
        <stp>2d1ba2dc-0e84-47f7-a9bd-3f0644247070</stp>
        <tr r="G6530" s="2"/>
      </tp>
    </main>
    <main first="rtdsrv_a82eb5a1fc404542a18b1336b70d2c4e">
      <tp>
        <v>5</v>
        <stp/>
        <stp>6008dc5a-469f-483a-b974-a60c1ea24372</stp>
        <tr r="G9103" s="2"/>
      </tp>
      <tp>
        <v>5</v>
        <stp/>
        <stp>1ac6ec6a-e1ce-4c1a-94aa-08caa7aff9f0</stp>
        <tr r="G1288" s="2"/>
      </tp>
    </main>
    <main first="rtdsrv_a82eb5a1fc404542a18b1336b70d2c4e">
      <tp>
        <v>5</v>
        <stp/>
        <stp>eb06103d-0433-4cd3-be4f-22fdad1d6bde</stp>
        <tr r="G2978" s="2"/>
      </tp>
      <tp>
        <v>5</v>
        <stp/>
        <stp>44c69169-a387-449d-bb4a-b7d0105b0b46</stp>
        <tr r="G6920" s="2"/>
      </tp>
    </main>
    <main first="rtdsrv_a82eb5a1fc404542a18b1336b70d2c4e">
      <tp>
        <v>5</v>
        <stp/>
        <stp>a2e4983b-0f26-4618-be31-86a6925aed7a</stp>
        <tr r="G7633" s="2"/>
      </tp>
      <tp>
        <v>5</v>
        <stp/>
        <stp>ca737b15-c638-4336-8e38-4e284fad579b</stp>
        <tr r="G5993" s="2"/>
      </tp>
      <tp>
        <v>5</v>
        <stp/>
        <stp>59fc6abe-95f3-4681-b703-e99069a50180</stp>
        <tr r="G7139" s="2"/>
      </tp>
      <tp>
        <v>5</v>
        <stp/>
        <stp>7fe5c900-fcd0-4508-b06d-810786e56ae6</stp>
        <tr r="G5972" s="2"/>
      </tp>
      <tp>
        <v>5</v>
        <stp/>
        <stp>33c13ade-6648-4896-9273-7c5a53400da2</stp>
        <tr r="G1285" s="2"/>
      </tp>
      <tp>
        <v>5</v>
        <stp/>
        <stp>025cc6bd-fc05-4a6f-8a0e-61584b3ed650</stp>
        <tr r="G5409" s="2"/>
      </tp>
      <tp>
        <v>5</v>
        <stp/>
        <stp>a32740f9-8ff3-4222-9b58-a2d8ef9e2956</stp>
        <tr r="G1023" s="2"/>
      </tp>
      <tp>
        <v>5</v>
        <stp/>
        <stp>b7086e31-7457-4364-af34-91b037ebb5f5</stp>
        <tr r="G1031" s="2"/>
      </tp>
    </main>
    <main first="rtdsrv_a82eb5a1fc404542a18b1336b70d2c4e">
      <tp>
        <v>5</v>
        <stp/>
        <stp>9b6ac99c-e2de-428c-bd75-b226f09f09a3</stp>
        <tr r="G1058" s="2"/>
      </tp>
      <tp>
        <v>5</v>
        <stp/>
        <stp>15383364-a75a-46d3-8147-32f46477876b</stp>
        <tr r="G9775" s="2"/>
      </tp>
    </main>
    <main first="rtdsrv_a82eb5a1fc404542a18b1336b70d2c4e">
      <tp>
        <v>5</v>
        <stp/>
        <stp>f8197244-d481-4c3f-96ea-8649024ab833</stp>
        <tr r="G8353" s="2"/>
      </tp>
      <tp>
        <v>5</v>
        <stp/>
        <stp>ebb79aed-be2e-48a4-8bfd-42415420ddcb</stp>
        <tr r="G3907" s="2"/>
      </tp>
      <tp>
        <v>5</v>
        <stp/>
        <stp>6419d88c-58d2-4e49-af40-954452deab2e</stp>
        <tr r="G1117" s="2"/>
      </tp>
      <tp>
        <v>5</v>
        <stp/>
        <stp>95fb0042-6789-4fd8-8165-c86487f53cc9</stp>
        <tr r="G7798" s="2"/>
      </tp>
      <tp>
        <v>5</v>
        <stp/>
        <stp>977506f3-354d-442b-851f-bb28c1008cc9</stp>
        <tr r="G7627" s="2"/>
      </tp>
      <tp>
        <v>5</v>
        <stp/>
        <stp>eb050c9f-0d43-4d10-a61f-eda9908ae515</stp>
        <tr r="G8175" s="2"/>
      </tp>
    </main>
    <main first="rtdsrv_a82eb5a1fc404542a18b1336b70d2c4e">
      <tp>
        <v>5</v>
        <stp/>
        <stp>1cd54a66-e3f8-41bb-9226-2d097c178a57</stp>
        <tr r="G7509" s="2"/>
      </tp>
      <tp>
        <v>5</v>
        <stp/>
        <stp>fefbbb65-3ceb-4e47-93d1-f6c995240507</stp>
        <tr r="G6192" s="2"/>
      </tp>
      <tp>
        <v>5</v>
        <stp/>
        <stp>ad4b4be3-0469-4c16-b54f-9ebffedecef0</stp>
        <tr r="G1398" s="2"/>
      </tp>
      <tp>
        <v>5</v>
        <stp/>
        <stp>8f251f50-46ba-4597-ad42-e74a146b8ebe</stp>
        <tr r="G7615" s="2"/>
      </tp>
    </main>
    <main first="rtdsrv_a82eb5a1fc404542a18b1336b70d2c4e">
      <tp>
        <v>5</v>
        <stp/>
        <stp>95abe464-a5ae-43bb-b0ad-e231cdb25d47</stp>
        <tr r="G4659" s="2"/>
      </tp>
    </main>
    <main first="rtdsrv_a82eb5a1fc404542a18b1336b70d2c4e">
      <tp>
        <v>5</v>
        <stp/>
        <stp>c0c9e5f0-0e52-4866-a2bb-662856b71019</stp>
        <tr r="G7698" s="2"/>
      </tp>
      <tp>
        <v>5</v>
        <stp/>
        <stp>fda41e15-ee86-4134-b7dc-7acd9ac78e5f</stp>
        <tr r="G4379" s="2"/>
      </tp>
      <tp>
        <v>5</v>
        <stp/>
        <stp>f1a89f5d-538e-4eb1-98d3-6b40c4f5f0ee</stp>
        <tr r="G8147" s="2"/>
      </tp>
      <tp>
        <v>5</v>
        <stp/>
        <stp>1845ff7d-cb5f-43cc-809f-e635f92269e1</stp>
        <tr r="G4093" s="2"/>
      </tp>
      <tp>
        <v>5</v>
        <stp/>
        <stp>94bf82ae-1646-45f9-9375-ba0e591380b4</stp>
        <tr r="G2208" s="2"/>
      </tp>
    </main>
    <main first="rtdsrv_a82eb5a1fc404542a18b1336b70d2c4e">
      <tp>
        <v>5</v>
        <stp/>
        <stp>c787fe79-438c-456e-b34a-57ca11ddaaff</stp>
        <tr r="G1280" s="2"/>
      </tp>
    </main>
    <main first="rtdsrv_a82eb5a1fc404542a18b1336b70d2c4e">
      <tp>
        <v>5</v>
        <stp/>
        <stp>5b20064e-6771-408f-8897-00375d0fa992</stp>
        <tr r="G4593" s="2"/>
      </tp>
      <tp>
        <v>5</v>
        <stp/>
        <stp>db24b1e2-d5fb-4b06-857e-ae21a117d285</stp>
        <tr r="G9876" s="2"/>
      </tp>
      <tp>
        <v>5</v>
        <stp/>
        <stp>8aeb4169-f81b-402a-8b05-af146e0714c5</stp>
        <tr r="G2553" s="2"/>
      </tp>
      <tp>
        <v>5</v>
        <stp/>
        <stp>9ad68356-b5f8-463b-b2e9-77023d5d24d0</stp>
        <tr r="G220" s="2"/>
      </tp>
      <tp>
        <v>5</v>
        <stp/>
        <stp>5534eec7-7511-4d54-bedd-47ca8f8726f5</stp>
        <tr r="G9398" s="2"/>
      </tp>
    </main>
    <main first="rtdsrv_a82eb5a1fc404542a18b1336b70d2c4e">
      <tp>
        <v>5</v>
        <stp/>
        <stp>2d1187a7-5d17-4d81-a7c1-ae33473ef699</stp>
        <tr r="G6944" s="2"/>
      </tp>
      <tp>
        <v>5</v>
        <stp/>
        <stp>c6006993-19a8-49d2-a2ac-219138fe3403</stp>
        <tr r="G4523" s="2"/>
      </tp>
      <tp>
        <v>5</v>
        <stp/>
        <stp>3de194b3-c117-4946-8b8e-d99872737faa</stp>
        <tr r="G722" s="2"/>
      </tp>
      <tp>
        <v>5</v>
        <stp/>
        <stp>d53b4686-f6ae-4105-823b-1cbba4da7def</stp>
        <tr r="G2783" s="2"/>
      </tp>
    </main>
    <main first="rtdsrv_a82eb5a1fc404542a18b1336b70d2c4e">
      <tp>
        <v>5</v>
        <stp/>
        <stp>ed401c9e-7579-4c16-bdf7-4d1c1c5b176e</stp>
        <tr r="G889" s="2"/>
      </tp>
    </main>
    <main first="rtdsrv_a82eb5a1fc404542a18b1336b70d2c4e">
      <tp>
        <v>5</v>
        <stp/>
        <stp>1ba77d0c-5970-4c22-a1ae-2d741a40053d</stp>
        <tr r="G9683" s="2"/>
      </tp>
    </main>
    <main first="rtdsrv_a82eb5a1fc404542a18b1336b70d2c4e">
      <tp>
        <v>5</v>
        <stp/>
        <stp>242a6a18-5972-4fd7-bf11-7ecd86e2ee06</stp>
        <tr r="G284" s="2"/>
      </tp>
      <tp>
        <v>5</v>
        <stp/>
        <stp>71655558-daf0-458d-89ef-440d7d9a6a06</stp>
        <tr r="G4992" s="2"/>
      </tp>
    </main>
    <main first="rtdsrv_a82eb5a1fc404542a18b1336b70d2c4e">
      <tp>
        <v>5</v>
        <stp/>
        <stp>2b212294-d3b8-47e3-924f-576a12d4af1d</stp>
        <tr r="G3954" s="2"/>
      </tp>
      <tp>
        <v>5</v>
        <stp/>
        <stp>de1abd5b-2850-4c6a-8d2f-bfa04ebe63db</stp>
        <tr r="G6208" s="2"/>
      </tp>
    </main>
    <main first="rtdsrv_a82eb5a1fc404542a18b1336b70d2c4e">
      <tp>
        <v>5</v>
        <stp/>
        <stp>6a1197e1-e638-4d97-90fa-5609345f3084</stp>
        <tr r="G5961" s="2"/>
      </tp>
    </main>
    <main first="rtdsrv_a82eb5a1fc404542a18b1336b70d2c4e">
      <tp>
        <v>5</v>
        <stp/>
        <stp>72282639-2f8e-4a13-9512-43dbb5919b65</stp>
        <tr r="G23" s="2"/>
      </tp>
    </main>
    <main first="rtdsrv_a82eb5a1fc404542a18b1336b70d2c4e">
      <tp>
        <v>5</v>
        <stp/>
        <stp>b9a36697-2f01-4a9d-83d9-59153a98e51a</stp>
        <tr r="G299" s="2"/>
      </tp>
    </main>
    <main first="rtdsrv_a82eb5a1fc404542a18b1336b70d2c4e">
      <tp>
        <v>5</v>
        <stp/>
        <stp>8b23493d-4641-4387-ae88-be4b7a69143b</stp>
        <tr r="G8397" s="2"/>
      </tp>
      <tp>
        <v>5</v>
        <stp/>
        <stp>0aebf507-8c71-4a57-92e4-8844e205fd82</stp>
        <tr r="G3344" s="2"/>
      </tp>
      <tp>
        <v>5</v>
        <stp/>
        <stp>1d093aec-bae2-4573-a021-6b9dae3d211a</stp>
        <tr r="G300" s="2"/>
      </tp>
    </main>
    <main first="rtdsrv_a82eb5a1fc404542a18b1336b70d2c4e">
      <tp>
        <v>5</v>
        <stp/>
        <stp>6d5358ff-16e9-498e-b320-a9a277912d38</stp>
        <tr r="G2867" s="2"/>
      </tp>
      <tp>
        <v>5</v>
        <stp/>
        <stp>1bf8f162-a10c-4475-81cb-37ed4a9c3baa</stp>
        <tr r="G1397" s="2"/>
      </tp>
    </main>
    <main first="rtdsrv_a82eb5a1fc404542a18b1336b70d2c4e">
      <tp>
        <v>5</v>
        <stp/>
        <stp>cd8a216b-1d42-4a3f-90d2-0374f14dc4eb</stp>
        <tr r="G7356" s="2"/>
      </tp>
    </main>
    <main first="rtdsrv_a82eb5a1fc404542a18b1336b70d2c4e">
      <tp>
        <v>5</v>
        <stp/>
        <stp>ff8eca0f-dbea-489e-a2d2-ef4e216d6edc</stp>
        <tr r="G3625" s="2"/>
      </tp>
    </main>
    <main first="rtdsrv_a82eb5a1fc404542a18b1336b70d2c4e">
      <tp>
        <v>5</v>
        <stp/>
        <stp>93f1f56a-e912-4757-b4cd-ffeca059a1c4</stp>
        <tr r="G392" s="2"/>
      </tp>
    </main>
    <main first="rtdsrv_a82eb5a1fc404542a18b1336b70d2c4e">
      <tp>
        <v>5</v>
        <stp/>
        <stp>a5e86978-91c0-4016-ae46-16f5d5876d41</stp>
        <tr r="G2312" s="2"/>
      </tp>
      <tp>
        <v>5</v>
        <stp/>
        <stp>7289935c-20c5-4245-8b17-59fb98bfdf14</stp>
        <tr r="G316" s="2"/>
      </tp>
      <tp>
        <v>5</v>
        <stp/>
        <stp>604cc86f-ec4b-472c-8a9c-372af67a1f81</stp>
        <tr r="G8277" s="2"/>
      </tp>
    </main>
    <main first="rtdsrv_a82eb5a1fc404542a18b1336b70d2c4e">
      <tp>
        <v>5</v>
        <stp/>
        <stp>cea5d33b-0cf5-4217-b295-408ee8193024</stp>
        <tr r="G3281" s="2"/>
      </tp>
    </main>
    <main first="rtdsrv_a82eb5a1fc404542a18b1336b70d2c4e">
      <tp>
        <v>5</v>
        <stp/>
        <stp>2ad3ac63-ae8f-4f5e-b1a8-10c9e02b67a4</stp>
        <tr r="G5234" s="2"/>
      </tp>
      <tp>
        <v>5</v>
        <stp/>
        <stp>e7bc9d9d-dcec-4891-a143-7fb994a5b07d</stp>
        <tr r="G5119" s="2"/>
      </tp>
    </main>
    <main first="rtdsrv_a82eb5a1fc404542a18b1336b70d2c4e">
      <tp>
        <v>5</v>
        <stp/>
        <stp>7f9bd762-60a6-4c67-9452-3d7770acbada</stp>
        <tr r="G5419" s="2"/>
      </tp>
    </main>
    <main first="rtdsrv_a82eb5a1fc404542a18b1336b70d2c4e">
      <tp>
        <v>5</v>
        <stp/>
        <stp>6388cbbe-2aa7-412a-86ad-5c20a1ae4a4e</stp>
        <tr r="G6951" s="2"/>
      </tp>
      <tp>
        <v>5</v>
        <stp/>
        <stp>cd8085e4-cf79-4759-ad4f-09e61e5e9351</stp>
        <tr r="G786" s="2"/>
      </tp>
    </main>
    <main first="rtdsrv_a82eb5a1fc404542a18b1336b70d2c4e">
      <tp>
        <v>5</v>
        <stp/>
        <stp>3d9b0371-e600-4444-9c62-eaee70e1b126</stp>
        <tr r="G1185" s="2"/>
      </tp>
      <tp>
        <v>5</v>
        <stp/>
        <stp>21e87221-b3eb-4557-adb2-9e51cb97fcb2</stp>
        <tr r="G9659" s="2"/>
      </tp>
    </main>
    <main first="rtdsrv_a82eb5a1fc404542a18b1336b70d2c4e">
      <tp>
        <v>5</v>
        <stp/>
        <stp>4df0996c-1337-421e-851c-288ce16dea69</stp>
        <tr r="G5598" s="2"/>
      </tp>
    </main>
    <main first="rtdsrv_a82eb5a1fc404542a18b1336b70d2c4e">
      <tp>
        <v>5</v>
        <stp/>
        <stp>a441df44-fd07-46f2-bec0-4546d1a43192</stp>
        <tr r="G2254" s="2"/>
      </tp>
      <tp>
        <v>5</v>
        <stp/>
        <stp>7097b9f0-2223-4a12-975e-2fcc437ec9d7</stp>
        <tr r="G5231" s="2"/>
      </tp>
    </main>
    <main first="rtdsrv_a82eb5a1fc404542a18b1336b70d2c4e">
      <tp>
        <v>5</v>
        <stp/>
        <stp>01831d64-f6ee-463c-8b63-4fe52d4fe4ba</stp>
        <tr r="G4700" s="2"/>
      </tp>
    </main>
    <main first="rtdsrv_a82eb5a1fc404542a18b1336b70d2c4e">
      <tp>
        <v>5</v>
        <stp/>
        <stp>b4b0ab78-b1a3-4cc2-a162-c200fc8241f0</stp>
        <tr r="G2095" s="2"/>
      </tp>
      <tp>
        <v>5</v>
        <stp/>
        <stp>6bc2538e-f7d2-4730-aeab-ca453268ae42</stp>
        <tr r="G1336" s="2"/>
      </tp>
    </main>
    <main first="rtdsrv_a82eb5a1fc404542a18b1336b70d2c4e">
      <tp>
        <v>5</v>
        <stp/>
        <stp>e055c4b0-b4ed-4e66-97bf-cfa8529686d9</stp>
        <tr r="G8737" s="2"/>
      </tp>
    </main>
    <main first="rtdsrv_a82eb5a1fc404542a18b1336b70d2c4e">
      <tp>
        <v>5</v>
        <stp/>
        <stp>3aded5da-7f49-4eaf-b795-a9ea2673cc87</stp>
        <tr r="G2259" s="2"/>
      </tp>
    </main>
    <main first="rtdsrv_a82eb5a1fc404542a18b1336b70d2c4e">
      <tp>
        <v>5</v>
        <stp/>
        <stp>ce4bafc7-5587-43da-b599-2d402bb7884b</stp>
        <tr r="G9290" s="2"/>
      </tp>
    </main>
    <main first="rtdsrv_a82eb5a1fc404542a18b1336b70d2c4e">
      <tp>
        <v>5</v>
        <stp/>
        <stp>abc0cd24-a318-4ba5-9046-304ec3c26598</stp>
        <tr r="G8476" s="2"/>
      </tp>
    </main>
    <main first="rtdsrv_a82eb5a1fc404542a18b1336b70d2c4e">
      <tp>
        <v>5</v>
        <stp/>
        <stp>979c6ea3-0a74-4fec-a3bd-f240ab19ecbd</stp>
        <tr r="G702" s="2"/>
      </tp>
    </main>
    <main first="rtdsrv_a82eb5a1fc404542a18b1336b70d2c4e">
      <tp>
        <v>5</v>
        <stp/>
        <stp>379ca93f-ba7a-40af-a36d-1096888dfd49</stp>
        <tr r="G3832" s="2"/>
      </tp>
    </main>
    <main first="rtdsrv_a82eb5a1fc404542a18b1336b70d2c4e">
      <tp>
        <v>5</v>
        <stp/>
        <stp>f6116283-213e-454d-94b7-560fe2f6cdc8</stp>
        <tr r="G1278" s="2"/>
      </tp>
      <tp>
        <v>5</v>
        <stp/>
        <stp>8c5584ea-67c1-446c-aecd-20717e606d80</stp>
        <tr r="G2262" s="2"/>
      </tp>
    </main>
    <main first="rtdsrv_a82eb5a1fc404542a18b1336b70d2c4e">
      <tp>
        <v>5</v>
        <stp/>
        <stp>26d9ff6a-ad17-4704-8742-81184567be95</stp>
        <tr r="G4656" s="2"/>
      </tp>
    </main>
    <main first="rtdsrv_a82eb5a1fc404542a18b1336b70d2c4e">
      <tp>
        <v>5</v>
        <stp/>
        <stp>7c69cc91-a41c-4f59-8a30-244e8679992c</stp>
        <tr r="G2258" s="2"/>
      </tp>
    </main>
    <main first="rtdsrv_a82eb5a1fc404542a18b1336b70d2c4e">
      <tp>
        <v>5</v>
        <stp/>
        <stp>4611a121-98a6-47bf-94ae-7b3212ea9932</stp>
        <tr r="G9215" s="2"/>
      </tp>
      <tp>
        <v>5</v>
        <stp/>
        <stp>decc04d4-b9b8-43bf-97ce-8bd5eeb10af3</stp>
        <tr r="G2405" s="2"/>
      </tp>
      <tp>
        <v>5</v>
        <stp/>
        <stp>f0b45fce-020e-41e9-8a71-74c114cc5890</stp>
        <tr r="G9519" s="2"/>
      </tp>
      <tp>
        <v>5</v>
        <stp/>
        <stp>4b5e8d29-45b2-4dad-9cde-3193afb1d574</stp>
        <tr r="G4141" s="2"/>
      </tp>
    </main>
    <main first="rtdsrv_a82eb5a1fc404542a18b1336b70d2c4e">
      <tp>
        <v>5</v>
        <stp/>
        <stp>dec2ce67-0899-4ced-99bc-6211ac0d474d</stp>
        <tr r="G9640" s="2"/>
      </tp>
      <tp>
        <v>5</v>
        <stp/>
        <stp>33d93d39-5c34-4664-b543-758624571316</stp>
        <tr r="G9001" s="2"/>
      </tp>
      <tp>
        <v>5</v>
        <stp/>
        <stp>42a9a6bb-9164-44c8-8eb1-22420f982c57</stp>
        <tr r="G7842" s="2"/>
      </tp>
    </main>
    <main first="rtdsrv_a82eb5a1fc404542a18b1336b70d2c4e">
      <tp>
        <v>5</v>
        <stp/>
        <stp>e1ee53d5-08b6-44e0-b0b9-836c565ee57e</stp>
        <tr r="G5081" s="2"/>
      </tp>
      <tp>
        <v>5</v>
        <stp/>
        <stp>f57ad2a9-7563-4082-b6dc-02c95ef27a10</stp>
        <tr r="G9086" s="2"/>
      </tp>
      <tp>
        <v>5</v>
        <stp/>
        <stp>a3e76594-b74d-4350-a5e9-ef2f142fd3fd</stp>
        <tr r="G3985" s="2"/>
      </tp>
      <tp>
        <v>5</v>
        <stp/>
        <stp>d1ecb999-1066-4d2c-9490-8256a7e5f681</stp>
        <tr r="G2834" s="2"/>
      </tp>
      <tp>
        <v>5</v>
        <stp/>
        <stp>ef542a6d-6235-40f7-9eeb-74f0012b4634</stp>
        <tr r="G4212" s="2"/>
      </tp>
      <tp>
        <v>5</v>
        <stp/>
        <stp>7456800d-efd5-473c-8083-a77468bcce1c</stp>
        <tr r="G4624" s="2"/>
      </tp>
      <tp>
        <v>5</v>
        <stp/>
        <stp>5ff6b191-d5ee-46f5-8a14-ae80f6be6403</stp>
        <tr r="G5051" s="2"/>
      </tp>
      <tp>
        <v>5</v>
        <stp/>
        <stp>a9a258ec-2393-4a7b-b109-f4528d777a8d</stp>
        <tr r="G9653" s="2"/>
      </tp>
    </main>
    <main first="rtdsrv_a82eb5a1fc404542a18b1336b70d2c4e">
      <tp>
        <v>5</v>
        <stp/>
        <stp>265a1f1e-3c76-4ee2-a7f1-b162952c9cf0</stp>
        <tr r="G4250" s="2"/>
      </tp>
      <tp>
        <v>5</v>
        <stp/>
        <stp>e92e61c9-09d0-4a61-ab22-6889e07beca4</stp>
        <tr r="G8868" s="2"/>
      </tp>
      <tp>
        <v>5</v>
        <stp/>
        <stp>cb7d4e4a-bb75-48e5-9060-e161ba114fbd</stp>
        <tr r="G9902" s="2"/>
      </tp>
      <tp>
        <v>5</v>
        <stp/>
        <stp>1c0d6fba-4365-410b-b1b8-6c9eef7efdc0</stp>
        <tr r="G2959" s="2"/>
      </tp>
      <tp>
        <v>5</v>
        <stp/>
        <stp>8da98ae8-0b23-4df5-a684-b20cccd59923</stp>
        <tr r="G7660" s="2"/>
      </tp>
      <tp>
        <v>5</v>
        <stp/>
        <stp>4d067f17-87e7-49cd-ba4a-d97e4edb4f0b</stp>
        <tr r="G4131" s="2"/>
      </tp>
      <tp>
        <v>5</v>
        <stp/>
        <stp>245847ae-8db7-4c92-bd22-fb6f613be83a</stp>
        <tr r="G2529" s="2"/>
      </tp>
      <tp>
        <v>5</v>
        <stp/>
        <stp>0924534b-d734-411e-80f4-8566c1375946</stp>
        <tr r="G9997" s="2"/>
      </tp>
      <tp>
        <v>5</v>
        <stp/>
        <stp>ec0e06fe-128b-4dd4-8380-2d042da2680f</stp>
        <tr r="G3204" s="2"/>
      </tp>
      <tp>
        <v>5</v>
        <stp/>
        <stp>218dea5f-4606-4ff1-a25e-5495b6bdc20a</stp>
        <tr r="G9085" s="2"/>
      </tp>
    </main>
    <main first="rtdsrv_a82eb5a1fc404542a18b1336b70d2c4e">
      <tp>
        <v>5</v>
        <stp/>
        <stp>e2b75679-a559-49ef-a415-0a7025b2d65b</stp>
        <tr r="G5909" s="2"/>
      </tp>
      <tp>
        <v>5</v>
        <stp/>
        <stp>e03133eb-a3e5-406e-b614-d28a0f8322d5</stp>
        <tr r="G1209" s="2"/>
      </tp>
    </main>
    <main first="rtdsrv_a82eb5a1fc404542a18b1336b70d2c4e">
      <tp>
        <v>5</v>
        <stp/>
        <stp>0112b0cc-f61b-41fa-8b23-f0d34eca41e6</stp>
        <tr r="G8025" s="2"/>
      </tp>
      <tp>
        <v>5</v>
        <stp/>
        <stp>def05b85-a369-4315-a96d-b301b15f8798</stp>
        <tr r="G7319" s="2"/>
      </tp>
      <tp>
        <v>5</v>
        <stp/>
        <stp>be9c9e56-2445-4fa5-8f63-c01a2275cc8d</stp>
        <tr r="G5995" s="2"/>
      </tp>
      <tp>
        <v>5</v>
        <stp/>
        <stp>a47e7a02-65c4-40d0-b1d3-e474420efa38</stp>
        <tr r="G5382" s="2"/>
      </tp>
    </main>
    <main first="rtdsrv_a82eb5a1fc404542a18b1336b70d2c4e">
      <tp>
        <v>5</v>
        <stp/>
        <stp>0fd5d10a-4506-4195-ae04-36ac10d110e1</stp>
        <tr r="G282" s="2"/>
      </tp>
      <tp>
        <v>5</v>
        <stp/>
        <stp>4eae5626-d076-49ef-8c42-5ab55b11f671</stp>
        <tr r="G5245" s="2"/>
      </tp>
      <tp>
        <v>5</v>
        <stp/>
        <stp>41f250c1-e764-474c-afed-ae2254f96c78</stp>
        <tr r="G7398" s="2"/>
      </tp>
      <tp>
        <v>5</v>
        <stp/>
        <stp>c72867fa-c03f-403e-8ca6-5cb7fa068553</stp>
        <tr r="G1043" s="2"/>
      </tp>
    </main>
    <main first="rtdsrv_a82eb5a1fc404542a18b1336b70d2c4e">
      <tp>
        <v>5</v>
        <stp/>
        <stp>885320f3-9706-4ffc-bce7-90af31becfed</stp>
        <tr r="G2744" s="2"/>
      </tp>
      <tp>
        <v>5</v>
        <stp/>
        <stp>f07e8343-0a03-413c-a30a-c53b8004b553</stp>
        <tr r="G4496" s="2"/>
      </tp>
    </main>
    <main first="rtdsrv_a82eb5a1fc404542a18b1336b70d2c4e">
      <tp>
        <v>5</v>
        <stp/>
        <stp>302a5a9d-1903-4fdf-bb2c-e5ab5bda73b7</stp>
        <tr r="G3481" s="2"/>
      </tp>
      <tp>
        <v>5</v>
        <stp/>
        <stp>6731afb9-f1e0-418f-842e-2241b3e482bc</stp>
        <tr r="G499" s="2"/>
      </tp>
      <tp>
        <v>5</v>
        <stp/>
        <stp>0b2f577f-abd0-44a7-a304-feb9c269e413</stp>
        <tr r="G332" s="2"/>
      </tp>
    </main>
    <main first="rtdsrv_a82eb5a1fc404542a18b1336b70d2c4e">
      <tp>
        <v>5</v>
        <stp/>
        <stp>12d0c321-ad0b-46bc-9c43-0ebf7f40ada4</stp>
        <tr r="G3494" s="2"/>
      </tp>
    </main>
    <main first="rtdsrv_a82eb5a1fc404542a18b1336b70d2c4e">
      <tp>
        <v>5</v>
        <stp/>
        <stp>fbe9ce78-3c73-458e-b5e2-f45a1a80a191</stp>
        <tr r="G6660" s="2"/>
      </tp>
      <tp>
        <v>5</v>
        <stp/>
        <stp>d04cd044-f514-449b-8ac5-b9e6166e38d8</stp>
        <tr r="G2585" s="2"/>
      </tp>
      <tp>
        <v>5</v>
        <stp/>
        <stp>9f279ff3-bec8-4ecf-baa5-616e87aba3de</stp>
        <tr r="G3219" s="2"/>
      </tp>
    </main>
    <main first="rtdsrv_a82eb5a1fc404542a18b1336b70d2c4e">
      <tp>
        <v>5</v>
        <stp/>
        <stp>664daaef-4436-46a3-9d01-a673bdfb8b2c</stp>
        <tr r="G5671" s="2"/>
      </tp>
      <tp>
        <v>5</v>
        <stp/>
        <stp>45099417-d588-4981-a4b7-f66d34220d04</stp>
        <tr r="G307" s="2"/>
      </tp>
    </main>
    <main first="rtdsrv_a82eb5a1fc404542a18b1336b70d2c4e">
      <tp>
        <v>5</v>
        <stp/>
        <stp>50e9dab5-b386-4cdd-b58e-ff01fae9b835</stp>
        <tr r="G1993" s="2"/>
      </tp>
      <tp>
        <v>5</v>
        <stp/>
        <stp>926d6c3e-fca7-46b6-af5c-f49623987c21</stp>
        <tr r="G3308" s="2"/>
      </tp>
      <tp>
        <v>5</v>
        <stp/>
        <stp>a9b55c6d-a797-4a49-8cbb-3228430fa14f</stp>
        <tr r="G3904" s="2"/>
      </tp>
      <tp>
        <v>5</v>
        <stp/>
        <stp>4c91839c-b0ea-4ef1-be57-8ab6074820f4</stp>
        <tr r="G5946" s="2"/>
      </tp>
      <tp>
        <v>5</v>
        <stp/>
        <stp>cd05b940-e937-48df-8ddd-68d1d694ed38</stp>
        <tr r="G8675" s="2"/>
      </tp>
      <tp>
        <v>5</v>
        <stp/>
        <stp>6da8c681-52e9-4c5c-9f68-1b5020d3105a</stp>
        <tr r="G6685" s="2"/>
      </tp>
      <tp>
        <v>5</v>
        <stp/>
        <stp>1328e162-671d-4f27-8d3e-ee952d909aa6</stp>
        <tr r="G5539" s="2"/>
      </tp>
      <tp>
        <v>5</v>
        <stp/>
        <stp>c434864d-488e-4451-8f05-5476219eab3f</stp>
        <tr r="G2398" s="2"/>
      </tp>
      <tp>
        <v>5</v>
        <stp/>
        <stp>6ec23a42-ad33-44f7-9693-687cbae71be9</stp>
        <tr r="G8847" s="2"/>
      </tp>
      <tp>
        <v>5</v>
        <stp/>
        <stp>5cdb7cce-9ef1-4229-b927-5e321cdb1d52</stp>
        <tr r="G8835" s="2"/>
      </tp>
      <tp>
        <v>5</v>
        <stp/>
        <stp>7a7ac957-9a8f-4873-8564-b35153eb640c</stp>
        <tr r="G4371" s="2"/>
      </tp>
      <tp>
        <v>5</v>
        <stp/>
        <stp>0dc1e2d1-67db-482c-99f1-0de5b5b90d17</stp>
        <tr r="G594" s="2"/>
      </tp>
    </main>
    <main first="rtdsrv_a82eb5a1fc404542a18b1336b70d2c4e">
      <tp>
        <v>5</v>
        <stp/>
        <stp>81ccf3a2-fe28-4c74-972b-da2f7b79710e</stp>
        <tr r="G5696" s="2"/>
      </tp>
      <tp>
        <v>5</v>
        <stp/>
        <stp>d4a89669-8b11-44d7-b68f-a6d7dde427bf</stp>
        <tr r="G4021" s="2"/>
      </tp>
    </main>
    <main first="rtdsrv_a82eb5a1fc404542a18b1336b70d2c4e">
      <tp>
        <v>5</v>
        <stp/>
        <stp>7e0e2396-1a2b-4c4d-89ad-439175d844ae</stp>
        <tr r="G9499" s="2"/>
      </tp>
    </main>
    <main first="rtdsrv_a82eb5a1fc404542a18b1336b70d2c4e">
      <tp>
        <v>5</v>
        <stp/>
        <stp>53c0d1e7-6c80-4b03-83cc-37ba6bb4da6b</stp>
        <tr r="G5939" s="2"/>
      </tp>
    </main>
    <main first="rtdsrv_a82eb5a1fc404542a18b1336b70d2c4e">
      <tp>
        <v>5</v>
        <stp/>
        <stp>afddd3a5-2ab8-413b-8a27-1fee9736d653</stp>
        <tr r="G2488" s="2"/>
      </tp>
    </main>
    <main first="rtdsrv_a82eb5a1fc404542a18b1336b70d2c4e">
      <tp>
        <v>5</v>
        <stp/>
        <stp>b2a21124-ba5f-4d0c-a56b-c6043122dcc6</stp>
        <tr r="G5541" s="2"/>
      </tp>
    </main>
    <main first="rtdsrv_a82eb5a1fc404542a18b1336b70d2c4e">
      <tp>
        <v>5</v>
        <stp/>
        <stp>72141373-d4b8-42ad-a8be-24fc66fd21fd</stp>
        <tr r="G1010" s="2"/>
      </tp>
    </main>
    <main first="rtdsrv_a82eb5a1fc404542a18b1336b70d2c4e">
      <tp>
        <v>5</v>
        <stp/>
        <stp>80368bbc-6cf1-4373-a9d0-1170dfe594a3</stp>
        <tr r="G2563" s="2"/>
      </tp>
    </main>
    <main first="rtdsrv_a82eb5a1fc404542a18b1336b70d2c4e">
      <tp>
        <v>5</v>
        <stp/>
        <stp>a5c33a53-0126-4cb0-a275-a02cee3d2fa2</stp>
        <tr r="G4096" s="2"/>
      </tp>
      <tp>
        <v>5</v>
        <stp/>
        <stp>fa10510d-c692-42b1-a366-f63534b5ffb9</stp>
        <tr r="G4709" s="2"/>
      </tp>
    </main>
    <main first="rtdsrv_a82eb5a1fc404542a18b1336b70d2c4e">
      <tp>
        <v>5</v>
        <stp/>
        <stp>d9d5fb43-9492-428e-925c-53a26f5e47ab</stp>
        <tr r="G5587" s="2"/>
      </tp>
      <tp>
        <v>5</v>
        <stp/>
        <stp>b3e60fe3-6f95-44f6-9ccd-e01993e14ed7</stp>
        <tr r="G2947" s="2"/>
      </tp>
      <tp>
        <v>5</v>
        <stp/>
        <stp>5b4a7fb6-0b10-4b09-b7d4-dd869d99d93f</stp>
        <tr r="G4699" s="2"/>
      </tp>
      <tp>
        <v>5</v>
        <stp/>
        <stp>81abe781-0db4-4fad-98fa-dd84cdfccd01</stp>
        <tr r="G1216" s="2"/>
      </tp>
      <tp>
        <v>5</v>
        <stp/>
        <stp>37efa8b2-c03e-4859-a1a4-51a6c3c82f39</stp>
        <tr r="G292" s="2"/>
      </tp>
      <tp>
        <v>5</v>
        <stp/>
        <stp>96983f23-d4c6-47f1-9340-a520ff88927d</stp>
        <tr r="G5895" s="2"/>
      </tp>
    </main>
    <main first="rtdsrv_a82eb5a1fc404542a18b1336b70d2c4e">
      <tp>
        <v>5</v>
        <stp/>
        <stp>04c6029b-588a-4af6-bf70-8f01874a43d4</stp>
        <tr r="G6969" s="2"/>
      </tp>
      <tp>
        <v>5</v>
        <stp/>
        <stp>65501f4b-933b-4861-8453-d0de18b7265d</stp>
        <tr r="G9950" s="2"/>
      </tp>
      <tp>
        <v>5</v>
        <stp/>
        <stp>ea3db559-4789-44cc-9f87-6c1498283074</stp>
        <tr r="G2240" s="2"/>
      </tp>
      <tp>
        <v>5</v>
        <stp/>
        <stp>1aa35f13-147d-4d91-a56f-74168debe1d6</stp>
        <tr r="G5208" s="2"/>
      </tp>
    </main>
    <main first="rtdsrv_a82eb5a1fc404542a18b1336b70d2c4e">
      <tp>
        <v>5</v>
        <stp/>
        <stp>3ac30a26-3328-4945-9287-455298dcec67</stp>
        <tr r="G9133" s="2"/>
      </tp>
    </main>
    <main first="rtdsrv_a82eb5a1fc404542a18b1336b70d2c4e">
      <tp>
        <v>5</v>
        <stp/>
        <stp>b4664cef-20ec-47be-80b3-31b0ce450f4d</stp>
        <tr r="G2483" s="2"/>
      </tp>
      <tp>
        <v>5</v>
        <stp/>
        <stp>b73a1c94-bd05-4712-b24d-958f6e93608a</stp>
        <tr r="G4685" s="2"/>
      </tp>
      <tp>
        <v>5</v>
        <stp/>
        <stp>95328030-24d0-4614-a2fc-efd576d65ed7</stp>
        <tr r="G4193" s="2"/>
      </tp>
      <tp>
        <v>5</v>
        <stp/>
        <stp>707f44a5-e625-4095-bd3b-af4b17615f3e</stp>
        <tr r="G3158" s="2"/>
      </tp>
      <tp>
        <v>5</v>
        <stp/>
        <stp>c6099cb2-e55c-40b0-80b5-ace5eb128353</stp>
        <tr r="G1061" s="2"/>
      </tp>
      <tp>
        <v>5</v>
        <stp/>
        <stp>3b6eb377-57e0-4fa1-ac63-2d5b912ccf12</stp>
        <tr r="G6072" s="2"/>
      </tp>
    </main>
    <main first="rtdsrv_a82eb5a1fc404542a18b1336b70d2c4e">
      <tp>
        <v>5</v>
        <stp/>
        <stp>a137b7b0-bb21-4b18-8095-71c4eb0c8ff1</stp>
        <tr r="G1793" s="2"/>
      </tp>
    </main>
    <main first="rtdsrv_a82eb5a1fc404542a18b1336b70d2c4e">
      <tp>
        <v>5</v>
        <stp/>
        <stp>c6f2b5a5-850f-487f-9281-93a4ebad6d04</stp>
        <tr r="G5699" s="2"/>
      </tp>
      <tp>
        <v>5</v>
        <stp/>
        <stp>8b25f9c4-1c95-406d-9690-ac3f51f285d9</stp>
        <tr r="G9696" s="2"/>
      </tp>
      <tp>
        <v>5</v>
        <stp/>
        <stp>ae68e5a3-f632-49fc-8e0e-f6a27324c0dc</stp>
        <tr r="G3239" s="2"/>
      </tp>
      <tp>
        <v>5</v>
        <stp/>
        <stp>a93c60fc-c63f-42fd-bde2-25ab37ea49f8</stp>
        <tr r="G9334" s="2"/>
      </tp>
      <tp>
        <v>5</v>
        <stp/>
        <stp>50c6d6e1-b247-4472-b241-c4b8e5e17317</stp>
        <tr r="G9656" s="2"/>
      </tp>
    </main>
    <main first="rtdsrv_a82eb5a1fc404542a18b1336b70d2c4e">
      <tp>
        <v>5</v>
        <stp/>
        <stp>acd47674-f788-4605-8619-707d4e1d0273</stp>
        <tr r="G3328" s="2"/>
      </tp>
    </main>
    <main first="rtdsrv_a82eb5a1fc404542a18b1336b70d2c4e">
      <tp>
        <v>5</v>
        <stp/>
        <stp>fbb421c5-65a4-4f01-9a3a-d6e7d3d5a283</stp>
        <tr r="G1388" s="2"/>
      </tp>
    </main>
    <main first="rtdsrv_a82eb5a1fc404542a18b1336b70d2c4e">
      <tp>
        <v>5</v>
        <stp/>
        <stp>04783bb4-e9b2-4910-91b6-364ac3dc94fe</stp>
        <tr r="G9240" s="2"/>
      </tp>
      <tp>
        <v>5</v>
        <stp/>
        <stp>e9dc76b0-7f8e-4216-aa78-f9348d6e441c</stp>
        <tr r="G1297" s="2"/>
      </tp>
    </main>
    <main first="rtdsrv_a82eb5a1fc404542a18b1336b70d2c4e">
      <tp>
        <v>5</v>
        <stp/>
        <stp>af96d7b1-006a-4fb1-a765-46e5acc3bc4a</stp>
        <tr r="G4028" s="2"/>
      </tp>
    </main>
    <main first="rtdsrv_a82eb5a1fc404542a18b1336b70d2c4e">
      <tp>
        <v>5</v>
        <stp/>
        <stp>6740144a-5162-4955-af6c-5c65ce1dbc90</stp>
        <tr r="G2487" s="2"/>
      </tp>
      <tp>
        <v>5</v>
        <stp/>
        <stp>3a4b719f-5c94-4077-8725-91b1e37ce2b9</stp>
        <tr r="G1790" s="2"/>
      </tp>
      <tp>
        <v>5</v>
        <stp/>
        <stp>ad716c37-e83d-44e1-9e75-8bfe7350ee65</stp>
        <tr r="G9158" s="2"/>
      </tp>
      <tp>
        <v>5</v>
        <stp/>
        <stp>23c4f927-45a5-4ef7-8028-a6042ea7f8ae</stp>
        <tr r="G3603" s="2"/>
      </tp>
    </main>
    <main first="rtdsrv_a82eb5a1fc404542a18b1336b70d2c4e">
      <tp>
        <v>5</v>
        <stp/>
        <stp>c04a6529-9a97-4cf3-8c29-876ae92e1c78</stp>
        <tr r="G8742" s="2"/>
      </tp>
    </main>
    <main first="rtdsrv_a82eb5a1fc404542a18b1336b70d2c4e">
      <tp>
        <v>5</v>
        <stp/>
        <stp>4e141898-51c4-4e9b-8880-6ae15e6b2f7b</stp>
        <tr r="G8965" s="2"/>
      </tp>
      <tp>
        <v>5</v>
        <stp/>
        <stp>3480bf5a-2482-4c1f-a2f6-10fe2a414a03</stp>
        <tr r="G9661" s="2"/>
      </tp>
      <tp>
        <v>5</v>
        <stp/>
        <stp>d3d0e504-d864-429e-b1c4-ec5143aa8daf</stp>
        <tr r="G7884" s="2"/>
      </tp>
    </main>
    <main first="rtdsrv_a82eb5a1fc404542a18b1336b70d2c4e">
      <tp>
        <v>5</v>
        <stp/>
        <stp>92f59524-cf40-45e7-b478-83e73457e374</stp>
        <tr r="G5439" s="2"/>
      </tp>
      <tp>
        <v>5</v>
        <stp/>
        <stp>f784d9b8-2a09-478c-9d95-02bd0a59de48</stp>
        <tr r="G8167" s="2"/>
      </tp>
    </main>
    <main first="rtdsrv_a82eb5a1fc404542a18b1336b70d2c4e">
      <tp>
        <v>5</v>
        <stp/>
        <stp>b7bbb531-bd09-4512-910a-b51474105394</stp>
        <tr r="G6641" s="2"/>
      </tp>
    </main>
    <main first="rtdsrv_a82eb5a1fc404542a18b1336b70d2c4e">
      <tp>
        <v>5</v>
        <stp/>
        <stp>d96f47c9-e5b6-416a-b70a-bc91797c30a0</stp>
        <tr r="G2072" s="2"/>
      </tp>
    </main>
    <main first="rtdsrv_a82eb5a1fc404542a18b1336b70d2c4e">
      <tp>
        <v>5</v>
        <stp/>
        <stp>ef0b6341-b18c-424c-bea7-0d833d721ec5</stp>
        <tr r="G4711" s="2"/>
      </tp>
      <tp>
        <v>5</v>
        <stp/>
        <stp>229a2a32-5d01-4196-88f9-6a866c6c7d76</stp>
        <tr r="G8113" s="2"/>
      </tp>
      <tp>
        <v>5</v>
        <stp/>
        <stp>f20bf247-1799-4fd5-b7b8-5aed84ed8ceb</stp>
        <tr r="G6233" s="2"/>
      </tp>
      <tp>
        <v>5</v>
        <stp/>
        <stp>209ca5e8-dd0b-4d94-86b7-be7ac00262f2</stp>
        <tr r="G4861" s="2"/>
      </tp>
      <tp>
        <v>5</v>
        <stp/>
        <stp>782f3af3-9610-46f5-abf3-5193510d5c63</stp>
        <tr r="G7573" s="2"/>
      </tp>
    </main>
    <main first="rtdsrv_a82eb5a1fc404542a18b1336b70d2c4e">
      <tp>
        <v>5</v>
        <stp/>
        <stp>2274d572-1212-4880-bcd9-d5d95fbacacd</stp>
        <tr r="G2221" s="2"/>
      </tp>
      <tp>
        <v>5</v>
        <stp/>
        <stp>1efe962c-a0d2-4cb8-b92d-08018b8f12ff</stp>
        <tr r="G9587" s="2"/>
      </tp>
    </main>
    <main first="rtdsrv_a82eb5a1fc404542a18b1336b70d2c4e">
      <tp>
        <v>5</v>
        <stp/>
        <stp>d6a83a04-ac1a-48f6-894b-0a8fd62da34a</stp>
        <tr r="G5355" s="2"/>
      </tp>
    </main>
    <main first="rtdsrv_a82eb5a1fc404542a18b1336b70d2c4e">
      <tp>
        <v>5</v>
        <stp/>
        <stp>d499be46-8e8c-45ca-bb85-de2822dee7d8</stp>
        <tr r="G6007" s="2"/>
      </tp>
    </main>
    <main first="rtdsrv_a82eb5a1fc404542a18b1336b70d2c4e">
      <tp>
        <v>5</v>
        <stp/>
        <stp>cf8f7a7e-4225-4473-964a-45b6b7b5ff39</stp>
        <tr r="G4209" s="2"/>
      </tp>
      <tp>
        <v>5</v>
        <stp/>
        <stp>29db7294-36e7-4d08-8e11-b5ed8cd52748</stp>
        <tr r="G1803" s="2"/>
      </tp>
      <tp>
        <v>5</v>
        <stp/>
        <stp>92679031-b547-4e87-91b7-34dbbd925559</stp>
        <tr r="G7756" s="2"/>
      </tp>
      <tp>
        <v>5</v>
        <stp/>
        <stp>ff1a94e6-8020-4441-888c-d69f1fd83c50</stp>
        <tr r="G3181" s="2"/>
      </tp>
    </main>
    <main first="rtdsrv_a82eb5a1fc404542a18b1336b70d2c4e">
      <tp>
        <v>5</v>
        <stp/>
        <stp>91d8f9dc-27c0-4d55-9230-34c9599dfa25</stp>
        <tr r="G4702" s="2"/>
      </tp>
    </main>
    <main first="rtdsrv_a82eb5a1fc404542a18b1336b70d2c4e">
      <tp>
        <v>5</v>
        <stp/>
        <stp>d7f98918-98c9-4c01-a2be-3e747a6da0de</stp>
        <tr r="G2504" s="2"/>
      </tp>
    </main>
    <main first="rtdsrv_a82eb5a1fc404542a18b1336b70d2c4e">
      <tp>
        <v>5</v>
        <stp/>
        <stp>ec6e5529-c84b-422d-8172-564e651285dd</stp>
        <tr r="G1359" s="2"/>
      </tp>
      <tp>
        <v>5</v>
        <stp/>
        <stp>e005b016-e09e-4a93-be67-cf743dfdd287</stp>
        <tr r="G4905" s="2"/>
      </tp>
      <tp>
        <v>5</v>
        <stp/>
        <stp>8f361762-48ba-4381-903f-2f1f33243b7a</stp>
        <tr r="G8502" s="2"/>
      </tp>
    </main>
    <main first="rtdsrv_a82eb5a1fc404542a18b1336b70d2c4e">
      <tp>
        <v>5</v>
        <stp/>
        <stp>e878ca4a-a72c-4e62-9fca-1686790f465a</stp>
        <tr r="G8592" s="2"/>
      </tp>
      <tp>
        <v>5</v>
        <stp/>
        <stp>40efb6f2-133e-4d93-8dd5-9ced71996b1f</stp>
        <tr r="G454" s="2"/>
      </tp>
      <tp>
        <v>5</v>
        <stp/>
        <stp>869d63d8-aeb1-4738-88a9-0994cdcc103f</stp>
        <tr r="G1343" s="2"/>
      </tp>
      <tp>
        <v>5</v>
        <stp/>
        <stp>4055239d-f2e1-44c0-a047-2d5df7256bf0</stp>
        <tr r="G4732" s="2"/>
      </tp>
      <tp>
        <v>5</v>
        <stp/>
        <stp>0aa0f11c-7015-4a60-8057-b618028a666a</stp>
        <tr r="G1697" s="2"/>
      </tp>
    </main>
    <main first="rtdsrv_a82eb5a1fc404542a18b1336b70d2c4e">
      <tp>
        <v>5</v>
        <stp/>
        <stp>f73f03c3-34cc-450b-beb7-ad5e039eb077</stp>
        <tr r="G7214" s="2"/>
      </tp>
      <tp>
        <v>5</v>
        <stp/>
        <stp>ea77aa95-c697-4da8-8269-79f5e7779383</stp>
        <tr r="G1850" s="2"/>
      </tp>
      <tp>
        <v>5</v>
        <stp/>
        <stp>419b1c53-5778-4b6f-a3b4-4ef68cea65db</stp>
        <tr r="G11" s="2"/>
      </tp>
    </main>
    <main first="rtdsrv_a82eb5a1fc404542a18b1336b70d2c4e">
      <tp>
        <v>5</v>
        <stp/>
        <stp>5a9db7c9-67dd-4f10-a8cb-e022611ebbd5</stp>
        <tr r="G9555" s="2"/>
      </tp>
    </main>
    <main first="rtdsrv_a82eb5a1fc404542a18b1336b70d2c4e">
      <tp>
        <v>5</v>
        <stp/>
        <stp>4ecdea90-37f4-4d28-bdf3-981f79c958d3</stp>
        <tr r="G4468" s="2"/>
      </tp>
    </main>
    <main first="rtdsrv_a82eb5a1fc404542a18b1336b70d2c4e">
      <tp>
        <v>5</v>
        <stp/>
        <stp>98bf2d81-a0a4-4d57-b295-0aa51a1b8cfd</stp>
        <tr r="G5043" s="2"/>
      </tp>
      <tp>
        <v>5</v>
        <stp/>
        <stp>b3fe42ed-c4e8-4f11-9b39-32733cf37a68</stp>
        <tr r="G5000" s="2"/>
      </tp>
      <tp>
        <v>5</v>
        <stp/>
        <stp>b5456d9f-32ff-462b-9c4e-e7d3a1328bd7</stp>
        <tr r="G7562" s="2"/>
      </tp>
      <tp>
        <v>5</v>
        <stp/>
        <stp>ce4c89b7-58f8-4d37-9f1c-793004af5264</stp>
        <tr r="G3953" s="2"/>
      </tp>
    </main>
    <main first="rtdsrv_a82eb5a1fc404542a18b1336b70d2c4e">
      <tp>
        <v>5</v>
        <stp/>
        <stp>a8c88fe8-d98f-4de0-aaba-185a4faabfca</stp>
        <tr r="G3421" s="2"/>
      </tp>
      <tp>
        <v>5</v>
        <stp/>
        <stp>895e4c60-9840-47e6-ace4-0ddf37a8e3c1</stp>
        <tr r="G1524" s="2"/>
      </tp>
    </main>
    <main first="rtdsrv_a82eb5a1fc404542a18b1336b70d2c4e">
      <tp>
        <v>5</v>
        <stp/>
        <stp>bca65d57-7af6-4154-bf8c-18d3cd9140a0</stp>
        <tr r="G7829" s="2"/>
      </tp>
    </main>
    <main first="rtdsrv_a82eb5a1fc404542a18b1336b70d2c4e">
      <tp>
        <v>5</v>
        <stp/>
        <stp>b198475d-5b71-4e25-95a3-8a630d256236</stp>
        <tr r="G6542" s="2"/>
      </tp>
      <tp>
        <v>5</v>
        <stp/>
        <stp>5c2f1979-79cb-443d-a492-9b0d6cb43a69</stp>
        <tr r="G5225" s="2"/>
      </tp>
      <tp>
        <v>5</v>
        <stp/>
        <stp>afb8621d-d981-4a53-b2ee-b632137e43a1</stp>
        <tr r="G3574" s="2"/>
      </tp>
      <tp>
        <v>5</v>
        <stp/>
        <stp>bc96c570-dc89-40a5-adab-c40fc41056d5</stp>
        <tr r="G964" s="2"/>
      </tp>
      <tp>
        <v>5</v>
        <stp/>
        <stp>7200d5b1-f882-41b0-93f0-29f3df2318de</stp>
        <tr r="G680" s="2"/>
      </tp>
      <tp>
        <v>5</v>
        <stp/>
        <stp>ec01d218-2f54-4520-abc2-e07d83082c8b</stp>
        <tr r="G5532" s="2"/>
      </tp>
      <tp>
        <v>5</v>
        <stp/>
        <stp>3bf6048d-05d9-4336-a7ed-cc80f3ef658e</stp>
        <tr r="G4904" s="2"/>
      </tp>
    </main>
    <main first="rtdsrv_a82eb5a1fc404542a18b1336b70d2c4e">
      <tp>
        <v>5</v>
        <stp/>
        <stp>9e3c4f9a-7ea7-490a-bd25-cb151c0db611</stp>
        <tr r="G2136" s="2"/>
      </tp>
    </main>
    <main first="rtdsrv_a82eb5a1fc404542a18b1336b70d2c4e">
      <tp>
        <v>5</v>
        <stp/>
        <stp>593e87be-b84a-4dc6-9282-c70930de35d1</stp>
        <tr r="G3931" s="2"/>
      </tp>
      <tp>
        <v>5</v>
        <stp/>
        <stp>c03cf705-2523-452c-9de8-c26fbd2935a1</stp>
        <tr r="G4979" s="2"/>
      </tp>
    </main>
    <main first="rtdsrv_a82eb5a1fc404542a18b1336b70d2c4e">
      <tp>
        <v>5</v>
        <stp/>
        <stp>2cf2b672-0b72-4c0d-ae08-fee681277573</stp>
        <tr r="G3305" s="2"/>
      </tp>
    </main>
    <main first="rtdsrv_a82eb5a1fc404542a18b1336b70d2c4e">
      <tp>
        <v>5</v>
        <stp/>
        <stp>176a5072-3203-4b54-8500-d00946a84f97</stp>
        <tr r="G3442" s="2"/>
      </tp>
      <tp>
        <v>5</v>
        <stp/>
        <stp>038a8c79-e3b5-4b80-a927-e76cc25c0bc0</stp>
        <tr r="G4384" s="2"/>
      </tp>
    </main>
    <main first="rtdsrv_a82eb5a1fc404542a18b1336b70d2c4e">
      <tp>
        <v>5</v>
        <stp/>
        <stp>17dfad80-f2b9-4a0c-905f-fa6bc7ccbe69</stp>
        <tr r="G3395" s="2"/>
      </tp>
    </main>
    <main first="rtdsrv_a82eb5a1fc404542a18b1336b70d2c4e">
      <tp>
        <v>5</v>
        <stp/>
        <stp>e03aec9b-d52a-4fff-9f4d-44bbe6ab2732</stp>
        <tr r="G5719" s="2"/>
      </tp>
      <tp>
        <v>5</v>
        <stp/>
        <stp>a5765603-581f-4c1d-a0fb-11d3d67cfce8</stp>
        <tr r="G8690" s="2"/>
      </tp>
    </main>
    <main first="rtdsrv_a82eb5a1fc404542a18b1336b70d2c4e">
      <tp>
        <v>5</v>
        <stp/>
        <stp>184407c0-fa6a-4ab9-b079-4e19330deae6</stp>
        <tr r="G9456" s="2"/>
      </tp>
      <tp>
        <v>5</v>
        <stp/>
        <stp>601b0c57-09af-4863-ad5b-bce4ffc60025</stp>
        <tr r="G1684" s="2"/>
      </tp>
    </main>
    <main first="rtdsrv_a82eb5a1fc404542a18b1336b70d2c4e">
      <tp>
        <v>5</v>
        <stp/>
        <stp>ff2a83cb-f21e-473d-a1ff-327d973dadeb</stp>
        <tr r="G557" s="2"/>
      </tp>
      <tp>
        <v>5</v>
        <stp/>
        <stp>5ebece12-ae35-4d8b-b5eb-c6794228e25d</stp>
        <tr r="G2622" s="2"/>
      </tp>
    </main>
    <main first="rtdsrv_a82eb5a1fc404542a18b1336b70d2c4e">
      <tp>
        <v>5</v>
        <stp/>
        <stp>2816fe20-1dc8-4df2-a3de-4bc67830106d</stp>
        <tr r="G2249" s="2"/>
      </tp>
      <tp>
        <v>5</v>
        <stp/>
        <stp>d43bce02-98db-4f39-81e8-8cceaf205a62</stp>
        <tr r="G7026" s="2"/>
      </tp>
      <tp>
        <v>5</v>
        <stp/>
        <stp>92486eca-b384-42f4-a461-d30411c85eb0</stp>
        <tr r="G6954" s="2"/>
      </tp>
    </main>
    <main first="rtdsrv_a82eb5a1fc404542a18b1336b70d2c4e">
      <tp>
        <v>5</v>
        <stp/>
        <stp>5cf14f2d-0f87-469f-9136-93506ae6fb02</stp>
        <tr r="G443" s="2"/>
      </tp>
      <tp>
        <v>5</v>
        <stp/>
        <stp>1bf189e4-9ebd-477a-b722-703e0ffbc7ec</stp>
        <tr r="G8204" s="2"/>
      </tp>
    </main>
    <main first="rtdsrv_a82eb5a1fc404542a18b1336b70d2c4e">
      <tp>
        <v>5</v>
        <stp/>
        <stp>b03c83b7-bcb5-4d8e-9157-4048bc31f2f1</stp>
        <tr r="G2676" s="2"/>
      </tp>
    </main>
    <main first="rtdsrv_a82eb5a1fc404542a18b1336b70d2c4e">
      <tp>
        <v>5</v>
        <stp/>
        <stp>b8b6331a-a137-4b85-affe-1f092852e7f4</stp>
        <tr r="G9417" s="2"/>
      </tp>
    </main>
    <main first="rtdsrv_a82eb5a1fc404542a18b1336b70d2c4e">
      <tp>
        <v>5</v>
        <stp/>
        <stp>a7b4d285-f8c7-4ee2-bc6d-c5f57acbbcf4</stp>
        <tr r="G2098" s="2"/>
      </tp>
      <tp>
        <v>5</v>
        <stp/>
        <stp>7541a8d9-0b3d-4c67-8bf3-6bd168621f6c</stp>
        <tr r="G6028" s="2"/>
      </tp>
      <tp>
        <v>5</v>
        <stp/>
        <stp>56842d5c-c902-4a83-bec4-a146913fd1b4</stp>
        <tr r="G9969" s="2"/>
      </tp>
      <tp>
        <v>5</v>
        <stp/>
        <stp>f722dee7-a97e-4f60-aa2b-3bd410814353</stp>
        <tr r="G586" s="2"/>
      </tp>
      <tp>
        <v>5</v>
        <stp/>
        <stp>84b31130-1042-4d16-a70f-1ed81226d540</stp>
        <tr r="G2654" s="2"/>
      </tp>
    </main>
    <main first="rtdsrv_a82eb5a1fc404542a18b1336b70d2c4e">
      <tp>
        <v>5</v>
        <stp/>
        <stp>353947a0-d363-4e84-adf2-90729d6e107f</stp>
        <tr r="G5407" s="2"/>
      </tp>
    </main>
    <main first="rtdsrv_a82eb5a1fc404542a18b1336b70d2c4e">
      <tp>
        <v>5</v>
        <stp/>
        <stp>cdfcf06c-acd7-40c3-a6fb-1b802b91b05a</stp>
        <tr r="G2176" s="2"/>
      </tp>
    </main>
    <main first="rtdsrv_a82eb5a1fc404542a18b1336b70d2c4e">
      <tp>
        <v>5</v>
        <stp/>
        <stp>7ba52220-ef1b-487f-9c2a-fc004b3b7024</stp>
        <tr r="G165" s="2"/>
      </tp>
      <tp>
        <v>5</v>
        <stp/>
        <stp>ed40cb6d-058c-42fb-aef7-54edd30efe0c</stp>
        <tr r="G6421" s="2"/>
      </tp>
    </main>
    <main first="rtdsrv_a82eb5a1fc404542a18b1336b70d2c4e">
      <tp>
        <v>5</v>
        <stp/>
        <stp>334abd58-f220-4d4c-ba4e-7baead6a40d3</stp>
        <tr r="G4325" s="2"/>
      </tp>
      <tp>
        <v>5</v>
        <stp/>
        <stp>375bb92d-e6f7-4b7a-8fe5-acc3d8222d0a</stp>
        <tr r="G4534" s="2"/>
      </tp>
      <tp>
        <v>5</v>
        <stp/>
        <stp>7d4c2b2f-1afd-4f89-b955-f6f53870fef9</stp>
        <tr r="G7644" s="2"/>
      </tp>
    </main>
    <main first="rtdsrv_a82eb5a1fc404542a18b1336b70d2c4e">
      <tp>
        <v>5</v>
        <stp/>
        <stp>20bbc384-67f4-4815-9d11-f311f30b4a89</stp>
        <tr r="G86" s="2"/>
      </tp>
      <tp>
        <v>5</v>
        <stp/>
        <stp>1b006bac-d597-4ebb-906e-573e6cff1421</stp>
        <tr r="G8419" s="2"/>
      </tp>
    </main>
    <main first="rtdsrv_a82eb5a1fc404542a18b1336b70d2c4e">
      <tp>
        <v>5</v>
        <stp/>
        <stp>d2b78eb4-bb05-45b4-8063-40a06cb87443</stp>
        <tr r="G4495" s="2"/>
      </tp>
    </main>
    <main first="rtdsrv_a82eb5a1fc404542a18b1336b70d2c4e">
      <tp>
        <v>5</v>
        <stp/>
        <stp>5733c2ea-c718-4e9e-b563-ae8d48474889</stp>
        <tr r="G1676" s="2"/>
      </tp>
      <tp>
        <v>5</v>
        <stp/>
        <stp>56235d01-41ed-4f17-8236-16b7009d848e</stp>
        <tr r="G2795" s="2"/>
      </tp>
    </main>
    <main first="rtdsrv_a82eb5a1fc404542a18b1336b70d2c4e">
      <tp>
        <v>5</v>
        <stp/>
        <stp>9e39339a-39c9-41b2-8750-773140f2a508</stp>
        <tr r="G5304" s="2"/>
      </tp>
    </main>
    <main first="rtdsrv_a82eb5a1fc404542a18b1336b70d2c4e">
      <tp>
        <v>5</v>
        <stp/>
        <stp>a1f23cf9-3eac-4101-8914-51b28702a7e7</stp>
        <tr r="G605" s="2"/>
      </tp>
      <tp>
        <v>5</v>
        <stp/>
        <stp>4982687c-b5d5-47e4-9a43-ecbd2f452697</stp>
        <tr r="G7441" s="2"/>
      </tp>
    </main>
    <main first="rtdsrv_a82eb5a1fc404542a18b1336b70d2c4e">
      <tp>
        <v>5</v>
        <stp/>
        <stp>02797ace-e4da-48ae-9fda-b7c2c15ada12</stp>
        <tr r="G9793" s="2"/>
      </tp>
      <tp>
        <v>5</v>
        <stp/>
        <stp>06d36cdf-917e-4612-b63d-310fc8489472</stp>
        <tr r="G9234" s="2"/>
      </tp>
      <tp>
        <v>5</v>
        <stp/>
        <stp>a8e329da-f50f-437a-89f6-d4c80a064e6c</stp>
        <tr r="G1903" s="2"/>
      </tp>
    </main>
    <main first="rtdsrv_a82eb5a1fc404542a18b1336b70d2c4e">
      <tp>
        <v>5</v>
        <stp/>
        <stp>f1881dd8-9199-417f-b466-48759529ba9a</stp>
        <tr r="G1556" s="2"/>
      </tp>
    </main>
    <main first="rtdsrv_a82eb5a1fc404542a18b1336b70d2c4e">
      <tp>
        <v>5</v>
        <stp/>
        <stp>213d3ff3-f4e4-41d0-93e0-08b5897455c8</stp>
        <tr r="G5899" s="2"/>
      </tp>
    </main>
    <main first="rtdsrv_a82eb5a1fc404542a18b1336b70d2c4e">
      <tp>
        <v>5</v>
        <stp/>
        <stp>1180c30a-901b-46ce-a674-2b80d859bcf5</stp>
        <tr r="G4412" s="2"/>
      </tp>
      <tp>
        <v>5</v>
        <stp/>
        <stp>224cde55-7d82-4716-bc0b-f650be4aeeaa</stp>
        <tr r="G22" s="2"/>
      </tp>
    </main>
    <main first="rtdsrv_a82eb5a1fc404542a18b1336b70d2c4e">
      <tp>
        <v>5</v>
        <stp/>
        <stp>ad409d07-fc04-4140-bb15-e54e41e393de</stp>
        <tr r="G79" s="2"/>
      </tp>
      <tp>
        <v>5</v>
        <stp/>
        <stp>4405416b-7c73-4865-bda6-9c399b7f3706</stp>
        <tr r="G3775" s="2"/>
      </tp>
    </main>
    <main first="rtdsrv_a82eb5a1fc404542a18b1336b70d2c4e">
      <tp>
        <v>5</v>
        <stp/>
        <stp>4cc65050-0a55-41cb-80eb-3552c1df10c2</stp>
        <tr r="G4922" s="2"/>
      </tp>
    </main>
    <main first="rtdsrv_a82eb5a1fc404542a18b1336b70d2c4e">
      <tp>
        <v>5</v>
        <stp/>
        <stp>4cfeed6c-fa32-4ef3-be3a-9613540a2368</stp>
        <tr r="G7466" s="2"/>
      </tp>
      <tp>
        <v>5</v>
        <stp/>
        <stp>9c2a74f0-5e41-4b50-8c49-8bd24b2dd692</stp>
        <tr r="G2685" s="2"/>
      </tp>
      <tp>
        <v>5</v>
        <stp/>
        <stp>1679a352-304f-4308-b14c-c3fe1a4208c9</stp>
        <tr r="G3728" s="2"/>
      </tp>
      <tp>
        <v>5</v>
        <stp/>
        <stp>8aedf8ae-10f2-430c-bce0-bdbc4c2fd943</stp>
        <tr r="G1226" s="2"/>
      </tp>
    </main>
    <main first="rtdsrv_a82eb5a1fc404542a18b1336b70d2c4e">
      <tp>
        <v>5</v>
        <stp/>
        <stp>de07e8e0-1425-494f-ad90-3fe3b7c1e27a</stp>
        <tr r="G9316" s="2"/>
      </tp>
    </main>
    <main first="rtdsrv_a82eb5a1fc404542a18b1336b70d2c4e">
      <tp>
        <v>5</v>
        <stp/>
        <stp>75854bb2-77a0-41d1-92f8-f61aab78b338</stp>
        <tr r="G3398" s="2"/>
      </tp>
    </main>
    <main first="rtdsrv_a82eb5a1fc404542a18b1336b70d2c4e">
      <tp>
        <v>5</v>
        <stp/>
        <stp>66c74baf-fc17-49b6-9ce7-4d497bae57c4</stp>
        <tr r="G5095" s="2"/>
      </tp>
    </main>
    <main first="rtdsrv_a82eb5a1fc404542a18b1336b70d2c4e">
      <tp>
        <v>5</v>
        <stp/>
        <stp>1cacd855-8645-4b1b-9d30-0fa58b2abfaf</stp>
        <tr r="G3144" s="2"/>
      </tp>
      <tp>
        <v>5</v>
        <stp/>
        <stp>0cb28b24-dcda-4a2d-9ebc-a1e522a8804b</stp>
        <tr r="G8128" s="2"/>
      </tp>
      <tp>
        <v>5</v>
        <stp/>
        <stp>ac0e6bcc-b01b-4f25-b9b7-cb4f27f6e1f5</stp>
        <tr r="G5078" s="2"/>
      </tp>
      <tp>
        <v>5</v>
        <stp/>
        <stp>d023500e-7405-482b-adf1-8df93024e73e</stp>
        <tr r="G5784" s="2"/>
      </tp>
      <tp>
        <v>5</v>
        <stp/>
        <stp>c3d4ae36-ef01-48e0-a5c1-0231da256ca8</stp>
        <tr r="G6160" s="2"/>
      </tp>
      <tp>
        <v>5</v>
        <stp/>
        <stp>2bdac505-94ff-4e6c-ad15-9c5748e097eb</stp>
        <tr r="G2412" s="2"/>
      </tp>
      <tp>
        <v>5</v>
        <stp/>
        <stp>d659c56f-7e14-4792-afc7-6d1025d8eddc</stp>
        <tr r="G2704" s="2"/>
      </tp>
      <tp>
        <v>5</v>
        <stp/>
        <stp>5f01f317-944c-4d4e-8632-ea46637498d1</stp>
        <tr r="G297" s="2"/>
      </tp>
      <tp>
        <v>5</v>
        <stp/>
        <stp>03f09fa3-7a9d-4684-9be2-4fbca4e92131</stp>
        <tr r="G1527" s="2"/>
      </tp>
      <tp>
        <v>5</v>
        <stp/>
        <stp>712faa07-4dc2-42d7-8ce2-83748051be79</stp>
        <tr r="G1647" s="2"/>
      </tp>
    </main>
    <main first="rtdsrv_a82eb5a1fc404542a18b1336b70d2c4e">
      <tp>
        <v>5</v>
        <stp/>
        <stp>a4c58341-f328-4cef-ae74-dbcb50c3121c</stp>
        <tr r="G2552" s="2"/>
      </tp>
      <tp>
        <v>5</v>
        <stp/>
        <stp>4b4cb5d6-96f0-4af9-ade1-45f64bcb253f</stp>
        <tr r="G9401" s="2"/>
      </tp>
      <tp>
        <v>5</v>
        <stp/>
        <stp>1752ced8-6e5a-48cd-b007-d552c026deec</stp>
        <tr r="G2762" s="2"/>
      </tp>
      <tp>
        <v>5</v>
        <stp/>
        <stp>8f7c9b4d-f03e-4339-98c6-b98fcb8bd3d8</stp>
        <tr r="G9747" s="2"/>
      </tp>
      <tp>
        <v>5</v>
        <stp/>
        <stp>32176be2-cf4b-4670-9984-0904cd4bf6cf</stp>
        <tr r="G6158" s="2"/>
      </tp>
    </main>
    <main first="rtdsrv_a82eb5a1fc404542a18b1336b70d2c4e">
      <tp>
        <v>5</v>
        <stp/>
        <stp>c9219b02-97c3-425b-956e-e03a2f476062</stp>
        <tr r="G8610" s="2"/>
      </tp>
      <tp>
        <v>5</v>
        <stp/>
        <stp>61f64ce6-763d-4145-b701-197e6876b1e9</stp>
        <tr r="G1885" s="2"/>
      </tp>
      <tp>
        <v>5</v>
        <stp/>
        <stp>92c2cd2f-3571-45b0-855c-3bfaf4c5cfc0</stp>
        <tr r="G7999" s="2"/>
      </tp>
      <tp>
        <v>5</v>
        <stp/>
        <stp>c15e91dc-167a-43fd-9aef-0edda765022a</stp>
        <tr r="G388" s="2"/>
      </tp>
      <tp>
        <v>5</v>
        <stp/>
        <stp>764cc2be-e699-4f53-b9da-d46dd6006df9</stp>
        <tr r="G5638" s="2"/>
      </tp>
      <tp>
        <v>5</v>
        <stp/>
        <stp>86fe40b0-9ff0-4ba4-bc57-196306ad5ac6</stp>
        <tr r="G5826" s="2"/>
      </tp>
    </main>
    <main first="rtdsrv_a82eb5a1fc404542a18b1336b70d2c4e">
      <tp>
        <v>5</v>
        <stp/>
        <stp>db7ac247-1b83-4500-ab2e-d6535d13caad</stp>
        <tr r="G9488" s="2"/>
      </tp>
    </main>
    <main first="rtdsrv_a82eb5a1fc404542a18b1336b70d2c4e">
      <tp>
        <v>5</v>
        <stp/>
        <stp>e18411c2-5868-48b7-a7f6-e2f267c5e114</stp>
        <tr r="G3414" s="2"/>
      </tp>
      <tp>
        <v>5</v>
        <stp/>
        <stp>2777dd15-8026-4dd5-a780-00e8ab020d19</stp>
        <tr r="G9268" s="2"/>
      </tp>
      <tp>
        <v>5</v>
        <stp/>
        <stp>89d0ffe5-fa53-443e-b8df-d81f45674ec1</stp>
        <tr r="G2380" s="2"/>
      </tp>
    </main>
    <main first="rtdsrv_a82eb5a1fc404542a18b1336b70d2c4e">
      <tp>
        <v>5</v>
        <stp/>
        <stp>b881bbac-e01c-4a20-acd8-e8a7904a23f5</stp>
        <tr r="G7484" s="2"/>
      </tp>
      <tp>
        <v>5</v>
        <stp/>
        <stp>db9c8087-8f3b-4108-8fc5-1c38443ff600</stp>
        <tr r="G9482" s="2"/>
      </tp>
      <tp>
        <v>5</v>
        <stp/>
        <stp>ad80f735-8ffa-4a68-aae8-922bf500aa51</stp>
        <tr r="G9186" s="2"/>
      </tp>
    </main>
    <main first="rtdsrv_a82eb5a1fc404542a18b1336b70d2c4e">
      <tp>
        <v>5</v>
        <stp/>
        <stp>04fc40db-9b0c-4368-9fde-d62e8ba44e4b</stp>
        <tr r="G9261" s="2"/>
      </tp>
    </main>
    <main first="rtdsrv_a82eb5a1fc404542a18b1336b70d2c4e">
      <tp>
        <v>5</v>
        <stp/>
        <stp>e72e1b59-9a4b-4974-858c-9463434fe7e5</stp>
        <tr r="G7078" s="2"/>
      </tp>
      <tp>
        <v>5</v>
        <stp/>
        <stp>e0010e98-3cc8-4c28-9396-4095b5368249</stp>
        <tr r="G588" s="2"/>
      </tp>
      <tp>
        <v>5</v>
        <stp/>
        <stp>52b0a809-e5f0-49c9-998a-1cbc8e524835</stp>
        <tr r="G6671" s="2"/>
      </tp>
      <tp>
        <v>5</v>
        <stp/>
        <stp>c2c8098f-48f1-4b88-9748-65972cbae5bb</stp>
        <tr r="G310" s="2"/>
      </tp>
    </main>
    <main first="rtdsrv_a82eb5a1fc404542a18b1336b70d2c4e">
      <tp>
        <v>5</v>
        <stp/>
        <stp>f8e58f8f-932f-44bd-a473-b2528e22f38e</stp>
        <tr r="G6615" s="2"/>
      </tp>
      <tp>
        <v>5</v>
        <stp/>
        <stp>73f2dcab-cbdb-4278-af7a-4956eaa7a424</stp>
        <tr r="G2852" s="2"/>
      </tp>
      <tp>
        <v>5</v>
        <stp/>
        <stp>ee1a3efc-9750-42b6-9384-52fffbf93761</stp>
        <tr r="G6352" s="2"/>
      </tp>
      <tp>
        <v>5</v>
        <stp/>
        <stp>5a445a3a-ee7e-44d6-9df4-416a555d9a78</stp>
        <tr r="G2719" s="2"/>
      </tp>
      <tp>
        <v>5</v>
        <stp/>
        <stp>f0d7756b-7b1b-4fcf-b0d7-2b366ccbfa5f</stp>
        <tr r="G2643" s="2"/>
      </tp>
    </main>
    <main first="rtdsrv_a82eb5a1fc404542a18b1336b70d2c4e">
      <tp>
        <v>5</v>
        <stp/>
        <stp>78fb5b3d-81e2-401a-8b7c-cfde9c1c9a02</stp>
        <tr r="G2069" s="2"/>
      </tp>
      <tp>
        <v>5</v>
        <stp/>
        <stp>e3f5aff6-b50d-431b-83ff-d2ee8f7a37cc</stp>
        <tr r="G8764" s="2"/>
      </tp>
      <tp>
        <v>5</v>
        <stp/>
        <stp>bb717396-1c32-4ae7-9db5-aadf558471ff</stp>
        <tr r="G7060" s="2"/>
      </tp>
    </main>
    <main first="rtdsrv_a82eb5a1fc404542a18b1336b70d2c4e">
      <tp>
        <v>5</v>
        <stp/>
        <stp>e218996b-1210-4073-9241-c77049e6bc5b</stp>
        <tr r="G9223" s="2"/>
      </tp>
    </main>
    <main first="rtdsrv_a82eb5a1fc404542a18b1336b70d2c4e">
      <tp>
        <v>5</v>
        <stp/>
        <stp>e7e17154-5bae-469d-bf2b-eb5c2abdb6d7</stp>
        <tr r="G649" s="2"/>
      </tp>
    </main>
    <main first="rtdsrv_a82eb5a1fc404542a18b1336b70d2c4e">
      <tp>
        <v>5</v>
        <stp/>
        <stp>40755df1-71f3-4458-a79a-220c32fe5243</stp>
        <tr r="G4487" s="2"/>
      </tp>
      <tp>
        <v>5</v>
        <stp/>
        <stp>9f154d7a-c5ca-4071-a4f1-cf5977d8470e</stp>
        <tr r="G4964" s="2"/>
      </tp>
      <tp>
        <v>5</v>
        <stp/>
        <stp>f4a42ff8-ea31-4828-a984-cc32da5a3e79</stp>
        <tr r="G1724" s="2"/>
      </tp>
    </main>
    <main first="rtdsrv_a82eb5a1fc404542a18b1336b70d2c4e">
      <tp>
        <v>5</v>
        <stp/>
        <stp>dbc72bf0-7ef5-4401-a1d8-72f888d34897</stp>
        <tr r="G6883" s="2"/>
      </tp>
    </main>
    <main first="rtdsrv_a82eb5a1fc404542a18b1336b70d2c4e">
      <tp>
        <v>5</v>
        <stp/>
        <stp>80e524ad-57a5-4676-9780-292735194cc8</stp>
        <tr r="G6717" s="2"/>
      </tp>
      <tp>
        <v>5</v>
        <stp/>
        <stp>2557e4b6-3ec0-4717-8d55-711b94030ee6</stp>
        <tr r="G7535" s="2"/>
      </tp>
    </main>
    <main first="rtdsrv_a82eb5a1fc404542a18b1336b70d2c4e">
      <tp>
        <v>5</v>
        <stp/>
        <stp>f2c44aa9-5c0f-4674-b6ec-5704a5e49e4b</stp>
        <tr r="G1376" s="2"/>
      </tp>
      <tp>
        <v>5</v>
        <stp/>
        <stp>350478ea-f354-47e0-bf81-aa0f5105ec43</stp>
        <tr r="G2782" s="2"/>
      </tp>
      <tp>
        <v>5</v>
        <stp/>
        <stp>63aa3236-048a-46fc-8274-1b1133c3fdc4</stp>
        <tr r="G4999" s="2"/>
      </tp>
      <tp>
        <v>5</v>
        <stp/>
        <stp>b796e3da-963d-45cc-9a15-2885bd11ec40</stp>
        <tr r="G3962" s="2"/>
      </tp>
      <tp>
        <v>5</v>
        <stp/>
        <stp>4f457c3c-c68c-407f-ae76-40ec118d9f9d</stp>
        <tr r="G9581" s="2"/>
      </tp>
      <tp>
        <v>5</v>
        <stp/>
        <stp>7fef43cd-a444-4483-8e05-1743b4e2fd5b</stp>
        <tr r="G5175" s="2"/>
      </tp>
    </main>
    <main first="rtdsrv_a82eb5a1fc404542a18b1336b70d2c4e">
      <tp>
        <v>5</v>
        <stp/>
        <stp>a1b86a93-cea2-4809-a7a3-18c691f6d146</stp>
        <tr r="G6590" s="2"/>
      </tp>
      <tp>
        <v>5</v>
        <stp/>
        <stp>679490f0-fd3e-45af-b36d-f5b2d5ddfbe0</stp>
        <tr r="G1070" s="2"/>
      </tp>
    </main>
    <main first="rtdsrv_a82eb5a1fc404542a18b1336b70d2c4e">
      <tp>
        <v>5</v>
        <stp/>
        <stp>b5301239-698d-4b77-99a2-a47948574853</stp>
        <tr r="G8168" s="2"/>
      </tp>
    </main>
    <main first="rtdsrv_a82eb5a1fc404542a18b1336b70d2c4e">
      <tp>
        <v>5</v>
        <stp/>
        <stp>dde3dc5c-769f-40f6-8314-424382b29d81</stp>
        <tr r="G7111" s="2"/>
      </tp>
      <tp>
        <v>5</v>
        <stp/>
        <stp>cf0708fd-e909-4f25-8ae4-15fd45d5f8e1</stp>
        <tr r="G7333" s="2"/>
      </tp>
      <tp>
        <v>5</v>
        <stp/>
        <stp>daf6e7af-3dd9-4feb-be58-8b4bb51426b9</stp>
        <tr r="G6696" s="2"/>
      </tp>
      <tp>
        <v>5</v>
        <stp/>
        <stp>7d92bf41-be0c-421a-977d-0cde55de630a</stp>
        <tr r="G2711" s="2"/>
      </tp>
      <tp>
        <v>5</v>
        <stp/>
        <stp>3df38dcc-6431-4690-b40a-20e6ec0bf699</stp>
        <tr r="G9122" s="2"/>
      </tp>
    </main>
    <main first="rtdsrv_a82eb5a1fc404542a18b1336b70d2c4e">
      <tp>
        <v>5</v>
        <stp/>
        <stp>95829525-ab40-460d-85e3-075562ee066a</stp>
        <tr r="G5447" s="2"/>
      </tp>
    </main>
    <main first="rtdsrv_a82eb5a1fc404542a18b1336b70d2c4e">
      <tp>
        <v>5</v>
        <stp/>
        <stp>3b26d440-489d-4c16-b32f-2fa811342b7d</stp>
        <tr r="G7687" s="2"/>
      </tp>
      <tp>
        <v>5</v>
        <stp/>
        <stp>601cb688-c73b-42dc-9cc0-e72fed5a7e48</stp>
        <tr r="G9934" s="2"/>
      </tp>
      <tp>
        <v>5</v>
        <stp/>
        <stp>b6b5c400-d24a-431a-aca2-1fa4fe880660</stp>
        <tr r="G9366" s="2"/>
      </tp>
    </main>
    <main first="rtdsrv_a82eb5a1fc404542a18b1336b70d2c4e">
      <tp>
        <v>5</v>
        <stp/>
        <stp>5cb2b9b9-389f-4381-af8b-aa1c0ce3d105</stp>
        <tr r="G5158" s="2"/>
      </tp>
      <tp>
        <v>5</v>
        <stp/>
        <stp>ff5634af-26bf-4d86-8dd9-c6c00fb991dd</stp>
        <tr r="G948" s="2"/>
      </tp>
    </main>
    <main first="rtdsrv_a82eb5a1fc404542a18b1336b70d2c4e">
      <tp>
        <v>5</v>
        <stp/>
        <stp>82ce8265-2946-48fe-8125-f61919fa9903</stp>
        <tr r="G7907" s="2"/>
      </tp>
    </main>
    <main first="rtdsrv_a82eb5a1fc404542a18b1336b70d2c4e">
      <tp>
        <v>5</v>
        <stp/>
        <stp>c8061bd4-9241-4dbf-b3a9-24ec40ace3ee</stp>
        <tr r="G3961" s="2"/>
      </tp>
      <tp>
        <v>5</v>
        <stp/>
        <stp>3e39d89c-50c1-4fe0-864d-ae1e58a65b0a</stp>
        <tr r="G876" s="2"/>
      </tp>
    </main>
    <main first="rtdsrv_a82eb5a1fc404542a18b1336b70d2c4e">
      <tp>
        <v>5</v>
        <stp/>
        <stp>e637e08e-a70b-4a56-ad06-4d76933d2e0c</stp>
        <tr r="G8088" s="2"/>
      </tp>
    </main>
    <main first="rtdsrv_a82eb5a1fc404542a18b1336b70d2c4e">
      <tp>
        <v>5</v>
        <stp/>
        <stp>55c5272a-0c9e-4eaf-b050-f38b86b3d7fe</stp>
        <tr r="G5201" s="2"/>
      </tp>
    </main>
    <main first="rtdsrv_a82eb5a1fc404542a18b1336b70d2c4e">
      <tp>
        <v>5</v>
        <stp/>
        <stp>d613640c-8a9a-48a2-bae4-321844c2688c</stp>
        <tr r="G3433" s="2"/>
      </tp>
    </main>
    <main first="rtdsrv_a82eb5a1fc404542a18b1336b70d2c4e">
      <tp>
        <v>5</v>
        <stp/>
        <stp>c4cb7f47-ab1e-448a-aa29-346f771c7041</stp>
        <tr r="G283" s="2"/>
      </tp>
    </main>
    <main first="rtdsrv_a82eb5a1fc404542a18b1336b70d2c4e">
      <tp>
        <v>5</v>
        <stp/>
        <stp>f931aef9-c2aa-4708-bd06-7398dde2d325</stp>
        <tr r="G8877" s="2"/>
      </tp>
      <tp>
        <v>5</v>
        <stp/>
        <stp>f6b646b4-46e6-4e22-8d4f-8adfd08ee034</stp>
        <tr r="G3919" s="2"/>
      </tp>
    </main>
    <main first="rtdsrv_a82eb5a1fc404542a18b1336b70d2c4e">
      <tp>
        <v>5</v>
        <stp/>
        <stp>c181491e-1354-424d-8de4-4ac252e2b87b</stp>
        <tr r="G9757" s="2"/>
      </tp>
      <tp>
        <v>5</v>
        <stp/>
        <stp>66d475e4-be93-4daa-a36e-06876c20f041</stp>
        <tr r="G4334" s="2"/>
      </tp>
    </main>
    <main first="rtdsrv_a82eb5a1fc404542a18b1336b70d2c4e">
      <tp>
        <v>5</v>
        <stp/>
        <stp>766e059b-646b-4d20-ad53-94071c15946c</stp>
        <tr r="G7083" s="2"/>
      </tp>
      <tp>
        <v>5</v>
        <stp/>
        <stp>5d346b1f-e2f5-4f3a-a84f-eca9150d6389</stp>
        <tr r="G210" s="2"/>
      </tp>
      <tp>
        <v>5</v>
        <stp/>
        <stp>8b349f86-b8cf-4edc-af18-2b0391e394a5</stp>
        <tr r="G391" s="2"/>
      </tp>
      <tp>
        <v>5</v>
        <stp/>
        <stp>3bfd2359-1963-43e1-8cbf-db47020e707c</stp>
        <tr r="G5256" s="2"/>
      </tp>
      <tp>
        <v>5</v>
        <stp/>
        <stp>9569565c-b473-4fb0-8201-7e55265a3a96</stp>
        <tr r="G2094" s="2"/>
      </tp>
    </main>
    <main first="rtdsrv_a82eb5a1fc404542a18b1336b70d2c4e">
      <tp>
        <v>5</v>
        <stp/>
        <stp>c92bfda9-ef7f-4f7c-9289-547d3ae0dea9</stp>
        <tr r="G9288" s="2"/>
      </tp>
      <tp>
        <v>5</v>
        <stp/>
        <stp>dd38d5f9-451f-4a1e-9839-b5dc5cdb86f2</stp>
        <tr r="G4654" s="2"/>
      </tp>
      <tp>
        <v>5</v>
        <stp/>
        <stp>84388743-0966-433b-ac84-03e7b8e00153</stp>
        <tr r="G8712" s="2"/>
      </tp>
    </main>
    <main first="rtdsrv_a82eb5a1fc404542a18b1336b70d2c4e">
      <tp>
        <v>5</v>
        <stp/>
        <stp>e2c01f18-fec8-4477-b630-3d49383ad98c</stp>
        <tr r="G4677" s="2"/>
      </tp>
    </main>
    <main first="rtdsrv_a82eb5a1fc404542a18b1336b70d2c4e">
      <tp>
        <v>5</v>
        <stp/>
        <stp>5cec63c4-96ea-4fbe-bce9-e3b2981801b3</stp>
        <tr r="G5566" s="2"/>
      </tp>
    </main>
    <main first="rtdsrv_a82eb5a1fc404542a18b1336b70d2c4e">
      <tp>
        <v>5</v>
        <stp/>
        <stp>fe0ec0ba-bbf7-4996-9cda-31cee73d5097</stp>
        <tr r="G1033" s="2"/>
      </tp>
    </main>
    <main first="rtdsrv_a82eb5a1fc404542a18b1336b70d2c4e">
      <tp>
        <v>5</v>
        <stp/>
        <stp>3b338b55-16dd-4764-aa49-4280ae80d51d</stp>
        <tr r="G6353" s="2"/>
      </tp>
      <tp>
        <v>5</v>
        <stp/>
        <stp>16c0d974-028d-41b1-a207-084157e94b89</stp>
        <tr r="G3141" s="2"/>
      </tp>
      <tp>
        <v>5</v>
        <stp/>
        <stp>d7808638-2932-45c3-bd3b-4aaaf70b7692</stp>
        <tr r="G7857" s="2"/>
      </tp>
    </main>
    <main first="rtdsrv_a82eb5a1fc404542a18b1336b70d2c4e">
      <tp>
        <v>5</v>
        <stp/>
        <stp>05014e8c-59bb-4723-86d5-e0aa30892ae8</stp>
        <tr r="G6736" s="2"/>
      </tp>
    </main>
    <main first="rtdsrv_a82eb5a1fc404542a18b1336b70d2c4e">
      <tp>
        <v>5</v>
        <stp/>
        <stp>aebab175-e1b5-4f12-96b9-aeedbce2c4ed</stp>
        <tr r="G878" s="2"/>
      </tp>
    </main>
    <main first="rtdsrv_a82eb5a1fc404542a18b1336b70d2c4e">
      <tp>
        <v>5</v>
        <stp/>
        <stp>2c26b1a8-59e7-44c6-8ecd-11c775635ebb</stp>
        <tr r="G5842" s="2"/>
      </tp>
      <tp>
        <v>5</v>
        <stp/>
        <stp>d115e782-b9b0-44e2-88e5-5f8693a855ed</stp>
        <tr r="G5339" s="2"/>
      </tp>
    </main>
    <main first="rtdsrv_a82eb5a1fc404542a18b1336b70d2c4e">
      <tp>
        <v>5</v>
        <stp/>
        <stp>aa1adfc6-2a79-4148-af89-f62c22e8abdc</stp>
        <tr r="G1189" s="2"/>
      </tp>
      <tp>
        <v>5</v>
        <stp/>
        <stp>e5e57fae-1a9d-4773-a9c8-1b1acf4e3ea2</stp>
        <tr r="G3119" s="2"/>
      </tp>
    </main>
    <main first="rtdsrv_a82eb5a1fc404542a18b1336b70d2c4e">
      <tp>
        <v>5</v>
        <stp/>
        <stp>48884edb-9de4-4395-a461-d25425736325</stp>
        <tr r="G9939" s="2"/>
      </tp>
      <tp>
        <v>5</v>
        <stp/>
        <stp>8db60b92-189e-4f54-bd88-2fcf788cf69c</stp>
        <tr r="G4082" s="2"/>
      </tp>
    </main>
    <main first="rtdsrv_a82eb5a1fc404542a18b1336b70d2c4e">
      <tp>
        <v>5</v>
        <stp/>
        <stp>839f2347-a0e4-475c-9340-fbf3cf7abae0</stp>
        <tr r="G4274" s="2"/>
      </tp>
    </main>
    <main first="rtdsrv_a82eb5a1fc404542a18b1336b70d2c4e">
      <tp>
        <v>5</v>
        <stp/>
        <stp>885819a2-dc51-42cf-8e38-dec0d6e7c030</stp>
        <tr r="G1964" s="2"/>
      </tp>
    </main>
    <main first="rtdsrv_a82eb5a1fc404542a18b1336b70d2c4e">
      <tp>
        <v>5</v>
        <stp/>
        <stp>2c7c7f45-ce73-43ec-8248-1fa37625227f</stp>
        <tr r="G2942" s="2"/>
      </tp>
      <tp>
        <v>5</v>
        <stp/>
        <stp>29222bc8-35b6-4c6b-863d-f1ed78fb3c9c</stp>
        <tr r="G7360" s="2"/>
      </tp>
    </main>
    <main first="rtdsrv_a82eb5a1fc404542a18b1336b70d2c4e">
      <tp>
        <v>5</v>
        <stp/>
        <stp>8de3202f-0238-429f-87b9-bb55cd0905c0</stp>
        <tr r="G2000" s="2"/>
      </tp>
      <tp>
        <v>5</v>
        <stp/>
        <stp>b3b1380e-a9b2-42b6-8b93-4da5df59e46b</stp>
        <tr r="G1181" s="2"/>
      </tp>
    </main>
    <main first="rtdsrv_a82eb5a1fc404542a18b1336b70d2c4e">
      <tp>
        <v>5</v>
        <stp/>
        <stp>7bec08c2-c965-4d0c-978c-3e504c2ff7a2</stp>
        <tr r="G6700" s="2"/>
      </tp>
      <tp>
        <v>5</v>
        <stp/>
        <stp>c3148235-ffb8-4687-8771-0494f53655e1</stp>
        <tr r="G6277" s="2"/>
      </tp>
    </main>
    <main first="rtdsrv_a82eb5a1fc404542a18b1336b70d2c4e">
      <tp>
        <v>5</v>
        <stp/>
        <stp>612ad326-eea7-4901-b2f5-c8dbf9697b93</stp>
        <tr r="G9672" s="2"/>
      </tp>
      <tp>
        <v>5</v>
        <stp/>
        <stp>44cb5216-11c7-4e55-bac5-6a9a412d1bf4</stp>
        <tr r="G8272" s="2"/>
      </tp>
    </main>
    <main first="rtdsrv_a82eb5a1fc404542a18b1336b70d2c4e">
      <tp>
        <v>5</v>
        <stp/>
        <stp>6c6fbe1d-ab77-46a9-b5f1-8309ea9859fb</stp>
        <tr r="G9761" s="2"/>
      </tp>
    </main>
    <main first="rtdsrv_a82eb5a1fc404542a18b1336b70d2c4e">
      <tp>
        <v>5</v>
        <stp/>
        <stp>992858d4-c1e5-402e-9a24-e7effe597486</stp>
        <tr r="G4669" s="2"/>
      </tp>
    </main>
    <main first="rtdsrv_a82eb5a1fc404542a18b1336b70d2c4e">
      <tp>
        <v>5</v>
        <stp/>
        <stp>b509b2a5-233c-4c92-914e-733a7575af8d</stp>
        <tr r="G2849" s="2"/>
      </tp>
    </main>
    <main first="rtdsrv_a82eb5a1fc404542a18b1336b70d2c4e">
      <tp>
        <v>5</v>
        <stp/>
        <stp>a7e9af50-4350-4829-974b-a1bd78a19298</stp>
        <tr r="G1924" s="2"/>
      </tp>
    </main>
    <main first="rtdsrv_a82eb5a1fc404542a18b1336b70d2c4e">
      <tp>
        <v>5</v>
        <stp/>
        <stp>042b9078-88cf-4b84-902c-483b077a2fa0</stp>
        <tr r="G1449" s="2"/>
      </tp>
      <tp>
        <v>5</v>
        <stp/>
        <stp>5ba44980-c70d-4b7d-878b-4a0823575e20</stp>
        <tr r="G98" s="2"/>
      </tp>
    </main>
    <main first="rtdsrv_a82eb5a1fc404542a18b1336b70d2c4e">
      <tp>
        <v>5</v>
        <stp/>
        <stp>0069ad9d-a7b2-490e-bfbf-e2bdd04d9c36</stp>
        <tr r="G4768" s="2"/>
      </tp>
      <tp>
        <v>5</v>
        <stp/>
        <stp>6b43cb1b-bbd5-47b0-b6e9-3dfe34fce4e5</stp>
        <tr r="G7229" s="2"/>
      </tp>
    </main>
    <main first="rtdsrv_a82eb5a1fc404542a18b1336b70d2c4e">
      <tp>
        <v>5</v>
        <stp/>
        <stp>efa9fddb-78dd-4c84-be27-614cf0d69aa7</stp>
        <tr r="G8184" s="2"/>
      </tp>
      <tp>
        <v>5</v>
        <stp/>
        <stp>b717ff40-04df-4166-a8e2-ca7eb730673b</stp>
        <tr r="G7845" s="2"/>
      </tp>
      <tp>
        <v>5</v>
        <stp/>
        <stp>cb6bdb38-6b44-4caf-916f-a59f7785e74a</stp>
        <tr r="G5883" s="2"/>
      </tp>
      <tp>
        <v>5</v>
        <stp/>
        <stp>48911885-cfe7-4853-bd13-c35d88c2a96a</stp>
        <tr r="G4869" s="2"/>
      </tp>
      <tp>
        <v>5</v>
        <stp/>
        <stp>9fdec4c1-f2b8-4f35-8d5f-6715920c0bf2</stp>
        <tr r="G5591" s="2"/>
      </tp>
      <tp>
        <v>5</v>
        <stp/>
        <stp>04c8e35e-195e-48fb-a6b7-f68b5528cfff</stp>
        <tr r="G9229" s="2"/>
      </tp>
    </main>
    <main first="rtdsrv_a82eb5a1fc404542a18b1336b70d2c4e">
      <tp>
        <v>5</v>
        <stp/>
        <stp>feeef329-ef7a-494b-a2f2-5db19017e0da</stp>
        <tr r="G9584" s="2"/>
      </tp>
    </main>
    <main first="rtdsrv_a82eb5a1fc404542a18b1336b70d2c4e">
      <tp>
        <v>5</v>
        <stp/>
        <stp>80cf3adf-e5ce-4924-8223-cc242ada9cca</stp>
        <tr r="G3241" s="2"/>
      </tp>
    </main>
    <main first="rtdsrv_a82eb5a1fc404542a18b1336b70d2c4e">
      <tp>
        <v>5</v>
        <stp/>
        <stp>7e5b35ac-3955-4ff5-a59f-1995646fb107</stp>
        <tr r="G1190" s="2"/>
      </tp>
      <tp>
        <v>5</v>
        <stp/>
        <stp>b223b63b-fe27-4caf-9e45-b6feea589463</stp>
        <tr r="G6384" s="2"/>
      </tp>
    </main>
    <main first="rtdsrv_a82eb5a1fc404542a18b1336b70d2c4e">
      <tp>
        <v>5</v>
        <stp/>
        <stp>1bc553f6-458e-42ae-80cb-a7ca8c0dfd5e</stp>
        <tr r="G9070" s="2"/>
      </tp>
      <tp>
        <v>5</v>
        <stp/>
        <stp>750de77d-3ec4-4d72-92ce-f44f03e2d4b8</stp>
        <tr r="G3458" s="2"/>
      </tp>
    </main>
    <main first="rtdsrv_a82eb5a1fc404542a18b1336b70d2c4e">
      <tp>
        <v>5</v>
        <stp/>
        <stp>725041ad-9827-4e55-b422-5bc6c504d990</stp>
        <tr r="G2415" s="2"/>
      </tp>
      <tp>
        <v>5</v>
        <stp/>
        <stp>7288032a-9957-4e0f-a4e2-6ee0d91294a7</stp>
        <tr r="G4332" s="2"/>
      </tp>
    </main>
    <main first="rtdsrv_a82eb5a1fc404542a18b1336b70d2c4e">
      <tp>
        <v>5</v>
        <stp/>
        <stp>ab7dabf9-4af6-486d-9c85-515d783b027f</stp>
        <tr r="G5556" s="2"/>
      </tp>
      <tp>
        <v>5</v>
        <stp/>
        <stp>023adb1f-37b1-47cc-8eee-e8b9d674080b</stp>
        <tr r="G9214" s="2"/>
      </tp>
      <tp>
        <v>5</v>
        <stp/>
        <stp>7bbf89ab-912c-4a73-acc2-6e55b5c2b1c4</stp>
        <tr r="G6626" s="2"/>
      </tp>
    </main>
    <main first="rtdsrv_a82eb5a1fc404542a18b1336b70d2c4e">
      <tp>
        <v>5</v>
        <stp/>
        <stp>b57bd284-4a3c-42ca-9f85-7c698b9da8a3</stp>
        <tr r="G9207" s="2"/>
      </tp>
      <tp>
        <v>5</v>
        <stp/>
        <stp>ddeb393a-c698-4034-8326-a903bc6a71ea</stp>
        <tr r="G4941" s="2"/>
      </tp>
    </main>
    <main first="rtdsrv_a82eb5a1fc404542a18b1336b70d2c4e">
      <tp>
        <v>5</v>
        <stp/>
        <stp>96a7c1bd-c235-4fa2-b7f3-011e2a29e346</stp>
        <tr r="G2972" s="2"/>
      </tp>
      <tp>
        <v>5</v>
        <stp/>
        <stp>c6babe3f-8100-44c8-8c09-1211b48486e1</stp>
        <tr r="G1597" s="2"/>
      </tp>
      <tp>
        <v>5</v>
        <stp/>
        <stp>c4bf84da-a502-4ac0-9d52-5742cad10ad8</stp>
        <tr r="G5588" s="2"/>
      </tp>
      <tp>
        <v>5</v>
        <stp/>
        <stp>33d28439-5155-4d1b-8eb5-adbc842b6162</stp>
        <tr r="G364" s="2"/>
      </tp>
      <tp>
        <v>5</v>
        <stp/>
        <stp>adc2ac2a-5d7d-4f41-8a50-bfa7bb5aead0</stp>
        <tr r="G8759" s="2"/>
      </tp>
    </main>
    <main first="rtdsrv_a82eb5a1fc404542a18b1336b70d2c4e">
      <tp>
        <v>5</v>
        <stp/>
        <stp>ffd0c47c-45da-4c25-8d24-27fc0756524c</stp>
        <tr r="G6681" s="2"/>
      </tp>
    </main>
    <main first="rtdsrv_a82eb5a1fc404542a18b1336b70d2c4e">
      <tp>
        <v>5</v>
        <stp/>
        <stp>d93ac254-512d-477b-83f9-11289a12a988</stp>
        <tr r="G6489" s="2"/>
      </tp>
    </main>
    <main first="rtdsrv_a82eb5a1fc404542a18b1336b70d2c4e">
      <tp>
        <v>5</v>
        <stp/>
        <stp>ac5c701f-df3e-4413-8b16-23ab2bee67f8</stp>
        <tr r="G9091" s="2"/>
      </tp>
    </main>
    <main first="rtdsrv_a82eb5a1fc404542a18b1336b70d2c4e">
      <tp>
        <v>5</v>
        <stp/>
        <stp>805ec93a-36f2-442e-b120-4b656d79a879</stp>
        <tr r="G8292" s="2"/>
      </tp>
      <tp>
        <v>5</v>
        <stp/>
        <stp>1aa5174b-2028-4cd7-ad65-ba6fd5cb1b3b</stp>
        <tr r="G9109" s="2"/>
      </tp>
      <tp>
        <v>5</v>
        <stp/>
        <stp>2c548788-f5d8-41eb-bf3f-90bff735479e</stp>
        <tr r="G9117" s="2"/>
      </tp>
      <tp>
        <v>5</v>
        <stp/>
        <stp>12e821b3-e33b-4523-ac5b-f56695e7f33b</stp>
        <tr r="G5367" s="2"/>
      </tp>
      <tp>
        <v>5</v>
        <stp/>
        <stp>f5eb7fb4-3f98-4cfa-b76f-0d83be0f0e91</stp>
        <tr r="G9135" s="2"/>
      </tp>
      <tp>
        <v>5</v>
        <stp/>
        <stp>e5dfb406-3db6-4866-ace4-0d5fc55a1c2f</stp>
        <tr r="G7264" s="2"/>
      </tp>
    </main>
    <main first="rtdsrv_a82eb5a1fc404542a18b1336b70d2c4e">
      <tp>
        <v>5</v>
        <stp/>
        <stp>1d32d709-5120-4bdd-aeaa-1db6701fed6a</stp>
        <tr r="G9938" s="2"/>
      </tp>
      <tp>
        <v>5</v>
        <stp/>
        <stp>634dd022-5d4c-4aad-bbfa-325516f76cf4</stp>
        <tr r="G7768" s="2"/>
      </tp>
      <tp>
        <v>5</v>
        <stp/>
        <stp>7c2e1133-22d6-4238-945e-f938b42f03a7</stp>
        <tr r="G5435" s="2"/>
      </tp>
      <tp>
        <v>5</v>
        <stp/>
        <stp>14192e8a-09e3-4e65-a8ac-6a6840f4775e</stp>
        <tr r="G4887" s="2"/>
      </tp>
    </main>
    <main first="rtdsrv_a82eb5a1fc404542a18b1336b70d2c4e">
      <tp>
        <v>5</v>
        <stp/>
        <stp>35418f00-4f5b-4cf0-95e4-3728b06f5fdc</stp>
        <tr r="G8954" s="2"/>
      </tp>
      <tp>
        <v>5</v>
        <stp/>
        <stp>d9181e13-7dfc-4187-865f-f9420a994b92</stp>
        <tr r="G5233" s="2"/>
      </tp>
      <tp>
        <v>5</v>
        <stp/>
        <stp>3adbe368-3edd-43c4-ad56-640c303dc745</stp>
        <tr r="G9199" s="2"/>
      </tp>
      <tp>
        <v>5</v>
        <stp/>
        <stp>bb149fd1-f192-42f2-ae5e-9d1336014d65</stp>
        <tr r="G8319" s="2"/>
      </tp>
      <tp>
        <v>5</v>
        <stp/>
        <stp>80dd6249-2195-4fae-9ff6-47ff65d2cbc7</stp>
        <tr r="G2196" s="2"/>
      </tp>
    </main>
    <main first="rtdsrv_a82eb5a1fc404542a18b1336b70d2c4e">
      <tp>
        <v>5</v>
        <stp/>
        <stp>ceccdc34-ccfc-41a6-b92f-6543523835d0</stp>
        <tr r="G5174" s="2"/>
      </tp>
      <tp>
        <v>5</v>
        <stp/>
        <stp>51ef5016-435f-4934-aef1-9b6f372fcae9</stp>
        <tr r="G8001" s="2"/>
      </tp>
      <tp>
        <v>5</v>
        <stp/>
        <stp>230ebabc-ffa7-4cbb-a261-71c5070615ac</stp>
        <tr r="G2708" s="2"/>
      </tp>
      <tp>
        <v>5</v>
        <stp/>
        <stp>a6327128-02f5-42ae-a552-abb847259af2</stp>
        <tr r="G8450" s="2"/>
      </tp>
      <tp>
        <v>5</v>
        <stp/>
        <stp>ebb50ce9-3fb1-4fc2-aead-0f703e0fb152</stp>
        <tr r="G6536" s="2"/>
      </tp>
    </main>
    <main first="rtdsrv_a82eb5a1fc404542a18b1336b70d2c4e">
      <tp>
        <v>5</v>
        <stp/>
        <stp>9b3fd51c-2070-4b6d-9bf4-d764c6cbc5d0</stp>
        <tr r="G7348" s="2"/>
      </tp>
    </main>
    <main first="rtdsrv_a82eb5a1fc404542a18b1336b70d2c4e">
      <tp>
        <v>5</v>
        <stp/>
        <stp>1525ddb7-21e2-48f7-85b2-9bb9c360d40f</stp>
        <tr r="G5852" s="2"/>
      </tp>
    </main>
    <main first="rtdsrv_a82eb5a1fc404542a18b1336b70d2c4e">
      <tp>
        <v>5</v>
        <stp/>
        <stp>e51aa277-f561-4f17-a0a6-6171bfd643a1</stp>
        <tr r="G4844" s="2"/>
      </tp>
      <tp>
        <v>5</v>
        <stp/>
        <stp>d6d17d72-db3c-4b6e-aa86-a80d5c148c12</stp>
        <tr r="G6099" s="2"/>
      </tp>
      <tp>
        <v>5</v>
        <stp/>
        <stp>4c70501a-4d14-46f1-92c2-9ef8f0d3e3e6</stp>
        <tr r="G1858" s="2"/>
      </tp>
      <tp>
        <v>5</v>
        <stp/>
        <stp>51afca33-a5f0-4596-a3b6-10bcdb402d0f</stp>
        <tr r="G872" s="2"/>
      </tp>
    </main>
    <main first="rtdsrv_a82eb5a1fc404542a18b1336b70d2c4e">
      <tp>
        <v>5</v>
        <stp/>
        <stp>42167e38-f5fc-4f9f-90d6-2c2f80f1e3b9</stp>
        <tr r="G8928" s="2"/>
      </tp>
      <tp>
        <v>5</v>
        <stp/>
        <stp>f4bd2021-d8b0-4c3d-8059-0c47f5a5e434</stp>
        <tr r="G5030" s="2"/>
      </tp>
    </main>
    <main first="rtdsrv_a82eb5a1fc404542a18b1336b70d2c4e">
      <tp>
        <v>5</v>
        <stp/>
        <stp>a72a0b39-e4c6-4e50-825a-6f55785c38d6</stp>
        <tr r="G8547" s="2"/>
      </tp>
      <tp>
        <v>5</v>
        <stp/>
        <stp>358e808d-6ae4-4624-b1be-f5f40e678fd3</stp>
        <tr r="G6493" s="2"/>
      </tp>
      <tp>
        <v>5</v>
        <stp/>
        <stp>22550131-7610-456b-b7a5-2bdcd6bef03d</stp>
        <tr r="G7847" s="2"/>
      </tp>
      <tp>
        <v>5</v>
        <stp/>
        <stp>923d9f02-84dc-4e03-a8ad-71d38902be76</stp>
        <tr r="G5673" s="2"/>
      </tp>
      <tp>
        <v>5</v>
        <stp/>
        <stp>84204f8e-2e78-436c-b959-40b3b7556b16</stp>
        <tr r="G4147" s="2"/>
      </tp>
    </main>
    <main first="rtdsrv_a82eb5a1fc404542a18b1336b70d2c4e">
      <tp>
        <v>5</v>
        <stp/>
        <stp>03cdc579-d763-47b1-927a-b7dd0d09edf4</stp>
        <tr r="G5951" s="2"/>
      </tp>
    </main>
    <main first="rtdsrv_a82eb5a1fc404542a18b1336b70d2c4e">
      <tp>
        <v>5</v>
        <stp/>
        <stp>2eb14748-a977-4245-a6c7-f230ea96cebe</stp>
        <tr r="G9906" s="2"/>
      </tp>
      <tp>
        <v>5</v>
        <stp/>
        <stp>383a60c2-5ef9-4931-bf80-47206a24e15e</stp>
        <tr r="G3861" s="2"/>
      </tp>
      <tp>
        <v>5</v>
        <stp/>
        <stp>5036205b-ee3f-4cd8-b571-80b4407cd979</stp>
        <tr r="G8787" s="2"/>
      </tp>
      <tp>
        <v>5</v>
        <stp/>
        <stp>209aee41-44ce-48d3-b429-c8fa390f92fd</stp>
        <tr r="G8799" s="2"/>
      </tp>
      <tp>
        <v>5</v>
        <stp/>
        <stp>95ab0f44-eec2-496c-88c6-d5ad735e8cba</stp>
        <tr r="G9738" s="2"/>
      </tp>
    </main>
    <main first="rtdsrv_a82eb5a1fc404542a18b1336b70d2c4e">
      <tp>
        <v>5</v>
        <stp/>
        <stp>8acdba26-dc10-4b7e-b5b7-254da072a56d</stp>
        <tr r="G6688" s="2"/>
      </tp>
      <tp>
        <v>5</v>
        <stp/>
        <stp>816e591b-42f2-4ce4-ac64-68076bc5c7b2</stp>
        <tr r="G5122" s="2"/>
      </tp>
    </main>
    <main first="rtdsrv_a82eb5a1fc404542a18b1336b70d2c4e">
      <tp>
        <v>5</v>
        <stp/>
        <stp>b30fd3c4-14cb-4cb2-94e8-dbaff69fca74</stp>
        <tr r="G7256" s="2"/>
      </tp>
      <tp>
        <v>5</v>
        <stp/>
        <stp>02b65691-da4a-4eff-8245-4a7e0482640f</stp>
        <tr r="G4928" s="2"/>
      </tp>
      <tp>
        <v>5</v>
        <stp/>
        <stp>8b822f19-1ae6-4177-8d0e-498afaa889da</stp>
        <tr r="G4265" s="2"/>
      </tp>
      <tp>
        <v>5</v>
        <stp/>
        <stp>5ffb46fe-6ccc-497a-bdb5-dbba1b257662</stp>
        <tr r="G224" s="2"/>
      </tp>
    </main>
    <main first="rtdsrv_a82eb5a1fc404542a18b1336b70d2c4e">
      <tp>
        <v>5</v>
        <stp/>
        <stp>0c2a5f99-f0ad-4ace-a1be-1f377fee6781</stp>
        <tr r="G3167" s="2"/>
      </tp>
      <tp>
        <v>5</v>
        <stp/>
        <stp>7ae6abee-7053-49e2-b582-c0bdb966bdf4</stp>
        <tr r="G9884" s="2"/>
      </tp>
    </main>
    <main first="rtdsrv_a82eb5a1fc404542a18b1336b70d2c4e">
      <tp>
        <v>5</v>
        <stp/>
        <stp>dcc4fbc5-e49f-498c-aba0-f3c39ec10c5e</stp>
        <tr r="G3502" s="2"/>
      </tp>
      <tp>
        <v>5</v>
        <stp/>
        <stp>6a25173e-f7c7-4e9a-a255-d1f373c68573</stp>
        <tr r="G150" s="2"/>
      </tp>
    </main>
    <main first="rtdsrv_a82eb5a1fc404542a18b1336b70d2c4e">
      <tp>
        <v>5</v>
        <stp/>
        <stp>a9d45457-2b4e-4027-b091-c649b67fab06</stp>
        <tr r="G9297" s="2"/>
      </tp>
      <tp>
        <v>5</v>
        <stp/>
        <stp>f941ecc3-a370-4cf3-9c96-ae11e2bd6506</stp>
        <tr r="G5047" s="2"/>
      </tp>
    </main>
    <main first="rtdsrv_a82eb5a1fc404542a18b1336b70d2c4e">
      <tp>
        <v>5</v>
        <stp/>
        <stp>b204d71c-ec1c-4d37-84c1-1b66337fe6cc</stp>
        <tr r="G8146" s="2"/>
      </tp>
      <tp>
        <v>5</v>
        <stp/>
        <stp>b16ae74b-ec26-4324-8ac4-4d003ece4f7d</stp>
        <tr r="G3541" s="2"/>
      </tp>
      <tp>
        <v>5</v>
        <stp/>
        <stp>4318cf5b-cdae-458f-b97e-cbdb8bf31466</stp>
        <tr r="G1425" s="2"/>
      </tp>
      <tp>
        <v>5</v>
        <stp/>
        <stp>b777c5fa-18fb-467d-ad76-1738b083e4e8</stp>
        <tr r="G1937" s="2"/>
      </tp>
      <tp>
        <v>5</v>
        <stp/>
        <stp>507252c7-2539-464d-ae6c-04cbe264b7fb</stp>
        <tr r="G1046" s="2"/>
      </tp>
      <tp>
        <v>5</v>
        <stp/>
        <stp>b62c3f9e-5802-4371-a0fe-f476e35bffef</stp>
        <tr r="G5881" s="2"/>
      </tp>
      <tp>
        <v>5</v>
        <stp/>
        <stp>f4a91066-aaa8-4fac-91bc-dc2ecea5b170</stp>
        <tr r="G1774" s="2"/>
      </tp>
    </main>
    <main first="rtdsrv_a82eb5a1fc404542a18b1336b70d2c4e">
      <tp>
        <v>5</v>
        <stp/>
        <stp>b8a2a34a-953e-4de2-9ab0-2c37ac6371de</stp>
        <tr r="G8767" s="2"/>
      </tp>
    </main>
    <main first="rtdsrv_a82eb5a1fc404542a18b1336b70d2c4e">
      <tp>
        <v>5</v>
        <stp/>
        <stp>0f1587dc-51ed-4b21-9fd9-f1919bdc811a</stp>
        <tr r="G2292" s="2"/>
      </tp>
      <tp>
        <v>5</v>
        <stp/>
        <stp>801309a4-75f1-40ed-a8de-a6dff8ea0c31</stp>
        <tr r="G174" s="2"/>
      </tp>
      <tp>
        <v>5</v>
        <stp/>
        <stp>0e916c4e-22ad-498a-a480-333dc4861968</stp>
        <tr r="G9930" s="2"/>
      </tp>
      <tp>
        <v>5</v>
        <stp/>
        <stp>5c1dceb8-ad1d-4fbf-890c-a1b1e562df21</stp>
        <tr r="G7611" s="2"/>
      </tp>
    </main>
    <main first="rtdsrv_a82eb5a1fc404542a18b1336b70d2c4e">
      <tp>
        <v>5</v>
        <stp/>
        <stp>e5f587c2-7414-404c-a5e7-3a1ce963e839</stp>
        <tr r="G8090" s="2"/>
      </tp>
      <tp>
        <v>5</v>
        <stp/>
        <stp>7503aa20-c344-4857-a10c-5b667c5a9bc7</stp>
        <tr r="G6350" s="2"/>
      </tp>
    </main>
    <main first="rtdsrv_a82eb5a1fc404542a18b1336b70d2c4e">
      <tp>
        <v>5</v>
        <stp/>
        <stp>55696452-56a5-4120-b767-0a185c01ec1d</stp>
        <tr r="G9687" s="2"/>
      </tp>
    </main>
    <main first="rtdsrv_a82eb5a1fc404542a18b1336b70d2c4e">
      <tp>
        <v>5</v>
        <stp/>
        <stp>72a824c9-375b-451d-9e13-74d8ea37bfca</stp>
        <tr r="G1800" s="2"/>
      </tp>
      <tp>
        <v>5</v>
        <stp/>
        <stp>c1b27142-fdf9-4048-980a-f1fed54e0938</stp>
        <tr r="G7773" s="2"/>
      </tp>
    </main>
    <main first="rtdsrv_a82eb5a1fc404542a18b1336b70d2c4e">
      <tp>
        <v>5</v>
        <stp/>
        <stp>3b8de03b-c52e-435a-ad7c-3aeced32519d</stp>
        <tr r="G4341" s="2"/>
      </tp>
      <tp>
        <v>5</v>
        <stp/>
        <stp>3609d3fd-7fed-4354-b975-d26163068c12</stp>
        <tr r="G5444" s="2"/>
      </tp>
      <tp>
        <v>5</v>
        <stp/>
        <stp>ab2af3d1-1354-41b1-bf67-81a8c557904e</stp>
        <tr r="G8733" s="2"/>
      </tp>
    </main>
    <main first="rtdsrv_a82eb5a1fc404542a18b1336b70d2c4e">
      <tp>
        <v>5</v>
        <stp/>
        <stp>53e5693e-2a48-44b7-97e9-599249640937</stp>
        <tr r="G1493" s="2"/>
      </tp>
      <tp>
        <v>5</v>
        <stp/>
        <stp>eff459aa-4c89-4430-ba47-630f36b2b936</stp>
        <tr r="G5354" s="2"/>
      </tp>
      <tp>
        <v>5</v>
        <stp/>
        <stp>024186cf-f520-4a4e-a334-23a3412efe60</stp>
        <tr r="G1251" s="2"/>
      </tp>
      <tp>
        <v>5</v>
        <stp/>
        <stp>d66d58a7-9815-4ac0-9d00-9d0c72d0e28d</stp>
        <tr r="G7524" s="2"/>
      </tp>
      <tp>
        <v>5</v>
        <stp/>
        <stp>c46c80f0-752a-4cbe-9f0d-aed5a6e3ff33</stp>
        <tr r="G9037" s="2"/>
      </tp>
      <tp>
        <v>5</v>
        <stp/>
        <stp>d1ab1f6d-4da2-4612-bf4e-6abc9f7fc108</stp>
        <tr r="G6709" s="2"/>
      </tp>
      <tp>
        <v>5</v>
        <stp/>
        <stp>fde04ba4-7c48-4824-bd57-99de6b0c787b</stp>
        <tr r="G8904" s="2"/>
      </tp>
      <tp>
        <v>5</v>
        <stp/>
        <stp>b1fbde2e-aa4d-4eb5-8c6e-0a2631cc9524</stp>
        <tr r="G7835" s="2"/>
      </tp>
      <tp>
        <v>5</v>
        <stp/>
        <stp>832cc106-2dca-4a5b-877c-962d312cb169</stp>
        <tr r="G2346" s="2"/>
      </tp>
      <tp>
        <v>5</v>
        <stp/>
        <stp>455962ed-de61-468b-9570-522b75a3bbef</stp>
        <tr r="G1295" s="2"/>
      </tp>
      <tp>
        <v>5</v>
        <stp/>
        <stp>b9dbda1d-b7be-4107-98f1-87eb795ba600</stp>
        <tr r="G5503" s="2"/>
      </tp>
    </main>
    <main first="rtdsrv_a82eb5a1fc404542a18b1336b70d2c4e">
      <tp>
        <v>5</v>
        <stp/>
        <stp>b55b3a61-4c0f-43f9-b5ef-ff29d956302c</stp>
        <tr r="G7521" s="2"/>
      </tp>
      <tp>
        <v>5</v>
        <stp/>
        <stp>3395de2a-e13c-4437-8f15-55878ae502a6</stp>
        <tr r="G6063" s="2"/>
      </tp>
      <tp>
        <v>5</v>
        <stp/>
        <stp>9a333d95-b49a-4236-a75d-75fa9273708f</stp>
        <tr r="G7035" s="2"/>
      </tp>
      <tp>
        <v>5</v>
        <stp/>
        <stp>19a0ed66-d09c-459a-b8e0-e80274e9bb19</stp>
        <tr r="G4429" s="2"/>
      </tp>
      <tp>
        <v>5</v>
        <stp/>
        <stp>7a6ffb4a-6010-4715-85bc-8f5163994d15</stp>
        <tr r="G5948" s="2"/>
      </tp>
    </main>
    <main first="rtdsrv_a82eb5a1fc404542a18b1336b70d2c4e">
      <tp>
        <v>5</v>
        <stp/>
        <stp>e0a792dd-e542-45e1-a128-3010aaaa1f4b</stp>
        <tr r="G3235" s="2"/>
      </tp>
    </main>
    <main first="rtdsrv_a82eb5a1fc404542a18b1336b70d2c4e">
      <tp>
        <v>5</v>
        <stp/>
        <stp>7eb145f5-7665-4ff4-bad8-beb88ba7bce6</stp>
        <tr r="G7902" s="2"/>
      </tp>
      <tp>
        <v>5</v>
        <stp/>
        <stp>9c66359b-9a6e-4e67-9394-f6e1021616b6</stp>
        <tr r="G717" s="2"/>
      </tp>
      <tp>
        <v>5</v>
        <stp/>
        <stp>bf26506f-e37c-4360-9198-58ce0483ee81</stp>
        <tr r="G4561" s="2"/>
      </tp>
      <tp>
        <v>5</v>
        <stp/>
        <stp>c1e4d039-9599-48f1-919d-0250ab8713f8</stp>
        <tr r="G9550" s="2"/>
      </tp>
    </main>
    <main first="rtdsrv_a82eb5a1fc404542a18b1336b70d2c4e">
      <tp>
        <v>5</v>
        <stp/>
        <stp>7e297b89-3225-495b-9299-97b3897a8280</stp>
        <tr r="G1938" s="2"/>
      </tp>
    </main>
    <main first="rtdsrv_a82eb5a1fc404542a18b1336b70d2c4e">
      <tp>
        <v>5</v>
        <stp/>
        <stp>00a2448f-7c5a-4216-a0f2-1aeb63f52bfa</stp>
        <tr r="G9954" s="2"/>
      </tp>
    </main>
    <main first="rtdsrv_a82eb5a1fc404542a18b1336b70d2c4e">
      <tp>
        <v>5</v>
        <stp/>
        <stp>478882a2-e3e2-4691-94cc-5adfb103f104</stp>
        <tr r="G2155" s="2"/>
      </tp>
    </main>
    <main first="rtdsrv_a82eb5a1fc404542a18b1336b70d2c4e">
      <tp>
        <v>5</v>
        <stp/>
        <stp>f5d13ae5-2918-4b4f-877d-9f04d7dc25e1</stp>
        <tr r="G3856" s="2"/>
      </tp>
      <tp>
        <v>5</v>
        <stp/>
        <stp>3a5a4cdc-ca84-44cf-88c1-b280167db3c4</stp>
        <tr r="G6656" s="2"/>
      </tp>
      <tp>
        <v>5</v>
        <stp/>
        <stp>5c6687b5-8c60-48a8-94fc-0382a6e40dde</stp>
        <tr r="G8031" s="2"/>
      </tp>
      <tp>
        <v>5</v>
        <stp/>
        <stp>76677ac8-484e-4c5b-842b-dfb010ac26ac</stp>
        <tr r="G6068" s="2"/>
      </tp>
    </main>
    <main first="rtdsrv_a82eb5a1fc404542a18b1336b70d2c4e">
      <tp>
        <v>5</v>
        <stp/>
        <stp>bdf5fcd0-bb6b-4e54-aef5-3be85edfdc94</stp>
        <tr r="G6741" s="2"/>
      </tp>
    </main>
    <main first="rtdsrv_a82eb5a1fc404542a18b1336b70d2c4e">
      <tp>
        <v>5</v>
        <stp/>
        <stp>ca001d85-3a76-4d42-823b-e45955cebe36</stp>
        <tr r="G9386" s="2"/>
      </tp>
    </main>
    <main first="rtdsrv_a82eb5a1fc404542a18b1336b70d2c4e">
      <tp>
        <v>5</v>
        <stp/>
        <stp>f69b8f54-5175-4cef-8c9f-c9126b58d211</stp>
        <tr r="G6930" s="2"/>
      </tp>
    </main>
    <main first="rtdsrv_a82eb5a1fc404542a18b1336b70d2c4e">
      <tp>
        <v>5</v>
        <stp/>
        <stp>788483a9-5bda-430d-a8a4-d35f0cc4687e</stp>
        <tr r="G227" s="2"/>
      </tp>
      <tp>
        <v>5</v>
        <stp/>
        <stp>2c10e00e-1cae-4bfc-9810-fd9450ab87d4</stp>
        <tr r="G5549" s="2"/>
      </tp>
    </main>
    <main first="rtdsrv_a82eb5a1fc404542a18b1336b70d2c4e">
      <tp>
        <v>5</v>
        <stp/>
        <stp>709f2f61-f2af-4930-9541-035c61a97e6b</stp>
        <tr r="G7342" s="2"/>
      </tp>
    </main>
    <main first="rtdsrv_a82eb5a1fc404542a18b1336b70d2c4e">
      <tp>
        <v>5</v>
        <stp/>
        <stp>61722e6f-c5d3-479c-ba3f-e528de88ad61</stp>
        <tr r="G2700" s="2"/>
      </tp>
      <tp>
        <v>5</v>
        <stp/>
        <stp>c66d26ce-5c4b-4ca1-ba5b-e08a3df106d1</stp>
        <tr r="G4446" s="2"/>
      </tp>
    </main>
    <main first="rtdsrv_a82eb5a1fc404542a18b1336b70d2c4e">
      <tp>
        <v>5</v>
        <stp/>
        <stp>cf653a47-f913-44f2-babb-774090f75ee3</stp>
        <tr r="G7614" s="2"/>
      </tp>
      <tp>
        <v>5</v>
        <stp/>
        <stp>9cb1719b-35be-42b5-896b-e06d095428a8</stp>
        <tr r="G3090" s="2"/>
      </tp>
      <tp>
        <v>5</v>
        <stp/>
        <stp>601b431d-0fe1-4d13-bc16-8c43bd812e24</stp>
        <tr r="G3244" s="2"/>
      </tp>
      <tp>
        <v>5</v>
        <stp/>
        <stp>9096725b-e0b8-4c66-863a-873f0603c00d</stp>
        <tr r="G2333" s="2"/>
      </tp>
    </main>
    <main first="rtdsrv_a82eb5a1fc404542a18b1336b70d2c4e">
      <tp>
        <v>5</v>
        <stp/>
        <stp>f03c3323-b7ee-4d5c-a572-8e8dba6d1be7</stp>
        <tr r="G4970" s="2"/>
      </tp>
    </main>
    <main first="rtdsrv_a82eb5a1fc404542a18b1336b70d2c4e">
      <tp>
        <v>5</v>
        <stp/>
        <stp>7699f367-5a48-45af-af88-0340f689185e</stp>
        <tr r="G7206" s="2"/>
      </tp>
    </main>
    <main first="rtdsrv_a82eb5a1fc404542a18b1336b70d2c4e">
      <tp>
        <v>5</v>
        <stp/>
        <stp>c26e0b89-e5c6-4d2d-a675-971901d4f344</stp>
        <tr r="G9816" s="2"/>
      </tp>
    </main>
    <main first="rtdsrv_a82eb5a1fc404542a18b1336b70d2c4e">
      <tp>
        <v>5</v>
        <stp/>
        <stp>cbf48284-4215-498a-8eda-5b62dec33579</stp>
        <tr r="G215" s="2"/>
      </tp>
    </main>
    <main first="rtdsrv_a82eb5a1fc404542a18b1336b70d2c4e">
      <tp>
        <v>5</v>
        <stp/>
        <stp>c5f42466-39b9-4b91-bece-28a1b94ce269</stp>
        <tr r="G3926" s="2"/>
      </tp>
      <tp>
        <v>5</v>
        <stp/>
        <stp>6143d7d1-fa10-4325-b5d1-9f12bffe0b8a</stp>
        <tr r="G7458" s="2"/>
      </tp>
      <tp>
        <v>5</v>
        <stp/>
        <stp>9e135234-5a85-4346-a838-c6000155a318</stp>
        <tr r="G6567" s="2"/>
      </tp>
      <tp>
        <v>5</v>
        <stp/>
        <stp>2e5426eb-d8e5-4ff6-aedd-37fed75d960d</stp>
        <tr r="G8871" s="2"/>
      </tp>
    </main>
    <main first="rtdsrv_a82eb5a1fc404542a18b1336b70d2c4e">
      <tp>
        <v>5</v>
        <stp/>
        <stp>9754aa92-742b-491e-b861-7a1ec65f86b0</stp>
        <tr r="G7121" s="2"/>
      </tp>
    </main>
    <main first="rtdsrv_a82eb5a1fc404542a18b1336b70d2c4e">
      <tp>
        <v>5</v>
        <stp/>
        <stp>89df3c33-8637-4fd0-9372-378446b147fc</stp>
        <tr r="G2952" s="2"/>
      </tp>
    </main>
    <main first="rtdsrv_a82eb5a1fc404542a18b1336b70d2c4e">
      <tp>
        <v>5</v>
        <stp/>
        <stp>2e6b5f25-acba-4dfb-aec9-7c128af552a3</stp>
        <tr r="G7452" s="2"/>
      </tp>
      <tp>
        <v>5</v>
        <stp/>
        <stp>c25d4e23-3137-4616-9773-7a8876b06a7d</stp>
        <tr r="G5818" s="2"/>
      </tp>
    </main>
    <main first="rtdsrv_a82eb5a1fc404542a18b1336b70d2c4e">
      <tp>
        <v>5</v>
        <stp/>
        <stp>7b85116e-cf0d-4974-99f3-07767676603c</stp>
        <tr r="G91" s="2"/>
      </tp>
    </main>
    <main first="rtdsrv_a82eb5a1fc404542a18b1336b70d2c4e">
      <tp>
        <v>5</v>
        <stp/>
        <stp>a46adc09-9954-42ae-b795-8a515f1cbffa</stp>
        <tr r="G5442" s="2"/>
      </tp>
      <tp>
        <v>5</v>
        <stp/>
        <stp>0b56a3f8-407e-4966-ac6d-b328b49af1d2</stp>
        <tr r="G3091" s="2"/>
      </tp>
      <tp>
        <v>5</v>
        <stp/>
        <stp>faacf2a3-4322-48c5-9827-de9744a03b40</stp>
        <tr r="G3597" s="2"/>
      </tp>
      <tp>
        <v>5</v>
        <stp/>
        <stp>0a59cd01-2808-4c07-91e1-5ad62c3c643a</stp>
        <tr r="G7871" s="2"/>
      </tp>
    </main>
    <main first="rtdsrv_a82eb5a1fc404542a18b1336b70d2c4e">
      <tp>
        <v>5</v>
        <stp/>
        <stp>a5a86858-719f-40cd-9e53-6663868f8805</stp>
        <tr r="G6566" s="2"/>
      </tp>
      <tp>
        <v>5</v>
        <stp/>
        <stp>1035a492-17ba-4ec2-87a6-bdb26e49545c</stp>
        <tr r="G4403" s="2"/>
      </tp>
      <tp>
        <v>5</v>
        <stp/>
        <stp>23e9d7a0-7e1e-4067-9718-3463ee4bf732</stp>
        <tr r="G1178" s="2"/>
      </tp>
    </main>
    <main first="rtdsrv_a82eb5a1fc404542a18b1336b70d2c4e">
      <tp>
        <v>5</v>
        <stp/>
        <stp>a77a2c05-9027-44e7-b59c-e78df1040643</stp>
        <tr r="G9241" s="2"/>
      </tp>
    </main>
    <main first="rtdsrv_a82eb5a1fc404542a18b1336b70d2c4e">
      <tp>
        <v>5</v>
        <stp/>
        <stp>83e5a9db-e5d2-4f18-a441-33505082c3a2</stp>
        <tr r="G9588" s="2"/>
      </tp>
      <tp>
        <v>5</v>
        <stp/>
        <stp>314d5485-8fca-41bf-bd92-d36b4d269f51</stp>
        <tr r="G9764" s="2"/>
      </tp>
    </main>
    <main first="rtdsrv_a82eb5a1fc404542a18b1336b70d2c4e">
      <tp>
        <v>5</v>
        <stp/>
        <stp>d99dba77-1fff-4607-a32d-c507124ef8a7</stp>
        <tr r="G9643" s="2"/>
      </tp>
    </main>
    <main first="rtdsrv_a82eb5a1fc404542a18b1336b70d2c4e">
      <tp>
        <v>5</v>
        <stp/>
        <stp>8191fe56-b39a-47d5-9b8f-85ed69bb2d76</stp>
        <tr r="G3551" s="2"/>
      </tp>
    </main>
    <main first="rtdsrv_a82eb5a1fc404542a18b1336b70d2c4e">
      <tp>
        <v>5</v>
        <stp/>
        <stp>0c5b768a-b66b-497f-be2d-57381e058b56</stp>
        <tr r="G2425" s="2"/>
      </tp>
      <tp>
        <v>5</v>
        <stp/>
        <stp>49f66c4a-7425-48bc-98e5-6cf52b8579d4</stp>
        <tr r="G7839" s="2"/>
      </tp>
      <tp>
        <v>5</v>
        <stp/>
        <stp>04728e03-d79c-444f-887f-c2f66a820daa</stp>
        <tr r="G3640" s="2"/>
      </tp>
      <tp>
        <v>5</v>
        <stp/>
        <stp>a8acc833-a494-402a-9e7c-d4a16f8b465b</stp>
        <tr r="G5524" s="2"/>
      </tp>
      <tp>
        <v>5</v>
        <stp/>
        <stp>51335530-290e-4f4c-8933-36dfabfdaaa7</stp>
        <tr r="G9006" s="2"/>
      </tp>
    </main>
    <main first="rtdsrv_a82eb5a1fc404542a18b1336b70d2c4e">
      <tp>
        <v>5</v>
        <stp/>
        <stp>88c9aaa0-937d-4f00-a872-d734ff90dec9</stp>
        <tr r="G5317" s="2"/>
      </tp>
    </main>
    <main first="rtdsrv_a82eb5a1fc404542a18b1336b70d2c4e">
      <tp>
        <v>5</v>
        <stp/>
        <stp>7fd0978b-f6e6-4352-ac13-ebca8cd6ef45</stp>
        <tr r="G5114" s="2"/>
      </tp>
    </main>
    <main first="rtdsrv_a82eb5a1fc404542a18b1336b70d2c4e">
      <tp>
        <v>5</v>
        <stp/>
        <stp>9fa74266-ebf8-49b2-84e9-fd60c4af8e11</stp>
        <tr r="G4089" s="2"/>
      </tp>
      <tp>
        <v>5</v>
        <stp/>
        <stp>621ee884-e6bd-47f9-aa47-f2381bd66a5e</stp>
        <tr r="G1980" s="2"/>
      </tp>
      <tp>
        <v>5</v>
        <stp/>
        <stp>f6aa9014-accd-461f-b956-1bd14738128d</stp>
        <tr r="G3630" s="2"/>
      </tp>
    </main>
    <main first="rtdsrv_a82eb5a1fc404542a18b1336b70d2c4e">
      <tp>
        <v>5</v>
        <stp/>
        <stp>6df354ba-c256-42d0-8018-0b682b492afe</stp>
        <tr r="G1844" s="2"/>
      </tp>
    </main>
    <main first="rtdsrv_a82eb5a1fc404542a18b1336b70d2c4e">
      <tp>
        <v>5</v>
        <stp/>
        <stp>6e9876ae-9b30-43d4-938b-e7755268803c</stp>
        <tr r="G2856" s="2"/>
      </tp>
      <tp>
        <v>5</v>
        <stp/>
        <stp>5163a6f0-ef8a-4c0a-81b0-55a1fa558f80</stp>
        <tr r="G811" s="2"/>
      </tp>
    </main>
    <main first="rtdsrv_a82eb5a1fc404542a18b1336b70d2c4e">
      <tp>
        <v>5</v>
        <stp/>
        <stp>1f5fcb4e-b7a9-40a4-a2ce-065ab655eb97</stp>
        <tr r="G5955" s="2"/>
      </tp>
      <tp>
        <v>5</v>
        <stp/>
        <stp>d740936a-e52b-47b2-a3d9-a7296f2da5d9</stp>
        <tr r="G9477" s="2"/>
      </tp>
    </main>
    <main first="rtdsrv_a82eb5a1fc404542a18b1336b70d2c4e">
      <tp>
        <v>5</v>
        <stp/>
        <stp>fb280145-f51b-4827-9aee-9718944da792</stp>
        <tr r="G2541" s="2"/>
      </tp>
    </main>
    <main first="rtdsrv_a82eb5a1fc404542a18b1336b70d2c4e">
      <tp>
        <v>5</v>
        <stp/>
        <stp>a02b2931-994d-4246-92fb-a307719ad19b</stp>
        <tr r="G3696" s="2"/>
      </tp>
    </main>
    <main first="rtdsrv_a82eb5a1fc404542a18b1336b70d2c4e">
      <tp>
        <v>5</v>
        <stp/>
        <stp>8fba240e-d832-4cba-872e-1e8d5c8da0e5</stp>
        <tr r="G2781" s="2"/>
      </tp>
    </main>
    <main first="rtdsrv_a82eb5a1fc404542a18b1336b70d2c4e">
      <tp>
        <v>5</v>
        <stp/>
        <stp>21fc71ea-f79b-4e9e-88b9-b19ab7f6b495</stp>
        <tr r="G7996" s="2"/>
      </tp>
    </main>
    <main first="rtdsrv_a82eb5a1fc404542a18b1336b70d2c4e">
      <tp>
        <v>5</v>
        <stp/>
        <stp>065cd432-1b33-4558-a2de-dcae892e3f9a</stp>
        <tr r="G6518" s="2"/>
      </tp>
    </main>
    <main first="rtdsrv_a82eb5a1fc404542a18b1336b70d2c4e">
      <tp>
        <v>5</v>
        <stp/>
        <stp>3bf4cb33-769c-4bd3-b02d-af8517eaa415</stp>
        <tr r="G3860" s="2"/>
      </tp>
    </main>
    <main first="rtdsrv_a82eb5a1fc404542a18b1336b70d2c4e">
      <tp>
        <v>5</v>
        <stp/>
        <stp>8b0bef8e-4bf8-4cf5-a46f-56f3df73309f</stp>
        <tr r="G2172" s="2"/>
      </tp>
    </main>
    <main first="rtdsrv_a82eb5a1fc404542a18b1336b70d2c4e">
      <tp>
        <v>5</v>
        <stp/>
        <stp>48f50ae8-c96c-4fd5-9138-05df8c146933</stp>
        <tr r="G9222" s="2"/>
      </tp>
    </main>
    <main first="rtdsrv_a82eb5a1fc404542a18b1336b70d2c4e">
      <tp>
        <v>5</v>
        <stp/>
        <stp>2e465676-e174-49e6-8b3c-bfd3fbe50d41</stp>
        <tr r="G400" s="2"/>
      </tp>
      <tp>
        <v>5</v>
        <stp/>
        <stp>64698857-1937-416d-a53c-7a9d6953da19</stp>
        <tr r="G3110" s="2"/>
      </tp>
      <tp>
        <v>5</v>
        <stp/>
        <stp>0000bef6-6e04-45cd-9f7b-053ea2bdddd4</stp>
        <tr r="G9807" s="2"/>
      </tp>
      <tp>
        <v>5</v>
        <stp/>
        <stp>b57d8d16-6cdf-4757-9e97-b3e5a9a05022</stp>
        <tr r="G1166" s="2"/>
      </tp>
      <tp>
        <v>5</v>
        <stp/>
        <stp>717ebb32-a4eb-4e8e-8fda-4ea70db38a6a</stp>
        <tr r="G973" s="2"/>
      </tp>
      <tp>
        <v>5</v>
        <stp/>
        <stp>0c5c9074-d188-491e-9a20-f0bc3ad71ba0</stp>
        <tr r="G7749" s="2"/>
      </tp>
    </main>
    <main first="rtdsrv_a82eb5a1fc404542a18b1336b70d2c4e">
      <tp>
        <v>5</v>
        <stp/>
        <stp>87359250-5005-4ebc-a693-a70d490e37ad</stp>
        <tr r="G6899" s="2"/>
      </tp>
      <tp>
        <v>5</v>
        <stp/>
        <stp>bdda1730-fc6a-4aed-a0c4-1ea1e160b533</stp>
        <tr r="G9673" s="2"/>
      </tp>
      <tp>
        <v>5</v>
        <stp/>
        <stp>bec0a990-0012-4db9-9918-20a2bab80f53</stp>
        <tr r="G6012" s="2"/>
      </tp>
      <tp>
        <v>5</v>
        <stp/>
        <stp>95652d70-0818-4bbf-a1e6-2f5ceefb828c</stp>
        <tr r="G7873" s="2"/>
      </tp>
    </main>
    <main first="rtdsrv_a82eb5a1fc404542a18b1336b70d2c4e">
      <tp>
        <v>5</v>
        <stp/>
        <stp>cfcb5af3-964b-4f41-ad9b-81e7aa2d05bb</stp>
        <tr r="G7608" s="2"/>
      </tp>
    </main>
    <main first="rtdsrv_a82eb5a1fc404542a18b1336b70d2c4e">
      <tp>
        <v>5</v>
        <stp/>
        <stp>ce26c3de-b8ef-4bc0-88f4-447ddc848f1d</stp>
        <tr r="G3536" s="2"/>
      </tp>
      <tp>
        <v>5</v>
        <stp/>
        <stp>6a7503c4-c8ec-41c4-8064-741bfe80f15f</stp>
        <tr r="G5869" s="2"/>
      </tp>
    </main>
    <main first="rtdsrv_a82eb5a1fc404542a18b1336b70d2c4e">
      <tp>
        <v>5</v>
        <stp/>
        <stp>63380036-e03f-4ad1-ab93-686082e70758</stp>
        <tr r="G374" s="2"/>
      </tp>
      <tp>
        <v>5</v>
        <stp/>
        <stp>97c56d1b-3655-488b-9cd1-e4d1842295fb</stp>
        <tr r="G357" s="2"/>
      </tp>
      <tp>
        <v>5</v>
        <stp/>
        <stp>11fc28f5-fdf7-4064-b582-6d7a87a60ce9</stp>
        <tr r="G1780" s="2"/>
      </tp>
      <tp>
        <v>5</v>
        <stp/>
        <stp>2eb77db7-e2b8-45f2-8faa-50aa6cdaa73b</stp>
        <tr r="G3768" s="2"/>
      </tp>
      <tp>
        <v>5</v>
        <stp/>
        <stp>7d12f7bd-8dea-46c6-ba97-a75f00c4b038</stp>
        <tr r="G2987" s="2"/>
      </tp>
    </main>
    <main first="rtdsrv_a82eb5a1fc404542a18b1336b70d2c4e">
      <tp>
        <v>5</v>
        <stp/>
        <stp>02fb4113-0d69-492e-b505-d0ef8ae02dcd</stp>
        <tr r="G188" s="2"/>
      </tp>
      <tp>
        <v>5</v>
        <stp/>
        <stp>a10f9b75-af7d-427f-aaab-6e294eae0f5e</stp>
        <tr r="G1315" s="2"/>
      </tp>
    </main>
    <main first="rtdsrv_a82eb5a1fc404542a18b1336b70d2c4e">
      <tp>
        <v>5</v>
        <stp/>
        <stp>c222fb54-0886-47ef-97ff-e20f9087b143</stp>
        <tr r="G9027" s="2"/>
      </tp>
    </main>
    <main first="rtdsrv_a82eb5a1fc404542a18b1336b70d2c4e">
      <tp>
        <v>5</v>
        <stp/>
        <stp>bf5b57ac-c7c0-4c14-9265-f0148230ea1d</stp>
        <tr r="G8665" s="2"/>
      </tp>
      <tp>
        <v>5</v>
        <stp/>
        <stp>ae4947ce-f89b-45c2-b3bc-74747ef84f8d</stp>
        <tr r="G340" s="2"/>
      </tp>
    </main>
    <main first="rtdsrv_a82eb5a1fc404542a18b1336b70d2c4e">
      <tp>
        <v>5</v>
        <stp/>
        <stp>8d0827f8-7cc0-492e-b41e-a5c47b7134b0</stp>
        <tr r="G6893" s="2"/>
      </tp>
      <tp>
        <v>5</v>
        <stp/>
        <stp>0731c14d-4605-4a44-9b71-27ee3b63175f</stp>
        <tr r="G7090" s="2"/>
      </tp>
      <tp>
        <v>5</v>
        <stp/>
        <stp>fd54dbf6-fdb4-4b6d-836b-47f3b7d7aa13</stp>
        <tr r="G1131" s="2"/>
      </tp>
      <tp>
        <v>5</v>
        <stp/>
        <stp>ec7d3959-5a48-4908-8fd7-d4171f3ba205</stp>
        <tr r="G2776" s="2"/>
      </tp>
    </main>
    <main first="rtdsrv_a82eb5a1fc404542a18b1336b70d2c4e">
      <tp>
        <v>5</v>
        <stp/>
        <stp>40df95bb-df78-44fc-9cf4-54d4de5ebfce</stp>
        <tr r="G133" s="2"/>
      </tp>
      <tp>
        <v>5</v>
        <stp/>
        <stp>52a59a88-2e52-47d6-b16c-546e206d6698</stp>
        <tr r="G8694" s="2"/>
      </tp>
    </main>
    <main first="rtdsrv_a82eb5a1fc404542a18b1336b70d2c4e">
      <tp>
        <v>5</v>
        <stp/>
        <stp>93a0db4e-9424-479c-8d5b-5a3c98ad7478</stp>
        <tr r="G9496" s="2"/>
      </tp>
    </main>
    <main first="rtdsrv_a82eb5a1fc404542a18b1336b70d2c4e">
      <tp>
        <v>5</v>
        <stp/>
        <stp>a20aff45-fa51-4a63-908c-483d30140bb3</stp>
        <tr r="G2797" s="2"/>
      </tp>
      <tp>
        <v>5</v>
        <stp/>
        <stp>35f09ed6-9c57-4ede-853d-19044679ecd9</stp>
        <tr r="G2865" s="2"/>
      </tp>
    </main>
    <main first="rtdsrv_a82eb5a1fc404542a18b1336b70d2c4e">
      <tp>
        <v>5</v>
        <stp/>
        <stp>9ceb7fbd-bfde-45d5-aba5-757b93e34fac</stp>
        <tr r="G8630" s="2"/>
      </tp>
    </main>
    <main first="rtdsrv_a82eb5a1fc404542a18b1336b70d2c4e">
      <tp>
        <v>5</v>
        <stp/>
        <stp>fdc7b929-f4aa-447e-bd98-868551490369</stp>
        <tr r="G7100" s="2"/>
      </tp>
      <tp>
        <v>5</v>
        <stp/>
        <stp>3242d2fb-2b69-49c8-af16-386e5bf7521a</stp>
        <tr r="G7179" s="2"/>
      </tp>
      <tp>
        <v>5</v>
        <stp/>
        <stp>6d5e8d4f-3678-4d04-ae52-001804b76e11</stp>
        <tr r="G3629" s="2"/>
      </tp>
    </main>
    <main first="rtdsrv_a82eb5a1fc404542a18b1336b70d2c4e">
      <tp>
        <v>5</v>
        <stp/>
        <stp>feb4a0d1-f49f-4856-8404-50f63211dd62</stp>
        <tr r="G9946" s="2"/>
      </tp>
    </main>
    <main first="rtdsrv_a82eb5a1fc404542a18b1336b70d2c4e">
      <tp>
        <v>5</v>
        <stp/>
        <stp>8d996448-6f4f-44d6-91e9-9ff3ae6d0eed</stp>
        <tr r="G8752" s="2"/>
      </tp>
    </main>
    <main first="rtdsrv_a82eb5a1fc404542a18b1336b70d2c4e">
      <tp>
        <v>5</v>
        <stp/>
        <stp>2d6499b0-87f4-487c-8156-2fadcc1e5eb7</stp>
        <tr r="G82" s="2"/>
      </tp>
      <tp>
        <v>5</v>
        <stp/>
        <stp>85f426b7-b5fd-453e-b51b-0050b7674a7a</stp>
        <tr r="G5960" s="2"/>
      </tp>
    </main>
    <main first="rtdsrv_a82eb5a1fc404542a18b1336b70d2c4e">
      <tp>
        <v>5</v>
        <stp/>
        <stp>adbd08f3-de70-4072-b07d-b3da6e1a587d</stp>
        <tr r="G3510" s="2"/>
      </tp>
    </main>
    <main first="rtdsrv_a82eb5a1fc404542a18b1336b70d2c4e">
      <tp>
        <v>5</v>
        <stp/>
        <stp>0f1fade3-653c-4071-aa8c-2b5b85c25937</stp>
        <tr r="G5851" s="2"/>
      </tp>
      <tp>
        <v>5</v>
        <stp/>
        <stp>87b43fe7-657e-47e2-b9c2-58a33d36d955</stp>
        <tr r="G1661" s="2"/>
      </tp>
    </main>
    <main first="rtdsrv_a82eb5a1fc404542a18b1336b70d2c4e">
      <tp>
        <v>5</v>
        <stp/>
        <stp>0daac6d7-077f-4a44-82f1-7da02facdad0</stp>
        <tr r="G3899" s="2"/>
      </tp>
      <tp>
        <v>5</v>
        <stp/>
        <stp>4c39a8c1-a2e7-4c4f-a6e1-841da8a49fdd</stp>
        <tr r="G5052" s="2"/>
      </tp>
      <tp>
        <v>5</v>
        <stp/>
        <stp>556e053b-d318-43a9-b6a1-7b5ec8cfe51a</stp>
        <tr r="G1135" s="2"/>
      </tp>
      <tp>
        <v>5</v>
        <stp/>
        <stp>6fd7a544-a564-4c34-a37a-45722fe17162</stp>
        <tr r="G2197" s="2"/>
      </tp>
    </main>
    <main first="rtdsrv_a82eb5a1fc404542a18b1336b70d2c4e">
      <tp>
        <v>5</v>
        <stp/>
        <stp>5a10e6cd-85b9-480c-a467-1fd939ae9654</stp>
        <tr r="G1462" s="2"/>
      </tp>
    </main>
    <main first="rtdsrv_a82eb5a1fc404542a18b1336b70d2c4e">
      <tp>
        <v>5</v>
        <stp/>
        <stp>ba14de6d-4c40-45ce-adcb-93761fc0d024</stp>
        <tr r="G3016" s="2"/>
      </tp>
    </main>
    <main first="rtdsrv_a82eb5a1fc404542a18b1336b70d2c4e">
      <tp>
        <v>5</v>
        <stp/>
        <stp>8114e017-276d-4790-b327-bbe74faa1fd5</stp>
        <tr r="G4002" s="2"/>
      </tp>
      <tp>
        <v>5</v>
        <stp/>
        <stp>2d0e01f0-8f5e-4b3f-95b1-7842e0c07265</stp>
        <tr r="G9859" s="2"/>
      </tp>
    </main>
    <main first="rtdsrv_a82eb5a1fc404542a18b1336b70d2c4e">
      <tp>
        <v>5</v>
        <stp/>
        <stp>3012a60e-a4cf-4f51-9529-0be87398cf0a</stp>
        <tr r="G536" s="2"/>
      </tp>
      <tp>
        <v>5</v>
        <stp/>
        <stp>cecb7e70-bbb3-46e0-ac13-8c79dc4ad0f4</stp>
        <tr r="G3698" s="2"/>
      </tp>
      <tp>
        <v>5</v>
        <stp/>
        <stp>221bbca0-dc87-492c-b0b3-e74a33b00c65</stp>
        <tr r="G685" s="2"/>
      </tp>
      <tp>
        <v>5</v>
        <stp/>
        <stp>d7c3c286-e9a7-4a91-af8e-53d1595de06d</stp>
        <tr r="G2872" s="2"/>
      </tp>
      <tp>
        <v>5</v>
        <stp/>
        <stp>8b7e8661-cd33-447b-af4b-f6dc93b517a2</stp>
        <tr r="G7568" s="2"/>
      </tp>
      <tp>
        <v>5</v>
        <stp/>
        <stp>1bb8f131-11aa-4a8b-a60a-efb422e2e7f9</stp>
        <tr r="G6429" s="2"/>
      </tp>
      <tp>
        <v>5</v>
        <stp/>
        <stp>04331d64-3bd6-4630-acce-8f97a29537ba</stp>
        <tr r="G9391" s="2"/>
      </tp>
      <tp>
        <v>5</v>
        <stp/>
        <stp>2aad3d76-0eef-42d2-a8e1-c174af646fc6</stp>
        <tr r="G7552" s="2"/>
      </tp>
      <tp>
        <v>5</v>
        <stp/>
        <stp>1bb9f3a6-7e6a-4780-8a10-d2c1bd7d8bb0</stp>
        <tr r="G1420" s="2"/>
      </tp>
      <tp>
        <v>5</v>
        <stp/>
        <stp>59ec3122-0dc9-44ac-8b6a-d7693860312d</stp>
        <tr r="G8632" s="2"/>
      </tp>
    </main>
    <main first="rtdsrv_a82eb5a1fc404542a18b1336b70d2c4e">
      <tp>
        <v>5</v>
        <stp/>
        <stp>1f88e42e-d2d6-41ee-829b-517e5892f049</stp>
        <tr r="G3762" s="2"/>
      </tp>
    </main>
    <main first="rtdsrv_a82eb5a1fc404542a18b1336b70d2c4e">
      <tp>
        <v>5</v>
        <stp/>
        <stp>782f23a1-6e65-4c86-a5ce-5e9578899f20</stp>
        <tr r="G785" s="2"/>
      </tp>
    </main>
    <main first="rtdsrv_a82eb5a1fc404542a18b1336b70d2c4e">
      <tp>
        <v>5</v>
        <stp/>
        <stp>855d9cb1-3a72-4656-a28f-c03e60ae18c7</stp>
        <tr r="G1194" s="2"/>
      </tp>
      <tp>
        <v>5</v>
        <stp/>
        <stp>33ad9fd9-b427-4db1-8f93-e6b649702c67</stp>
        <tr r="G2139" s="2"/>
      </tp>
      <tp>
        <v>5</v>
        <stp/>
        <stp>df32dd56-573f-48b4-82d0-5fad41891c9d</stp>
        <tr r="G7462" s="2"/>
      </tp>
    </main>
    <main first="rtdsrv_a82eb5a1fc404542a18b1336b70d2c4e">
      <tp>
        <v>5</v>
        <stp/>
        <stp>f636de0a-070a-42c6-b7fc-9409b22d5f4c</stp>
        <tr r="G3050" s="2"/>
      </tp>
      <tp>
        <v>5</v>
        <stp/>
        <stp>fa61d531-dd5f-4e21-9834-775dcb177400</stp>
        <tr r="G4675" s="2"/>
      </tp>
      <tp>
        <v>5</v>
        <stp/>
        <stp>17c58b88-a9ea-46a0-93af-3fdaa63f7f24</stp>
        <tr r="G3782" s="2"/>
      </tp>
    </main>
    <main first="rtdsrv_a82eb5a1fc404542a18b1336b70d2c4e">
      <tp>
        <v>5</v>
        <stp/>
        <stp>3c6ebf6c-7f77-45a4-99f6-393813fff9d6</stp>
        <tr r="G7911" s="2"/>
      </tp>
    </main>
    <main first="rtdsrv_a82eb5a1fc404542a18b1336b70d2c4e">
      <tp>
        <v>5</v>
        <stp/>
        <stp>d1e47bfb-c74e-4aea-b35f-ef26ec82f293</stp>
        <tr r="G5652" s="2"/>
      </tp>
      <tp>
        <v>5</v>
        <stp/>
        <stp>f1dc663c-fff8-417c-a5f3-4eaa51cf4caf</stp>
        <tr r="G7723" s="2"/>
      </tp>
      <tp>
        <v>5</v>
        <stp/>
        <stp>12a3ddf2-dd9b-4351-8b23-ffb7410595cf</stp>
        <tr r="G5038" s="2"/>
      </tp>
    </main>
    <main first="rtdsrv_a82eb5a1fc404542a18b1336b70d2c4e">
      <tp>
        <v>5</v>
        <stp/>
        <stp>da046040-f08a-4fb3-96b8-e2803c376df4</stp>
        <tr r="G5186" s="2"/>
      </tp>
      <tp>
        <v>5</v>
        <stp/>
        <stp>6616fc48-320a-4ddc-ab65-8600b4a2ab2d</stp>
        <tr r="G3377" s="2"/>
      </tp>
      <tp>
        <v>5</v>
        <stp/>
        <stp>ddb76b71-711f-40ec-8f76-ffeb3174baa6</stp>
        <tr r="G8320" s="2"/>
      </tp>
      <tp>
        <v>5</v>
        <stp/>
        <stp>a815bf09-7ff8-432a-a335-8bbbf3c98929</stp>
        <tr r="G8706" s="2"/>
      </tp>
    </main>
    <main first="rtdsrv_a82eb5a1fc404542a18b1336b70d2c4e">
      <tp>
        <v>5</v>
        <stp/>
        <stp>c623d648-b92f-4116-afcd-631e06930a12</stp>
        <tr r="G6895" s="2"/>
      </tp>
      <tp>
        <v>5</v>
        <stp/>
        <stp>4334ffef-2e4a-46bf-9d1a-33a40e0de5a1</stp>
        <tr r="G9041" s="2"/>
      </tp>
    </main>
    <main first="rtdsrv_a82eb5a1fc404542a18b1336b70d2c4e">
      <tp>
        <v>5</v>
        <stp/>
        <stp>b57eaff4-57e4-45b0-9775-93fc993d98d4</stp>
        <tr r="G9520" s="2"/>
      </tp>
    </main>
    <main first="rtdsrv_a82eb5a1fc404542a18b1336b70d2c4e">
      <tp>
        <v>5</v>
        <stp/>
        <stp>54885a7b-0586-4711-bb24-477b06b31497</stp>
        <tr r="G4652" s="2"/>
      </tp>
    </main>
    <main first="rtdsrv_a82eb5a1fc404542a18b1336b70d2c4e">
      <tp>
        <v>5</v>
        <stp/>
        <stp>06dfdd16-3cfd-4f1f-baa8-35f2a78d6727</stp>
        <tr r="G9845" s="2"/>
      </tp>
      <tp>
        <v>5</v>
        <stp/>
        <stp>91b1cbdd-2602-48f5-a184-c147777ce9e3</stp>
        <tr r="G1732" s="2"/>
      </tp>
      <tp>
        <v>5</v>
        <stp/>
        <stp>20c9d15a-e3fe-4c4e-8327-16b77d0aa2c6</stp>
        <tr r="G7813" s="2"/>
      </tp>
      <tp>
        <v>5</v>
        <stp/>
        <stp>5f530867-8a85-4df9-af39-38854bf87ef1</stp>
        <tr r="G9347" s="2"/>
      </tp>
    </main>
    <main first="rtdsrv_a82eb5a1fc404542a18b1336b70d2c4e">
      <tp>
        <v>5</v>
        <stp/>
        <stp>aef9f735-4c36-429f-8ce0-4ceefd81718b</stp>
        <tr r="G5132" s="2"/>
      </tp>
      <tp>
        <v>5</v>
        <stp/>
        <stp>027fd4af-f277-40b8-b297-4f296e01012a</stp>
        <tr r="G6973" s="2"/>
      </tp>
    </main>
    <main first="rtdsrv_a82eb5a1fc404542a18b1336b70d2c4e">
      <tp>
        <v>5</v>
        <stp/>
        <stp>c349e85e-dfa2-4c7c-8247-99242f92b484</stp>
        <tr r="G3138" s="2"/>
      </tp>
    </main>
    <main first="rtdsrv_a82eb5a1fc404542a18b1336b70d2c4e">
      <tp>
        <v>5</v>
        <stp/>
        <stp>ed10e40e-b93f-43ef-9fd3-a22804843eb2</stp>
        <tr r="G6141" s="2"/>
      </tp>
      <tp>
        <v>5</v>
        <stp/>
        <stp>43ae4dc5-a0df-4f7c-9524-af4263d37a58</stp>
        <tr r="G6624" s="2"/>
      </tp>
    </main>
    <main first="rtdsrv_a82eb5a1fc404542a18b1336b70d2c4e">
      <tp>
        <v>5</v>
        <stp/>
        <stp>7e717a4e-2a68-4757-b0f2-a414a171515a</stp>
        <tr r="G1102" s="2"/>
      </tp>
      <tp>
        <v>5</v>
        <stp/>
        <stp>d6a5a901-6ee9-41bf-99f1-68e51c689159</stp>
        <tr r="G2927" s="2"/>
      </tp>
      <tp>
        <v>5</v>
        <stp/>
        <stp>a3c9166c-d5fc-461b-aa1d-974d80becf17</stp>
        <tr r="G3568" s="2"/>
      </tp>
    </main>
    <main first="rtdsrv_a82eb5a1fc404542a18b1336b70d2c4e">
      <tp>
        <v>5</v>
        <stp/>
        <stp>141ef55c-afa2-4f69-8946-81ae487d67ab</stp>
        <tr r="G1725" s="2"/>
      </tp>
    </main>
    <main first="rtdsrv_a82eb5a1fc404542a18b1336b70d2c4e">
      <tp>
        <v>5</v>
        <stp/>
        <stp>ad1a7814-fcc6-4749-bd79-4fd71efdeed4</stp>
        <tr r="G8648" s="2"/>
      </tp>
      <tp>
        <v>5</v>
        <stp/>
        <stp>eb4340d3-2860-4fc3-8ec2-fb4d6508c5b1</stp>
        <tr r="G3154" s="2"/>
      </tp>
      <tp>
        <v>5</v>
        <stp/>
        <stp>98c02570-5474-4cff-bfa3-00bc8e40589b</stp>
        <tr r="G6722" s="2"/>
      </tp>
    </main>
    <main first="rtdsrv_a82eb5a1fc404542a18b1336b70d2c4e">
      <tp>
        <v>5</v>
        <stp/>
        <stp>5ce0375f-13d8-4ddd-9f57-af9a8f041fa5</stp>
        <tr r="G5310" s="2"/>
      </tp>
    </main>
    <main first="rtdsrv_a82eb5a1fc404542a18b1336b70d2c4e">
      <tp>
        <v>5</v>
        <stp/>
        <stp>cf1fafb9-e306-4bfe-b888-de3ab95416b3</stp>
        <tr r="G3355" s="2"/>
      </tp>
    </main>
    <main first="rtdsrv_a82eb5a1fc404542a18b1336b70d2c4e">
      <tp>
        <v>5</v>
        <stp/>
        <stp>45a7a198-3ed5-43b0-a176-4d10c1deb7b3</stp>
        <tr r="G2080" s="2"/>
      </tp>
    </main>
    <main first="rtdsrv_a82eb5a1fc404542a18b1336b70d2c4e">
      <tp>
        <v>5</v>
        <stp/>
        <stp>13741be0-2370-4fe5-ab49-15b3b3025673</stp>
        <tr r="G5128" s="2"/>
      </tp>
    </main>
    <main first="rtdsrv_a82eb5a1fc404542a18b1336b70d2c4e">
      <tp>
        <v>5</v>
        <stp/>
        <stp>c6e68139-38b2-4816-b570-677a946e4dbf</stp>
        <tr r="G3681" s="2"/>
      </tp>
      <tp>
        <v>5</v>
        <stp/>
        <stp>8988404b-c63c-4a55-bff2-d9f7bed82770</stp>
        <tr r="G131" s="2"/>
      </tp>
      <tp>
        <v>5</v>
        <stp/>
        <stp>4bdeaf49-1f22-4ca0-9c0a-05bcbb8b700c</stp>
        <tr r="G7501" s="2"/>
      </tp>
      <tp>
        <v>5</v>
        <stp/>
        <stp>6d59de15-49ab-4761-ae5b-2ab83183f38f</stp>
        <tr r="G9236" s="2"/>
      </tp>
      <tp>
        <v>5</v>
        <stp/>
        <stp>32ac3efb-c05a-4ef0-a1d7-a5f305b5929f</stp>
        <tr r="G6008" s="2"/>
      </tp>
      <tp>
        <v>5</v>
        <stp/>
        <stp>9eadf18a-7f85-41da-89ef-97504d228fcf</stp>
        <tr r="G7001" s="2"/>
      </tp>
    </main>
    <main first="rtdsrv_a82eb5a1fc404542a18b1336b70d2c4e">
      <tp>
        <v>5</v>
        <stp/>
        <stp>f469811d-7155-472f-8308-8214d573b164</stp>
        <tr r="G2885" s="2"/>
      </tp>
    </main>
    <main first="rtdsrv_a82eb5a1fc404542a18b1336b70d2c4e">
      <tp>
        <v>5</v>
        <stp/>
        <stp>1e6a20bc-0d07-487d-b50f-cc22ca889ab1</stp>
        <tr r="G7613" s="2"/>
      </tp>
    </main>
    <main first="rtdsrv_a82eb5a1fc404542a18b1336b70d2c4e">
      <tp>
        <v>5</v>
        <stp/>
        <stp>2a3dcea0-d1c9-47b0-bd08-b603ea76ceb9</stp>
        <tr r="G5200" s="2"/>
      </tp>
    </main>
    <main first="rtdsrv_a82eb5a1fc404542a18b1336b70d2c4e">
      <tp>
        <v>5</v>
        <stp/>
        <stp>5752427d-d791-48de-9f27-db6dce349c9e</stp>
        <tr r="G7935" s="2"/>
      </tp>
    </main>
    <main first="rtdsrv_a82eb5a1fc404542a18b1336b70d2c4e">
      <tp>
        <v>5</v>
        <stp/>
        <stp>ec8b19ec-f605-4537-b09a-ea4473daa2e0</stp>
        <tr r="G9335" s="2"/>
      </tp>
      <tp>
        <v>5</v>
        <stp/>
        <stp>6aff9a86-2ae2-49aa-a814-c16dfb4fac6c</stp>
        <tr r="G105" s="2"/>
      </tp>
    </main>
    <main first="rtdsrv_a82eb5a1fc404542a18b1336b70d2c4e">
      <tp>
        <v>5</v>
        <stp/>
        <stp>703d0827-1fb8-4a06-8f97-df9af50787f0</stp>
        <tr r="G4242" s="2"/>
      </tp>
    </main>
    <main first="rtdsrv_a82eb5a1fc404542a18b1336b70d2c4e">
      <tp>
        <v>5</v>
        <stp/>
        <stp>68948ed0-d17a-493a-be84-edd1175aea66</stp>
        <tr r="G1318" s="2"/>
      </tp>
      <tp>
        <v>5</v>
        <stp/>
        <stp>bdad794a-318e-4cbe-aac4-09cfa057539a</stp>
        <tr r="G517" s="2"/>
      </tp>
    </main>
    <main first="rtdsrv_a82eb5a1fc404542a18b1336b70d2c4e">
      <tp>
        <v>5</v>
        <stp/>
        <stp>de3f8183-c013-41cd-9954-1d598b49c218</stp>
        <tr r="G5422" s="2"/>
      </tp>
    </main>
    <main first="rtdsrv_a82eb5a1fc404542a18b1336b70d2c4e">
      <tp>
        <v>5</v>
        <stp/>
        <stp>bec6e1a1-24e3-4bbe-b034-f11d9e8f6647</stp>
        <tr r="G607" s="2"/>
      </tp>
      <tp>
        <v>5</v>
        <stp/>
        <stp>eac9ad93-9c72-40ea-8efe-1aa488df20f4</stp>
        <tr r="G1482" s="2"/>
      </tp>
    </main>
    <main first="rtdsrv_a82eb5a1fc404542a18b1336b70d2c4e">
      <tp>
        <v>5</v>
        <stp/>
        <stp>f6c6b410-a36e-40e0-9eda-fde9ddea1e8a</stp>
        <tr r="G8926" s="2"/>
      </tp>
      <tp>
        <v>5</v>
        <stp/>
        <stp>7e5f9b0b-b91b-4ee9-a54e-55c007110833</stp>
        <tr r="G2544" s="2"/>
      </tp>
    </main>
    <main first="rtdsrv_a82eb5a1fc404542a18b1336b70d2c4e">
      <tp>
        <v>5</v>
        <stp/>
        <stp>54ff3e9c-7b08-4f03-99fb-1b3d527171c3</stp>
        <tr r="G7947" s="2"/>
      </tp>
      <tp>
        <v>5</v>
        <stp/>
        <stp>a5f84296-8505-4f1d-898f-0c06da7b8338</stp>
        <tr r="G6093" s="2"/>
      </tp>
      <tp>
        <v>5</v>
        <stp/>
        <stp>ae1bb94b-cdfb-4bd1-83cb-c135b6027884</stp>
        <tr r="G922" s="2"/>
      </tp>
      <tp>
        <v>5</v>
        <stp/>
        <stp>67a17e39-e97b-4392-9e47-e2efe27e9c69</stp>
        <tr r="G9514" s="2"/>
      </tp>
    </main>
    <main first="rtdsrv_a82eb5a1fc404542a18b1336b70d2c4e">
      <tp>
        <v>5</v>
        <stp/>
        <stp>c31535e1-c964-4301-adb7-3a9ef78392cd</stp>
        <tr r="G9525" s="2"/>
      </tp>
    </main>
    <main first="rtdsrv_a82eb5a1fc404542a18b1336b70d2c4e">
      <tp>
        <v>5</v>
        <stp/>
        <stp>158357a8-4e0c-4672-b2ae-56cb126e5345</stp>
        <tr r="G8645" s="2"/>
      </tp>
      <tp>
        <v>5</v>
        <stp/>
        <stp>8ce515fe-5c1d-4970-b57a-47c5d98c38b4</stp>
        <tr r="G1048" s="2"/>
      </tp>
    </main>
    <main first="rtdsrv_a82eb5a1fc404542a18b1336b70d2c4e">
      <tp>
        <v>5</v>
        <stp/>
        <stp>c5ff137c-1911-466c-87cf-a20806a0baf6</stp>
        <tr r="G4077" s="2"/>
      </tp>
    </main>
    <main first="rtdsrv_a82eb5a1fc404542a18b1336b70d2c4e">
      <tp>
        <v>5</v>
        <stp/>
        <stp>abc3e492-74ba-44bb-b6e4-2b658d1072d1</stp>
        <tr r="G5858" s="2"/>
      </tp>
      <tp>
        <v>5</v>
        <stp/>
        <stp>edeba131-a434-4e66-8848-ae5fadeede32</stp>
        <tr r="G3267" s="2"/>
      </tp>
    </main>
    <main first="rtdsrv_a82eb5a1fc404542a18b1336b70d2c4e">
      <tp>
        <v>5</v>
        <stp/>
        <stp>63e0f2b3-db52-4f1d-a558-13775ea9f020</stp>
        <tr r="G6390" s="2"/>
      </tp>
    </main>
    <main first="rtdsrv_a82eb5a1fc404542a18b1336b70d2c4e">
      <tp>
        <v>5</v>
        <stp/>
        <stp>7788a4c7-f46e-4c36-9414-2161ede52e18</stp>
        <tr r="G2420" s="2"/>
      </tp>
    </main>
    <main first="rtdsrv_a82eb5a1fc404542a18b1336b70d2c4e">
      <tp>
        <v>5</v>
        <stp/>
        <stp>d3e4c98f-26c3-4908-bacb-b63ae5b5d2b9</stp>
        <tr r="G7033" s="2"/>
      </tp>
    </main>
    <main first="rtdsrv_a82eb5a1fc404542a18b1336b70d2c4e">
      <tp>
        <v>5</v>
        <stp/>
        <stp>99652be7-5eca-441f-abe3-a38ab5cc49d9</stp>
        <tr r="G2376" s="2"/>
      </tp>
      <tp>
        <v>5</v>
        <stp/>
        <stp>93ec31fb-2128-490d-bbe7-dfdd8dbf1a9e</stp>
        <tr r="G9447" s="2"/>
      </tp>
      <tp>
        <v>5</v>
        <stp/>
        <stp>20c13211-fff5-4dbb-9e0f-a5d35c42e282</stp>
        <tr r="G4571" s="2"/>
      </tp>
      <tp>
        <v>5</v>
        <stp/>
        <stp>7acbb3f9-a73d-48ce-a35d-10919b01ece9</stp>
        <tr r="G8660" s="2"/>
      </tp>
      <tp>
        <v>5</v>
        <stp/>
        <stp>06f0ec30-1ecf-42fc-9948-6e4b4a379e57</stp>
        <tr r="G4053" s="2"/>
      </tp>
    </main>
    <main first="rtdsrv_a82eb5a1fc404542a18b1336b70d2c4e">
      <tp>
        <v>5</v>
        <stp/>
        <stp>8c444840-6367-41ee-b0b9-d82973294306</stp>
        <tr r="G3978" s="2"/>
      </tp>
    </main>
    <main first="rtdsrv_a82eb5a1fc404542a18b1336b70d2c4e">
      <tp>
        <v>5</v>
        <stp/>
        <stp>8dcf40cd-25dd-42c5-bfce-daf1e59ad659</stp>
        <tr r="G2954" s="2"/>
      </tp>
      <tp>
        <v>5</v>
        <stp/>
        <stp>07f949e4-b25a-4d51-8b47-c9758399d127</stp>
        <tr r="G954" s="2"/>
      </tp>
    </main>
    <main first="rtdsrv_a82eb5a1fc404542a18b1336b70d2c4e">
      <tp>
        <v>5</v>
        <stp/>
        <stp>255df656-e66f-4ee1-bd67-90e98af96b88</stp>
        <tr r="G5359" s="2"/>
      </tp>
    </main>
    <main first="rtdsrv_a82eb5a1fc404542a18b1336b70d2c4e">
      <tp>
        <v>5</v>
        <stp/>
        <stp>842337c3-bdbf-460e-8f96-337929801e7b</stp>
        <tr r="G1577" s="2"/>
      </tp>
      <tp>
        <v>5</v>
        <stp/>
        <stp>5f2275b0-67d9-441b-9110-9289826fedb5</stp>
        <tr r="G1640" s="2"/>
      </tp>
      <tp>
        <v>5</v>
        <stp/>
        <stp>b2204024-08c2-4ae5-ac3a-0ffac8a368e9</stp>
        <tr r="G5357" s="2"/>
      </tp>
      <tp>
        <v>5</v>
        <stp/>
        <stp>917ee22a-d520-4a31-8a97-d75b799e330e</stp>
        <tr r="G9369" s="2"/>
      </tp>
      <tp>
        <v>5</v>
        <stp/>
        <stp>b0e017f8-987b-4e96-8384-d04f6043fb49</stp>
        <tr r="G8231" s="2"/>
      </tp>
    </main>
    <main first="rtdsrv_a82eb5a1fc404542a18b1336b70d2c4e">
      <tp>
        <v>5</v>
        <stp/>
        <stp>4e77a012-73a4-455b-a3b1-629bea3cfc5d</stp>
        <tr r="G2941" s="2"/>
      </tp>
      <tp>
        <v>5</v>
        <stp/>
        <stp>eb9ab2dc-0916-46cd-8c19-65183ce2612a</stp>
        <tr r="G7294" s="2"/>
      </tp>
    </main>
    <main first="rtdsrv_a82eb5a1fc404542a18b1336b70d2c4e">
      <tp>
        <v>5</v>
        <stp/>
        <stp>fc39afd6-e4ea-4744-9505-eb8ab5681acb</stp>
        <tr r="G7926" s="2"/>
      </tp>
      <tp>
        <v>5</v>
        <stp/>
        <stp>92e6abfc-08df-4964-b4e1-9b1b22a4c3af</stp>
        <tr r="G5713" s="2"/>
      </tp>
    </main>
    <main first="rtdsrv_a82eb5a1fc404542a18b1336b70d2c4e">
      <tp>
        <v>5</v>
        <stp/>
        <stp>9ea6a41a-6036-4518-be93-2d400ef39557</stp>
        <tr r="G1645" s="2"/>
      </tp>
      <tp>
        <v>5</v>
        <stp/>
        <stp>190c871f-8195-43e3-9555-9b5716e276a3</stp>
        <tr r="G3047" s="2"/>
      </tp>
      <tp>
        <v>5</v>
        <stp/>
        <stp>71529405-657b-4cf4-99b3-1869a764087f</stp>
        <tr r="G1371" s="2"/>
      </tp>
      <tp>
        <v>5</v>
        <stp/>
        <stp>55efac5c-5164-4ced-bf76-33e14d1d657f</stp>
        <tr r="G3874" s="2"/>
      </tp>
    </main>
    <main first="rtdsrv_a82eb5a1fc404542a18b1336b70d2c4e">
      <tp>
        <v>5</v>
        <stp/>
        <stp>57ebb32c-a162-422b-bbc2-fc2821b3fd0b</stp>
        <tr r="G5130" s="2"/>
      </tp>
    </main>
    <main first="rtdsrv_a82eb5a1fc404542a18b1336b70d2c4e">
      <tp>
        <v>5</v>
        <stp/>
        <stp>6b3a67e7-492e-4861-bb4b-0b8a5d27403a</stp>
        <tr r="G7257" s="2"/>
      </tp>
      <tp>
        <v>5</v>
        <stp/>
        <stp>cde888f6-dee8-4698-859a-aac928fdc263</stp>
        <tr r="G2371" s="2"/>
      </tp>
    </main>
    <main first="rtdsrv_a82eb5a1fc404542a18b1336b70d2c4e">
      <tp>
        <v>5</v>
        <stp/>
        <stp>4cef9800-b5fb-4199-9e0f-60de9ba77074</stp>
        <tr r="G5258" s="2"/>
      </tp>
      <tp>
        <v>5</v>
        <stp/>
        <stp>4c0595c9-1359-43c0-bc2f-9ec70bf15071</stp>
        <tr r="G6325" s="2"/>
      </tp>
      <tp>
        <v>5</v>
        <stp/>
        <stp>279e529d-a75f-4ecd-9ebf-ff840c9ac5dd</stp>
        <tr r="G7080" s="2"/>
      </tp>
      <tp>
        <v>5</v>
        <stp/>
        <stp>db2a6fc5-452d-43e8-af25-930dcc4858a3</stp>
        <tr r="G2078" s="2"/>
      </tp>
      <tp>
        <v>5</v>
        <stp/>
        <stp>6b9313f6-4b4a-4b12-af19-444ff4f324cc</stp>
        <tr r="G2364" s="2"/>
      </tp>
    </main>
    <main first="rtdsrv_a82eb5a1fc404542a18b1336b70d2c4e">
      <tp>
        <v>5</v>
        <stp/>
        <stp>0f1fb103-1e22-4e3f-941e-5c0cbc091c4c</stp>
        <tr r="G7772" s="2"/>
      </tp>
      <tp>
        <v>5</v>
        <stp/>
        <stp>40465437-ee9f-4062-8716-e0f0a144d138</stp>
        <tr r="G9802" s="2"/>
      </tp>
      <tp>
        <v>5</v>
        <stp/>
        <stp>6528feed-fb0d-4fb3-b77e-43cbd1b47bd3</stp>
        <tr r="G4704" s="2"/>
      </tp>
    </main>
    <main first="rtdsrv_a82eb5a1fc404542a18b1336b70d2c4e">
      <tp>
        <v>5</v>
        <stp/>
        <stp>2bcac26f-47a7-4e12-8311-b33eee3cdcf3</stp>
        <tr r="G1437" s="2"/>
      </tp>
      <tp>
        <v>5</v>
        <stp/>
        <stp>ca1b8668-7354-495e-8d3a-bdd4c51e5557</stp>
        <tr r="G2617" s="2"/>
      </tp>
    </main>
    <main first="rtdsrv_a82eb5a1fc404542a18b1336b70d2c4e">
      <tp>
        <v>5</v>
        <stp/>
        <stp>5a89308e-3c47-4538-ade3-d8f86e73e04b</stp>
        <tr r="G5845" s="2"/>
      </tp>
    </main>
    <main first="rtdsrv_a82eb5a1fc404542a18b1336b70d2c4e">
      <tp>
        <v>5</v>
        <stp/>
        <stp>6d348711-dc2a-45b1-af3b-dc3385a9b1d8</stp>
        <tr r="G7958" s="2"/>
      </tp>
    </main>
    <main first="rtdsrv_a82eb5a1fc404542a18b1336b70d2c4e">
      <tp>
        <v>5</v>
        <stp/>
        <stp>b3c780dc-9c36-482a-90ba-581b6e42965e</stp>
        <tr r="G8594" s="2"/>
      </tp>
      <tp>
        <v>5</v>
        <stp/>
        <stp>38060ae6-2d07-47e4-8755-9dc8f9f0ce4d</stp>
        <tr r="G6829" s="2"/>
      </tp>
    </main>
    <main first="rtdsrv_a82eb5a1fc404542a18b1336b70d2c4e">
      <tp>
        <v>5</v>
        <stp/>
        <stp>6e3ea41b-7fa1-4009-9900-78f0f12cb45a</stp>
        <tr r="G9543" s="2"/>
      </tp>
      <tp>
        <v>5</v>
        <stp/>
        <stp>91efaf28-a4e3-423c-a9a3-762c5ac3e14f</stp>
        <tr r="G4004" s="2"/>
      </tp>
      <tp>
        <v>5</v>
        <stp/>
        <stp>7c404ed4-fb5f-4eaf-8bf6-6c5a1c67b22b</stp>
        <tr r="G9964" s="2"/>
      </tp>
      <tp>
        <v>5</v>
        <stp/>
        <stp>d3c97b63-5e1e-4e54-a3a5-448a65068b80</stp>
        <tr r="G8710" s="2"/>
      </tp>
      <tp>
        <v>5</v>
        <stp/>
        <stp>dd78271e-29b8-407b-9850-4c4fd698e171</stp>
        <tr r="G4391" s="2"/>
      </tp>
    </main>
    <main first="rtdsrv_a82eb5a1fc404542a18b1336b70d2c4e">
      <tp>
        <v>5</v>
        <stp/>
        <stp>723e265a-da8e-49ab-8179-75a80b13f080</stp>
        <tr r="G9406" s="2"/>
      </tp>
      <tp>
        <v>5</v>
        <stp/>
        <stp>dba69130-00ad-4ded-a6d9-ef4dd2a98e88</stp>
        <tr r="G9308" s="2"/>
      </tp>
      <tp>
        <v>5</v>
        <stp/>
        <stp>b7b1f3c7-0750-45dd-b24e-d55aaf40eed5</stp>
        <tr r="G9558" s="2"/>
      </tp>
      <tp>
        <v>5</v>
        <stp/>
        <stp>66c53174-669b-4e70-8e4b-13a5951edaf4</stp>
        <tr r="G7994" s="2"/>
      </tp>
    </main>
    <main first="rtdsrv_a82eb5a1fc404542a18b1336b70d2c4e">
      <tp>
        <v>5</v>
        <stp/>
        <stp>9ebf51ec-f0d9-47aa-9e2a-205cf4a83747</stp>
        <tr r="G6962" s="2"/>
      </tp>
      <tp>
        <v>5</v>
        <stp/>
        <stp>f46846df-0400-4b32-afae-85ab66a6c057</stp>
        <tr r="G1943" s="2"/>
      </tp>
      <tp>
        <v>5</v>
        <stp/>
        <stp>8cdd2c0c-a2fe-415e-85a4-3631b7d2363e</stp>
        <tr r="G8486" s="2"/>
      </tp>
      <tp>
        <v>5</v>
        <stp/>
        <stp>29b7cc70-c11a-4e58-af44-065113184bb4</stp>
        <tr r="G9943" s="2"/>
      </tp>
      <tp>
        <v>5</v>
        <stp/>
        <stp>2293bd66-d8c6-4b9b-af4b-b6d8b21e8260</stp>
        <tr r="G9895" s="2"/>
      </tp>
    </main>
    <main first="rtdsrv_a82eb5a1fc404542a18b1336b70d2c4e">
      <tp>
        <v>5</v>
        <stp/>
        <stp>e4c2acf2-38f8-4337-b460-8b97f3dfaff0</stp>
        <tr r="G5830" s="2"/>
      </tp>
      <tp>
        <v>5</v>
        <stp/>
        <stp>f466e51b-31f1-45dc-a5fd-438a6cda8586</stp>
        <tr r="G5873" s="2"/>
      </tp>
      <tp>
        <v>5</v>
        <stp/>
        <stp>d7f75479-43ae-465a-91a1-04b5e5d5adc1</stp>
        <tr r="G1479" s="2"/>
      </tp>
      <tp>
        <v>5</v>
        <stp/>
        <stp>16ccc05d-6c44-43ad-8518-6287ca247d1f</stp>
        <tr r="G9781" s="2"/>
      </tp>
      <tp>
        <v>5</v>
        <stp/>
        <stp>50d2df02-e3bf-499f-ace3-d68ef5bc4a8a</stp>
        <tr r="G7101" s="2"/>
      </tp>
    </main>
    <main first="rtdsrv_a82eb5a1fc404542a18b1336b70d2c4e">
      <tp>
        <v>5</v>
        <stp/>
        <stp>6b49c6ec-8513-4eb4-a587-10c14215f072</stp>
        <tr r="G9080" s="2"/>
      </tp>
    </main>
    <main first="rtdsrv_a82eb5a1fc404542a18b1336b70d2c4e">
      <tp>
        <v>5</v>
        <stp/>
        <stp>df2c975b-50c3-4b5b-96c2-4ce6ddcdf052</stp>
        <tr r="G8109" s="2"/>
      </tp>
      <tp>
        <v>5</v>
        <stp/>
        <stp>7581c86f-3a8c-425a-a05a-c1d630d5698e</stp>
        <tr r="G9123" s="2"/>
      </tp>
      <tp>
        <v>5</v>
        <stp/>
        <stp>17c09e05-a2e4-46eb-b41c-d6cf36a2a27e</stp>
        <tr r="G2015" s="2"/>
      </tp>
      <tp>
        <v>5</v>
        <stp/>
        <stp>7b8e06f6-d113-444b-8909-ea7927562fcd</stp>
        <tr r="G3429" s="2"/>
      </tp>
    </main>
    <main first="rtdsrv_a82eb5a1fc404542a18b1336b70d2c4e">
      <tp>
        <v>5</v>
        <stp/>
        <stp>4f246abd-90cc-41ba-ab7a-691a3e36ef49</stp>
        <tr r="G1236" s="2"/>
      </tp>
      <tp>
        <v>5</v>
        <stp/>
        <stp>4ca3ee79-2400-4ea7-a2ab-e0703d957d95</stp>
        <tr r="G1337" s="2"/>
      </tp>
    </main>
    <main first="rtdsrv_a82eb5a1fc404542a18b1336b70d2c4e">
      <tp>
        <v>5</v>
        <stp/>
        <stp>3bb4a71d-ab96-403a-92fd-4ec44fdd0be8</stp>
        <tr r="G3676" s="2"/>
      </tp>
      <tp>
        <v>5</v>
        <stp/>
        <stp>dbd8aa21-3720-4b2e-ab6f-4d121a328421</stp>
        <tr r="G6238" s="2"/>
      </tp>
      <tp>
        <v>5</v>
        <stp/>
        <stp>03034bec-df96-41cd-b163-b5688b7fab63</stp>
        <tr r="G4260" s="2"/>
      </tp>
      <tp>
        <v>5</v>
        <stp/>
        <stp>e9380950-41a8-4706-9bc4-7fbaa7cfcb51</stp>
        <tr r="G507" s="2"/>
      </tp>
      <tp>
        <v>5</v>
        <stp/>
        <stp>f759ae74-afb6-42e5-a617-9f46dabc7b28</stp>
        <tr r="G690" s="2"/>
      </tp>
    </main>
    <main first="rtdsrv_a82eb5a1fc404542a18b1336b70d2c4e">
      <tp>
        <v>5</v>
        <stp/>
        <stp>a3d7a402-8b69-44ba-9198-ff8a3b2cc13e</stp>
        <tr r="G2745" s="2"/>
      </tp>
    </main>
    <main first="rtdsrv_a82eb5a1fc404542a18b1336b70d2c4e">
      <tp>
        <v>5</v>
        <stp/>
        <stp>001f4dea-2328-455b-b2dd-96b961b67546</stp>
        <tr r="G4733" s="2"/>
      </tp>
      <tp>
        <v>5</v>
        <stp/>
        <stp>95c2dce3-1e7b-4841-ae77-162a0adccd56</stp>
        <tr r="G3516" s="2"/>
      </tp>
      <tp>
        <v>5</v>
        <stp/>
        <stp>497eb504-744d-4a1d-b35b-59ec620ee34b</stp>
        <tr r="G3277" s="2"/>
      </tp>
      <tp>
        <v>5</v>
        <stp/>
        <stp>3e7d82af-af80-40b1-8eee-9550ede20a58</stp>
        <tr r="G2655" s="2"/>
      </tp>
      <tp>
        <v>5</v>
        <stp/>
        <stp>457d35cc-7441-430d-812a-ad3a7c60544b</stp>
        <tr r="G3750" s="2"/>
      </tp>
    </main>
    <main first="rtdsrv_a82eb5a1fc404542a18b1336b70d2c4e">
      <tp>
        <v>5</v>
        <stp/>
        <stp>d94c4ea6-b5c8-4984-b0af-c0e340e95963</stp>
        <tr r="G4635" s="2"/>
      </tp>
    </main>
    <main first="rtdsrv_a82eb5a1fc404542a18b1336b70d2c4e">
      <tp>
        <v>5</v>
        <stp/>
        <stp>08bfa6e5-5c47-4103-b1b2-11fd0957c052</stp>
        <tr r="G1286" s="2"/>
      </tp>
      <tp>
        <v>5</v>
        <stp/>
        <stp>de2307d5-1ba6-4af2-bd6b-bd3c7b7753bc</stp>
        <tr r="G257" s="2"/>
      </tp>
    </main>
    <main first="rtdsrv_a82eb5a1fc404542a18b1336b70d2c4e">
      <tp>
        <v>5</v>
        <stp/>
        <stp>5ff8acb0-2e53-44fc-ac67-3a6eba3f80c5</stp>
        <tr r="G1649" s="2"/>
      </tp>
    </main>
    <main first="rtdsrv_a82eb5a1fc404542a18b1336b70d2c4e">
      <tp>
        <v>5</v>
        <stp/>
        <stp>c93d4db6-eddb-45b9-bf6b-1b6993b5a435</stp>
        <tr r="G9469" s="2"/>
      </tp>
      <tp>
        <v>5</v>
        <stp/>
        <stp>29569e56-3fa2-437a-921e-bbe567ed983a</stp>
        <tr r="G4383" s="2"/>
      </tp>
    </main>
    <main first="rtdsrv_a82eb5a1fc404542a18b1336b70d2c4e">
      <tp>
        <v>5</v>
        <stp/>
        <stp>1c58774d-c32f-4ff0-b433-e5735e62f600</stp>
        <tr r="G1996" s="2"/>
      </tp>
      <tp>
        <v>5</v>
        <stp/>
        <stp>d9148a28-901c-484b-b5c3-43e8b6d9670b</stp>
        <tr r="G8982" s="2"/>
      </tp>
      <tp>
        <v>5</v>
        <stp/>
        <stp>fc7442b2-930d-42a7-b6d1-21317a41b9ab</stp>
        <tr r="G9396" s="2"/>
      </tp>
      <tp>
        <v>5</v>
        <stp/>
        <stp>dbdfd015-beb5-4476-b8fb-4c467cca9245</stp>
        <tr r="G3067" s="2"/>
      </tp>
      <tp>
        <v>5</v>
        <stp/>
        <stp>efd16da0-ed97-4bee-9af2-3f046fbc1604</stp>
        <tr r="G5957" s="2"/>
      </tp>
    </main>
    <main first="rtdsrv_a82eb5a1fc404542a18b1336b70d2c4e">
      <tp>
        <v>5</v>
        <stp/>
        <stp>53be657d-fec2-47ad-b1c8-928443cdc4bd</stp>
        <tr r="G4595" s="2"/>
      </tp>
    </main>
    <main first="rtdsrv_a82eb5a1fc404542a18b1336b70d2c4e">
      <tp>
        <v>5</v>
        <stp/>
        <stp>4451f390-fadf-4b4d-a22b-6f97f24ad13c</stp>
        <tr r="G500" s="2"/>
      </tp>
    </main>
    <main first="rtdsrv_a82eb5a1fc404542a18b1336b70d2c4e">
      <tp>
        <v>5</v>
        <stp/>
        <stp>baf685ea-c872-405d-9482-0184d89b109b</stp>
        <tr r="G1020" s="2"/>
      </tp>
    </main>
    <main first="rtdsrv_a82eb5a1fc404542a18b1336b70d2c4e">
      <tp>
        <v>5</v>
        <stp/>
        <stp>5953db05-ee58-4779-9aaf-8c0e6b6c351c</stp>
        <tr r="G9735" s="2"/>
      </tp>
      <tp>
        <v>5</v>
        <stp/>
        <stp>7f9820f8-6d63-42eb-bad3-a58751d1f0e8</stp>
        <tr r="G5912" s="2"/>
      </tp>
      <tp>
        <v>5</v>
        <stp/>
        <stp>4f953237-79bd-4bf7-ad73-4a720f77162b</stp>
        <tr r="G1567" s="2"/>
      </tp>
      <tp>
        <v>5</v>
        <stp/>
        <stp>36726276-0e7b-445d-8e82-e476c6c1d818</stp>
        <tr r="G6137" s="2"/>
      </tp>
      <tp>
        <v>5</v>
        <stp/>
        <stp>28c060a1-4cb0-4065-b3d5-5b484ec19818</stp>
        <tr r="G765" s="2"/>
      </tp>
      <tp>
        <v>5</v>
        <stp/>
        <stp>c386fe73-8b4a-4aa9-becf-048997d03ee9</stp>
        <tr r="G9714" s="2"/>
      </tp>
    </main>
    <main first="rtdsrv_a82eb5a1fc404542a18b1336b70d2c4e">
      <tp>
        <v>5</v>
        <stp/>
        <stp>3de356f4-5013-47b0-bf36-827d9b21cf29</stp>
        <tr r="G1156" s="2"/>
      </tp>
    </main>
    <main first="rtdsrv_a82eb5a1fc404542a18b1336b70d2c4e">
      <tp>
        <v>5</v>
        <stp/>
        <stp>c3a90fc7-e210-4fbd-bacb-2aae96d782e8</stp>
        <tr r="G7925" s="2"/>
      </tp>
      <tp>
        <v>5</v>
        <stp/>
        <stp>43628e10-c1e5-4ad4-82d4-eb38aa57446b</stp>
        <tr r="G9532" s="2"/>
      </tp>
    </main>
    <main first="rtdsrv_a82eb5a1fc404542a18b1336b70d2c4e">
      <tp>
        <v>5</v>
        <stp/>
        <stp>8011efec-b3c1-47f1-baea-32df2da85d1d</stp>
        <tr r="G1086" s="2"/>
      </tp>
      <tp>
        <v>5</v>
        <stp/>
        <stp>e73ff3aa-061d-4aad-acc3-601a97111fe9</stp>
        <tr r="G4149" s="2"/>
      </tp>
      <tp>
        <v>5</v>
        <stp/>
        <stp>ab2ae3c3-a70e-4a49-b623-9f44697946d3</stp>
        <tr r="G3340" s="2"/>
      </tp>
      <tp>
        <v>5</v>
        <stp/>
        <stp>d7f07046-fcc4-4be2-afe1-eb014d17ab38</stp>
        <tr r="G1018" s="2"/>
      </tp>
      <tp>
        <v>5</v>
        <stp/>
        <stp>bb9d92e6-e973-4633-8372-0d5c5ca55d1d</stp>
        <tr r="G9141" s="2"/>
      </tp>
      <tp>
        <v>5</v>
        <stp/>
        <stp>f03b3f7a-c184-4f4a-a176-0d3736a6dccd</stp>
        <tr r="G3343" s="2"/>
      </tp>
    </main>
    <main first="rtdsrv_a82eb5a1fc404542a18b1336b70d2c4e">
      <tp>
        <v>5</v>
        <stp/>
        <stp>85d112fc-a0a2-4aed-aba0-645ac3e786aa</stp>
        <tr r="G3956" s="2"/>
      </tp>
    </main>
    <main first="rtdsrv_a82eb5a1fc404542a18b1336b70d2c4e">
      <tp>
        <v>5</v>
        <stp/>
        <stp>0634460f-14f5-4731-a467-27c4bfe2355e</stp>
        <tr r="G4444" s="2"/>
      </tp>
    </main>
    <main first="rtdsrv_a82eb5a1fc404542a18b1336b70d2c4e">
      <tp>
        <v>5</v>
        <stp/>
        <stp>0274fef3-fc21-4522-885a-9f53f4b06676</stp>
        <tr r="G7005" s="2"/>
      </tp>
    </main>
    <main first="rtdsrv_a82eb5a1fc404542a18b1336b70d2c4e">
      <tp>
        <v>5</v>
        <stp/>
        <stp>fc61fc3f-2048-4353-8987-987cab4e112a</stp>
        <tr r="G8565" s="2"/>
      </tp>
      <tp>
        <v>5</v>
        <stp/>
        <stp>8fec4583-d299-4db6-a5ac-6cddddc33581</stp>
        <tr r="G5021" s="2"/>
      </tp>
    </main>
    <main first="rtdsrv_a82eb5a1fc404542a18b1336b70d2c4e">
      <tp>
        <v>5</v>
        <stp/>
        <stp>7caa706f-602f-4147-b6bb-4f64566e726a</stp>
        <tr r="G7625" s="2"/>
      </tp>
      <tp>
        <v>5</v>
        <stp/>
        <stp>9492910a-1fe9-4504-9589-3c5410eaf958</stp>
        <tr r="G5608" s="2"/>
      </tp>
    </main>
    <main first="rtdsrv_a82eb5a1fc404542a18b1336b70d2c4e">
      <tp>
        <v>5</v>
        <stp/>
        <stp>67fa9fec-1fe3-4d88-a4e5-4990eb8404b5</stp>
        <tr r="G4963" s="2"/>
      </tp>
      <tp>
        <v>5</v>
        <stp/>
        <stp>ef61676f-718d-4bc1-84e0-8c19b211b12a</stp>
        <tr r="G4650" s="2"/>
      </tp>
      <tp>
        <v>5</v>
        <stp/>
        <stp>4e0b6b0c-a397-44a7-b5ec-1ecf2301500f</stp>
        <tr r="G4197" s="2"/>
      </tp>
      <tp>
        <v>5</v>
        <stp/>
        <stp>4a0ab11e-a6da-42d3-8715-1a0e4954394c</stp>
        <tr r="G2020" s="2"/>
      </tp>
      <tp>
        <v>5</v>
        <stp/>
        <stp>0fa4bf11-d26d-4153-8f39-35f2f364f08d</stp>
        <tr r="G6055" s="2"/>
      </tp>
    </main>
    <main first="rtdsrv_a82eb5a1fc404542a18b1336b70d2c4e">
      <tp>
        <v>5</v>
        <stp/>
        <stp>e6f12591-642d-4eb2-8100-31680b03861a</stp>
        <tr r="G9125" s="2"/>
      </tp>
      <tp>
        <v>5</v>
        <stp/>
        <stp>cac9d493-7e4a-4f02-b8dd-efd8df6a3fed</stp>
        <tr r="G7295" s="2"/>
      </tp>
      <tp>
        <v>5</v>
        <stp/>
        <stp>592e582b-635a-4ae2-b609-fac2e7109144</stp>
        <tr r="G8732" s="2"/>
      </tp>
    </main>
    <main first="rtdsrv_a82eb5a1fc404542a18b1336b70d2c4e">
      <tp>
        <v>5</v>
        <stp/>
        <stp>20f82d07-c892-4f86-a051-f2978e939139</stp>
        <tr r="G1816" s="2"/>
      </tp>
    </main>
    <main first="rtdsrv_a82eb5a1fc404542a18b1336b70d2c4e">
      <tp>
        <v>5</v>
        <stp/>
        <stp>b5b3d413-cfda-4cda-ab58-10f79dcc50d8</stp>
        <tr r="G622" s="2"/>
      </tp>
    </main>
    <main first="rtdsrv_a82eb5a1fc404542a18b1336b70d2c4e">
      <tp>
        <v>5</v>
        <stp/>
        <stp>da8b5563-a727-4b63-befb-563c5224666e</stp>
        <tr r="G9463" s="2"/>
      </tp>
      <tp>
        <v>5</v>
        <stp/>
        <stp>549aef35-415b-44c7-8284-49e7356bd70e</stp>
        <tr r="G1704" s="2"/>
      </tp>
      <tp>
        <v>5</v>
        <stp/>
        <stp>955882bb-76d8-40fb-8052-754e56821638</stp>
        <tr r="G7236" s="2"/>
      </tp>
    </main>
    <main first="rtdsrv_a82eb5a1fc404542a18b1336b70d2c4e">
      <tp>
        <v>5</v>
        <stp/>
        <stp>7b794845-48fa-4408-9552-c7b662f254a8</stp>
        <tr r="G2956" s="2"/>
      </tp>
      <tp>
        <v>5</v>
        <stp/>
        <stp>ae25bfcd-d3b5-46aa-be57-1b13420c4193</stp>
        <tr r="G7517" s="2"/>
      </tp>
      <tp>
        <v>5</v>
        <stp/>
        <stp>1aab2f1d-83b0-4758-a813-36868b167046</stp>
        <tr r="G7479" s="2"/>
      </tp>
      <tp>
        <v>5</v>
        <stp/>
        <stp>6d7ae432-8834-4c00-97fc-395440f90ea2</stp>
        <tr r="G6466" s="2"/>
      </tp>
      <tp>
        <v>5</v>
        <stp/>
        <stp>019ed4de-a484-4ba9-a192-a2f945df014a</stp>
        <tr r="G6221" s="2"/>
      </tp>
      <tp>
        <v>5</v>
        <stp/>
        <stp>a34f8d02-3150-4356-8528-72d896bdd6f7</stp>
        <tr r="G762" s="2"/>
      </tp>
      <tp>
        <v>5</v>
        <stp/>
        <stp>0c333395-e260-4926-8d32-08ed9caac9c6</stp>
        <tr r="G3271" s="2"/>
      </tp>
      <tp>
        <v>5</v>
        <stp/>
        <stp>563c4341-5e09-4498-8df2-d4bc9094a8f4</stp>
        <tr r="G2198" s="2"/>
      </tp>
    </main>
    <main first="rtdsrv_a82eb5a1fc404542a18b1336b70d2c4e">
      <tp>
        <v>5</v>
        <stp/>
        <stp>83a0380b-fc90-4969-9af3-83c28a86827a</stp>
        <tr r="G6687" s="2"/>
      </tp>
    </main>
    <main first="rtdsrv_a82eb5a1fc404542a18b1336b70d2c4e">
      <tp>
        <v>5</v>
        <stp/>
        <stp>e0b9ee0e-a16d-4c34-ad51-51aeee8b73ff</stp>
        <tr r="G7444" s="2"/>
      </tp>
      <tp>
        <v>5</v>
        <stp/>
        <stp>b91cfd55-2e01-4077-a8b3-6a88a0de09cc</stp>
        <tr r="G4241" s="2"/>
      </tp>
    </main>
    <main first="rtdsrv_a82eb5a1fc404542a18b1336b70d2c4e">
      <tp>
        <v>5</v>
        <stp/>
        <stp>e17ca4c5-6df2-49dc-a002-32a96f837f65</stp>
        <tr r="G5812" s="2"/>
      </tp>
      <tp>
        <v>5</v>
        <stp/>
        <stp>c8f257bc-f2e1-470d-a772-51e0a8822a47</stp>
        <tr r="G2101" s="2"/>
      </tp>
      <tp>
        <v>5</v>
        <stp/>
        <stp>31605ff9-58ef-4211-aaed-0507925aacd8</stp>
        <tr r="G6878" s="2"/>
      </tp>
    </main>
    <main first="rtdsrv_a82eb5a1fc404542a18b1336b70d2c4e">
      <tp>
        <v>5</v>
        <stp/>
        <stp>e9ad2648-50b0-4abd-9d89-fa689eb670e4</stp>
        <tr r="G659" s="2"/>
      </tp>
    </main>
    <main first="rtdsrv_a82eb5a1fc404542a18b1336b70d2c4e">
      <tp>
        <v>5</v>
        <stp/>
        <stp>77d27602-d2ca-4375-863d-e6ab457dd296</stp>
        <tr r="G1569" s="2"/>
      </tp>
    </main>
    <main first="rtdsrv_a82eb5a1fc404542a18b1336b70d2c4e">
      <tp>
        <v>5</v>
        <stp/>
        <stp>5224a5d3-3f53-4fb9-8f4c-407b0998bb36</stp>
        <tr r="G4353" s="2"/>
      </tp>
      <tp>
        <v>5</v>
        <stp/>
        <stp>df16ff1d-52ff-4514-b9ec-f3df8c917fb6</stp>
        <tr r="G1176" s="2"/>
      </tp>
    </main>
    <main first="rtdsrv_a82eb5a1fc404542a18b1336b70d2c4e">
      <tp>
        <v>5</v>
        <stp/>
        <stp>9a2f01c6-8ad2-4ba2-9a59-5865facf8d23</stp>
        <tr r="G2720" s="2"/>
      </tp>
      <tp>
        <v>5</v>
        <stp/>
        <stp>7b825be3-5e22-4ab4-8805-a80bf8b4cc15</stp>
        <tr r="G4713" s="2"/>
      </tp>
    </main>
    <main first="rtdsrv_a82eb5a1fc404542a18b1336b70d2c4e">
      <tp>
        <v>5</v>
        <stp/>
        <stp>3391d006-e522-4909-8e26-c4e1f284999e</stp>
        <tr r="G5743" s="2"/>
      </tp>
    </main>
    <main first="rtdsrv_a82eb5a1fc404542a18b1336b70d2c4e">
      <tp>
        <v>5</v>
        <stp/>
        <stp>e3fc958f-0a63-484f-8a62-62453cdd1e30</stp>
        <tr r="G3627" s="2"/>
      </tp>
      <tp>
        <v>5</v>
        <stp/>
        <stp>01b5129b-b796-44a3-b7b9-84e6c780bafb</stp>
        <tr r="G5627" s="2"/>
      </tp>
    </main>
    <main first="rtdsrv_a82eb5a1fc404542a18b1336b70d2c4e">
      <tp>
        <v>5</v>
        <stp/>
        <stp>e6c4b4bc-591b-4121-bf2d-510255560b62</stp>
        <tr r="G5924" s="2"/>
      </tp>
    </main>
    <main first="rtdsrv_a82eb5a1fc404542a18b1336b70d2c4e">
      <tp>
        <v>5</v>
        <stp/>
        <stp>ee3b75a6-f186-434c-a846-7c62ed915450</stp>
        <tr r="G9635" s="2"/>
      </tp>
      <tp>
        <v>5</v>
        <stp/>
        <stp>ce820953-515a-4edb-a0a2-16e9d7753932</stp>
        <tr r="G7118" s="2"/>
      </tp>
      <tp>
        <v>5</v>
        <stp/>
        <stp>90c5d730-74a5-4634-95a6-37bd2bf61b91</stp>
        <tr r="G7353" s="2"/>
      </tp>
    </main>
    <main first="rtdsrv_a82eb5a1fc404542a18b1336b70d2c4e">
      <tp>
        <v>5</v>
        <stp/>
        <stp>b15ea174-44d0-4324-acfb-fe3bca09e084</stp>
        <tr r="G1740" s="2"/>
      </tp>
    </main>
    <main first="rtdsrv_a82eb5a1fc404542a18b1336b70d2c4e">
      <tp>
        <v>5</v>
        <stp/>
        <stp>63319273-3b49-4897-83a4-7af43db3639b</stp>
        <tr r="G3634" s="2"/>
      </tp>
      <tp>
        <v>5</v>
        <stp/>
        <stp>25c720ee-28bc-4e47-9c43-2fb2bd346d34</stp>
        <tr r="G747" s="2"/>
      </tp>
    </main>
    <main first="rtdsrv_a82eb5a1fc404542a18b1336b70d2c4e">
      <tp>
        <v>5</v>
        <stp/>
        <stp>c4c3c5d2-7585-416f-9602-afb47b98c64d</stp>
        <tr r="G9349" s="2"/>
      </tp>
      <tp>
        <v>5</v>
        <stp/>
        <stp>be6dbc20-35a0-4cfa-9818-d5b6da687c5d</stp>
        <tr r="G261" s="2"/>
      </tp>
    </main>
    <main first="rtdsrv_a82eb5a1fc404542a18b1336b70d2c4e">
      <tp>
        <v>5</v>
        <stp/>
        <stp>a40fef2d-014c-4337-99e1-7c848419f5c6</stp>
        <tr r="G4790" s="2"/>
      </tp>
      <tp>
        <v>5</v>
        <stp/>
        <stp>3169843d-6af5-484b-9578-8625ef773d18</stp>
        <tr r="G6256" s="2"/>
      </tp>
    </main>
    <main first="rtdsrv_a82eb5a1fc404542a18b1336b70d2c4e">
      <tp>
        <v>5</v>
        <stp/>
        <stp>c5753965-875c-4320-b2d1-a526a18436ef</stp>
        <tr r="G6972" s="2"/>
      </tp>
      <tp>
        <v>5</v>
        <stp/>
        <stp>34bff9ae-0c2b-46d2-b659-08a72fd6c64f</stp>
        <tr r="G7374" s="2"/>
      </tp>
    </main>
    <main first="rtdsrv_a82eb5a1fc404542a18b1336b70d2c4e">
      <tp>
        <v>5</v>
        <stp/>
        <stp>fc3f9f0e-8675-481c-9813-d68882c45951</stp>
        <tr r="G6875" s="2"/>
      </tp>
    </main>
    <main first="rtdsrv_a82eb5a1fc404542a18b1336b70d2c4e">
      <tp>
        <v>5</v>
        <stp/>
        <stp>a97a2be8-215d-4d08-a1ad-ec331988c8d4</stp>
        <tr r="G9641" s="2"/>
      </tp>
    </main>
    <main first="rtdsrv_a82eb5a1fc404542a18b1336b70d2c4e">
      <tp>
        <v>5</v>
        <stp/>
        <stp>a8428acc-0c0d-4552-9dd3-3c9fa9fae709</stp>
        <tr r="G9065" s="2"/>
      </tp>
      <tp>
        <v>5</v>
        <stp/>
        <stp>8fb7bac6-60e2-4349-bbfb-120aa888e631</stp>
        <tr r="G4473" s="2"/>
      </tp>
    </main>
    <main first="rtdsrv_a82eb5a1fc404542a18b1336b70d2c4e">
      <tp>
        <v>5</v>
        <stp/>
        <stp>a79bf188-f31b-4c08-9a8b-519953d5f0ee</stp>
        <tr r="G5806" s="2"/>
      </tp>
      <tp>
        <v>5</v>
        <stp/>
        <stp>bc7e94f7-042d-4f2d-b229-de54db702d69</stp>
        <tr r="G1773" s="2"/>
      </tp>
      <tp>
        <v>5</v>
        <stp/>
        <stp>2a1b210f-a05d-4423-8b68-8d5dbaa85c4d</stp>
        <tr r="G8937" s="2"/>
      </tp>
    </main>
    <main first="rtdsrv_a82eb5a1fc404542a18b1336b70d2c4e">
      <tp>
        <v>5</v>
        <stp/>
        <stp>68b84c2f-552f-4f5b-9e79-15057827bd70</stp>
        <tr r="G1191" s="2"/>
      </tp>
      <tp>
        <v>5</v>
        <stp/>
        <stp>00687f7c-51eb-46ac-86c3-3c206d9536a6</stp>
        <tr r="G4908" s="2"/>
      </tp>
      <tp>
        <v>5</v>
        <stp/>
        <stp>a1c61bef-a4ac-422a-a93d-c38df0a8c1f3</stp>
        <tr r="G2740" s="2"/>
      </tp>
    </main>
    <main first="rtdsrv_a82eb5a1fc404542a18b1336b70d2c4e">
      <tp>
        <v>5</v>
        <stp/>
        <stp>e5ad2f9b-7cb7-47c2-abce-9e660c750a6f</stp>
        <tr r="G5364" s="2"/>
      </tp>
    </main>
    <main first="rtdsrv_a82eb5a1fc404542a18b1336b70d2c4e">
      <tp>
        <v>5</v>
        <stp/>
        <stp>253a2675-ebc3-4786-9f02-82b73cfd7c96</stp>
        <tr r="G5349" s="2"/>
      </tp>
      <tp>
        <v>5</v>
        <stp/>
        <stp>709b8685-7b55-45bf-b1f9-114a03041a78</stp>
        <tr r="G2107" s="2"/>
      </tp>
      <tp>
        <v>5</v>
        <stp/>
        <stp>f8ec2588-b4c5-4904-829c-d65766ba8045</stp>
        <tr r="G2922" s="2"/>
      </tp>
      <tp>
        <v>5</v>
        <stp/>
        <stp>bec63586-6289-43c0-af5d-0fe43d0ba31f</stp>
        <tr r="G1818" s="2"/>
      </tp>
    </main>
    <main first="rtdsrv_a82eb5a1fc404542a18b1336b70d2c4e">
      <tp>
        <v>5</v>
        <stp/>
        <stp>c2552c68-ade7-488e-accf-e6a0c6976d30</stp>
        <tr r="G8676" s="2"/>
      </tp>
    </main>
    <main first="rtdsrv_a82eb5a1fc404542a18b1336b70d2c4e">
      <tp>
        <v>5</v>
        <stp/>
        <stp>02cb0703-36c0-4680-a1e9-4de00f1ac3b8</stp>
        <tr r="G9444" s="2"/>
      </tp>
    </main>
    <main first="rtdsrv_a82eb5a1fc404542a18b1336b70d2c4e">
      <tp>
        <v>5</v>
        <stp/>
        <stp>c31b5022-259e-4555-aff4-b49af05b84d6</stp>
        <tr r="G410" s="2"/>
      </tp>
      <tp>
        <v>5</v>
        <stp/>
        <stp>8ae84d73-04ff-4164-871c-8ee9f790003e</stp>
        <tr r="G5306" s="2"/>
      </tp>
    </main>
    <main first="rtdsrv_a82eb5a1fc404542a18b1336b70d2c4e">
      <tp>
        <v>5</v>
        <stp/>
        <stp>975bb591-fa4e-46b2-bc78-6b1d4474fe98</stp>
        <tr r="G5761" s="2"/>
      </tp>
      <tp>
        <v>5</v>
        <stp/>
        <stp>328fa8dc-ca88-4fcf-bda7-077002da0933</stp>
        <tr r="G3075" s="2"/>
      </tp>
      <tp>
        <v>5</v>
        <stp/>
        <stp>b8dd6c12-a416-4978-996b-1779c3f22b87</stp>
        <tr r="G8793" s="2"/>
      </tp>
    </main>
    <main first="rtdsrv_a82eb5a1fc404542a18b1336b70d2c4e">
      <tp>
        <v>5</v>
        <stp/>
        <stp>747b148d-2f0c-43ad-b4ba-ed627fb39d7b</stp>
        <tr r="G1473" s="2"/>
      </tp>
      <tp>
        <v>5</v>
        <stp/>
        <stp>c613e3e3-d02a-48ff-9bee-266457e0d192</stp>
        <tr r="G1714" s="2"/>
      </tp>
    </main>
    <main first="rtdsrv_a82eb5a1fc404542a18b1336b70d2c4e">
      <tp>
        <v>5</v>
        <stp/>
        <stp>affd203f-f025-4fa9-954c-d8e914143c9b</stp>
        <tr r="G2029" s="2"/>
      </tp>
    </main>
    <main first="rtdsrv_a82eb5a1fc404542a18b1336b70d2c4e">
      <tp>
        <v>5</v>
        <stp/>
        <stp>3dd97a62-e4f4-434b-b45d-4b6fabf19e9f</stp>
        <tr r="G172" s="2"/>
      </tp>
      <tp>
        <v>5</v>
        <stp/>
        <stp>1607188c-c3af-40b8-9751-5c698f4097c8</stp>
        <tr r="G9024" s="2"/>
      </tp>
      <tp>
        <v>5</v>
        <stp/>
        <stp>7a74f2e8-7826-4e40-bf5f-93eaacddfcf7</stp>
        <tr r="G1011" s="2"/>
      </tp>
      <tp>
        <v>5</v>
        <stp/>
        <stp>7aeecf52-c099-46a7-98c1-7b6c3251129d</stp>
        <tr r="G6983" s="2"/>
      </tp>
    </main>
    <main first="rtdsrv_a82eb5a1fc404542a18b1336b70d2c4e">
      <tp>
        <v>5</v>
        <stp/>
        <stp>609696ac-293a-4d95-8591-88cf07ab6e9b</stp>
        <tr r="G5772" s="2"/>
      </tp>
    </main>
    <main first="rtdsrv_a82eb5a1fc404542a18b1336b70d2c4e">
      <tp>
        <v>5</v>
        <stp/>
        <stp>219510ea-74c8-4413-adf6-104343d1d2e8</stp>
        <tr r="G109" s="2"/>
      </tp>
      <tp>
        <v>5</v>
        <stp/>
        <stp>350d67db-4c9f-4ca5-8f61-519d0d1a12e8</stp>
        <tr r="G9218" s="2"/>
      </tp>
    </main>
    <main first="rtdsrv_a82eb5a1fc404542a18b1336b70d2c4e">
      <tp>
        <v>5</v>
        <stp/>
        <stp>ea179f8a-7a40-4287-9b22-064f2f63f73f</stp>
        <tr r="G4707" s="2"/>
      </tp>
      <tp>
        <v>5</v>
        <stp/>
        <stp>fd1ccd64-c280-4ed2-800d-86602d473a71</stp>
        <tr r="G894" s="2"/>
      </tp>
      <tp>
        <v>5</v>
        <stp/>
        <stp>486cca5d-0c36-4813-a933-eb1b1a393852</stp>
        <tr r="G7582" s="2"/>
      </tp>
      <tp>
        <v>5</v>
        <stp/>
        <stp>d51ce42e-e5eb-4360-8922-fe463dd9e50b</stp>
        <tr r="G1440" s="2"/>
      </tp>
    </main>
    <main first="rtdsrv_a82eb5a1fc404542a18b1336b70d2c4e">
      <tp>
        <v>5</v>
        <stp/>
        <stp>d9a21c87-d303-49a8-b7a6-222b17974039</stp>
        <tr r="G508" s="2"/>
      </tp>
      <tp>
        <v>5</v>
        <stp/>
        <stp>fd6441fa-b3ab-46c3-94d0-41a7603623e9</stp>
        <tr r="G3362" s="2"/>
      </tp>
      <tp>
        <v>5</v>
        <stp/>
        <stp>6eb47637-23e3-4aff-adff-65bd202b560c</stp>
        <tr r="G7334" s="2"/>
      </tp>
      <tp>
        <v>5</v>
        <stp/>
        <stp>6f79ed88-13c2-4b22-90bf-9c837463df01</stp>
        <tr r="G8058" s="2"/>
      </tp>
      <tp>
        <v>5</v>
        <stp/>
        <stp>018f64d2-af3a-4de5-a310-169ac241b6c9</stp>
        <tr r="G2878" s="2"/>
      </tp>
      <tp>
        <v>5</v>
        <stp/>
        <stp>d29f1b5b-c9f0-431f-ad2f-f748d0326201</stp>
        <tr r="G1941" s="2"/>
      </tp>
      <tp>
        <v>5</v>
        <stp/>
        <stp>1c420437-19ba-407b-a7ea-2e8cf24cfd7c</stp>
        <tr r="G2401" s="2"/>
      </tp>
      <tp>
        <v>5</v>
        <stp/>
        <stp>280eb3f8-0e34-4568-b0c0-abd92454ad6b</stp>
        <tr r="G1465" s="2"/>
      </tp>
      <tp>
        <v>5</v>
        <stp/>
        <stp>0a10e7ba-eea3-414f-ba29-a1921676d2e8</stp>
        <tr r="G1602" s="2"/>
      </tp>
    </main>
    <main first="rtdsrv_a82eb5a1fc404542a18b1336b70d2c4e">
      <tp>
        <v>5</v>
        <stp/>
        <stp>7e3974c7-cc89-4092-9b0f-6afa1f4d1ecc</stp>
        <tr r="G676" s="2"/>
      </tp>
      <tp>
        <v>5</v>
        <stp/>
        <stp>2925585f-5a3f-4d61-8873-24032551ea4d</stp>
        <tr r="G7240" s="2"/>
      </tp>
      <tp>
        <v>5</v>
        <stp/>
        <stp>eb74268e-2c5a-4822-8ff9-ef2704398200</stp>
        <tr r="G1242" s="2"/>
      </tp>
    </main>
    <main first="rtdsrv_a82eb5a1fc404542a18b1336b70d2c4e">
      <tp>
        <v>5</v>
        <stp/>
        <stp>d6120364-3a29-4fb1-950e-cacc7a496e14</stp>
        <tr r="G7196" s="2"/>
      </tp>
      <tp>
        <v>5</v>
        <stp/>
        <stp>d685919d-d62e-4e52-8da3-a12726289ea7</stp>
        <tr r="G8533" s="2"/>
      </tp>
    </main>
    <main first="rtdsrv_a82eb5a1fc404542a18b1336b70d2c4e">
      <tp>
        <v>5</v>
        <stp/>
        <stp>d2354c23-f042-4bbe-a43b-1b2acd58851d</stp>
        <tr r="G6464" s="2"/>
      </tp>
      <tp>
        <v>5</v>
        <stp/>
        <stp>86c88eb3-72bb-47f6-a6f0-5e5c1b00aaca</stp>
        <tr r="G1385" s="2"/>
      </tp>
    </main>
    <main first="rtdsrv_a82eb5a1fc404542a18b1336b70d2c4e">
      <tp>
        <v>5</v>
        <stp/>
        <stp>377df410-fdeb-4a1e-81a4-73d85ac3ca46</stp>
        <tr r="G5645" s="2"/>
      </tp>
      <tp>
        <v>5</v>
        <stp/>
        <stp>a2b80f81-3b78-4172-8b3d-449a13ae63ad</stp>
        <tr r="G776" s="2"/>
      </tp>
      <tp>
        <v>5</v>
        <stp/>
        <stp>ad79c1ea-805d-408a-8ab1-9968af152c19</stp>
        <tr r="G5632" s="2"/>
      </tp>
      <tp>
        <v>5</v>
        <stp/>
        <stp>9a195346-6a11-4a95-8b47-7aeb45edec60</stp>
        <tr r="G7232" s="2"/>
      </tp>
      <tp>
        <v>5</v>
        <stp/>
        <stp>e44f017f-355a-46a8-aced-49dda0d0c07d</stp>
        <tr r="G6309" s="2"/>
      </tp>
      <tp>
        <v>5</v>
        <stp/>
        <stp>46633bb1-f4f3-4e1f-84db-20277c1ef1d7</stp>
        <tr r="G314" s="2"/>
      </tp>
      <tp>
        <v>5</v>
        <stp/>
        <stp>1ee5801d-37c1-49bb-9214-e0bfa4189ca3</stp>
        <tr r="G1208" s="2"/>
      </tp>
    </main>
    <main first="rtdsrv_a82eb5a1fc404542a18b1336b70d2c4e">
      <tp>
        <v>5</v>
        <stp/>
        <stp>f5239b5d-3465-442b-8602-a058b6377bab</stp>
        <tr r="G6607" s="2"/>
      </tp>
      <tp>
        <v>5</v>
        <stp/>
        <stp>1fd7d632-4c81-4e31-b24e-dd0bee39024c</stp>
        <tr r="G1406" s="2"/>
      </tp>
      <tp>
        <v>5</v>
        <stp/>
        <stp>7e004dd4-2e78-4bcb-bcf8-9283b56e4baf</stp>
        <tr r="G9418" s="2"/>
      </tp>
    </main>
    <main first="rtdsrv_a82eb5a1fc404542a18b1336b70d2c4e">
      <tp>
        <v>5</v>
        <stp/>
        <stp>b3dcbe83-c26a-4b4a-85cb-bc9e4255d4fc</stp>
        <tr r="G701" s="2"/>
      </tp>
    </main>
    <main first="rtdsrv_a82eb5a1fc404542a18b1336b70d2c4e">
      <tp>
        <v>5</v>
        <stp/>
        <stp>4162f5a9-99c3-4c69-847f-e5551fbe9296</stp>
        <tr r="G2169" s="2"/>
      </tp>
    </main>
    <main first="rtdsrv_a82eb5a1fc404542a18b1336b70d2c4e">
      <tp>
        <v>5</v>
        <stp/>
        <stp>3459a158-2051-466c-b955-5df086d38aa0</stp>
        <tr r="G3342" s="2"/>
      </tp>
      <tp>
        <v>5</v>
        <stp/>
        <stp>ddd04048-3015-41d5-ae7f-1e3bc6021dce</stp>
        <tr r="G5280" s="2"/>
      </tp>
      <tp>
        <v>5</v>
        <stp/>
        <stp>7d5c521b-c7e7-453b-951a-b21a83cd25f3</stp>
        <tr r="G4328" s="2"/>
      </tp>
      <tp>
        <v>5</v>
        <stp/>
        <stp>e74d41ac-8350-4078-8b11-24fbb5fbcd1d</stp>
        <tr r="G6602" s="2"/>
      </tp>
      <tp>
        <v>5</v>
        <stp/>
        <stp>fbe181c5-d64c-496e-845a-90ec3ce50f78</stp>
        <tr r="G2912" s="2"/>
      </tp>
      <tp>
        <v>5</v>
        <stp/>
        <stp>91167940-8496-446a-b341-62108759e2b8</stp>
        <tr r="G7396" s="2"/>
      </tp>
      <tp>
        <v>5</v>
        <stp/>
        <stp>23084d72-d425-4de2-b413-3afde22b212c</stp>
        <tr r="G9819" s="2"/>
      </tp>
      <tp>
        <v>5</v>
        <stp/>
        <stp>74a5152b-5039-44b5-ae1b-1444a7a03a31</stp>
        <tr r="G2832" s="2"/>
      </tp>
      <tp>
        <v>5</v>
        <stp/>
        <stp>06e8666c-e2ec-4e4c-9fb3-129c8e566a92</stp>
        <tr r="G4161" s="2"/>
      </tp>
      <tp>
        <v>5</v>
        <stp/>
        <stp>d9b75774-813e-4993-9ebb-94aa07f256fe</stp>
        <tr r="G8520" s="2"/>
      </tp>
      <tp>
        <v>5</v>
        <stp/>
        <stp>3c131669-6204-4d47-9964-90e4661a4624</stp>
        <tr r="G1817" s="2"/>
      </tp>
      <tp>
        <v>5</v>
        <stp/>
        <stp>9aba052f-6cf0-4246-9652-6f429309ffba</stp>
        <tr r="G8129" s="2"/>
      </tp>
      <tp>
        <v>5</v>
        <stp/>
        <stp>94da6cf0-61f6-437a-b572-9b5f0f2a8aab</stp>
        <tr r="G2288" s="2"/>
      </tp>
    </main>
    <main first="rtdsrv_a82eb5a1fc404542a18b1336b70d2c4e">
      <tp>
        <v>5</v>
        <stp/>
        <stp>13befe1e-3839-4821-a141-53701b933c3f</stp>
        <tr r="G6317" s="2"/>
      </tp>
    </main>
    <main first="rtdsrv_a82eb5a1fc404542a18b1336b70d2c4e">
      <tp>
        <v>5</v>
        <stp/>
        <stp>6ec0537f-da8a-4437-8e41-430da4aaad21</stp>
        <tr r="G8346" s="2"/>
      </tp>
    </main>
    <main first="rtdsrv_a82eb5a1fc404542a18b1336b70d2c4e">
      <tp>
        <v>5</v>
        <stp/>
        <stp>0a60fc36-3047-4d47-8237-d6e65c169212</stp>
        <tr r="G6288" s="2"/>
      </tp>
      <tp>
        <v>5</v>
        <stp/>
        <stp>3e751b60-6bf1-4f94-881d-2fe0c0acb0d3</stp>
        <tr r="G8571" s="2"/>
      </tp>
    </main>
    <main first="rtdsrv_a82eb5a1fc404542a18b1336b70d2c4e">
      <tp>
        <v>5</v>
        <stp/>
        <stp>c32ab736-4830-4429-a468-5c63693867ce</stp>
        <tr r="G531" s="2"/>
      </tp>
    </main>
    <main first="rtdsrv_a82eb5a1fc404542a18b1336b70d2c4e">
      <tp>
        <v>5</v>
        <stp/>
        <stp>80e56ca8-42f1-4845-9450-011f053b01c6</stp>
        <tr r="G4213" s="2"/>
      </tp>
    </main>
    <main first="rtdsrv_a82eb5a1fc404542a18b1336b70d2c4e">
      <tp>
        <v>5</v>
        <stp/>
        <stp>fb2ce654-01ec-4bb9-8247-287c4e377fbf</stp>
        <tr r="G9866" s="2"/>
      </tp>
      <tp>
        <v>5</v>
        <stp/>
        <stp>cfa6782b-c7fa-45aa-b500-a9b98a014fa7</stp>
        <tr r="G7212" s="2"/>
      </tp>
      <tp>
        <v>5</v>
        <stp/>
        <stp>a40fcbf5-3f4a-4d3b-a073-aea2fc7f4d50</stp>
        <tr r="G5449" s="2"/>
      </tp>
      <tp>
        <v>5</v>
        <stp/>
        <stp>5fed404c-bcea-4a9f-987f-c0593a954f84</stp>
        <tr r="G3559" s="2"/>
      </tp>
      <tp>
        <v>5</v>
        <stp/>
        <stp>60ed6bda-e261-42ad-9521-3a0baaa7e33c</stp>
        <tr r="G2759" s="2"/>
      </tp>
      <tp>
        <v>5</v>
        <stp/>
        <stp>93b70d1a-6a9a-486a-923e-6a42541f4422</stp>
        <tr r="G8389" s="2"/>
      </tp>
      <tp>
        <v>5</v>
        <stp/>
        <stp>9458fb5b-a6d8-46ed-bb2c-0b84cd50258f</stp>
        <tr r="G8170" s="2"/>
      </tp>
      <tp>
        <v>5</v>
        <stp/>
        <stp>63a18df1-ce97-4b90-acf2-fcc78f5a95fe</stp>
        <tr r="G5351" s="2"/>
      </tp>
      <tp>
        <v>5</v>
        <stp/>
        <stp>a3c5b94d-728f-4674-9de7-0bbe4838cdc1</stp>
        <tr r="G228" s="2"/>
      </tp>
      <tp>
        <v>5</v>
        <stp/>
        <stp>1ed7eaa6-ab0a-424b-8e01-ff66b7314436</stp>
        <tr r="G2525" s="2"/>
      </tp>
      <tp>
        <v>5</v>
        <stp/>
        <stp>7257793c-ac43-48b9-ae60-3ee59ffd846c</stp>
        <tr r="G3455" s="2"/>
      </tp>
      <tp>
        <v>5</v>
        <stp/>
        <stp>1622eebe-0af2-4616-adf1-366f2cbbc443</stp>
        <tr r="G5025" s="2"/>
      </tp>
      <tp>
        <v>5</v>
        <stp/>
        <stp>8546bbfa-4cec-4cde-98b6-f175075850e4</stp>
        <tr r="G9504" s="2"/>
      </tp>
    </main>
    <main first="rtdsrv_a82eb5a1fc404542a18b1336b70d2c4e">
      <tp>
        <v>5</v>
        <stp/>
        <stp>13ca1e0c-302e-461e-9579-ffa1c69fd5b5</stp>
        <tr r="G4884" s="2"/>
      </tp>
      <tp>
        <v>5</v>
        <stp/>
        <stp>8114ac24-db92-410d-af22-a22fcacc0ab3</stp>
        <tr r="G5754" s="2"/>
      </tp>
      <tp>
        <v>5</v>
        <stp/>
        <stp>a90de220-54a3-4287-b1f4-76a0f9a3b2b9</stp>
        <tr r="G8893" s="2"/>
      </tp>
      <tp>
        <v>5</v>
        <stp/>
        <stp>1e3f9595-a0db-4eca-93a8-dbad6045d17e</stp>
        <tr r="G9030" s="2"/>
      </tp>
      <tp>
        <v>5</v>
        <stp/>
        <stp>b3ea5f0a-76b2-4200-bd0a-360061a9573c</stp>
        <tr r="G6848" s="2"/>
      </tp>
      <tp>
        <v>5</v>
        <stp/>
        <stp>cd7371af-0b47-4883-8d12-255197f83750</stp>
        <tr r="G7990" s="2"/>
      </tp>
      <tp>
        <v>5</v>
        <stp/>
        <stp>303a3407-83b0-433a-9215-631b945459a0</stp>
        <tr r="G1072" s="2"/>
      </tp>
    </main>
    <main first="rtdsrv_a82eb5a1fc404542a18b1336b70d2c4e">
      <tp>
        <v>5</v>
        <stp/>
        <stp>b024f1bc-10cb-4df7-ba53-1eec72b9e743</stp>
        <tr r="G3785" s="2"/>
      </tp>
    </main>
    <main first="rtdsrv_a82eb5a1fc404542a18b1336b70d2c4e">
      <tp>
        <v>5</v>
        <stp/>
        <stp>d8e1068d-8a31-4b06-a3be-89e588d7719b</stp>
        <tr r="G3905" s="2"/>
      </tp>
      <tp>
        <v>5</v>
        <stp/>
        <stp>ad94708a-9d2c-484f-817b-c41ef9eeec2b</stp>
        <tr r="G3015" s="2"/>
      </tp>
      <tp>
        <v>5</v>
        <stp/>
        <stp>1d5884d7-2d2b-4411-9d42-bafa30de6dd2</stp>
        <tr r="G9744" s="2"/>
      </tp>
      <tp>
        <v>5</v>
        <stp/>
        <stp>6bce32a7-7ec1-40d1-8a0d-16beb699049b</stp>
        <tr r="G7505" s="2"/>
      </tp>
    </main>
    <main first="rtdsrv_a82eb5a1fc404542a18b1336b70d2c4e">
      <tp>
        <v>5</v>
        <stp/>
        <stp>c762bb88-c3f2-4a7f-99a0-3cfecc244c8b</stp>
        <tr r="G5264" s="2"/>
      </tp>
      <tp>
        <v>5</v>
        <stp/>
        <stp>124694af-4043-43d6-bd31-45167bf432b6</stp>
        <tr r="G7042" s="2"/>
      </tp>
      <tp>
        <v>5</v>
        <stp/>
        <stp>0cd6f208-0a65-4eda-9a31-8896689ddae7</stp>
        <tr r="G7710" s="2"/>
      </tp>
      <tp>
        <v>5</v>
        <stp/>
        <stp>bb4ffd83-b1f9-4692-bc56-ff8925486bfd</stp>
        <tr r="G7303" s="2"/>
      </tp>
    </main>
    <main first="rtdsrv_a82eb5a1fc404542a18b1336b70d2c4e">
      <tp>
        <v>5</v>
        <stp/>
        <stp>75981eb8-3572-4516-815a-1a570ccaa08a</stp>
        <tr r="G9393" s="2"/>
      </tp>
    </main>
    <main first="rtdsrv_a82eb5a1fc404542a18b1336b70d2c4e">
      <tp>
        <v>5</v>
        <stp/>
        <stp>ca5486ba-481e-4f3c-9e04-88930b1b982e</stp>
        <tr r="G794" s="2"/>
      </tp>
    </main>
    <main first="rtdsrv_a82eb5a1fc404542a18b1336b70d2c4e">
      <tp>
        <v>5</v>
        <stp/>
        <stp>209a8fbb-0879-4944-a7a6-9f48957c927b</stp>
        <tr r="G2203" s="2"/>
      </tp>
      <tp>
        <v>5</v>
        <stp/>
        <stp>1590142a-9734-4c96-8849-3298c9da8c90</stp>
        <tr r="G8337" s="2"/>
      </tp>
      <tp>
        <v>5</v>
        <stp/>
        <stp>a8dc5de9-51ca-4bd3-b786-45f9ddbf5ac6</stp>
        <tr r="G8713" s="2"/>
      </tp>
      <tp>
        <v>5</v>
        <stp/>
        <stp>e03c0b46-8772-437f-9697-1ff1f4289523</stp>
        <tr r="G5085" s="2"/>
      </tp>
      <tp>
        <v>5</v>
        <stp/>
        <stp>a4c69b3e-6e6b-4c77-b54b-1a52c1504a65</stp>
        <tr r="G1588" s="2"/>
      </tp>
      <tp>
        <v>5</v>
        <stp/>
        <stp>ab658f2b-2126-493e-9537-a17263ff202b</stp>
        <tr r="G4651" s="2"/>
      </tp>
    </main>
    <main first="rtdsrv_a82eb5a1fc404542a18b1336b70d2c4e">
      <tp>
        <v>5</v>
        <stp/>
        <stp>63f5cacb-7518-4151-8c57-0f47d7c03b16</stp>
        <tr r="G7459" s="2"/>
      </tp>
    </main>
    <main first="rtdsrv_a82eb5a1fc404542a18b1336b70d2c4e">
      <tp>
        <v>5</v>
        <stp/>
        <stp>c2a468be-c4ad-4378-89f1-ae4e140564c0</stp>
        <tr r="G8522" s="2"/>
      </tp>
      <tp>
        <v>5</v>
        <stp/>
        <stp>73c663d0-70ca-44c6-94b2-adebdd14210e</stp>
        <tr r="G1656" s="2"/>
      </tp>
    </main>
    <main first="rtdsrv_a82eb5a1fc404542a18b1336b70d2c4e">
      <tp>
        <v>5</v>
        <stp/>
        <stp>27732e65-ed1c-4afb-9205-46904299f32b</stp>
        <tr r="G8495" s="2"/>
      </tp>
      <tp>
        <v>5</v>
        <stp/>
        <stp>cb3b2ad3-3485-46e5-baeb-4f5e5f7d72a8</stp>
        <tr r="G3088" s="2"/>
      </tp>
      <tp>
        <v>5</v>
        <stp/>
        <stp>8bbe0eba-f267-4953-b6f8-1018958b7ca6</stp>
        <tr r="G13" s="2"/>
      </tp>
    </main>
    <main first="rtdsrv_a82eb5a1fc404542a18b1336b70d2c4e">
      <tp>
        <v>5</v>
        <stp/>
        <stp>edf0cbc0-cd0a-4ad7-88cf-43190e2735fe</stp>
        <tr r="G3828" s="2"/>
      </tp>
      <tp>
        <v>5</v>
        <stp/>
        <stp>724c5412-7e3c-49f2-a2d0-0b9c8c97342b</stp>
        <tr r="G5390" s="2"/>
      </tp>
      <tp>
        <v>5</v>
        <stp/>
        <stp>7a6b1f23-0aa4-4bd0-866c-762c67d77b24</stp>
        <tr r="G5061" s="2"/>
      </tp>
    </main>
    <main first="rtdsrv_a82eb5a1fc404542a18b1336b70d2c4e">
      <tp>
        <v>5</v>
        <stp/>
        <stp>eeb6b4ff-b6a6-488e-bb62-d4f426faf0b4</stp>
        <tr r="G9929" s="2"/>
      </tp>
    </main>
    <main first="rtdsrv_a82eb5a1fc404542a18b1336b70d2c4e">
      <tp>
        <v>5</v>
        <stp/>
        <stp>92607cb3-54fb-435d-b63d-0b0b1227e1d8</stp>
        <tr r="G7754" s="2"/>
      </tp>
      <tp>
        <v>5</v>
        <stp/>
        <stp>dcd6a7e4-b41d-4996-a360-049b2dfcc483</stp>
        <tr r="G1748" s="2"/>
      </tp>
    </main>
    <main first="rtdsrv_a82eb5a1fc404542a18b1336b70d2c4e">
      <tp>
        <v>5</v>
        <stp/>
        <stp>47b4e394-8b42-46a8-bcb4-9b6a87904aa0</stp>
        <tr r="G6340" s="2"/>
      </tp>
      <tp>
        <v>5</v>
        <stp/>
        <stp>087ad75f-b6a2-4e6b-a787-a6b2a72eed07</stp>
        <tr r="G1153" s="2"/>
      </tp>
    </main>
    <main first="rtdsrv_a82eb5a1fc404542a18b1336b70d2c4e">
      <tp>
        <v>5</v>
        <stp/>
        <stp>ae1071e5-75d0-4350-9efa-70ff631a4d4e</stp>
        <tr r="G3148" s="2"/>
      </tp>
      <tp>
        <v>5</v>
        <stp/>
        <stp>5cdea26c-bb59-4e02-b7aa-1e826c8d4424</stp>
        <tr r="G5159" s="2"/>
      </tp>
      <tp>
        <v>5</v>
        <stp/>
        <stp>23369bb7-8967-459e-a381-536436862c46</stp>
        <tr r="G136" s="2"/>
      </tp>
      <tp>
        <v>5</v>
        <stp/>
        <stp>bf595f31-bc38-4580-80be-8337f55d3de5</stp>
        <tr r="G6668" s="2"/>
      </tp>
      <tp>
        <v>5</v>
        <stp/>
        <stp>45b4fb70-4dcf-4415-b835-c2ba9d01aa50</stp>
        <tr r="G4091" s="2"/>
      </tp>
      <tp>
        <v>5</v>
        <stp/>
        <stp>e0dbcac7-017f-4136-b752-1e5d564d0cfc</stp>
        <tr r="G9795" s="2"/>
      </tp>
    </main>
    <main first="rtdsrv_a82eb5a1fc404542a18b1336b70d2c4e">
      <tp>
        <v>5</v>
        <stp/>
        <stp>6b6f400f-68f7-4611-90c3-28c47e8ed95d</stp>
        <tr r="G1375" s="2"/>
      </tp>
    </main>
    <main first="rtdsrv_a82eb5a1fc404542a18b1336b70d2c4e">
      <tp>
        <v>5</v>
        <stp/>
        <stp>a5ca57ea-8a62-420e-9a84-5593fa0cba92</stp>
        <tr r="G5379" s="2"/>
      </tp>
    </main>
    <main first="rtdsrv_a82eb5a1fc404542a18b1336b70d2c4e">
      <tp>
        <v>5</v>
        <stp/>
        <stp>34f694d7-fbc0-40e1-9097-8a6cc9fe3dd4</stp>
        <tr r="G3237" s="2"/>
      </tp>
    </main>
    <main first="rtdsrv_a82eb5a1fc404542a18b1336b70d2c4e">
      <tp>
        <v>5</v>
        <stp/>
        <stp>46a08702-d197-494b-9bce-d841509c614f</stp>
        <tr r="G1154" s="2"/>
      </tp>
    </main>
    <main first="rtdsrv_a82eb5a1fc404542a18b1336b70d2c4e">
      <tp>
        <v>5</v>
        <stp/>
        <stp>108c6842-4670-4355-8260-3a71ee449f5a</stp>
        <tr r="G2802" s="2"/>
      </tp>
    </main>
    <main first="rtdsrv_a82eb5a1fc404542a18b1336b70d2c4e">
      <tp>
        <v>5</v>
        <stp/>
        <stp>579f3779-9f8b-4c25-99a5-7c16d245bad4</stp>
        <tr r="G9990" s="2"/>
      </tp>
      <tp>
        <v>5</v>
        <stp/>
        <stp>d922b517-a111-4205-84f8-357fef77806e</stp>
        <tr r="G4422" s="2"/>
      </tp>
      <tp>
        <v>5</v>
        <stp/>
        <stp>3bb819be-df58-413c-aaaf-8e655d9c9a3e</stp>
        <tr r="G7061" s="2"/>
      </tp>
      <tp>
        <v>5</v>
        <stp/>
        <stp>cc65ad0a-9acf-4b0e-83dc-035cb45c0e89</stp>
        <tr r="G3670" s="2"/>
      </tp>
    </main>
    <main first="rtdsrv_a82eb5a1fc404542a18b1336b70d2c4e">
      <tp>
        <v>5</v>
        <stp/>
        <stp>4b56f266-98ff-466e-8441-9c655122d728</stp>
        <tr r="G2345" s="2"/>
      </tp>
    </main>
    <main first="rtdsrv_a82eb5a1fc404542a18b1336b70d2c4e">
      <tp>
        <v>5</v>
        <stp/>
        <stp>7df4139e-2065-4e7b-bea3-184fdb1c6ae8</stp>
        <tr r="G8559" s="2"/>
      </tp>
    </main>
    <main first="rtdsrv_a82eb5a1fc404542a18b1336b70d2c4e">
      <tp>
        <v>5</v>
        <stp/>
        <stp>a6244cad-c343-4f18-ac9c-918798eafcc1</stp>
        <tr r="G9878" s="2"/>
      </tp>
    </main>
    <main first="rtdsrv_a82eb5a1fc404542a18b1336b70d2c4e">
      <tp>
        <v>5</v>
        <stp/>
        <stp>77f0288f-17ac-453a-ac47-3bd02a5cf525</stp>
        <tr r="G7672" s="2"/>
      </tp>
    </main>
    <main first="rtdsrv_a82eb5a1fc404542a18b1336b70d2c4e">
      <tp>
        <v>5</v>
        <stp/>
        <stp>ab7ed614-e5fb-49ed-98d9-400adda5e8fd</stp>
        <tr r="G7423" s="2"/>
      </tp>
      <tp>
        <v>5</v>
        <stp/>
        <stp>c6f1b44d-c60d-45f4-ae46-ce9bb8353aef</stp>
        <tr r="G696" s="2"/>
      </tp>
    </main>
    <main first="rtdsrv_a82eb5a1fc404542a18b1336b70d2c4e">
      <tp>
        <v>5</v>
        <stp/>
        <stp>61e4cca9-776c-487f-88d1-771229928477</stp>
        <tr r="G6451" s="2"/>
      </tp>
    </main>
    <main first="rtdsrv_a82eb5a1fc404542a18b1336b70d2c4e">
      <tp>
        <v>5</v>
        <stp/>
        <stp>d8438e47-a8a1-4a17-af33-19e84d0d98ce</stp>
        <tr r="G1678" s="2"/>
      </tp>
    </main>
    <main first="rtdsrv_a82eb5a1fc404542a18b1336b70d2c4e">
      <tp>
        <v>5</v>
        <stp/>
        <stp>58d27737-b48e-4b3e-8bf5-7ec5d5145c98</stp>
        <tr r="G449" s="2"/>
      </tp>
      <tp>
        <v>5</v>
        <stp/>
        <stp>28ae1060-484c-423c-953a-bbfb0a7b52b4</stp>
        <tr r="G8036" s="2"/>
      </tp>
    </main>
    <main first="rtdsrv_a82eb5a1fc404542a18b1336b70d2c4e">
      <tp>
        <v>5</v>
        <stp/>
        <stp>a15d115e-3472-48cc-8302-191711021595</stp>
        <tr r="G9431" s="2"/>
      </tp>
      <tp>
        <v>5</v>
        <stp/>
        <stp>814acfd8-1838-4187-b1c5-36d898cd2adb</stp>
        <tr r="G1404" s="2"/>
      </tp>
    </main>
    <main first="rtdsrv_a82eb5a1fc404542a18b1336b70d2c4e">
      <tp>
        <v>5</v>
        <stp/>
        <stp>c1761df5-c0ed-4329-97a2-22c06490e57d</stp>
        <tr r="G8089" s="2"/>
      </tp>
    </main>
    <main first="rtdsrv_a82eb5a1fc404542a18b1336b70d2c4e">
      <tp>
        <v>5</v>
        <stp/>
        <stp>3a89e333-0e01-424d-af9b-c55dae2b725e</stp>
        <tr r="G1245" s="2"/>
      </tp>
    </main>
    <main first="rtdsrv_a82eb5a1fc404542a18b1336b70d2c4e">
      <tp>
        <v>5</v>
        <stp/>
        <stp>e6bb022e-8e58-4276-b661-0553426cbf99</stp>
        <tr r="G2283" s="2"/>
      </tp>
      <tp>
        <v>5</v>
        <stp/>
        <stp>c17c2018-b1e6-44a9-9826-a035b742828b</stp>
        <tr r="G5618" s="2"/>
      </tp>
      <tp>
        <v>5</v>
        <stp/>
        <stp>fb98ad38-2f73-4f63-b033-aeb2952e6914</stp>
        <tr r="G7518" s="2"/>
      </tp>
    </main>
    <main first="rtdsrv_a82eb5a1fc404542a18b1336b70d2c4e">
      <tp>
        <v>5</v>
        <stp/>
        <stp>adcc5948-7ac9-4de3-9b78-bfec903e0ef2</stp>
        <tr r="G9786" s="2"/>
      </tp>
    </main>
    <main first="rtdsrv_a82eb5a1fc404542a18b1336b70d2c4e">
      <tp>
        <v>5</v>
        <stp/>
        <stp>9210297b-6e8f-4d87-aa58-130e43d77b1a</stp>
        <tr r="G5446" s="2"/>
      </tp>
      <tp>
        <v>5</v>
        <stp/>
        <stp>80320c11-c9ff-48d5-aa85-d0b4fbf7824b</stp>
        <tr r="G6446" s="2"/>
      </tp>
    </main>
    <main first="rtdsrv_a82eb5a1fc404542a18b1336b70d2c4e">
      <tp>
        <v>5</v>
        <stp/>
        <stp>86345492-128a-49ae-9c4a-2983cdf14b9d</stp>
        <tr r="G7085" s="2"/>
      </tp>
      <tp>
        <v>5</v>
        <stp/>
        <stp>e3398dcf-af21-437c-b715-c96cb19d412b</stp>
        <tr r="G2893" s="2"/>
      </tp>
      <tp>
        <v>5</v>
        <stp/>
        <stp>6fa8750f-a27c-4b48-b322-5a19fbf10f88</stp>
        <tr r="G1860" s="2"/>
      </tp>
    </main>
    <main first="rtdsrv_a82eb5a1fc404542a18b1336b70d2c4e">
      <tp>
        <v>5</v>
        <stp/>
        <stp>57cca9e0-88fe-4c3e-b8f4-1a5871337839</stp>
        <tr r="G4400" s="2"/>
      </tp>
      <tp>
        <v>5</v>
        <stp/>
        <stp>5d078f43-f341-4811-8deb-193ebea6118c</stp>
        <tr r="G8326" s="2"/>
      </tp>
    </main>
    <main first="rtdsrv_a82eb5a1fc404542a18b1336b70d2c4e">
      <tp>
        <v>5</v>
        <stp/>
        <stp>b4bc085d-462b-41b1-a062-07738bc7d78b</stp>
        <tr r="G5011" s="2"/>
      </tp>
    </main>
    <main first="rtdsrv_a82eb5a1fc404542a18b1336b70d2c4e">
      <tp>
        <v>5</v>
        <stp/>
        <stp>7296ea5f-6cb6-4390-98b1-a35a181f7ae2</stp>
        <tr r="G6138" s="2"/>
      </tp>
      <tp>
        <v>5</v>
        <stp/>
        <stp>e164ddb1-4922-4cd3-8e82-220f9c549fe3</stp>
        <tr r="G2864" s="2"/>
      </tp>
    </main>
    <main first="rtdsrv_a82eb5a1fc404542a18b1336b70d2c4e">
      <tp>
        <v>5</v>
        <stp/>
        <stp>2269019f-435a-4eed-a58d-f75fad163ec4</stp>
        <tr r="G3477" s="2"/>
      </tp>
      <tp>
        <v>5</v>
        <stp/>
        <stp>6ad65e84-f0b5-4351-a49e-5f2202b77cfc</stp>
        <tr r="G3008" s="2"/>
      </tp>
    </main>
    <main first="rtdsrv_a82eb5a1fc404542a18b1336b70d2c4e">
      <tp>
        <v>5</v>
        <stp/>
        <stp>e878af7c-e715-4856-b003-3bfbf4dc369f</stp>
        <tr r="G2409" s="2"/>
      </tp>
    </main>
    <main first="rtdsrv_a82eb5a1fc404542a18b1336b70d2c4e">
      <tp>
        <v>5</v>
        <stp/>
        <stp>8cd79d76-264e-4469-b568-751e3aabd326</stp>
        <tr r="G2672" s="2"/>
      </tp>
    </main>
    <main first="rtdsrv_a82eb5a1fc404542a18b1336b70d2c4e">
      <tp>
        <v>5</v>
        <stp/>
        <stp>60d45ceb-a677-4c48-8f67-7582bbed96b1</stp>
        <tr r="G9307" s="2"/>
      </tp>
      <tp>
        <v>5</v>
        <stp/>
        <stp>41a3e6d9-996b-4847-9270-1c0b777ce74b</stp>
        <tr r="G2060" s="2"/>
      </tp>
    </main>
    <main first="rtdsrv_a82eb5a1fc404542a18b1336b70d2c4e">
      <tp>
        <v>5</v>
        <stp/>
        <stp>d8967402-8108-4e39-a857-41d942e10f1c</stp>
        <tr r="G2890" s="2"/>
      </tp>
      <tp>
        <v>5</v>
        <stp/>
        <stp>26688491-0ef8-4ef6-bbcf-24e566cac828</stp>
        <tr r="G16" s="2"/>
      </tp>
    </main>
    <main first="rtdsrv_a82eb5a1fc404542a18b1336b70d2c4e">
      <tp>
        <v>5</v>
        <stp/>
        <stp>3c8ba772-8502-415f-88fe-b74586ed1066</stp>
        <tr r="G6271" s="2"/>
      </tp>
      <tp>
        <v>5</v>
        <stp/>
        <stp>24de9f59-b842-4475-a07a-95009c30d934</stp>
        <tr r="G7271" s="2"/>
      </tp>
    </main>
    <main first="rtdsrv_a82eb5a1fc404542a18b1336b70d2c4e">
      <tp>
        <v>5</v>
        <stp/>
        <stp>1528ffe6-91fa-47b5-abdb-a41f7b829056</stp>
        <tr r="G2145" s="2"/>
      </tp>
    </main>
    <main first="rtdsrv_a82eb5a1fc404542a18b1336b70d2c4e">
      <tp>
        <v>5</v>
        <stp/>
        <stp>f6b130e1-58bf-44fc-874b-2401e84f75ac</stp>
        <tr r="G1892" s="2"/>
      </tp>
    </main>
    <main first="rtdsrv_a82eb5a1fc404542a18b1336b70d2c4e">
      <tp>
        <v>5</v>
        <stp/>
        <stp>0644069f-6ca6-4bc5-8819-dccda89a244b</stp>
        <tr r="G2899" s="2"/>
      </tp>
      <tp>
        <v>5</v>
        <stp/>
        <stp>456e9316-19c9-46ea-949c-9527612436d2</stp>
        <tr r="G1699" s="2"/>
      </tp>
    </main>
    <main first="rtdsrv_a82eb5a1fc404542a18b1336b70d2c4e">
      <tp>
        <v>5</v>
        <stp/>
        <stp>e9de7e96-33e7-47ee-85d1-5a62ce4cd7d2</stp>
        <tr r="G9565" s="2"/>
      </tp>
    </main>
    <main first="rtdsrv_a82eb5a1fc404542a18b1336b70d2c4e">
      <tp>
        <v>5</v>
        <stp/>
        <stp>8c9e193f-59b9-45e1-88e5-df28376eb782</stp>
        <tr r="G2546" s="2"/>
      </tp>
      <tp>
        <v>5</v>
        <stp/>
        <stp>685a3d06-be71-429a-b443-e6d267978749</stp>
        <tr r="G3468" s="2"/>
      </tp>
      <tp>
        <v>5</v>
        <stp/>
        <stp>6e14453f-847d-454f-8ebb-666671abe691</stp>
        <tr r="G3727" s="2"/>
      </tp>
    </main>
    <main first="rtdsrv_a82eb5a1fc404542a18b1336b70d2c4e">
      <tp>
        <v>5</v>
        <stp/>
        <stp>fd9e6ef0-3181-43b1-96d5-29e7a4b2d7f7</stp>
        <tr r="G9745" s="2"/>
      </tp>
    </main>
    <main first="rtdsrv_a82eb5a1fc404542a18b1336b70d2c4e">
      <tp>
        <v>5</v>
        <stp/>
        <stp>a31da127-0d05-4b0a-9189-985c4777b9f0</stp>
        <tr r="G8770" s="2"/>
      </tp>
    </main>
    <main first="rtdsrv_a82eb5a1fc404542a18b1336b70d2c4e">
      <tp>
        <v>5</v>
        <stp/>
        <stp>0855140b-b753-4c57-8c4c-43c32b1c6a97</stp>
        <tr r="G4226" s="2"/>
      </tp>
      <tp>
        <v>5</v>
        <stp/>
        <stp>974840f7-79b1-43e8-93d4-7ab96f31c641</stp>
        <tr r="G1512" s="2"/>
      </tp>
      <tp>
        <v>5</v>
        <stp/>
        <stp>2d06557f-fa4f-42c7-adac-4438b993415f</stp>
        <tr r="G5691" s="2"/>
      </tp>
      <tp>
        <v>5</v>
        <stp/>
        <stp>35cf6a64-843a-4157-aa43-729a4872a8f9</stp>
        <tr r="G4575" s="2"/>
      </tp>
      <tp>
        <v>5</v>
        <stp/>
        <stp>b38284a2-6bc2-4758-a660-8604c1e2eee7</stp>
        <tr r="G627" s="2"/>
      </tp>
      <tp>
        <v>5</v>
        <stp/>
        <stp>94f70936-2821-42eb-b825-1596979460ce</stp>
        <tr r="G3976" s="2"/>
      </tp>
      <tp>
        <v>5</v>
        <stp/>
        <stp>a3aa1cf7-d3c8-45fb-b047-2f212a90683c</stp>
        <tr r="G9750" s="2"/>
      </tp>
    </main>
    <main first="rtdsrv_a82eb5a1fc404542a18b1336b70d2c4e">
      <tp>
        <v>5</v>
        <stp/>
        <stp>26d21932-a655-4595-a309-b5c26bf0dafa</stp>
        <tr r="G9040" s="2"/>
      </tp>
      <tp>
        <v>5</v>
        <stp/>
        <stp>b3355036-a24c-4a35-8350-d87f828b356a</stp>
        <tr r="G9801" s="2"/>
      </tp>
    </main>
    <main first="rtdsrv_a82eb5a1fc404542a18b1336b70d2c4e">
      <tp>
        <v>5</v>
        <stp/>
        <stp>530719df-254b-445c-b19b-fa4e68553f94</stp>
        <tr r="G3018" s="2"/>
      </tp>
      <tp>
        <v>5</v>
        <stp/>
        <stp>dd255ec8-8663-476d-8e76-b1c45c856e1d</stp>
        <tr r="G5433" s="2"/>
      </tp>
    </main>
    <main first="rtdsrv_a82eb5a1fc404542a18b1336b70d2c4e">
      <tp>
        <v>5</v>
        <stp/>
        <stp>ad8fc402-10c7-4603-8853-6855fc009a5b</stp>
        <tr r="G8654" s="2"/>
      </tp>
    </main>
    <main first="rtdsrv_a82eb5a1fc404542a18b1336b70d2c4e">
      <tp>
        <v>5</v>
        <stp/>
        <stp>37cc01f3-eb35-4574-bfe2-9bde7960343d</stp>
        <tr r="G7906" s="2"/>
      </tp>
      <tp>
        <v>5</v>
        <stp/>
        <stp>6938846a-0b9b-4677-a4ee-a74d464f6363</stp>
        <tr r="G8707" s="2"/>
      </tp>
    </main>
    <main first="rtdsrv_a82eb5a1fc404542a18b1336b70d2c4e">
      <tp>
        <v>5</v>
        <stp/>
        <stp>3a03905f-75ee-4ee2-a737-961218221405</stp>
        <tr r="G1550" s="2"/>
      </tp>
    </main>
    <main first="rtdsrv_a82eb5a1fc404542a18b1336b70d2c4e">
      <tp>
        <v>5</v>
        <stp/>
        <stp>921ff418-a648-473d-a224-90148d24e852</stp>
        <tr r="G4489" s="2"/>
      </tp>
    </main>
    <main first="rtdsrv_a82eb5a1fc404542a18b1336b70d2c4e">
      <tp>
        <v>5</v>
        <stp/>
        <stp>e0a0e960-02c4-42c3-9629-e2b08b99f534</stp>
        <tr r="G6832" s="2"/>
      </tp>
      <tp>
        <v>5</v>
        <stp/>
        <stp>b94371bf-1f88-47ac-85e6-7c1dd44c4572</stp>
        <tr r="G9056" s="2"/>
      </tp>
    </main>
    <main first="rtdsrv_a82eb5a1fc404542a18b1336b70d2c4e">
      <tp>
        <v>5</v>
        <stp/>
        <stp>da56d2c0-f8b1-43b3-9de8-9617102288a7</stp>
        <tr r="G2154" s="2"/>
      </tp>
    </main>
    <main first="rtdsrv_a82eb5a1fc404542a18b1336b70d2c4e">
      <tp>
        <v>5</v>
        <stp/>
        <stp>e2146ce2-62ac-4941-8690-4f517ffa8202</stp>
        <tr r="G1965" s="2"/>
      </tp>
      <tp>
        <v>5</v>
        <stp/>
        <stp>de8a7d2e-9bdd-4e7f-821e-08834842e249</stp>
        <tr r="G423" s="2"/>
      </tp>
      <tp>
        <v>5</v>
        <stp/>
        <stp>e12f1ddb-8c9c-4295-9d03-a749a1b293e8</stp>
        <tr r="G1317" s="2"/>
      </tp>
      <tp>
        <v>5</v>
        <stp/>
        <stp>84f8a9cd-60a3-4191-83bd-6dcb4f1f0766</stp>
        <tr r="G4433" s="2"/>
      </tp>
      <tp>
        <v>5</v>
        <stp/>
        <stp>42b462a2-f5fd-45ad-b29a-7eb36e268f25</stp>
        <tr r="G8804" s="2"/>
      </tp>
    </main>
    <main first="rtdsrv_a82eb5a1fc404542a18b1336b70d2c4e">
      <tp>
        <v>5</v>
        <stp/>
        <stp>0223832d-b334-4717-a043-787ac4f581dd</stp>
        <tr r="G6837" s="2"/>
      </tp>
    </main>
    <main first="rtdsrv_a82eb5a1fc404542a18b1336b70d2c4e">
      <tp>
        <v>5</v>
        <stp/>
        <stp>e5261e7f-5293-4523-a649-230f988e7434</stp>
        <tr r="G317" s="2"/>
      </tp>
    </main>
    <main first="rtdsrv_a82eb5a1fc404542a18b1336b70d2c4e">
      <tp>
        <v>5</v>
        <stp/>
        <stp>276372de-200f-4f84-a1e9-c69ca41ac9f6</stp>
        <tr r="G4947" s="2"/>
      </tp>
    </main>
    <main first="rtdsrv_a82eb5a1fc404542a18b1336b70d2c4e">
      <tp>
        <v>5</v>
        <stp/>
        <stp>41e6e20c-da98-4117-9395-a710ea313b68</stp>
        <tr r="G3169" s="2"/>
      </tp>
      <tp>
        <v>5</v>
        <stp/>
        <stp>95384ca0-44ac-4848-a8b5-b4680c3e32c0</stp>
        <tr r="G1261" s="2"/>
      </tp>
    </main>
    <main first="rtdsrv_a82eb5a1fc404542a18b1336b70d2c4e">
      <tp>
        <v>5</v>
        <stp/>
        <stp>1960b434-d92d-400f-9aa3-aaef1cee1198</stp>
        <tr r="G6385" s="2"/>
      </tp>
      <tp>
        <v>5</v>
        <stp/>
        <stp>e9da8406-a522-4d90-b7fb-6d3c9ae09bc5</stp>
        <tr r="G8785" s="2"/>
      </tp>
      <tp>
        <v>5</v>
        <stp/>
        <stp>9ea350d3-0b95-44e8-8d53-621ed1c4660b</stp>
        <tr r="G3289" s="2"/>
      </tp>
      <tp>
        <v>5</v>
        <stp/>
        <stp>16d81500-567c-420c-bc51-be7839fc7a43</stp>
        <tr r="G223" s="2"/>
      </tp>
    </main>
    <main first="rtdsrv_a82eb5a1fc404542a18b1336b70d2c4e">
      <tp>
        <v>5</v>
        <stp/>
        <stp>c8cebffc-70c5-45b3-9dbe-226814d20c44</stp>
        <tr r="G2701" s="2"/>
      </tp>
    </main>
    <main first="rtdsrv_a82eb5a1fc404542a18b1336b70d2c4e">
      <tp>
        <v>5</v>
        <stp/>
        <stp>364cd550-9334-4cb3-b037-26f07e6844c7</stp>
        <tr r="G1367" s="2"/>
      </tp>
    </main>
    <main first="rtdsrv_a82eb5a1fc404542a18b1336b70d2c4e">
      <tp>
        <v>5</v>
        <stp/>
        <stp>7965bed2-4c83-4d53-8bfd-207a0e0965da</stp>
        <tr r="G123" s="2"/>
      </tp>
      <tp>
        <v>5</v>
        <stp/>
        <stp>2bab89ab-6f00-47bc-8e51-f5ecc6101e56</stp>
        <tr r="G8819" s="2"/>
      </tp>
    </main>
    <main first="rtdsrv_a82eb5a1fc404542a18b1336b70d2c4e">
      <tp>
        <v>5</v>
        <stp/>
        <stp>21698328-14a0-40c8-b7e7-907c76b445ea</stp>
        <tr r="G7094" s="2"/>
      </tp>
      <tp>
        <v>5</v>
        <stp/>
        <stp>a9f46903-adb5-49fd-98e5-e6fc02cfb95f</stp>
        <tr r="G4799" s="2"/>
      </tp>
      <tp>
        <v>5</v>
        <stp/>
        <stp>6cb0df1f-8eca-4e8b-84d7-062661391a7a</stp>
        <tr r="G3823" s="2"/>
      </tp>
    </main>
    <main first="rtdsrv_a82eb5a1fc404542a18b1336b70d2c4e">
      <tp>
        <v>5</v>
        <stp/>
        <stp>8090be83-3cd9-4f48-aeab-50e1a16decd6</stp>
        <tr r="G827" s="2"/>
      </tp>
      <tp>
        <v>5</v>
        <stp/>
        <stp>3a929d0c-9da2-4806-9e71-ef41eb95fdf9</stp>
        <tr r="G5621" s="2"/>
      </tp>
      <tp>
        <v>5</v>
        <stp/>
        <stp>de16a302-40e1-483b-ae93-afbc225750bb</stp>
        <tr r="G4738" s="2"/>
      </tp>
    </main>
    <main first="rtdsrv_a82eb5a1fc404542a18b1336b70d2c4e">
      <tp>
        <v>5</v>
        <stp/>
        <stp>306fd8d0-04c8-4bca-8df7-05a165598b24</stp>
        <tr r="G2491" s="2"/>
      </tp>
      <tp>
        <v>5</v>
        <stp/>
        <stp>f6d51159-9614-429f-b0f4-11cf30f61baa</stp>
        <tr r="G6938" s="2"/>
      </tp>
    </main>
    <main first="rtdsrv_a82eb5a1fc404542a18b1336b70d2c4e">
      <tp>
        <v>5</v>
        <stp/>
        <stp>b2b0d686-9a77-43a5-9218-c0baea73d5a4</stp>
        <tr r="G7019" s="2"/>
      </tp>
      <tp>
        <v>5</v>
        <stp/>
        <stp>0903d5a3-5889-4c7f-b84c-ec46b78e0b14</stp>
        <tr r="G1528" s="2"/>
      </tp>
    </main>
    <main first="rtdsrv_a82eb5a1fc404542a18b1336b70d2c4e">
      <tp>
        <v>5</v>
        <stp/>
        <stp>17b8fb0d-fb31-4281-8c80-46ed8aa9003c</stp>
        <tr r="G6360" s="2"/>
      </tp>
    </main>
    <main first="rtdsrv_a82eb5a1fc404542a18b1336b70d2c4e">
      <tp>
        <v>5</v>
        <stp/>
        <stp>c6be686d-30b9-4ff2-a664-f61fa6b55d35</stp>
        <tr r="G7595" s="2"/>
      </tp>
    </main>
    <main first="rtdsrv_a82eb5a1fc404542a18b1336b70d2c4e">
      <tp>
        <v>5</v>
        <stp/>
        <stp>39e904a3-fb5e-45ed-bef4-c3ae46ab91bc</stp>
        <tr r="G9614" s="2"/>
      </tp>
      <tp>
        <v>5</v>
        <stp/>
        <stp>e7d73322-80b0-4b7d-af29-6cbd0a44e599</stp>
        <tr r="G1235" s="2"/>
      </tp>
    </main>
    <main first="rtdsrv_a82eb5a1fc404542a18b1336b70d2c4e">
      <tp>
        <v>5</v>
        <stp/>
        <stp>cb387978-1ea4-46a1-9ada-3782579c0b16</stp>
        <tr r="G4528" s="2"/>
      </tp>
    </main>
    <main first="rtdsrv_a82eb5a1fc404542a18b1336b70d2c4e">
      <tp>
        <v>5</v>
        <stp/>
        <stp>7d0fa00e-23f0-4119-a5b2-ca87c80ea996</stp>
        <tr r="G71" s="2"/>
      </tp>
      <tp>
        <v>5</v>
        <stp/>
        <stp>1feee43b-025f-47f6-ac8f-bf25bf770179</stp>
        <tr r="G6568" s="2"/>
      </tp>
      <tp>
        <v>5</v>
        <stp/>
        <stp>e0a7bf1f-868f-41ca-a5d2-f606d15111aa</stp>
        <tr r="G2671" s="2"/>
      </tp>
    </main>
    <main first="rtdsrv_a82eb5a1fc404542a18b1336b70d2c4e">
      <tp>
        <v>5</v>
        <stp/>
        <stp>c4bd801c-9d61-4a09-99e6-3255c8e566a0</stp>
        <tr r="G1842" s="2"/>
      </tp>
    </main>
    <main first="rtdsrv_a82eb5a1fc404542a18b1336b70d2c4e">
      <tp>
        <v>5</v>
        <stp/>
        <stp>b044fa1e-8563-448e-8aca-c526cfb02a16</stp>
        <tr r="G3653" s="2"/>
      </tp>
    </main>
    <main first="rtdsrv_a82eb5a1fc404542a18b1336b70d2c4e">
      <tp>
        <v>5</v>
        <stp/>
        <stp>41cc8f9b-e12a-4e29-bcf3-afefdc52259e</stp>
        <tr r="G7576" s="2"/>
      </tp>
      <tp>
        <v>5</v>
        <stp/>
        <stp>ffd3e805-a035-4a23-99a0-a58fb39636d8</stp>
        <tr r="G4883" s="2"/>
      </tp>
    </main>
    <main first="rtdsrv_a82eb5a1fc404542a18b1336b70d2c4e">
      <tp>
        <v>5</v>
        <stp/>
        <stp>62f7dbcf-0f49-4fe2-b25e-28f6b2caa020</stp>
        <tr r="G6922" s="2"/>
      </tp>
    </main>
    <main first="rtdsrv_a82eb5a1fc404542a18b1336b70d2c4e">
      <tp>
        <v>5</v>
        <stp/>
        <stp>0d51854b-a611-4b16-abc6-b20523cca9c7</stp>
        <tr r="G6582" s="2"/>
      </tp>
      <tp>
        <v>5</v>
        <stp/>
        <stp>a1603220-fde7-406a-9c95-cc0595c9267a</stp>
        <tr r="G3300" s="2"/>
      </tp>
    </main>
    <main first="rtdsrv_a82eb5a1fc404542a18b1336b70d2c4e">
      <tp>
        <v>5</v>
        <stp/>
        <stp>6807b1b3-fdc4-47e1-9d37-9aed3f44b7a8</stp>
        <tr r="G3152" s="2"/>
      </tp>
      <tp>
        <v>5</v>
        <stp/>
        <stp>0e4c164b-f454-447f-9b90-ee4213384a21</stp>
        <tr r="G6486" s="2"/>
      </tp>
    </main>
    <main first="rtdsrv_a82eb5a1fc404542a18b1336b70d2c4e">
      <tp>
        <v>5</v>
        <stp/>
        <stp>7d41b1b2-a7b2-4284-8894-cbadebd68daa</stp>
        <tr r="G8196" s="2"/>
      </tp>
    </main>
    <main first="rtdsrv_a82eb5a1fc404542a18b1336b70d2c4e">
      <tp>
        <v>5</v>
        <stp/>
        <stp>5760bfe2-4d13-4025-aad7-78413e512408</stp>
        <tr r="G923" s="2"/>
      </tp>
      <tp>
        <v>5</v>
        <stp/>
        <stp>5297d16f-b262-4e1b-a79c-5a8701df2706</stp>
        <tr r="G3479" s="2"/>
      </tp>
      <tp>
        <v>5</v>
        <stp/>
        <stp>554a6d5e-7771-4926-bbef-7a98a88c31c6</stp>
        <tr r="G5865" s="2"/>
      </tp>
      <tp>
        <v>5</v>
        <stp/>
        <stp>135e4ab7-4007-4544-89c0-0972a069feda</stp>
        <tr r="G4787" s="2"/>
      </tp>
      <tp>
        <v>5</v>
        <stp/>
        <stp>1f1b2f38-b28e-4a83-a980-b41e2528a518</stp>
        <tr r="G9662" s="2"/>
      </tp>
      <tp>
        <v>5</v>
        <stp/>
        <stp>e7b0979a-d74b-4214-a6a2-f0861dffd82f</stp>
        <tr r="G7688" s="2"/>
      </tp>
    </main>
    <main first="rtdsrv_a82eb5a1fc404542a18b1336b70d2c4e">
      <tp>
        <v>5</v>
        <stp/>
        <stp>5446e3ea-7529-416e-ac63-764060f98870</stp>
        <tr r="G8744" s="2"/>
      </tp>
      <tp>
        <v>5</v>
        <stp/>
        <stp>25445708-9049-4104-a56f-ee7c735c02be</stp>
        <tr r="G361" s="2"/>
      </tp>
      <tp>
        <v>5</v>
        <stp/>
        <stp>a71f0ee0-bec3-4bbe-bb6f-f0e438d8c6d6</stp>
        <tr r="G6102" s="2"/>
      </tp>
      <tp>
        <v>5</v>
        <stp/>
        <stp>9ce73920-c6d1-4e63-95b5-21f44e678a63</stp>
        <tr r="G239" s="2"/>
      </tp>
      <tp>
        <v>5</v>
        <stp/>
        <stp>8901d34c-7fa5-4846-94c4-af1d5e4846af</stp>
        <tr r="G7181" s="2"/>
      </tp>
    </main>
    <main first="rtdsrv_a82eb5a1fc404542a18b1336b70d2c4e">
      <tp>
        <v>5</v>
        <stp/>
        <stp>e03dbf0d-9b85-4f2b-a55b-2a67d2c2c6d0</stp>
        <tr r="G8045" s="2"/>
      </tp>
      <tp>
        <v>5</v>
        <stp/>
        <stp>6269c214-f29d-4820-8297-6fafb7b30c35</stp>
        <tr r="G1685" s="2"/>
      </tp>
    </main>
    <main first="rtdsrv_a82eb5a1fc404542a18b1336b70d2c4e">
      <tp>
        <v>5</v>
        <stp/>
        <stp>76d2c794-0e15-4c08-8a6c-8eb9f4276397</stp>
        <tr r="G2514" s="2"/>
      </tp>
    </main>
    <main first="rtdsrv_a82eb5a1fc404542a18b1336b70d2c4e">
      <tp>
        <v>5</v>
        <stp/>
        <stp>57e24a9a-01cc-4992-a377-5431f2c17885</stp>
        <tr r="G320" s="2"/>
      </tp>
      <tp>
        <v>5</v>
        <stp/>
        <stp>1c251e3b-02db-47c0-bc3d-1df8e4f568e3</stp>
        <tr r="G5295" s="2"/>
      </tp>
      <tp>
        <v>5</v>
        <stp/>
        <stp>03b1e0b6-102a-4544-8295-dac387cd5476</stp>
        <tr r="G906" s="2"/>
      </tp>
    </main>
    <main first="rtdsrv_a82eb5a1fc404542a18b1336b70d2c4e">
      <tp>
        <v>5</v>
        <stp/>
        <stp>86a4ff7c-c01f-4a1e-9d83-20535a720bee</stp>
        <tr r="G8191" s="2"/>
      </tp>
      <tp>
        <v>5</v>
        <stp/>
        <stp>ceb7bd1e-a17c-48a3-ba85-d1edf4521352</stp>
        <tr r="G3594" s="2"/>
      </tp>
      <tp>
        <v>5</v>
        <stp/>
        <stp>26a2e9d1-2d9e-4743-8836-92b333c02ae2</stp>
        <tr r="G4315" s="2"/>
      </tp>
    </main>
    <main first="rtdsrv_a82eb5a1fc404542a18b1336b70d2c4e">
      <tp>
        <v>5</v>
        <stp/>
        <stp>a0acd970-3591-4336-847d-d0f7a36a4ed6</stp>
        <tr r="G2384" s="2"/>
      </tp>
      <tp>
        <v>5</v>
        <stp/>
        <stp>cf0d45fe-841b-4e2a-b3b8-2cca378fba23</stp>
        <tr r="G8213" s="2"/>
      </tp>
    </main>
    <main first="rtdsrv_a82eb5a1fc404542a18b1336b70d2c4e">
      <tp>
        <v>5</v>
        <stp/>
        <stp>a951705e-7c52-4273-afe0-87dd3d374f74</stp>
        <tr r="G9857" s="2"/>
      </tp>
    </main>
    <main first="rtdsrv_a82eb5a1fc404542a18b1336b70d2c4e">
      <tp>
        <v>5</v>
        <stp/>
        <stp>a32f77bf-0e60-4e11-b243-bd9f185ff09a</stp>
        <tr r="G7050" s="2"/>
      </tp>
      <tp>
        <v>5</v>
        <stp/>
        <stp>65457191-5832-4436-9345-89e821b0bf4a</stp>
        <tr r="G895" s="2"/>
      </tp>
      <tp>
        <v>5</v>
        <stp/>
        <stp>6f610fa6-0c8e-4995-88da-fa7e98d0ce58</stp>
        <tr r="G671" s="2"/>
      </tp>
    </main>
    <main first="rtdsrv_a82eb5a1fc404542a18b1336b70d2c4e">
      <tp>
        <v>5</v>
        <stp/>
        <stp>647d82bd-1d16-4cb9-880d-33d1813fca1d</stp>
        <tr r="G7027" s="2"/>
      </tp>
      <tp>
        <v>5</v>
        <stp/>
        <stp>44e7f695-311a-4032-bdb6-497d8dffaa99</stp>
        <tr r="G3304" s="2"/>
      </tp>
    </main>
    <main first="rtdsrv_a82eb5a1fc404542a18b1336b70d2c4e">
      <tp>
        <v>5</v>
        <stp/>
        <stp>0b644bec-2795-4928-92f9-6f457b78752e</stp>
        <tr r="G2127" s="2"/>
      </tp>
    </main>
    <main first="rtdsrv_a82eb5a1fc404542a18b1336b70d2c4e">
      <tp>
        <v>5</v>
        <stp/>
        <stp>bbe71956-c169-4170-a943-d017348e5e7d</stp>
        <tr r="G6080" s="2"/>
      </tp>
    </main>
    <main first="rtdsrv_a82eb5a1fc404542a18b1336b70d2c4e">
      <tp>
        <v>5</v>
        <stp/>
        <stp>e32c5bfe-4c14-472d-b707-9883eb6646b4</stp>
        <tr r="G2113" s="2"/>
      </tp>
    </main>
    <main first="rtdsrv_a82eb5a1fc404542a18b1336b70d2c4e">
      <tp>
        <v>5</v>
        <stp/>
        <stp>b6fdacfa-3377-4207-8f8c-3434ed819d7c</stp>
        <tr r="G2628" s="2"/>
      </tp>
    </main>
    <main first="rtdsrv_a82eb5a1fc404542a18b1336b70d2c4e">
      <tp>
        <v>5</v>
        <stp/>
        <stp>95c25bba-d11c-4b0c-8684-94d5394ab884</stp>
        <tr r="G8827" s="2"/>
      </tp>
      <tp>
        <v>5</v>
        <stp/>
        <stp>07c43ccd-4939-4554-9f98-07c0549c737e</stp>
        <tr r="G4461" s="2"/>
      </tp>
    </main>
    <main first="rtdsrv_a82eb5a1fc404542a18b1336b70d2c4e">
      <tp>
        <v>5</v>
        <stp/>
        <stp>b10103e7-cf42-4654-8965-ebd5b9962e7d</stp>
        <tr r="G1143" s="2"/>
      </tp>
    </main>
    <main first="rtdsrv_a82eb5a1fc404542a18b1336b70d2c4e">
      <tp>
        <v>5</v>
        <stp/>
        <stp>2f378370-7d31-4d06-9d64-fc99c9e89eee</stp>
        <tr r="G3731" s="2"/>
      </tp>
    </main>
    <main first="rtdsrv_a82eb5a1fc404542a18b1336b70d2c4e">
      <tp>
        <v>5</v>
        <stp/>
        <stp>82fdc6e2-0005-4b39-9e2c-58dcb9ae3c85</stp>
        <tr r="G3051" s="2"/>
      </tp>
      <tp>
        <v>5</v>
        <stp/>
        <stp>4cd7ea4a-80cd-4057-9d49-90a1ea3275f4</stp>
        <tr r="G5791" s="2"/>
      </tp>
    </main>
    <main first="rtdsrv_a82eb5a1fc404542a18b1336b70d2c4e">
      <tp>
        <v>5</v>
        <stp/>
        <stp>e6178b0c-67ac-495c-9c2a-029ec9f79ee5</stp>
        <tr r="G9381" s="2"/>
      </tp>
    </main>
    <main first="rtdsrv_a82eb5a1fc404542a18b1336b70d2c4e">
      <tp>
        <v>5</v>
        <stp/>
        <stp>7fc5fea6-8217-43ad-943b-2ced3db4f687</stp>
        <tr r="G1618" s="2"/>
      </tp>
      <tp>
        <v>5</v>
        <stp/>
        <stp>84fafdde-8780-4531-a3b0-419ea6f1ca7d</stp>
        <tr r="G1472" s="2"/>
      </tp>
      <tp>
        <v>5</v>
        <stp/>
        <stp>861e670d-67e1-45c5-b94e-a9f9d79eaea7</stp>
        <tr r="G1025" s="2"/>
      </tp>
      <tp>
        <v>5</v>
        <stp/>
        <stp>63c94419-8c55-42e8-9601-37ee2d0df98e</stp>
        <tr r="G435" s="2"/>
      </tp>
      <tp>
        <v>5</v>
        <stp/>
        <stp>389a64e5-3d33-4799-a00f-044659f87fae</stp>
        <tr r="G288" s="2"/>
      </tp>
    </main>
    <main first="rtdsrv_a82eb5a1fc404542a18b1336b70d2c4e">
      <tp>
        <v>5</v>
        <stp/>
        <stp>e3a240c0-7ce9-4dd2-aed1-7711b86b1096</stp>
        <tr r="G9690" s="2"/>
      </tp>
    </main>
    <main first="rtdsrv_a82eb5a1fc404542a18b1336b70d2c4e">
      <tp>
        <v>5</v>
        <stp/>
        <stp>ad82e752-dca3-467c-ac81-7e00328caf9f</stp>
        <tr r="G3079" s="2"/>
      </tp>
    </main>
    <main first="rtdsrv_a82eb5a1fc404542a18b1336b70d2c4e">
      <tp>
        <v>5</v>
        <stp/>
        <stp>84e87992-c0dd-4cd2-9676-c71c466e573d</stp>
        <tr r="G1967" s="2"/>
      </tp>
      <tp>
        <v>5</v>
        <stp/>
        <stp>ec0d279a-fa10-42af-9a9a-52642cba8a37</stp>
        <tr r="G6977" s="2"/>
      </tp>
    </main>
    <main first="rtdsrv_a82eb5a1fc404542a18b1336b70d2c4e">
      <tp>
        <v>5</v>
        <stp/>
        <stp>5798b354-78bc-44ae-8658-42a985165923</stp>
        <tr r="G6711" s="2"/>
      </tp>
      <tp>
        <v>5</v>
        <stp/>
        <stp>20f6005f-e7e0-40f8-8ac9-dedebd5fcbba</stp>
        <tr r="G6010" s="2"/>
      </tp>
    </main>
    <main first="rtdsrv_a82eb5a1fc404542a18b1336b70d2c4e">
      <tp>
        <v>5</v>
        <stp/>
        <stp>63d8568f-a4c0-4d68-ace1-2cb773b35469</stp>
        <tr r="G1882" s="2"/>
      </tp>
      <tp>
        <v>5</v>
        <stp/>
        <stp>323fa5fb-0ee2-4d8a-8ab6-fd896908e4a9</stp>
        <tr r="G1987" s="2"/>
      </tp>
    </main>
    <main first="rtdsrv_a82eb5a1fc404542a18b1336b70d2c4e">
      <tp>
        <v>5</v>
        <stp/>
        <stp>a57525bf-64ac-4ea1-ab87-f8457b8ca85a</stp>
        <tr r="G3033" s="2"/>
      </tp>
    </main>
    <main first="rtdsrv_a82eb5a1fc404542a18b1336b70d2c4e">
      <tp>
        <v>5</v>
        <stp/>
        <stp>179cea54-4cbd-4c43-828c-f4f9b5f6a5c7</stp>
        <tr r="G7370" s="2"/>
      </tp>
      <tp>
        <v>5</v>
        <stp/>
        <stp>161b83c7-af58-4e98-a92c-f714d60df29b</stp>
        <tr r="G900" s="2"/>
      </tp>
      <tp>
        <v>5</v>
        <stp/>
        <stp>b66aae55-39cc-4288-b9f1-df0a0f747ccc</stp>
        <tr r="G6634" s="2"/>
      </tp>
    </main>
    <main first="rtdsrv_a82eb5a1fc404542a18b1336b70d2c4e">
      <tp>
        <v>5</v>
        <stp/>
        <stp>ea383edb-0b56-499f-97f5-6e38e5e5f991</stp>
        <tr r="G9566" s="2"/>
      </tp>
      <tp>
        <v>5</v>
        <stp/>
        <stp>75cf3998-ad76-4e02-816c-6ff5945d3fa6</stp>
        <tr r="G7039" s="2"/>
      </tp>
      <tp>
        <v>5</v>
        <stp/>
        <stp>a3ffa5ae-0bd4-43f8-8faa-777dca862dda</stp>
        <tr r="G4025" s="2"/>
      </tp>
    </main>
    <main first="rtdsrv_a82eb5a1fc404542a18b1336b70d2c4e">
      <tp>
        <v>5</v>
        <stp/>
        <stp>fdb7cc65-9705-4439-9ce1-138304229809</stp>
        <tr r="G6923" s="2"/>
      </tp>
      <tp>
        <v>5</v>
        <stp/>
        <stp>6ab8d1b3-8b16-450a-8119-beffb8faf837</stp>
        <tr r="G8957" s="2"/>
      </tp>
    </main>
    <main first="rtdsrv_a82eb5a1fc404542a18b1336b70d2c4e">
      <tp>
        <v>5</v>
        <stp/>
        <stp>fe6ca442-99cf-4262-8d4f-376f134e5774</stp>
        <tr r="G7194" s="2"/>
      </tp>
      <tp>
        <v>5</v>
        <stp/>
        <stp>f64005dd-4c2b-4c27-82d0-d9659a87fae7</stp>
        <tr r="G4600" s="2"/>
      </tp>
      <tp>
        <v>5</v>
        <stp/>
        <stp>32d650c7-b9d6-43c5-acf2-98bd8a08a76b</stp>
        <tr r="G7880" s="2"/>
      </tp>
    </main>
    <main first="rtdsrv_a82eb5a1fc404542a18b1336b70d2c4e">
      <tp>
        <v>5</v>
        <stp/>
        <stp>3d607fcf-4abb-420a-8920-b99072e6830d</stp>
        <tr r="G3086" s="2"/>
      </tp>
      <tp>
        <v>5</v>
        <stp/>
        <stp>9a4e50a7-d43c-419f-9715-1843418d860c</stp>
        <tr r="G475" s="2"/>
      </tp>
      <tp>
        <v>5</v>
        <stp/>
        <stp>bf20328d-8cf7-455f-a513-b4c8e4501fd1</stp>
        <tr r="G2924" s="2"/>
      </tp>
      <tp>
        <v>5</v>
        <stp/>
        <stp>e02c4da6-d999-4838-8dc1-99022833f705</stp>
        <tr r="G6453" s="2"/>
      </tp>
      <tp>
        <v>5</v>
        <stp/>
        <stp>a77193de-96ab-474a-85cd-5d8d3d76fbf1</stp>
        <tr r="G5244" s="2"/>
      </tp>
      <tp>
        <v>5</v>
        <stp/>
        <stp>6292f48e-70dd-4e20-8965-0b7050bf189a</stp>
        <tr r="G4586" s="2"/>
      </tp>
    </main>
    <main first="rtdsrv_a82eb5a1fc404542a18b1336b70d2c4e">
      <tp>
        <v>5</v>
        <stp/>
        <stp>c248ef4d-0308-4042-b204-486dd598e6ad</stp>
        <tr r="G2908" s="2"/>
      </tp>
    </main>
    <main first="rtdsrv_a82eb5a1fc404542a18b1336b70d2c4e">
      <tp>
        <v>5</v>
        <stp/>
        <stp>dd75ba3c-1968-4f08-9343-662a46a11e4b</stp>
        <tr r="G9275" s="2"/>
      </tp>
      <tp>
        <v>5</v>
        <stp/>
        <stp>b3d3d07d-70ae-4b59-8abc-f39d75cd743b</stp>
        <tr r="G4010" s="2"/>
      </tp>
    </main>
    <main first="rtdsrv_a82eb5a1fc404542a18b1336b70d2c4e">
      <tp>
        <v>5</v>
        <stp/>
        <stp>9fba53ac-99bd-4735-b4f2-90ec505a0b1b</stp>
        <tr r="G4386" s="2"/>
      </tp>
      <tp>
        <v>5</v>
        <stp/>
        <stp>51a88f9c-e685-458a-b004-48abaefbfc4a</stp>
        <tr r="G9127" s="2"/>
      </tp>
    </main>
    <main first="rtdsrv_a82eb5a1fc404542a18b1336b70d2c4e">
      <tp>
        <v>5</v>
        <stp/>
        <stp>1b37209c-efad-44ad-83f1-48d43edef548</stp>
        <tr r="G2461" s="2"/>
      </tp>
      <tp>
        <v>5</v>
        <stp/>
        <stp>10d959b0-44da-4b94-b741-47fff3887d4c</stp>
        <tr r="G3903" s="2"/>
      </tp>
    </main>
    <main first="rtdsrv_a82eb5a1fc404542a18b1336b70d2c4e">
      <tp>
        <v>5</v>
        <stp/>
        <stp>aa130206-e941-4867-be9d-7e1583569311</stp>
        <tr r="G2923" s="2"/>
      </tp>
      <tp>
        <v>5</v>
        <stp/>
        <stp>643d2a28-e8ab-4a94-ac2b-26e008f53e1a</stp>
        <tr r="G6991" s="2"/>
      </tp>
    </main>
    <main first="rtdsrv_a82eb5a1fc404542a18b1336b70d2c4e">
      <tp>
        <v>5</v>
        <stp/>
        <stp>a742bbc2-566a-4913-80c2-479148874b84</stp>
        <tr r="G705" s="2"/>
      </tp>
    </main>
    <main first="rtdsrv_a82eb5a1fc404542a18b1336b70d2c4e">
      <tp>
        <v>5</v>
        <stp/>
        <stp>9dbaa2c0-5fc1-4dba-9c1f-5889fb5ba4f6</stp>
        <tr r="G7909" s="2"/>
      </tp>
    </main>
    <main first="rtdsrv_a82eb5a1fc404542a18b1336b70d2c4e">
      <tp>
        <v>5</v>
        <stp/>
        <stp>6e46d7c8-42dc-4454-a185-cb48b791db7a</stp>
        <tr r="G5058" s="2"/>
      </tp>
      <tp>
        <v>5</v>
        <stp/>
        <stp>ccfa645e-5724-4eef-a30c-4a88b9a9514a</stp>
        <tr r="G6310" s="2"/>
      </tp>
    </main>
    <main first="rtdsrv_a82eb5a1fc404542a18b1336b70d2c4e">
      <tp>
        <v>5</v>
        <stp/>
        <stp>e7a2c94b-acbe-40c7-8fee-7cd97e808fd0</stp>
        <tr r="G9869" s="2"/>
      </tp>
    </main>
    <main first="rtdsrv_a82eb5a1fc404542a18b1336b70d2c4e">
      <tp>
        <v>5</v>
        <stp/>
        <stp>58065dad-66cd-4a2d-8654-cc2b3d2f0a8d</stp>
        <tr r="G2373" s="2"/>
      </tp>
      <tp>
        <v>5</v>
        <stp/>
        <stp>0ad56ef1-938b-4d5b-96dc-7b45db594f8d</stp>
        <tr r="G7594" s="2"/>
      </tp>
      <tp>
        <v>5</v>
        <stp/>
        <stp>c87472f0-77f8-4b17-8e6b-b4ce068f6c40</stp>
        <tr r="G2680" s="2"/>
      </tp>
    </main>
    <main first="rtdsrv_a82eb5a1fc404542a18b1336b70d2c4e">
      <tp>
        <v>5</v>
        <stp/>
        <stp>29797e48-2951-43d3-8b8c-f50d78532577</stp>
        <tr r="G9129" s="2"/>
      </tp>
      <tp>
        <v>5</v>
        <stp/>
        <stp>024f55e1-8ac9-4ff6-85ce-f6c0a4d2b590</stp>
        <tr r="G3886" s="2"/>
      </tp>
    </main>
    <main first="rtdsrv_a82eb5a1fc404542a18b1336b70d2c4e">
      <tp>
        <v>5</v>
        <stp/>
        <stp>fdf0a155-4c96-4fcd-858d-5c98dfb52ed4</stp>
        <tr r="G7721" s="2"/>
      </tp>
    </main>
    <main first="rtdsrv_a82eb5a1fc404542a18b1336b70d2c4e">
      <tp>
        <v>5</v>
        <stp/>
        <stp>6266f962-45a5-4e42-985c-aabe4b141fad</stp>
        <tr r="G6495" s="2"/>
      </tp>
      <tp>
        <v>5</v>
        <stp/>
        <stp>99412027-5a71-49c0-9c3b-676fea29c4ec</stp>
        <tr r="G8776" s="2"/>
      </tp>
    </main>
    <main first="rtdsrv_a82eb5a1fc404542a18b1336b70d2c4e">
      <tp>
        <v>5</v>
        <stp/>
        <stp>99d12c48-a1a9-4470-8baf-a06d1d637cc8</stp>
        <tr r="G5800" s="2"/>
      </tp>
    </main>
    <main first="rtdsrv_a82eb5a1fc404542a18b1336b70d2c4e">
      <tp>
        <v>5</v>
        <stp/>
        <stp>f9200eba-e4c8-42bb-bdb5-973cae15167a</stp>
        <tr r="G3811" s="2"/>
      </tp>
    </main>
    <main first="rtdsrv_a82eb5a1fc404542a18b1336b70d2c4e">
      <tp>
        <v>5</v>
        <stp/>
        <stp>5020c9c2-1a7b-4ecb-8558-301e4deb7f88</stp>
        <tr r="G9815" s="2"/>
      </tp>
    </main>
    <main first="rtdsrv_a82eb5a1fc404542a18b1336b70d2c4e">
      <tp>
        <v>5</v>
        <stp/>
        <stp>be1662e1-f905-4353-ac67-499f9d15246e</stp>
        <tr r="G4" s="2"/>
      </tp>
      <tp>
        <v>5</v>
        <stp/>
        <stp>14c1422f-94c8-4b40-8e6d-6656c3d57a41</stp>
        <tr r="G8155" s="2"/>
      </tp>
      <tp>
        <v>5</v>
        <stp/>
        <stp>31ca138f-567d-4b52-8efa-39ea268a8157</stp>
        <tr r="G9941" s="2"/>
      </tp>
      <tp>
        <v>5</v>
        <stp/>
        <stp>8567ebef-62d5-4a19-9d10-ac3f532d6d46</stp>
        <tr r="G8519" s="2"/>
      </tp>
    </main>
    <main first="rtdsrv_a82eb5a1fc404542a18b1336b70d2c4e">
      <tp>
        <v>5</v>
        <stp/>
        <stp>bbd559b0-df05-4b46-94d7-37f031ea960e</stp>
        <tr r="G6642" s="2"/>
      </tp>
    </main>
    <main first="rtdsrv_a82eb5a1fc404542a18b1336b70d2c4e">
      <tp>
        <v>5</v>
        <stp/>
        <stp>e8a05c75-1662-4de9-9888-c290aa5b8e18</stp>
        <tr r="G4791" s="2"/>
      </tp>
    </main>
    <main first="rtdsrv_a82eb5a1fc404542a18b1336b70d2c4e">
      <tp>
        <v>5</v>
        <stp/>
        <stp>081aa51b-65d6-479b-9dfd-b1c9d2e20a2c</stp>
        <tr r="G6223" s="2"/>
      </tp>
      <tp>
        <v>5</v>
        <stp/>
        <stp>99a2be37-3030-4c2e-8901-d47c01e6bbd4</stp>
        <tr r="G1325" s="2"/>
      </tp>
    </main>
    <main first="rtdsrv_a82eb5a1fc404542a18b1336b70d2c4e">
      <tp>
        <v>5</v>
        <stp/>
        <stp>799c0aa0-f9a4-4780-931b-9326c7f49f26</stp>
        <tr r="G3160" s="2"/>
      </tp>
      <tp>
        <v>5</v>
        <stp/>
        <stp>28da556d-23f7-40dc-9556-4a1f07e6fbf2</stp>
        <tr r="G2613" s="2"/>
      </tp>
    </main>
    <main first="rtdsrv_a82eb5a1fc404542a18b1336b70d2c4e">
      <tp>
        <v>5</v>
        <stp/>
        <stp>7c43dccc-8c7a-43dd-b757-20027ed7da29</stp>
        <tr r="G9224" s="2"/>
      </tp>
    </main>
    <main first="rtdsrv_a82eb5a1fc404542a18b1336b70d2c4e">
      <tp>
        <v>5</v>
        <stp/>
        <stp>8813366d-aa42-434e-b667-bb7397227418</stp>
        <tr r="G4393" s="2"/>
      </tp>
    </main>
    <main first="rtdsrv_a82eb5a1fc404542a18b1336b70d2c4e">
      <tp>
        <v>5</v>
        <stp/>
        <stp>67ac0965-ee6a-429a-ac00-5452ac6ee0d1</stp>
        <tr r="G2848" s="2"/>
      </tp>
      <tp>
        <v>5</v>
        <stp/>
        <stp>23acf4ae-633b-4f96-bf8d-2fddb5a00172</stp>
        <tr r="G6521" s="2"/>
      </tp>
      <tp>
        <v>5</v>
        <stp/>
        <stp>48ada47c-35ea-4a1c-acbf-5de16f320a61</stp>
        <tr r="G7243" s="2"/>
      </tp>
    </main>
    <main first="rtdsrv_a82eb5a1fc404542a18b1336b70d2c4e">
      <tp>
        <v>5</v>
        <stp/>
        <stp>8ada354a-9adc-40b5-8064-dc0f6ba7621e</stp>
        <tr r="G2780" s="2"/>
      </tp>
    </main>
    <main first="rtdsrv_a82eb5a1fc404542a18b1336b70d2c4e">
      <tp>
        <v>5</v>
        <stp/>
        <stp>228a2a23-f868-4178-99d4-3ad7da36147d</stp>
        <tr r="G2229" s="2"/>
      </tp>
    </main>
    <main first="rtdsrv_a82eb5a1fc404542a18b1336b70d2c4e">
      <tp>
        <v>5</v>
        <stp/>
        <stp>366242c7-f0fa-4318-8d2d-d2483f2a5aaa</stp>
        <tr r="G1029" s="2"/>
      </tp>
      <tp>
        <v>5</v>
        <stp/>
        <stp>97ed17cf-7da5-42be-9201-bb7e0efe98d8</stp>
        <tr r="G2466" s="2"/>
      </tp>
      <tp>
        <v>5</v>
        <stp/>
        <stp>948330d9-76ab-4a4d-bb68-378889541294</stp>
        <tr r="G5547" s="2"/>
      </tp>
    </main>
    <main first="rtdsrv_a82eb5a1fc404542a18b1336b70d2c4e">
      <tp>
        <v>5</v>
        <stp/>
        <stp>d509893a-34c7-4f4f-928b-7a463d686918</stp>
        <tr r="G2948" s="2"/>
      </tp>
      <tp>
        <v>5</v>
        <stp/>
        <stp>f16720b9-0cc0-41c9-87b2-acf06c460711</stp>
        <tr r="G9772" s="2"/>
      </tp>
      <tp>
        <v>5</v>
        <stp/>
        <stp>0d69c5cc-12dd-44a3-90bc-ba2bb8f0e562</stp>
        <tr r="G3311" s="2"/>
      </tp>
    </main>
    <main first="rtdsrv_a82eb5a1fc404542a18b1336b70d2c4e">
      <tp>
        <v>5</v>
        <stp/>
        <stp>79e19163-2c7e-4f13-9a0d-a7b6c21a5aaa</stp>
        <tr r="G7029" s="2"/>
      </tp>
      <tp>
        <v>5</v>
        <stp/>
        <stp>75feab1c-b28a-4495-bd2f-23b67edde9cd</stp>
        <tr r="G8360" s="2"/>
      </tp>
    </main>
    <main first="rtdsrv_a82eb5a1fc404542a18b1336b70d2c4e">
      <tp>
        <v>5</v>
        <stp/>
        <stp>fe2e228b-2b7d-41f0-9579-2bda88c93e1d</stp>
        <tr r="G8404" s="2"/>
      </tp>
      <tp>
        <v>5</v>
        <stp/>
        <stp>6ecf9c59-07f1-4ee8-a6fd-b529201480a4</stp>
        <tr r="G6035" s="2"/>
      </tp>
    </main>
    <main first="rtdsrv_a82eb5a1fc404542a18b1336b70d2c4e">
      <tp>
        <v>5</v>
        <stp/>
        <stp>1b795022-d9b8-4700-b4d2-7380a955b5d8</stp>
        <tr r="G8327" s="2"/>
      </tp>
    </main>
    <main first="rtdsrv_a82eb5a1fc404542a18b1336b70d2c4e">
      <tp>
        <v>5</v>
        <stp/>
        <stp>fd2957b5-b740-4625-91e6-17a4596dc2ad</stp>
        <tr r="G3761" s="2"/>
      </tp>
    </main>
    <main first="rtdsrv_a82eb5a1fc404542a18b1336b70d2c4e">
      <tp>
        <v>5</v>
        <stp/>
        <stp>9b6d0d56-9598-4e1f-ac43-0add4d2c254f</stp>
        <tr r="G1115" s="2"/>
      </tp>
      <tp>
        <v>5</v>
        <stp/>
        <stp>39780076-013a-485f-87bd-83f65c21c0f5</stp>
        <tr r="G3301" s="2"/>
      </tp>
    </main>
    <main first="rtdsrv_a82eb5a1fc404542a18b1336b70d2c4e">
      <tp>
        <v>5</v>
        <stp/>
        <stp>151d50a5-53b7-400f-a078-b8d8ca97dea8</stp>
        <tr r="G5124" s="2"/>
      </tp>
      <tp>
        <v>5</v>
        <stp/>
        <stp>e0668a7c-7132-4e28-9ac0-91c03c19025d</stp>
        <tr r="G8380" s="2"/>
      </tp>
    </main>
    <main first="rtdsrv_a82eb5a1fc404542a18b1336b70d2c4e">
      <tp>
        <v>5</v>
        <stp/>
        <stp>0bc5e316-deb7-4826-bdfa-bd2eddb808a5</stp>
        <tr r="G7828" s="2"/>
      </tp>
    </main>
    <main first="rtdsrv_a82eb5a1fc404542a18b1336b70d2c4e">
      <tp>
        <v>5</v>
        <stp/>
        <stp>0bd5a0eb-0332-4783-9b82-8cf70d055315</stp>
        <tr r="G8341" s="2"/>
      </tp>
      <tp>
        <v>5</v>
        <stp/>
        <stp>11f20a4a-d39f-4dab-8215-45f806bcb973</stp>
        <tr r="G5515" s="2"/>
      </tp>
      <tp>
        <v>5</v>
        <stp/>
        <stp>e43f3402-2365-4faa-8ea5-bbc93859c54d</stp>
        <tr r="G6065" s="2"/>
      </tp>
    </main>
    <main first="rtdsrv_a82eb5a1fc404542a18b1336b70d2c4e">
      <tp>
        <v>5</v>
        <stp/>
        <stp>04ca7885-fc73-44aa-9a5f-46939a33b435</stp>
        <tr r="G1729" s="2"/>
      </tp>
      <tp>
        <v>5</v>
        <stp/>
        <stp>9d9bf9ff-c065-47c1-987a-258284d85d23</stp>
        <tr r="G3255" s="2"/>
      </tp>
    </main>
    <main first="rtdsrv_a82eb5a1fc404542a18b1336b70d2c4e">
      <tp>
        <v>5</v>
        <stp/>
        <stp>b7d2a058-06f2-4184-b9d8-f9287684c554</stp>
        <tr r="G9202" s="2"/>
      </tp>
      <tp>
        <v>5</v>
        <stp/>
        <stp>60c527e6-a53c-43c5-a30f-79de6c065da1</stp>
        <tr r="G3788" s="2"/>
      </tp>
    </main>
    <main first="rtdsrv_a82eb5a1fc404542a18b1336b70d2c4e">
      <tp>
        <v>5</v>
        <stp/>
        <stp>7bd684b4-ced5-43d7-93f9-b6029682492a</stp>
        <tr r="G3390" s="2"/>
      </tp>
      <tp>
        <v>5</v>
        <stp/>
        <stp>797e0bae-40bb-4f27-9095-78262a162e03</stp>
        <tr r="G6406" s="2"/>
      </tp>
      <tp>
        <v>5</v>
        <stp/>
        <stp>70bc598d-0302-411e-82b3-7b92abeb9cfe</stp>
        <tr r="G305" s="2"/>
      </tp>
    </main>
    <main first="rtdsrv_a82eb5a1fc404542a18b1336b70d2c4e">
      <tp>
        <v>5</v>
        <stp/>
        <stp>1e6136ac-ba63-44f8-aafc-b7f7bcdfdf73</stp>
        <tr r="G9445" s="2"/>
      </tp>
    </main>
    <main first="rtdsrv_a82eb5a1fc404542a18b1336b70d2c4e">
      <tp>
        <v>5</v>
        <stp/>
        <stp>2c0438f2-b568-4d23-97f5-150615504131</stp>
        <tr r="G1670" s="2"/>
      </tp>
    </main>
    <main first="rtdsrv_a82eb5a1fc404542a18b1336b70d2c4e">
      <tp>
        <v>5</v>
        <stp/>
        <stp>4b2900ad-14a8-441f-b2e5-65e671a9697b</stp>
        <tr r="G7752" s="2"/>
      </tp>
    </main>
    <main first="rtdsrv_a82eb5a1fc404542a18b1336b70d2c4e">
      <tp>
        <v>5</v>
        <stp/>
        <stp>71f098e9-5776-4b80-8d7c-b509a20dba69</stp>
        <tr r="G8711" s="2"/>
      </tp>
      <tp>
        <v>5</v>
        <stp/>
        <stp>93792c6c-5687-4c19-b14a-327bd1199619</stp>
        <tr r="G1339" s="2"/>
      </tp>
    </main>
    <main first="rtdsrv_a82eb5a1fc404542a18b1336b70d2c4e">
      <tp>
        <v>5</v>
        <stp/>
        <stp>c8c637c9-fdfd-4ab5-be15-c4472011345f</stp>
        <tr r="G4317" s="2"/>
      </tp>
      <tp>
        <v>5</v>
        <stp/>
        <stp>284f69cf-4303-4919-9842-246d05987d8f</stp>
        <tr r="G7957" s="2"/>
      </tp>
    </main>
    <main first="rtdsrv_a82eb5a1fc404542a18b1336b70d2c4e">
      <tp>
        <v>5</v>
        <stp/>
        <stp>38d5e147-94ca-49e7-a18e-45a3ba4c1659</stp>
        <tr r="G5569" s="2"/>
      </tp>
    </main>
    <main first="rtdsrv_a82eb5a1fc404542a18b1336b70d2c4e">
      <tp>
        <v>5</v>
        <stp/>
        <stp>1d36a939-96aa-446a-81cf-af34c9348d13</stp>
        <tr r="G6171" s="2"/>
      </tp>
      <tp>
        <v>5</v>
        <stp/>
        <stp>26007f2b-bd31-4151-8d90-a652834fdb6a</stp>
        <tr r="G4975" s="2"/>
      </tp>
      <tp>
        <v>5</v>
        <stp/>
        <stp>79691f62-2e9a-4a0e-9580-96f3dbd10966</stp>
        <tr r="G5613" s="2"/>
      </tp>
    </main>
    <main first="rtdsrv_a82eb5a1fc404542a18b1336b70d2c4e">
      <tp>
        <v>5</v>
        <stp/>
        <stp>1e482400-3d55-4031-8989-c1c3639964bd</stp>
        <tr r="G6955" s="2"/>
      </tp>
      <tp>
        <v>5</v>
        <stp/>
        <stp>2348e9b5-16f2-493c-9949-229da20fb112</stp>
        <tr r="G194" s="2"/>
      </tp>
      <tp>
        <v>5</v>
        <stp/>
        <stp>96a2c9a5-24c1-493d-bb3f-90cea0d4c745</stp>
        <tr r="G490" s="2"/>
      </tp>
      <tp>
        <v>5</v>
        <stp/>
        <stp>d625644a-0585-4ede-9f69-b14d6887b5de</stp>
        <tr r="G4031" s="2"/>
      </tp>
    </main>
    <main first="rtdsrv_a82eb5a1fc404542a18b1336b70d2c4e">
      <tp>
        <v>5</v>
        <stp/>
        <stp>203e3772-ec6c-45de-a444-ad162251b850</stp>
        <tr r="G7722" s="2"/>
      </tp>
    </main>
    <main first="rtdsrv_a82eb5a1fc404542a18b1336b70d2c4e">
      <tp>
        <v>5</v>
        <stp/>
        <stp>6d14815f-40d2-4239-9ba7-fdf584e864bb</stp>
        <tr r="G8504" s="2"/>
      </tp>
    </main>
    <main first="rtdsrv_a82eb5a1fc404542a18b1336b70d2c4e">
      <tp>
        <v>5</v>
        <stp/>
        <stp>6a8e3a10-1eac-4f1e-9719-f62e970ee956</stp>
        <tr r="G8992" s="2"/>
      </tp>
    </main>
    <main first="rtdsrv_a82eb5a1fc404542a18b1336b70d2c4e">
      <tp>
        <v>5</v>
        <stp/>
        <stp>71248997-0f6f-4d01-a38a-a753bbc38990</stp>
        <tr r="G9540" s="2"/>
      </tp>
      <tp>
        <v>5</v>
        <stp/>
        <stp>6ffcbd9c-afc2-4bb8-be7b-5c74369c0d64</stp>
        <tr r="G8970" s="2"/>
      </tp>
    </main>
    <main first="rtdsrv_a82eb5a1fc404542a18b1336b70d2c4e">
      <tp>
        <v>5</v>
        <stp/>
        <stp>676a7e60-2db7-4861-8197-256284023462</stp>
        <tr r="G386" s="2"/>
      </tp>
      <tp>
        <v>5</v>
        <stp/>
        <stp>1eb5a6fd-3cc1-469a-8d50-8c215946c329</stp>
        <tr r="G2528" s="2"/>
      </tp>
      <tp>
        <v>5</v>
        <stp/>
        <stp>75c8eaf5-75f7-4948-98d1-d50c5f4fe1fb</stp>
        <tr r="G6311" s="2"/>
      </tp>
      <tp>
        <v>5</v>
        <stp/>
        <stp>57775569-1ff2-4552-af31-e5e15cac291b</stp>
        <tr r="G2904" s="2"/>
      </tp>
      <tp>
        <v>5</v>
        <stp/>
        <stp>5caf15f5-b554-4de8-b175-8fd9c5bff5b1</stp>
        <tr r="G9972" s="2"/>
      </tp>
      <tp>
        <v>5</v>
        <stp/>
        <stp>93c48aaa-8fa8-41e6-a5bc-c15a37d3fe59</stp>
        <tr r="G1321" s="2"/>
      </tp>
    </main>
    <main first="rtdsrv_a82eb5a1fc404542a18b1336b70d2c4e">
      <tp>
        <v>5</v>
        <stp/>
        <stp>54c2fcc7-ac65-4ee0-8f93-fc6d92cb03fb</stp>
        <tr r="G4352" s="2"/>
      </tp>
      <tp>
        <v>5</v>
        <stp/>
        <stp>5529f303-66ed-459c-9caf-54db28b42c7a</stp>
        <tr r="G5105" s="2"/>
      </tp>
      <tp>
        <v>5</v>
        <stp/>
        <stp>88711ec5-028f-4a34-b57e-f5effd49fb16</stp>
        <tr r="G4216" s="2"/>
      </tp>
      <tp>
        <v>5</v>
        <stp/>
        <stp>7146a0a0-d421-4a6c-ae9f-942443f2ee0e</stp>
        <tr r="G8536" s="2"/>
      </tp>
    </main>
    <main first="rtdsrv_a82eb5a1fc404542a18b1336b70d2c4e">
      <tp>
        <v>5</v>
        <stp/>
        <stp>01c5e125-8cd8-4b43-8ce6-c53ff712d1e8</stp>
        <tr r="G6033" s="2"/>
      </tp>
    </main>
    <main first="rtdsrv_a82eb5a1fc404542a18b1336b70d2c4e">
      <tp>
        <v>5</v>
        <stp/>
        <stp>3dfacd63-dfab-4fec-8231-63e739b90cc9</stp>
        <tr r="G1954" s="2"/>
      </tp>
      <tp>
        <v>5</v>
        <stp/>
        <stp>fa1491f1-e391-430b-b833-d9bd98df9824</stp>
        <tr r="G8211" s="2"/>
      </tp>
    </main>
    <main first="rtdsrv_a82eb5a1fc404542a18b1336b70d2c4e">
      <tp>
        <v>5</v>
        <stp/>
        <stp>8307ff78-5a14-4f6b-968c-87def2ec8c8b</stp>
        <tr r="G1609" s="2"/>
      </tp>
    </main>
    <main first="rtdsrv_a82eb5a1fc404542a18b1336b70d2c4e">
      <tp>
        <v>5</v>
        <stp/>
        <stp>409c8308-822d-459d-933b-ff343230cddd</stp>
        <tr r="G2266" s="2"/>
      </tp>
      <tp>
        <v>5</v>
        <stp/>
        <stp>50f0514e-cc27-4b09-b2b9-b3a1a5243cfb</stp>
        <tr r="G6629" s="2"/>
      </tp>
      <tp>
        <v>5</v>
        <stp/>
        <stp>fa523f78-8b43-48c2-99f9-a0130ad9bf14</stp>
        <tr r="G9068" s="2"/>
      </tp>
    </main>
    <main first="rtdsrv_a82eb5a1fc404542a18b1336b70d2c4e">
      <tp>
        <v>5</v>
        <stp/>
        <stp>bf3f8ac5-83b1-46e1-ba70-4e94f8c1c844</stp>
        <tr r="G3069" s="2"/>
      </tp>
      <tp>
        <v>5</v>
        <stp/>
        <stp>5834461b-9662-4540-9c8e-ba9d4509b7ea</stp>
        <tr r="G6267" s="2"/>
      </tp>
      <tp>
        <v>5</v>
        <stp/>
        <stp>38e860bb-e534-4e85-8c6b-4af9ea91f22a</stp>
        <tr r="G1253" s="2"/>
      </tp>
    </main>
    <main first="rtdsrv_a82eb5a1fc404542a18b1336b70d2c4e">
      <tp>
        <v>5</v>
        <stp/>
        <stp>096d917e-4ba3-45ba-bf28-fb23d7f96f2c</stp>
        <tr r="G377" s="2"/>
      </tp>
      <tp>
        <v>5</v>
        <stp/>
        <stp>175e8244-9a66-4dcc-a3d8-1ae9a2d6c4d2</stp>
        <tr r="G4854" s="2"/>
      </tp>
      <tp>
        <v>5</v>
        <stp/>
        <stp>d207973f-3cc3-439c-8c58-54ca094b312c</stp>
        <tr r="G560" s="2"/>
      </tp>
      <tp>
        <v>5</v>
        <stp/>
        <stp>6d1a6640-e20f-4994-ad07-2c7f24250880</stp>
        <tr r="G5140" s="2"/>
      </tp>
    </main>
    <main first="rtdsrv_a82eb5a1fc404542a18b1336b70d2c4e">
      <tp>
        <v>5</v>
        <stp/>
        <stp>e2a2f647-19ea-41b1-bf98-a26270e36c92</stp>
        <tr r="G534" s="2"/>
      </tp>
    </main>
    <main first="rtdsrv_a82eb5a1fc404542a18b1336b70d2c4e">
      <tp>
        <v>5</v>
        <stp/>
        <stp>8c3c68e5-2fb8-4dbb-b4e8-145b60e716fd</stp>
        <tr r="G1603" s="2"/>
      </tp>
      <tp>
        <v>5</v>
        <stp/>
        <stp>ac1cb908-f4dd-42dd-9521-cc8b44197a3b</stp>
        <tr r="G1419" s="2"/>
      </tp>
      <tp>
        <v>5</v>
        <stp/>
        <stp>08700b0d-730d-4f5b-b7c9-eca625d85f6d</stp>
        <tr r="G8060" s="2"/>
      </tp>
    </main>
    <main first="rtdsrv_a82eb5a1fc404542a18b1336b70d2c4e">
      <tp>
        <v>5</v>
        <stp/>
        <stp>4606a32b-afd3-4f2c-a9df-529d6507a851</stp>
        <tr r="G2404" s="2"/>
      </tp>
    </main>
    <main first="rtdsrv_a82eb5a1fc404542a18b1336b70d2c4e">
      <tp>
        <v>5</v>
        <stp/>
        <stp>e4d9135f-bd17-4ba0-b298-7eff8a1af4d6</stp>
        <tr r="G2387" s="2"/>
      </tp>
    </main>
    <main first="rtdsrv_a82eb5a1fc404542a18b1336b70d2c4e">
      <tp>
        <v>5</v>
        <stp/>
        <stp>e69d32e6-8a94-473a-81f7-724b63da8feb</stp>
        <tr r="G8305" s="2"/>
      </tp>
      <tp>
        <v>5</v>
        <stp/>
        <stp>cbcdda88-b1ea-48c6-a1c8-28c134628d8b</stp>
        <tr r="G6341" s="2"/>
      </tp>
    </main>
    <main first="rtdsrv_a82eb5a1fc404542a18b1336b70d2c4e">
      <tp>
        <v>5</v>
        <stp/>
        <stp>aa4fc752-83e9-41db-9dee-e1936a518ed8</stp>
        <tr r="G4075" s="2"/>
      </tp>
    </main>
    <main first="rtdsrv_a82eb5a1fc404542a18b1336b70d2c4e">
      <tp>
        <v>5</v>
        <stp/>
        <stp>edec3fd0-1920-464c-8614-f93a8eb59ab3</stp>
        <tr r="G8165" s="2"/>
      </tp>
      <tp>
        <v>5</v>
        <stp/>
        <stp>94f8089e-e866-498a-91f3-3f7a8d8f90df</stp>
        <tr r="G355" s="2"/>
      </tp>
    </main>
    <main first="rtdsrv_a82eb5a1fc404542a18b1336b70d2c4e">
      <tp>
        <v>5</v>
        <stp/>
        <stp>1ef70e09-097a-442c-b587-1f17857f3daa</stp>
        <tr r="G8249" s="2"/>
      </tp>
      <tp>
        <v>5</v>
        <stp/>
        <stp>49f47d03-118e-4347-b507-54a2be92cf75</stp>
        <tr r="G8772" s="2"/>
      </tp>
    </main>
    <main first="rtdsrv_a82eb5a1fc404542a18b1336b70d2c4e">
      <tp>
        <v>5</v>
        <stp/>
        <stp>4b8b59a4-1bff-4cc3-88a6-cd178a48ca0e</stp>
        <tr r="G9912" s="2"/>
      </tp>
      <tp>
        <v>5</v>
        <stp/>
        <stp>8ca3a87f-0c82-46de-843f-3af4b949b99b</stp>
        <tr r="G1147" s="2"/>
      </tp>
      <tp>
        <v>5</v>
        <stp/>
        <stp>3044f878-d84e-45af-a213-a6dbc72b0ffc</stp>
        <tr r="G7228" s="2"/>
      </tp>
      <tp>
        <v>5</v>
        <stp/>
        <stp>24fe74c9-62b4-4f3f-b102-350e4043499c</stp>
        <tr r="G1925" s="2"/>
      </tp>
    </main>
    <main first="rtdsrv_a82eb5a1fc404542a18b1336b70d2c4e">
      <tp>
        <v>5</v>
        <stp/>
        <stp>26a04081-677a-4c07-b3da-7a14785d7f30</stp>
        <tr r="G982" s="2"/>
      </tp>
      <tp>
        <v>5</v>
        <stp/>
        <stp>cb8f63a4-e39a-410a-81b6-b58b3fd1388a</stp>
        <tr r="G9279" s="2"/>
      </tp>
    </main>
    <main first="rtdsrv_a82eb5a1fc404542a18b1336b70d2c4e">
      <tp>
        <v>5</v>
        <stp/>
        <stp>18c2037c-d780-49d8-bea8-49dd3f029576</stp>
        <tr r="G3162" s="2"/>
      </tp>
      <tp>
        <v>5</v>
        <stp/>
        <stp>c8d43636-334d-4993-b592-00302cd3f890</stp>
        <tr r="G5008" s="2"/>
      </tp>
      <tp>
        <v>5</v>
        <stp/>
        <stp>9aef3598-f245-4cb7-b491-7510bca37677</stp>
        <tr r="G905" s="2"/>
      </tp>
    </main>
    <main first="rtdsrv_a82eb5a1fc404542a18b1336b70d2c4e">
      <tp>
        <v>5</v>
        <stp/>
        <stp>95785375-393f-4ae8-8d49-df80e73c9421</stp>
        <tr r="G8171" s="2"/>
      </tp>
    </main>
    <main first="rtdsrv_a82eb5a1fc404542a18b1336b70d2c4e">
      <tp>
        <v>5</v>
        <stp/>
        <stp>946f6117-f27e-48c4-8e18-8e46e931ff3f</stp>
        <tr r="G341" s="2"/>
      </tp>
      <tp>
        <v>5</v>
        <stp/>
        <stp>b66509f6-a362-427c-a2d4-6feb4d93b729</stp>
        <tr r="G127" s="2"/>
      </tp>
    </main>
    <main first="rtdsrv_a82eb5a1fc404542a18b1336b70d2c4e">
      <tp>
        <v>5</v>
        <stp/>
        <stp>cf395b5b-ddc8-4bbe-9096-309035083edc</stp>
        <tr r="G6203" s="2"/>
      </tp>
    </main>
    <main first="rtdsrv_a82eb5a1fc404542a18b1336b70d2c4e">
      <tp>
        <v>5</v>
        <stp/>
        <stp>40864a9a-2ae4-443b-b99b-56970c3b611f</stp>
        <tr r="G9583" s="2"/>
      </tp>
      <tp>
        <v>5</v>
        <stp/>
        <stp>7a2172dd-812c-41db-9df0-809c745dc7b9</stp>
        <tr r="G7158" s="2"/>
      </tp>
      <tp>
        <v>5</v>
        <stp/>
        <stp>48d3b0b3-0c73-417b-b4ce-bd88fd6bfe7a</stp>
        <tr r="G1003" s="2"/>
      </tp>
      <tp>
        <v>5</v>
        <stp/>
        <stp>cdf075a3-e391-4ab6-a3d8-01f873a8c82a</stp>
        <tr r="G3" s="2"/>
      </tp>
      <tp>
        <v>5</v>
        <stp/>
        <stp>a02fd2d5-8b6a-4df0-bfde-b6bf3e1e1a8d</stp>
        <tr r="G9145" s="2"/>
      </tp>
      <tp>
        <v>5</v>
        <stp/>
        <stp>04a3046e-7cde-4813-8699-326d122fea35</stp>
        <tr r="G2044" s="2"/>
      </tp>
      <tp>
        <v>5</v>
        <stp/>
        <stp>3a4bc7f7-a14d-4dca-ad24-8b98791a2ce8</stp>
        <tr r="G504" s="2"/>
      </tp>
    </main>
    <main first="rtdsrv_a82eb5a1fc404542a18b1336b70d2c4e">
      <tp>
        <v>5</v>
        <stp/>
        <stp>fa9c308f-db1d-4d0f-9405-56a7089a4149</stp>
        <tr r="G8736" s="2"/>
      </tp>
      <tp>
        <v>5</v>
        <stp/>
        <stp>954b0fa1-c514-450c-b710-45f3328e194e</stp>
        <tr r="G1168" s="2"/>
      </tp>
    </main>
    <main first="rtdsrv_a82eb5a1fc404542a18b1336b70d2c4e">
      <tp>
        <v>5</v>
        <stp/>
        <stp>720e3b21-e73e-424d-9e99-6e0c25c1ade9</stp>
        <tr r="G7475" s="2"/>
      </tp>
      <tp>
        <v>5</v>
        <stp/>
        <stp>c7d3a37b-f038-44ad-aea2-f7cf280af481</stp>
        <tr r="G7226" s="2"/>
      </tp>
    </main>
    <main first="rtdsrv_a82eb5a1fc404542a18b1336b70d2c4e">
      <tp>
        <v>5</v>
        <stp/>
        <stp>6e971577-45b1-4965-8907-a83727fe12c2</stp>
        <tr r="G7579" s="2"/>
      </tp>
      <tp>
        <v>5</v>
        <stp/>
        <stp>a799db5f-4d26-4458-920f-7e882640bf8d</stp>
        <tr r="G8322" s="2"/>
      </tp>
    </main>
    <main first="rtdsrv_a82eb5a1fc404542a18b1336b70d2c4e">
      <tp>
        <v>5</v>
        <stp/>
        <stp>4659524e-ce6d-419e-a9cc-694b119f0506</stp>
        <tr r="G6455" s="2"/>
      </tp>
    </main>
    <main first="rtdsrv_a82eb5a1fc404542a18b1336b70d2c4e">
      <tp>
        <v>5</v>
        <stp/>
        <stp>9ccc3a2f-330c-41f2-b63f-1811ec95e765</stp>
        <tr r="G6398" s="2"/>
      </tp>
    </main>
    <main first="rtdsrv_a82eb5a1fc404542a18b1336b70d2c4e">
      <tp>
        <v>5</v>
        <stp/>
        <stp>2eff1b8b-1fa4-4b00-9c24-495a04aeaebf</stp>
        <tr r="G1515" s="2"/>
      </tp>
    </main>
    <main first="rtdsrv_a82eb5a1fc404542a18b1336b70d2c4e">
      <tp>
        <v>5</v>
        <stp/>
        <stp>bf6cb316-8d7c-4727-a748-12cb397cf949</stp>
        <tr r="G8291" s="2"/>
      </tp>
      <tp>
        <v>5</v>
        <stp/>
        <stp>6b6a09bd-4e0b-4477-b56c-8ec20c98f43a</stp>
        <tr r="G7879" s="2"/>
      </tp>
      <tp>
        <v>5</v>
        <stp/>
        <stp>16c81289-04aa-4248-995d-597ace304943</stp>
        <tr r="G9835" s="2"/>
      </tp>
    </main>
    <main first="rtdsrv_a82eb5a1fc404542a18b1336b70d2c4e">
      <tp>
        <v>5</v>
        <stp/>
        <stp>6a662cee-f813-4fbb-8a2c-572099ca9fb8</stp>
        <tr r="G7746" s="2"/>
      </tp>
    </main>
    <main first="rtdsrv_a82eb5a1fc404542a18b1336b70d2c4e">
      <tp>
        <v>5</v>
        <stp/>
        <stp>0fb834c6-5f8a-4209-a0f3-fb9b750cd3f7</stp>
        <tr r="G3916" s="2"/>
      </tp>
      <tp>
        <v>5</v>
        <stp/>
        <stp>cacf7393-0197-469d-8163-1b2ad9e2e74b</stp>
        <tr r="G2057" s="2"/>
      </tp>
    </main>
    <main first="rtdsrv_a82eb5a1fc404542a18b1336b70d2c4e">
      <tp>
        <v>5</v>
        <stp/>
        <stp>1dd146c1-88b5-46b1-87f4-57799b220458</stp>
        <tr r="G679" s="2"/>
      </tp>
      <tp>
        <v>5</v>
        <stp/>
        <stp>b1736c7f-4308-4511-9c4a-b55b7294e8ef</stp>
        <tr r="G4737" s="2"/>
      </tp>
      <tp>
        <v>5</v>
        <stp/>
        <stp>abf4352e-5252-48b6-ad58-69fd80744446</stp>
        <tr r="G8575" s="2"/>
      </tp>
      <tp>
        <v>5</v>
        <stp/>
        <stp>8313115b-dde0-483a-9ecd-a90aa46c7561</stp>
        <tr r="G5046" s="2"/>
      </tp>
    </main>
    <main first="rtdsrv_a82eb5a1fc404542a18b1336b70d2c4e">
      <tp>
        <v>5</v>
        <stp/>
        <stp>1d5ec7be-d03d-4158-a2c3-f40b8328c7b8</stp>
        <tr r="G3317" s="2"/>
      </tp>
      <tp>
        <v>5</v>
        <stp/>
        <stp>f487585e-644f-4aec-9c1c-35d5a29bd33e</stp>
        <tr r="G4665" s="2"/>
      </tp>
    </main>
    <main first="rtdsrv_a82eb5a1fc404542a18b1336b70d2c4e">
      <tp>
        <v>5</v>
        <stp/>
        <stp>807d5be2-e219-4f82-82bd-d8ea5ac35b6f</stp>
        <tr r="G3211" s="2"/>
      </tp>
    </main>
    <main first="rtdsrv_a82eb5a1fc404542a18b1336b70d2c4e">
      <tp>
        <v>5</v>
        <stp/>
        <stp>dcd43b35-5d22-48c4-be55-5d093478395b</stp>
        <tr r="G9765" s="2"/>
      </tp>
    </main>
    <main first="rtdsrv_a82eb5a1fc404542a18b1336b70d2c4e">
      <tp>
        <v>5</v>
        <stp/>
        <stp>1266387f-3715-48f4-85f2-2752e5c745f4</stp>
        <tr r="G3747" s="2"/>
      </tp>
      <tp>
        <v>5</v>
        <stp/>
        <stp>f4544923-abd9-4c8e-a20d-8a314206b664</stp>
        <tr r="G2073" s="2"/>
      </tp>
      <tp>
        <v>5</v>
        <stp/>
        <stp>66677ad4-c20c-46e3-abe1-f5ca52e0d9cf</stp>
        <tr r="G9071" s="2"/>
      </tp>
      <tp>
        <v>5</v>
        <stp/>
        <stp>2c0895fa-4f7e-4ca5-ad1e-93a100182916</stp>
        <tr r="G7593" s="2"/>
      </tp>
    </main>
    <main first="rtdsrv_a82eb5a1fc404542a18b1336b70d2c4e">
      <tp>
        <v>5</v>
        <stp/>
        <stp>30b7d347-6b79-4333-8f08-d9de128bfadc</stp>
        <tr r="G7814" s="2"/>
      </tp>
    </main>
    <main first="rtdsrv_a82eb5a1fc404542a18b1336b70d2c4e">
      <tp>
        <v>5</v>
        <stp/>
        <stp>3e58198b-b8af-43fb-b8c0-83b224baad1c</stp>
        <tr r="G2752" s="2"/>
      </tp>
      <tp>
        <v>5</v>
        <stp/>
        <stp>b7f3de17-1c76-48d4-af84-f10567152551</stp>
        <tr r="G7742" s="2"/>
      </tp>
      <tp>
        <v>5</v>
        <stp/>
        <stp>a481ed04-6a8c-4bef-bfbd-004a8949278a</stp>
        <tr r="G4069" s="2"/>
      </tp>
      <tp>
        <v>5</v>
        <stp/>
        <stp>b16680e8-9cc0-4255-948f-3b1f323559a0</stp>
        <tr r="G3040" s="2"/>
      </tp>
    </main>
    <main first="rtdsrv_a82eb5a1fc404542a18b1336b70d2c4e">
      <tp>
        <v>5</v>
        <stp/>
        <stp>7200c6e2-da8c-4221-a9dd-a80734fade39</stp>
        <tr r="G8134" s="2"/>
      </tp>
      <tp>
        <v>5</v>
        <stp/>
        <stp>8954570b-ddf6-4889-b36c-5de5a819fecf</stp>
        <tr r="G1853" s="2"/>
      </tp>
    </main>
    <main first="rtdsrv_a82eb5a1fc404542a18b1336b70d2c4e">
      <tp>
        <v>5</v>
        <stp/>
        <stp>33c60548-eb75-40d1-961e-5d6ce97f8bd7</stp>
        <tr r="G2444" s="2"/>
      </tp>
    </main>
    <main first="rtdsrv_a82eb5a1fc404542a18b1336b70d2c4e">
      <tp>
        <v>5</v>
        <stp/>
        <stp>2120ab10-159f-406a-8856-b9879f882553</stp>
        <tr r="G1012" s="2"/>
      </tp>
      <tp>
        <v>5</v>
        <stp/>
        <stp>948dc0b3-d320-4aff-8259-79dd6f3ad024</stp>
        <tr r="G3708" s="2"/>
      </tp>
      <tp>
        <v>5</v>
        <stp/>
        <stp>9c235bae-714e-456e-9885-1d3a97f25d70</stp>
        <tr r="G4117" s="2"/>
      </tp>
    </main>
    <main first="rtdsrv_a82eb5a1fc404542a18b1336b70d2c4e">
      <tp>
        <v>5</v>
        <stp/>
        <stp>30ce2b7b-9fa8-4cbd-914c-0304752e1aff</stp>
        <tr r="G9834" s="2"/>
      </tp>
    </main>
    <main first="rtdsrv_a82eb5a1fc404542a18b1336b70d2c4e">
      <tp>
        <v>5</v>
        <stp/>
        <stp>903eb3b2-ed77-4da0-afef-b9fe32d7addc</stp>
        <tr r="G3476" s="2"/>
      </tp>
    </main>
    <main first="rtdsrv_a82eb5a1fc404542a18b1336b70d2c4e">
      <tp>
        <v>5</v>
        <stp/>
        <stp>75891e7e-09a2-496e-b0c5-49662b314a33</stp>
        <tr r="G7887" s="2"/>
      </tp>
    </main>
    <main first="rtdsrv_a82eb5a1fc404542a18b1336b70d2c4e">
      <tp>
        <v>5</v>
        <stp/>
        <stp>8499e092-e495-4e35-b18a-5ff7cfbbf0d3</stp>
        <tr r="G3265" s="2"/>
      </tp>
    </main>
    <main first="rtdsrv_a82eb5a1fc404542a18b1336b70d2c4e">
      <tp>
        <v>5</v>
        <stp/>
        <stp>36878d96-84c2-4ca2-911c-79b4551a1902</stp>
        <tr r="G8958" s="2"/>
      </tp>
    </main>
    <main first="rtdsrv_a82eb5a1fc404542a18b1336b70d2c4e">
      <tp>
        <v>5</v>
        <stp/>
        <stp>814a27fe-a9b3-45cd-a86d-60ce6a8308be</stp>
        <tr r="G7534" s="2"/>
      </tp>
    </main>
    <main first="rtdsrv_a82eb5a1fc404542a18b1336b70d2c4e">
      <tp>
        <v>5</v>
        <stp/>
        <stp>97d454b5-0517-4db7-8d9c-311ec3a3dc67</stp>
        <tr r="G398" s="2"/>
      </tp>
    </main>
    <main first="rtdsrv_a82eb5a1fc404542a18b1336b70d2c4e">
      <tp>
        <v>5</v>
        <stp/>
        <stp>44b0d1d6-38b5-48e6-a184-7b08a25cc494</stp>
        <tr r="G458" s="2"/>
      </tp>
      <tp>
        <v>5</v>
        <stp/>
        <stp>d917243c-d195-44b2-9222-8a5d0cc6a7aa</stp>
        <tr r="G4019" s="2"/>
      </tp>
    </main>
    <main first="rtdsrv_a82eb5a1fc404542a18b1336b70d2c4e">
      <tp>
        <v>5</v>
        <stp/>
        <stp>460f3298-6f99-4eef-80cc-8397eaffd9e5</stp>
        <tr r="G8288" s="2"/>
      </tp>
    </main>
    <main first="rtdsrv_a82eb5a1fc404542a18b1336b70d2c4e">
      <tp>
        <v>5</v>
        <stp/>
        <stp>ae11d5d7-68a2-4bf8-95d0-761d6d9324c3</stp>
        <tr r="G1362" s="2"/>
      </tp>
      <tp>
        <v>5</v>
        <stp/>
        <stp>7c3413e2-9ceb-4b72-9d34-930fcdd38cc4</stp>
        <tr r="G298" s="2"/>
      </tp>
    </main>
    <main first="rtdsrv_a82eb5a1fc404542a18b1336b70d2c4e">
      <tp>
        <v>5</v>
        <stp/>
        <stp>b1296ba2-b376-46eb-8b9b-da761e633242</stp>
        <tr r="G1431" s="2"/>
      </tp>
    </main>
    <main first="rtdsrv_a82eb5a1fc404542a18b1336b70d2c4e">
      <tp>
        <v>5</v>
        <stp/>
        <stp>f7abcc7c-4dba-4eb5-ba43-48e4ff1c8cb5</stp>
        <tr r="G7159" s="2"/>
      </tp>
      <tp>
        <v>5</v>
        <stp/>
        <stp>c32aca71-5237-4c89-a843-dbe4ef4fd2b4</stp>
        <tr r="G4409" s="2"/>
      </tp>
      <tp>
        <v>5</v>
        <stp/>
        <stp>55fd7975-068c-40ea-978e-d8221ebd5de6</stp>
        <tr r="G3257" s="2"/>
      </tp>
    </main>
    <main first="rtdsrv_a82eb5a1fc404542a18b1336b70d2c4e">
      <tp>
        <v>5</v>
        <stp/>
        <stp>c92d853d-4534-4fd3-ae2c-eb27f2c44515</stp>
        <tr r="G9100" s="2"/>
      </tp>
    </main>
    <main first="rtdsrv_a82eb5a1fc404542a18b1336b70d2c4e">
      <tp>
        <v>5</v>
        <stp/>
        <stp>455c7f00-583a-4c25-ab25-02a6c78f78f1</stp>
        <tr r="G3535" s="2"/>
      </tp>
      <tp>
        <v>5</v>
        <stp/>
        <stp>37ff988d-bd37-4196-8420-97ffa49486bd</stp>
        <tr r="G7620" s="2"/>
      </tp>
      <tp>
        <v>5</v>
        <stp/>
        <stp>3d6b9033-26c6-44b5-95ed-452f29342faf</stp>
        <tr r="G1664" s="2"/>
      </tp>
      <tp>
        <v>5</v>
        <stp/>
        <stp>fc8233cc-5b52-44a9-ad68-c5d29e433ffd</stp>
        <tr r="G110" s="2"/>
      </tp>
    </main>
    <main first="rtdsrv_a82eb5a1fc404542a18b1336b70d2c4e">
      <tp>
        <v>5</v>
        <stp/>
        <stp>fa83768b-2516-430b-9291-347dce63b32a</stp>
        <tr r="G5651" s="2"/>
      </tp>
      <tp>
        <v>5</v>
        <stp/>
        <stp>aae417cb-4a00-426b-8ce6-290955e2c539</stp>
        <tr r="G5676" s="2"/>
      </tp>
      <tp>
        <v>5</v>
        <stp/>
        <stp>183dad1f-e7a0-4579-a9b3-69beb1e5b669</stp>
        <tr r="G8704" s="2"/>
      </tp>
    </main>
    <main first="rtdsrv_a82eb5a1fc404542a18b1336b70d2c4e">
      <tp>
        <v>5</v>
        <stp/>
        <stp>27d938e4-5e40-4835-8b54-fe02e5b2465b</stp>
        <tr r="G4206" s="2"/>
      </tp>
      <tp>
        <v>5</v>
        <stp/>
        <stp>6ae3c832-e735-4875-8e4b-e03c3fd437da</stp>
        <tr r="G5087" s="2"/>
      </tp>
    </main>
    <main first="rtdsrv_a82eb5a1fc404542a18b1336b70d2c4e">
      <tp>
        <v>5</v>
        <stp/>
        <stp>793e4eeb-6e5e-43dd-98f2-c58bd299230e</stp>
        <tr r="G6580" s="2"/>
      </tp>
      <tp>
        <v>5</v>
        <stp/>
        <stp>d522b9fe-e2fa-437d-a3b1-8459da786feb</stp>
        <tr r="G947" s="2"/>
      </tp>
    </main>
    <main first="rtdsrv_a82eb5a1fc404542a18b1336b70d2c4e">
      <tp>
        <v>5</v>
        <stp/>
        <stp>56fa34e9-8bbe-4f77-83f4-22e9acdbdfd3</stp>
        <tr r="G6841" s="2"/>
      </tp>
      <tp>
        <v>5</v>
        <stp/>
        <stp>f8025a1f-064e-4f16-b742-76b2b6e9172c</stp>
        <tr r="G1464" s="2"/>
      </tp>
    </main>
    <main first="rtdsrv_a82eb5a1fc404542a18b1336b70d2c4e">
      <tp>
        <v>5</v>
        <stp/>
        <stp>60eb3e75-22de-4d5a-9cb3-5dc1081d0d11</stp>
        <tr r="G2328" s="2"/>
      </tp>
    </main>
    <main first="rtdsrv_a82eb5a1fc404542a18b1336b70d2c4e">
      <tp>
        <v>5</v>
        <stp/>
        <stp>4ae77a2c-b57e-402b-be9d-d8582dbc19aa</stp>
        <tr r="G5593" s="2"/>
      </tp>
      <tp>
        <v>5</v>
        <stp/>
        <stp>21ec350e-b739-4629-a6ac-e12c9510df2f</stp>
        <tr r="G7863" s="2"/>
      </tp>
    </main>
    <main first="rtdsrv_a82eb5a1fc404542a18b1336b70d2c4e">
      <tp>
        <v>5</v>
        <stp/>
        <stp>c203c98e-5a76-4e8d-a34d-540b1b5f8d83</stp>
        <tr r="G1559" s="2"/>
      </tp>
      <tp>
        <v>5</v>
        <stp/>
        <stp>f7f9c93c-6461-45f2-8dd4-52bd936fe310</stp>
        <tr r="G4155" s="2"/>
      </tp>
      <tp>
        <v>5</v>
        <stp/>
        <stp>abb2f739-8e79-4d03-87db-1cf38adc9ddc</stp>
        <tr r="G6713" s="2"/>
      </tp>
    </main>
    <main first="rtdsrv_a82eb5a1fc404542a18b1336b70d2c4e">
      <tp>
        <v>5</v>
        <stp/>
        <stp>ee938064-f7ed-478e-a3bf-a398f92a9be2</stp>
        <tr r="G4443" s="2"/>
      </tp>
      <tp>
        <v>5</v>
        <stp/>
        <stp>5c056c16-70ec-4353-b5b1-a366a835e140</stp>
        <tr r="G9958" s="2"/>
      </tp>
      <tp>
        <v>5</v>
        <stp/>
        <stp>3fc139fb-bd07-4cbd-a95b-a740ba7dff15</stp>
        <tr r="G1976" s="2"/>
      </tp>
      <tp>
        <v>5</v>
        <stp/>
        <stp>246d77de-b011-41b8-9ecc-1cc4415794f5</stp>
        <tr r="G9355" s="2"/>
      </tp>
    </main>
    <main first="rtdsrv_a82eb5a1fc404542a18b1336b70d2c4e">
      <tp>
        <v>5</v>
        <stp/>
        <stp>2d9e7e0b-cfa3-4a29-a708-29b5d653c814</stp>
        <tr r="G3236" s="2"/>
      </tp>
      <tp>
        <v>5</v>
        <stp/>
        <stp>c53c2500-fd7c-42b5-95e1-d5785f1519a6</stp>
        <tr r="G7778" s="2"/>
      </tp>
      <tp>
        <v>5</v>
        <stp/>
        <stp>6b3a6020-667a-4f66-beee-29dc60b05bef</stp>
        <tr r="G4879" s="2"/>
      </tp>
    </main>
    <main first="rtdsrv_a82eb5a1fc404542a18b1336b70d2c4e">
      <tp>
        <v>5</v>
        <stp/>
        <stp>238469c4-06cb-4557-a9e8-ff5f46b13d33</stp>
        <tr r="G3901" s="2"/>
      </tp>
    </main>
    <main first="rtdsrv_a82eb5a1fc404542a18b1336b70d2c4e">
      <tp>
        <v>5</v>
        <stp/>
        <stp>2e27cb14-8d85-42ce-a94e-9d05ac33d507</stp>
        <tr r="G4548" s="2"/>
      </tp>
      <tp>
        <v>5</v>
        <stp/>
        <stp>dc888368-f884-4f73-a02f-bea89918571f</stp>
        <tr r="G1555" s="2"/>
      </tp>
    </main>
    <main first="rtdsrv_a82eb5a1fc404542a18b1336b70d2c4e">
      <tp>
        <v>5</v>
        <stp/>
        <stp>c88ae1dc-732e-4694-bf78-0f411a3aefb1</stp>
        <tr r="G3321" s="2"/>
      </tp>
    </main>
    <main first="rtdsrv_a82eb5a1fc404542a18b1336b70d2c4e">
      <tp>
        <v>5</v>
        <stp/>
        <stp>55297cfb-cb41-4266-a4a4-9fe8a907dae1</stp>
        <tr r="G1484" s="2"/>
      </tp>
      <tp>
        <v>5</v>
        <stp/>
        <stp>d1b17913-31d2-4153-833b-b992ef32b88a</stp>
        <tr r="G9533" s="2"/>
      </tp>
    </main>
    <main first="rtdsrv_a82eb5a1fc404542a18b1336b70d2c4e">
      <tp>
        <v>5</v>
        <stp/>
        <stp>a4d8de65-53ad-4279-b4d7-7f7915ef7667</stp>
        <tr r="G519" s="2"/>
      </tp>
    </main>
    <main first="rtdsrv_a82eb5a1fc404542a18b1336b70d2c4e">
      <tp>
        <v>5</v>
        <stp/>
        <stp>8eb3b794-d6d5-40ef-8c28-16782017d8a2</stp>
        <tr r="G2383" s="2"/>
      </tp>
    </main>
    <main first="rtdsrv_a82eb5a1fc404542a18b1336b70d2c4e">
      <tp>
        <v>5</v>
        <stp/>
        <stp>b7c09c94-98e1-4a25-a6ad-023fe5d2abce</stp>
        <tr r="G6431" s="2"/>
      </tp>
      <tp>
        <v>5</v>
        <stp/>
        <stp>a9d88077-f547-4788-9a77-0067784014ac</stp>
        <tr r="G1238" s="2"/>
      </tp>
      <tp>
        <v>5</v>
        <stp/>
        <stp>6dba90dd-0c6d-4dcf-a19d-61e55a7fd7a7</stp>
        <tr r="G4955" s="2"/>
      </tp>
    </main>
    <main first="rtdsrv_a82eb5a1fc404542a18b1336b70d2c4e">
      <tp>
        <v>5</v>
        <stp/>
        <stp>7ced5450-3967-4ac7-9e72-6887332bc3c2</stp>
        <tr r="G7785" s="2"/>
      </tp>
      <tp>
        <v>5</v>
        <stp/>
        <stp>dea9f401-60f2-4762-b887-c3b66127134c</stp>
        <tr r="G318" s="2"/>
      </tp>
      <tp>
        <v>5</v>
        <stp/>
        <stp>d6d1b978-028f-4a91-bdb3-a376442e57de</stp>
        <tr r="G4643" s="2"/>
      </tp>
      <tp>
        <v>5</v>
        <stp/>
        <stp>9735045a-2d90-47c9-8747-ad2d32e3d615</stp>
        <tr r="G268" s="2"/>
      </tp>
    </main>
    <main first="rtdsrv_a82eb5a1fc404542a18b1336b70d2c4e">
      <tp>
        <v>5</v>
        <stp/>
        <stp>fe1eeefe-7473-4ea3-bf24-82e639628a79</stp>
        <tr r="G8583" s="2"/>
      </tp>
      <tp>
        <v>5</v>
        <stp/>
        <stp>585a123f-79b6-47c0-9e11-238fb515df46</stp>
        <tr r="G4153" s="2"/>
      </tp>
      <tp>
        <v>5</v>
        <stp/>
        <stp>1936b6e5-09c7-4c35-95e9-36e5eff62cf7</stp>
        <tr r="G4377" s="2"/>
      </tp>
    </main>
    <main first="rtdsrv_a82eb5a1fc404542a18b1336b70d2c4e">
      <tp>
        <v>5</v>
        <stp/>
        <stp>2903c0e8-a37d-4f03-bbbd-ca1bf1ce45c0</stp>
        <tr r="G10000" s="2"/>
      </tp>
    </main>
    <main first="rtdsrv_a82eb5a1fc404542a18b1336b70d2c4e">
      <tp>
        <v>5</v>
        <stp/>
        <stp>6300985b-dae7-4a61-9f70-91c691784530</stp>
        <tr r="G9936" s="2"/>
      </tp>
    </main>
    <main first="rtdsrv_a82eb5a1fc404542a18b1336b70d2c4e">
      <tp>
        <v>5</v>
        <stp/>
        <stp>b0a88a68-a58a-4a46-a312-b1f429a48cde</stp>
        <tr r="G3592" s="2"/>
      </tp>
      <tp>
        <v>5</v>
        <stp/>
        <stp>b477c9dc-3fd1-4aaf-952a-51b3d60c715e</stp>
        <tr r="G9162" s="2"/>
      </tp>
      <tp>
        <v>5</v>
        <stp/>
        <stp>a5d7b0e5-2aa6-4da2-8333-557f89fe2f1e</stp>
        <tr r="G1229" s="2"/>
      </tp>
      <tp>
        <v>5</v>
        <stp/>
        <stp>d4d433bf-308c-41a0-8b7a-a3c2ae285952</stp>
        <tr r="G1219" s="2"/>
      </tp>
      <tp>
        <v>5</v>
        <stp/>
        <stp>8c096465-b7e2-4d89-bcab-00c28e8a5dd9</stp>
        <tr r="G8608" s="2"/>
      </tp>
    </main>
    <main first="rtdsrv_a82eb5a1fc404542a18b1336b70d2c4e">
      <tp>
        <v>5</v>
        <stp/>
        <stp>38f0fb32-afd3-4643-a5f5-3f8cfdfa5040</stp>
        <tr r="G3977" s="2"/>
      </tp>
    </main>
    <main first="rtdsrv_a82eb5a1fc404542a18b1336b70d2c4e">
      <tp>
        <v>5</v>
        <stp/>
        <stp>43b69b57-239a-42db-ba1d-7859728c3fae</stp>
        <tr r="G3994" s="2"/>
      </tp>
      <tp>
        <v>5</v>
        <stp/>
        <stp>812b9c21-1153-4f93-ad58-b8f05c24bb16</stp>
        <tr r="G1293" s="2"/>
      </tp>
      <tp>
        <v>5</v>
        <stp/>
        <stp>e5538ed8-1414-4cfb-a36a-0a47018469de</stp>
        <tr r="G7591" s="2"/>
      </tp>
    </main>
    <main first="rtdsrv_a82eb5a1fc404542a18b1336b70d2c4e">
      <tp>
        <v>5</v>
        <stp/>
        <stp>3cf40e92-8e23-4854-8563-017215390daf</stp>
        <tr r="G3379" s="2"/>
      </tp>
    </main>
    <main first="rtdsrv_a82eb5a1fc404542a18b1336b70d2c4e">
      <tp>
        <v>5</v>
        <stp/>
        <stp>6e7776ef-1433-4193-8653-4813dd869d1a</stp>
        <tr r="G4779" s="2"/>
      </tp>
    </main>
    <main first="rtdsrv_a82eb5a1fc404542a18b1336b70d2c4e">
      <tp>
        <v>5</v>
        <stp/>
        <stp>d7d3d840-2a14-4a4a-9999-5077300a39b7</stp>
        <tr r="G4085" s="2"/>
      </tp>
      <tp>
        <v>5</v>
        <stp/>
        <stp>6f427b91-c55b-4f8c-b6a1-10e3c187c89b</stp>
        <tr r="G9542" s="2"/>
      </tp>
    </main>
    <main first="rtdsrv_a82eb5a1fc404542a18b1336b70d2c4e">
      <tp>
        <v>5</v>
        <stp/>
        <stp>03a1ea36-e2a8-4cf3-a18e-b58f17d83b4e</stp>
        <tr r="G1565" s="2"/>
      </tp>
    </main>
    <main first="rtdsrv_a82eb5a1fc404542a18b1336b70d2c4e">
      <tp>
        <v>5</v>
        <stp/>
        <stp>67113950-4976-49df-b60e-9ffc7b5d94f3</stp>
        <tr r="G6077" s="2"/>
      </tp>
      <tp>
        <v>5</v>
        <stp/>
        <stp>b0bf7e8e-7c0d-42ae-b391-dde4a15e4767</stp>
        <tr r="G1952" s="2"/>
      </tp>
    </main>
    <main first="rtdsrv_a82eb5a1fc404542a18b1336b70d2c4e">
      <tp>
        <v>5</v>
        <stp/>
        <stp>48d5b36c-58df-4bd5-8ee9-718356ff35c2</stp>
        <tr r="G6326" s="2"/>
      </tp>
      <tp>
        <v>5</v>
        <stp/>
        <stp>e548236b-3f12-4c7f-bd30-aad0e8fcfe80</stp>
        <tr r="G7792" s="2"/>
      </tp>
      <tp>
        <v>5</v>
        <stp/>
        <stp>9ec44a2e-89ec-4e90-ae33-40ed424d1ad9</stp>
        <tr r="G9208" s="2"/>
      </tp>
      <tp>
        <v>5</v>
        <stp/>
        <stp>0af7949d-4746-4708-bbe5-f47242e56fac</stp>
        <tr r="G4483" s="2"/>
      </tp>
      <tp>
        <v>5</v>
        <stp/>
        <stp>5f004024-ce19-4ea4-ac5a-949aa8f3fd72</stp>
        <tr r="G4324" s="2"/>
      </tp>
    </main>
    <main first="rtdsrv_a82eb5a1fc404542a18b1336b70d2c4e">
      <tp>
        <v>5</v>
        <stp/>
        <stp>a3dbadf5-fc79-45b2-b844-0f8814504978</stp>
        <tr r="G7359" s="2"/>
      </tp>
      <tp>
        <v>5</v>
        <stp/>
        <stp>52629336-97f3-406b-a87b-6efe7c8de7a3</stp>
        <tr r="G99" s="2"/>
      </tp>
    </main>
    <main first="rtdsrv_a82eb5a1fc404542a18b1336b70d2c4e">
      <tp>
        <v>5</v>
        <stp/>
        <stp>1df98cb7-7e92-4c9c-93d9-5810251eef70</stp>
        <tr r="G9267" s="2"/>
      </tp>
      <tp>
        <v>5</v>
        <stp/>
        <stp>7f371042-08c1-48df-bd7f-fe7e29cf97b6</stp>
        <tr r="G75" s="2"/>
      </tp>
    </main>
    <main first="rtdsrv_a82eb5a1fc404542a18b1336b70d2c4e">
      <tp>
        <v>5</v>
        <stp/>
        <stp>f928509e-9de2-4b42-b4b8-e98f04486141</stp>
        <tr r="G145" s="2"/>
      </tp>
    </main>
    <main first="rtdsrv_a82eb5a1fc404542a18b1336b70d2c4e">
      <tp>
        <v>5</v>
        <stp/>
        <stp>663fe633-93bd-40ef-a1d8-8cd5b1e6a5e9</stp>
        <tr r="G135" s="2"/>
      </tp>
      <tp>
        <v>5</v>
        <stp/>
        <stp>9c917e32-7719-49ff-b11b-171b2490398c</stp>
        <tr r="G8811" s="2"/>
      </tp>
    </main>
    <main first="rtdsrv_a82eb5a1fc404542a18b1336b70d2c4e">
      <tp>
        <v>5</v>
        <stp/>
        <stp>7726240d-69ec-4d18-bef5-fca637adbca8</stp>
        <tr r="G4536" s="2"/>
      </tp>
    </main>
    <main first="rtdsrv_a82eb5a1fc404542a18b1336b70d2c4e">
      <tp>
        <v>5</v>
        <stp/>
        <stp>8a4d8572-d821-46c2-a8e1-e25fc0e0e92a</stp>
        <tr r="G3370" s="2"/>
      </tp>
      <tp>
        <v>5</v>
        <stp/>
        <stp>afeec1d2-8c5a-4cb7-b319-9bd72357ddbf</stp>
        <tr r="G4996" s="2"/>
      </tp>
    </main>
    <main first="rtdsrv_a82eb5a1fc404542a18b1336b70d2c4e">
      <tp>
        <v>5</v>
        <stp/>
        <stp>c842e85d-972f-491e-98b6-1c4c79dd088d</stp>
        <tr r="G3824" s="2"/>
      </tp>
    </main>
    <main first="rtdsrv_a82eb5a1fc404542a18b1336b70d2c4e">
      <tp>
        <v>5</v>
        <stp/>
        <stp>3a3a4de8-b789-4956-a48d-418d6118f5dd</stp>
        <tr r="G618" s="2"/>
      </tp>
    </main>
    <main first="rtdsrv_a82eb5a1fc404542a18b1336b70d2c4e">
      <tp>
        <v>5</v>
        <stp/>
        <stp>d6915aa6-4ca5-483a-81be-4616d251e824</stp>
        <tr r="G9152" s="2"/>
      </tp>
    </main>
    <main first="rtdsrv_a82eb5a1fc404542a18b1336b70d2c4e">
      <tp>
        <v>5</v>
        <stp/>
        <stp>2eb14c78-38a9-473a-980c-e9218e1d0deb</stp>
        <tr r="G6201" s="2"/>
      </tp>
    </main>
    <main first="rtdsrv_a82eb5a1fc404542a18b1336b70d2c4e">
      <tp>
        <v>5</v>
        <stp/>
        <stp>e8bb524c-38cf-4992-b311-0e7f3b517a53</stp>
        <tr r="G1386" s="2"/>
      </tp>
    </main>
    <main first="rtdsrv_a82eb5a1fc404542a18b1336b70d2c4e">
      <tp>
        <v>5</v>
        <stp/>
        <stp>294307e9-5a57-4e9a-b334-17881438f6f9</stp>
        <tr r="G1342" s="2"/>
      </tp>
      <tp>
        <v>5</v>
        <stp/>
        <stp>7e8feb14-6bfd-4b2d-b274-35d1a8d1e368</stp>
        <tr r="G3071" s="2"/>
      </tp>
    </main>
    <main first="rtdsrv_a82eb5a1fc404542a18b1336b70d2c4e">
      <tp>
        <v>5</v>
        <stp/>
        <stp>41a22347-96e1-4610-ace4-a4536b384d84</stp>
        <tr r="G1735" s="2"/>
      </tp>
    </main>
    <main first="rtdsrv_a82eb5a1fc404542a18b1336b70d2c4e">
      <tp>
        <v>5</v>
        <stp/>
        <stp>7cc064a4-bfc6-460d-ae68-69bd4a4fbccb</stp>
        <tr r="G4564" s="2"/>
      </tp>
    </main>
    <main first="rtdsrv_a82eb5a1fc404542a18b1336b70d2c4e">
      <tp>
        <v>5</v>
        <stp/>
        <stp>f7d9a353-b57b-47e9-acab-717f8c8920c0</stp>
        <tr r="G409" s="2"/>
      </tp>
    </main>
    <main first="rtdsrv_a82eb5a1fc404542a18b1336b70d2c4e">
      <tp>
        <v>5</v>
        <stp/>
        <stp>cc1e163d-75de-4292-8f9f-0e78eb9a9255</stp>
        <tr r="G1599" s="2"/>
      </tp>
    </main>
    <main first="rtdsrv_a82eb5a1fc404542a18b1336b70d2c4e">
      <tp>
        <v>5</v>
        <stp/>
        <stp>1666acbd-c7b2-4568-8a04-2ab51e99effe</stp>
        <tr r="G1720" s="2"/>
      </tp>
      <tp>
        <v>5</v>
        <stp/>
        <stp>1f02d7da-74f4-45b3-a978-a1a288a31720</stp>
        <tr r="G6655" s="2"/>
      </tp>
      <tp>
        <v>5</v>
        <stp/>
        <stp>d1895e9f-ddad-43b9-b12d-266c9ae8108d</stp>
        <tr r="G8854" s="2"/>
      </tp>
    </main>
    <main first="rtdsrv_a82eb5a1fc404542a18b1336b70d2c4e">
      <tp>
        <v>5</v>
        <stp/>
        <stp>45a8cb8d-92b6-443e-ae69-ac86dc542a56</stp>
        <tr r="G4878" s="2"/>
      </tp>
    </main>
    <main first="rtdsrv_a82eb5a1fc404542a18b1336b70d2c4e">
      <tp>
        <v>5</v>
        <stp/>
        <stp>116199e1-facc-4925-8503-7ada6f91c076</stp>
        <tr r="G2593" s="2"/>
      </tp>
      <tp>
        <v>5</v>
        <stp/>
        <stp>c1d1108d-a1b2-4224-9a06-12c9d87e02de</stp>
        <tr r="G5799" s="2"/>
      </tp>
    </main>
    <main first="rtdsrv_a82eb5a1fc404542a18b1336b70d2c4e">
      <tp>
        <v>5</v>
        <stp/>
        <stp>ae75c84b-c2c9-4f40-9375-3b62dca04d8c</stp>
        <tr r="G3254" s="2"/>
      </tp>
    </main>
    <main first="rtdsrv_a82eb5a1fc404542a18b1336b70d2c4e">
      <tp>
        <v>5</v>
        <stp/>
        <stp>3e538a69-0678-4c44-a0e8-f6d53932c61a</stp>
        <tr r="G824" s="2"/>
      </tp>
      <tp>
        <v>5</v>
        <stp/>
        <stp>923ae79a-bade-4a38-884b-9f275cfc8260</stp>
        <tr r="G8530" s="2"/>
      </tp>
    </main>
    <main first="rtdsrv_a82eb5a1fc404542a18b1336b70d2c4e">
      <tp>
        <v>5</v>
        <stp/>
        <stp>97ba2403-6411-4701-85f2-84a9b9def352</stp>
        <tr r="G76" s="2"/>
      </tp>
    </main>
    <main first="rtdsrv_a82eb5a1fc404542a18b1336b70d2c4e">
      <tp>
        <v>5</v>
        <stp/>
        <stp>929de809-bd3f-4220-ba38-6ac23544fcf5</stp>
        <tr r="G6618" s="2"/>
      </tp>
      <tp>
        <v>5</v>
        <stp/>
        <stp>62b76134-8569-4695-809c-18fd353d2f62</stp>
        <tr r="G2019" s="2"/>
      </tp>
    </main>
    <main first="rtdsrv_a82eb5a1fc404542a18b1336b70d2c4e">
      <tp>
        <v>5</v>
        <stp/>
        <stp>c6cc8e30-5390-4c6f-8a20-e5593cc188ac</stp>
        <tr r="G6462" s="2"/>
      </tp>
      <tp>
        <v>5</v>
        <stp/>
        <stp>60ee0938-2362-43fb-86ba-8d29d4f49746</stp>
        <tr r="G1260" s="2"/>
      </tp>
      <tp>
        <v>5</v>
        <stp/>
        <stp>eb232896-5680-4fcb-9ddb-5ee59a9761fd</stp>
        <tr r="G9169" s="2"/>
      </tp>
      <tp>
        <v>5</v>
        <stp/>
        <stp>f10d39d3-8eb0-4775-97e7-44c5e0c338c9</stp>
        <tr r="G3677" s="2"/>
      </tp>
      <tp>
        <v>5</v>
        <stp/>
        <stp>56be0c36-473b-40d8-a414-74d14a21eaa4</stp>
        <tr r="G9430" s="2"/>
      </tp>
      <tp>
        <v>5</v>
        <stp/>
        <stp>d3479cec-21d2-4606-83b6-fe248909b613</stp>
        <tr r="G8875" s="2"/>
      </tp>
      <tp>
        <v>5</v>
        <stp/>
        <stp>2a87f413-bbc7-4ca7-ae69-a135fcffb8b6</stp>
        <tr r="G4350" s="2"/>
      </tp>
    </main>
    <main first="rtdsrv_a82eb5a1fc404542a18b1336b70d2c4e">
      <tp>
        <v>5</v>
        <stp/>
        <stp>e35cc7db-d973-44e3-8c91-f495f0a542d8</stp>
        <tr r="G3193" s="2"/>
      </tp>
    </main>
    <main first="rtdsrv_a82eb5a1fc404542a18b1336b70d2c4e">
      <tp>
        <v>5</v>
        <stp/>
        <stp>1aa95f75-2451-40c4-b897-94513f7eb623</stp>
        <tr r="G1426" s="2"/>
      </tp>
      <tp>
        <v>5</v>
        <stp/>
        <stp>9e846e42-b848-4339-8aaf-34f6eaf46375</stp>
        <tr r="G3520" s="2"/>
      </tp>
    </main>
    <main first="rtdsrv_a82eb5a1fc404542a18b1336b70d2c4e">
      <tp>
        <v>5</v>
        <stp/>
        <stp>c513d873-c0be-4b59-bab7-58cf652a5d57</stp>
        <tr r="G1252" s="2"/>
      </tp>
    </main>
    <main first="rtdsrv_a82eb5a1fc404542a18b1336b70d2c4e">
      <tp>
        <v>5</v>
        <stp/>
        <stp>3187cdbe-3dd3-40ed-9194-54d36b83913f</stp>
        <tr r="G4188" s="2"/>
      </tp>
    </main>
    <main first="rtdsrv_a82eb5a1fc404542a18b1336b70d2c4e">
      <tp>
        <v>5</v>
        <stp/>
        <stp>859b26d5-7eab-4d52-adff-03aaa8ac6785</stp>
        <tr r="G2748" s="2"/>
      </tp>
      <tp>
        <v>5</v>
        <stp/>
        <stp>69addee7-6009-45bc-98ff-070180f8c4bc</stp>
        <tr r="G8310" s="2"/>
      </tp>
      <tp>
        <v>5</v>
        <stp/>
        <stp>37045d38-4179-4768-85e2-bc0d31c2945d</stp>
        <tr r="G7954" s="2"/>
      </tp>
    </main>
    <main first="rtdsrv_a82eb5a1fc404542a18b1336b70d2c4e">
      <tp>
        <v>5</v>
        <stp/>
        <stp>492b4cd3-ab15-410e-ac6e-54218622e673</stp>
        <tr r="G6336" s="2"/>
      </tp>
      <tp>
        <v>5</v>
        <stp/>
        <stp>bea00090-377a-4dbe-b6d8-6941a7d735a5</stp>
        <tr r="G7155" s="2"/>
      </tp>
    </main>
    <main first="rtdsrv_a82eb5a1fc404542a18b1336b70d2c4e">
      <tp>
        <v>5</v>
        <stp/>
        <stp>35beb59c-3f1a-480e-9a99-9b8105935dc8</stp>
        <tr r="G2084" s="2"/>
      </tp>
      <tp>
        <v>5</v>
        <stp/>
        <stp>85ff58a9-ae04-4e1d-bd09-557d2b3e839f</stp>
        <tr r="G437" s="2"/>
      </tp>
    </main>
    <main first="rtdsrv_a82eb5a1fc404542a18b1336b70d2c4e">
      <tp>
        <v>5</v>
        <stp/>
        <stp>9133935e-c14a-441a-b19c-d0483e1e907c</stp>
        <tr r="G8454" s="2"/>
      </tp>
    </main>
    <main first="rtdsrv_a82eb5a1fc404542a18b1336b70d2c4e">
      <tp>
        <v>5</v>
        <stp/>
        <stp>2edb980b-b065-4361-9476-fbcb723815d8</stp>
        <tr r="G4479" s="2"/>
      </tp>
      <tp>
        <v>5</v>
        <stp/>
        <stp>bb7551e6-ea27-4d9d-92b7-eb06c6adc83f</stp>
        <tr r="G7397" s="2"/>
      </tp>
      <tp>
        <v>5</v>
        <stp/>
        <stp>020b817c-a8d1-41a7-8944-a290a6fd992a</stp>
        <tr r="G5528" s="2"/>
      </tp>
    </main>
    <main first="rtdsrv_a82eb5a1fc404542a18b1336b70d2c4e">
      <tp>
        <v>5</v>
        <stp/>
        <stp>9e30275c-b6ca-48d9-ba7b-9257b2408b57</stp>
        <tr r="G4607" s="2"/>
      </tp>
    </main>
    <main first="rtdsrv_a82eb5a1fc404542a18b1336b70d2c4e">
      <tp>
        <v>5</v>
        <stp/>
        <stp>112a5462-9664-4beb-9617-e9ffb9fbf3ca</stp>
        <tr r="G9003" s="2"/>
      </tp>
    </main>
    <main first="rtdsrv_a82eb5a1fc404542a18b1336b70d2c4e">
      <tp>
        <v>5</v>
        <stp/>
        <stp>4fd4a7cb-e5c4-42bf-97ac-df9f6088297c</stp>
        <tr r="G2268" s="2"/>
      </tp>
    </main>
    <main first="rtdsrv_a82eb5a1fc404542a18b1336b70d2c4e">
      <tp>
        <v>5</v>
        <stp/>
        <stp>a556b386-eac5-4f90-83d1-bc1c4933b18b</stp>
        <tr r="G6149" s="2"/>
      </tp>
      <tp>
        <v>5</v>
        <stp/>
        <stp>780912a0-4f22-49c4-b3bb-c50a03c942a1</stp>
        <tr r="G2575" s="2"/>
      </tp>
    </main>
    <main first="rtdsrv_a82eb5a1fc404542a18b1336b70d2c4e">
      <tp>
        <v>5</v>
        <stp/>
        <stp>b558c35f-65e9-44a4-b4a5-953db5d70904</stp>
        <tr r="G4926" s="2"/>
      </tp>
      <tp>
        <v>5</v>
        <stp/>
        <stp>59039eab-80c0-4434-9cf8-d0279c58099e</stp>
        <tr r="G1638" s="2"/>
      </tp>
      <tp>
        <v>5</v>
        <stp/>
        <stp>acc9e85d-5c4f-41bf-91be-4aef2e7af2e5</stp>
        <tr r="G5067" s="2"/>
      </tp>
    </main>
    <main first="rtdsrv_a82eb5a1fc404542a18b1336b70d2c4e">
      <tp>
        <v>5</v>
        <stp/>
        <stp>d9d5d304-76af-46b7-9cce-835f2b4adda3</stp>
        <tr r="G1271" s="2"/>
      </tp>
      <tp>
        <v>5</v>
        <stp/>
        <stp>0af42201-6757-428b-8d8c-7c6ddc737cd6</stp>
        <tr r="G6600" s="2"/>
      </tp>
      <tp>
        <v>5</v>
        <stp/>
        <stp>2b5763f2-d4d1-4e75-a120-ed8ec381c975</stp>
        <tr r="G177" s="2"/>
      </tp>
    </main>
    <main first="rtdsrv_a82eb5a1fc404542a18b1336b70d2c4e">
      <tp>
        <v>5</v>
        <stp/>
        <stp>720e575c-06f3-4524-a1b4-c1f4663f482a</stp>
        <tr r="G3368" s="2"/>
      </tp>
    </main>
    <main first="rtdsrv_a82eb5a1fc404542a18b1336b70d2c4e">
      <tp>
        <v>5</v>
        <stp/>
        <stp>67a8ab7f-ec1e-4af4-861c-08c59b0443e4</stp>
        <tr r="G4146" s="2"/>
      </tp>
    </main>
    <main first="rtdsrv_a82eb5a1fc404542a18b1336b70d2c4e">
      <tp>
        <v>5</v>
        <stp/>
        <stp>0acc4233-a0eb-421e-be89-541e5c088d80</stp>
        <tr r="G25" s="2"/>
      </tp>
      <tp>
        <v>5</v>
        <stp/>
        <stp>69c28103-2869-4b1f-bdd1-85319b185385</stp>
        <tr r="G996" s="2"/>
      </tp>
    </main>
    <main first="rtdsrv_a82eb5a1fc404542a18b1336b70d2c4e">
      <tp>
        <v>5</v>
        <stp/>
        <stp>d8aad0e3-5b4a-4bb1-abb2-b6a6660a62ed</stp>
        <tr r="G83" s="2"/>
      </tp>
    </main>
    <main first="rtdsrv_a82eb5a1fc404542a18b1336b70d2c4e">
      <tp>
        <v>5</v>
        <stp/>
        <stp>88209518-b31b-499f-a85b-7bb7bd62bff7</stp>
        <tr r="G9248" s="2"/>
      </tp>
    </main>
    <main first="rtdsrv_a82eb5a1fc404542a18b1336b70d2c4e">
      <tp>
        <v>5</v>
        <stp/>
        <stp>c7001749-92fd-4d37-a8df-8fd14c67a3b1</stp>
        <tr r="G3453" s="2"/>
      </tp>
    </main>
    <main first="rtdsrv_a82eb5a1fc404542a18b1336b70d2c4e">
      <tp>
        <v>5</v>
        <stp/>
        <stp>516a37ae-ffdd-4c88-a70f-d00f350ca16c</stp>
        <tr r="G3450" s="2"/>
      </tp>
    </main>
    <main first="rtdsrv_a82eb5a1fc404542a18b1336b70d2c4e">
      <tp>
        <v>5</v>
        <stp/>
        <stp>d212b9f7-fce9-40a5-9b44-9a4be4b54e78</stp>
        <tr r="G8907" s="2"/>
      </tp>
      <tp>
        <v>5</v>
        <stp/>
        <stp>c338d558-a07d-4a55-9d90-b04c9c593df2</stp>
        <tr r="G3615" s="2"/>
      </tp>
    </main>
    <main first="rtdsrv_a82eb5a1fc404542a18b1336b70d2c4e">
      <tp>
        <v>5</v>
        <stp/>
        <stp>cca6c63b-8892-45d0-bbeb-e1daa682bc5b</stp>
        <tr r="G6749" s="2"/>
      </tp>
    </main>
    <main first="rtdsrv_a82eb5a1fc404542a18b1336b70d2c4e">
      <tp>
        <v>5</v>
        <stp/>
        <stp>8d378945-6b6b-47bd-8745-cf5aa1b2f0f5</stp>
        <tr r="G6917" s="2"/>
      </tp>
      <tp>
        <v>5</v>
        <stp/>
        <stp>7a0297a4-2c9a-4905-89ed-88eb84a0bd32</stp>
        <tr r="G6235" s="2"/>
      </tp>
    </main>
    <main first="rtdsrv_a82eb5a1fc404542a18b1336b70d2c4e">
      <tp>
        <v>5</v>
        <stp/>
        <stp>075c3f7b-a7bd-4ff2-8a6d-d3d21c7e38c3</stp>
        <tr r="G1727" s="2"/>
      </tp>
      <tp>
        <v>5</v>
        <stp/>
        <stp>42f44880-17c1-4dce-8b2a-628a6f022da2</stp>
        <tr r="G4743" s="2"/>
      </tp>
    </main>
    <main first="rtdsrv_a82eb5a1fc404542a18b1336b70d2c4e">
      <tp>
        <v>5</v>
        <stp/>
        <stp>7cf393e1-d6c5-4f76-a36f-bb00793a8324</stp>
        <tr r="G3735" s="2"/>
      </tp>
    </main>
    <main first="rtdsrv_a82eb5a1fc404542a18b1336b70d2c4e">
      <tp>
        <v>5</v>
        <stp/>
        <stp>078e19be-0196-4e0a-9f7f-1386f2eee529</stp>
        <tr r="G3787" s="2"/>
      </tp>
      <tp>
        <v>5</v>
        <stp/>
        <stp>113219c5-a9a3-403e-994b-d7e1614acb80</stp>
        <tr r="G4232" s="2"/>
      </tp>
      <tp>
        <v>5</v>
        <stp/>
        <stp>470740c0-ab5e-4b0e-85e7-39de07d744d2</stp>
        <tr r="G7597" s="2"/>
      </tp>
      <tp>
        <v>5</v>
        <stp/>
        <stp>8f8815a8-1af0-4678-8363-de8cda7064f3</stp>
        <tr r="G7405" s="2"/>
      </tp>
      <tp>
        <v>5</v>
        <stp/>
        <stp>45475739-3b19-41cc-8759-793ec559c78c</stp>
        <tr r="G9875" s="2"/>
      </tp>
      <tp>
        <v>5</v>
        <stp/>
        <stp>f8705d9a-d744-4b7f-8cc9-d2e6e6e40eb7</stp>
        <tr r="G6405" s="2"/>
      </tp>
    </main>
    <main first="rtdsrv_a82eb5a1fc404542a18b1336b70d2c4e">
      <tp>
        <v>5</v>
        <stp/>
        <stp>10dd527f-8065-4fcb-ac10-765c45566611</stp>
        <tr r="G45" s="2"/>
      </tp>
    </main>
    <main first="rtdsrv_a82eb5a1fc404542a18b1336b70d2c4e">
      <tp>
        <v>5</v>
        <stp/>
        <stp>837d16c5-0a25-499d-bd7f-a33ce97fc05e</stp>
        <tr r="G3174" s="2"/>
      </tp>
    </main>
    <main first="rtdsrv_a82eb5a1fc404542a18b1336b70d2c4e">
      <tp>
        <v>5</v>
        <stp/>
        <stp>cbad02d0-3d6d-4b20-ac05-d9fbc30565af</stp>
        <tr r="G9177" s="2"/>
      </tp>
    </main>
    <main first="rtdsrv_a82eb5a1fc404542a18b1336b70d2c4e">
      <tp>
        <v>5</v>
        <stp/>
        <stp>082deca3-6d14-48a8-b66b-965388e7f1ff</stp>
        <tr r="G7494" s="2"/>
      </tp>
    </main>
    <main first="rtdsrv_a82eb5a1fc404542a18b1336b70d2c4e">
      <tp>
        <v>5</v>
        <stp/>
        <stp>c6b19d44-5971-41f3-9d85-d6f9b1cf04cc</stp>
        <tr r="G39" s="2"/>
      </tp>
    </main>
    <main first="rtdsrv_a82eb5a1fc404542a18b1336b70d2c4e">
      <tp>
        <v>5</v>
        <stp/>
        <stp>7bd5809e-9d80-426f-8f5c-8aff8e501c54</stp>
        <tr r="G624" s="2"/>
      </tp>
      <tp>
        <v>5</v>
        <stp/>
        <stp>7cf8731e-d3c1-419c-9fe2-bc64c7de298f</stp>
        <tr r="G7314" s="2"/>
      </tp>
    </main>
    <main first="rtdsrv_a82eb5a1fc404542a18b1336b70d2c4e">
      <tp>
        <v>5</v>
        <stp/>
        <stp>5cdae7a2-e6bb-4ce2-9f29-de92639cf864</stp>
        <tr r="G1314" s="2"/>
      </tp>
      <tp>
        <v>5</v>
        <stp/>
        <stp>55f11fca-eef4-4a1d-8b69-5b2a88a76a66</stp>
        <tr r="G9458" s="2"/>
      </tp>
    </main>
    <main first="rtdsrv_a82eb5a1fc404542a18b1336b70d2c4e">
      <tp>
        <v>5</v>
        <stp/>
        <stp>8b040de6-1d53-4cd4-b154-589622fa7cf7</stp>
        <tr r="G5782" s="2"/>
      </tp>
    </main>
    <main first="rtdsrv_a82eb5a1fc404542a18b1336b70d2c4e">
      <tp>
        <v>5</v>
        <stp/>
        <stp>a944932f-2aaf-495b-8413-2b4fbc9985e2</stp>
        <tr r="G3105" s="2"/>
      </tp>
    </main>
    <main first="rtdsrv_a82eb5a1fc404542a18b1336b70d2c4e">
      <tp>
        <v>5</v>
        <stp/>
        <stp>215d991c-8f3f-4bbe-be21-edda899e7e30</stp>
        <tr r="G8024" s="2"/>
      </tp>
      <tp>
        <v>5</v>
        <stp/>
        <stp>52fcbedd-1497-4c64-8682-a9dd48e2f481</stp>
        <tr r="G244" s="2"/>
      </tp>
      <tp>
        <v>5</v>
        <stp/>
        <stp>2f1e3ee4-f518-4ca8-bd3b-33ff6d9f9fac</stp>
        <tr r="G7759" s="2"/>
      </tp>
    </main>
    <main first="rtdsrv_a82eb5a1fc404542a18b1336b70d2c4e">
      <tp>
        <v>5</v>
        <stp/>
        <stp>3fa06b1d-771e-4bef-aca4-50e72b98792d</stp>
        <tr r="G8808" s="2"/>
      </tp>
    </main>
    <main first="rtdsrv_a82eb5a1fc404542a18b1336b70d2c4e">
      <tp>
        <v>5</v>
        <stp/>
        <stp>ecde59cb-c634-4d4f-91f1-4b0f4f89bb58</stp>
        <tr r="G4549" s="2"/>
      </tp>
    </main>
    <main first="rtdsrv_a82eb5a1fc404542a18b1336b70d2c4e">
      <tp>
        <v>5</v>
        <stp/>
        <stp>440ae6f8-5ace-4d92-b693-dc8e823d4227</stp>
        <tr r="G4510" s="2"/>
      </tp>
    </main>
    <main first="rtdsrv_a82eb5a1fc404542a18b1336b70d2c4e">
      <tp>
        <v>5</v>
        <stp/>
        <stp>64a15298-6a3a-41ed-be33-f211e3683905</stp>
        <tr r="G9557" s="2"/>
      </tp>
    </main>
    <main first="rtdsrv_a82eb5a1fc404542a18b1336b70d2c4e">
      <tp>
        <v>5</v>
        <stp/>
        <stp>b6ba5838-e1a0-4dd2-9529-be365759ffb8</stp>
        <tr r="G8474" s="2"/>
      </tp>
      <tp>
        <v>5</v>
        <stp/>
        <stp>cc7d53cf-3bd2-4c8a-92a2-efd4bbe6888c</stp>
        <tr r="G726" s="2"/>
      </tp>
    </main>
    <main first="rtdsrv_a82eb5a1fc404542a18b1336b70d2c4e">
      <tp>
        <v>5</v>
        <stp/>
        <stp>db29c71b-3618-490e-825a-39d5f4920d43</stp>
        <tr r="G8981" s="2"/>
      </tp>
      <tp>
        <v>5</v>
        <stp/>
        <stp>6c719b44-3ad3-4b33-bc11-e029cfe51994</stp>
        <tr r="G9484" s="2"/>
      </tp>
    </main>
    <main first="rtdsrv_a82eb5a1fc404542a18b1336b70d2c4e">
      <tp>
        <v>5</v>
        <stp/>
        <stp>8eca6ff9-bf60-4d40-b1f9-583b8a4511c9</stp>
        <tr r="G3366" s="2"/>
      </tp>
    </main>
    <main first="rtdsrv_a82eb5a1fc404542a18b1336b70d2c4e">
      <tp>
        <v>5</v>
        <stp/>
        <stp>9d982546-b1c2-4dd0-9f3f-aa6838fe764b</stp>
        <tr r="G6216" s="2"/>
      </tp>
    </main>
    <main first="rtdsrv_a82eb5a1fc404542a18b1336b70d2c4e">
      <tp>
        <v>5</v>
        <stp/>
        <stp>398b2cb6-537f-4762-8eb0-1d03f4b8f052</stp>
        <tr r="G1970" s="2"/>
      </tp>
    </main>
    <main first="rtdsrv_a82eb5a1fc404542a18b1336b70d2c4e">
      <tp>
        <v>5</v>
        <stp/>
        <stp>87c2d7b9-8ae6-4bda-83ee-b3095528be9f</stp>
        <tr r="G2247" s="2"/>
      </tp>
      <tp>
        <v>5</v>
        <stp/>
        <stp>23a87352-c755-4cf9-bf58-1203cfda7d10</stp>
        <tr r="G7755" s="2"/>
      </tp>
    </main>
    <main first="rtdsrv_a82eb5a1fc404542a18b1336b70d2c4e">
      <tp>
        <v>5</v>
        <stp/>
        <stp>a22f9c3b-2ed3-4a7c-946f-369b9fdf09af</stp>
        <tr r="G4952" s="2"/>
      </tp>
      <tp>
        <v>5</v>
        <stp/>
        <stp>3ec8375d-e88a-4d1e-a343-0ca98b656847</stp>
        <tr r="G8674" s="2"/>
      </tp>
    </main>
    <main first="rtdsrv_a82eb5a1fc404542a18b1336b70d2c4e">
      <tp>
        <v>5</v>
        <stp/>
        <stp>2cfcdc72-3822-465c-bce5-6ef1391e4658</stp>
        <tr r="G986" s="2"/>
      </tp>
    </main>
    <main first="rtdsrv_a82eb5a1fc404542a18b1336b70d2c4e">
      <tp>
        <v>5</v>
        <stp/>
        <stp>f6f255a6-61cc-47cf-a312-8cb868a05f88</stp>
        <tr r="G7485" s="2"/>
      </tp>
      <tp>
        <v>5</v>
        <stp/>
        <stp>9c0bcbfb-435f-4743-a785-ac81b0bf4255</stp>
        <tr r="G4166" s="2"/>
      </tp>
      <tp>
        <v>5</v>
        <stp/>
        <stp>2af2848a-9a9a-45b2-bd10-f7236cc5dda4</stp>
        <tr r="G9597" s="2"/>
      </tp>
    </main>
    <main first="rtdsrv_a82eb5a1fc404542a18b1336b70d2c4e">
      <tp>
        <v>5</v>
        <stp/>
        <stp>49b19190-a1d0-4f40-9354-8442577970bc</stp>
        <tr r="G8587" s="2"/>
      </tp>
      <tp>
        <v>5</v>
        <stp/>
        <stp>eaf950dc-0901-4ba8-b5f4-d710a4756c63</stp>
        <tr r="G3563" s="2"/>
      </tp>
      <tp>
        <v>5</v>
        <stp/>
        <stp>bed2a68d-bd90-489a-9720-941cf023994c</stp>
        <tr r="G5294" s="2"/>
      </tp>
      <tp>
        <v>5</v>
        <stp/>
        <stp>5295f30e-20b4-4c65-8b9c-66e3504dcf4a</stp>
        <tr r="G7942" s="2"/>
      </tp>
      <tp>
        <v>5</v>
        <stp/>
        <stp>1dae2deb-cc4f-4234-9086-cf6b1d91f2a4</stp>
        <tr r="G9824" s="2"/>
      </tp>
      <tp>
        <v>5</v>
        <stp/>
        <stp>9d6542f6-086c-4daf-b7c4-8afa58531e09</stp>
        <tr r="G9716" s="2"/>
      </tp>
    </main>
    <main first="rtdsrv_a82eb5a1fc404542a18b1336b70d2c4e">
      <tp>
        <v>5</v>
        <stp/>
        <stp>67024897-9487-4308-b84f-80bdfeb280da</stp>
        <tr r="G7391" s="2"/>
      </tp>
    </main>
    <main first="rtdsrv_a82eb5a1fc404542a18b1336b70d2c4e">
      <tp>
        <v>5</v>
        <stp/>
        <stp>76ea0319-111b-40ec-8c9c-c1b7c3dc3382</stp>
        <tr r="G4389" s="2"/>
      </tp>
      <tp>
        <v>5</v>
        <stp/>
        <stp>795f86c8-d956-483e-937f-ff7d4c301c59</stp>
        <tr r="G6912" s="2"/>
      </tp>
      <tp>
        <v>5</v>
        <stp/>
        <stp>dec77cee-8f6f-4127-a84a-448c9d54d24c</stp>
        <tr r="G5915" s="2"/>
      </tp>
      <tp>
        <v>5</v>
        <stp/>
        <stp>9393389f-11b2-4e53-a779-834617a67ee3</stp>
        <tr r="G4991" s="2"/>
      </tp>
      <tp>
        <v>5</v>
        <stp/>
        <stp>1fd49f9c-9a7a-4ad7-a7aa-30b63cab0cf4</stp>
        <tr r="G7189" s="2"/>
      </tp>
    </main>
    <main first="rtdsrv_a82eb5a1fc404542a18b1336b70d2c4e">
      <tp>
        <v>5</v>
        <stp/>
        <stp>d9ec3488-ded7-4ff2-8c0d-64a6016b213a</stp>
        <tr r="G6698" s="2"/>
      </tp>
      <tp>
        <v>5</v>
        <stp/>
        <stp>4f85f742-3d8e-4720-abdc-ca1980107834</stp>
        <tr r="G6587" s="2"/>
      </tp>
      <tp>
        <v>5</v>
        <stp/>
        <stp>13f3b2b7-1259-4efc-ad18-82b33774f8cd</stp>
        <tr r="G2067" s="2"/>
      </tp>
      <tp>
        <v>5</v>
        <stp/>
        <stp>5ca302e7-6cce-44a6-b68c-358fda64cb24</stp>
        <tr r="G8607" s="2"/>
      </tp>
    </main>
    <main first="rtdsrv_a82eb5a1fc404542a18b1336b70d2c4e">
      <tp>
        <v>5</v>
        <stp/>
        <stp>c34bf37e-d76b-4636-9b8a-889598b5056b</stp>
        <tr r="G5057" s="2"/>
      </tp>
      <tp>
        <v>5</v>
        <stp/>
        <stp>7f86f7e4-72f7-4421-949c-c0f0c5cbf41d</stp>
        <tr r="G6098" s="2"/>
      </tp>
    </main>
    <main first="rtdsrv_a82eb5a1fc404542a18b1336b70d2c4e">
      <tp>
        <v>5</v>
        <stp/>
        <stp>1ab81a63-12e3-4d5e-bbf2-3a8fd807c4e1</stp>
        <tr r="G3120" s="2"/>
      </tp>
      <tp>
        <v>5</v>
        <stp/>
        <stp>16844668-3c5b-427c-972b-063c324a1918</stp>
        <tr r="G5819" s="2"/>
      </tp>
    </main>
    <main first="rtdsrv_a82eb5a1fc404542a18b1336b70d2c4e">
      <tp>
        <v>5</v>
        <stp/>
        <stp>79e7298a-40f8-4598-a2dc-651917c205ef</stp>
        <tr r="G8252" s="2"/>
      </tp>
    </main>
    <main first="rtdsrv_a82eb5a1fc404542a18b1336b70d2c4e">
      <tp>
        <v>5</v>
        <stp/>
        <stp>a2fd64ef-c83c-48b3-8115-e5a3d45129c9</stp>
        <tr r="G3106" s="2"/>
      </tp>
    </main>
    <main first="rtdsrv_a82eb5a1fc404542a18b1336b70d2c4e">
      <tp>
        <v>5</v>
        <stp/>
        <stp>ff9915a1-7215-401a-9da6-20fac30d883d</stp>
        <tr r="G7861" s="2"/>
      </tp>
    </main>
    <main first="rtdsrv_a82eb5a1fc404542a18b1336b70d2c4e">
      <tp>
        <v>5</v>
        <stp/>
        <stp>1d47e19f-1f67-4dc2-8185-fc282c42e1b6</stp>
        <tr r="G3841" s="2"/>
      </tp>
    </main>
    <main first="rtdsrv_a82eb5a1fc404542a18b1336b70d2c4e">
      <tp>
        <v>5</v>
        <stp/>
        <stp>d6afc764-313c-4da6-9f8a-ef278f708c84</stp>
        <tr r="G5809" s="2"/>
      </tp>
    </main>
    <main first="rtdsrv_a82eb5a1fc404542a18b1336b70d2c4e">
      <tp>
        <v>5</v>
        <stp/>
        <stp>c74264c9-a2a0-4540-9a41-c9c89596d54c</stp>
        <tr r="G4382" s="2"/>
      </tp>
    </main>
    <main first="rtdsrv_a82eb5a1fc404542a18b1336b70d2c4e">
      <tp>
        <v>5</v>
        <stp/>
        <stp>8df75d26-7fc6-4f6c-a0c8-c1def8dfca07</stp>
        <tr r="G2070" s="2"/>
      </tp>
    </main>
    <main first="rtdsrv_a82eb5a1fc404542a18b1336b70d2c4e">
      <tp>
        <v>5</v>
        <stp/>
        <stp>b1a9b11a-d983-4019-b575-2b06625a9ec8</stp>
        <tr r="G5563" s="2"/>
      </tp>
      <tp>
        <v>5</v>
        <stp/>
        <stp>cfc7f89d-2b78-48ca-9c59-d3ca7f9882ab</stp>
        <tr r="G9892" s="2"/>
      </tp>
    </main>
    <main first="rtdsrv_a82eb5a1fc404542a18b1336b70d2c4e">
      <tp>
        <v>5</v>
        <stp/>
        <stp>2b2b9a31-b651-4153-ba8c-3becca27a698</stp>
        <tr r="G1906" s="2"/>
      </tp>
      <tp>
        <v>5</v>
        <stp/>
        <stp>07b3d496-a9d7-4c52-a03f-f5d7f18b08c1</stp>
        <tr r="G9817" s="2"/>
      </tp>
      <tp>
        <v>5</v>
        <stp/>
        <stp>a19d952b-e069-48e8-bdad-bf6aadc8ae14</stp>
        <tr r="G5688" s="2"/>
      </tp>
      <tp>
        <v>5</v>
        <stp/>
        <stp>92360906-ac64-43c1-ba2d-87cea18290d0</stp>
        <tr r="G436" s="2"/>
      </tp>
    </main>
    <main first="rtdsrv_a82eb5a1fc404542a18b1336b70d2c4e">
      <tp>
        <v>5</v>
        <stp/>
        <stp>ee7cb406-a76a-4794-bae3-f703d11d889c</stp>
        <tr r="G7010" s="2"/>
      </tp>
    </main>
    <main first="rtdsrv_a82eb5a1fc404542a18b1336b70d2c4e">
      <tp>
        <v>5</v>
        <stp/>
        <stp>67a7e740-8d7e-469e-96f4-3d5ecb9bdb27</stp>
        <tr r="G582" s="2"/>
      </tp>
    </main>
    <main first="rtdsrv_a82eb5a1fc404542a18b1336b70d2c4e">
      <tp>
        <v>5</v>
        <stp/>
        <stp>3557ed22-2ceb-43ce-a3cc-865d9592a906</stp>
        <tr r="G1503" s="2"/>
      </tp>
    </main>
    <main first="rtdsrv_a82eb5a1fc404542a18b1336b70d2c4e">
      <tp>
        <v>5</v>
        <stp/>
        <stp>532c3fad-7cbc-4539-ad4e-25c3c5763057</stp>
        <tr r="G1743" s="2"/>
      </tp>
      <tp>
        <v>5</v>
        <stp/>
        <stp>88d437cb-46a3-4b59-80dc-c300c9d5732e</stp>
        <tr r="G4183" s="2"/>
      </tp>
      <tp>
        <v>5</v>
        <stp/>
        <stp>cf8df401-6eb7-4b0e-8e30-8a85d52ec9c3</stp>
        <tr r="G2323" s="2"/>
      </tp>
    </main>
    <main first="rtdsrv_a82eb5a1fc404542a18b1336b70d2c4e">
      <tp>
        <v>5</v>
        <stp/>
        <stp>a8a2227e-40e6-4a6b-959c-223471a209cd</stp>
        <tr r="G9660" s="2"/>
      </tp>
    </main>
    <main first="rtdsrv_a82eb5a1fc404542a18b1336b70d2c4e">
      <tp>
        <v>5</v>
        <stp/>
        <stp>7c57b21e-1adb-4c69-9d5e-ca7363378a0b</stp>
        <tr r="G2743" s="2"/>
      </tp>
    </main>
    <main first="rtdsrv_a82eb5a1fc404542a18b1336b70d2c4e">
      <tp>
        <v>5</v>
        <stp/>
        <stp>8b2c67fd-b39d-4a56-ac44-0c05f1c36843</stp>
        <tr r="G9771" s="2"/>
      </tp>
      <tp>
        <v>5</v>
        <stp/>
        <stp>f9aa6e51-2e73-4861-9646-ab0542546d62</stp>
        <tr r="G6579" s="2"/>
      </tp>
    </main>
    <main first="rtdsrv_a82eb5a1fc404542a18b1336b70d2c4e">
      <tp>
        <v>5</v>
        <stp/>
        <stp>236a30b0-b25d-47b8-9b2a-2bd5ac2435e6</stp>
        <tr r="G5203" s="2"/>
      </tp>
      <tp>
        <v>5</v>
        <stp/>
        <stp>1de3d8dd-4173-494f-be69-1e9a03a721e3</stp>
        <tr r="G5421" s="2"/>
      </tp>
    </main>
    <main first="rtdsrv_a82eb5a1fc404542a18b1336b70d2c4e">
      <tp>
        <v>5</v>
        <stp/>
        <stp>bead026c-6b4d-46e1-b6e8-9f12f9980517</stp>
        <tr r="G2883" s="2"/>
      </tp>
    </main>
    <main first="rtdsrv_a82eb5a1fc404542a18b1336b70d2c4e">
      <tp>
        <v>5</v>
        <stp/>
        <stp>fb4c0aac-4548-468b-9af5-8bb8e8c206a6</stp>
        <tr r="G3225" s="2"/>
      </tp>
    </main>
    <main first="rtdsrv_a82eb5a1fc404542a18b1336b70d2c4e">
      <tp>
        <v>5</v>
        <stp/>
        <stp>02933d0d-25ad-4019-b9e4-ac825b2e9f72</stp>
        <tr r="G828" s="2"/>
      </tp>
    </main>
    <main first="rtdsrv_a82eb5a1fc404542a18b1336b70d2c4e">
      <tp>
        <v>5</v>
        <stp/>
        <stp>aafc68e2-e29d-469a-9170-aca5740d8be9</stp>
        <tr r="G7542" s="2"/>
      </tp>
    </main>
    <main first="rtdsrv_a82eb5a1fc404542a18b1336b70d2c4e">
      <tp>
        <v>5</v>
        <stp/>
        <stp>3a565577-9116-4226-a41b-1975442ee8a9</stp>
        <tr r="G5341" s="2"/>
      </tp>
      <tp>
        <v>5</v>
        <stp/>
        <stp>509707ac-2393-469c-a280-03ba524ca082</stp>
        <tr r="G9356" s="2"/>
      </tp>
    </main>
    <main first="rtdsrv_a82eb5a1fc404542a18b1336b70d2c4e">
      <tp>
        <v>5</v>
        <stp/>
        <stp>34d7efce-3a13-4e30-b99f-eace62772dab</stp>
        <tr r="G2905" s="2"/>
      </tp>
    </main>
    <main first="rtdsrv_a82eb5a1fc404542a18b1336b70d2c4e">
      <tp>
        <v>5</v>
        <stp/>
        <stp>65aa9517-fc1a-4ccc-ba8b-e2632bb11202</stp>
        <tr r="G1940" s="2"/>
      </tp>
    </main>
    <main first="rtdsrv_a82eb5a1fc404542a18b1336b70d2c4e">
      <tp>
        <v>5</v>
        <stp/>
        <stp>99fb5489-5274-4057-91c8-12e21b090c46</stp>
        <tr r="G2976" s="2"/>
      </tp>
      <tp>
        <v>5</v>
        <stp/>
        <stp>6a727d4d-e66b-4a97-b667-0b9de86d2d89</stp>
        <tr r="G5311" s="2"/>
      </tp>
    </main>
    <main first="rtdsrv_a82eb5a1fc404542a18b1336b70d2c4e">
      <tp>
        <v>5</v>
        <stp/>
        <stp>a80fba4c-bcc2-4389-a4a7-e803e62092d6</stp>
        <tr r="G2536" s="2"/>
      </tp>
    </main>
    <main first="rtdsrv_a82eb5a1fc404542a18b1336b70d2c4e">
      <tp>
        <v>5</v>
        <stp/>
        <stp>c97895db-5a30-4f14-aa4e-fba89f697b6c</stp>
        <tr r="G5459" s="2"/>
      </tp>
      <tp>
        <v>5</v>
        <stp/>
        <stp>c4a1c912-051e-4810-9edf-5e3f0d58473a</stp>
        <tr r="G8873" s="2"/>
      </tp>
    </main>
    <main first="rtdsrv_a82eb5a1fc404542a18b1336b70d2c4e">
      <tp>
        <v>5</v>
        <stp/>
        <stp>3289ea93-f04a-4edc-af53-15e451f17870</stp>
        <tr r="G6807" s="2"/>
      </tp>
    </main>
    <main first="rtdsrv_a82eb5a1fc404542a18b1336b70d2c4e">
      <tp>
        <v>5</v>
        <stp/>
        <stp>8e7be8c1-7bf0-4d62-aa6f-807b4b2e4ccb</stp>
        <tr r="G5705" s="2"/>
      </tp>
    </main>
    <main first="rtdsrv_a82eb5a1fc404542a18b1336b70d2c4e">
      <tp>
        <v>5</v>
        <stp/>
        <stp>14472e16-eed4-46cd-964f-6854a5f8d6c0</stp>
        <tr r="G201" s="2"/>
      </tp>
    </main>
    <main first="rtdsrv_a82eb5a1fc404542a18b1336b70d2c4e">
      <tp>
        <v>5</v>
        <stp/>
        <stp>85f54f19-91b1-4182-9600-6d5eeb17c1df</stp>
        <tr r="G5956" s="2"/>
      </tp>
      <tp>
        <v>5</v>
        <stp/>
        <stp>f7b9c202-aa64-4639-82a6-a5002b0b6432</stp>
        <tr r="G1427" s="2"/>
      </tp>
    </main>
    <main first="rtdsrv_a82eb5a1fc404542a18b1336b70d2c4e">
      <tp>
        <v>5</v>
        <stp/>
        <stp>03a067a2-5f70-4a5f-8350-c400184981d9</stp>
        <tr r="G6042" s="2"/>
      </tp>
    </main>
    <main first="rtdsrv_a82eb5a1fc404542a18b1336b70d2c4e">
      <tp>
        <v>5</v>
        <stp/>
        <stp>a7cee2e7-993a-498e-b55e-8dd55d10d39a</stp>
        <tr r="G1574" s="2"/>
      </tp>
      <tp>
        <v>5</v>
        <stp/>
        <stp>1ae662b1-63da-4366-a8d3-ece2727909ce</stp>
        <tr r="G6705" s="2"/>
      </tp>
    </main>
    <main first="rtdsrv_a82eb5a1fc404542a18b1336b70d2c4e">
      <tp>
        <v>5</v>
        <stp/>
        <stp>01dae20d-7cd1-49d3-9a94-cf48a47a936a</stp>
        <tr r="G2274" s="2"/>
      </tp>
    </main>
    <main first="rtdsrv_a82eb5a1fc404542a18b1336b70d2c4e">
      <tp>
        <v>5</v>
        <stp/>
        <stp>f7d3cd4a-346f-46ae-b48f-09122b6c2938</stp>
        <tr r="G9468" s="2"/>
      </tp>
      <tp>
        <v>5</v>
        <stp/>
        <stp>04aced7a-2b52-4ef1-8c83-4537e17ab05f</stp>
        <tr r="G1772" s="2"/>
      </tp>
    </main>
    <main first="rtdsrv_a82eb5a1fc404542a18b1336b70d2c4e">
      <tp>
        <v>5</v>
        <stp/>
        <stp>c3743c88-0910-442c-9168-31c7c88a9cba</stp>
        <tr r="G1991" s="2"/>
      </tp>
    </main>
    <main first="rtdsrv_a82eb5a1fc404542a18b1336b70d2c4e">
      <tp>
        <v>5</v>
        <stp/>
        <stp>3dd510e1-20e9-4241-9467-ff1229e31aea</stp>
        <tr r="G7018" s="2"/>
      </tp>
    </main>
    <main first="rtdsrv_a82eb5a1fc404542a18b1336b70d2c4e">
      <tp>
        <v>5</v>
        <stp/>
        <stp>ca5d5bad-de15-4fe2-afcc-de6f95a2b922</stp>
        <tr r="G6118" s="2"/>
      </tp>
      <tp>
        <v>5</v>
        <stp/>
        <stp>9b3a4468-e7f1-4485-a3a4-d956ed545e18</stp>
        <tr r="G3346" s="2"/>
      </tp>
    </main>
    <main first="rtdsrv_a82eb5a1fc404542a18b1336b70d2c4e">
      <tp>
        <v>5</v>
        <stp/>
        <stp>a39df459-82cd-4620-af39-43731ed895c0</stp>
        <tr r="G6062" s="2"/>
      </tp>
      <tp>
        <v>5</v>
        <stp/>
        <stp>c7186886-e935-4b99-b299-c24a1b24be85</stp>
        <tr r="G3850" s="2"/>
      </tp>
    </main>
    <main first="rtdsrv_a82eb5a1fc404542a18b1336b70d2c4e">
      <tp>
        <v>5</v>
        <stp/>
        <stp>3a1cd6c1-10e4-4b64-bb77-c9c28f1dfe08</stp>
        <tr r="G3569" s="2"/>
      </tp>
      <tp>
        <v>5</v>
        <stp/>
        <stp>760d0d6a-51dd-4d4a-8785-03ca63f57a03</stp>
        <tr r="G6135" s="2"/>
      </tp>
      <tp>
        <v>5</v>
        <stp/>
        <stp>abd72923-358a-4ffc-884b-aa7904ce95bd</stp>
        <tr r="G7821" s="2"/>
      </tp>
      <tp>
        <v>5</v>
        <stp/>
        <stp>e4e9c7e3-6065-41b1-b553-caf48667a9d7</stp>
        <tr r="G9378" s="2"/>
      </tp>
      <tp>
        <v>5</v>
        <stp/>
        <stp>dc320051-b6d9-4417-9315-681c33f0cceb</stp>
        <tr r="G4691" s="2"/>
      </tp>
    </main>
    <main first="rtdsrv_a82eb5a1fc404542a18b1336b70d2c4e">
      <tp>
        <v>5</v>
        <stp/>
        <stp>1341fa2d-d4b0-41cd-b17b-7815515403de</stp>
        <tr r="G225" s="2"/>
      </tp>
      <tp>
        <v>5</v>
        <stp/>
        <stp>7624d851-bcde-4d7f-a817-f1745dec2110</stp>
        <tr r="G1186" s="2"/>
      </tp>
      <tp>
        <v>5</v>
        <stp/>
        <stp>06599478-384c-415b-a3fb-1a6f228839f6</stp>
        <tr r="G8720" s="2"/>
      </tp>
    </main>
    <main first="rtdsrv_a82eb5a1fc404542a18b1336b70d2c4e">
      <tp>
        <v>5</v>
        <stp/>
        <stp>5ca4de03-a3ef-489c-b0f6-857719ed916c</stp>
        <tr r="G2128" s="2"/>
      </tp>
      <tp>
        <v>5</v>
        <stp/>
        <stp>069f3b53-9785-4eca-a34f-e04ca18bffa9</stp>
        <tr r="G2076" s="2"/>
      </tp>
      <tp>
        <v>5</v>
        <stp/>
        <stp>cec97513-4b89-4a5a-a394-9b66fdcedea3</stp>
        <tr r="G935" s="2"/>
      </tp>
      <tp>
        <v>5</v>
        <stp/>
        <stp>785160b6-538b-4004-8e66-92e026ceadd1</stp>
        <tr r="G1975" s="2"/>
      </tp>
    </main>
    <main first="rtdsrv_a82eb5a1fc404542a18b1336b70d2c4e">
      <tp>
        <v>5</v>
        <stp/>
        <stp>e1a7881b-8324-4e02-89de-3e1f9d66b919</stp>
        <tr r="G2556" s="2"/>
      </tp>
    </main>
    <main first="rtdsrv_a82eb5a1fc404542a18b1336b70d2c4e">
      <tp>
        <v>5</v>
        <stp/>
        <stp>5975f7aa-4d05-4ccf-8681-2392713ac993</stp>
        <tr r="G8321" s="2"/>
      </tp>
      <tp>
        <v>5</v>
        <stp/>
        <stp>2b115e0e-8b31-43f6-8cf4-feab232a8f44</stp>
        <tr r="G3464" s="2"/>
      </tp>
    </main>
    <main first="rtdsrv_a82eb5a1fc404542a18b1336b70d2c4e">
      <tp>
        <v>5</v>
        <stp/>
        <stp>03ea9f52-aaa1-4cba-a5d0-f9c5b271eed5</stp>
        <tr r="G7540" s="2"/>
      </tp>
    </main>
    <main first="rtdsrv_a82eb5a1fc404542a18b1336b70d2c4e">
      <tp>
        <v>5</v>
        <stp/>
        <stp>581624df-955c-4c39-844d-6df91a27bba8</stp>
        <tr r="G8240" s="2"/>
      </tp>
      <tp>
        <v>5</v>
        <stp/>
        <stp>379d4854-52fc-49ac-b9b9-447af2bfebcb</stp>
        <tr r="G1353" s="2"/>
      </tp>
    </main>
    <main first="rtdsrv_a82eb5a1fc404542a18b1336b70d2c4e">
      <tp>
        <v>5</v>
        <stp/>
        <stp>3a54a86d-272d-4201-91d0-34920b864748</stp>
        <tr r="G3616" s="2"/>
      </tp>
      <tp>
        <v>5</v>
        <stp/>
        <stp>7f21939b-9382-4873-bcec-34cd970e8f9f</stp>
        <tr r="G8286" s="2"/>
      </tp>
      <tp>
        <v>5</v>
        <stp/>
        <stp>5326a45a-89a2-481c-80d6-a321eb9fc620</stp>
        <tr r="G5562" s="2"/>
      </tp>
      <tp>
        <v>5</v>
        <stp/>
        <stp>0bd207bf-ffad-4be4-a88a-8362c2e81acb</stp>
        <tr r="G638" s="2"/>
      </tp>
      <tp>
        <v>5</v>
        <stp/>
        <stp>182cfd57-ac13-464a-b9a7-400a5b38b0a7</stp>
        <tr r="G3571" s="2"/>
      </tp>
      <tp>
        <v>5</v>
        <stp/>
        <stp>f551dfb8-4602-46b9-9aa6-30fbc4bc1da2</stp>
        <tr r="G1393" s="2"/>
      </tp>
      <tp>
        <v>5</v>
        <stp/>
        <stp>fe85def8-9bd6-4a52-9c09-e2956283bd67</stp>
        <tr r="G4618" s="2"/>
      </tp>
    </main>
    <main first="rtdsrv_a82eb5a1fc404542a18b1336b70d2c4e">
      <tp>
        <v>5</v>
        <stp/>
        <stp>768b7373-801b-43f3-bf11-02dabd9876ac</stp>
        <tr r="G707" s="2"/>
      </tp>
      <tp>
        <v>5</v>
        <stp/>
        <stp>b5de9acd-9ea0-43f4-934b-40b232e9b055</stp>
        <tr r="G8989" s="2"/>
      </tp>
    </main>
    <main first="rtdsrv_a82eb5a1fc404542a18b1336b70d2c4e">
      <tp>
        <v>5</v>
        <stp/>
        <stp>f352eb62-731f-4c90-9d40-67f84226a8f2</stp>
        <tr r="G5989" s="2"/>
      </tp>
      <tp>
        <v>5</v>
        <stp/>
        <stp>8247284f-1cf9-45dd-bce7-fd7e56f4677a</stp>
        <tr r="G8505" s="2"/>
      </tp>
    </main>
    <main first="rtdsrv_a82eb5a1fc404542a18b1336b70d2c4e">
      <tp>
        <v>5</v>
        <stp/>
        <stp>ff181282-5c8c-4134-9f9b-0bfd30dc2a8d</stp>
        <tr r="G9256" s="2"/>
      </tp>
    </main>
    <main first="rtdsrv_a82eb5a1fc404542a18b1336b70d2c4e">
      <tp>
        <v>5</v>
        <stp/>
        <stp>e0e40940-aab8-4a4b-931b-a7dcdea6c6e1</stp>
        <tr r="G7951" s="2"/>
      </tp>
    </main>
    <main first="rtdsrv_a82eb5a1fc404542a18b1336b70d2c4e">
      <tp>
        <v>5</v>
        <stp/>
        <stp>63855039-78c7-47c0-8692-2f558a157e6a</stp>
        <tr r="G7812" s="2"/>
      </tp>
      <tp>
        <v>5</v>
        <stp/>
        <stp>b4bce96f-68d1-4496-a2c9-c94ea916d1ce</stp>
        <tr r="G9424" s="2"/>
      </tp>
      <tp>
        <v>5</v>
        <stp/>
        <stp>10809078-c9bf-4079-ae51-ff6bed7a6255</stp>
        <tr r="G4529" s="2"/>
      </tp>
      <tp>
        <v>5</v>
        <stp/>
        <stp>88eaee8a-d2f0-4daa-afc9-a038d0ea2d34</stp>
        <tr r="G137" s="2"/>
      </tp>
      <tp>
        <v>5</v>
        <stp/>
        <stp>14d44f32-a223-41a0-b76e-683c93dcaad3</stp>
        <tr r="G5653" s="2"/>
      </tp>
      <tp>
        <v>5</v>
        <stp/>
        <stp>cb4542b5-3bad-4069-bd70-d2a825aeb578</stp>
        <tr r="G8007" s="2"/>
      </tp>
      <tp>
        <v>5</v>
        <stp/>
        <stp>832da664-ddd5-49d3-a58f-2ce857b19a23</stp>
        <tr r="G3595" s="2"/>
      </tp>
      <tp>
        <v>5</v>
        <stp/>
        <stp>1a701838-2060-4d35-9ff0-2d0ea7bd24e1</stp>
        <tr r="G9999" s="2"/>
      </tp>
      <tp>
        <v>5</v>
        <stp/>
        <stp>8970c1d2-f2cc-4fb4-8863-215022c7507d</stp>
        <tr r="G3293" s="2"/>
      </tp>
      <tp>
        <v>5</v>
        <stp/>
        <stp>042272cf-13fc-455d-9ba4-3773d8c7eb1f</stp>
        <tr r="G9078" s="2"/>
      </tp>
    </main>
    <main first="rtdsrv_a82eb5a1fc404542a18b1336b70d2c4e">
      <tp>
        <v>5</v>
        <stp/>
        <stp>889f4a7c-f6aa-4d78-ac55-fcc0e6f748df</stp>
        <tr r="G9637" s="2"/>
      </tp>
    </main>
    <main first="rtdsrv_a82eb5a1fc404542a18b1336b70d2c4e">
      <tp>
        <v>5</v>
        <stp/>
        <stp>8b1dc238-66c8-465c-8e8d-520fb19d6a50</stp>
        <tr r="G7175" s="2"/>
      </tp>
      <tp>
        <v>5</v>
        <stp/>
        <stp>efecce5f-8950-404c-9def-ca08341037b2</stp>
        <tr r="G5540" s="2"/>
      </tp>
    </main>
    <main first="rtdsrv_a82eb5a1fc404542a18b1336b70d2c4e">
      <tp>
        <v>5</v>
        <stp/>
        <stp>4bd0956f-b43b-4adf-9129-a5c79917b2a4</stp>
        <tr r="G112" s="2"/>
      </tp>
    </main>
    <main first="rtdsrv_a82eb5a1fc404542a18b1336b70d2c4e">
      <tp>
        <v>5</v>
        <stp/>
        <stp>0eb118ea-091e-4831-8a21-dd45a3378fea</stp>
        <tr r="G6444" s="2"/>
      </tp>
    </main>
    <main first="rtdsrv_a82eb5a1fc404542a18b1336b70d2c4e">
      <tp>
        <v>5</v>
        <stp/>
        <stp>cd9b7411-745a-4ac9-8e0c-50f79da22e54</stp>
        <tr r="G934" s="2"/>
      </tp>
    </main>
    <main first="rtdsrv_a82eb5a1fc404542a18b1336b70d2c4e">
      <tp>
        <v>5</v>
        <stp/>
        <stp>7ce628ce-4a68-4feb-8d33-7a5739958953</stp>
        <tr r="G9870" s="2"/>
      </tp>
      <tp>
        <v>5</v>
        <stp/>
        <stp>bb90c0a2-4ec2-4fec-ad12-4aed635f5924</stp>
        <tr r="G6957" s="2"/>
      </tp>
    </main>
    <main first="rtdsrv_a82eb5a1fc404542a18b1336b70d2c4e">
      <tp>
        <v>5</v>
        <stp/>
        <stp>8661c371-6f8c-4946-abc6-b258388a431d</stp>
        <tr r="G6897" s="2"/>
      </tp>
    </main>
    <main first="rtdsrv_a82eb5a1fc404542a18b1336b70d2c4e">
      <tp>
        <v>5</v>
        <stp/>
        <stp>861beaa6-798d-4bd7-b194-78c1e970d0d4</stp>
        <tr r="G2299" s="2"/>
      </tp>
    </main>
    <main first="rtdsrv_a82eb5a1fc404542a18b1336b70d2c4e">
      <tp>
        <v>5</v>
        <stp/>
        <stp>53f21c9c-baed-4345-b221-c6c4cec669aa</stp>
        <tr r="G9955" s="2"/>
      </tp>
    </main>
    <main first="rtdsrv_a82eb5a1fc404542a18b1336b70d2c4e">
      <tp>
        <v>5</v>
        <stp/>
        <stp>1447097e-99f4-45e3-a0c5-584c4439b7f4</stp>
        <tr r="G2088" s="2"/>
      </tp>
      <tp>
        <v>5</v>
        <stp/>
        <stp>aabd1dd3-d993-4479-a57c-ac567b520121</stp>
        <tr r="G5755" s="2"/>
      </tp>
    </main>
    <main first="rtdsrv_a82eb5a1fc404542a18b1336b70d2c4e">
      <tp>
        <v>5</v>
        <stp/>
        <stp>fd3b333c-9caa-4fc8-912c-aa2ef8802bdb</stp>
        <tr r="G9161" s="2"/>
      </tp>
    </main>
    <main first="rtdsrv_a82eb5a1fc404542a18b1336b70d2c4e">
      <tp>
        <v>5</v>
        <stp/>
        <stp>73bda9db-ff9d-46fa-bc39-2a085018406a</stp>
        <tr r="G8703" s="2"/>
      </tp>
    </main>
    <main first="rtdsrv_a82eb5a1fc404542a18b1336b70d2c4e">
      <tp>
        <v>5</v>
        <stp/>
        <stp>589546f7-c97c-404f-8815-9f5cde119f90</stp>
        <tr r="G7554" s="2"/>
      </tp>
    </main>
    <main first="rtdsrv_a82eb5a1fc404542a18b1336b70d2c4e">
      <tp>
        <v>5</v>
        <stp/>
        <stp>df890026-14e7-4271-8ca6-84a149080e71</stp>
        <tr r="G3969" s="2"/>
      </tp>
    </main>
    <main first="rtdsrv_a82eb5a1fc404542a18b1336b70d2c4e">
      <tp>
        <v>5</v>
        <stp/>
        <stp>f7d62682-48ee-41d8-a4b9-ea3c875d4f43</stp>
        <tr r="G4816" s="2"/>
      </tp>
      <tp>
        <v>5</v>
        <stp/>
        <stp>876749a9-d616-4994-a9d8-7e0c3c459c27</stp>
        <tr r="G8065" s="2"/>
      </tp>
    </main>
    <main first="rtdsrv_a82eb5a1fc404542a18b1336b70d2c4e">
      <tp>
        <v>5</v>
        <stp/>
        <stp>db10743f-7b1c-44c8-8f2e-6d86cc1c43c0</stp>
        <tr r="G9599" s="2"/>
      </tp>
      <tp>
        <v>5</v>
        <stp/>
        <stp>928d6342-a9fa-4263-9559-202699d0f055</stp>
        <tr r="G6424" s="2"/>
      </tp>
      <tp>
        <v>5</v>
        <stp/>
        <stp>7c3ace42-e92f-4c92-8d6f-996532c923bb</stp>
        <tr r="G2979" s="2"/>
      </tp>
    </main>
    <main first="rtdsrv_a82eb5a1fc404542a18b1336b70d2c4e">
      <tp>
        <v>5</v>
        <stp/>
        <stp>9f139894-244f-443d-8d7b-bb1374ee76e8</stp>
        <tr r="G5597" s="2"/>
      </tp>
      <tp>
        <v>5</v>
        <stp/>
        <stp>357501ec-79bc-454b-818c-7308d04d35c4</stp>
        <tr r="G2340" s="2"/>
      </tp>
    </main>
    <main first="rtdsrv_a82eb5a1fc404542a18b1336b70d2c4e">
      <tp>
        <v>5</v>
        <stp/>
        <stp>43f53182-a486-4276-b173-13efb6cf6802</stp>
        <tr r="G9338" s="2"/>
      </tp>
    </main>
    <main first="rtdsrv_a82eb5a1fc404542a18b1336b70d2c4e">
      <tp>
        <v>5</v>
        <stp/>
        <stp>fb914bfa-a4e1-4ccd-8543-a26778d82dbe</stp>
        <tr r="G8449" s="2"/>
      </tp>
    </main>
    <main first="rtdsrv_a82eb5a1fc404542a18b1336b70d2c4e">
      <tp>
        <v>5</v>
        <stp/>
        <stp>9825ef1d-e821-4892-a7bd-bcdae46c6ce8</stp>
        <tr r="G6034" s="2"/>
      </tp>
      <tp>
        <v>5</v>
        <stp/>
        <stp>c4cb7a62-1349-4228-b4cc-aed790156587</stp>
        <tr r="G9777" s="2"/>
      </tp>
      <tp>
        <v>5</v>
        <stp/>
        <stp>6216ceb4-c5db-430d-9357-cdcf98978fc1</stp>
        <tr r="G2416" s="2"/>
      </tp>
      <tp>
        <v>5</v>
        <stp/>
        <stp>b18b5aed-06ad-4f64-8921-c844646e750e</stp>
        <tr r="G3878" s="2"/>
      </tp>
    </main>
    <main first="rtdsrv_a82eb5a1fc404542a18b1336b70d2c4e">
      <tp>
        <v>5</v>
        <stp/>
        <stp>696eca62-9a95-4fe4-a087-224b368de62d</stp>
        <tr r="G3760" s="2"/>
      </tp>
    </main>
    <main first="rtdsrv_a82eb5a1fc404542a18b1336b70d2c4e">
      <tp>
        <v>5</v>
        <stp/>
        <stp>fcda26dd-af59-445d-aef2-9f9ab9f0a6cc</stp>
        <tr r="G6184" s="2"/>
      </tp>
    </main>
    <main first="rtdsrv_a82eb5a1fc404542a18b1336b70d2c4e">
      <tp>
        <v>5</v>
        <stp/>
        <stp>f6acb450-a995-4402-abd4-07cbcdc7a917</stp>
        <tr r="G2807" s="2"/>
      </tp>
    </main>
    <main first="rtdsrv_a82eb5a1fc404542a18b1336b70d2c4e">
      <tp>
        <v>5</v>
        <stp/>
        <stp>089e4e5f-3fe3-42b2-b466-e4293e072d6c</stp>
        <tr r="G8978" s="2"/>
      </tp>
    </main>
    <main first="rtdsrv_a82eb5a1fc404542a18b1336b70d2c4e">
      <tp>
        <v>5</v>
        <stp/>
        <stp>e393e8d2-3a12-4701-a8a6-f41eaf43fef6</stp>
        <tr r="G3457" s="2"/>
      </tp>
    </main>
    <main first="rtdsrv_a82eb5a1fc404542a18b1336b70d2c4e">
      <tp>
        <v>5</v>
        <stp/>
        <stp>47bdd80b-86a8-4158-8e19-136d17cebeaa</stp>
        <tr r="G6862" s="2"/>
      </tp>
      <tp>
        <v>5</v>
        <stp/>
        <stp>ea64e159-8697-4708-82bd-7f9b7230292a</stp>
        <tr r="G6240" s="2"/>
      </tp>
    </main>
    <main first="rtdsrv_a82eb5a1fc404542a18b1336b70d2c4e">
      <tp>
        <v>5</v>
        <stp/>
        <stp>2a1d000d-c275-4bc6-8861-9a49759819f9</stp>
        <tr r="G5570" s="2"/>
      </tp>
    </main>
    <main first="rtdsrv_a82eb5a1fc404542a18b1336b70d2c4e">
      <tp>
        <v>5</v>
        <stp/>
        <stp>23501f86-e008-4a19-941f-64f93fcd357d</stp>
        <tr r="G4576" s="2"/>
      </tp>
    </main>
    <main first="rtdsrv_a82eb5a1fc404542a18b1336b70d2c4e">
      <tp>
        <v>5</v>
        <stp/>
        <stp>f671adff-c5a4-475d-b562-6b8ccf2fa855</stp>
        <tr r="G2041" s="2"/>
      </tp>
      <tp>
        <v>5</v>
        <stp/>
        <stp>19743c38-2965-4d13-beac-257d13818c85</stp>
        <tr r="G3858" s="2"/>
      </tp>
      <tp>
        <v>5</v>
        <stp/>
        <stp>61092533-ae73-4deb-8f02-9f23a8960668</stp>
        <tr r="G3808" s="2"/>
      </tp>
    </main>
    <main first="rtdsrv_a82eb5a1fc404542a18b1336b70d2c4e">
      <tp>
        <v>5</v>
        <stp/>
        <stp>26fb61a8-963e-47ad-9cac-4c1010362798</stp>
        <tr r="G3865" s="2"/>
      </tp>
    </main>
    <main first="rtdsrv_a82eb5a1fc404542a18b1336b70d2c4e">
      <tp>
        <v>5</v>
        <stp/>
        <stp>8f3d08be-1ca3-4cd5-950d-958f2aac8ae8</stp>
        <tr r="G9004" s="2"/>
      </tp>
      <tp>
        <v>5</v>
        <stp/>
        <stp>e0c4e5e7-8a9a-4051-83bb-c383bfa66d66</stp>
        <tr r="G1372" s="2"/>
      </tp>
      <tp>
        <v>5</v>
        <stp/>
        <stp>b66dde2c-2954-4119-8212-cbd70690db81</stp>
        <tr r="G9548" s="2"/>
      </tp>
    </main>
    <main first="rtdsrv_a82eb5a1fc404542a18b1336b70d2c4e">
      <tp>
        <v>5</v>
        <stp/>
        <stp>7d53dd34-b3f0-4e09-9a99-57fd08d442d1</stp>
        <tr r="G1600" s="2"/>
      </tp>
      <tp>
        <v>5</v>
        <stp/>
        <stp>92491c6b-813a-4f33-b5ae-eccd619a46f1</stp>
        <tr r="G8931" s="2"/>
      </tp>
    </main>
    <main first="rtdsrv_a82eb5a1fc404542a18b1336b70d2c4e">
      <tp>
        <v>5</v>
        <stp/>
        <stp>4596e9da-3cff-409f-8871-c637742a03d4</stp>
        <tr r="G6095" s="2"/>
      </tp>
      <tp>
        <v>5</v>
        <stp/>
        <stp>b73fcac0-9847-409c-9351-8dcc5fbdad27</stp>
        <tr r="G5050" s="2"/>
      </tp>
    </main>
    <main first="rtdsrv_a82eb5a1fc404542a18b1336b70d2c4e">
      <tp>
        <v>5</v>
        <stp/>
        <stp>37072c9e-cae6-4c33-a434-94e0ae41c9f0</stp>
        <tr r="G1914" s="2"/>
      </tp>
      <tp>
        <v>5</v>
        <stp/>
        <stp>d494edbd-8780-48ca-8adb-5bf6926b2b58</stp>
        <tr r="G792" s="2"/>
      </tp>
    </main>
    <main first="rtdsrv_a82eb5a1fc404542a18b1336b70d2c4e">
      <tp>
        <v>5</v>
        <stp/>
        <stp>0c4cd6bb-33d2-4f67-9149-884541230316</stp>
        <tr r="G1055" s="2"/>
      </tp>
    </main>
    <main first="rtdsrv_a82eb5a1fc404542a18b1336b70d2c4e">
      <tp>
        <v>5</v>
        <stp/>
        <stp>414a15fb-0879-45bb-a485-9a0bb6a2ffed</stp>
        <tr r="G5832" s="2"/>
      </tp>
    </main>
    <main first="rtdsrv_a82eb5a1fc404542a18b1336b70d2c4e">
      <tp>
        <v>5</v>
        <stp/>
        <stp>93c5865d-1956-47b0-b9e8-88801020b66c</stp>
        <tr r="G6165" s="2"/>
      </tp>
    </main>
    <main first="rtdsrv_a82eb5a1fc404542a18b1336b70d2c4e">
      <tp>
        <v>5</v>
        <stp/>
        <stp>a584eaa1-8e2d-4280-a801-cbbeb2a35cea</stp>
        <tr r="G4199" s="2"/>
      </tp>
      <tp>
        <v>5</v>
        <stp/>
        <stp>8a5c7471-0b3b-4a81-af54-1853a39bd53c</stp>
        <tr r="G4426" s="2"/>
      </tp>
      <tp>
        <v>5</v>
        <stp/>
        <stp>e7e897d4-9f1c-41fe-94d8-931802720f2c</stp>
        <tr r="G5343" s="2"/>
      </tp>
    </main>
    <main first="rtdsrv_a82eb5a1fc404542a18b1336b70d2c4e">
      <tp>
        <v>5</v>
        <stp/>
        <stp>992a0154-4a03-458b-b171-d207a06da45b</stp>
        <tr r="G8886" s="2"/>
      </tp>
    </main>
    <main first="rtdsrv_a82eb5a1fc404542a18b1336b70d2c4e">
      <tp>
        <v>5</v>
        <stp/>
        <stp>bd4f840c-40d9-4351-9c93-75f476d480ae</stp>
        <tr r="G883" s="2"/>
      </tp>
    </main>
    <main first="rtdsrv_a82eb5a1fc404542a18b1336b70d2c4e">
      <tp>
        <v>5</v>
        <stp/>
        <stp>f3a49981-c50b-4aaf-a0ca-8f9acfce133e</stp>
        <tr r="G8328" s="2"/>
      </tp>
    </main>
    <main first="rtdsrv_a82eb5a1fc404542a18b1336b70d2c4e">
      <tp>
        <v>5</v>
        <stp/>
        <stp>8ea35b0c-aaad-47d4-aa7a-392d6f46ae3c</stp>
        <tr r="G1221" s="2"/>
      </tp>
      <tp>
        <v>5</v>
        <stp/>
        <stp>dbe8a7c4-10ae-43d8-9875-c0101e7e0aae</stp>
        <tr r="G5958" s="2"/>
      </tp>
    </main>
    <main first="rtdsrv_a82eb5a1fc404542a18b1336b70d2c4e">
      <tp>
        <v>5</v>
        <stp/>
        <stp>d4134394-a6cd-4d82-967c-18998572e17b</stp>
        <tr r="G6499" s="2"/>
      </tp>
      <tp>
        <v>5</v>
        <stp/>
        <stp>59b5a4db-bde8-4b2c-80e4-f01b2bac5db9</stp>
        <tr r="G185" s="2"/>
      </tp>
    </main>
    <main first="rtdsrv_a82eb5a1fc404542a18b1336b70d2c4e">
      <tp>
        <v>5</v>
        <stp/>
        <stp>3aabf709-da4a-4420-9cc7-605a99ff4708</stp>
        <tr r="G8812" s="2"/>
      </tp>
      <tp>
        <v>5</v>
        <stp/>
        <stp>71caf707-964c-4fd7-8dfd-bb79add8c76b</stp>
        <tr r="G5571" s="2"/>
      </tp>
    </main>
    <main first="rtdsrv_a82eb5a1fc404542a18b1336b70d2c4e">
      <tp>
        <v>5</v>
        <stp/>
        <stp>8fd2cca6-2350-4a8a-a987-efadac44041a</stp>
        <tr r="G2590" s="2"/>
      </tp>
      <tp>
        <v>5</v>
        <stp/>
        <stp>82c94c51-8b57-4962-a9fc-a7635e33b07d</stp>
        <tr r="G8049" s="2"/>
      </tp>
    </main>
    <main first="rtdsrv_a82eb5a1fc404542a18b1336b70d2c4e">
      <tp>
        <v>5</v>
        <stp/>
        <stp>2aba7aa9-5575-432f-a407-0375371248b9</stp>
        <tr r="G6437" s="2"/>
      </tp>
    </main>
    <main first="rtdsrv_a82eb5a1fc404542a18b1336b70d2c4e">
      <tp>
        <v>5</v>
        <stp/>
        <stp>5c49ab11-2f49-49e2-902f-255ccaa0884f</stp>
        <tr r="G7765" s="2"/>
      </tp>
    </main>
    <main first="rtdsrv_a82eb5a1fc404542a18b1336b70d2c4e">
      <tp>
        <v>5</v>
        <stp/>
        <stp>c512dbd3-ca7a-47a9-9b4b-cd18cfae4dc3</stp>
        <tr r="G4415" s="2"/>
      </tp>
    </main>
    <main first="rtdsrv_a82eb5a1fc404542a18b1336b70d2c4e">
      <tp>
        <v>5</v>
        <stp/>
        <stp>a73394a0-8d6b-424e-ac40-9a154fe96276</stp>
        <tr r="G9039" s="2"/>
      </tp>
    </main>
    <main first="rtdsrv_a82eb5a1fc404542a18b1336b70d2c4e">
      <tp>
        <v>5</v>
        <stp/>
        <stp>80372747-788f-42ec-a6ee-628778ed4cbf</stp>
        <tr r="G2636" s="2"/>
      </tp>
    </main>
    <main first="rtdsrv_a82eb5a1fc404542a18b1336b70d2c4e">
      <tp>
        <v>5</v>
        <stp/>
        <stp>d60c5058-8be2-4131-ba25-bf0dafac0bf3</stp>
        <tr r="G252" s="2"/>
      </tp>
    </main>
    <main first="rtdsrv_a82eb5a1fc404542a18b1336b70d2c4e">
      <tp>
        <v>5</v>
        <stp/>
        <stp>9f6a88cd-79cc-4a9d-b988-88dadac89358</stp>
        <tr r="G7875" s="2"/>
      </tp>
    </main>
    <main first="rtdsrv_a82eb5a1fc404542a18b1336b70d2c4e">
      <tp>
        <v>5</v>
        <stp/>
        <stp>8138a1f0-453b-4b70-a7cd-4004b9a96130</stp>
        <tr r="G781" s="2"/>
      </tp>
    </main>
    <main first="rtdsrv_a82eb5a1fc404542a18b1336b70d2c4e">
      <tp>
        <v>5</v>
        <stp/>
        <stp>68b7e07d-327a-4a86-96dd-0a124fc1f178</stp>
        <tr r="G8390" s="2"/>
      </tp>
      <tp>
        <v>5</v>
        <stp/>
        <stp>5c8e0216-8032-4172-8515-c733b6a8648c</stp>
        <tr r="G2597" s="2"/>
      </tp>
      <tp>
        <v>5</v>
        <stp/>
        <stp>5d376a62-78e3-4bcc-994a-a9b9759be6ab</stp>
        <tr r="G4585" s="2"/>
      </tp>
    </main>
    <main first="rtdsrv_a82eb5a1fc404542a18b1336b70d2c4e">
      <tp>
        <v>5</v>
        <stp/>
        <stp>e6a024ec-0161-421c-9bf9-547829dc6e96</stp>
        <tr r="G958" s="2"/>
      </tp>
      <tp>
        <v>5</v>
        <stp/>
        <stp>59173d85-291b-4805-b375-e46cbb115dd7</stp>
        <tr r="G5115" s="2"/>
      </tp>
    </main>
    <main first="rtdsrv_a82eb5a1fc404542a18b1336b70d2c4e">
      <tp>
        <v>5</v>
        <stp/>
        <stp>7bce1af1-73a8-40ed-a7aa-085470eb9fa8</stp>
        <tr r="G8372" s="2"/>
      </tp>
      <tp>
        <v>5</v>
        <stp/>
        <stp>ce2406c2-60a6-4a01-ade1-bf2f7931917d</stp>
        <tr r="G2339" s="2"/>
      </tp>
    </main>
    <main first="rtdsrv_a82eb5a1fc404542a18b1336b70d2c4e">
      <tp>
        <v>5</v>
        <stp/>
        <stp>5f58de79-aa81-4cc4-b78e-c6f4c44c3323</stp>
        <tr r="G368" s="2"/>
      </tp>
    </main>
    <main first="rtdsrv_a82eb5a1fc404542a18b1336b70d2c4e">
      <tp>
        <v>5</v>
        <stp/>
        <stp>0935daec-5aab-46fe-8e30-ca82019624a9</stp>
        <tr r="G6339" s="2"/>
      </tp>
      <tp>
        <v>5</v>
        <stp/>
        <stp>aa56d761-3979-4101-9c64-7928409c84be</stp>
        <tr r="G9567" s="2"/>
      </tp>
      <tp>
        <v>5</v>
        <stp/>
        <stp>57841883-743b-46ff-94f3-6e3c93ea3165</stp>
        <tr r="G6436" s="2"/>
      </tp>
      <tp>
        <v>5</v>
        <stp/>
        <stp>3b624c81-6f03-4128-882e-76951052cdf0</stp>
        <tr r="G752" s="2"/>
      </tp>
    </main>
    <main first="rtdsrv_a82eb5a1fc404542a18b1336b70d2c4e">
      <tp>
        <v>5</v>
        <stp/>
        <stp>540ebdec-f35e-43b2-859a-e12f2de5677c</stp>
        <tr r="G3937" s="2"/>
      </tp>
      <tp>
        <v>5</v>
        <stp/>
        <stp>9e89b753-804a-46eb-b40b-2aec229a64da</stp>
        <tr r="G3672" s="2"/>
      </tp>
    </main>
    <main first="rtdsrv_a82eb5a1fc404542a18b1336b70d2c4e">
      <tp>
        <v>5</v>
        <stp/>
        <stp>a23fb7eb-dade-4de5-b886-97a41b237f54</stp>
        <tr r="G4515" s="2"/>
      </tp>
    </main>
    <main first="rtdsrv_a82eb5a1fc404542a18b1336b70d2c4e">
      <tp>
        <v>5</v>
        <stp/>
        <stp>96ea8922-c33b-438d-8ccd-e27d9ba98d1d</stp>
        <tr r="G1142" s="2"/>
      </tp>
      <tp>
        <v>5</v>
        <stp/>
        <stp>7ad9d1b6-62dd-4bfe-8b29-99649dd3d38e</stp>
        <tr r="G2496" s="2"/>
      </tp>
    </main>
    <main first="rtdsrv_a82eb5a1fc404542a18b1336b70d2c4e">
      <tp>
        <v>5</v>
        <stp/>
        <stp>a4a3b91c-12d4-465b-8eb3-adb3a6ea1110</stp>
        <tr r="G6078" s="2"/>
      </tp>
    </main>
    <main first="rtdsrv_a82eb5a1fc404542a18b1336b70d2c4e">
      <tp>
        <v>5</v>
        <stp/>
        <stp>056fc95c-5e41-4d90-87eb-6e2e5af05704</stp>
        <tr r="G801" s="2"/>
      </tp>
      <tp>
        <v>5</v>
        <stp/>
        <stp>1ef81d1e-041a-4cc5-bcb5-80d4784501fa</stp>
        <tr r="G6366" s="2"/>
      </tp>
      <tp>
        <v>5</v>
        <stp/>
        <stp>64d45e97-1080-4108-a14d-ac30729d8bc0</stp>
        <tr r="G5759" s="2"/>
      </tp>
      <tp>
        <v>5</v>
        <stp/>
        <stp>3bc3d507-b75c-478c-83f2-ac4f69a635cd</stp>
        <tr r="G1802" s="2"/>
      </tp>
      <tp>
        <v>5</v>
        <stp/>
        <stp>232ac695-4f13-48b0-80b9-59b8d6bdd342</stp>
        <tr r="G4806" s="2"/>
      </tp>
    </main>
    <main first="rtdsrv_a82eb5a1fc404542a18b1336b70d2c4e">
      <tp>
        <v>5</v>
        <stp/>
        <stp>2cdbf891-e9cc-4f7a-a1ba-8ce26eddadd6</stp>
        <tr r="G6669" s="2"/>
      </tp>
    </main>
    <main first="rtdsrv_a82eb5a1fc404542a18b1336b70d2c4e">
      <tp>
        <v>5</v>
        <stp/>
        <stp>7b383bec-4e79-4f55-bd76-872ca8a89f6c</stp>
        <tr r="G7695" s="2"/>
      </tp>
      <tp>
        <v>5</v>
        <stp/>
        <stp>4e2a9b36-7529-4a85-9f96-80b8f6669e6b</stp>
        <tr r="G6863" s="2"/>
      </tp>
    </main>
    <main first="rtdsrv_a82eb5a1fc404542a18b1336b70d2c4e">
      <tp>
        <v>5</v>
        <stp/>
        <stp>94a4d644-ac4c-41fd-a7c8-b199433229d2</stp>
        <tr r="G5672" s="2"/>
      </tp>
      <tp>
        <v>5</v>
        <stp/>
        <stp>30b02cc4-60ec-4f6a-9b80-ebfa31cb20db</stp>
        <tr r="G5453" s="2"/>
      </tp>
      <tp>
        <v>5</v>
        <stp/>
        <stp>d9dbf0d9-390f-48fe-8dfe-8c03ff44ac84</stp>
        <tr r="G6512" s="2"/>
      </tp>
    </main>
    <main first="rtdsrv_a82eb5a1fc404542a18b1336b70d2c4e">
      <tp>
        <v>5</v>
        <stp/>
        <stp>bf7d9058-4da5-49f6-b6a0-77d119379da9</stp>
        <tr r="G4486" s="2"/>
      </tp>
      <tp>
        <v>5</v>
        <stp/>
        <stp>57bbb5c4-42f4-4880-95c7-9fc9c92b2e53</stp>
        <tr r="G7997" s="2"/>
      </tp>
      <tp>
        <v>5</v>
        <stp/>
        <stp>9a8648b4-09e4-4cf8-990c-5975a725e0ef</stp>
        <tr r="G4236" s="2"/>
      </tp>
      <tp>
        <v>5</v>
        <stp/>
        <stp>aee4b6d8-4da8-46e0-8b8a-d79a23eaa488</stp>
        <tr r="G6816" s="2"/>
      </tp>
      <tp>
        <v>5</v>
        <stp/>
        <stp>a3ff7fcb-7b2f-4347-a51e-f5afc6a4b8c2</stp>
        <tr r="G2028" s="2"/>
      </tp>
    </main>
    <main first="rtdsrv_a82eb5a1fc404542a18b1336b70d2c4e">
      <tp>
        <v>5</v>
        <stp/>
        <stp>a1abba85-4894-40d5-89af-782071a6df5d</stp>
        <tr r="G2857" s="2"/>
      </tp>
      <tp>
        <v>5</v>
        <stp/>
        <stp>5ff5250a-a9fd-4f59-a1a7-0b2feb87953a</stp>
        <tr r="G6306" s="2"/>
      </tp>
      <tp>
        <v>5</v>
        <stp/>
        <stp>bebba6fa-2e19-4467-be31-ece328102aeb</stp>
        <tr r="G5220" s="2"/>
      </tp>
      <tp>
        <v>5</v>
        <stp/>
        <stp>4689910e-85ec-4af2-9866-0fc45c176a8b</stp>
        <tr r="G1785" s="2"/>
      </tp>
      <tp>
        <v>5</v>
        <stp/>
        <stp>168df250-7eac-4b37-a811-289ec7362e21</stp>
        <tr r="G5308" s="2"/>
      </tp>
      <tp>
        <v>5</v>
        <stp/>
        <stp>352a3541-b8cb-408f-b285-31fa9b54e09a</stp>
        <tr r="G6817" s="2"/>
      </tp>
    </main>
    <main first="rtdsrv_a82eb5a1fc404542a18b1336b70d2c4e">
      <tp>
        <v>5</v>
        <stp/>
        <stp>9b802f1a-64b1-4c5c-8ef5-58115ca8d390</stp>
        <tr r="G9780" s="2"/>
      </tp>
    </main>
    <main first="rtdsrv_a82eb5a1fc404542a18b1336b70d2c4e">
      <tp>
        <v>5</v>
        <stp/>
        <stp>e0590abe-0b41-49b7-bbb4-ccef2911b149</stp>
        <tr r="G5196" s="2"/>
      </tp>
      <tp>
        <v>5</v>
        <stp/>
        <stp>256bbad3-2716-4afd-9787-f2b6ad70d3fc</stp>
        <tr r="G4580" s="2"/>
      </tp>
      <tp>
        <v>5</v>
        <stp/>
        <stp>ff14dd29-df1f-4799-a25d-c6cc5531a60e</stp>
        <tr r="G5805" s="2"/>
      </tp>
      <tp>
        <v>5</v>
        <stp/>
        <stp>d3d5eba3-6318-4b7a-9c01-58e2255a0d6a</stp>
        <tr r="G365" s="2"/>
      </tp>
    </main>
    <main first="rtdsrv_a82eb5a1fc404542a18b1336b70d2c4e">
      <tp>
        <v>5</v>
        <stp/>
        <stp>97d244a2-a94a-4aa7-a9b1-9c97f3e8780b</stp>
        <tr r="G3829" s="2"/>
      </tp>
    </main>
    <main first="rtdsrv_a82eb5a1fc404542a18b1336b70d2c4e">
      <tp>
        <v>5</v>
        <stp/>
        <stp>7dcd6d4c-7e8a-459d-b570-bf347dc8490b</stp>
        <tr r="G4432" s="2"/>
      </tp>
      <tp>
        <v>5</v>
        <stp/>
        <stp>c1ba4376-e2d6-47f3-aae6-4f79b95b2119</stp>
        <tr r="G8933" s="2"/>
      </tp>
    </main>
    <main first="rtdsrv_a82eb5a1fc404542a18b1336b70d2c4e">
      <tp>
        <v>5</v>
        <stp/>
        <stp>d9a23e5f-3875-4b6e-84d9-c3aecc08cafd</stp>
        <tr r="G111" s="2"/>
      </tp>
      <tp>
        <v>5</v>
        <stp/>
        <stp>fb7a890a-71cd-4a61-8937-71c92f2ddf2e</stp>
        <tr r="G6794" s="2"/>
      </tp>
      <tp>
        <v>5</v>
        <stp/>
        <stp>cd937451-1972-44e7-bc2d-986a46145544</stp>
        <tr r="G3645" s="2"/>
      </tp>
    </main>
    <main first="rtdsrv_a82eb5a1fc404542a18b1336b70d2c4e">
      <tp>
        <v>5</v>
        <stp/>
        <stp>6a263682-56af-4df7-859c-c08a21f4a2ca</stp>
        <tr r="G7450" s="2"/>
      </tp>
      <tp>
        <v>5</v>
        <stp/>
        <stp>353a38ea-bbc4-4f7c-a4a4-bc5d95c9fd42</stp>
        <tr r="G1607" s="2"/>
      </tp>
    </main>
    <main first="rtdsrv_a82eb5a1fc404542a18b1336b70d2c4e">
      <tp>
        <v>5</v>
        <stp/>
        <stp>c0fc47cf-95eb-44b6-9110-b6301ec94520</stp>
        <tr r="G3387" s="2"/>
      </tp>
      <tp>
        <v>5</v>
        <stp/>
        <stp>f045da63-cbde-459d-bec9-db00898be132</stp>
        <tr r="G2813" s="2"/>
      </tp>
      <tp>
        <v>5</v>
        <stp/>
        <stp>b7e09c65-82e7-4dca-9671-6d986c21ab9b</stp>
        <tr r="G9622" s="2"/>
      </tp>
    </main>
    <main first="rtdsrv_a82eb5a1fc404542a18b1336b70d2c4e">
      <tp>
        <v>5</v>
        <stp/>
        <stp>e71bc995-d38b-4086-aaa5-21d76e02a68f</stp>
        <tr r="G8037" s="2"/>
      </tp>
      <tp>
        <v>5</v>
        <stp/>
        <stp>334a5ccb-0aa0-489e-b1d0-19228001d7fc</stp>
        <tr r="G3419" s="2"/>
      </tp>
      <tp>
        <v>5</v>
        <stp/>
        <stp>c2ec7ecd-640c-4a69-ab2e-0b1d5cb9b4f1</stp>
        <tr r="G2350" s="2"/>
      </tp>
      <tp>
        <v>5</v>
        <stp/>
        <stp>d48ac42a-a88b-49b8-9e23-bb6f65c99c7b</stp>
        <tr r="G2168" s="2"/>
      </tp>
      <tp>
        <v>5</v>
        <stp/>
        <stp>677d6866-b78a-425a-8810-24e64bdb54d3</stp>
        <tr r="G3839" s="2"/>
      </tp>
      <tp>
        <v>5</v>
        <stp/>
        <stp>66ad415c-edb0-4d05-ae95-37b6e0ab66e5</stp>
        <tr r="G8997" s="2"/>
      </tp>
    </main>
    <main first="rtdsrv_a82eb5a1fc404542a18b1336b70d2c4e">
      <tp>
        <v>5</v>
        <stp/>
        <stp>edb3e701-4560-4346-953a-26e1b393d890</stp>
        <tr r="G7390" s="2"/>
      </tp>
      <tp>
        <v>5</v>
        <stp/>
        <stp>a424583d-07a5-4459-94af-ffb24ef7f874</stp>
        <tr r="G8484" s="2"/>
      </tp>
      <tp>
        <v>5</v>
        <stp/>
        <stp>fca615ee-3e50-474f-95ac-281044b4712b</stp>
        <tr r="G1628" s="2"/>
      </tp>
      <tp>
        <v>5</v>
        <stp/>
        <stp>a9640fdc-64f9-41d7-81de-70a14bceb7bb</stp>
        <tr r="G7331" s="2"/>
      </tp>
    </main>
    <main first="rtdsrv_a82eb5a1fc404542a18b1336b70d2c4e">
      <tp>
        <v>5</v>
        <stp/>
        <stp>76fb88d1-42c3-433e-a743-a51950d6f15f</stp>
        <tr r="G2651" s="2"/>
      </tp>
    </main>
    <main first="rtdsrv_a82eb5a1fc404542a18b1336b70d2c4e">
      <tp>
        <v>5</v>
        <stp/>
        <stp>61e0d3d6-c178-4c5f-857b-fcc9147098e1</stp>
        <tr r="G6324" s="2"/>
      </tp>
      <tp>
        <v>5</v>
        <stp/>
        <stp>527adbb1-9749-4281-9e27-a72e531ee153</stp>
        <tr r="G5839" s="2"/>
      </tp>
    </main>
    <main first="rtdsrv_a82eb5a1fc404542a18b1336b70d2c4e">
      <tp>
        <v>5</v>
        <stp/>
        <stp>045b8681-a25c-46f4-9986-6db8d1bbfd54</stp>
        <tr r="G4366" s="2"/>
      </tp>
      <tp>
        <v>5</v>
        <stp/>
        <stp>66177757-8398-471b-8d3b-349dc13bf3c1</stp>
        <tr r="G3895" s="2"/>
      </tp>
      <tp>
        <v>5</v>
        <stp/>
        <stp>6d6c3097-3452-4869-948f-5ae28a10985c</stp>
        <tr r="G3484" s="2"/>
      </tp>
    </main>
    <main first="rtdsrv_a82eb5a1fc404542a18b1336b70d2c4e">
      <tp>
        <v>5</v>
        <stp/>
        <stp>5ec2395a-0415-4cbe-8ed5-ef043c9286b3</stp>
        <tr r="G565" s="2"/>
      </tp>
    </main>
    <main first="rtdsrv_a82eb5a1fc404542a18b1336b70d2c4e">
      <tp>
        <v>5</v>
        <stp/>
        <stp>82c19408-5fbc-46fb-a485-a587e6549411</stp>
        <tr r="G8755" s="2"/>
      </tp>
    </main>
    <main first="rtdsrv_a82eb5a1fc404542a18b1336b70d2c4e">
      <tp>
        <v>5</v>
        <stp/>
        <stp>20783a93-4f45-4b70-8ea4-bae072d299a9</stp>
        <tr r="G1823" s="2"/>
      </tp>
    </main>
    <main first="rtdsrv_a82eb5a1fc404542a18b1336b70d2c4e">
      <tp>
        <v>5</v>
        <stp/>
        <stp>6af8d634-3058-4549-bb78-610bdc5f0fd3</stp>
        <tr r="G2589" s="2"/>
      </tp>
    </main>
    <main first="rtdsrv_a82eb5a1fc404542a18b1336b70d2c4e">
      <tp>
        <v>5</v>
        <stp/>
        <stp>6104d23c-a062-4148-a8b0-811c667cba86</stp>
        <tr r="G1456" s="2"/>
      </tp>
      <tp>
        <v>5</v>
        <stp/>
        <stp>b7e8d0b3-b4cb-47a5-b8aa-1b2139d9a495</stp>
        <tr r="G6262" s="2"/>
      </tp>
    </main>
    <main first="rtdsrv_a82eb5a1fc404542a18b1336b70d2c4e">
      <tp>
        <v>5</v>
        <stp/>
        <stp>8df6b698-17fa-4be1-b4e9-796ffcc79395</stp>
        <tr r="G9311" s="2"/>
      </tp>
      <tp>
        <v>5</v>
        <stp/>
        <stp>935723d8-9208-4fc4-a129-6ae5dc125c33</stp>
        <tr r="G7507" s="2"/>
      </tp>
      <tp>
        <v>5</v>
        <stp/>
        <stp>c16cc479-8941-420a-b441-aa41f1969f94</stp>
        <tr r="G5271" s="2"/>
      </tp>
    </main>
    <main first="rtdsrv_a82eb5a1fc404542a18b1336b70d2c4e">
      <tp>
        <v>5</v>
        <stp/>
        <stp>f1d02cb7-726e-46f7-9a71-c51639873716</stp>
        <tr r="G8342" s="2"/>
      </tp>
      <tp>
        <v>5</v>
        <stp/>
        <stp>7fd2a8c5-ee35-4e05-83f1-269a0d3c9ddb</stp>
        <tr r="G5840" s="2"/>
      </tp>
    </main>
    <main first="rtdsrv_a82eb5a1fc404542a18b1336b70d2c4e">
      <tp>
        <v>5</v>
        <stp/>
        <stp>105e54f7-d896-4e40-8646-38b83a216c04</stp>
        <tr r="G1408" s="2"/>
      </tp>
    </main>
    <main first="rtdsrv_a82eb5a1fc404542a18b1336b70d2c4e">
      <tp>
        <v>5</v>
        <stp/>
        <stp>8639bfad-f266-4686-ab76-8911efca3699</stp>
        <tr r="G9979" s="2"/>
      </tp>
      <tp>
        <v>5</v>
        <stp/>
        <stp>91fc8819-fc12-4774-9ce0-e12b949c0e23</stp>
        <tr r="G4815" s="2"/>
      </tp>
    </main>
    <main first="rtdsrv_a82eb5a1fc404542a18b1336b70d2c4e">
      <tp>
        <v>5</v>
        <stp/>
        <stp>8a158218-8081-4b0c-a94a-998bec0128d7</stp>
        <tr r="G4255" s="2"/>
      </tp>
    </main>
    <main first="rtdsrv_a82eb5a1fc404542a18b1336b70d2c4e">
      <tp>
        <v>5</v>
        <stp/>
        <stp>0be9cdc2-5901-48c5-ac90-9ae1805be0a5</stp>
        <tr r="G9420" s="2"/>
      </tp>
    </main>
    <main first="rtdsrv_a82eb5a1fc404542a18b1336b70d2c4e">
      <tp>
        <v>5</v>
        <stp/>
        <stp>0344d6c7-928f-4771-bab6-de919dfbd024</stp>
        <tr r="G1610" s="2"/>
      </tp>
    </main>
    <main first="rtdsrv_a82eb5a1fc404542a18b1336b70d2c4e">
      <tp>
        <v>5</v>
        <stp/>
        <stp>66fb35d4-2110-412b-b0b4-4e8d02518846</stp>
        <tr r="G2932" s="2"/>
      </tp>
    </main>
    <main first="rtdsrv_a82eb5a1fc404542a18b1336b70d2c4e">
      <tp>
        <v>5</v>
        <stp/>
        <stp>78b7b7a8-4113-4a5d-ba74-438a37b722b7</stp>
        <tr r="G3227" s="2"/>
      </tp>
    </main>
    <main first="rtdsrv_a82eb5a1fc404542a18b1336b70d2c4e">
      <tp>
        <v>5</v>
        <stp/>
        <stp>1737de45-bded-4ca7-8b89-5fa03cddcda7</stp>
        <tr r="G1094" s="2"/>
      </tp>
      <tp>
        <v>5</v>
        <stp/>
        <stp>23695044-268e-4ea9-b0f5-5f98de31d35d</stp>
        <tr r="G1193" s="2"/>
      </tp>
    </main>
    <main first="rtdsrv_a82eb5a1fc404542a18b1336b70d2c4e">
      <tp>
        <v>5</v>
        <stp/>
        <stp>14664758-0919-4aff-ab0f-c0d7723eb94f</stp>
        <tr r="G1320" s="2"/>
      </tp>
    </main>
    <main first="rtdsrv_a82eb5a1fc404542a18b1336b70d2c4e">
      <tp>
        <v>5</v>
        <stp/>
        <stp>0cc60659-0467-4da8-a11a-d240888c0809</stp>
        <tr r="G7052" s="2"/>
      </tp>
    </main>
    <main first="rtdsrv_a82eb5a1fc404542a18b1336b70d2c4e">
      <tp>
        <v>5</v>
        <stp/>
        <stp>e9925ebe-afbc-4356-b1b2-5fcdd5c98d0e</stp>
        <tr r="G5578" s="2"/>
      </tp>
      <tp>
        <v>5</v>
        <stp/>
        <stp>47854da3-a349-4e6e-ba04-a1f439a811fe</stp>
        <tr r="G6562" s="2"/>
      </tp>
    </main>
    <main first="rtdsrv_a82eb5a1fc404542a18b1336b70d2c4e">
      <tp>
        <v>5</v>
        <stp/>
        <stp>37505832-5dc2-48f0-8c4f-3e66c325468f</stp>
        <tr r="G7417" s="2"/>
      </tp>
      <tp>
        <v>5</v>
        <stp/>
        <stp>d799df71-433e-465a-8381-fe50c741d050</stp>
        <tr r="G882" s="2"/>
      </tp>
    </main>
    <main first="rtdsrv_a82eb5a1fc404542a18b1336b70d2c4e">
      <tp>
        <v>5</v>
        <stp/>
        <stp>c7b23d8d-929a-468e-abc9-7af67795cd66</stp>
        <tr r="G1247" s="2"/>
      </tp>
    </main>
    <main first="rtdsrv_a82eb5a1fc404542a18b1336b70d2c4e">
      <tp>
        <v>5</v>
        <stp/>
        <stp>c7db8e0f-8a07-4019-bc2a-2b3d6d9969ff</stp>
        <tr r="G3425" s="2"/>
      </tp>
      <tp>
        <v>5</v>
        <stp/>
        <stp>8a6d3fac-19c4-4f89-a42e-8b495741f635</stp>
        <tr r="G2690" s="2"/>
      </tp>
    </main>
    <main first="rtdsrv_a82eb5a1fc404542a18b1336b70d2c4e">
      <tp>
        <v>5</v>
        <stp/>
        <stp>c81388e7-6d70-4f49-91be-1e838511ccd6</stp>
        <tr r="G8131" s="2"/>
      </tp>
      <tp>
        <v>5</v>
        <stp/>
        <stp>6d030cb6-db1f-43a8-915f-c1da89923836</stp>
        <tr r="G6896" s="2"/>
      </tp>
      <tp>
        <v>5</v>
        <stp/>
        <stp>391598d0-385c-40ce-92c3-c8da0608dd3d</stp>
        <tr r="G9808" s="2"/>
      </tp>
    </main>
    <main first="rtdsrv_a82eb5a1fc404542a18b1336b70d2c4e">
      <tp>
        <v>5</v>
        <stp/>
        <stp>b97aa320-282a-43c4-acc6-68edc12048ed</stp>
        <tr r="G9862" s="2"/>
      </tp>
    </main>
    <main first="rtdsrv_a82eb5a1fc404542a18b1336b70d2c4e">
      <tp>
        <v>5</v>
        <stp/>
        <stp>e686c24f-5eac-4e66-bf10-cbbc92a0b8c2</stp>
        <tr r="G50" s="2"/>
      </tp>
    </main>
    <main first="rtdsrv_a82eb5a1fc404542a18b1336b70d2c4e">
      <tp>
        <v>5</v>
        <stp/>
        <stp>f5ece6c4-93b3-4c63-a8bb-7eef0685ef39</stp>
        <tr r="G526" s="2"/>
      </tp>
    </main>
    <main first="rtdsrv_a82eb5a1fc404542a18b1336b70d2c4e">
      <tp>
        <v>5</v>
        <stp/>
        <stp>7dc2213b-09c5-440c-8d2f-09f2a7182db4</stp>
        <tr r="G4111" s="2"/>
      </tp>
    </main>
    <main first="rtdsrv_a82eb5a1fc404542a18b1336b70d2c4e">
      <tp>
        <v>5</v>
        <stp/>
        <stp>6eb9373b-c160-4638-b1ce-d482130ae37f</stp>
        <tr r="G9059" s="2"/>
      </tp>
      <tp>
        <v>5</v>
        <stp/>
        <stp>d1f98469-3205-4c37-9b38-45600ad2382d</stp>
        <tr r="G6745" s="2"/>
      </tp>
      <tp>
        <v>5</v>
        <stp/>
        <stp>a1acea73-72b1-4e18-871b-fc87e76b7d24</stp>
        <tr r="G598" s="2"/>
      </tp>
      <tp>
        <v>5</v>
        <stp/>
        <stp>53f2596f-9811-4d1c-804a-f95b60ccd3e6</stp>
        <tr r="G3995" s="2"/>
      </tp>
    </main>
    <main first="rtdsrv_a82eb5a1fc404542a18b1336b70d2c4e">
      <tp>
        <v>5</v>
        <stp/>
        <stp>86cafbbe-77cb-4497-972f-887829daf99b</stp>
        <tr r="G8456" s="2"/>
      </tp>
    </main>
    <main first="rtdsrv_a82eb5a1fc404542a18b1336b70d2c4e">
      <tp>
        <v>5</v>
        <stp/>
        <stp>2c665dc6-4b27-4019-8612-7fe584b0578c</stp>
        <tr r="G1904" s="2"/>
      </tp>
      <tp>
        <v>5</v>
        <stp/>
        <stp>6acb104c-4588-4a49-96d9-d052d2573da9</stp>
        <tr r="G3848" s="2"/>
      </tp>
      <tp>
        <v>5</v>
        <stp/>
        <stp>1a706095-1b64-4c6f-9e85-56eb2ab157de</stp>
        <tr r="G819" s="2"/>
      </tp>
    </main>
    <main first="rtdsrv_a82eb5a1fc404542a18b1336b70d2c4e">
      <tp>
        <v>5</v>
        <stp/>
        <stp>d3dd5080-4117-466b-ac80-a147031b31c3</stp>
        <tr r="G985" s="2"/>
      </tp>
    </main>
    <main first="rtdsrv_a82eb5a1fc404542a18b1336b70d2c4e">
      <tp>
        <v>5</v>
        <stp/>
        <stp>2367df4d-98da-4636-b537-667cbc4feb52</stp>
        <tr r="G8950" s="2"/>
      </tp>
    </main>
    <main first="rtdsrv_a82eb5a1fc404542a18b1336b70d2c4e">
      <tp>
        <v>5</v>
        <stp/>
        <stp>7f36a6d6-37fc-4056-b478-a40e097c51db</stp>
        <tr r="G9090" s="2"/>
      </tp>
    </main>
    <main first="rtdsrv_a82eb5a1fc404542a18b1336b70d2c4e">
      <tp>
        <v>5</v>
        <stp/>
        <stp>f116c683-8fd0-46ee-a525-134a8a8c0db0</stp>
        <tr r="G6585" s="2"/>
      </tp>
    </main>
    <main first="rtdsrv_a82eb5a1fc404542a18b1336b70d2c4e">
      <tp>
        <v>5</v>
        <stp/>
        <stp>371d49c2-45c5-4e1b-be30-f644c44217c4</stp>
        <tr r="G5156" s="2"/>
      </tp>
    </main>
    <main first="rtdsrv_a82eb5a1fc404542a18b1336b70d2c4e">
      <tp>
        <v>5</v>
        <stp/>
        <stp>165a4740-c127-4449-afce-3dbbaabb5ca9</stp>
        <tr r="G5328" s="2"/>
      </tp>
    </main>
    <main first="rtdsrv_a82eb5a1fc404542a18b1336b70d2c4e">
      <tp>
        <v>5</v>
        <stp/>
        <stp>285005fc-fac9-4b94-9d19-3b5bee882729</stp>
        <tr r="G3213" s="2"/>
      </tp>
    </main>
    <main first="rtdsrv_a82eb5a1fc404542a18b1336b70d2c4e">
      <tp>
        <v>5</v>
        <stp/>
        <stp>368e4d9a-53e1-4841-b366-f193388e9719</stp>
        <tr r="G8332" s="2"/>
      </tp>
      <tp>
        <v>5</v>
        <stp/>
        <stp>60a7889a-5278-40e5-b342-5acc6a8e6b7b</stp>
        <tr r="G4281" s="2"/>
      </tp>
    </main>
    <main first="rtdsrv_a82eb5a1fc404542a18b1336b70d2c4e">
      <tp>
        <v>5</v>
        <stp/>
        <stp>3201e41f-2945-4d0c-8263-9161681cc684</stp>
        <tr r="G4066" s="2"/>
      </tp>
      <tp>
        <v>5</v>
        <stp/>
        <stp>4c5e5dee-d434-4483-aedf-4ab1991412e8</stp>
        <tr r="G4012" s="2"/>
      </tp>
      <tp>
        <v>5</v>
        <stp/>
        <stp>6705c6e2-841c-401c-a1cf-5b036423b10c</stp>
        <tr r="G2594" s="2"/>
      </tp>
    </main>
    <main first="rtdsrv_a82eb5a1fc404542a18b1336b70d2c4e">
      <tp>
        <v>5</v>
        <stp/>
        <stp>d9da2b85-0ef6-408d-a2a8-c010030fd350</stp>
        <tr r="G2840" s="2"/>
      </tp>
      <tp>
        <v>5</v>
        <stp/>
        <stp>23db482f-c3d3-4422-bf0c-e65c7113237c</stp>
        <tr r="G7764" s="2"/>
      </tp>
    </main>
    <main first="rtdsrv_a82eb5a1fc404542a18b1336b70d2c4e">
      <tp>
        <v>5</v>
        <stp/>
        <stp>91600f45-111c-4255-a5ec-8833d302dcfd</stp>
        <tr r="G5088" s="2"/>
      </tp>
      <tp>
        <v>5</v>
        <stp/>
        <stp>fee140eb-c25c-4b4f-aa2b-8402981a00d4</stp>
        <tr r="G957" s="2"/>
      </tp>
      <tp>
        <v>5</v>
        <stp/>
        <stp>fccc6812-e892-416c-8af2-d49585051ddb</stp>
        <tr r="G6742" s="2"/>
      </tp>
      <tp>
        <v>5</v>
        <stp/>
        <stp>86a50546-dc99-4ebe-9a91-01c426734bfb</stp>
        <tr r="G8073" s="2"/>
      </tp>
      <tp>
        <v>5</v>
        <stp/>
        <stp>3a71920d-9223-479b-8613-133a7721ac27</stp>
        <tr r="G2493" s="2"/>
      </tp>
    </main>
    <main first="rtdsrv_a82eb5a1fc404542a18b1336b70d2c4e">
      <tp>
        <v>5</v>
        <stp/>
        <stp>6363b842-a36e-49aa-9509-75985ee135a1</stp>
        <tr r="G3353" s="2"/>
      </tp>
      <tp>
        <v>5</v>
        <stp/>
        <stp>eadb5a65-8357-48a3-ac24-1f8588aa699f</stp>
        <tr r="G1417" s="2"/>
      </tp>
    </main>
    <main first="rtdsrv_a82eb5a1fc404542a18b1336b70d2c4e">
      <tp>
        <v>5</v>
        <stp/>
        <stp>60146e61-3511-456f-8f23-6067ee77295e</stp>
        <tr r="G8581" s="2"/>
      </tp>
      <tp>
        <v>5</v>
        <stp/>
        <stp>a6d8433d-9483-4545-aca1-d812f6a8587f</stp>
        <tr r="G1283" s="2"/>
      </tp>
      <tp>
        <v>5</v>
        <stp/>
        <stp>6fb6c1f5-76f7-4dbe-907f-d6f7ac4cc932</stp>
        <tr r="G2915" s="2"/>
      </tp>
    </main>
    <main first="rtdsrv_a82eb5a1fc404542a18b1336b70d2c4e">
      <tp>
        <v>5</v>
        <stp/>
        <stp>3117c973-efc8-49ba-b4e1-9ed747023e0b</stp>
        <tr r="G8110" s="2"/>
      </tp>
      <tp>
        <v>5</v>
        <stp/>
        <stp>c694942b-8ef7-4104-acde-55a9198e48d9</stp>
        <tr r="G5113" s="2"/>
      </tp>
    </main>
    <main first="rtdsrv_a82eb5a1fc404542a18b1336b70d2c4e">
      <tp>
        <v>5</v>
        <stp/>
        <stp>95517765-96e9-4f90-ab11-601b86701b44</stp>
        <tr r="G5733" s="2"/>
      </tp>
    </main>
    <main first="rtdsrv_a82eb5a1fc404542a18b1336b70d2c4e">
      <tp>
        <v>5</v>
        <stp/>
        <stp>dc4c4cbc-6623-45d4-860b-6067fd48e862</stp>
        <tr r="G8621" s="2"/>
      </tp>
      <tp>
        <v>5</v>
        <stp/>
        <stp>9b8d636f-aba3-41a9-b7ee-be146299fe70</stp>
        <tr r="G2933" s="2"/>
      </tp>
      <tp>
        <v>5</v>
        <stp/>
        <stp>306ffce3-fe96-43fc-9b84-0114f37f4229</stp>
        <tr r="G4267" s="2"/>
      </tp>
      <tp>
        <v>5</v>
        <stp/>
        <stp>0e7b6214-92b2-409c-900e-24cd9160ef2f</stp>
        <tr r="G438" s="2"/>
      </tp>
    </main>
    <main first="rtdsrv_a82eb5a1fc404542a18b1336b70d2c4e">
      <tp>
        <v>5</v>
        <stp/>
        <stp>62587775-6186-4e41-858d-8f2fb30cc1cb</stp>
        <tr r="G5145" s="2"/>
      </tp>
      <tp>
        <v>5</v>
        <stp/>
        <stp>2fa254b8-2e89-4007-901b-d861884a380c</stp>
        <tr r="G9592" s="2"/>
      </tp>
    </main>
    <main first="rtdsrv_a82eb5a1fc404542a18b1336b70d2c4e">
      <tp>
        <v>5</v>
        <stp/>
        <stp>5d6ce75f-e098-4f07-b69e-35a30db327c3</stp>
        <tr r="G9574" s="2"/>
      </tp>
      <tp>
        <v>5</v>
        <stp/>
        <stp>398f2cbc-5985-43eb-a002-647f83f5ad67</stp>
        <tr r="G5685" s="2"/>
      </tp>
      <tp>
        <v>5</v>
        <stp/>
        <stp>ab688821-75d7-43a3-999d-b473091744e7</stp>
        <tr r="G9492" s="2"/>
      </tp>
      <tp>
        <v>5</v>
        <stp/>
        <stp>5136a91f-77e8-49ec-acbf-e63955720ca2</stp>
        <tr r="G5450" s="2"/>
      </tp>
    </main>
    <main first="rtdsrv_a82eb5a1fc404542a18b1336b70d2c4e">
      <tp>
        <v>5</v>
        <stp/>
        <stp>cb33ead2-8016-474f-99c3-d623b22c7db8</stp>
        <tr r="G6300" s="2"/>
      </tp>
    </main>
    <main first="rtdsrv_a82eb5a1fc404542a18b1336b70d2c4e">
      <tp>
        <v>5</v>
        <stp/>
        <stp>ec6cd7e0-fc57-49bb-865b-1038722889e4</stp>
        <tr r="G43" s="2"/>
      </tp>
      <tp>
        <v>5</v>
        <stp/>
        <stp>dd7c2fde-ba0a-4fbd-8c13-e5376f3f687e</stp>
        <tr r="G7329" s="2"/>
      </tp>
      <tp>
        <v>5</v>
        <stp/>
        <stp>83f5dff4-8271-46b6-988c-b82df5a52046</stp>
        <tr r="G9517" s="2"/>
      </tp>
      <tp>
        <v>5</v>
        <stp/>
        <stp>6c004053-217e-4c8a-8e3e-0253cf0249b6</stp>
        <tr r="G8491" s="2"/>
      </tp>
      <tp>
        <v>5</v>
        <stp/>
        <stp>86b5d05d-8311-4cf4-b9d1-b9465849f1c6</stp>
        <tr r="G7706" s="2"/>
      </tp>
      <tp>
        <v>5</v>
        <stp/>
        <stp>667c0f59-5789-49e8-a9c5-0b6d4aa42ca3</stp>
        <tr r="G1579" s="2"/>
      </tp>
      <tp>
        <v>5</v>
        <stp/>
        <stp>e2062160-f6fc-4ddd-ae43-7588884bcf9f</stp>
        <tr r="G6357" s="2"/>
      </tp>
    </main>
    <main first="rtdsrv_a82eb5a1fc404542a18b1336b70d2c4e">
      <tp>
        <v>5</v>
        <stp/>
        <stp>261680ad-1f79-44e1-a0d1-28b7ae7e9aee</stp>
        <tr r="G7364" s="2"/>
      </tp>
    </main>
    <main first="rtdsrv_a82eb5a1fc404542a18b1336b70d2c4e">
      <tp>
        <v>5</v>
        <stp/>
        <stp>f950e11b-67a9-4046-b73c-dc5fe43f12aa</stp>
        <tr r="G2394" s="2"/>
      </tp>
    </main>
    <main first="rtdsrv_a82eb5a1fc404542a18b1336b70d2c4e">
      <tp>
        <v>5</v>
        <stp/>
        <stp>972397f4-42a4-4868-ac4d-34203601fd72</stp>
        <tr r="G4775" s="2"/>
      </tp>
    </main>
    <main first="rtdsrv_a82eb5a1fc404542a18b1336b70d2c4e">
      <tp>
        <v>5</v>
        <stp/>
        <stp>f1f85a48-3de3-432f-93b7-1b6b1930cb33</stp>
        <tr r="G9610" s="2"/>
      </tp>
      <tp>
        <v>5</v>
        <stp/>
        <stp>d8769ac4-4d3f-4ebf-b16b-abd8d5b3f4c3</stp>
        <tr r="G1421" s="2"/>
      </tp>
    </main>
    <main first="rtdsrv_a82eb5a1fc404542a18b1336b70d2c4e">
      <tp>
        <v>5</v>
        <stp/>
        <stp>03614f35-7a20-4e68-842c-33bfc01be5c9</stp>
        <tr r="G5717" s="2"/>
      </tp>
    </main>
    <main first="rtdsrv_a82eb5a1fc404542a18b1336b70d2c4e">
      <tp>
        <v>5</v>
        <stp/>
        <stp>63f3cd01-b1a2-41d0-9e8b-4c254ff1dff4</stp>
        <tr r="G1971" s="2"/>
      </tp>
    </main>
    <main first="rtdsrv_a82eb5a1fc404542a18b1336b70d2c4e">
      <tp>
        <v>5</v>
        <stp/>
        <stp>6aadc7ee-ae14-4ece-bc31-625ed9f5243b</stp>
        <tr r="G8294" s="2"/>
      </tp>
    </main>
    <main first="rtdsrv_a82eb5a1fc404542a18b1336b70d2c4e">
      <tp>
        <v>5</v>
        <stp/>
        <stp>5d502152-ec3b-449e-9011-3f6bfe5949ae</stp>
        <tr r="G5309" s="2"/>
      </tp>
    </main>
    <main first="rtdsrv_a82eb5a1fc404542a18b1336b70d2c4e">
      <tp>
        <v>5</v>
        <stp/>
        <stp>124c3c91-35ad-4104-ae60-8016481bf68c</stp>
        <tr r="G6305" s="2"/>
      </tp>
    </main>
    <main first="rtdsrv_a82eb5a1fc404542a18b1336b70d2c4e">
      <tp>
        <v>5</v>
        <stp/>
        <stp>b6a50f78-14c8-424b-b39b-2a509d77ba2d</stp>
        <tr r="G8814" s="2"/>
      </tp>
    </main>
    <main first="rtdsrv_a82eb5a1fc404542a18b1336b70d2c4e">
      <tp>
        <v>5</v>
        <stp/>
        <stp>cbb604ba-d762-4e99-b259-40d08b8022b9</stp>
        <tr r="G9118" s="2"/>
      </tp>
      <tp>
        <v>5</v>
        <stp/>
        <stp>65878665-903a-447d-af62-d51cc584b646</stp>
        <tr r="G7406" s="2"/>
      </tp>
      <tp>
        <v>5</v>
        <stp/>
        <stp>05ff3a70-f253-4538-82bb-53a9423507be</stp>
        <tr r="G1445" s="2"/>
      </tp>
    </main>
    <main first="rtdsrv_a82eb5a1fc404542a18b1336b70d2c4e">
      <tp>
        <v>5</v>
        <stp/>
        <stp>74366ad5-1c89-4826-878c-f67e737ee1f9</stp>
        <tr r="G1118" s="2"/>
      </tp>
      <tp>
        <v>5</v>
        <stp/>
        <stp>d53f074f-bc8e-439b-bf30-403c7fbb994d</stp>
        <tr r="G8740" s="2"/>
      </tp>
      <tp>
        <v>5</v>
        <stp/>
        <stp>c3e325fd-10c8-4eec-9592-21b5dffd9d44</stp>
        <tr r="G1551" s="2"/>
      </tp>
    </main>
    <main first="rtdsrv_a82eb5a1fc404542a18b1336b70d2c4e">
      <tp>
        <v>5</v>
        <stp/>
        <stp>5106647f-c08a-4328-ae06-30c0602410a3</stp>
        <tr r="G3214" s="2"/>
      </tp>
    </main>
    <main first="rtdsrv_a82eb5a1fc404542a18b1336b70d2c4e">
      <tp>
        <v>5</v>
        <stp/>
        <stp>0e47809a-734e-4e5c-934f-fc1c019f09a0</stp>
        <tr r="G7327" s="2"/>
      </tp>
    </main>
    <main first="rtdsrv_a82eb5a1fc404542a18b1336b70d2c4e">
      <tp>
        <v>5</v>
        <stp/>
        <stp>cbed50f0-6bc5-4547-bc26-f50819d6b328</stp>
        <tr r="G907" s="2"/>
      </tp>
      <tp>
        <v>5</v>
        <stp/>
        <stp>de523bb7-bc82-4452-8b86-b1d18ca1bc6b</stp>
        <tr r="G9260" s="2"/>
      </tp>
    </main>
    <main first="rtdsrv_a82eb5a1fc404542a18b1336b70d2c4e">
      <tp>
        <v>5</v>
        <stp/>
        <stp>bde09e14-20d3-4fc1-b317-984741397de2</stp>
        <tr r="G6450" s="2"/>
      </tp>
    </main>
    <main first="rtdsrv_a82eb5a1fc404542a18b1336b70d2c4e">
      <tp>
        <v>5</v>
        <stp/>
        <stp>81f7cf71-6b9a-4578-bb6c-24e3802b956b</stp>
        <tr r="G1606" s="2"/>
      </tp>
      <tp>
        <v>5</v>
        <stp/>
        <stp>83f1534b-0e5d-4986-9628-a8e691acbc95</stp>
        <tr r="G2226" s="2"/>
      </tp>
    </main>
    <main first="rtdsrv_a82eb5a1fc404542a18b1336b70d2c4e">
      <tp>
        <v>5</v>
        <stp/>
        <stp>ee2c76b4-37c8-409e-bf75-e9096138bdcd</stp>
        <tr r="G4275" s="2"/>
      </tp>
    </main>
    <main first="rtdsrv_a82eb5a1fc404542a18b1336b70d2c4e">
      <tp>
        <v>5</v>
        <stp/>
        <stp>1a0a6e3f-a738-498d-acb0-500f35c2f8e5</stp>
        <tr r="G4517" s="2"/>
      </tp>
      <tp>
        <v>5</v>
        <stp/>
        <stp>3ea08af2-c3a5-4643-a7b0-7b0a534cc928</stp>
        <tr r="G4687" s="2"/>
      </tp>
    </main>
    <main first="rtdsrv_a82eb5a1fc404542a18b1336b70d2c4e">
      <tp>
        <v>5</v>
        <stp/>
        <stp>c316b8ad-82db-4215-b592-b3059fc1b417</stp>
        <tr r="G6314" s="2"/>
      </tp>
      <tp>
        <v>5</v>
        <stp/>
        <stp>24a4617d-6ec8-4e28-adaf-23af22148573</stp>
        <tr r="G9084" s="2"/>
      </tp>
      <tp>
        <v>5</v>
        <stp/>
        <stp>7b257b6b-4eb1-409e-b33e-29a080a1b566</stp>
        <tr r="G9783" s="2"/>
      </tp>
      <tp>
        <v>5</v>
        <stp/>
        <stp>68febb1e-deaf-4017-ba6e-e77c25e99c78</stp>
        <tr r="G6041" s="2"/>
      </tp>
    </main>
    <main first="rtdsrv_a82eb5a1fc404542a18b1336b70d2c4e">
      <tp>
        <v>5</v>
        <stp/>
        <stp>7a9d54bc-5fbf-43f2-bc9c-9983d852f4af</stp>
        <tr r="G8577" s="2"/>
      </tp>
      <tp>
        <v>5</v>
        <stp/>
        <stp>a0a89209-9fcd-4a0c-9894-ab2219a4ddba</stp>
        <tr r="G575" s="2"/>
      </tp>
    </main>
    <main first="rtdsrv_a82eb5a1fc404542a18b1336b70d2c4e">
      <tp>
        <v>5</v>
        <stp/>
        <stp>b808f92a-9ba7-4d7d-abe1-ec4632c1164e</stp>
        <tr r="G6546" s="2"/>
      </tp>
      <tp>
        <v>5</v>
        <stp/>
        <stp>c7e3b277-6f6e-4d41-b6a1-292bf7c9d3f7</stp>
        <tr r="G9682" s="2"/>
      </tp>
      <tp>
        <v>5</v>
        <stp/>
        <stp>ea778b84-2e76-43e4-81bb-7682e9cef6a1</stp>
        <tr r="G1929" s="2"/>
      </tp>
    </main>
    <main first="rtdsrv_a82eb5a1fc404542a18b1336b70d2c4e">
      <tp>
        <v>5</v>
        <stp/>
        <stp>6aa42eea-71e7-4141-b611-acb328f6063c</stp>
        <tr r="G9791" s="2"/>
      </tp>
    </main>
    <main first="rtdsrv_a82eb5a1fc404542a18b1336b70d2c4e">
      <tp>
        <v>5</v>
        <stp/>
        <stp>1da7f459-e35f-464c-8c4f-9c408f31b957</stp>
        <tr r="G9074" s="2"/>
      </tp>
    </main>
    <main first="rtdsrv_a82eb5a1fc404542a18b1336b70d2c4e">
      <tp>
        <v>5</v>
        <stp/>
        <stp>3d0e6ac5-e3d1-42f5-b7cc-d3a86c4498ec</stp>
        <tr r="G9549" s="2"/>
      </tp>
      <tp>
        <v>5</v>
        <stp/>
        <stp>f3a531ff-cfab-4da6-ae2f-28cf925341b7</stp>
        <tr r="G5937" s="2"/>
      </tp>
    </main>
    <main first="rtdsrv_a82eb5a1fc404542a18b1336b70d2c4e">
      <tp>
        <v>5</v>
        <stp/>
        <stp>ba1a6b4b-9bef-4615-9443-1238e5e85b18</stp>
        <tr r="G7498" s="2"/>
      </tp>
      <tp>
        <v>5</v>
        <stp/>
        <stp>011b680d-0fc5-4734-bd3b-5dcb9a171ed4</stp>
        <tr r="G6219" s="2"/>
      </tp>
    </main>
    <main first="rtdsrv_a82eb5a1fc404542a18b1336b70d2c4e">
      <tp>
        <v>5</v>
        <stp/>
        <stp>aa0308d1-1485-40e7-9e6e-8adc2ba2b439</stp>
        <tr r="G7260" s="2"/>
      </tp>
      <tp>
        <v>5</v>
        <stp/>
        <stp>33924a72-f127-4d11-b59e-967352712f61</stp>
        <tr r="G8103" s="2"/>
      </tp>
      <tp>
        <v>5</v>
        <stp/>
        <stp>5b73662b-5124-4b3b-b2d9-587859c9985c</stp>
        <tr r="G6154" s="2"/>
      </tp>
    </main>
    <main first="rtdsrv_a82eb5a1fc404542a18b1336b70d2c4e">
      <tp>
        <v>5</v>
        <stp/>
        <stp>179063ca-543b-42a5-9a80-5707fec0c0ac</stp>
        <tr r="G6515" s="2"/>
      </tp>
    </main>
    <main first="rtdsrv_a82eb5a1fc404542a18b1336b70d2c4e">
      <tp>
        <v>5</v>
        <stp/>
        <stp>941bbb90-9e42-4110-8647-0b0c52557e36</stp>
        <tr r="G207" s="2"/>
      </tp>
      <tp>
        <v>5</v>
        <stp/>
        <stp>458de8da-dba8-4aa2-987b-72ad92fd4275</stp>
        <tr r="G2474" s="2"/>
      </tp>
    </main>
    <main first="rtdsrv_a82eb5a1fc404542a18b1336b70d2c4e">
      <tp>
        <v>5</v>
        <stp/>
        <stp>d4ce0ecd-2877-4076-928f-305d2fd83ec6</stp>
        <tr r="G7433" s="2"/>
      </tp>
    </main>
    <main first="rtdsrv_a82eb5a1fc404542a18b1336b70d2c4e">
      <tp>
        <v>5</v>
        <stp/>
        <stp>99767e02-878c-4131-9a29-b3fa8206b833</stp>
        <tr r="G6665" s="2"/>
      </tp>
    </main>
    <main first="rtdsrv_a82eb5a1fc404542a18b1336b70d2c4e">
      <tp>
        <v>5</v>
        <stp/>
        <stp>e3e718ec-d900-494f-8fb7-c0e943760604</stp>
        <tr r="G1090" s="2"/>
      </tp>
    </main>
    <main first="rtdsrv_a82eb5a1fc404542a18b1336b70d2c4e">
      <tp>
        <v>5</v>
        <stp/>
        <stp>419a0d93-4be3-4b25-9d19-fe64c801cf12</stp>
        <tr r="G9951" s="2"/>
      </tp>
      <tp>
        <v>5</v>
        <stp/>
        <stp>a82cd580-4696-4ea6-acbf-ebdb42b90c11</stp>
        <tr r="G1784" s="2"/>
      </tp>
    </main>
    <main first="rtdsrv_a82eb5a1fc404542a18b1336b70d2c4e">
      <tp>
        <v>5</v>
        <stp/>
        <stp>6e9fd875-fc5c-4d9f-9eb6-9e6966c062c1</stp>
        <tr r="G2784" s="2"/>
      </tp>
    </main>
    <main first="rtdsrv_a82eb5a1fc404542a18b1336b70d2c4e">
      <tp>
        <v>5</v>
        <stp/>
        <stp>06122904-bec9-404a-9abd-012a1b92dcf6</stp>
        <tr r="G4367" s="2"/>
      </tp>
      <tp>
        <v>5</v>
        <stp/>
        <stp>6c95752e-83ad-4cc1-84da-b35c1fb0a0c2</stp>
        <tr r="G3146" s="2"/>
      </tp>
      <tp>
        <v>5</v>
        <stp/>
        <stp>ce08a1d7-4d79-42e0-8883-4c41508eeeb7</stp>
        <tr r="G2191" s="2"/>
      </tp>
    </main>
    <main first="rtdsrv_a82eb5a1fc404542a18b1336b70d2c4e">
      <tp>
        <v>5</v>
        <stp/>
        <stp>7e3a7ab3-0051-467b-8390-a14172821205</stp>
        <tr r="G1467" s="2"/>
      </tp>
      <tp>
        <v>5</v>
        <stp/>
        <stp>75d6709a-5231-403f-a1e3-43207f9ef89f</stp>
        <tr r="G5582" s="2"/>
      </tp>
    </main>
    <main first="rtdsrv_a82eb5a1fc404542a18b1336b70d2c4e">
      <tp>
        <v>5</v>
        <stp/>
        <stp>066b8d80-f753-4785-a127-e93dd2ce3f00</stp>
        <tr r="G778" s="2"/>
      </tp>
    </main>
    <main first="rtdsrv_a82eb5a1fc404542a18b1336b70d2c4e">
      <tp>
        <v>5</v>
        <stp/>
        <stp>5c161455-3d33-4de9-a957-16950675a674</stp>
        <tr r="G6840" s="2"/>
      </tp>
      <tp>
        <v>5</v>
        <stp/>
        <stp>e407cd58-d066-45bb-852b-39ff2592b6fc</stp>
        <tr r="G9365" s="2"/>
      </tp>
      <tp>
        <v>5</v>
        <stp/>
        <stp>03b9697f-7fb6-4678-9c8e-8cb54eb2be86</stp>
        <tr r="G9993" s="2"/>
      </tp>
    </main>
    <main first="rtdsrv_a82eb5a1fc404542a18b1336b70d2c4e">
      <tp>
        <v>5</v>
        <stp/>
        <stp>1de1f93c-c926-4cae-96a0-2b51d3e045a3</stp>
        <tr r="G7258" s="2"/>
      </tp>
    </main>
    <main first="rtdsrv_a82eb5a1fc404542a18b1336b70d2c4e">
      <tp>
        <v>5</v>
        <stp/>
        <stp>e17fc8d0-ab66-4405-b4cb-515eec124294</stp>
        <tr r="G389" s="2"/>
      </tp>
      <tp>
        <v>5</v>
        <stp/>
        <stp>5f2db5b9-d46c-4628-9423-1c9bbcccccc0</stp>
        <tr r="G1783" s="2"/>
      </tp>
    </main>
    <main first="rtdsrv_a82eb5a1fc404542a18b1336b70d2c4e">
      <tp>
        <v>5</v>
        <stp/>
        <stp>aadeb7bc-2a3d-4517-ad23-8307f53a899a</stp>
        <tr r="G6111" s="2"/>
      </tp>
    </main>
    <main first="rtdsrv_a82eb5a1fc404542a18b1336b70d2c4e">
      <tp>
        <v>5</v>
        <stp/>
        <stp>5bf75d07-eb46-42d5-b8d4-69c85f5b738c</stp>
        <tr r="G5872" s="2"/>
      </tp>
    </main>
    <main first="rtdsrv_a82eb5a1fc404542a18b1336b70d2c4e">
      <tp>
        <v>5</v>
        <stp/>
        <stp>8b182c95-f6b8-4e4d-b006-004f297c5de6</stp>
        <tr r="G5918" s="2"/>
      </tp>
    </main>
    <main first="rtdsrv_a82eb5a1fc404542a18b1336b70d2c4e">
      <tp>
        <v>5</v>
        <stp/>
        <stp>7862a400-18c7-4e63-acf6-2165eb7b5ef5</stp>
        <tr r="G9615" s="2"/>
      </tp>
      <tp>
        <v>5</v>
        <stp/>
        <stp>6e77b91c-bfd0-468f-ad6c-0587642bc1f5</stp>
        <tr r="G7862" s="2"/>
      </tp>
      <tp>
        <v>5</v>
        <stp/>
        <stp>5abda7e8-7772-4064-be76-39b91c87ff37</stp>
        <tr r="G6881" s="2"/>
      </tp>
    </main>
    <main first="rtdsrv_a82eb5a1fc404542a18b1336b70d2c4e">
      <tp>
        <v>5</v>
        <stp/>
        <stp>79cd2f9b-ae3d-4507-a84e-34717c12c43c</stp>
        <tr r="G2831" s="2"/>
      </tp>
    </main>
    <main first="rtdsrv_a82eb5a1fc404542a18b1336b70d2c4e">
      <tp>
        <v>5</v>
        <stp/>
        <stp>e86cb4ea-a423-4ce2-8295-aff028cf0f86</stp>
        <tr r="G221" s="2"/>
      </tp>
    </main>
    <main first="rtdsrv_a82eb5a1fc404542a18b1336b70d2c4e">
      <tp>
        <v>5</v>
        <stp/>
        <stp>7528b4d1-6873-40bd-be66-200c12c239da</stp>
        <tr r="G7700" s="2"/>
      </tp>
      <tp>
        <v>5</v>
        <stp/>
        <stp>daf64400-2755-4f9d-9309-2d7be0eca9e1</stp>
        <tr r="G3511" s="2"/>
      </tp>
    </main>
    <main first="rtdsrv_a82eb5a1fc404542a18b1336b70d2c4e">
      <tp>
        <v>5</v>
        <stp/>
        <stp>1ac1ea30-369a-4c84-a6e4-2443f804509b</stp>
        <tr r="G1700" s="2"/>
      </tp>
    </main>
    <main first="rtdsrv_a82eb5a1fc404542a18b1336b70d2c4e">
      <tp>
        <v>5</v>
        <stp/>
        <stp>ab323887-c19a-4dcd-810f-e60a03607623</stp>
        <tr r="G1829" s="2"/>
      </tp>
    </main>
    <main first="rtdsrv_a82eb5a1fc404542a18b1336b70d2c4e">
      <tp>
        <v>5</v>
        <stp/>
        <stp>f97d19e4-9cde-4dfc-93d7-9a7432a7638f</stp>
        <tr r="G4681" s="2"/>
      </tp>
      <tp>
        <v>5</v>
        <stp/>
        <stp>9e90afe6-632d-4a95-897b-b8a58b21436a</stp>
        <tr r="G7769" s="2"/>
      </tp>
      <tp>
        <v>5</v>
        <stp/>
        <stp>06b056af-4451-4021-9999-70fa91e49ce7</stp>
        <tr r="G3783" s="2"/>
      </tp>
    </main>
    <main first="rtdsrv_a82eb5a1fc404542a18b1336b70d2c4e">
      <tp>
        <v>5</v>
        <stp/>
        <stp>f9c992dc-7854-4490-a80f-bbf64e5aaeb8</stp>
        <tr r="G5404" s="2"/>
      </tp>
    </main>
    <main first="rtdsrv_a82eb5a1fc404542a18b1336b70d2c4e">
      <tp>
        <v>5</v>
        <stp/>
        <stp>18880932-777d-43bf-bf0c-770148fb01ab</stp>
        <tr r="G2632" s="2"/>
      </tp>
    </main>
    <main first="rtdsrv_a82eb5a1fc404542a18b1336b70d2c4e">
      <tp>
        <v>5</v>
        <stp/>
        <stp>f189c6b3-8699-483e-9eeb-03187a4f43c2</stp>
        <tr r="G2500" s="2"/>
      </tp>
    </main>
    <main first="rtdsrv_a82eb5a1fc404542a18b1336b70d2c4e">
      <tp>
        <v>5</v>
        <stp/>
        <stp>bc5ce898-b6ef-43ae-9837-b421067783a4</stp>
        <tr r="G1746" s="2"/>
      </tp>
    </main>
    <main first="rtdsrv_a82eb5a1fc404542a18b1336b70d2c4e">
      <tp>
        <v>5</v>
        <stp/>
        <stp>66657602-4fdf-4fc9-824e-42f82b839727</stp>
        <tr r="G1855" s="2"/>
      </tp>
    </main>
    <main first="rtdsrv_a82eb5a1fc404542a18b1336b70d2c4e">
      <tp>
        <v>5</v>
        <stp/>
        <stp>34220db4-a461-47c4-ba5c-6f2e288f90dd</stp>
        <tr r="G5861" s="2"/>
      </tp>
      <tp>
        <v>5</v>
        <stp/>
        <stp>a476ac27-18a4-4a08-8069-be669cc29083</stp>
        <tr r="G2269" s="2"/>
      </tp>
      <tp>
        <v>5</v>
        <stp/>
        <stp>01cbd2c1-0948-4fc3-a5fa-ea485ad098aa</stp>
        <tr r="G7927" s="2"/>
      </tp>
      <tp>
        <v>5</v>
        <stp/>
        <stp>a775f008-3822-412c-ba6a-192ecb35bd65</stp>
        <tr r="G5369" s="2"/>
      </tp>
    </main>
    <main first="rtdsrv_a82eb5a1fc404542a18b1336b70d2c4e">
      <tp>
        <v>5</v>
        <stp/>
        <stp>dc8defcb-c6b9-43dd-9809-e554e8864a09</stp>
        <tr r="G4057" s="2"/>
      </tp>
    </main>
    <main first="rtdsrv_a82eb5a1fc404542a18b1336b70d2c4e">
      <tp>
        <v>5</v>
        <stp/>
        <stp>e9d47e81-0771-41ed-b83a-e2f886f10ac9</stp>
        <tr r="G3784" s="2"/>
      </tp>
      <tp>
        <v>5</v>
        <stp/>
        <stp>6fdf02da-91b6-4e5f-9049-dc76227fa0a8</stp>
        <tr r="G1713" s="2"/>
      </tp>
    </main>
    <main first="rtdsrv_a82eb5a1fc404542a18b1336b70d2c4e">
      <tp>
        <v>5</v>
        <stp/>
        <stp>e98b9c0f-e739-43e2-bab0-2bd960d6ccf1</stp>
        <tr r="G5434" s="2"/>
      </tp>
      <tp>
        <v>5</v>
        <stp/>
        <stp>37258cde-d0da-4c37-9362-edb9199a62e3</stp>
        <tr r="G6836" s="2"/>
      </tp>
    </main>
    <main first="rtdsrv_a82eb5a1fc404542a18b1336b70d2c4e">
      <tp>
        <v>5</v>
        <stp/>
        <stp>7f0e141c-317b-4310-ba9f-9991c6fb89c3</stp>
        <tr r="G8107" s="2"/>
      </tp>
    </main>
    <main first="rtdsrv_a82eb5a1fc404542a18b1336b70d2c4e">
      <tp>
        <v>5</v>
        <stp/>
        <stp>0a4d482d-0fe7-48ed-a009-8d3d2d6fbc62</stp>
        <tr r="G6043" s="2"/>
      </tp>
      <tp>
        <v>5</v>
        <stp/>
        <stp>9f820176-0c81-4152-ac57-1b428d0b3853</stp>
        <tr r="G8118" s="2"/>
      </tp>
      <tp>
        <v>5</v>
        <stp/>
        <stp>9eae4dcf-4a8b-4ca8-a9e1-f297b0810490</stp>
        <tr r="G2526" s="2"/>
      </tp>
      <tp>
        <v>5</v>
        <stp/>
        <stp>0d8c653e-d20e-474a-897c-560662bde9bd</stp>
        <tr r="G1416" s="2"/>
      </tp>
      <tp>
        <v>5</v>
        <stp/>
        <stp>bf5f3907-083e-47ff-b8e3-65591ae5bf43</stp>
        <tr r="G6779" s="2"/>
      </tp>
    </main>
    <main first="rtdsrv_a82eb5a1fc404542a18b1336b70d2c4e">
      <tp>
        <v>5</v>
        <stp/>
        <stp>d24e369f-3c86-4943-99b4-3cfadb4599be</stp>
        <tr r="G664" s="2"/>
      </tp>
    </main>
    <main first="rtdsrv_a82eb5a1fc404542a18b1336b70d2c4e">
      <tp>
        <v>5</v>
        <stp/>
        <stp>c76f5479-37b9-4fc9-bda5-fe2217cddd89</stp>
        <tr r="G2619" s="2"/>
      </tp>
    </main>
    <main first="rtdsrv_a82eb5a1fc404542a18b1336b70d2c4e">
      <tp>
        <v>5</v>
        <stp/>
        <stp>0a5422c0-7cf7-4848-b359-ca4ea2311da5</stp>
        <tr r="G8763" s="2"/>
      </tp>
      <tp>
        <v>5</v>
        <stp/>
        <stp>d7b02d34-ffdc-4261-96ca-c38138b332f2</stp>
        <tr r="G5166" s="2"/>
      </tp>
    </main>
    <main first="rtdsrv_a82eb5a1fc404542a18b1336b70d2c4e">
      <tp>
        <v>5</v>
        <stp/>
        <stp>51ce24f8-5311-4e2e-9c97-01110e8b3fca</stp>
        <tr r="G4234" s="2"/>
      </tp>
    </main>
    <main first="rtdsrv_a82eb5a1fc404542a18b1336b70d2c4e">
      <tp>
        <v>5</v>
        <stp/>
        <stp>7af8c5a1-c890-46d9-a3b8-b2bb3673b698</stp>
        <tr r="G8866" s="2"/>
      </tp>
      <tp>
        <v>5</v>
        <stp/>
        <stp>bfbb2cca-6a95-41e7-aeb0-9d0a1e259991</stp>
        <tr r="G6224" s="2"/>
      </tp>
    </main>
    <main first="rtdsrv_a82eb5a1fc404542a18b1336b70d2c4e">
      <tp>
        <v>5</v>
        <stp/>
        <stp>fc2d4fb8-8034-4dc2-96bf-26bbf28d677a</stp>
        <tr r="G7506" s="2"/>
      </tp>
    </main>
    <main first="rtdsrv_a82eb5a1fc404542a18b1336b70d2c4e">
      <tp>
        <v>5</v>
        <stp/>
        <stp>1a04a885-1538-4d8f-9f5c-6a726a5dce7e</stp>
        <tr r="G9388" s="2"/>
      </tp>
    </main>
    <main first="rtdsrv_a82eb5a1fc404542a18b1336b70d2c4e">
      <tp>
        <v>5</v>
        <stp/>
        <stp>a06f3147-0638-46bd-a821-62a5e2e109e7</stp>
        <tr r="G9076" s="2"/>
      </tp>
    </main>
    <main first="rtdsrv_a82eb5a1fc404542a18b1336b70d2c4e">
      <tp>
        <v>5</v>
        <stp/>
        <stp>1235f412-c365-47d9-9722-016e42ed7341</stp>
        <tr r="G2894" s="2"/>
      </tp>
    </main>
    <main first="rtdsrv_a82eb5a1fc404542a18b1336b70d2c4e">
      <tp>
        <v>5</v>
        <stp/>
        <stp>54f8195d-8670-43e0-af20-34a3fd6039f2</stp>
        <tr r="G5420" s="2"/>
      </tp>
      <tp>
        <v>5</v>
        <stp/>
        <stp>d4773e71-1c57-4ca0-98bb-311a9e2888f8</stp>
        <tr r="G7551" s="2"/>
      </tp>
      <tp>
        <v>5</v>
        <stp/>
        <stp>c9385347-0f96-40e3-9c06-715f9c294545</stp>
        <tr r="G1250" s="2"/>
      </tp>
    </main>
    <main first="rtdsrv_a82eb5a1fc404542a18b1336b70d2c4e">
      <tp>
        <v>5</v>
        <stp/>
        <stp>83bfb8e0-194f-4819-8ce5-d5b0195a848d</stp>
        <tr r="G603" s="2"/>
      </tp>
      <tp>
        <v>5</v>
        <stp/>
        <stp>5d7ac7cc-614b-454d-ac4d-0fb1c565b817</stp>
        <tr r="G7225" s="2"/>
      </tp>
      <tp>
        <v>5</v>
        <stp/>
        <stp>37c8abaf-1339-4f47-be2b-29582bf82dd8</stp>
        <tr r="G1177" s="2"/>
      </tp>
      <tp>
        <v>5</v>
        <stp/>
        <stp>a5372942-7132-4fd1-bbe5-914ae46d24ee</stp>
        <tr r="G5385" s="2"/>
      </tp>
      <tp>
        <v>5</v>
        <stp/>
        <stp>b0747c72-c522-43f6-818d-434a50678c76</stp>
        <tr r="G9562" s="2"/>
      </tp>
      <tp>
        <v>5</v>
        <stp/>
        <stp>92cbf27f-bd68-49ce-ae6a-ebbaa4dbe931</stp>
        <tr r="G5674" s="2"/>
      </tp>
    </main>
    <main first="rtdsrv_a82eb5a1fc404542a18b1336b70d2c4e">
      <tp>
        <v>5</v>
        <stp/>
        <stp>63e5a372-2ef3-4909-9cbe-3d18a02a9c5b</stp>
        <tr r="G7537" s="2"/>
      </tp>
      <tp>
        <v>5</v>
        <stp/>
        <stp>bf72a3a3-c5a2-464c-a892-ad7a921ced20</stp>
        <tr r="G6021" s="2"/>
      </tp>
      <tp>
        <v>5</v>
        <stp/>
        <stp>1c9716a7-20e1-4c70-b634-1c39783cda98</stp>
        <tr r="G1620" s="2"/>
      </tp>
    </main>
    <main first="rtdsrv_a82eb5a1fc404542a18b1336b70d2c4e">
      <tp>
        <v>5</v>
        <stp/>
        <stp>f066b706-b7b9-428f-94ab-d785039da878</stp>
        <tr r="G4046" s="2"/>
      </tp>
      <tp>
        <v>5</v>
        <stp/>
        <stp>e2d6ee7b-cfbc-464a-8b1e-9928aab43be6</stp>
        <tr r="G9309" s="2"/>
      </tp>
      <tp>
        <v>5</v>
        <stp/>
        <stp>1beecf48-e232-49d5-b9de-d5a23c192831</stp>
        <tr r="G6204" s="2"/>
      </tp>
      <tp>
        <v>5</v>
        <stp/>
        <stp>f3a98d4e-8ecc-4f44-a76f-8287678cf63f</stp>
        <tr r="G1299" s="2"/>
      </tp>
      <tp>
        <v>5</v>
        <stp/>
        <stp>8ca40fab-eb2f-417f-938a-c37afc3fd0ba</stp>
        <tr r="G505" s="2"/>
      </tp>
      <tp>
        <v>5</v>
        <stp/>
        <stp>9cf1cfee-3f1c-4090-9404-ae7359233418</stp>
        <tr r="G2307" s="2"/>
      </tp>
    </main>
    <main first="rtdsrv_a82eb5a1fc404542a18b1336b70d2c4e">
      <tp>
        <v>5</v>
        <stp/>
        <stp>47c277d6-ce31-4239-b6a0-922c85244b7a</stp>
        <tr r="G3196" s="2"/>
      </tp>
      <tp>
        <v>5</v>
        <stp/>
        <stp>429565bc-c649-457c-bca8-d924f35a8273</stp>
        <tr r="G4573" s="2"/>
      </tp>
    </main>
    <main first="rtdsrv_a82eb5a1fc404542a18b1336b70d2c4e">
      <tp>
        <v>5</v>
        <stp/>
        <stp>a569bcfb-1f62-4d7b-a147-1d3892c99942</stp>
        <tr r="G8955" s="2"/>
      </tp>
      <tp>
        <v>5</v>
        <stp/>
        <stp>c420bd10-228d-43bc-a640-a659f81afec4</stp>
        <tr r="G725" s="2"/>
      </tp>
    </main>
    <main first="rtdsrv_a82eb5a1fc404542a18b1336b70d2c4e">
      <tp>
        <v>5</v>
        <stp/>
        <stp>49617c62-e8d1-42fe-b8c1-99aad87f4f91</stp>
        <tr r="G1662" s="2"/>
      </tp>
      <tp>
        <v>5</v>
        <stp/>
        <stp>ff4cda58-a761-43b6-b29b-3bad6d1ff1b2</stp>
        <tr r="G5342" s="2"/>
      </tp>
      <tp>
        <v>5</v>
        <stp/>
        <stp>48f1d2a5-2c53-465c-8102-795c89d5b5ad</stp>
        <tr r="G5849" s="2"/>
      </tp>
    </main>
    <main first="rtdsrv_a82eb5a1fc404542a18b1336b70d2c4e">
      <tp>
        <v>5</v>
        <stp/>
        <stp>2e4794f2-8582-4bd4-ac61-994b38af74e3</stp>
        <tr r="G5337" s="2"/>
      </tp>
      <tp>
        <v>5</v>
        <stp/>
        <stp>f7e11def-a8c8-49de-b88b-a51e2f451b94</stp>
        <tr r="G7940" s="2"/>
      </tp>
    </main>
    <main first="rtdsrv_a82eb5a1fc404542a18b1336b70d2c4e">
      <tp>
        <v>5</v>
        <stp/>
        <stp>275c2806-276e-427a-b12d-6df1afdea221</stp>
        <tr r="G5891" s="2"/>
      </tp>
      <tp>
        <v>5</v>
        <stp/>
        <stp>f2feada7-b272-4bf7-b975-56292859bda2</stp>
        <tr r="G9216" s="2"/>
      </tp>
      <tp>
        <v>5</v>
        <stp/>
        <stp>cbdefa4a-3d2c-4bf9-bad6-c327b90239fb</stp>
        <tr r="G2775" s="2"/>
      </tp>
      <tp>
        <v>5</v>
        <stp/>
        <stp>75e0f2fc-c545-42d3-9ec5-16530d6b18fc</stp>
        <tr r="G3715" s="2"/>
      </tp>
    </main>
    <main first="rtdsrv_a82eb5a1fc404542a18b1336b70d2c4e">
      <tp>
        <v>5</v>
        <stp/>
        <stp>2cfbce09-4073-4ea5-91d1-23b8270599cd</stp>
        <tr r="G1948" s="2"/>
      </tp>
      <tp>
        <v>5</v>
        <stp/>
        <stp>52b50cdc-fa42-4989-808c-be0629aa3420</stp>
        <tr r="G6760" s="2"/>
      </tp>
      <tp>
        <v>5</v>
        <stp/>
        <stp>7790fc0e-5df1-44da-8efe-6038a98291d3</stp>
        <tr r="G7472" s="2"/>
      </tp>
    </main>
    <main first="rtdsrv_a82eb5a1fc404542a18b1336b70d2c4e">
      <tp>
        <v>5</v>
        <stp/>
        <stp>7301b0b0-222a-40ef-9142-a8dfdfa5bc0e</stp>
        <tr r="G8917" s="2"/>
      </tp>
    </main>
    <main first="rtdsrv_a82eb5a1fc404542a18b1336b70d2c4e">
      <tp>
        <v>5</v>
        <stp/>
        <stp>ba431f12-430f-402d-8431-09ab2341e05b</stp>
        <tr r="G8260" s="2"/>
      </tp>
    </main>
    <main first="rtdsrv_a82eb5a1fc404542a18b1336b70d2c4e">
      <tp>
        <v>5</v>
        <stp/>
        <stp>e9ec2d3b-2ea9-451c-9905-2cdbbed5dda1</stp>
        <tr r="G9598" s="2"/>
      </tp>
    </main>
    <main first="rtdsrv_a82eb5a1fc404542a18b1336b70d2c4e">
      <tp>
        <v>5</v>
        <stp/>
        <stp>65e10256-809f-4ccc-8f8b-e8bf7764851c</stp>
        <tr r="G855" s="2"/>
      </tp>
      <tp>
        <v>5</v>
        <stp/>
        <stp>f84bc5fc-8e61-44ee-b6c2-55e039152a62</stp>
        <tr r="G9976" s="2"/>
      </tp>
    </main>
    <main first="rtdsrv_a82eb5a1fc404542a18b1336b70d2c4e">
      <tp>
        <v>5</v>
        <stp/>
        <stp>685a1d31-cf39-4138-b682-f6e2b3fd9d66</stp>
        <tr r="G4221" s="2"/>
      </tp>
    </main>
    <main first="rtdsrv_a82eb5a1fc404542a18b1336b70d2c4e">
      <tp>
        <v>5</v>
        <stp/>
        <stp>110805fa-318c-4f78-89e1-2610af382d3e</stp>
        <tr r="G6747" s="2"/>
      </tp>
    </main>
    <main first="rtdsrv_a82eb5a1fc404542a18b1336b70d2c4e">
      <tp>
        <v>5</v>
        <stp/>
        <stp>dea51518-fc71-4da3-bc94-bc6d2efcbd0d</stp>
        <tr r="G5154" s="2"/>
      </tp>
    </main>
    <main first="rtdsrv_a82eb5a1fc404542a18b1336b70d2c4e">
      <tp>
        <v>5</v>
        <stp/>
        <stp>c98f4b05-3231-4523-8422-7e8e47a7fe13</stp>
        <tr r="G9551" s="2"/>
      </tp>
    </main>
    <main first="rtdsrv_a82eb5a1fc404542a18b1336b70d2c4e">
      <tp>
        <v>5</v>
        <stp/>
        <stp>98f37745-fb61-44d1-b960-d4b4c01f843c</stp>
        <tr r="G6054" s="2"/>
      </tp>
    </main>
    <main first="rtdsrv_a82eb5a1fc404542a18b1336b70d2c4e">
      <tp>
        <v>5</v>
        <stp/>
        <stp>8203ef12-f9c0-42d9-b318-f135e40f5ac9</stp>
        <tr r="G2150" s="2"/>
      </tp>
    </main>
    <main first="rtdsrv_a82eb5a1fc404542a18b1336b70d2c4e">
      <tp>
        <v>5</v>
        <stp/>
        <stp>8f83d591-ccdd-46a0-8c5e-28e1e0b84cad</stp>
        <tr r="G5892" s="2"/>
      </tp>
    </main>
    <main first="rtdsrv_a82eb5a1fc404542a18b1336b70d2c4e">
      <tp>
        <v>5</v>
        <stp/>
        <stp>c67a17d9-46fb-4c75-bbb5-eba298131fa0</stp>
        <tr r="G9462" s="2"/>
      </tp>
    </main>
    <main first="rtdsrv_a82eb5a1fc404542a18b1336b70d2c4e">
      <tp>
        <v>5</v>
        <stp/>
        <stp>ae5b3363-eadc-4241-b456-05dc590b5ea4</stp>
        <tr r="G4577" s="2"/>
      </tp>
      <tp>
        <v>5</v>
        <stp/>
        <stp>36c813b8-3b7f-4988-b075-d3dae2eb9f63</stp>
        <tr r="G7402" s="2"/>
      </tp>
      <tp>
        <v>5</v>
        <stp/>
        <stp>a2bac24e-5fe8-496e-8d15-e66ed93e50a8</stp>
        <tr r="G7891" s="2"/>
      </tp>
    </main>
    <main first="rtdsrv_a82eb5a1fc404542a18b1336b70d2c4e">
      <tp>
        <v>5</v>
        <stp/>
        <stp>6ecd5c09-135b-4074-a92d-e301a835fdfd</stp>
        <tr r="G7365" s="2"/>
      </tp>
      <tp>
        <v>5</v>
        <stp/>
        <stp>9107dbe4-2442-4ee5-985c-b05799af567a</stp>
        <tr r="G1489" s="2"/>
      </tp>
    </main>
    <main first="rtdsrv_a82eb5a1fc404542a18b1336b70d2c4e">
      <tp>
        <v>5</v>
        <stp/>
        <stp>f6887672-ae3a-4793-94a5-3d011942b090</stp>
        <tr r="G7599" s="2"/>
      </tp>
    </main>
    <main first="rtdsrv_a82eb5a1fc404542a18b1336b70d2c4e">
      <tp>
        <v>5</v>
        <stp/>
        <stp>b1c259f8-df39-461e-8265-3c792426a614</stp>
        <tr r="G200" s="2"/>
      </tp>
      <tp>
        <v>5</v>
        <stp/>
        <stp>b0c887f1-2b84-471f-9b4d-a1f6694d013e</stp>
        <tr r="G6402" s="2"/>
      </tp>
      <tp>
        <v>5</v>
        <stp/>
        <stp>a19abbe6-1434-42a2-946c-3655f7d4d98e</stp>
        <tr r="G1812" s="2"/>
      </tp>
      <tp>
        <v>5</v>
        <stp/>
        <stp>53b605b8-9d42-46af-a0f6-3ee0eaa7be4a</stp>
        <tr r="G2767" s="2"/>
      </tp>
    </main>
    <main first="rtdsrv_a82eb5a1fc404542a18b1336b70d2c4e">
      <tp>
        <v>5</v>
        <stp/>
        <stp>8e8eca10-4bed-4367-8977-5ad2c6b8398d</stp>
        <tr r="G5855" s="2"/>
      </tp>
      <tp>
        <v>5</v>
        <stp/>
        <stp>1e58d029-691c-4338-b819-944b302630cb</stp>
        <tr r="G5827" s="2"/>
      </tp>
      <tp>
        <v>5</v>
        <stp/>
        <stp>6ddd4a33-5a04-4e98-b7e4-1f030b2117b3</stp>
        <tr r="G7048" s="2"/>
      </tp>
    </main>
    <main first="rtdsrv_a82eb5a1fc404542a18b1336b70d2c4e">
      <tp>
        <v>5</v>
        <stp/>
        <stp>078209c7-60ae-439a-a948-4733704c8468</stp>
        <tr r="G7788" s="2"/>
      </tp>
    </main>
    <main first="rtdsrv_a82eb5a1fc404542a18b1336b70d2c4e">
      <tp>
        <v>5</v>
        <stp/>
        <stp>b109e24a-2552-4d18-b347-54262529ebea</stp>
        <tr r="G9005" s="2"/>
      </tp>
      <tp>
        <v>5</v>
        <stp/>
        <stp>ecabff48-46c1-437d-940e-995fc4ed6654</stp>
        <tr r="G2930" s="2"/>
      </tp>
    </main>
    <main first="rtdsrv_a82eb5a1fc404542a18b1336b70d2c4e">
      <tp>
        <v>5</v>
        <stp/>
        <stp>702627b3-c7a5-4f59-9d07-9caee1685adf</stp>
        <tr r="G5108" s="2"/>
      </tp>
      <tp>
        <v>5</v>
        <stp/>
        <stp>a4b32ae7-889e-4b82-8722-5530c79731da</stp>
        <tr r="G2422" s="2"/>
      </tp>
      <tp>
        <v>5</v>
        <stp/>
        <stp>7b0be3b7-0ced-44de-828e-2679c2ae4fab</stp>
        <tr r="G7806" s="2"/>
      </tp>
      <tp>
        <v>5</v>
        <stp/>
        <stp>b1e1bcf7-f4aa-47ed-b689-f0a20c550e98</stp>
        <tr r="G4608" s="2"/>
      </tp>
    </main>
    <main first="rtdsrv_a82eb5a1fc404542a18b1336b70d2c4e">
      <tp>
        <v>5</v>
        <stp/>
        <stp>2ac097c4-8bf1-4da9-b19f-0570d1e5b456</stp>
        <tr r="G2642" s="2"/>
      </tp>
    </main>
    <main first="rtdsrv_a82eb5a1fc404542a18b1336b70d2c4e">
      <tp>
        <v>5</v>
        <stp/>
        <stp>edc00360-679a-4265-9dbb-79614b67b3cc</stp>
        <tr r="G8087" s="2"/>
      </tp>
      <tp>
        <v>5</v>
        <stp/>
        <stp>acf268bc-0a19-4103-b2b6-0bcb432e45ad</stp>
        <tr r="G5990" s="2"/>
      </tp>
    </main>
    <main first="rtdsrv_a82eb5a1fc404542a18b1336b70d2c4e">
      <tp>
        <v>5</v>
        <stp/>
        <stp>206d7326-de81-4a1e-97e8-3b697b44698b</stp>
        <tr r="G4810" s="2"/>
      </tp>
      <tp>
        <v>5</v>
        <stp/>
        <stp>6af3d953-7dc1-4081-8b02-a753dda76c20</stp>
        <tr r="G543" s="2"/>
      </tp>
      <tp>
        <v>5</v>
        <stp/>
        <stp>f18fd887-9f37-4250-8e93-314dcd7a5254</stp>
        <tr r="G7064" s="2"/>
      </tp>
      <tp>
        <v>5</v>
        <stp/>
        <stp>8bde607d-9747-4933-b18f-d9132511c2a7</stp>
        <tr r="G4581" s="2"/>
      </tp>
    </main>
    <main first="rtdsrv_a82eb5a1fc404542a18b1336b70d2c4e">
      <tp>
        <v>5</v>
        <stp/>
        <stp>81d44295-749e-4024-8c89-767d34859ccd</stp>
        <tr r="G1169" s="2"/>
      </tp>
    </main>
    <main first="rtdsrv_a82eb5a1fc404542a18b1336b70d2c4e">
      <tp>
        <v>5</v>
        <stp/>
        <stp>2a90a90e-1649-40d6-a02a-ccbbbfbd01b8</stp>
        <tr r="G6333" s="2"/>
      </tp>
    </main>
    <main first="rtdsrv_a82eb5a1fc404542a18b1336b70d2c4e">
      <tp>
        <v>5</v>
        <stp/>
        <stp>8c1cc836-d995-492d-8132-91dfc6fe067d</stp>
        <tr r="G6978" s="2"/>
      </tp>
      <tp>
        <v>5</v>
        <stp/>
        <stp>e5aaed97-434e-4aa0-aeb4-3dc3c9e613e0</stp>
        <tr r="G3862" s="2"/>
      </tp>
    </main>
    <main first="rtdsrv_a82eb5a1fc404542a18b1336b70d2c4e">
      <tp>
        <v>5</v>
        <stp/>
        <stp>f1c0c548-e90a-4a29-a99a-ff3f9f05d808</stp>
        <tr r="G8884" s="2"/>
      </tp>
    </main>
    <main first="rtdsrv_a82eb5a1fc404542a18b1336b70d2c4e">
      <tp>
        <v>5</v>
        <stp/>
        <stp>89fba288-1a05-45be-b933-8ab59274bfec</stp>
        <tr r="G7577" s="2"/>
      </tp>
    </main>
    <main first="rtdsrv_a82eb5a1fc404542a18b1336b70d2c4e">
      <tp>
        <v>5</v>
        <stp/>
        <stp>dcedf3e5-4f98-46b7-a48b-6091c13c6327</stp>
        <tr r="G3403" s="2"/>
      </tp>
      <tp>
        <v>5</v>
        <stp/>
        <stp>6ee7b6af-029e-47fc-b729-513e8804fb07</stp>
        <tr r="G4673" s="2"/>
      </tp>
      <tp>
        <v>5</v>
        <stp/>
        <stp>226b98f1-622b-45f0-a37e-12c6df8056a6</stp>
        <tr r="G9230" s="2"/>
      </tp>
    </main>
    <main first="rtdsrv_a82eb5a1fc404542a18b1336b70d2c4e">
      <tp>
        <v>5</v>
        <stp/>
        <stp>c2318d95-9bae-47aa-9854-85b711bfffa5</stp>
        <tr r="G527" s="2"/>
      </tp>
    </main>
    <main first="rtdsrv_a82eb5a1fc404542a18b1336b70d2c4e">
      <tp>
        <v>5</v>
        <stp/>
        <stp>2675586d-8620-40db-b3c9-f4e078f05b0f</stp>
        <tr r="G966" s="2"/>
      </tp>
    </main>
    <main first="rtdsrv_a82eb5a1fc404542a18b1336b70d2c4e">
      <tp>
        <v>5</v>
        <stp/>
        <stp>d5c8a2dc-e9f3-4ed8-9410-834434398541</stp>
        <tr r="G8896" s="2"/>
      </tp>
    </main>
    <main first="rtdsrv_a82eb5a1fc404542a18b1336b70d2c4e">
      <tp>
        <v>5</v>
        <stp/>
        <stp>496d6a8d-8b74-442f-a72d-7b83d9501689</stp>
        <tr r="G3764" s="2"/>
      </tp>
      <tp>
        <v>5</v>
        <stp/>
        <stp>72f8580b-2240-4970-891e-9ac723f28292</stp>
        <tr r="G8747" s="2"/>
      </tp>
    </main>
    <main first="rtdsrv_a82eb5a1fc404542a18b1336b70d2c4e">
      <tp>
        <v>5</v>
        <stp/>
        <stp>bb65afef-5746-4978-b42c-4e9c4d442c71</stp>
        <tr r="G6753" s="2"/>
      </tp>
      <tp>
        <v>5</v>
        <stp/>
        <stp>2ad68ce9-2677-4a18-a644-bfccfeee4f8d</stp>
        <tr r="G2265" s="2"/>
      </tp>
      <tp>
        <v>5</v>
        <stp/>
        <stp>773dead9-bff8-40d9-890b-75e9df35378d</stp>
        <tr r="G4566" s="2"/>
      </tp>
      <tp>
        <v>5</v>
        <stp/>
        <stp>b5caedd7-96c5-4730-a5fe-759dd76eaef9</stp>
        <tr r="G5753" s="2"/>
      </tp>
      <tp>
        <v>5</v>
        <stp/>
        <stp>756326bf-8a42-453e-9558-5b38eb53225b</stp>
        <tr r="G6494" s="2"/>
      </tp>
    </main>
    <main first="rtdsrv_a82eb5a1fc404542a18b1336b70d2c4e">
      <tp>
        <v>5</v>
        <stp/>
        <stp>4f8e7dc9-77a3-4b94-807f-eef2320ae8b9</stp>
        <tr r="G4000" s="2"/>
      </tp>
    </main>
    <main first="rtdsrv_a82eb5a1fc404542a18b1336b70d2c4e">
      <tp>
        <v>5</v>
        <stp/>
        <stp>e9676e25-ae4e-468f-b574-7b9961d44f62</stp>
        <tr r="G9375" s="2"/>
      </tp>
    </main>
    <main first="rtdsrv_a82eb5a1fc404542a18b1336b70d2c4e">
      <tp>
        <v>5</v>
        <stp/>
        <stp>4781166f-52c4-4579-986f-63264fd1272f</stp>
        <tr r="G2763" s="2"/>
      </tp>
      <tp>
        <v>5</v>
        <stp/>
        <stp>e25d8d41-73e8-48f8-96a4-a37b6199ac61</stp>
        <tr r="G9933" s="2"/>
      </tp>
    </main>
    <main first="rtdsrv_a82eb5a1fc404542a18b1336b70d2c4e">
      <tp>
        <v>5</v>
        <stp/>
        <stp>e07eedba-ce9d-4d77-8dbb-5fd88e8d8819</stp>
        <tr r="G429" s="2"/>
      </tp>
    </main>
    <main first="rtdsrv_a82eb5a1fc404542a18b1336b70d2c4e">
      <tp>
        <v>5</v>
        <stp/>
        <stp>99cb3e97-0cba-4f2d-a238-7ec21becbe8a</stp>
        <tr r="G5885" s="2"/>
      </tp>
    </main>
    <main first="rtdsrv_a82eb5a1fc404542a18b1336b70d2c4e">
      <tp>
        <v>5</v>
        <stp/>
        <stp>c0b93995-7e75-4b4a-b0b8-1ed780d00192</stp>
        <tr r="G880" s="2"/>
      </tp>
    </main>
    <main first="rtdsrv_a82eb5a1fc404542a18b1336b70d2c4e">
      <tp>
        <v>5</v>
        <stp/>
        <stp>746ae970-7354-4e4d-b52e-bdf884942e79</stp>
        <tr r="G6392" s="2"/>
      </tp>
      <tp>
        <v>5</v>
        <stp/>
        <stp>bcf52304-1471-42a1-b409-236a82efa876</stp>
        <tr r="G2649" s="2"/>
      </tp>
      <tp>
        <v>5</v>
        <stp/>
        <stp>67d3a989-a72f-45aa-9620-b5d31f0ee603</stp>
        <tr r="G1039" s="2"/>
      </tp>
    </main>
    <main first="rtdsrv_a82eb5a1fc404542a18b1336b70d2c4e">
      <tp>
        <v>5</v>
        <stp/>
        <stp>1980f955-ca1c-4a07-9d24-e8ff1f0c2a15</stp>
        <tr r="G379" s="2"/>
      </tp>
    </main>
    <main first="rtdsrv_a82eb5a1fc404542a18b1336b70d2c4e">
      <tp>
        <v>5</v>
        <stp/>
        <stp>11f5abee-b8af-407f-8174-d35b22ff58ce</stp>
        <tr r="G8384" s="2"/>
      </tp>
      <tp>
        <v>5</v>
        <stp/>
        <stp>7af198b8-6706-4c46-8358-92ca14bba359</stp>
        <tr r="G8596" s="2"/>
      </tp>
      <tp>
        <v>5</v>
        <stp/>
        <stp>fb7dcb39-dfaa-4bc3-954e-720ed99cf119</stp>
        <tr r="G2228" s="2"/>
      </tp>
    </main>
    <main first="rtdsrv_a82eb5a1fc404542a18b1336b70d2c4e">
      <tp>
        <v>5</v>
        <stp/>
        <stp>b5218394-4bf2-4f7a-8124-a8b605cfb5c6</stp>
        <tr r="G1966" s="2"/>
      </tp>
      <tp>
        <v>5</v>
        <stp/>
        <stp>6faa3ee8-c000-42f4-818d-ef8c0ca58011</stp>
        <tr r="G7209" s="2"/>
      </tp>
      <tp>
        <v>5</v>
        <stp/>
        <stp>b36d1d97-16bd-4c91-ac99-0aec15d60c9f</stp>
        <tr r="G5917" s="2"/>
      </tp>
    </main>
    <main first="rtdsrv_a82eb5a1fc404542a18b1336b70d2c4e">
      <tp>
        <v>5</v>
        <stp/>
        <stp>d9192c38-c654-4616-a95f-d69dbff98350</stp>
        <tr r="G1843" s="2"/>
      </tp>
      <tp>
        <v>5</v>
        <stp/>
        <stp>ccca28f7-000a-4e64-a1b0-9d484484a41a</stp>
        <tr r="G5777" s="2"/>
      </tp>
      <tp>
        <v>5</v>
        <stp/>
        <stp>4daa957b-b9d3-44d7-a64a-d9ea7f69e6eb</stp>
        <tr r="G2609" s="2"/>
      </tp>
      <tp>
        <v>5</v>
        <stp/>
        <stp>f70a16f9-2be3-4c60-88c2-279c26697814</stp>
        <tr r="G6934" s="2"/>
      </tp>
    </main>
    <main first="rtdsrv_a82eb5a1fc404542a18b1336b70d2c4e">
      <tp>
        <v>5</v>
        <stp/>
        <stp>3d7e7b4b-1a1a-4cc9-8e59-34de744acb3b</stp>
        <tr r="G5769" s="2"/>
      </tp>
    </main>
    <main first="rtdsrv_a82eb5a1fc404542a18b1336b70d2c4e">
      <tp>
        <v>5</v>
        <stp/>
        <stp>ba67f85e-f78c-446c-9e33-1116e56f228a</stp>
        <tr r="G1622" s="2"/>
      </tp>
    </main>
    <main first="rtdsrv_a82eb5a1fc404542a18b1336b70d2c4e">
      <tp>
        <v>5</v>
        <stp/>
        <stp>b945c369-390b-471f-9472-92142fda8ed8</stp>
        <tr r="G1145" s="2"/>
      </tp>
    </main>
    <main first="rtdsrv_a82eb5a1fc404542a18b1336b70d2c4e">
      <tp>
        <v>5</v>
        <stp/>
        <stp>d90bd10b-a73d-42e6-bb31-3d915fc277ea</stp>
        <tr r="G2900" s="2"/>
      </tp>
      <tp>
        <v>5</v>
        <stp/>
        <stp>4cf14183-4443-4df9-b2a0-7379a7a3bc58</stp>
        <tr r="G6252" s="2"/>
      </tp>
    </main>
    <main first="rtdsrv_a82eb5a1fc404542a18b1336b70d2c4e">
      <tp>
        <v>5</v>
        <stp/>
        <stp>820d681f-e9a4-4bc2-b161-8bd8c214ebea</stp>
        <tr r="G4821" s="2"/>
      </tp>
    </main>
    <main first="rtdsrv_a82eb5a1fc404542a18b1336b70d2c4e">
      <tp>
        <v>5</v>
        <stp/>
        <stp>7a71e71c-5806-412b-9483-0e39d3e046b3</stp>
        <tr r="G6682" s="2"/>
      </tp>
      <tp>
        <v>5</v>
        <stp/>
        <stp>df8fe932-8e97-4c2c-b3ad-3d842a986920</stp>
        <tr r="G2090" s="2"/>
      </tp>
      <tp>
        <v>5</v>
        <stp/>
        <stp>933e8bb0-1949-4bbc-a9bd-132509c412d2</stp>
        <tr r="G8692" s="2"/>
      </tp>
      <tp>
        <v>5</v>
        <stp/>
        <stp>2142be15-1919-4cd8-986a-c578cea1cb24</stp>
        <tr r="G4742" s="2"/>
      </tp>
      <tp>
        <v>5</v>
        <stp/>
        <stp>934e959a-1f89-4c3b-8d2c-7d0c2b7b3867</stp>
        <tr r="G5778" s="2"/>
      </tp>
    </main>
    <main first="rtdsrv_a82eb5a1fc404542a18b1336b70d2c4e">
      <tp>
        <v>5</v>
        <stp/>
        <stp>06443044-17ef-49c9-9e74-722756864d06</stp>
        <tr r="G5630" s="2"/>
      </tp>
      <tp>
        <v>5</v>
        <stp/>
        <stp>f4c143a2-383b-4763-9b9b-5da29b337a3c</stp>
        <tr r="G4849" s="2"/>
      </tp>
      <tp>
        <v>5</v>
        <stp/>
        <stp>e3f70e3e-9ee1-445b-8808-3a13fd3aca37</stp>
        <tr r="G3201" s="2"/>
      </tp>
      <tp>
        <v>5</v>
        <stp/>
        <stp>aa23e18d-b518-40b3-a8b0-16656459285c</stp>
        <tr r="G1382" s="2"/>
      </tp>
    </main>
    <main first="rtdsrv_a82eb5a1fc404542a18b1336b70d2c4e">
      <tp>
        <v>5</v>
        <stp/>
        <stp>edf9ba10-924d-4542-bf12-3f9ef3d84302</stp>
        <tr r="G6905" s="2"/>
      </tp>
      <tp>
        <v>5</v>
        <stp/>
        <stp>59e03ec9-5c58-46b0-9256-51832b206fc5</stp>
        <tr r="G5866" s="2"/>
      </tp>
    </main>
    <main first="rtdsrv_a82eb5a1fc404542a18b1336b70d2c4e">
      <tp>
        <v>5</v>
        <stp/>
        <stp>0a7cf5ff-6ab3-41fb-af22-8773ed758883</stp>
        <tr r="G4164" s="2"/>
      </tp>
      <tp>
        <v>5</v>
        <stp/>
        <stp>bc2ff797-2e1e-4304-abb3-683f5bd7430a</stp>
        <tr r="G642" s="2"/>
      </tp>
      <tp>
        <v>5</v>
        <stp/>
        <stp>2b29d71b-3fac-40fb-a3a9-1035991945dd</stp>
        <tr r="G5029" s="2"/>
      </tp>
      <tp>
        <v>5</v>
        <stp/>
        <stp>31a5cf23-0d8e-4ceb-b18a-0cf20f316a97</stp>
        <tr r="G8197" s="2"/>
      </tp>
    </main>
    <main first="rtdsrv_a82eb5a1fc404542a18b1336b70d2c4e">
      <tp>
        <v>5</v>
        <stp/>
        <stp>43b84e0a-7a22-446e-820c-eab5b90f958f</stp>
        <tr r="G5448" s="2"/>
      </tp>
      <tp>
        <v>5</v>
        <stp/>
        <stp>4e59a7a0-f857-4b98-91d3-a7fb4037460a</stp>
        <tr r="G1119" s="2"/>
      </tp>
    </main>
    <main first="rtdsrv_a82eb5a1fc404542a18b1336b70d2c4e">
      <tp>
        <v>5</v>
        <stp/>
        <stp>dab5bae6-8a52-45f5-9e19-7fc40a538b3d</stp>
        <tr r="G236" s="2"/>
      </tp>
    </main>
    <main first="rtdsrv_a82eb5a1fc404542a18b1336b70d2c4e">
      <tp>
        <v>5</v>
        <stp/>
        <stp>85a72c9d-e929-47fb-a29b-2e41a0432d8a</stp>
        <tr r="G211" s="2"/>
      </tp>
    </main>
    <main first="rtdsrv_a82eb5a1fc404542a18b1336b70d2c4e">
      <tp>
        <v>5</v>
        <stp/>
        <stp>cdea892b-b833-4f3a-8d32-6eef4de325fa</stp>
        <tr r="G5983" s="2"/>
      </tp>
    </main>
    <main first="rtdsrv_a82eb5a1fc404542a18b1336b70d2c4e">
      <tp>
        <v>5</v>
        <stp/>
        <stp>b2169b3d-8bfa-448b-8ada-5d796cc200a7</stp>
        <tr r="G301" s="2"/>
      </tp>
      <tp>
        <v>5</v>
        <stp/>
        <stp>1a2e258d-1ce1-48f3-87e9-69711f7a05d1</stp>
        <tr r="G6391" s="2"/>
      </tp>
    </main>
    <main first="rtdsrv_a82eb5a1fc404542a18b1336b70d2c4e">
      <tp>
        <v>5</v>
        <stp/>
        <stp>5fda0f39-cda5-48f2-b5e7-f96c5cca47ec</stp>
        <tr r="G2435" s="2"/>
      </tp>
    </main>
    <main first="rtdsrv_a82eb5a1fc404542a18b1336b70d2c4e">
      <tp>
        <v>5</v>
        <stp/>
        <stp>c19164b4-3595-4a99-b8e1-5d8562264ea1</stp>
        <tr r="G2579" s="2"/>
      </tp>
    </main>
    <main first="rtdsrv_a82eb5a1fc404542a18b1336b70d2c4e">
      <tp>
        <v>5</v>
        <stp/>
        <stp>a8a6dd8f-4a1d-4cac-8bb9-4d26b275df02</stp>
        <tr r="G5675" s="2"/>
      </tp>
      <tp>
        <v>5</v>
        <stp/>
        <stp>69169339-6b49-4412-b239-1e9ad00591d2</stp>
        <tr r="G3927" s="2"/>
      </tp>
      <tp>
        <v>5</v>
        <stp/>
        <stp>38a3f3e8-7f9f-42b0-a752-c2266ca43177</stp>
        <tr r="G6592" s="2"/>
      </tp>
    </main>
    <main first="rtdsrv_a82eb5a1fc404542a18b1336b70d2c4e">
      <tp>
        <v>5</v>
        <stp/>
        <stp>324119ff-0f7f-41db-9921-6e787b519534</stp>
        <tr r="G5568" s="2"/>
      </tp>
      <tp>
        <v>5</v>
        <stp/>
        <stp>0c003411-c2d8-486b-a081-60fcdea8eb12</stp>
        <tr r="G6239" s="2"/>
      </tp>
    </main>
    <main first="rtdsrv_a82eb5a1fc404542a18b1336b70d2c4e">
      <tp>
        <v>5</v>
        <stp/>
        <stp>57b7bea8-c614-4e05-a7a0-e81e4506c108</stp>
        <tr r="G31" s="2"/>
      </tp>
    </main>
    <main first="rtdsrv_a82eb5a1fc404542a18b1336b70d2c4e">
      <tp>
        <v>5</v>
        <stp/>
        <stp>32fca1a6-ac4b-408a-9e88-922906b1cf81</stp>
        <tr r="G6645" s="2"/>
      </tp>
      <tp>
        <v>5</v>
        <stp/>
        <stp>d31808bb-45a0-4c09-b39e-f49aa3896a61</stp>
        <tr r="G465" s="2"/>
      </tp>
      <tp>
        <v>5</v>
        <stp/>
        <stp>f9340365-f3ea-4c0b-bfce-d5c187a686e1</stp>
        <tr r="G7415" s="2"/>
      </tp>
    </main>
    <main first="rtdsrv_a82eb5a1fc404542a18b1336b70d2c4e">
      <tp>
        <v>5</v>
        <stp/>
        <stp>c5985cab-890f-439f-a1fb-ebba64c32a64</stp>
        <tr r="G1133" s="2"/>
      </tp>
      <tp>
        <v>5</v>
        <stp/>
        <stp>df2fd0a6-0153-4d6a-9b38-4ad7e834b49c</stp>
        <tr r="G8910" s="2"/>
      </tp>
    </main>
    <main first="rtdsrv_a82eb5a1fc404542a18b1336b70d2c4e">
      <tp>
        <v>5</v>
        <stp/>
        <stp>b41618ac-b5a2-4eea-93d8-7d83bfb0b031</stp>
        <tr r="G8815" s="2"/>
      </tp>
    </main>
    <main first="rtdsrv_a82eb5a1fc404542a18b1336b70d2c4e">
      <tp>
        <v>5</v>
        <stp/>
        <stp>d4aaf52f-9d92-45b7-8e71-78dc4adc4832</stp>
        <tr r="G8447" s="2"/>
      </tp>
    </main>
    <main first="rtdsrv_a82eb5a1fc404542a18b1336b70d2c4e">
      <tp>
        <v>5</v>
        <stp/>
        <stp>2df838fa-884a-4634-9755-38c6a4bbe095</stp>
        <tr r="G5991" s="2"/>
      </tp>
      <tp>
        <v>5</v>
        <stp/>
        <stp>f268813f-0c0d-4c17-abc7-9972f5ae5225</stp>
        <tr r="G7903" s="2"/>
      </tp>
    </main>
    <main first="rtdsrv_a82eb5a1fc404542a18b1336b70d2c4e">
      <tp>
        <v>5</v>
        <stp/>
        <stp>991fd89a-de33-4b2a-9f1c-4f95a220c80b</stp>
        <tr r="G4842" s="2"/>
      </tp>
      <tp>
        <v>5</v>
        <stp/>
        <stp>ed4e7d09-d0de-4b8e-96ac-1e48c9bb2e43</stp>
        <tr r="G4653" s="2"/>
      </tp>
    </main>
    <main first="rtdsrv_a82eb5a1fc404542a18b1336b70d2c4e">
      <tp>
        <v>5</v>
        <stp/>
        <stp>6f27e3e5-da25-49f3-8cc0-e82753cb13b1</stp>
        <tr r="G9258" s="2"/>
      </tp>
      <tp>
        <v>5</v>
        <stp/>
        <stp>83bc0467-d049-478e-a13a-5805f640db4d</stp>
        <tr r="G3374" s="2"/>
      </tp>
      <tp>
        <v>5</v>
        <stp/>
        <stp>bc03fc0d-f298-4a94-9d1e-28b1ac9f2a91</stp>
        <tr r="G7703" s="2"/>
      </tp>
    </main>
    <main first="rtdsrv_a82eb5a1fc404542a18b1336b70d2c4e">
      <tp>
        <v>5</v>
        <stp/>
        <stp>2628c85b-a7c0-4f2f-b259-007bdf9a032f</stp>
        <tr r="G826" s="2"/>
      </tp>
    </main>
    <main first="rtdsrv_a82eb5a1fc404542a18b1336b70d2c4e">
      <tp>
        <v>5</v>
        <stp/>
        <stp>6326e1ca-caf7-4040-b2e3-0abce97c15c9</stp>
        <tr r="G2257" s="2"/>
      </tp>
    </main>
    <main first="rtdsrv_a82eb5a1fc404542a18b1336b70d2c4e">
      <tp>
        <v>5</v>
        <stp/>
        <stp>093acf05-a83a-4c80-bbb6-0415233ab292</stp>
        <tr r="G2124" s="2"/>
      </tp>
      <tp>
        <v>5</v>
        <stp/>
        <stp>01f733c5-ed55-4e86-b8d3-39be90722e1e</stp>
        <tr r="G5650" s="2"/>
      </tp>
      <tp>
        <v>5</v>
        <stp/>
        <stp>ec2c4eb5-8ef8-4965-9ae4-6b57ac691640</stp>
        <tr r="G8938" s="2"/>
      </tp>
    </main>
    <main first="rtdsrv_a82eb5a1fc404542a18b1336b70d2c4e">
      <tp>
        <v>5</v>
        <stp/>
        <stp>4337c8a8-c35a-48e2-a08d-e0ee28e72338</stp>
        <tr r="G2547" s="2"/>
      </tp>
    </main>
    <main first="rtdsrv_a82eb5a1fc404542a18b1336b70d2c4e">
      <tp>
        <v>5</v>
        <stp/>
        <stp>fac84f1f-e2c4-471a-82a0-d0a3e263191b</stp>
        <tr r="G8412" s="2"/>
      </tp>
      <tp>
        <v>5</v>
        <stp/>
        <stp>b74f31ea-8b5e-4d01-ad0c-0921ffe4291b</stp>
        <tr r="G206" s="2"/>
      </tp>
      <tp>
        <v>5</v>
        <stp/>
        <stp>be34603c-bf9f-4cae-8ef7-917e68501de0</stp>
        <tr r="G3310" s="2"/>
      </tp>
    </main>
    <main first="rtdsrv_a82eb5a1fc404542a18b1336b70d2c4e">
      <tp>
        <v>5</v>
        <stp/>
        <stp>cdd0e300-8afd-4cf0-a9cd-6779f3de1a4d</stp>
        <tr r="G2065" s="2"/>
      </tp>
      <tp>
        <v>5</v>
        <stp/>
        <stp>3a47f7fb-8468-43bc-9132-835a12259fea</stp>
        <tr r="G3863" s="2"/>
      </tp>
    </main>
    <main first="rtdsrv_a82eb5a1fc404542a18b1336b70d2c4e">
      <tp>
        <v>5</v>
        <stp/>
        <stp>83b81c61-4b41-45a7-bd44-396cb0cf17a2</stp>
        <tr r="G9220" s="2"/>
      </tp>
    </main>
    <main first="rtdsrv_a82eb5a1fc404542a18b1336b70d2c4e">
      <tp>
        <v>5</v>
        <stp/>
        <stp>6eb42808-25f5-4655-879c-b9907f88fe35</stp>
        <tr r="G7165" s="2"/>
      </tp>
      <tp>
        <v>5</v>
        <stp/>
        <stp>121a3b73-c35d-4595-8ed3-c44f9901e64d</stp>
        <tr r="G2903" s="2"/>
      </tp>
      <tp>
        <v>5</v>
        <stp/>
        <stp>f81af3d5-b90b-48de-83cf-df8192573b18</stp>
        <tr r="G2104" s="2"/>
      </tp>
    </main>
    <main first="rtdsrv_a82eb5a1fc404542a18b1336b70d2c4e">
      <tp>
        <v>5</v>
        <stp/>
        <stp>79be2d83-f7c8-4581-a6fc-9120fa3dde85</stp>
        <tr r="G6821" s="2"/>
      </tp>
      <tp>
        <v>5</v>
        <stp/>
        <stp>e83d097e-e67c-49b0-9c25-34f7d8acb37c</stp>
        <tr r="G6900" s="2"/>
      </tp>
    </main>
    <main first="rtdsrv_a82eb5a1fc404542a18b1336b70d2c4e">
      <tp>
        <v>5</v>
        <stp/>
        <stp>914b9b68-2981-4a19-a4b8-c7359639bb4c</stp>
        <tr r="G1450" s="2"/>
      </tp>
      <tp>
        <v>5</v>
        <stp/>
        <stp>e7f42135-920a-4bae-81dd-f3e5f2e22f4c</stp>
        <tr r="G2870" s="2"/>
      </tp>
    </main>
    <main first="rtdsrv_a82eb5a1fc404542a18b1336b70d2c4e">
      <tp>
        <v>5</v>
        <stp/>
        <stp>74485b3e-9c40-46fd-b50d-d1c52ac9927e</stp>
        <tr r="G2455" s="2"/>
      </tp>
      <tp>
        <v>5</v>
        <stp/>
        <stp>e6052c0c-4b3c-4a36-b4a6-28bc32d63eed</stp>
        <tr r="G2132" s="2"/>
      </tp>
      <tp>
        <v>5</v>
        <stp/>
        <stp>2006fe6d-dc7e-47e4-b28b-2d204605f62b</stp>
        <tr r="G8949" s="2"/>
      </tp>
    </main>
    <main first="rtdsrv_a82eb5a1fc404542a18b1336b70d2c4e">
      <tp>
        <v>5</v>
        <stp/>
        <stp>002e3f6e-8082-4571-b4a6-c1bd35647cab</stp>
        <tr r="G2994" s="2"/>
      </tp>
      <tp>
        <v>5</v>
        <stp/>
        <stp>4464569e-9d2b-473e-82e9-a65f8c1617aa</stp>
        <tr r="G4602" s="2"/>
      </tp>
      <tp>
        <v>5</v>
        <stp/>
        <stp>d94e1ed6-49fa-49bb-addb-d18fa7f531bf</stp>
        <tr r="G8212" s="2"/>
      </tp>
    </main>
    <main first="rtdsrv_a82eb5a1fc404542a18b1336b70d2c4e">
      <tp>
        <v>5</v>
        <stp/>
        <stp>1e57357d-80ce-442b-a836-0c210402976c</stp>
        <tr r="G2999" s="2"/>
      </tp>
    </main>
    <main first="rtdsrv_a82eb5a1fc404542a18b1336b70d2c4e">
      <tp>
        <v>5</v>
        <stp/>
        <stp>791df481-99c9-4f4c-bab4-a9c3ee37b0d6</stp>
        <tr r="G7922" s="2"/>
      </tp>
      <tp>
        <v>5</v>
        <stp/>
        <stp>1c64e475-6d00-4cba-811d-0ef5053f48d9</stp>
        <tr r="G4721" s="2"/>
      </tp>
    </main>
    <main first="rtdsrv_a82eb5a1fc404542a18b1336b70d2c4e">
      <tp>
        <v>5</v>
        <stp/>
        <stp>3d757647-b633-4974-bb6f-891146d06d6c</stp>
        <tr r="G4170" s="2"/>
      </tp>
      <tp>
        <v>5</v>
        <stp/>
        <stp>87a78eeb-94e0-4fcb-880f-621dc42dafee</stp>
        <tr r="G2093" s="2"/>
      </tp>
      <tp>
        <v>5</v>
        <stp/>
        <stp>0fb3e976-8f5c-4ed3-9430-3ea919d62b67</stp>
        <tr r="G7185" s="2"/>
      </tp>
    </main>
    <main first="rtdsrv_a82eb5a1fc404542a18b1336b70d2c4e">
      <tp>
        <v>5</v>
        <stp/>
        <stp>bd3567fb-3a91-46d4-8801-695904fd20fa</stp>
        <tr r="G8881" s="2"/>
      </tp>
    </main>
    <main first="rtdsrv_a82eb5a1fc404542a18b1336b70d2c4e">
      <tp>
        <v>5</v>
        <stp/>
        <stp>3a1f363e-7a62-4856-b99b-a2eeee1dbae5</stp>
        <tr r="G6739" s="2"/>
      </tp>
    </main>
    <main first="rtdsrv_a82eb5a1fc404542a18b1336b70d2c4e">
      <tp>
        <v>5</v>
        <stp/>
        <stp>5926bc3b-be8c-473b-9d7e-c705a77e4475</stp>
        <tr r="G1270" s="2"/>
      </tp>
      <tp>
        <v>5</v>
        <stp/>
        <stp>ea6497c2-1fa8-4c2d-af61-49ef81c4ed50</stp>
        <tr r="G450" s="2"/>
      </tp>
      <tp>
        <v>5</v>
        <stp/>
        <stp>204e11ee-e3e3-449c-a6d5-72f2f1eeb9ee</stp>
        <tr r="G7983" s="2"/>
      </tp>
      <tp>
        <v>5</v>
        <stp/>
        <stp>4b3e5ec5-5a9a-4c63-9b7c-89e49c739518</stp>
        <tr r="G6367" s="2"/>
      </tp>
    </main>
    <main first="rtdsrv_a82eb5a1fc404542a18b1336b70d2c4e">
      <tp>
        <v>5</v>
        <stp/>
        <stp>1660d966-3759-47c2-af26-efcf206593e8</stp>
        <tr r="G3123" s="2"/>
      </tp>
      <tp>
        <v>5</v>
        <stp/>
        <stp>dfe5c482-9804-4d54-8361-4e3eea5904c8</stp>
        <tr r="G8730" s="2"/>
      </tp>
      <tp>
        <v>5</v>
        <stp/>
        <stp>a241895a-3243-4311-92c6-dc12bf06165c</stp>
        <tr r="G8132" s="2"/>
      </tp>
      <tp>
        <v>5</v>
        <stp/>
        <stp>a389d7f3-0a0a-4c4d-8968-634eb9c0e5ac</stp>
        <tr r="G2787" s="2"/>
      </tp>
      <tp>
        <v>5</v>
        <stp/>
        <stp>b7695f0c-3178-43dc-82f1-73d6f901b4c0</stp>
        <tr r="G7967" s="2"/>
      </tp>
      <tp>
        <v>5</v>
        <stp/>
        <stp>4683e59b-0eeb-4c5f-b3b7-217eaf0f99ed</stp>
        <tr r="G9095" s="2"/>
      </tp>
    </main>
    <main first="rtdsrv_a82eb5a1fc404542a18b1336b70d2c4e">
      <tp>
        <v>5</v>
        <stp/>
        <stp>235f0890-7108-48fc-9035-b49eb9dff8d7</stp>
        <tr r="G9501" s="2"/>
      </tp>
    </main>
    <main first="rtdsrv_a82eb5a1fc404542a18b1336b70d2c4e">
      <tp>
        <v>5</v>
        <stp/>
        <stp>fca4c7e5-5fc2-4109-981a-bd6cfba5b6ec</stp>
        <tr r="G7604" s="2"/>
      </tp>
      <tp>
        <v>5</v>
        <stp/>
        <stp>7d43b4be-434d-4665-a24c-0b718f3e6839</stp>
        <tr r="G8985" s="2"/>
      </tp>
      <tp>
        <v>5</v>
        <stp/>
        <stp>e15de007-123e-4730-aae5-68db5717b3f9</stp>
        <tr r="G9022" s="2"/>
      </tp>
    </main>
    <main first="rtdsrv_a82eb5a1fc404542a18b1336b70d2c4e">
      <tp>
        <v>5</v>
        <stp/>
        <stp>082e062b-657e-4638-9c50-97087862ec10</stp>
        <tr r="G4563" s="2"/>
      </tp>
      <tp>
        <v>5</v>
        <stp/>
        <stp>fdd4f9ee-eb6d-4452-8286-373469282efa</stp>
        <tr r="G8123" s="2"/>
      </tp>
      <tp>
        <v>5</v>
        <stp/>
        <stp>f3498e2e-36b6-432e-8c51-0ec67939e0c8</stp>
        <tr r="G6199" s="2"/>
      </tp>
      <tp>
        <v>5</v>
        <stp/>
        <stp>22d947da-8008-4b6f-b0ed-d4ff37569d55</stp>
        <tr r="G3290" s="2"/>
      </tp>
      <tp>
        <v>5</v>
        <stp/>
        <stp>40c2153a-b157-4d68-833e-8b3fa61e6a47</stp>
        <tr r="G1163" s="2"/>
      </tp>
      <tp>
        <v>5</v>
        <stp/>
        <stp>0c7b441a-ea7b-469b-a01a-2f424f3a3838</stp>
        <tr r="G1355" s="2"/>
      </tp>
    </main>
    <main first="rtdsrv_a82eb5a1fc404542a18b1336b70d2c4e">
      <tp>
        <v>5</v>
        <stp/>
        <stp>e21f48bb-bc0c-4dcb-aaaf-7bdf0260bb61</stp>
        <tr r="G4471" s="2"/>
      </tp>
      <tp>
        <v>5</v>
        <stp/>
        <stp>c96c9c7a-ce4f-4d3a-a1c8-00fe8308aa89</stp>
        <tr r="G7162" s="2"/>
      </tp>
    </main>
    <main first="rtdsrv_a82eb5a1fc404542a18b1336b70d2c4e">
      <tp>
        <v>5</v>
        <stp/>
        <stp>e5a61865-b2bb-4030-be1d-e1d5d362b5af</stp>
        <tr r="G3122" s="2"/>
      </tp>
    </main>
    <main first="rtdsrv_a82eb5a1fc404542a18b1336b70d2c4e">
      <tp>
        <v>5</v>
        <stp/>
        <stp>2c5f50c9-d388-4ce4-8d8a-5e6c27714077</stp>
        <tr r="G6790" s="2"/>
      </tp>
    </main>
    <main first="rtdsrv_a82eb5a1fc404542a18b1336b70d2c4e">
      <tp>
        <v>5</v>
        <stp/>
        <stp>ed1c99ff-de94-4d60-8ed4-d4cae0a04077</stp>
        <tr r="G1395" s="2"/>
      </tp>
      <tp>
        <v>5</v>
        <stp/>
        <stp>a04c78bb-1311-416d-a432-4c970cd2179e</stp>
        <tr r="G5535" s="2"/>
      </tp>
    </main>
    <main first="rtdsrv_a82eb5a1fc404542a18b1336b70d2c4e">
      <tp>
        <v>5</v>
        <stp/>
        <stp>26962a80-20c0-426b-b791-44accea9663c</stp>
        <tr r="G1677" s="2"/>
      </tp>
    </main>
    <main first="rtdsrv_a82eb5a1fc404542a18b1336b70d2c4e">
      <tp>
        <v>5</v>
        <stp/>
        <stp>6efedbd6-1c6d-4eda-98f2-0b05d9a39316</stp>
        <tr r="G202" s="2"/>
      </tp>
      <tp>
        <v>5</v>
        <stp/>
        <stp>ecb64080-69cb-4baa-8337-c44f4cb92915</stp>
        <tr r="G1082" s="2"/>
      </tp>
      <tp>
        <v>5</v>
        <stp/>
        <stp>faf62049-da0d-48e0-823c-9df5d9f932cf</stp>
        <tr r="G6968" s="2"/>
      </tp>
    </main>
    <main first="rtdsrv_a82eb5a1fc404542a18b1336b70d2c4e">
      <tp>
        <v>5</v>
        <stp/>
        <stp>e175f982-ae07-4580-8368-8758e40f45d9</stp>
        <tr r="G178" s="2"/>
      </tp>
      <tp>
        <v>5</v>
        <stp/>
        <stp>be575cd9-3bb3-4755-9399-6f68b1872770</stp>
        <tr r="G9008" s="2"/>
      </tp>
    </main>
    <main first="rtdsrv_a82eb5a1fc404542a18b1336b70d2c4e">
      <tp>
        <v>5</v>
        <stp/>
        <stp>a3bf888e-7d31-4f36-af3b-8d1717654376</stp>
        <tr r="G3786" s="2"/>
      </tp>
      <tp>
        <v>5</v>
        <stp/>
        <stp>d27111f7-f90d-4cd3-b1dd-3055dcc6b868</stp>
        <tr r="G6459" s="2"/>
      </tp>
      <tp>
        <v>5</v>
        <stp/>
        <stp>7e1ac798-7b36-4153-be51-b061a87b426f</stp>
        <tr r="G6013" s="2"/>
      </tp>
    </main>
    <main first="rtdsrv_a82eb5a1fc404542a18b1336b70d2c4e">
      <tp>
        <v>5</v>
        <stp/>
        <stp>604e8a67-1246-4ab8-b635-c678bb870ffd</stp>
        <tr r="G5483" s="2"/>
      </tp>
    </main>
    <main first="rtdsrv_a82eb5a1fc404542a18b1336b70d2c4e">
      <tp>
        <v>5</v>
        <stp/>
        <stp>3113bcd2-6f31-4b97-a159-b507a8a4727a</stp>
        <tr r="G7708" s="2"/>
      </tp>
    </main>
    <main first="rtdsrv_a82eb5a1fc404542a18b1336b70d2c4e">
      <tp>
        <v>5</v>
        <stp/>
        <stp>379a1d38-9563-4824-9d0e-25ec0f5f6df6</stp>
        <tr r="G9454" s="2"/>
      </tp>
    </main>
    <main first="rtdsrv_a82eb5a1fc404542a18b1336b70d2c4e">
      <tp>
        <v>5</v>
        <stp/>
        <stp>ce727f82-646c-4b47-919b-a5c691e13f32</stp>
        <tr r="G9863" s="2"/>
      </tp>
    </main>
    <main first="rtdsrv_a82eb5a1fc404542a18b1336b70d2c4e">
      <tp>
        <v>5</v>
        <stp/>
        <stp>704a1316-0875-4443-810c-34d03df24904</stp>
        <tr r="G9685" s="2"/>
      </tp>
      <tp>
        <v>5</v>
        <stp/>
        <stp>72dce39d-eba7-4b68-8ce6-0aa8a3681239</stp>
        <tr r="G7355" s="2"/>
      </tp>
    </main>
    <main first="rtdsrv_a82eb5a1fc404542a18b1336b70d2c4e">
      <tp>
        <v>5</v>
        <stp/>
        <stp>0d584de9-1303-42bf-b966-e6cdf7bd199f</stp>
        <tr r="G1513" s="2"/>
      </tp>
    </main>
    <main first="rtdsrv_a82eb5a1fc404542a18b1336b70d2c4e">
      <tp>
        <v>5</v>
        <stp/>
        <stp>70891564-1318-4638-8b3e-a0433b0b241b</stp>
        <tr r="G559" s="2"/>
      </tp>
      <tp>
        <v>5</v>
        <stp/>
        <stp>0291055f-8ee6-4626-b919-c9873aa659de</stp>
        <tr r="G5533" s="2"/>
      </tp>
    </main>
    <main first="rtdsrv_a82eb5a1fc404542a18b1336b70d2c4e">
      <tp>
        <v>5</v>
        <stp/>
        <stp>14bcd8e3-085d-46b0-8b24-7cfc922b662e</stp>
        <tr r="G456" s="2"/>
      </tp>
    </main>
    <main first="rtdsrv_a82eb5a1fc404542a18b1336b70d2c4e">
      <tp>
        <v>5</v>
        <stp/>
        <stp>1014d6f9-eb6a-4b24-8188-29fdf96fb602</stp>
        <tr r="G2968" s="2"/>
      </tp>
      <tp>
        <v>5</v>
        <stp/>
        <stp>ffa74444-9db6-4dd1-b9af-93844358db79</stp>
        <tr r="G601" s="2"/>
      </tp>
    </main>
    <main first="rtdsrv_a82eb5a1fc404542a18b1336b70d2c4e">
      <tp>
        <v>5</v>
        <stp/>
        <stp>86ea85a1-b963-43d6-94fa-66d3d8439fa0</stp>
        <tr r="G1234" s="2"/>
      </tp>
    </main>
    <main first="rtdsrv_a82eb5a1fc404542a18b1336b70d2c4e">
      <tp>
        <v>5</v>
        <stp/>
        <stp>98a0793a-ebb4-474d-bb60-299297c8ea71</stp>
        <tr r="G5012" s="2"/>
      </tp>
      <tp>
        <v>5</v>
        <stp/>
        <stp>2038785a-1785-46a9-9967-7a83776459e7</stp>
        <tr r="G3631" s="2"/>
      </tp>
    </main>
    <main first="rtdsrv_a82eb5a1fc404542a18b1336b70d2c4e">
      <tp>
        <v>5</v>
        <stp/>
        <stp>3b30009a-953f-4fd1-8c25-5c36af1084eb</stp>
        <tr r="G6984" s="2"/>
      </tp>
    </main>
    <main first="rtdsrv_a82eb5a1fc404542a18b1336b70d2c4e">
      <tp>
        <v>5</v>
        <stp/>
        <stp>d5a7d509-876a-4e56-ba87-7475b908bb82</stp>
        <tr r="G7786" s="2"/>
      </tp>
      <tp>
        <v>5</v>
        <stp/>
        <stp>ca816892-850b-4102-b34e-c06d4791f904</stp>
        <tr r="G1458" s="2"/>
      </tp>
    </main>
    <main first="rtdsrv_a82eb5a1fc404542a18b1336b70d2c4e">
      <tp>
        <v>5</v>
        <stp/>
        <stp>14f8064f-7e47-4a5a-aa8f-ff6c1b1d018a</stp>
        <tr r="G2615" s="2"/>
      </tp>
    </main>
    <main first="rtdsrv_a82eb5a1fc404542a18b1336b70d2c4e">
      <tp>
        <v>5</v>
        <stp/>
        <stp>be81a3cb-473f-4d25-a2a3-29bcd3b49e19</stp>
        <tr r="G1358" s="2"/>
      </tp>
    </main>
    <main first="rtdsrv_a82eb5a1fc404542a18b1336b70d2c4e">
      <tp>
        <v>5</v>
        <stp/>
        <stp>9b93432e-d7d5-43a9-b26c-743664f0dcd3</stp>
        <tr r="G9711" s="2"/>
      </tp>
    </main>
    <main first="rtdsrv_a82eb5a1fc404542a18b1336b70d2c4e">
      <tp>
        <v>5</v>
        <stp/>
        <stp>fd33c87b-fa56-424d-81e1-0814983abb8d</stp>
        <tr r="G4333" s="2"/>
      </tp>
    </main>
    <main first="rtdsrv_a82eb5a1fc404542a18b1336b70d2c4e">
      <tp>
        <v>5</v>
        <stp/>
        <stp>3334a1a6-3f3d-4b9a-bfae-ba947809716c</stp>
        <tr r="G2022" s="2"/>
      </tp>
    </main>
    <main first="rtdsrv_a82eb5a1fc404542a18b1336b70d2c4e">
      <tp>
        <v>5</v>
        <stp/>
        <stp>dbaa0ca1-1815-4809-b823-67290ed3e027</stp>
        <tr r="G3833" s="2"/>
      </tp>
    </main>
    <main first="rtdsrv_a82eb5a1fc404542a18b1336b70d2c4e">
      <tp>
        <v>5</v>
        <stp/>
        <stp>8da467d3-50b8-4f1a-a6af-2072978d983a</stp>
        <tr r="G1311" s="2"/>
      </tp>
    </main>
    <main first="rtdsrv_a82eb5a1fc404542a18b1336b70d2c4e">
      <tp>
        <v>5</v>
        <stp/>
        <stp>fcec21c0-7dfd-4ba5-a636-df94dd3a7812</stp>
        <tr r="G8649" s="2"/>
      </tp>
      <tp>
        <v>5</v>
        <stp/>
        <stp>3eee95e7-a8ab-4579-a19e-49be25f40d6e</stp>
        <tr r="G1641" s="2"/>
      </tp>
    </main>
    <main first="rtdsrv_a82eb5a1fc404542a18b1336b70d2c4e">
      <tp>
        <v>5</v>
        <stp/>
        <stp>3cb91e98-747f-4f63-a89e-76b4c7249c25</stp>
        <tr r="G7557" s="2"/>
      </tp>
      <tp>
        <v>5</v>
        <stp/>
        <stp>7b082f70-c99b-424f-ae90-52673feba550</stp>
        <tr r="G1879" s="2"/>
      </tp>
      <tp>
        <v>5</v>
        <stp/>
        <stp>26a4101e-d220-44a3-a5f1-e59bf875dc5a</stp>
        <tr r="G8656" s="2"/>
      </tp>
    </main>
    <main first="rtdsrv_a82eb5a1fc404542a18b1336b70d2c4e">
      <tp>
        <v>5</v>
        <stp/>
        <stp>ca3f9cab-7456-4d88-b42d-6e23b2a72191</stp>
        <tr r="G9282" s="2"/>
      </tp>
      <tp>
        <v>5</v>
        <stp/>
        <stp>288e48bd-cc75-42bb-8892-5badc468474c</stp>
        <tr r="G4073" s="2"/>
      </tp>
    </main>
    <main first="rtdsrv_a82eb5a1fc404542a18b1336b70d2c4e">
      <tp>
        <v>5</v>
        <stp/>
        <stp>676ff86d-9d4c-4659-ab3d-b27b9c9714f9</stp>
        <tr r="G545" s="2"/>
      </tp>
    </main>
    <main first="rtdsrv_a82eb5a1fc404542a18b1336b70d2c4e">
      <tp>
        <v>5</v>
        <stp/>
        <stp>51cf3701-b8ea-4da4-be94-1b556762ae4b</stp>
        <tr r="G7978" s="2"/>
      </tp>
    </main>
    <main first="rtdsrv_a82eb5a1fc404542a18b1336b70d2c4e">
      <tp>
        <v>5</v>
        <stp/>
        <stp>ffd1db54-3088-4e09-ad8c-139ea8dbcd7b</stp>
        <tr r="G7276" s="2"/>
      </tp>
    </main>
    <main first="rtdsrv_a82eb5a1fc404542a18b1336b70d2c4e">
      <tp>
        <v>5</v>
        <stp/>
        <stp>98da15d5-15e1-473c-9138-f51968e2b801</stp>
        <tr r="G9773" s="2"/>
      </tp>
    </main>
    <main first="rtdsrv_a82eb5a1fc404542a18b1336b70d2c4e">
      <tp>
        <v>5</v>
        <stp/>
        <stp>ec30295d-48de-42ad-a36d-4734bf9cb492</stp>
        <tr r="G4796" s="2"/>
      </tp>
      <tp>
        <v>5</v>
        <stp/>
        <stp>dc89300d-da0f-4885-b0f7-981800b8b5d0</stp>
        <tr r="G3066" s="2"/>
      </tp>
      <tp>
        <v>5</v>
        <stp/>
        <stp>7290a243-c464-4fc2-a5dd-ccd60811a7a2</stp>
        <tr r="G9921" s="2"/>
      </tp>
    </main>
    <main first="rtdsrv_a82eb5a1fc404542a18b1336b70d2c4e">
      <tp>
        <v>5</v>
        <stp/>
        <stp>492fc090-4e92-4c33-871f-06a28495dd98</stp>
        <tr r="G1890" s="2"/>
      </tp>
      <tp>
        <v>5</v>
        <stp/>
        <stp>b7139310-f5d8-4e38-80a2-017de1a39b89</stp>
        <tr r="G2919" s="2"/>
      </tp>
      <tp>
        <v>5</v>
        <stp/>
        <stp>1ee7edcb-e583-4a89-8259-ea1ecd4e34fa</stp>
        <tr r="G289" s="2"/>
      </tp>
    </main>
    <main first="rtdsrv_a82eb5a1fc404542a18b1336b70d2c4e">
      <tp>
        <v>5</v>
        <stp/>
        <stp>1783b154-67a5-4f02-ac92-2bc7b43e641c</stp>
        <tr r="G5144" s="2"/>
      </tp>
    </main>
    <main first="rtdsrv_a82eb5a1fc404542a18b1336b70d2c4e">
      <tp>
        <v>5</v>
        <stp/>
        <stp>5737849a-7764-4238-a45e-a78acd8bd31c</stp>
        <tr r="G3835" s="2"/>
      </tp>
      <tp>
        <v>5</v>
        <stp/>
        <stp>f98a44d8-1619-4a9b-afb1-7f40cab1abd4</stp>
        <tr r="G2175" s="2"/>
      </tp>
    </main>
    <main first="rtdsrv_a82eb5a1fc404542a18b1336b70d2c4e">
      <tp>
        <v>5</v>
        <stp/>
        <stp>a393b916-2194-45c2-921d-9baf0a77eab8</stp>
        <tr r="G5609" s="2"/>
      </tp>
    </main>
    <main first="rtdsrv_a82eb5a1fc404542a18b1336b70d2c4e">
      <tp>
        <v>5</v>
        <stp/>
        <stp>a3332164-1959-491f-814a-936c132dc830</stp>
        <tr r="G354" s="2"/>
      </tp>
    </main>
    <main first="rtdsrv_a82eb5a1fc404542a18b1336b70d2c4e">
      <tp>
        <v>5</v>
        <stp/>
        <stp>62e19f71-fe77-458e-91c3-e8b1db4dc78d</stp>
        <tr r="G6323" s="2"/>
      </tp>
      <tp>
        <v>5</v>
        <stp/>
        <stp>137dafbf-86b2-4fbd-8ceb-8b3b9ea1029f</stp>
        <tr r="G6365" s="2"/>
      </tp>
      <tp>
        <v>5</v>
        <stp/>
        <stp>df120f1a-2a56-4c15-a0c6-a643828dc918</stp>
        <tr r="G7602" s="2"/>
      </tp>
      <tp>
        <v>5</v>
        <stp/>
        <stp>76891dfd-2014-4bc9-aedf-3da36c58dc62</stp>
        <tr r="G363" s="2"/>
      </tp>
    </main>
    <main first="rtdsrv_a82eb5a1fc404542a18b1336b70d2c4e">
      <tp>
        <v>5</v>
        <stp/>
        <stp>421dc531-8378-462c-9863-f20c739442af</stp>
        <tr r="G1204" s="2"/>
      </tp>
      <tp>
        <v>5</v>
        <stp/>
        <stp>75491f27-666a-40f4-8568-9aebbf06a978</stp>
        <tr r="G9060" s="2"/>
      </tp>
    </main>
    <main first="rtdsrv_a82eb5a1fc404542a18b1336b70d2c4e">
      <tp>
        <v>5</v>
        <stp/>
        <stp>f4528eaa-1ca5-4678-97bf-2c7a274e778a</stp>
        <tr r="G2984" s="2"/>
      </tp>
    </main>
    <main first="rtdsrv_a82eb5a1fc404542a18b1336b70d2c4e">
      <tp>
        <v>5</v>
        <stp/>
        <stp>62076d6c-b519-4f57-a59f-1380b10bfa64</stp>
        <tr r="G2611" s="2"/>
      </tp>
    </main>
    <main first="rtdsrv_a82eb5a1fc404542a18b1336b70d2c4e">
      <tp>
        <v>5</v>
        <stp/>
        <stp>fa2c6fab-f120-4993-bc99-021df6e226d7</stp>
        <tr r="G7044" s="2"/>
      </tp>
    </main>
    <main first="rtdsrv_a82eb5a1fc404542a18b1336b70d2c4e">
      <tp>
        <v>5</v>
        <stp/>
        <stp>ea0a398e-dc9e-4ad4-847b-ef278c30ecc5</stp>
        <tr r="G7311" s="2"/>
      </tp>
      <tp>
        <v>5</v>
        <stp/>
        <stp>2b51c9cc-5d05-4233-ba28-e370ca2b8dd6</stp>
        <tr r="G7636" s="2"/>
      </tp>
      <tp>
        <v>5</v>
        <stp/>
        <stp>aa6c7234-b8f3-40d0-91a0-d9da8f672f49</stp>
        <tr r="G7036" s="2"/>
      </tp>
      <tp>
        <v>5</v>
        <stp/>
        <stp>acd3386e-b4fb-4093-b8dc-0b52bdc9d189</stp>
        <tr r="G6106" s="2"/>
      </tp>
    </main>
    <main first="rtdsrv_a82eb5a1fc404542a18b1336b70d2c4e">
      <tp>
        <v>5</v>
        <stp/>
        <stp>d44f6730-9b3b-4ddb-b117-e457775cd39d</stp>
        <tr r="G1840" s="2"/>
      </tp>
      <tp>
        <v>5</v>
        <stp/>
        <stp>e1a64103-89ff-485c-84b1-ce174049f571</stp>
        <tr r="G6799" s="2"/>
      </tp>
    </main>
    <main first="rtdsrv_a82eb5a1fc404542a18b1336b70d2c4e">
      <tp>
        <v>5</v>
        <stp/>
        <stp>8ebfbe8f-e1de-4d00-864d-58e0f42c1435</stp>
        <tr r="G1531" s="2"/>
      </tp>
    </main>
    <main first="rtdsrv_a82eb5a1fc404542a18b1336b70d2c4e">
      <tp>
        <v>5</v>
        <stp/>
        <stp>908c43b0-6d6e-4209-ba0f-10969b3c4798</stp>
        <tr r="G8863" s="2"/>
      </tp>
    </main>
    <main first="rtdsrv_a82eb5a1fc404542a18b1336b70d2c4e">
      <tp>
        <v>5</v>
        <stp/>
        <stp>813c6f47-fce0-48f8-8729-1c3eb13e0096</stp>
        <tr r="G8822" s="2"/>
      </tp>
    </main>
    <main first="rtdsrv_a82eb5a1fc404542a18b1336b70d2c4e">
      <tp>
        <v>5</v>
        <stp/>
        <stp>652bd824-2299-42b5-b656-be1c57da6452</stp>
        <tr r="G9170" s="2"/>
      </tp>
      <tp>
        <v>5</v>
        <stp/>
        <stp>4b02aa49-65e5-4528-80d6-14593bd9df25</stp>
        <tr r="G1911" s="2"/>
      </tp>
    </main>
    <main first="rtdsrv_a82eb5a1fc404542a18b1336b70d2c4e">
      <tp>
        <v>5</v>
        <stp/>
        <stp>650d2f0b-5116-4d59-8aa9-549f6f3dd5f9</stp>
        <tr r="G3873" s="2"/>
      </tp>
      <tp>
        <v>5</v>
        <stp/>
        <stp>bed496d8-1144-4057-92a3-38385ebf5073</stp>
        <tr r="G3456" s="2"/>
      </tp>
    </main>
    <main first="rtdsrv_a82eb5a1fc404542a18b1336b70d2c4e">
      <tp>
        <v>5</v>
        <stp/>
        <stp>2c725b17-938f-4f34-b74c-5503dffcc2d7</stp>
        <tr r="G3819" s="2"/>
      </tp>
      <tp>
        <v>5</v>
        <stp/>
        <stp>d5c295cc-9931-43b7-8e7b-e24c3f97d42c</stp>
        <tr r="G1796" s="2"/>
      </tp>
    </main>
    <main first="rtdsrv_a82eb5a1fc404542a18b1336b70d2c4e">
      <tp>
        <v>5</v>
        <stp/>
        <stp>3d45eb33-aeb6-4da8-891d-0629241805ac</stp>
        <tr r="G7222" s="2"/>
      </tp>
      <tp>
        <v>5</v>
        <stp/>
        <stp>5215cf80-18a9-4169-a0ff-c005ed635746</stp>
        <tr r="G5398" s="2"/>
      </tp>
      <tp>
        <v>5</v>
        <stp/>
        <stp>78ce14ba-fb5f-4a20-be5c-2d579ff9a469</stp>
        <tr r="G6382" s="2"/>
      </tp>
      <tp>
        <v>5</v>
        <stp/>
        <stp>c5183ed4-97d3-46be-b620-d20297581b21</stp>
        <tr r="G4862" s="2"/>
      </tp>
      <tp>
        <v>5</v>
        <stp/>
        <stp>5258ad6d-853f-445e-916b-9ccf9fca6a1f</stp>
        <tr r="G4524" s="2"/>
      </tp>
      <tp>
        <v>5</v>
        <stp/>
        <stp>c16c1fb0-e2d3-4069-9c3c-aef97a05de61</stp>
        <tr r="G2578" s="2"/>
      </tp>
    </main>
    <main first="rtdsrv_a82eb5a1fc404542a18b1336b70d2c4e">
      <tp>
        <v>5</v>
        <stp/>
        <stp>ea17eee2-6f21-409a-8d69-0ac36980bd56</stp>
        <tr r="G3552" s="2"/>
      </tp>
      <tp>
        <v>5</v>
        <stp/>
        <stp>ee790421-0184-467e-bbde-59ed357295fc</stp>
        <tr r="G2311" s="2"/>
      </tp>
      <tp>
        <v>5</v>
        <stp/>
        <stp>db5daba4-ff47-4a57-8280-3fd852ffede1</stp>
        <tr r="G8043" s="2"/>
      </tp>
    </main>
    <main first="rtdsrv_a82eb5a1fc404542a18b1336b70d2c4e">
      <tp>
        <v>5</v>
        <stp/>
        <stp>4c00801a-9796-4c2c-b5da-ad6c1e55e51e</stp>
        <tr r="G9671" s="2"/>
      </tp>
      <tp>
        <v>5</v>
        <stp/>
        <stp>4f2a7ee4-b08b-48d4-899b-b45f366697cf</stp>
        <tr r="G1974" s="2"/>
      </tp>
    </main>
    <main first="rtdsrv_a82eb5a1fc404542a18b1336b70d2c4e">
      <tp>
        <v>5</v>
        <stp/>
        <stp>012d4d9e-bbf6-477b-8293-9729b783856e</stp>
        <tr r="G502" s="2"/>
      </tp>
      <tp>
        <v>5</v>
        <stp/>
        <stp>87ec347e-b5dc-495b-8685-86dd90bb6d2b</stp>
        <tr r="G5237" s="2"/>
      </tp>
    </main>
    <main first="rtdsrv_a82eb5a1fc404542a18b1336b70d2c4e">
      <tp>
        <v>5</v>
        <stp/>
        <stp>739df6da-4f86-46a6-bb1f-fd22d39e3801</stp>
        <tr r="G3738" s="2"/>
      </tp>
      <tp>
        <v>5</v>
        <stp/>
        <stp>cea924b8-03ad-480c-80b9-6bf59c09589e</stp>
        <tr r="G9315" s="2"/>
      </tp>
    </main>
    <main first="rtdsrv_a82eb5a1fc404542a18b1336b70d2c4e">
      <tp>
        <v>5</v>
        <stp/>
        <stp>010e834a-dbf7-4847-b561-28e9e317e5ea</stp>
        <tr r="G260" s="2"/>
      </tp>
      <tp>
        <v>5</v>
        <stp/>
        <stp>8db9afd1-9e45-49eb-8ebf-23008c7dd2d9</stp>
        <tr r="G1000" s="2"/>
      </tp>
    </main>
    <main first="rtdsrv_a82eb5a1fc404542a18b1336b70d2c4e">
      <tp>
        <v>5</v>
        <stp/>
        <stp>edf54c75-ce34-4389-96df-0a7a4d324e09</stp>
        <tr r="G8234" s="2"/>
      </tp>
      <tp>
        <v>5</v>
        <stp/>
        <stp>dc86af4f-2262-4212-9b0a-33890f8cc99d</stp>
        <tr r="G7288" s="2"/>
      </tp>
    </main>
    <main first="rtdsrv_a82eb5a1fc404542a18b1336b70d2c4e">
      <tp>
        <v>5</v>
        <stp/>
        <stp>065fb289-f287-40e7-be08-8c2a2fb9f917</stp>
        <tr r="G2630" s="2"/>
      </tp>
    </main>
    <main first="rtdsrv_a82eb5a1fc404542a18b1336b70d2c4e">
      <tp>
        <v>5</v>
        <stp/>
        <stp>cd2f08ea-b466-49d0-883b-2053221fefba</stp>
        <tr r="G7224" s="2"/>
      </tp>
      <tp>
        <v>5</v>
        <stp/>
        <stp>83d3a321-f430-4781-9954-7c982a0bd98d</stp>
        <tr r="G9692" s="2"/>
      </tp>
    </main>
    <main first="rtdsrv_a82eb5a1fc404542a18b1336b70d2c4e">
      <tp>
        <v>5</v>
        <stp/>
        <stp>571e6d66-b931-4378-ae25-1cbb437a229b</stp>
        <tr r="G9607" s="2"/>
      </tp>
    </main>
    <main first="rtdsrv_a82eb5a1fc404542a18b1336b70d2c4e">
      <tp>
        <v>5</v>
        <stp/>
        <stp>5b973544-eec4-43c1-a5c8-7666480db719</stp>
        <tr r="G8093" s="2"/>
      </tp>
    </main>
    <main first="rtdsrv_a82eb5a1fc404542a18b1336b70d2c4e">
      <tp>
        <v>5</v>
        <stp/>
        <stp>9d1ca1f4-0fa9-4d18-9d3f-9ca870c93d20</stp>
        <tr r="G7670" s="2"/>
      </tp>
      <tp>
        <v>5</v>
        <stp/>
        <stp>8808575e-7b7d-4602-ad5a-0ff69b66db69</stp>
        <tr r="G1040" s="2"/>
      </tp>
      <tp>
        <v>5</v>
        <stp/>
        <stp>704a050a-cdef-4d4a-9291-65db2acf9368</stp>
        <tr r="G5412" s="2"/>
      </tp>
    </main>
    <main first="rtdsrv_a82eb5a1fc404542a18b1336b70d2c4e">
      <tp>
        <v>5</v>
        <stp/>
        <stp>fa00d6fa-45a4-4441-90d4-2cba581e74d2</stp>
        <tr r="G5765" s="2"/>
      </tp>
      <tp>
        <v>5</v>
        <stp/>
        <stp>db3ff0ae-a268-4281-adce-b6dd267e8863</stp>
        <tr r="G2375" s="2"/>
      </tp>
    </main>
    <main first="rtdsrv_a82eb5a1fc404542a18b1336b70d2c4e">
      <tp>
        <v>5</v>
        <stp/>
        <stp>0fd4b9af-3f2f-470c-9cf0-4d185ed5f1f3</stp>
        <tr r="G241" s="2"/>
      </tp>
      <tp>
        <v>5</v>
        <stp/>
        <stp>fc48ef63-ce5d-4273-8381-0752e769b45b</stp>
        <tr r="G8149" s="2"/>
      </tp>
      <tp>
        <v>5</v>
        <stp/>
        <stp>c29effc0-d523-4b88-8e0c-01a30e87555f</stp>
        <tr r="G3920" s="2"/>
      </tp>
      <tp>
        <v>5</v>
        <stp/>
        <stp>c1ca5f81-49f8-49ce-9894-4658ba40517d</stp>
        <tr r="G1340" s="2"/>
      </tp>
      <tp>
        <v>5</v>
        <stp/>
        <stp>b032ef5c-e79c-4598-aefd-fcba24ea3c38</stp>
        <tr r="G3584" s="2"/>
      </tp>
    </main>
    <main first="rtdsrv_a82eb5a1fc404542a18b1336b70d2c4e">
      <tp>
        <v>5</v>
        <stp/>
        <stp>75ad1f02-5859-4145-b254-9524b96a438f</stp>
        <tr r="G1380" s="2"/>
      </tp>
    </main>
    <main first="rtdsrv_a82eb5a1fc404542a18b1336b70d2c4e">
      <tp>
        <v>5</v>
        <stp/>
        <stp>fd63cbe8-c321-4af2-a47f-5002c9eb502d</stp>
        <tr r="G8531" s="2"/>
      </tp>
    </main>
    <main first="rtdsrv_a82eb5a1fc404542a18b1336b70d2c4e">
      <tp>
        <v>5</v>
        <stp/>
        <stp>0dffec3f-4b56-4191-8fb5-1681f7c6e885</stp>
        <tr r="G852" s="2"/>
      </tp>
      <tp>
        <v>5</v>
        <stp/>
        <stp>5710893a-fc96-468e-b7b7-24d1d77545d0</stp>
        <tr r="G7912" s="2"/>
      </tp>
    </main>
    <main first="rtdsrv_a82eb5a1fc404542a18b1336b70d2c4e">
      <tp>
        <v>5</v>
        <stp/>
        <stp>c778d92b-fbff-4b90-ae1e-4a7363016bd6</stp>
        <tr r="G1007" s="2"/>
      </tp>
      <tp>
        <v>5</v>
        <stp/>
        <stp>ac77a72b-bcd6-4071-baa1-c75b49b0c1ae</stp>
        <tr r="G3056" s="2"/>
      </tp>
    </main>
    <main first="rtdsrv_a82eb5a1fc404542a18b1336b70d2c4e">
      <tp>
        <v>5</v>
        <stp/>
        <stp>413a7278-838c-4ecc-8fac-a47aa0686d43</stp>
        <tr r="G7306" s="2"/>
      </tp>
    </main>
    <main first="rtdsrv_a82eb5a1fc404542a18b1336b70d2c4e">
      <tp>
        <v>5</v>
        <stp/>
        <stp>2b15be1b-6d8f-44f7-819f-85fa7cdd90a7</stp>
        <tr r="G5781" s="2"/>
      </tp>
    </main>
    <main first="rtdsrv_a82eb5a1fc404542a18b1336b70d2c4e">
      <tp>
        <v>5</v>
        <stp/>
        <stp>d58aaf25-767b-47e5-983b-ffbc299c9dd3</stp>
        <tr r="G8243" s="2"/>
      </tp>
      <tp>
        <v>5</v>
        <stp/>
        <stp>66402a4d-f3c5-433e-88cc-39dee3c01d67</stp>
        <tr r="G8494" s="2"/>
      </tp>
    </main>
    <main first="rtdsrv_a82eb5a1fc404542a18b1336b70d2c4e">
      <tp>
        <v>5</v>
        <stp/>
        <stp>84c92eed-808e-4605-8894-79bc7074d56e</stp>
        <tr r="G2164" s="2"/>
      </tp>
      <tp>
        <v>5</v>
        <stp/>
        <stp>37d5395a-1e8a-44dc-bcb0-de00341c46d0</stp>
        <tr r="G9774" s="2"/>
      </tp>
    </main>
    <main first="rtdsrv_a82eb5a1fc404542a18b1336b70d2c4e">
      <tp>
        <v>5</v>
        <stp/>
        <stp>9914b042-903e-49e9-9369-948cc4425fbd</stp>
        <tr r="G6730" s="2"/>
      </tp>
    </main>
    <main first="rtdsrv_a82eb5a1fc404542a18b1336b70d2c4e">
      <tp>
        <v>5</v>
        <stp/>
        <stp>f4994958-9c85-43c8-b3a4-d3b0d08fc7c3</stp>
        <tr r="G713" s="2"/>
      </tp>
      <tp>
        <v>5</v>
        <stp/>
        <stp>74044733-5c40-4cb4-958f-6574e7e16a6c</stp>
        <tr r="G2801" s="2"/>
      </tp>
      <tp>
        <v>5</v>
        <stp/>
        <stp>f8073f23-50fe-4637-8bfa-8c96d886080c</stp>
        <tr r="G3179" s="2"/>
      </tp>
    </main>
    <main first="rtdsrv_a82eb5a1fc404542a18b1336b70d2c4e">
      <tp>
        <v>5</v>
        <stp/>
        <stp>18533311-a495-40d4-810f-c1a1c6c1e068</stp>
        <tr r="G8245" s="2"/>
      </tp>
      <tp>
        <v>5</v>
        <stp/>
        <stp>5f1465a6-fa49-4afa-aed1-2a2e28c1f034</stp>
        <tr r="G8420" s="2"/>
      </tp>
    </main>
    <main first="rtdsrv_a82eb5a1fc404542a18b1336b70d2c4e">
      <tp>
        <v>5</v>
        <stp/>
        <stp>6ef6850b-8af7-43e0-b1d6-1f226eb3af30</stp>
        <tr r="G1466" s="2"/>
      </tp>
      <tp>
        <v>5</v>
        <stp/>
        <stp>7413e285-9f4c-4ab1-8def-61888a041bc8</stp>
        <tr r="G2730" s="2"/>
      </tp>
      <tp>
        <v>5</v>
        <stp/>
        <stp>69dd1184-fc0e-4de6-80fa-900ab2512e94</stp>
        <tr r="G4405" s="2"/>
      </tp>
      <tp>
        <v>5</v>
        <stp/>
        <stp>ed41d23d-9f0a-4d76-b0fc-9d2a04a2c625</stp>
        <tr r="G8061" s="2"/>
      </tp>
      <tp>
        <v>5</v>
        <stp/>
        <stp>91549761-3e03-4465-80e0-19ff4ffa1c52</stp>
        <tr r="G3513" s="2"/>
      </tp>
      <tp>
        <v>5</v>
        <stp/>
        <stp>26f5c80d-e100-40b7-a934-866828377855</stp>
        <tr r="G3847" s="2"/>
      </tp>
    </main>
    <main first="rtdsrv_a82eb5a1fc404542a18b1336b70d2c4e">
      <tp>
        <v>5</v>
        <stp/>
        <stp>067a4fce-84ae-4bd8-ac1a-7f2b5f5718ee</stp>
        <tr r="G2338" s="2"/>
      </tp>
      <tp>
        <v>5</v>
        <stp/>
        <stp>fa733a28-833c-47dc-8117-1a161bdeb072</stp>
        <tr r="G4828" s="2"/>
      </tp>
      <tp>
        <v>5</v>
        <stp/>
        <stp>d4148889-f9e5-409b-863e-d71dc05afe23</stp>
        <tr r="G3060" s="2"/>
      </tp>
      <tp>
        <v>5</v>
        <stp/>
        <stp>81fd0cf8-2e22-4c80-acb3-71379b193875</stp>
        <tr r="G5844" s="2"/>
      </tp>
      <tp>
        <v>5</v>
        <stp/>
        <stp>6f1d1abe-835a-49f3-9679-de15753af287</stp>
        <tr r="G1883" s="2"/>
      </tp>
    </main>
    <main first="rtdsrv_a82eb5a1fc404542a18b1336b70d2c4e">
      <tp>
        <v>5</v>
        <stp/>
        <stp>72261af1-0af1-49d6-ab8d-e152e0c4d5db</stp>
        <tr r="G6631" s="2"/>
      </tp>
      <tp>
        <v>5</v>
        <stp/>
        <stp>c4f5b521-bea0-457d-a48d-161fab013279</stp>
        <tr r="G7316" s="2"/>
      </tp>
      <tp>
        <v>5</v>
        <stp/>
        <stp>68f5419b-c87a-4791-8d30-161b4e1bdb47</stp>
        <tr r="G5766" s="2"/>
      </tp>
      <tp>
        <v>5</v>
        <stp/>
        <stp>bd26ce04-f0ae-41d7-a6b6-b809f1bd3b56</stp>
        <tr r="G9568" s="2"/>
      </tp>
      <tp>
        <v>5</v>
        <stp/>
        <stp>87153568-eea4-42d6-b6ed-32fa0f1e292b</stp>
        <tr r="G9579" s="2"/>
      </tp>
      <tp>
        <v>5</v>
        <stp/>
        <stp>b217b7ad-4f62-4602-b2b6-69d99dd28eca</stp>
        <tr r="G3287" s="2"/>
      </tp>
    </main>
    <main first="rtdsrv_a82eb5a1fc404542a18b1336b70d2c4e">
      <tp>
        <v>5</v>
        <stp/>
        <stp>5d95c096-852b-490a-b1e2-8f8a23676e59</stp>
        <tr r="G8700" s="2"/>
      </tp>
      <tp>
        <v>5</v>
        <stp/>
        <stp>9914863e-0ca7-449d-b666-129efbea4e7c</stp>
        <tr r="G8176" s="2"/>
      </tp>
    </main>
    <main first="rtdsrv_a82eb5a1fc404542a18b1336b70d2c4e">
      <tp>
        <v>5</v>
        <stp/>
        <stp>2920dc9e-0793-40a6-a4b1-fe2e8a5fbb62</stp>
        <tr r="G1302" s="2"/>
      </tp>
      <tp>
        <v>5</v>
        <stp/>
        <stp>98e61533-74f9-4989-aa44-b90760922fc3</stp>
        <tr r="G2567" s="2"/>
      </tp>
    </main>
    <main first="rtdsrv_a82eb5a1fc404542a18b1336b70d2c4e">
      <tp>
        <v>5</v>
        <stp/>
        <stp>8cdc226e-6bed-48b8-a63b-00ccda8d3e57</stp>
        <tr r="G4710" s="2"/>
      </tp>
      <tp>
        <v>5</v>
        <stp/>
        <stp>dadfe89d-f26c-4dd3-8695-e8f85a404447</stp>
        <tr r="G1762" s="2"/>
      </tp>
      <tp>
        <v>5</v>
        <stp/>
        <stp>aac1875c-27a1-4ef8-ae54-a904818fe9a5</stp>
        <tr r="G6048" s="2"/>
      </tp>
    </main>
    <main first="rtdsrv_a82eb5a1fc404542a18b1336b70d2c4e">
      <tp>
        <v>5</v>
        <stp/>
        <stp>a798cde7-397f-4d51-a182-6e0bd5969ab8</stp>
        <tr r="G1877" s="2"/>
      </tp>
    </main>
    <main first="rtdsrv_a82eb5a1fc404542a18b1336b70d2c4e">
      <tp>
        <v>5</v>
        <stp/>
        <stp>d9a7f09e-5497-4a5e-b0ea-332fc2f7deed</stp>
        <tr r="G2106" s="2"/>
      </tp>
    </main>
    <main first="rtdsrv_a82eb5a1fc404542a18b1336b70d2c4e">
      <tp>
        <v>5</v>
        <stp/>
        <stp>6778382f-77d3-483c-89ae-0497f7fb2a46</stp>
        <tr r="G4814" s="2"/>
      </tp>
      <tp>
        <v>5</v>
        <stp/>
        <stp>4f19079c-c2c5-4c09-a70b-1b326bef2c24</stp>
        <tr r="G2974" s="2"/>
      </tp>
    </main>
    <main first="rtdsrv_a82eb5a1fc404542a18b1336b70d2c4e">
      <tp>
        <v>5</v>
        <stp/>
        <stp>ef35f10e-95f0-4e54-bc74-2066e191d405</stp>
        <tr r="G2706" s="2"/>
      </tp>
      <tp>
        <v>5</v>
        <stp/>
        <stp>ba06b3a9-39ff-428d-bf84-c4b25b43b376</stp>
        <tr r="G7045" s="2"/>
      </tp>
    </main>
    <main first="rtdsrv_a82eb5a1fc404542a18b1336b70d2c4e">
      <tp>
        <v>5</v>
        <stp/>
        <stp>04e150c6-d9e7-4f91-b7ba-7902a7b93e12</stp>
        <tr r="G8986" s="2"/>
      </tp>
      <tp>
        <v>5</v>
        <stp/>
        <stp>05626f93-4f7b-43c6-8151-cab5893e2d47</stp>
        <tr r="G4976" s="2"/>
      </tp>
    </main>
    <main first="rtdsrv_a82eb5a1fc404542a18b1336b70d2c4e">
      <tp>
        <v>5</v>
        <stp/>
        <stp>57540b6f-7233-4de1-afd2-88dd61a79f84</stp>
        <tr r="G6888" s="2"/>
      </tp>
    </main>
    <main first="rtdsrv_a82eb5a1fc404542a18b1336b70d2c4e">
      <tp>
        <v>5</v>
        <stp/>
        <stp>90132e01-2bde-47ec-99cb-eb9c28b2ded3</stp>
        <tr r="G6891" s="2"/>
      </tp>
      <tp>
        <v>5</v>
        <stp/>
        <stp>1a94f9d8-7743-4d37-8333-60b5520c3159</stp>
        <tr r="G330" s="2"/>
      </tp>
    </main>
    <main first="rtdsrv_a82eb5a1fc404542a18b1336b70d2c4e">
      <tp>
        <v>5</v>
        <stp/>
        <stp>496f9cf8-e40a-498c-b268-36f1a1ba15f5</stp>
        <tr r="G963" s="2"/>
      </tp>
      <tp>
        <v>5</v>
        <stp/>
        <stp>baacdec6-2f43-43fa-a188-c735a10b51a6</stp>
        <tr r="G4034" s="2"/>
      </tp>
    </main>
    <main first="rtdsrv_a82eb5a1fc404542a18b1336b70d2c4e">
      <tp>
        <v>5</v>
        <stp/>
        <stp>e2d471ed-cd73-45a8-8590-7604399b26bf</stp>
        <tr r="G1541" s="2"/>
      </tp>
    </main>
    <main first="rtdsrv_a82eb5a1fc404542a18b1336b70d2c4e">
      <tp>
        <v>5</v>
        <stp/>
        <stp>8c166cc0-bdc3-47d9-a4bf-fd8d2fa5ec6c</stp>
        <tr r="G4978" s="2"/>
      </tp>
    </main>
    <main first="rtdsrv_a82eb5a1fc404542a18b1336b70d2c4e">
      <tp>
        <v>5</v>
        <stp/>
        <stp>31e89318-e12a-4265-87f2-a908e391dfa8</stp>
        <tr r="G7881" s="2"/>
      </tp>
      <tp>
        <v>5</v>
        <stp/>
        <stp>4fabd8ca-5d3f-4857-a0b9-fe071b176aac</stp>
        <tr r="G5911" s="2"/>
      </tp>
      <tp>
        <v>5</v>
        <stp/>
        <stp>6c91a257-dddc-4c5d-bbde-68f84db2c16c</stp>
        <tr r="G8083" s="2"/>
      </tp>
    </main>
    <main first="rtdsrv_a82eb5a1fc404542a18b1336b70d2c4e">
      <tp>
        <v>5</v>
        <stp/>
        <stp>307b30cc-9985-4602-a217-7b33e970d9a8</stp>
        <tr r="G9864" s="2"/>
      </tp>
    </main>
    <main first="rtdsrv_a82eb5a1fc404542a18b1336b70d2c4e">
      <tp>
        <v>5</v>
        <stp/>
        <stp>83375443-e5d7-4ed0-ae05-41af498152ab</stp>
        <tr r="G7647" s="2"/>
      </tp>
      <tp>
        <v>5</v>
        <stp/>
        <stp>8e2bb4c6-58a5-46e4-9a2d-52081802302b</stp>
        <tr r="G9506" s="2"/>
      </tp>
    </main>
    <main first="rtdsrv_a82eb5a1fc404542a18b1336b70d2c4e">
      <tp>
        <v>5</v>
        <stp/>
        <stp>fbea0af4-8563-46b0-bb10-b0f59c9da1f8</stp>
        <tr r="G1702" s="2"/>
      </tp>
    </main>
    <main first="rtdsrv_a82eb5a1fc404542a18b1336b70d2c4e">
      <tp>
        <v>5</v>
        <stp/>
        <stp>9adfba57-ef56-4af9-9306-d255d43c8282</stp>
        <tr r="G4464" s="2"/>
      </tp>
    </main>
    <main first="rtdsrv_a82eb5a1fc404542a18b1336b70d2c4e">
      <tp>
        <v>5</v>
        <stp/>
        <stp>fbb1b3c8-a59d-4786-8e80-9e9972c201f8</stp>
        <tr r="G6734" s="2"/>
      </tp>
    </main>
    <main first="rtdsrv_a82eb5a1fc404542a18b1336b70d2c4e">
      <tp>
        <v>5</v>
        <stp/>
        <stp>90e45be2-6075-4189-9cf7-615d26268d82</stp>
        <tr r="G8064" s="2"/>
      </tp>
    </main>
    <main first="rtdsrv_a82eb5a1fc404542a18b1336b70d2c4e">
      <tp>
        <v>5</v>
        <stp/>
        <stp>c351699f-f1d8-4e30-a607-6c1bab527572</stp>
        <tr r="G8426" s="2"/>
      </tp>
      <tp>
        <v>5</v>
        <stp/>
        <stp>db6123c6-cf50-43ea-a7ef-a87e1fcc1080</stp>
        <tr r="G6678" s="2"/>
      </tp>
      <tp>
        <v>5</v>
        <stp/>
        <stp>ca150479-0b9b-4c60-a730-e133d9fa2689</stp>
        <tr r="G4594" s="2"/>
      </tp>
      <tp>
        <v>5</v>
        <stp/>
        <stp>6e95fa5f-a93e-4f35-9079-d98c2d5adb8a</stp>
        <tr r="G8849" s="2"/>
      </tp>
      <tp>
        <v>5</v>
        <stp/>
        <stp>c52a542e-3ce3-4b42-8ac9-58a7ef577e7f</stp>
        <tr r="G8943" s="2"/>
      </tp>
    </main>
    <main first="rtdsrv_a82eb5a1fc404542a18b1336b70d2c4e">
      <tp>
        <v>5</v>
        <stp/>
        <stp>0b8ef464-56b1-425c-b484-2e2630484532</stp>
        <tr r="G1448" s="2"/>
      </tp>
      <tp>
        <v>5</v>
        <stp/>
        <stp>20caaa55-b205-42a3-9b88-57798a40c6f9</stp>
        <tr r="G6415" s="2"/>
      </tp>
    </main>
    <main first="rtdsrv_a82eb5a1fc404542a18b1336b70d2c4e">
      <tp>
        <v>5</v>
        <stp/>
        <stp>903ad387-82b0-421c-9701-d67f460c406b</stp>
        <tr r="G8438" s="2"/>
      </tp>
    </main>
    <main first="rtdsrv_a82eb5a1fc404542a18b1336b70d2c4e">
      <tp>
        <v>5</v>
        <stp/>
        <stp>c9841f4a-7ce4-41f1-9301-b14bb63896cf</stp>
        <tr r="G1977" s="2"/>
      </tp>
    </main>
    <main first="rtdsrv_a82eb5a1fc404542a18b1336b70d2c4e">
      <tp>
        <v>5</v>
        <stp/>
        <stp>5977148e-ddea-43fc-9af0-6bed3ceae5a5</stp>
        <tr r="G2110" s="2"/>
      </tp>
    </main>
    <main first="rtdsrv_a82eb5a1fc404542a18b1336b70d2c4e">
      <tp>
        <v>5</v>
        <stp/>
        <stp>681019d3-40f7-468a-b490-baf5ae19f182</stp>
        <tr r="G2605" s="2"/>
      </tp>
      <tp>
        <v>5</v>
        <stp/>
        <stp>1f4c9632-1dab-487b-b44b-258b6b511862</stp>
        <tr r="G7284" s="2"/>
      </tp>
    </main>
    <main first="rtdsrv_a82eb5a1fc404542a18b1336b70d2c4e">
      <tp>
        <v>5</v>
        <stp/>
        <stp>937ce988-dd80-4122-8b73-95ffd15f8714</stp>
        <tr r="G7344" s="2"/>
      </tp>
    </main>
    <main first="rtdsrv_a82eb5a1fc404542a18b1336b70d2c4e">
      <tp>
        <v>5</v>
        <stp/>
        <stp>4665194c-f2f8-4f32-9ddb-b35a75963adb</stp>
        <tr r="G1951" s="2"/>
      </tp>
      <tp>
        <v>5</v>
        <stp/>
        <stp>4297d9e5-c7ff-4dff-b3f5-93e22a8b5b87</stp>
        <tr r="G6397" s="2"/>
      </tp>
    </main>
    <main first="rtdsrv_a82eb5a1fc404542a18b1336b70d2c4e">
      <tp>
        <v>5</v>
        <stp/>
        <stp>77ef00d7-6965-4f2a-bc47-c9bd5a45bdb3</stp>
        <tr r="G325" s="2"/>
      </tp>
    </main>
    <main first="rtdsrv_a82eb5a1fc404542a18b1336b70d2c4e">
      <tp>
        <v>5</v>
        <stp/>
        <stp>8aa3db43-b960-49f0-b720-f41be72da8db</stp>
        <tr r="G9920" s="2"/>
      </tp>
    </main>
    <main first="rtdsrv_a82eb5a1fc404542a18b1336b70d2c4e">
      <tp>
        <v>5</v>
        <stp/>
        <stp>389dc3a3-4854-43a0-8571-15d1246b2a8f</stp>
        <tr r="G5763" s="2"/>
      </tp>
      <tp>
        <v>5</v>
        <stp/>
        <stp>9f61f99d-6c01-4d23-aa20-b7cbb5e9b2ad</stp>
        <tr r="G866" s="2"/>
      </tp>
      <tp>
        <v>5</v>
        <stp/>
        <stp>bb139f22-828b-4d85-b48c-a9872c4133eb</stp>
        <tr r="G8725" s="2"/>
      </tp>
      <tp>
        <v>5</v>
        <stp/>
        <stp>8d6aac19-9b73-4f0f-9d51-ac9eafd81026</stp>
        <tr r="G8425" s="2"/>
      </tp>
      <tp>
        <v>5</v>
        <stp/>
        <stp>a0b35377-b372-4dfb-809e-cf793ab48ebf</stp>
        <tr r="G3207" s="2"/>
      </tp>
      <tp>
        <v>5</v>
        <stp/>
        <stp>c84dad8d-458f-45eb-9b71-9f214a79eb99</stp>
        <tr r="G7453" s="2"/>
      </tp>
      <tp>
        <v>5</v>
        <stp/>
        <stp>cb95c4f0-7c1e-4c0e-b429-c3572dfce9bf</stp>
        <tr r="G277" s="2"/>
      </tp>
    </main>
    <main first="rtdsrv_a82eb5a1fc404542a18b1336b70d2c4e">
      <tp>
        <v>5</v>
        <stp/>
        <stp>d9b16e6a-4209-49bd-9cde-090e20204957</stp>
        <tr r="G4266" s="2"/>
      </tp>
    </main>
    <main first="rtdsrv_a82eb5a1fc404542a18b1336b70d2c4e">
      <tp>
        <v>5</v>
        <stp/>
        <stp>ed19cdd9-1f7e-4d85-92e7-e86bd4321552</stp>
        <tr r="G4385" s="2"/>
      </tp>
      <tp>
        <v>5</v>
        <stp/>
        <stp>64d65633-7638-46e6-aac3-3adf8aa908c6</stp>
        <tr r="G6570" s="2"/>
      </tp>
      <tp>
        <v>5</v>
        <stp/>
        <stp>7125001a-7572-4bb1-ab9d-50e5e75e6a69</stp>
        <tr r="G7304" s="2"/>
      </tp>
    </main>
    <main first="rtdsrv_a82eb5a1fc404542a18b1336b70d2c4e">
      <tp>
        <v>5</v>
        <stp/>
        <stp>0d541f99-88a7-499d-b3df-ebb0844ac400</stp>
        <tr r="G2343" s="2"/>
      </tp>
      <tp>
        <v>5</v>
        <stp/>
        <stp>9c069961-be4a-4afa-aae4-c30abaa17623</stp>
        <tr r="G3723" s="2"/>
      </tp>
    </main>
    <main first="rtdsrv_a82eb5a1fc404542a18b1336b70d2c4e">
      <tp>
        <v>5</v>
        <stp/>
        <stp>d3d23472-85f4-4c82-a46d-8684ca76148b</stp>
        <tr r="G1329" s="2"/>
      </tp>
      <tp>
        <v>5</v>
        <stp/>
        <stp>241245d2-b0c1-4272-b5dc-a01168c62ea3</stp>
        <tr r="G2888" s="2"/>
      </tp>
      <tp>
        <v>5</v>
        <stp/>
        <stp>98cf7b5b-945b-4d4c-a21a-f90934183d74</stp>
        <tr r="G3796" s="2"/>
      </tp>
      <tp>
        <v>5</v>
        <stp/>
        <stp>7c2034a7-d495-4dee-90e3-20e378222c6a</stp>
        <tr r="G3720" s="2"/>
      </tp>
    </main>
    <main first="rtdsrv_a82eb5a1fc404542a18b1336b70d2c4e">
      <tp>
        <v>5</v>
        <stp/>
        <stp>ba5332dd-196f-4641-87e2-1eb1329b6946</stp>
        <tr r="G8576" s="2"/>
      </tp>
      <tp>
        <v>5</v>
        <stp/>
        <stp>055f6b84-fe87-4a40-b5ed-9995028df783</stp>
        <tr r="G7590" s="2"/>
      </tp>
      <tp>
        <v>5</v>
        <stp/>
        <stp>092442f0-16ac-4ce5-99fd-113532d562d4</stp>
        <tr r="G2267" s="2"/>
      </tp>
      <tp>
        <v>5</v>
        <stp/>
        <stp>3c705699-dd40-4398-9d4c-62e03b8da5a6</stp>
        <tr r="G9509" s="2"/>
      </tp>
      <tp>
        <v>5</v>
        <stp/>
        <stp>7c57595e-14cd-43f8-9512-667be5a9f9e7</stp>
        <tr r="G4911" s="2"/>
      </tp>
    </main>
    <main first="rtdsrv_a82eb5a1fc404542a18b1336b70d2c4e">
      <tp>
        <v>5</v>
        <stp/>
        <stp>800eda33-6fa2-4a8d-b3be-2943e86dc84b</stp>
        <tr r="G4840" s="2"/>
      </tp>
      <tp>
        <v>5</v>
        <stp/>
        <stp>95d501d9-6787-471d-a7f5-391d07cfcffa</stp>
        <tr r="G6549" s="2"/>
      </tp>
      <tp>
        <v>5</v>
        <stp/>
        <stp>2ca619c1-fa28-4271-8b50-b5c5d4d08ab8</stp>
        <tr r="G7201" s="2"/>
      </tp>
    </main>
    <main first="rtdsrv_a82eb5a1fc404542a18b1336b70d2c4e">
      <tp>
        <v>5</v>
        <stp/>
        <stp>044c59bf-c7b3-4280-80e4-aa36b02e82b6</stp>
        <tr r="G7203" s="2"/>
      </tp>
    </main>
    <main first="rtdsrv_a82eb5a1fc404542a18b1336b70d2c4e">
      <tp>
        <v>5</v>
        <stp/>
        <stp>bb373f16-c185-4c60-b40c-d8eb7717202f</stp>
        <tr r="G2179" s="2"/>
      </tp>
    </main>
    <main first="rtdsrv_a82eb5a1fc404542a18b1336b70d2c4e">
      <tp>
        <v>5</v>
        <stp/>
        <stp>20927a7d-d0eb-48de-b97e-fe925859cba3</stp>
        <tr r="G9116" s="2"/>
      </tp>
    </main>
    <main first="rtdsrv_a82eb5a1fc404542a18b1336b70d2c4e">
      <tp>
        <v>5</v>
        <stp/>
        <stp>3d321918-d8e4-4244-9255-1746d6493a94</stp>
        <tr r="G2939" s="2"/>
      </tp>
    </main>
    <main first="rtdsrv_a82eb5a1fc404542a18b1336b70d2c4e">
      <tp>
        <v>5</v>
        <stp/>
        <stp>24ef2dc3-8cd9-4eb5-8662-38608332b8d4</stp>
        <tr r="G402" s="2"/>
      </tp>
    </main>
    <main first="rtdsrv_a82eb5a1fc404542a18b1336b70d2c4e">
      <tp>
        <v>5</v>
        <stp/>
        <stp>bc5928d9-c01c-412c-8454-8cae1d3bd107</stp>
        <tr r="G9646" s="2"/>
      </tp>
    </main>
    <main first="rtdsrv_a82eb5a1fc404542a18b1336b70d2c4e">
      <tp>
        <v>5</v>
        <stp/>
        <stp>374d443b-5c57-418a-aa81-7b2c0c61a6fd</stp>
        <tr r="G6143" s="2"/>
      </tp>
      <tp>
        <v>5</v>
        <stp/>
        <stp>a72e7e1d-8da9-4e3b-9bf5-5d5457180eaf</stp>
        <tr r="G8250" s="2"/>
      </tp>
    </main>
    <main first="rtdsrv_a82eb5a1fc404542a18b1336b70d2c4e">
      <tp>
        <v>5</v>
        <stp/>
        <stp>6443432f-f6a8-4bf4-a233-1456485b7242</stp>
        <tr r="G5071" s="2"/>
      </tp>
      <tp>
        <v>5</v>
        <stp/>
        <stp>c86fdec7-9efb-4891-950a-eac3895c9e04</stp>
        <tr r="G6461" s="2"/>
      </tp>
      <tp>
        <v>5</v>
        <stp/>
        <stp>3421162c-25a8-4553-bad3-3c4cb9073e5b</stp>
        <tr r="G3722" s="2"/>
      </tp>
    </main>
    <main first="rtdsrv_a82eb5a1fc404542a18b1336b70d2c4e">
      <tp>
        <v>5</v>
        <stp/>
        <stp>61010822-a999-4fcb-b9f3-bf8b1f7d340e</stp>
        <tr r="G9855" s="2"/>
      </tp>
    </main>
    <main first="rtdsrv_a82eb5a1fc404542a18b1336b70d2c4e">
      <tp>
        <v>5</v>
        <stp/>
        <stp>93c70719-5df8-4420-b703-1effa96c55bd</stp>
        <tr r="G8104" s="2"/>
      </tp>
      <tp>
        <v>5</v>
        <stp/>
        <stp>a8412806-6aaa-4379-a3cf-ff494f57a45b</stp>
        <tr r="G9046" s="2"/>
      </tp>
    </main>
    <main first="rtdsrv_a82eb5a1fc404542a18b1336b70d2c4e">
      <tp>
        <v>5</v>
        <stp/>
        <stp>1079a22f-ebc6-43df-b646-8e4899c5416f</stp>
        <tr r="G4551" s="2"/>
      </tp>
      <tp>
        <v>5</v>
        <stp/>
        <stp>9700bbeb-b97b-4989-90be-4fb38f8f04c7</stp>
        <tr r="G7668" s="2"/>
      </tp>
      <tp>
        <v>5</v>
        <stp/>
        <stp>5eee96aa-a2f6-48fe-8a86-7ad0052a0cf3</stp>
        <tr r="G7456" s="2"/>
      </tp>
    </main>
    <main first="rtdsrv_a82eb5a1fc404542a18b1336b70d2c4e">
      <tp>
        <v>5</v>
        <stp/>
        <stp>2d038f7c-9216-4b1e-836e-c02f81eff178</stp>
        <tr r="G1754" s="2"/>
      </tp>
      <tp>
        <v>5</v>
        <stp/>
        <stp>b59ac6bb-457a-4039-b179-90689ba7330f</stp>
        <tr r="G2699" s="2"/>
      </tp>
    </main>
    <main first="rtdsrv_a82eb5a1fc404542a18b1336b70d2c4e">
      <tp>
        <v>5</v>
        <stp/>
        <stp>dc11ee9a-a587-4926-84e1-a340b9801f0b</stp>
        <tr r="G4870" s="2"/>
      </tp>
    </main>
    <main first="rtdsrv_a82eb5a1fc404542a18b1336b70d2c4e">
      <tp>
        <v>5</v>
        <stp/>
        <stp>2fd53988-0a7b-41e2-aaad-8718d5aa0f9f</stp>
        <tr r="G5910" s="2"/>
      </tp>
    </main>
    <main first="rtdsrv_a82eb5a1fc404542a18b1336b70d2c4e">
      <tp>
        <v>5</v>
        <stp/>
        <stp>66351168-c1e6-407e-9d86-e0d81553fdc9</stp>
        <tr r="G3191" s="2"/>
      </tp>
    </main>
    <main first="rtdsrv_a82eb5a1fc404542a18b1336b70d2c4e">
      <tp>
        <v>5</v>
        <stp/>
        <stp>a2c77458-8d86-4fd6-b777-b1d81f18f0a6</stp>
        <tr r="G9760" s="2"/>
      </tp>
    </main>
    <main first="rtdsrv_a82eb5a1fc404542a18b1336b70d2c4e">
      <tp>
        <v>5</v>
        <stp/>
        <stp>0dcf1bac-b750-480f-bb29-15f22db6699a</stp>
        <tr r="G4399" s="2"/>
      </tp>
    </main>
    <main first="rtdsrv_a82eb5a1fc404542a18b1336b70d2c4e">
      <tp>
        <v>5</v>
        <stp/>
        <stp>e6b11de5-5111-4e2b-a114-98d537e2dc29</stp>
        <tr r="G8960" s="2"/>
      </tp>
    </main>
    <main first="rtdsrv_a82eb5a1fc404542a18b1336b70d2c4e">
      <tp>
        <v>5</v>
        <stp/>
        <stp>b447c789-fbe2-4cf5-b8d9-7537da7298be</stp>
        <tr r="G3319" s="2"/>
      </tp>
    </main>
    <main first="rtdsrv_a82eb5a1fc404542a18b1336b70d2c4e">
      <tp>
        <v>5</v>
        <stp/>
        <stp>6b8f23ad-d481-4bb0-992e-799f23371e3f</stp>
        <tr r="G8433" s="2"/>
      </tp>
      <tp>
        <v>5</v>
        <stp/>
        <stp>4ab043fb-2264-4ce2-8b83-ba1f0cd6f0a9</stp>
        <tr r="G8859" s="2"/>
      </tp>
      <tp>
        <v>5</v>
        <stp/>
        <stp>4408713e-f6aa-4dc7-8c21-564819088111</stp>
        <tr r="G863" s="2"/>
      </tp>
      <tp>
        <v>5</v>
        <stp/>
        <stp>2670f446-10aa-43a8-bff5-6a52c627bb0b</stp>
        <tr r="G4824" s="2"/>
      </tp>
      <tp>
        <v>5</v>
        <stp/>
        <stp>7a704bc2-75d9-45fe-b99d-fccd5dde673c</stp>
        <tr r="G5978" s="2"/>
      </tp>
    </main>
    <main first="rtdsrv_a82eb5a1fc404542a18b1336b70d2c4e">
      <tp>
        <v>5</v>
        <stp/>
        <stp>9f930772-662e-419b-8459-547b3efd19aa</stp>
        <tr r="G8582" s="2"/>
      </tp>
    </main>
    <main first="rtdsrv_a82eb5a1fc404542a18b1336b70d2c4e">
      <tp>
        <v>5</v>
        <stp/>
        <stp>20d97ed2-ffd4-4eeb-aeb3-488407d3ad85</stp>
        <tr r="G9154" s="2"/>
      </tp>
      <tp>
        <v>5</v>
        <stp/>
        <stp>e93ea5b4-d48c-4b16-bac9-a011bbe36792</stp>
        <tr r="G483" s="2"/>
      </tp>
    </main>
    <main first="rtdsrv_a82eb5a1fc404542a18b1336b70d2c4e">
      <tp>
        <v>5</v>
        <stp/>
        <stp>4480e6de-a06c-4914-a3e5-ada4c91ad784</stp>
        <tr r="G8560" s="2"/>
      </tp>
      <tp>
        <v>5</v>
        <stp/>
        <stp>fbddc84f-dd96-445e-ba3b-d63391aad75d</stp>
        <tr r="G6993" s="2"/>
      </tp>
      <tp>
        <v>5</v>
        <stp/>
        <stp>150d1852-a66a-4ec5-aa5d-bdf20cbe73a7</stp>
        <tr r="G7241" s="2"/>
      </tp>
    </main>
    <main first="rtdsrv_a82eb5a1fc404542a18b1336b70d2c4e">
      <tp>
        <v>5</v>
        <stp/>
        <stp>696a60ee-3963-4449-a6b4-7996956d15c3</stp>
        <tr r="G6084" s="2"/>
      </tp>
    </main>
    <main first="rtdsrv_a82eb5a1fc404542a18b1336b70d2c4e">
      <tp>
        <v>5</v>
        <stp/>
        <stp>3b915336-fc6a-44c1-bf3b-299cff063202</stp>
        <tr r="G1522" s="2"/>
      </tp>
      <tp>
        <v>5</v>
        <stp/>
        <stp>bd66d825-03a4-4ea5-a673-5432274cf517</stp>
        <tr r="G1894" s="2"/>
      </tp>
    </main>
    <main first="rtdsrv_a82eb5a1fc404542a18b1336b70d2c4e">
      <tp>
        <v>5</v>
        <stp/>
        <stp>36e8354b-ecb2-4a76-bb00-c44ea867342f</stp>
        <tr r="G9023" s="2"/>
      </tp>
    </main>
    <main first="rtdsrv_a82eb5a1fc404542a18b1336b70d2c4e">
      <tp>
        <v>5</v>
        <stp/>
        <stp>a4623911-7d01-4c51-8d4b-a0a83bd28562</stp>
        <tr r="G7774" s="2"/>
      </tp>
      <tp>
        <v>5</v>
        <stp/>
        <stp>4c6d9889-72fe-4cc4-8d47-ad462a940142</stp>
        <tr r="G2306" s="2"/>
      </tp>
    </main>
    <main first="rtdsrv_a82eb5a1fc404542a18b1336b70d2c4e">
      <tp>
        <v>5</v>
        <stp/>
        <stp>7091949d-9248-478f-99cb-233e02eefa41</stp>
        <tr r="G3887" s="2"/>
      </tp>
    </main>
    <main first="rtdsrv_a82eb5a1fc404542a18b1336b70d2c4e">
      <tp>
        <v>5</v>
        <stp/>
        <stp>a794c02a-05a5-4f9a-89c9-aa0a0951b50a</stp>
        <tr r="G2456" s="2"/>
      </tp>
      <tp>
        <v>5</v>
        <stp/>
        <stp>90727315-6802-4eb6-ab85-679625061a10</stp>
        <tr r="G7445" s="2"/>
      </tp>
    </main>
    <main first="rtdsrv_a82eb5a1fc404542a18b1336b70d2c4e">
      <tp>
        <v>5</v>
        <stp/>
        <stp>58d5ec9b-72f5-47cd-801d-52dc769f3ee3</stp>
        <tr r="G1126" s="2"/>
      </tp>
    </main>
    <main first="rtdsrv_a82eb5a1fc404542a18b1336b70d2c4e">
      <tp>
        <v>5</v>
        <stp/>
        <stp>f6e72285-6ffe-4f82-8b17-59b0ff8156e1</stp>
        <tr r="G2501" s="2"/>
      </tp>
    </main>
    <main first="rtdsrv_a82eb5a1fc404542a18b1336b70d2c4e">
      <tp>
        <v>5</v>
        <stp/>
        <stp>9638706c-8ac8-4b16-a8ed-63eb7558e3c0</stp>
        <tr r="G6535" s="2"/>
      </tp>
    </main>
    <main first="rtdsrv_a82eb5a1fc404542a18b1336b70d2c4e">
      <tp>
        <v>5</v>
        <stp/>
        <stp>c04c169d-86ac-44aa-a421-9247106077d6</stp>
        <tr r="G810" s="2"/>
      </tp>
      <tp>
        <v>5</v>
        <stp/>
        <stp>ea868ed3-3a47-46de-bd59-547712f4399d</stp>
        <tr r="G3661" s="2"/>
      </tp>
    </main>
    <main first="rtdsrv_a82eb5a1fc404542a18b1336b70d2c4e">
      <tp>
        <v>5</v>
        <stp/>
        <stp>3405189b-dc71-4472-9952-dad6af2750ba</stp>
        <tr r="G9788" s="2"/>
      </tp>
      <tp>
        <v>5</v>
        <stp/>
        <stp>108c042b-90ed-4eb7-a633-85ba37090c76</stp>
        <tr r="G248" s="2"/>
      </tp>
      <tp>
        <v>5</v>
        <stp/>
        <stp>9f2ea5f9-6226-43f9-bd21-869d45f2e5df</stp>
        <tr r="G3842" s="2"/>
      </tp>
    </main>
    <main first="rtdsrv_a82eb5a1fc404542a18b1336b70d2c4e">
      <tp>
        <v>5</v>
        <stp/>
        <stp>4c390da4-1f94-464e-a290-c2b6a49ef43f</stp>
        <tr r="G9138" s="2"/>
      </tp>
    </main>
    <main first="rtdsrv_a82eb5a1fc404542a18b1336b70d2c4e">
      <tp>
        <v>5</v>
        <stp/>
        <stp>0a45b9df-760c-4947-9eb4-7a939a345b48</stp>
        <tr r="G7626" s="2"/>
      </tp>
    </main>
    <main first="rtdsrv_a82eb5a1fc404542a18b1336b70d2c4e">
      <tp>
        <v>5</v>
        <stp/>
        <stp>195cbe04-8f11-4536-9c85-439d2c67eb5c</stp>
        <tr r="G6927" s="2"/>
      </tp>
      <tp>
        <v>5</v>
        <stp/>
        <stp>5c856557-9edb-432e-8428-a69bb74b8a17</stp>
        <tr r="G72" s="2"/>
      </tp>
      <tp>
        <v>5</v>
        <stp/>
        <stp>d407f68a-898d-43a1-ab28-5b7eea7c7bea</stp>
        <tr r="G1405" s="2"/>
      </tp>
    </main>
    <main first="rtdsrv_a82eb5a1fc404542a18b1336b70d2c4e">
      <tp>
        <v>5</v>
        <stp/>
        <stp>41c87829-5684-4b94-8959-566c924cda1e</stp>
        <tr r="G69" s="2"/>
      </tp>
    </main>
    <main first="rtdsrv_a82eb5a1fc404542a18b1336b70d2c4e">
      <tp>
        <v>5</v>
        <stp/>
        <stp>2dbddbe5-c38b-436f-8a48-29bcf02d7f11</stp>
        <tr r="G3669" s="2"/>
      </tp>
      <tp>
        <v>5</v>
        <stp/>
        <stp>3b3b0fa8-f67c-4e27-9844-8c4368805b1d</stp>
        <tr r="G5289" s="2"/>
      </tp>
    </main>
    <main first="rtdsrv_a82eb5a1fc404542a18b1336b70d2c4e">
      <tp>
        <v>5</v>
        <stp/>
        <stp>29ee8012-fb51-468a-ad49-ff5485ce2143</stp>
        <tr r="G3996" s="2"/>
      </tp>
    </main>
    <main first="rtdsrv_a82eb5a1fc404542a18b1336b70d2c4e">
      <tp>
        <v>5</v>
        <stp/>
        <stp>597e9a18-8647-4cdc-aa0f-aff4488635e7</stp>
        <tr r="G3550" s="2"/>
      </tp>
    </main>
    <main first="rtdsrv_a82eb5a1fc404542a18b1336b70d2c4e">
      <tp>
        <v>5</v>
        <stp/>
        <stp>aaa6f3d7-a820-4e4c-92a6-5249b9df6b52</stp>
        <tr r="G5178" s="2"/>
      </tp>
    </main>
    <main first="rtdsrv_a82eb5a1fc404542a18b1336b70d2c4e">
      <tp>
        <v>5</v>
        <stp/>
        <stp>f77f3d72-394d-47bb-9b94-9c70d778f7c2</stp>
        <tr r="G3275" s="2"/>
      </tp>
      <tp>
        <v>5</v>
        <stp/>
        <stp>ed4fa3c7-ccd2-4904-ad8a-7cd467f72493</stp>
        <tr r="G4513" s="2"/>
      </tp>
      <tp>
        <v>5</v>
        <stp/>
        <stp>76461e9e-606c-462f-9409-cce2d89af06a</stp>
        <tr r="G9830" s="2"/>
      </tp>
      <tp>
        <v>5</v>
        <stp/>
        <stp>9b6ee1e5-a1ee-4850-bf2b-2f3ea7dfe995</stp>
        <tr r="G9651" s="2"/>
      </tp>
    </main>
    <main first="rtdsrv_a82eb5a1fc404542a18b1336b70d2c4e">
      <tp>
        <v>5</v>
        <stp/>
        <stp>6a6dbd90-1063-46ee-b516-080e75e4853a</stp>
        <tr r="G3675" s="2"/>
      </tp>
      <tp>
        <v>5</v>
        <stp/>
        <stp>256d2906-2300-4550-a69b-13226e2e698f</stp>
        <tr r="G2809" s="2"/>
      </tp>
    </main>
    <main first="rtdsrv_a82eb5a1fc404542a18b1336b70d2c4e">
      <tp>
        <v>5</v>
        <stp/>
        <stp>62947bd4-3b80-4864-a226-731997cc1949</stp>
        <tr r="G4106" s="2"/>
      </tp>
    </main>
    <main first="rtdsrv_a82eb5a1fc404542a18b1336b70d2c4e">
      <tp>
        <v>5</v>
        <stp/>
        <stp>60746a76-3192-487f-aa90-f7b3b6978d56</stp>
        <tr r="G7135" s="2"/>
      </tp>
    </main>
    <main first="rtdsrv_a82eb5a1fc404542a18b1336b70d2c4e">
      <tp>
        <v>5</v>
        <stp/>
        <stp>5c3d2795-b1d1-4c51-9195-e65db5a0fe5b</stp>
        <tr r="G5864" s="2"/>
      </tp>
    </main>
    <main first="rtdsrv_a82eb5a1fc404542a18b1336b70d2c4e">
      <tp>
        <v>5</v>
        <stp/>
        <stp>94ccb066-5e94-4ab5-b2a8-323b761789ea</stp>
        <tr r="G2152" s="2"/>
      </tp>
    </main>
    <main first="rtdsrv_a82eb5a1fc404542a18b1336b70d2c4e">
      <tp>
        <v>5</v>
        <stp/>
        <stp>079f51f8-dd11-4b8b-8f10-390cb4f3cd5b</stp>
        <tr r="G3058" s="2"/>
      </tp>
      <tp>
        <v>5</v>
        <stp/>
        <stp>678b3d22-8d44-4fa9-aaa6-7e42f647880a</stp>
        <tr r="G5982" s="2"/>
      </tp>
    </main>
    <main first="rtdsrv_a82eb5a1fc404542a18b1336b70d2c4e">
      <tp>
        <v>5</v>
        <stp/>
        <stp>ec7c5b9f-29ae-4cd8-bc62-32822c7714bb</stp>
        <tr r="G5902" s="2"/>
      </tp>
      <tp>
        <v>5</v>
        <stp/>
        <stp>498eec37-c45e-41ba-9be5-d367df6b20b8</stp>
        <tr r="G1533" s="2"/>
      </tp>
      <tp>
        <v>5</v>
        <stp/>
        <stp>beadbb27-3905-4156-ab01-08701b077048</stp>
        <tr r="G5619" s="2"/>
      </tp>
    </main>
    <main first="rtdsrv_a82eb5a1fc404542a18b1336b70d2c4e">
      <tp>
        <v>5</v>
        <stp/>
        <stp>6a5dbbf3-0bdb-4d39-8bb6-91fbf1177082</stp>
        <tr r="G4558" s="2"/>
      </tp>
      <tp>
        <v>5</v>
        <stp/>
        <stp>9a8538e3-67f3-421b-8d38-3d21a516379f</stp>
        <tr r="G2792" s="2"/>
      </tp>
    </main>
    <main first="rtdsrv_a82eb5a1fc404542a18b1336b70d2c4e">
      <tp>
        <v>5</v>
        <stp/>
        <stp>32095319-23f7-42e7-9482-3fc3ed32bf89</stp>
        <tr r="G8021" s="2"/>
      </tp>
    </main>
    <main first="rtdsrv_a82eb5a1fc404542a18b1336b70d2c4e">
      <tp>
        <v>5</v>
        <stp/>
        <stp>e0b2519d-4f38-47ed-b085-3eccaf3de20d</stp>
        <tr r="G3070" s="2"/>
      </tp>
      <tp>
        <v>5</v>
        <stp/>
        <stp>8b8c4f0d-ca7c-42b5-a606-725800280800</stp>
        <tr r="G7297" s="2"/>
      </tp>
      <tp>
        <v>5</v>
        <stp/>
        <stp>df7b3896-3695-4a0b-8761-e3c8a1fcecd2</stp>
        <tr r="G1274" s="2"/>
      </tp>
    </main>
    <main first="rtdsrv_a82eb5a1fc404542a18b1336b70d2c4e">
      <tp>
        <v>5</v>
        <stp/>
        <stp>68919bfd-fb20-4c0b-860d-53bca6db1368</stp>
        <tr r="G1028" s="2"/>
      </tp>
    </main>
    <main first="rtdsrv_a82eb5a1fc404542a18b1336b70d2c4e">
      <tp>
        <v>5</v>
        <stp/>
        <stp>7ae96859-4bbd-464e-b608-1b30ef22ddb5</stp>
        <tr r="G9302" s="2"/>
      </tp>
    </main>
    <main first="rtdsrv_a82eb5a1fc404542a18b1336b70d2c4e">
      <tp>
        <v>5</v>
        <stp/>
        <stp>65c9358f-946c-4540-8edf-07012fb1fd2f</stp>
        <tr r="G9586" s="2"/>
      </tp>
    </main>
    <main first="rtdsrv_a82eb5a1fc404542a18b1336b70d2c4e">
      <tp>
        <v>5</v>
        <stp/>
        <stp>e7cf22af-be7e-49cc-ae99-c00dcb07e77e</stp>
        <tr r="G1701" s="2"/>
      </tp>
    </main>
    <main first="rtdsrv_a82eb5a1fc404542a18b1336b70d2c4e">
      <tp>
        <v>5</v>
        <stp/>
        <stp>e1e58ce0-1d11-4e69-8999-98e8e6d3f56f</stp>
        <tr r="G799" s="2"/>
      </tp>
    </main>
    <main first="rtdsrv_a82eb5a1fc404542a18b1336b70d2c4e">
      <tp>
        <v>5</v>
        <stp/>
        <stp>a73b3c9a-816f-46ec-963f-650713bf6beb</stp>
        <tr r="G5216" s="2"/>
      </tp>
    </main>
    <main first="rtdsrv_a82eb5a1fc404542a18b1336b70d2c4e">
      <tp>
        <v>5</v>
        <stp/>
        <stp>201dc79f-a460-4aff-97f1-11d30611692d</stp>
        <tr r="G5964" s="2"/>
      </tp>
    </main>
    <main first="rtdsrv_a82eb5a1fc404542a18b1336b70d2c4e">
      <tp>
        <v>5</v>
        <stp/>
        <stp>d611fc87-96ed-4db4-a4a2-bcdd276d554f</stp>
        <tr r="G2344" s="2"/>
      </tp>
    </main>
    <main first="rtdsrv_a82eb5a1fc404542a18b1336b70d2c4e">
      <tp>
        <v>5</v>
        <stp/>
        <stp>8af1037e-e967-4a59-97bd-e106d36026a5</stp>
        <tr r="G7496" s="2"/>
      </tp>
    </main>
    <main first="rtdsrv_a82eb5a1fc404542a18b1336b70d2c4e">
      <tp>
        <v>5</v>
        <stp/>
        <stp>f91a4f78-a4e9-48f1-beb1-eae30c977747</stp>
        <tr r="G3115" s="2"/>
      </tp>
    </main>
    <main first="rtdsrv_a82eb5a1fc404542a18b1336b70d2c4e">
      <tp>
        <v>5</v>
        <stp/>
        <stp>2d2f9984-dc7d-4fa4-9221-b5bb1f4784e8</stp>
        <tr r="G1312" s="2"/>
      </tp>
    </main>
    <main first="rtdsrv_a82eb5a1fc404542a18b1336b70d2c4e">
      <tp>
        <v>5</v>
        <stp/>
        <stp>acc0c61e-c3ff-4d11-bdf5-38988c4a6b21</stp>
        <tr r="G8188" s="2"/>
      </tp>
    </main>
    <main first="rtdsrv_a82eb5a1fc404542a18b1336b70d2c4e">
      <tp>
        <v>5</v>
        <stp/>
        <stp>8c9663f1-6b7b-475b-a768-3cc77933801f</stp>
        <tr r="G401" s="2"/>
      </tp>
    </main>
    <main first="rtdsrv_a82eb5a1fc404542a18b1336b70d2c4e">
      <tp>
        <v>5</v>
        <stp/>
        <stp>fc0982ff-1358-475a-958c-6b757f176edf</stp>
        <tr r="G4137" s="2"/>
      </tp>
    </main>
    <main first="rtdsrv_a82eb5a1fc404542a18b1336b70d2c4e">
      <tp>
        <v>5</v>
        <stp/>
        <stp>490d818f-34a0-40bf-9144-954567a6539a</stp>
        <tr r="G6732" s="2"/>
      </tp>
      <tp>
        <v>5</v>
        <stp/>
        <stp>d3ad0a56-2b35-417b-a1dc-bd10bb102819</stp>
        <tr r="G1290" s="2"/>
      </tp>
    </main>
    <main first="rtdsrv_a82eb5a1fc404542a18b1336b70d2c4e">
      <tp>
        <v>5</v>
        <stp/>
        <stp>e0e69180-d931-45c1-81f4-59da7a6fc2f4</stp>
        <tr r="G814" s="2"/>
      </tp>
    </main>
    <main first="rtdsrv_a82eb5a1fc404542a18b1336b70d2c4e">
      <tp>
        <v>5</v>
        <stp/>
        <stp>00328475-9100-4dcc-979c-f018f937b601</stp>
        <tr r="G7681" s="2"/>
      </tp>
    </main>
    <main first="rtdsrv_a82eb5a1fc404542a18b1336b70d2c4e">
      <tp>
        <v>5</v>
        <stp/>
        <stp>c2a5b802-df24-499e-beef-ddd383061aa9</stp>
        <tr r="G3005" s="2"/>
      </tp>
      <tp>
        <v>5</v>
        <stp/>
        <stp>eeccde62-171e-440a-b64b-dedfb8316a32</stp>
        <tr r="G2785" s="2"/>
      </tp>
    </main>
    <main first="rtdsrv_a82eb5a1fc404542a18b1336b70d2c4e">
      <tp>
        <v>5</v>
        <stp/>
        <stp>f9350eb3-7c63-43b6-ab56-2bb23e07c728</stp>
        <tr r="G2532" s="2"/>
      </tp>
    </main>
    <main first="rtdsrv_a82eb5a1fc404542a18b1336b70d2c4e">
      <tp>
        <v>5</v>
        <stp/>
        <stp>4817267b-4e32-46f9-b632-986a735e0c76</stp>
        <tr r="G8503" s="2"/>
      </tp>
    </main>
    <main first="rtdsrv_a82eb5a1fc404542a18b1336b70d2c4e">
      <tp>
        <v>5</v>
        <stp/>
        <stp>1f70fc95-2b06-412b-8954-4c8cecffa8c7</stp>
        <tr r="G3991" s="2"/>
      </tp>
    </main>
    <main first="rtdsrv_a82eb5a1fc404542a18b1336b70d2c4e">
      <tp>
        <v>5</v>
        <stp/>
        <stp>923c581b-c514-4c16-84f8-da0e998c89bb</stp>
        <tr r="G7900" s="2"/>
      </tp>
      <tp>
        <v>5</v>
        <stp/>
        <stp>291f92e8-9a6c-432d-be96-3cdee6f7ebdc</stp>
        <tr r="G8408" s="2"/>
      </tp>
      <tp>
        <v>5</v>
        <stp/>
        <stp>8fc06fba-6d55-4ec9-8c16-1d3695011754</stp>
        <tr r="G3729" s="2"/>
      </tp>
    </main>
    <main first="rtdsrv_a82eb5a1fc404542a18b1336b70d2c4e">
      <tp>
        <v>5</v>
        <stp/>
        <stp>e87db845-9a29-460c-a142-f13cd5669204</stp>
        <tr r="G6170" s="2"/>
      </tp>
    </main>
    <main first="rtdsrv_a82eb5a1fc404542a18b1336b70d2c4e">
      <tp>
        <v>5</v>
        <stp/>
        <stp>2d2a5b81-f186-4343-b889-556b97e42148</stp>
        <tr r="G1063" s="2"/>
      </tp>
    </main>
    <main first="rtdsrv_a82eb5a1fc404542a18b1336b70d2c4e">
      <tp>
        <v>5</v>
        <stp/>
        <stp>a4132fcc-84a4-4fe9-add2-7426dc70984a</stp>
        <tr r="G6373" s="2"/>
      </tp>
      <tp>
        <v>5</v>
        <stp/>
        <stp>87b695c4-f1e7-4158-a732-fe076bdb5031</stp>
        <tr r="G2970" s="2"/>
      </tp>
    </main>
    <main first="rtdsrv_a82eb5a1fc404542a18b1336b70d2c4e">
      <tp>
        <v>5</v>
        <stp/>
        <stp>c867a2da-d5b1-475f-af0b-376841460fb2</stp>
        <tr r="G222" s="2"/>
      </tp>
      <tp>
        <v>5</v>
        <stp/>
        <stp>e5af5218-4593-46ce-a18c-20d86215f46b</stp>
        <tr r="G9273" s="2"/>
      </tp>
    </main>
    <main first="rtdsrv_a82eb5a1fc404542a18b1336b70d2c4e">
      <tp>
        <v>5</v>
        <stp/>
        <stp>5917c139-ff2a-41d7-8605-4132afdd4fc9</stp>
        <tr r="G9331" s="2"/>
      </tp>
    </main>
    <main first="rtdsrv_a82eb5a1fc404542a18b1336b70d2c4e">
      <tp>
        <v>5</v>
        <stp/>
        <stp>48e4bd4d-cb7f-4563-8968-64114bf4b494</stp>
        <tr r="G9889" s="2"/>
      </tp>
    </main>
    <main first="rtdsrv_a82eb5a1fc404542a18b1336b70d2c4e">
      <tp>
        <v>5</v>
        <stp/>
        <stp>c2ea378d-f8d5-406f-bdee-a603a73ba9ee</stp>
        <tr r="G9935" s="2"/>
      </tp>
    </main>
    <main first="rtdsrv_a82eb5a1fc404542a18b1336b70d2c4e">
      <tp>
        <v>5</v>
        <stp/>
        <stp>1743d851-46cb-4d6a-aa40-a3a40174147f</stp>
        <tr r="G9848" s="2"/>
      </tp>
      <tp>
        <v>5</v>
        <stp/>
        <stp>c3e17c35-c6b2-4882-b1d7-fd5908108a58</stp>
        <tr r="G5659" s="2"/>
      </tp>
    </main>
    <main first="rtdsrv_a82eb5a1fc404542a18b1336b70d2c4e">
      <tp>
        <v>5</v>
        <stp/>
        <stp>eaf2dcb2-24dd-45f9-a441-7fadaa495b2c</stp>
        <tr r="G6724" s="2"/>
      </tp>
    </main>
    <main first="rtdsrv_a82eb5a1fc404542a18b1336b70d2c4e">
      <tp>
        <v>5</v>
        <stp/>
        <stp>9e23ebee-1b06-48e0-b390-5736efd30643</stp>
        <tr r="G9846" s="2"/>
      </tp>
    </main>
    <main first="rtdsrv_a82eb5a1fc404542a18b1336b70d2c4e">
      <tp>
        <v>5</v>
        <stp/>
        <stp>7dbe27d9-51e8-4213-918a-eb6b76385a5c</stp>
        <tr r="G2587" s="2"/>
      </tp>
    </main>
    <main first="rtdsrv_a82eb5a1fc404542a18b1336b70d2c4e">
      <tp>
        <v>5</v>
        <stp/>
        <stp>19461db1-d28c-492f-884a-81fb03545109</stp>
        <tr r="G2392" s="2"/>
      </tp>
      <tp>
        <v>5</v>
        <stp/>
        <stp>67ec3822-9861-4ce5-be49-bf40e152f818</stp>
        <tr r="G919" s="2"/>
      </tp>
      <tp>
        <v>5</v>
        <stp/>
        <stp>b037c258-f12e-42e9-b85a-967c95b1e3ec</stp>
        <tr r="G4314" s="2"/>
      </tp>
      <tp>
        <v>5</v>
        <stp/>
        <stp>a85f6317-b3bd-44a9-9c0e-ed4db94d6e4f</stp>
        <tr r="G3200" s="2"/>
      </tp>
    </main>
    <main first="rtdsrv_a82eb5a1fc404542a18b1336b70d2c4e">
      <tp>
        <v>5</v>
        <stp/>
        <stp>2cd6ac99-487e-43dd-b2f0-1a17c629391a</stp>
        <tr r="G3415" s="2"/>
      </tp>
      <tp>
        <v>5</v>
        <stp/>
        <stp>cbfbfd12-8d1a-4759-a292-85cabe6d9634</stp>
        <tr r="G7272" s="2"/>
      </tp>
    </main>
    <main first="rtdsrv_a82eb5a1fc404542a18b1336b70d2c4e">
      <tp>
        <v>5</v>
        <stp/>
        <stp>02726009-647f-4998-900e-851cfe18941f</stp>
        <tr r="G6292" s="2"/>
      </tp>
      <tp>
        <v>5</v>
        <stp/>
        <stp>1951f07f-3d87-437f-815d-b7438c2dcec1</stp>
        <tr r="G1396" s="2"/>
      </tp>
    </main>
    <main first="rtdsrv_a82eb5a1fc404542a18b1336b70d2c4e">
      <tp>
        <v>5</v>
        <stp/>
        <stp>944a0965-53fd-4572-9791-79fa4c0a5113</stp>
        <tr r="G4838" s="2"/>
      </tp>
      <tp>
        <v>5</v>
        <stp/>
        <stp>7967c9b0-3311-4a66-935f-ddf59500290e</stp>
        <tr r="G8241" s="2"/>
      </tp>
      <tp>
        <v>5</v>
        <stp/>
        <stp>cabc4626-3263-45ab-ba41-58492bb390b1</stp>
        <tr r="G7791" s="2"/>
      </tp>
      <tp>
        <v>5</v>
        <stp/>
        <stp>9e3dc020-a6d6-439a-9bcf-bfed30ed3861</stp>
        <tr r="G3272" s="2"/>
      </tp>
      <tp>
        <v>5</v>
        <stp/>
        <stp>f6de4163-9a41-44b2-a121-33cc4a5e043a</stp>
        <tr r="G7476" s="2"/>
      </tp>
    </main>
    <main first="rtdsrv_a82eb5a1fc404542a18b1336b70d2c4e">
      <tp>
        <v>5</v>
        <stp/>
        <stp>dbfefb61-f15a-40bf-a78d-2c7b9f01aee9</stp>
        <tr r="G3795" s="2"/>
      </tp>
    </main>
    <main first="rtdsrv_a82eb5a1fc404542a18b1336b70d2c4e">
      <tp>
        <v>5</v>
        <stp/>
        <stp>06dfe64d-8186-414e-a448-349e45214026</stp>
        <tr r="G3650" s="2"/>
      </tp>
    </main>
    <main first="rtdsrv_a82eb5a1fc404542a18b1336b70d2c4e">
      <tp>
        <v>5</v>
        <stp/>
        <stp>8b009044-51df-4575-933d-d727e6a158bc</stp>
        <tr r="G3515" s="2"/>
      </tp>
    </main>
    <main first="rtdsrv_a82eb5a1fc404542a18b1336b70d2c4e">
      <tp>
        <v>5</v>
        <stp/>
        <stp>e7106998-07c6-474d-ae6d-52f633d6c597</stp>
        <tr r="G3666" s="2"/>
      </tp>
    </main>
    <main first="rtdsrv_a82eb5a1fc404542a18b1336b70d2c4e">
      <tp>
        <v>5</v>
        <stp/>
        <stp>a0a869e1-708b-442f-afd6-c836483dfdbc</stp>
        <tr r="G3232" s="2"/>
      </tp>
    </main>
    <main first="rtdsrv_a82eb5a1fc404542a18b1336b70d2c4e">
      <tp>
        <v>5</v>
        <stp/>
        <stp>05b053ba-cfa4-4bf2-b460-7050710cb834</stp>
        <tr r="G4898" s="2"/>
      </tp>
    </main>
    <main first="rtdsrv_a82eb5a1fc404542a18b1336b70d2c4e">
      <tp>
        <v>5</v>
        <stp/>
        <stp>c9a72d25-10bf-46c6-92ae-f16107586ee5</stp>
        <tr r="G7299" s="2"/>
      </tp>
    </main>
    <main first="rtdsrv_a82eb5a1fc404542a18b1336b70d2c4e">
      <tp>
        <v>5</v>
        <stp/>
        <stp>59e0652a-3a75-4e25-9367-f30d9f3ef1bc</stp>
        <tr r="G4866" s="2"/>
      </tp>
      <tp>
        <v>5</v>
        <stp/>
        <stp>69f961ad-0010-445d-84cd-e429d6b5eec5</stp>
        <tr r="G8498" s="2"/>
      </tp>
      <tp>
        <v>5</v>
        <stp/>
        <stp>530c88b8-2c36-4b8b-9681-8fb34e38181b</stp>
        <tr r="G9901" s="2"/>
      </tp>
    </main>
    <main first="rtdsrv_a82eb5a1fc404542a18b1336b70d2c4e">
      <tp>
        <v>5</v>
        <stp/>
        <stp>bec5f2a4-edfa-4407-8a19-3a29d88ec542</stp>
        <tr r="G5023" s="2"/>
      </tp>
    </main>
    <main first="rtdsrv_a82eb5a1fc404542a18b1336b70d2c4e">
      <tp>
        <v>5</v>
        <stp/>
        <stp>62957398-014b-4a41-a2c5-00270319b8f4</stp>
        <tr r="G4981" s="2"/>
      </tp>
    </main>
    <main first="rtdsrv_a82eb5a1fc404542a18b1336b70d2c4e">
      <tp>
        <v>5</v>
        <stp/>
        <stp>26f68a84-941d-4a62-9e29-b1a4f1cba602</stp>
        <tr r="G3155" s="2"/>
      </tp>
      <tp>
        <v>5</v>
        <stp/>
        <stp>031427c4-8a54-4aea-97aa-34c7ba27f1bf</stp>
        <tr r="G1642" s="2"/>
      </tp>
      <tp>
        <v>5</v>
        <stp/>
        <stp>7dc5c853-6df9-4127-b9cd-8feff7cfe71f</stp>
        <tr r="G5665" s="2"/>
      </tp>
      <tp>
        <v>5</v>
        <stp/>
        <stp>7320e913-c399-4fae-b5c4-08ad76e739a8</stp>
        <tr r="G7761" s="2"/>
      </tp>
      <tp>
        <v>5</v>
        <stp/>
        <stp>124e1b7b-3578-4cba-9ff6-c848210a95ee</stp>
        <tr r="G3445" s="2"/>
      </tp>
    </main>
    <main first="rtdsrv_a82eb5a1fc404542a18b1336b70d2c4e">
      <tp>
        <v>5</v>
        <stp/>
        <stp>0f723656-8254-4e95-8e6a-0e12d296bd88</stp>
        <tr r="G1344" s="2"/>
      </tp>
      <tp>
        <v>5</v>
        <stp/>
        <stp>d9019771-9612-4b7b-9afe-a8c9af4f05bd</stp>
        <tr r="G6985" s="2"/>
      </tp>
      <tp>
        <v>5</v>
        <stp/>
        <stp>46abde95-2055-4ebd-990c-ea82896f05d6</stp>
        <tr r="G65" s="2"/>
      </tp>
    </main>
    <main first="rtdsrv_a82eb5a1fc404542a18b1336b70d2c4e">
      <tp>
        <v>5</v>
        <stp/>
        <stp>6ffcef79-126d-4516-bb88-a29e60671e54</stp>
        <tr r="G7818" s="2"/>
      </tp>
    </main>
    <main first="rtdsrv_a82eb5a1fc404542a18b1336b70d2c4e">
      <tp>
        <v>5</v>
        <stp/>
        <stp>28e4fea0-b472-4b2c-946c-5ceea4210eeb</stp>
        <tr r="G9630" s="2"/>
      </tp>
      <tp>
        <v>5</v>
        <stp/>
        <stp>765451c5-567c-4724-9737-ffd649d3c26b</stp>
        <tr r="G4993" s="2"/>
      </tp>
      <tp>
        <v>5</v>
        <stp/>
        <stp>19129157-866b-4637-8451-2fec38117466</stp>
        <tr r="G528" s="2"/>
      </tp>
    </main>
    <main first="rtdsrv_a82eb5a1fc404542a18b1336b70d2c4e">
      <tp>
        <v>5</v>
        <stp/>
        <stp>2b01a483-9764-4281-a0df-d3352e01648d</stp>
        <tr r="G5386" s="2"/>
      </tp>
      <tp>
        <v>5</v>
        <stp/>
        <stp>9250b42c-4041-4cbd-aab5-5d4ec0a0a852</stp>
        <tr r="G6679" s="2"/>
      </tp>
    </main>
    <main first="rtdsrv_a82eb5a1fc404542a18b1336b70d2c4e">
      <tp>
        <v>5</v>
        <stp/>
        <stp>1b2c6f63-c028-4b82-acc6-fe1048ed3346</stp>
        <tr r="G5658" s="2"/>
      </tp>
    </main>
    <main first="rtdsrv_a82eb5a1fc404542a18b1336b70d2c4e">
      <tp>
        <v>5</v>
        <stp/>
        <stp>70c23bcd-6d7b-4b78-bcc7-5019711cef15</stp>
        <tr r="G5224" s="2"/>
      </tp>
      <tp>
        <v>5</v>
        <stp/>
        <stp>76807b85-ceeb-4eff-8794-cae25f3b07ec</stp>
        <tr r="G9970" s="2"/>
      </tp>
      <tp>
        <v>5</v>
        <stp/>
        <stp>55a4757e-4c0f-4392-962b-6955d1932d9e</stp>
        <tr r="G1807" s="2"/>
      </tp>
    </main>
    <main first="rtdsrv_a82eb5a1fc404542a18b1336b70d2c4e">
      <tp>
        <v>5</v>
        <stp/>
        <stp>d45e04d3-6a20-424f-a436-d606180ba5d1</stp>
        <tr r="G9709" s="2"/>
      </tp>
    </main>
    <main first="rtdsrv_a82eb5a1fc404542a18b1336b70d2c4e">
      <tp>
        <v>5</v>
        <stp/>
        <stp>0c15cd4b-26d2-41ac-b095-15a76aa45cd1</stp>
        <tr r="G2327" s="2"/>
      </tp>
      <tp>
        <v>5</v>
        <stp/>
        <stp>f125e944-38f4-4653-b428-85eaa247ae59</stp>
        <tr r="G4440" s="2"/>
      </tp>
      <tp>
        <v>5</v>
        <stp/>
        <stp>7449f96f-8d94-4302-84e0-232a49e680cd</stp>
        <tr r="G2584" s="2"/>
      </tp>
    </main>
    <main first="rtdsrv_a82eb5a1fc404542a18b1336b70d2c4e">
      <tp>
        <v>5</v>
        <stp/>
        <stp>9ab12f76-8031-4b9c-8855-b0c0f35962ed</stp>
        <tr r="G7367" s="2"/>
      </tp>
      <tp>
        <v>5</v>
        <stp/>
        <stp>9c7eaea4-0ced-4ddd-a780-105022f0d052</stp>
        <tr r="G153" s="2"/>
      </tp>
      <tp>
        <v>5</v>
        <stp/>
        <stp>c1733752-0fd1-4c12-a9ef-b92d365c46fc</stp>
        <tr r="G6430" s="2"/>
      </tp>
    </main>
    <main first="rtdsrv_a82eb5a1fc404542a18b1336b70d2c4e">
      <tp>
        <v>5</v>
        <stp/>
        <stp>b2277c9f-d213-4f7a-907b-7241e99f305f</stp>
        <tr r="G3396" s="2"/>
      </tp>
      <tp>
        <v>5</v>
        <stp/>
        <stp>a11ec5c6-bd4f-41d2-8d5f-39a306c1661c</stp>
        <tr r="G8158" s="2"/>
      </tp>
      <tp>
        <v>5</v>
        <stp/>
        <stp>2620b602-8331-46d2-972a-6ae08be13c30</stp>
        <tr r="G3447" s="2"/>
      </tp>
      <tp>
        <v>5</v>
        <stp/>
        <stp>ca75e10b-3a36-46b2-848e-e51a2a30beb0</stp>
        <tr r="G3128" s="2"/>
      </tp>
    </main>
    <main first="rtdsrv_a82eb5a1fc404542a18b1336b70d2c4e">
      <tp>
        <v>5</v>
        <stp/>
        <stp>c6e74acb-7264-435a-b9bb-bace19b28c40</stp>
        <tr r="G8507" s="2"/>
      </tp>
    </main>
    <main first="rtdsrv_a82eb5a1fc404542a18b1336b70d2c4e">
      <tp>
        <v>5</v>
        <stp/>
        <stp>79558f7d-0fa0-4a9a-b72a-be1ea6a3e765</stp>
        <tr r="G3815" s="2"/>
      </tp>
    </main>
    <main first="rtdsrv_a82eb5a1fc404542a18b1336b70d2c4e">
      <tp>
        <v>5</v>
        <stp/>
        <stp>a726a065-8b1c-4538-bc01-277e491e5a27</stp>
        <tr r="G3687" s="2"/>
      </tp>
    </main>
    <main first="rtdsrv_a82eb5a1fc404542a18b1336b70d2c4e">
      <tp>
        <v>5</v>
        <stp/>
        <stp>ff78544a-6c9d-445e-9861-3b2ef969046b</stp>
        <tr r="G1763" s="2"/>
      </tp>
      <tp>
        <v>5</v>
        <stp/>
        <stp>401c8864-7f04-426e-b10d-25c106ab81d7</stp>
        <tr r="G1361" s="2"/>
      </tp>
    </main>
    <main first="rtdsrv_a82eb5a1fc404542a18b1336b70d2c4e">
      <tp>
        <v>5</v>
        <stp/>
        <stp>2270472a-b26a-4c31-b2c8-5f6ac0ad28de</stp>
        <tr r="G4327" s="2"/>
      </tp>
      <tp>
        <v>5</v>
        <stp/>
        <stp>9294cfb3-bba9-49b6-8c03-708c0b8af96e</stp>
        <tr r="G8008" s="2"/>
      </tp>
    </main>
    <main first="rtdsrv_a82eb5a1fc404542a18b1336b70d2c4e">
      <tp>
        <v>5</v>
        <stp/>
        <stp>11eda137-8da6-4827-b658-ddab341551f0</stp>
        <tr r="G9346" s="2"/>
      </tp>
      <tp>
        <v>5</v>
        <stp/>
        <stp>e8b6d557-da6c-47d0-a207-4017f758859d</stp>
        <tr r="G32" s="2"/>
      </tp>
    </main>
    <main first="rtdsrv_a82eb5a1fc404542a18b1336b70d2c4e">
      <tp>
        <v>5</v>
        <stp/>
        <stp>fd8e25cc-271e-4d12-8370-65dff8fd90b9</stp>
        <tr r="G453" s="2"/>
      </tp>
    </main>
    <main first="rtdsrv_a82eb5a1fc404542a18b1336b70d2c4e">
      <tp>
        <v>5</v>
        <stp/>
        <stp>7e9df85c-b1f3-4002-8d02-1e6c93c3c0fe</stp>
        <tr r="G8046" s="2"/>
      </tp>
      <tp>
        <v>5</v>
        <stp/>
        <stp>a95b77c5-0a2e-4662-8859-fb03fcd4fcf2</stp>
        <tr r="G4930" s="2"/>
      </tp>
    </main>
    <main first="rtdsrv_a82eb5a1fc404542a18b1336b70d2c4e">
      <tp>
        <v>5</v>
        <stp/>
        <stp>19ed5ab3-f353-4c02-a9e8-9cbf2efb645b</stp>
        <tr r="G7216" s="2"/>
      </tp>
    </main>
    <main first="rtdsrv_a82eb5a1fc404542a18b1336b70d2c4e">
      <tp>
        <v>5</v>
        <stp/>
        <stp>091e9a48-f6cd-48e1-b147-23cffb8981b4</stp>
        <tr r="G8215" s="2"/>
      </tp>
    </main>
    <main first="rtdsrv_a82eb5a1fc404542a18b1336b70d2c4e">
      <tp>
        <v>5</v>
        <stp/>
        <stp>18256d25-2cd7-4ec8-bcd1-39de518f5a33</stp>
        <tr r="G7143" s="2"/>
      </tp>
      <tp>
        <v>5</v>
        <stp/>
        <stp>b95edfb7-a2dc-4221-8668-61aa1582cf93</stp>
        <tr r="G432" s="2"/>
      </tp>
      <tp>
        <v>5</v>
        <stp/>
        <stp>cd60724d-f2d7-486f-8be7-e447d88a2d68</stp>
        <tr r="G6640" s="2"/>
      </tp>
      <tp>
        <v>5</v>
        <stp/>
        <stp>996c00dc-1fa9-44e3-b357-6b89967ee114</stp>
        <tr r="G4845" s="2"/>
      </tp>
    </main>
    <main first="rtdsrv_a82eb5a1fc404542a18b1336b70d2c4e">
      <tp>
        <v>5</v>
        <stp/>
        <stp>9c3559e8-08a3-478f-91e4-7eb3cac7f6ec</stp>
        <tr r="G1356" s="2"/>
      </tp>
    </main>
    <main first="rtdsrv_a82eb5a1fc404542a18b1336b70d2c4e">
      <tp>
        <v>5</v>
        <stp/>
        <stp>6d71b847-5968-42f2-a416-e1f22b5cfba1</stp>
        <tr r="G3734" s="2"/>
      </tp>
    </main>
    <main first="rtdsrv_a82eb5a1fc404542a18b1336b70d2c4e">
      <tp>
        <v>5</v>
        <stp/>
        <stp>ea1f9796-6649-4f6b-8c27-e2b74adf281c</stp>
        <tr r="G1946" s="2"/>
      </tp>
    </main>
    <main first="rtdsrv_a82eb5a1fc404542a18b1336b70d2c4e">
      <tp>
        <v>5</v>
        <stp/>
        <stp>32c13865-e44c-444f-9118-cbfce65e874b</stp>
        <tr r="G9190" s="2"/>
      </tp>
      <tp>
        <v>5</v>
        <stp/>
        <stp>7519828f-867c-4fec-9aa1-d40a2d30b62a</stp>
        <tr r="G5901" s="2"/>
      </tp>
    </main>
    <main first="rtdsrv_a82eb5a1fc404542a18b1336b70d2c4e">
      <tp>
        <v>5</v>
        <stp/>
        <stp>f49df5a1-a5f3-4dd9-af11-dc04be78f5d9</stp>
        <tr r="G167" s="2"/>
      </tp>
    </main>
    <main first="rtdsrv_a82eb5a1fc404542a18b1336b70d2c4e">
      <tp>
        <v>5</v>
        <stp/>
        <stp>7d7f99e3-6113-4d53-8e79-1ded5a6b1162</stp>
        <tr r="G570" s="2"/>
      </tp>
    </main>
    <main first="rtdsrv_a82eb5a1fc404542a18b1336b70d2c4e">
      <tp>
        <v>5</v>
        <stp/>
        <stp>d3bb46d2-303a-4453-be62-49e3dc8df2f6</stp>
        <tr r="G3449" s="2"/>
      </tp>
      <tp>
        <v>5</v>
        <stp/>
        <stp>caa30c37-3a4e-4a33-8ca1-751aa58ee849</stp>
        <tr r="G4094" s="2"/>
      </tp>
    </main>
    <main first="rtdsrv_a82eb5a1fc404542a18b1336b70d2c4e">
      <tp>
        <v>5</v>
        <stp/>
        <stp>36b8f819-c70f-4ab7-866a-a4e9d49297f1</stp>
        <tr r="G5272" s="2"/>
      </tp>
    </main>
    <main first="rtdsrv_a82eb5a1fc404542a18b1336b70d2c4e">
      <tp>
        <v>5</v>
        <stp/>
        <stp>03e96726-6561-4f38-b7f7-a4a7f090232f</stp>
        <tr r="G5595" s="2"/>
      </tp>
    </main>
    <main first="rtdsrv_a82eb5a1fc404542a18b1336b70d2c4e">
      <tp>
        <v>5</v>
        <stp/>
        <stp>5fb030a3-e6a1-4ba2-8223-0ecab9ba648e</stp>
        <tr r="G3438" s="2"/>
      </tp>
      <tp>
        <v>5</v>
        <stp/>
        <stp>eb9cd425-3e3e-4edc-a685-3beee528723b</stp>
        <tr r="G2368" s="2"/>
      </tp>
    </main>
    <main first="rtdsrv_a82eb5a1fc404542a18b1336b70d2c4e">
      <tp>
        <v>5</v>
        <stp/>
        <stp>8a0c1942-a6cf-4165-a04f-bcc6e6989617</stp>
        <tr r="G2681" s="2"/>
      </tp>
      <tp>
        <v>5</v>
        <stp/>
        <stp>74f129e8-4c57-489e-8f61-a0c9b4283588</stp>
        <tr r="G1097" s="2"/>
      </tp>
      <tp>
        <v>5</v>
        <stp/>
        <stp>e781fb76-9e06-4f70-9b1b-0dee56181dd3</stp>
        <tr r="G2650" s="2"/>
      </tp>
    </main>
    <main first="rtdsrv_a82eb5a1fc404542a18b1336b70d2c4e">
      <tp>
        <v>5</v>
        <stp/>
        <stp>ff55aac1-c99a-4e60-ba11-643998c6d267</stp>
        <tr r="G350" s="2"/>
      </tp>
    </main>
    <main first="rtdsrv_a82eb5a1fc404542a18b1336b70d2c4e">
      <tp>
        <v>5</v>
        <stp/>
        <stp>ed31acdd-8047-49fd-a916-600a90ac6184</stp>
        <tr r="G4152" s="2"/>
      </tp>
    </main>
    <main first="rtdsrv_a82eb5a1fc404542a18b1336b70d2c4e">
      <tp>
        <v>5</v>
        <stp/>
        <stp>9dc2f821-1637-4997-871e-dff2709c4fe4</stp>
        <tr r="G5016" s="2"/>
      </tp>
    </main>
    <main first="rtdsrv_a82eb5a1fc404542a18b1336b70d2c4e">
      <tp>
        <v>5</v>
        <stp/>
        <stp>aa568c2d-df9b-4689-b233-b291b4a6f12d</stp>
        <tr r="G1950" s="2"/>
      </tp>
    </main>
    <main first="rtdsrv_a82eb5a1fc404542a18b1336b70d2c4e">
      <tp>
        <v>5</v>
        <stp/>
        <stp>02d3405e-4d66-4665-8f12-a97c8e0f0583</stp>
        <tr r="G6420" s="2"/>
      </tp>
      <tp>
        <v>5</v>
        <stp/>
        <stp>fa92478a-a5d9-4944-b78b-ee8e5a34fded</stp>
        <tr r="G1893" s="2"/>
      </tp>
      <tp>
        <v>5</v>
        <stp/>
        <stp>f7658a51-932b-44c0-a3b3-ef95ac79ac56</stp>
        <tr r="G8030" s="2"/>
      </tp>
    </main>
    <main first="rtdsrv_a82eb5a1fc404542a18b1336b70d2c4e">
      <tp>
        <v>5</v>
        <stp/>
        <stp>28329461-e0ca-4f8b-9dfd-885a279949de</stp>
        <tr r="G7988" s="2"/>
      </tp>
    </main>
    <main first="rtdsrv_a82eb5a1fc404542a18b1336b70d2c4e">
      <tp>
        <v>5</v>
        <stp/>
        <stp>d1297aa1-f7b6-4863-88eb-984d2282c135</stp>
        <tr r="G1616" s="2"/>
      </tp>
    </main>
    <main first="rtdsrv_a82eb5a1fc404542a18b1336b70d2c4e">
      <tp>
        <v>5</v>
        <stp/>
        <stp>a8a547a0-60bd-470a-bc7e-bf7d97cc3e8e</stp>
        <tr r="G7062" s="2"/>
      </tp>
    </main>
    <main first="rtdsrv_a82eb5a1fc404542a18b1336b70d2c4e">
      <tp>
        <v>5</v>
        <stp/>
        <stp>ecf3eb6d-3869-4b82-a655-c74ecae2885d</stp>
        <tr r="G4719" s="2"/>
      </tp>
    </main>
    <main first="rtdsrv_a82eb5a1fc404542a18b1336b70d2c4e">
      <tp>
        <v>5</v>
        <stp/>
        <stp>6fbd5b86-a694-4b42-838d-447922d7e2bc</stp>
        <tr r="G9092" s="2"/>
      </tp>
    </main>
    <main first="rtdsrv_a82eb5a1fc404542a18b1336b70d2c4e">
      <tp>
        <v>5</v>
        <stp/>
        <stp>6aaa1bc2-9c0e-4daa-99f3-7f036b956bbc</stp>
        <tr r="G3596" s="2"/>
      </tp>
      <tp>
        <v>5</v>
        <stp/>
        <stp>769a4364-a70a-4a73-b686-f8ee640e28ab</stp>
        <tr r="G9300" s="2"/>
      </tp>
      <tp>
        <v>5</v>
        <stp/>
        <stp>e837c4d3-193c-428c-8cf4-6ff9540dd16f</stp>
        <tr r="G2657" s="2"/>
      </tp>
    </main>
    <main first="rtdsrv_a82eb5a1fc404542a18b1336b70d2c4e">
      <tp>
        <v>5</v>
        <stp/>
        <stp>3c9a9abb-7ad2-4c1c-9090-9fd183a9ea57</stp>
        <tr r="G4725" s="2"/>
      </tp>
    </main>
    <main first="rtdsrv_a82eb5a1fc404542a18b1336b70d2c4e">
      <tp>
        <v>5</v>
        <stp/>
        <stp>49f41dca-e8a4-4823-b841-9c0274ed83c7</stp>
        <tr r="G9280" s="2"/>
      </tp>
    </main>
    <main first="rtdsrv_a82eb5a1fc404542a18b1336b70d2c4e">
      <tp>
        <v>5</v>
        <stp/>
        <stp>8db9ebad-3fa3-45a8-bc19-b63bdd0ee5e3</stp>
        <tr r="G9503" s="2"/>
      </tp>
    </main>
    <main first="rtdsrv_a82eb5a1fc404542a18b1336b70d2c4e">
      <tp>
        <v>5</v>
        <stp/>
        <stp>82adcd51-4dd5-46dc-94f5-b004c56e0995</stp>
        <tr r="G4396" s="2"/>
      </tp>
      <tp>
        <v>5</v>
        <stp/>
        <stp>58692f80-20ee-41c0-987f-23b46682b59d</stp>
        <tr r="G459" s="2"/>
      </tp>
    </main>
    <main first="rtdsrv_a82eb5a1fc404542a18b1336b70d2c4e">
      <tp>
        <v>5</v>
        <stp/>
        <stp>c9ccad21-f5fc-4c2b-82c5-f0889a0190bf</stp>
        <tr r="G7545" s="2"/>
      </tp>
    </main>
    <main first="rtdsrv_a82eb5a1fc404542a18b1336b70d2c4e">
      <tp>
        <v>5</v>
        <stp/>
        <stp>30ff824e-3220-4442-83fe-262160511891</stp>
        <tr r="G4872" s="2"/>
      </tp>
    </main>
    <main first="rtdsrv_a82eb5a1fc404542a18b1336b70d2c4e">
      <tp>
        <v>5</v>
        <stp/>
        <stp>4edafcb0-17c2-446b-9c81-bf2af3050c9e</stp>
        <tr r="G993" s="2"/>
      </tp>
    </main>
    <main first="rtdsrv_a82eb5a1fc404542a18b1336b70d2c4e">
      <tp>
        <v>5</v>
        <stp/>
        <stp>bfaa9cb8-adfd-423d-b500-68994a6f22ce</stp>
        <tr r="G7239" s="2"/>
      </tp>
    </main>
    <main first="rtdsrv_a82eb5a1fc404542a18b1336b70d2c4e">
      <tp>
        <v>5</v>
        <stp/>
        <stp>3f6fff0e-089f-457a-9180-1d3192cc2de9</stp>
        <tr r="G9652" s="2"/>
      </tp>
    </main>
    <main first="rtdsrv_a82eb5a1fc404542a18b1336b70d2c4e">
      <tp>
        <v>5</v>
        <stp/>
        <stp>ab960280-8aa1-44c6-9fe4-15e53c8b162f</stp>
        <tr r="G4392" s="2"/>
      </tp>
    </main>
    <main first="rtdsrv_a82eb5a1fc404542a18b1336b70d2c4e">
      <tp>
        <v>5</v>
        <stp/>
        <stp>24b18d6b-a75c-4e11-a6ca-09b19c6fbbb2</stp>
        <tr r="G5168" s="2"/>
      </tp>
    </main>
    <main first="rtdsrv_a82eb5a1fc404542a18b1336b70d2c4e">
      <tp>
        <v>5</v>
        <stp/>
        <stp>aa3899ac-5f40-4867-b3a5-740d413f0e64</stp>
        <tr r="G9359" s="2"/>
      </tp>
    </main>
    <main first="rtdsrv_a82eb5a1fc404542a18b1336b70d2c4e">
      <tp>
        <v>5</v>
        <stp/>
        <stp>a8fa2a38-38e9-4962-88b5-643353f06f91</stp>
        <tr r="G1872" s="2"/>
      </tp>
      <tp>
        <v>5</v>
        <stp/>
        <stp>d98d0d1d-cf46-4a33-ac5f-3b69b8276995</stp>
        <tr r="G4501" s="2"/>
      </tp>
    </main>
    <main first="rtdsrv_a82eb5a1fc404542a18b1336b70d2c4e">
      <tp>
        <v>5</v>
        <stp/>
        <stp>9abc53c0-e12e-451e-8b06-11cd987a40fc</stp>
        <tr r="G8081" s="2"/>
      </tp>
      <tp>
        <v>5</v>
        <stp/>
        <stp>981ece3d-e41b-480b-9f5d-ac7a6af56672</stp>
        <tr r="G4132" s="2"/>
      </tp>
    </main>
    <main first="rtdsrv_a82eb5a1fc404542a18b1336b70d2c4e">
      <tp>
        <v>5</v>
        <stp/>
        <stp>7e6aaa0a-cc9a-4da8-9ed4-1f24e63b10e7</stp>
        <tr r="G2652" s="2"/>
      </tp>
      <tp>
        <v>5</v>
        <stp/>
        <stp>8b1dbe23-6b80-456e-9744-a76d192135d3</stp>
        <tr r="G7743" s="2"/>
      </tp>
      <tp>
        <v>5</v>
        <stp/>
        <stp>ee7f319d-ab48-4fe2-8f82-f0db2793cc68</stp>
        <tr r="G4115" s="2"/>
      </tp>
      <tp>
        <v>5</v>
        <stp/>
        <stp>2e2dace1-c229-40f7-bf02-192beb2eabb1</stp>
        <tr r="G2804" s="2"/>
      </tp>
      <tp>
        <v>5</v>
        <stp/>
        <stp>ee612b0d-effd-49d0-9b86-56449554f2b0</stp>
        <tr r="G1152" s="2"/>
      </tp>
    </main>
    <main first="rtdsrv_a82eb5a1fc404542a18b1336b70d2c4e">
      <tp>
        <v>5</v>
        <stp/>
        <stp>fe91e0bd-3fc9-4e8f-88da-5f8c680a7aaf</stp>
        <tr r="G6558" s="2"/>
      </tp>
      <tp>
        <v>5</v>
        <stp/>
        <stp>6a3ea37b-6292-4217-93e6-21463961de79</stp>
        <tr r="G4326" s="2"/>
      </tp>
    </main>
    <main first="rtdsrv_a82eb5a1fc404542a18b1336b70d2c4e">
      <tp>
        <v>5</v>
        <stp/>
        <stp>6bc842d6-10d3-4480-9b98-ad995c391401</stp>
        <tr r="G3459" s="2"/>
      </tp>
      <tp>
        <v>5</v>
        <stp/>
        <stp>140a4a31-6ae8-4510-9aae-fef40458f8ab</stp>
        <tr r="G6011" s="2"/>
      </tp>
      <tp>
        <v>5</v>
        <stp/>
        <stp>1d6aa98e-cf87-4cc9-97d0-56b5c88b967f</stp>
        <tr r="G7262" s="2"/>
      </tp>
    </main>
    <main first="rtdsrv_a82eb5a1fc404542a18b1336b70d2c4e">
      <tp>
        <v>5</v>
        <stp/>
        <stp>51377614-9437-4f28-9663-7141896b4c2b</stp>
        <tr r="G5350" s="2"/>
      </tp>
    </main>
    <main first="rtdsrv_a82eb5a1fc404542a18b1336b70d2c4e">
      <tp>
        <v>5</v>
        <stp/>
        <stp>a0b839c0-fea8-4d31-b22c-572e1f71bf7b</stp>
        <tr r="G7322" s="2"/>
      </tp>
      <tp>
        <v>5</v>
        <stp/>
        <stp>253a8b70-1eae-4aaa-9c2c-572558700a27</stp>
        <tr r="G2786" s="2"/>
      </tp>
    </main>
    <main first="rtdsrv_a82eb5a1fc404542a18b1336b70d2c4e">
      <tp>
        <v>5</v>
        <stp/>
        <stp>b18a6396-313a-4302-b6c2-003058afa3fa</stp>
        <tr r="G1804" s="2"/>
      </tp>
      <tp>
        <v>5</v>
        <stp/>
        <stp>a1381746-5c9c-4365-9183-cdbe6ebb0da9</stp>
        <tr r="G4167" s="2"/>
      </tp>
      <tp>
        <v>5</v>
        <stp/>
        <stp>fd3196bd-5cdd-43fa-8b34-e2e008a3fd45</stp>
        <tr r="G9625" s="2"/>
      </tp>
    </main>
    <main first="rtdsrv_a82eb5a1fc404542a18b1336b70d2c4e">
      <tp>
        <v>5</v>
        <stp/>
        <stp>8bcd6d29-0ed7-40da-b75f-e9575cb69c3d</stp>
        <tr r="G6586" s="2"/>
      </tp>
    </main>
    <main first="rtdsrv_a82eb5a1fc404542a18b1336b70d2c4e">
      <tp>
        <v>5</v>
        <stp/>
        <stp>f5c7fc92-6433-4383-b2f7-a8bf6441cb98</stp>
        <tr r="G6873" s="2"/>
      </tp>
    </main>
    <main first="rtdsrv_a82eb5a1fc404542a18b1336b70d2c4e">
      <tp>
        <v>5</v>
        <stp/>
        <stp>1a3d73ce-a64d-47bb-a625-a821fec8ae4a</stp>
        <tr r="G9718" s="2"/>
      </tp>
      <tp>
        <v>5</v>
        <stp/>
        <stp>c8bc2a9e-19a8-46bc-ba0e-e2401f5bc405</stp>
        <tr r="G881" s="2"/>
      </tp>
    </main>
    <main first="rtdsrv_a82eb5a1fc404542a18b1336b70d2c4e">
      <tp>
        <v>5</v>
        <stp/>
        <stp>36d3e311-33d5-49bb-9528-8195d870f4f3</stp>
        <tr r="G2760" s="2"/>
      </tp>
      <tp>
        <v>5</v>
        <stp/>
        <stp>90e68631-750e-4fb9-ac52-1b3d01f31524</stp>
        <tr r="G4143" s="2"/>
      </tp>
      <tp>
        <v>5</v>
        <stp/>
        <stp>ea3b3e2b-0f7b-4daa-a0c7-0dee19580062</stp>
        <tr r="G2490" s="2"/>
      </tp>
    </main>
    <main first="rtdsrv_a82eb5a1fc404542a18b1336b70d2c4e">
      <tp>
        <v>5</v>
        <stp/>
        <stp>11b68b2f-2419-4324-bbfb-ed5bd465e82c</stp>
        <tr r="G6372" s="2"/>
      </tp>
      <tp>
        <v>5</v>
        <stp/>
        <stp>cf2d4dd2-8d1e-41a3-958f-38a8ee3b7717</stp>
        <tr r="G5510" s="2"/>
      </tp>
      <tp>
        <v>5</v>
        <stp/>
        <stp>fd67adfe-8db1-4577-abe7-6d2d5b7ba71a</stp>
        <tr r="G8020" s="2"/>
      </tp>
    </main>
    <main first="rtdsrv_a82eb5a1fc404542a18b1336b70d2c4e">
      <tp>
        <v>5</v>
        <stp/>
        <stp>5902380b-166a-4bf0-8a53-20753ff438c0</stp>
        <tr r="G9140" s="2"/>
      </tp>
    </main>
    <main first="rtdsrv_a82eb5a1fc404542a18b1336b70d2c4e">
      <tp>
        <v>5</v>
        <stp/>
        <stp>8b00b774-c1d3-4139-a211-e40352089c05</stp>
        <tr r="G6611" s="2"/>
      </tp>
      <tp>
        <v>5</v>
        <stp/>
        <stp>68281751-3e4b-4b96-b880-02e08b9a999d</stp>
        <tr r="G3704" s="2"/>
      </tp>
      <tp>
        <v>5</v>
        <stp/>
        <stp>83bb4156-0b15-4c89-94db-bae76707bb57</stp>
        <tr r="G8164" s="2"/>
      </tp>
    </main>
    <main first="rtdsrv_a82eb5a1fc404542a18b1336b70d2c4e">
      <tp>
        <v>5</v>
        <stp/>
        <stp>cec9694f-477a-4457-b015-34212cd85b4c</stp>
        <tr r="G6229" s="2"/>
      </tp>
    </main>
    <main first="rtdsrv_a82eb5a1fc404542a18b1336b70d2c4e">
      <tp>
        <v>5</v>
        <stp/>
        <stp>0924dd0c-5b2c-475b-a74c-c62b9d309756</stp>
        <tr r="G5654" s="2"/>
      </tp>
      <tp>
        <v>5</v>
        <stp/>
        <stp>6b1437cb-214e-4bd2-a5c7-7a6e080da4e0</stp>
        <tr r="G3428" s="2"/>
      </tp>
      <tp>
        <v>5</v>
        <stp/>
        <stp>66a9cc74-f59d-441d-ba02-28b587bfc3fc</stp>
        <tr r="G1497" s="2"/>
      </tp>
    </main>
    <main first="rtdsrv_a82eb5a1fc404542a18b1336b70d2c4e">
      <tp>
        <v>5</v>
        <stp/>
        <stp>0bfb2413-a388-4e22-a484-31b73d011356</stp>
        <tr r="G767" s="2"/>
      </tp>
      <tp>
        <v>5</v>
        <stp/>
        <stp>afdd4fe2-cce8-4cf8-88aa-5a2e60b6b0dd</stp>
        <tr r="G5684" s="2"/>
      </tp>
      <tp>
        <v>5</v>
        <stp/>
        <stp>fce8debb-93f5-4adc-9f7a-1ce64d636719</stp>
        <tr r="G1744" s="2"/>
      </tp>
      <tp>
        <v>5</v>
        <stp/>
        <stp>542796cb-fc7b-48f2-a18e-e71c20e1d241</stp>
        <tr r="G1276" s="2"/>
      </tp>
      <tp>
        <v>5</v>
        <stp/>
        <stp>6067244b-e840-45a2-915a-4154e88e94ad</stp>
        <tr r="G5161" s="2"/>
      </tp>
      <tp>
        <v>5</v>
        <stp/>
        <stp>4be83e43-7c89-409f-af32-487af3d0f5c7</stp>
        <tr r="G3752" s="2"/>
      </tp>
    </main>
    <main first="rtdsrv_a82eb5a1fc404542a18b1336b70d2c4e">
      <tp>
        <v>5</v>
        <stp/>
        <stp>896afacb-bb10-48ab-9550-a805f71cf96e</stp>
        <tr r="G5260" s="2"/>
      </tp>
      <tp>
        <v>5</v>
        <stp/>
        <stp>deb2bbd5-1630-476b-a454-45f61766f8dc</stp>
        <tr r="G4076" s="2"/>
      </tp>
      <tp>
        <v>5</v>
        <stp/>
        <stp>e655a257-611a-420b-afc9-590b9b86b305</stp>
        <tr r="G5521" s="2"/>
      </tp>
      <tp>
        <v>5</v>
        <stp/>
        <stp>9df4fafb-da86-45d6-bdf5-d8451ed87745</stp>
        <tr r="G6185" s="2"/>
      </tp>
      <tp>
        <v>5</v>
        <stp/>
        <stp>c66a0cc9-04f1-4878-ad39-ab1af1876fa2</stp>
        <tr r="G9180" s="2"/>
      </tp>
    </main>
    <main first="rtdsrv_a82eb5a1fc404542a18b1336b70d2c4e">
      <tp>
        <v>5</v>
        <stp/>
        <stp>d934bd3d-07e0-4280-830f-9b1e925a8fe4</stp>
        <tr r="G4079" s="2"/>
      </tp>
    </main>
    <main first="rtdsrv_a82eb5a1fc404542a18b1336b70d2c4e">
      <tp>
        <v>5</v>
        <stp/>
        <stp>0d420796-8653-4671-91a1-dc656a826b43</stp>
        <tr r="G6575" s="2"/>
      </tp>
    </main>
    <main first="rtdsrv_a82eb5a1fc404542a18b1336b70d2c4e">
      <tp>
        <v>5</v>
        <stp/>
        <stp>dbf788a0-9927-4565-a79d-7aaeb4366a8f</stp>
        <tr r="G6527" s="2"/>
      </tp>
    </main>
    <main first="rtdsrv_a82eb5a1fc404542a18b1336b70d2c4e">
      <tp>
        <v>5</v>
        <stp/>
        <stp>d32383da-93f0-491f-be43-91f9f3805280</stp>
        <tr r="G4310" s="2"/>
      </tp>
      <tp>
        <v>5</v>
        <stp/>
        <stp>b00739f9-e41b-4bff-8cc3-15093e49ebe4</stp>
        <tr r="G5493" s="2"/>
      </tp>
    </main>
    <main first="rtdsrv_a82eb5a1fc404542a18b1336b70d2c4e">
      <tp>
        <v>5</v>
        <stp/>
        <stp>ea9c5eee-2f0a-4368-a735-a85fef9cc832</stp>
        <tr r="G8300" s="2"/>
      </tp>
      <tp>
        <v>5</v>
        <stp/>
        <stp>59825792-053b-42e4-a13a-cfe4f579c170</stp>
        <tr r="G1438" s="2"/>
      </tp>
      <tp>
        <v>5</v>
        <stp/>
        <stp>68e3ea63-6c27-4463-b807-83f7a1b70539</stp>
        <tr r="G5525" s="2"/>
      </tp>
      <tp>
        <v>5</v>
        <stp/>
        <stp>31fcc05d-dce9-4703-a8c5-c55bc8f84cf0</stp>
        <tr r="G2217" s="2"/>
      </tp>
      <tp>
        <v>5</v>
        <stp/>
        <stp>e7389759-915d-444c-9bdd-6c25377411ff</stp>
        <tr r="G834" s="2"/>
      </tp>
    </main>
    <main first="rtdsrv_a82eb5a1fc404542a18b1336b70d2c4e">
      <tp>
        <v>5</v>
        <stp/>
        <stp>4cfaaf52-978c-40bf-a610-0fed33249e34</stp>
        <tr r="G4072" s="2"/>
      </tp>
      <tp>
        <v>5</v>
        <stp/>
        <stp>4c7eacda-825a-45b5-891e-54df404efcda</stp>
        <tr r="G4995" s="2"/>
      </tp>
    </main>
    <main first="rtdsrv_a82eb5a1fc404542a18b1336b70d2c4e">
      <tp>
        <v>5</v>
        <stp/>
        <stp>e61ebbbf-c32b-4e10-b380-d013b2ebdf5b</stp>
        <tr r="G579" s="2"/>
      </tp>
    </main>
    <main first="rtdsrv_a82eb5a1fc404542a18b1336b70d2c4e">
      <tp>
        <v>5</v>
        <stp/>
        <stp>0d531dd8-4c87-4aa4-ac4d-6f7c49e6705e</stp>
        <tr r="G5171" s="2"/>
      </tp>
      <tp>
        <v>5</v>
        <stp/>
        <stp>149268ce-698c-4ec0-82d7-4dbc271ddf68</stp>
        <tr r="G1132" s="2"/>
      </tp>
      <tp>
        <v>5</v>
        <stp/>
        <stp>0c437106-81a5-4eac-ace7-94d6d1da5239</stp>
        <tr r="G2963" s="2"/>
      </tp>
      <tp>
        <v>5</v>
        <stp/>
        <stp>959cf616-4cdc-45ec-86e6-c0c47b604896</stp>
        <tr r="G5522" s="2"/>
      </tp>
      <tp>
        <v>5</v>
        <stp/>
        <stp>845c4e00-3836-4353-9550-a4f6a2b1a98b</stp>
        <tr r="G4472" s="2"/>
      </tp>
    </main>
    <main first="rtdsrv_a82eb5a1fc404542a18b1336b70d2c4e">
      <tp>
        <v>5</v>
        <stp/>
        <stp>f0c85716-d62d-4c7d-a2c1-e863cbe68e72</stp>
        <tr r="G6477" s="2"/>
      </tp>
    </main>
    <main first="rtdsrv_a82eb5a1fc404542a18b1336b70d2c4e">
      <tp>
        <v>5</v>
        <stp/>
        <stp>b253e9ac-2175-4cca-9e4e-8d788c4fb025</stp>
        <tr r="G2634" s="2"/>
      </tp>
      <tp>
        <v>5</v>
        <stp/>
        <stp>52df84ab-d8c3-44d4-b072-20808976b31e</stp>
        <tr r="G5190" s="2"/>
      </tp>
      <tp>
        <v>5</v>
        <stp/>
        <stp>5816c533-c44a-4ca5-bf26-c5f6e24035cd</stp>
        <tr r="G1051" s="2"/>
      </tp>
      <tp>
        <v>5</v>
        <stp/>
        <stp>cf6d1774-351f-48be-8a3c-8b33d97854b6</stp>
        <tr r="G187" s="2"/>
      </tp>
      <tp>
        <v>5</v>
        <stp/>
        <stp>b061b3a8-0c4d-4379-8197-5d35b87fa468</stp>
        <tr r="G849" s="2"/>
      </tp>
      <tp>
        <v>5</v>
        <stp/>
        <stp>946ab7ba-9e3f-4005-856a-57daea730424</stp>
        <tr r="G7617" s="2"/>
      </tp>
    </main>
    <main first="rtdsrv_a82eb5a1fc404542a18b1336b70d2c4e">
      <tp>
        <v>5</v>
        <stp/>
        <stp>fe77bc27-8b80-4d5e-a5b0-0d7775edc346</stp>
        <tr r="G5506" s="2"/>
      </tp>
      <tp>
        <v>5</v>
        <stp/>
        <stp>13c88a21-5bb7-49bc-8fe4-494a2235f128</stp>
        <tr r="G1595" s="2"/>
      </tp>
      <tp>
        <v>5</v>
        <stp/>
        <stp>62c44fc9-175c-449e-8897-964bac0d4762</stp>
        <tr r="G4214" s="2"/>
      </tp>
      <tp>
        <v>5</v>
        <stp/>
        <stp>fc84c04d-8de1-4f6d-b0b3-fd127baf509f</stp>
        <tr r="G5004" s="2"/>
      </tp>
      <tp>
        <v>5</v>
        <stp/>
        <stp>524682a6-8b03-43a2-8132-ed33f1308775</stp>
        <tr r="G590" s="2"/>
      </tp>
      <tp>
        <v>5</v>
        <stp/>
        <stp>3ed8c5d4-673e-4df7-b19b-8d4ab5b35b1e</stp>
        <tr r="G4404" s="2"/>
      </tp>
      <tp>
        <v>5</v>
        <stp/>
        <stp>b94a86a4-7cbc-45a3-9c0d-9ac37b2e3c1d</stp>
        <tr r="G270" s="2"/>
      </tp>
    </main>
    <main first="rtdsrv_a82eb5a1fc404542a18b1336b70d2c4e">
      <tp>
        <v>5</v>
        <stp/>
        <stp>63fe1df0-ab54-4d34-b69c-a6e2c2bd5d4a</stp>
        <tr r="G8487" s="2"/>
      </tp>
      <tp>
        <v>5</v>
        <stp/>
        <stp>fd5f05b3-7d9f-4f37-88d2-093b2d604361</stp>
        <tr r="G2325" s="2"/>
      </tp>
    </main>
    <main first="rtdsrv_a82eb5a1fc404542a18b1336b70d2c4e">
      <tp>
        <v>5</v>
        <stp/>
        <stp>8a3ee31e-a801-4e45-8b98-adb0aabeba0e</stp>
        <tr r="G4530" s="2"/>
      </tp>
    </main>
    <main first="rtdsrv_a82eb5a1fc404542a18b1336b70d2c4e">
      <tp>
        <v>5</v>
        <stp/>
        <stp>19215770-dfd4-46d5-9b3a-c57007f175a3</stp>
        <tr r="G8162" s="2"/>
      </tp>
    </main>
    <main first="rtdsrv_a82eb5a1fc404542a18b1336b70d2c4e">
      <tp>
        <v>5</v>
        <stp/>
        <stp>135901e4-8056-4008-9e34-c385ea9558f3</stp>
        <tr r="G1510" s="2"/>
      </tp>
      <tp>
        <v>5</v>
        <stp/>
        <stp>6aa88f61-3df5-4bf6-9142-00dd6d0979fe</stp>
        <tr r="G5486" s="2"/>
      </tp>
      <tp>
        <v>5</v>
        <stp/>
        <stp>9830dc1c-4377-4809-a48e-2ad07ef0c1e1</stp>
        <tr r="G4839" s="2"/>
      </tp>
      <tp>
        <v>5</v>
        <stp/>
        <stp>440ea6cb-1888-420b-b75d-4c7aee98e928</stp>
        <tr r="G3151" s="2"/>
      </tp>
      <tp>
        <v>5</v>
        <stp/>
        <stp>fee23301-8707-4637-8cfa-042024769d54</stp>
        <tr r="G5033" s="2"/>
      </tp>
    </main>
    <main first="rtdsrv_a82eb5a1fc404542a18b1336b70d2c4e">
      <tp>
        <v>5</v>
        <stp/>
        <stp>d0ee84de-556a-4642-a283-2dd375c7d131</stp>
        <tr r="G9399" s="2"/>
      </tp>
    </main>
    <main first="rtdsrv_a82eb5a1fc404542a18b1336b70d2c4e">
      <tp>
        <v>5</v>
        <stp/>
        <stp>4e6a3804-f096-4c12-84f6-ce1d27aeafcf</stp>
        <tr r="G2756" s="2"/>
      </tp>
      <tp>
        <v>5</v>
        <stp/>
        <stp>a7aa4b48-bc8b-4cd4-ac0a-c7bd7fb759da</stp>
        <tr r="G6894" s="2"/>
      </tp>
      <tp>
        <v>5</v>
        <stp/>
        <stp>ccaeec8f-9bac-41cf-ba36-a0c3c59392db</stp>
        <tr r="G3037" s="2"/>
      </tp>
      <tp>
        <v>5</v>
        <stp/>
        <stp>395e252b-2cfc-44c2-921f-babf11f5c65c</stp>
        <tr r="G1262" s="2"/>
      </tp>
    </main>
    <main first="rtdsrv_a82eb5a1fc404542a18b1336b70d2c4e">
      <tp>
        <v>5</v>
        <stp/>
        <stp>438d631d-cb63-4e03-af4e-f9e5f6b430e0</stp>
        <tr r="G6381" s="2"/>
      </tp>
    </main>
    <main first="rtdsrv_a82eb5a1fc404542a18b1336b70d2c4e">
      <tp>
        <v>5</v>
        <stp/>
        <stp>ff5a4f8e-90a1-4c52-9d5b-3e957b325b97</stp>
        <tr r="G6850" s="2"/>
      </tp>
    </main>
    <main first="rtdsrv_a82eb5a1fc404542a18b1336b70d2c4e">
      <tp>
        <v>5</v>
        <stp/>
        <stp>a8bbfbb5-fe56-42d1-9964-bc56c093231e</stp>
        <tr r="G4894" s="2"/>
      </tp>
      <tp>
        <v>5</v>
        <stp/>
        <stp>2bb63b90-3f2f-4238-ae4b-1cbcaab70f39</stp>
        <tr r="G4142" s="2"/>
      </tp>
    </main>
    <main first="rtdsrv_a82eb5a1fc404542a18b1336b70d2c4e">
      <tp>
        <v>5</v>
        <stp/>
        <stp>a4ecee68-8ed2-419b-afb6-9f149fe6e282</stp>
        <tr r="G9305" s="2"/>
      </tp>
    </main>
    <main first="rtdsrv_a82eb5a1fc404542a18b1336b70d2c4e">
      <tp>
        <v>5</v>
        <stp/>
        <stp>da0b5680-2895-4769-8320-5d8f3243aca7</stp>
        <tr r="G6844" s="2"/>
      </tp>
    </main>
    <main first="rtdsrv_a82eb5a1fc404542a18b1336b70d2c4e">
      <tp>
        <v>5</v>
        <stp/>
        <stp>7caf6e92-6002-4cec-8c0b-3b083bf60813</stp>
        <tr r="G4351" s="2"/>
      </tp>
    </main>
    <main first="rtdsrv_a82eb5a1fc404542a18b1336b70d2c4e">
      <tp>
        <v>5</v>
        <stp/>
        <stp>812db35b-b6f8-4dc1-859e-75406d4acb9c</stp>
        <tr r="G6070" s="2"/>
      </tp>
      <tp>
        <v>5</v>
        <stp/>
        <stp>d0a75d4b-3f25-4bc1-b69c-7589213cd062</stp>
        <tr r="G5890" s="2"/>
      </tp>
    </main>
    <main first="rtdsrv_a82eb5a1fc404542a18b1336b70d2c4e">
      <tp>
        <v>5</v>
        <stp/>
        <stp>f931cd6b-6fef-4816-a137-4e823413fd0f</stp>
        <tr r="G4060" s="2"/>
      </tp>
    </main>
    <main first="rtdsrv_a82eb5a1fc404542a18b1336b70d2c4e">
      <tp>
        <v>5</v>
        <stp/>
        <stp>b99ffefc-aecd-4ee5-8560-a6fd0195bb8c</stp>
        <tr r="G3298" s="2"/>
      </tp>
    </main>
    <main first="rtdsrv_a82eb5a1fc404542a18b1336b70d2c4e">
      <tp>
        <v>5</v>
        <stp/>
        <stp>52708920-94a3-4fb8-93e5-fd49d58baee1</stp>
        <tr r="G20" s="2"/>
      </tp>
    </main>
    <main first="rtdsrv_a82eb5a1fc404542a18b1336b70d2c4e">
      <tp>
        <v>5</v>
        <stp/>
        <stp>f73a20c5-d3f9-4258-ab5c-c5bc0181617e</stp>
        <tr r="G5934" s="2"/>
      </tp>
      <tp>
        <v>5</v>
        <stp/>
        <stp>ce1bce20-5bba-49d7-baed-4698f80772a3</stp>
        <tr r="G4958" s="2"/>
      </tp>
      <tp>
        <v>5</v>
        <stp/>
        <stp>cebd218a-b0ed-4770-986a-0948f7047eb2</stp>
        <tr r="G8485" s="2"/>
      </tp>
    </main>
    <main first="rtdsrv_a82eb5a1fc404542a18b1336b70d2c4e">
      <tp>
        <v>5</v>
        <stp/>
        <stp>3ae89788-703c-4c80-9a26-bc0b59db7bb7</stp>
        <tr r="G8221" s="2"/>
      </tp>
    </main>
    <main first="rtdsrv_a82eb5a1fc404542a18b1336b70d2c4e">
      <tp>
        <v>5</v>
        <stp/>
        <stp>8a8bd8e6-2fc8-411b-bc00-3d6c66c24003</stp>
        <tr r="G2005" s="2"/>
      </tp>
    </main>
    <main first="rtdsrv_a82eb5a1fc404542a18b1336b70d2c4e">
      <tp>
        <v>5</v>
        <stp/>
        <stp>0f19efab-0d7d-443e-a458-57b848f634f0</stp>
        <tr r="G21" s="2"/>
      </tp>
    </main>
    <main first="rtdsrv_a82eb5a1fc404542a18b1336b70d2c4e">
      <tp>
        <v>5</v>
        <stp/>
        <stp>f74ee352-d6c5-42d5-bfca-28044f89630f</stp>
        <tr r="G5710" s="2"/>
      </tp>
      <tp>
        <v>5</v>
        <stp/>
        <stp>697b6f7d-afb1-42eb-8bc6-fb8c22cea4ec</stp>
        <tr r="G5838" s="2"/>
      </tp>
      <tp>
        <v>5</v>
        <stp/>
        <stp>3d45e7a6-57de-42fa-a88c-bd39579b77e9</stp>
        <tr r="G5141" s="2"/>
      </tp>
    </main>
    <main first="rtdsrv_a82eb5a1fc404542a18b1336b70d2c4e">
      <tp>
        <v>5</v>
        <stp/>
        <stp>f78e2011-7d80-4cfa-ba30-b35d58c2d2ee</stp>
        <tr r="G6330" s="2"/>
      </tp>
      <tp>
        <v>5</v>
        <stp/>
        <stp>49bac042-df77-4e6b-91a7-05f3d686367d</stp>
        <tr r="G7103" s="2"/>
      </tp>
    </main>
    <main first="rtdsrv_a82eb5a1fc404542a18b1336b70d2c4e">
      <tp>
        <v>5</v>
        <stp/>
        <stp>0d5e7b6d-8be5-4411-9da8-cb7cedbeb3b4</stp>
        <tr r="G987" s="2"/>
      </tp>
    </main>
    <main first="rtdsrv_a82eb5a1fc404542a18b1336b70d2c4e">
      <tp>
        <v>5</v>
        <stp/>
        <stp>09a2283d-a615-4601-9899-fddbd6357ae9</stp>
        <tr r="G5898" s="2"/>
      </tp>
      <tp>
        <v>5</v>
        <stp/>
        <stp>915f01e6-18d0-49f3-a8c0-685c8c287a07</stp>
        <tr r="G5037" s="2"/>
      </tp>
    </main>
    <main first="rtdsrv_a82eb5a1fc404542a18b1336b70d2c4e">
      <tp>
        <v>5</v>
        <stp/>
        <stp>4436e73e-83d7-41e4-878d-67b639b4ab83</stp>
        <tr r="G8019" s="2"/>
      </tp>
      <tp>
        <v>5</v>
        <stp/>
        <stp>90f68e43-9716-436f-bfea-2c99c37cbde6</stp>
        <tr r="G4545" s="2"/>
      </tp>
    </main>
    <main first="rtdsrv_a82eb5a1fc404542a18b1336b70d2c4e">
      <tp>
        <v>5</v>
        <stp/>
        <stp>f8a4a281-fcca-4fb0-b12d-05abcb450bdd</stp>
        <tr r="G8271" s="2"/>
      </tp>
    </main>
    <main first="rtdsrv_a82eb5a1fc404542a18b1336b70d2c4e">
      <tp>
        <v>5</v>
        <stp/>
        <stp>a535d07b-ccac-4b44-bb38-01f393a0987f</stp>
        <tr r="G3171" s="2"/>
      </tp>
    </main>
    <main first="rtdsrv_a82eb5a1fc404542a18b1336b70d2c4e">
      <tp>
        <v>5</v>
        <stp/>
        <stp>a95380c7-0f6f-4a4f-8550-3ca437871e67</stp>
        <tr r="G4998" s="2"/>
      </tp>
    </main>
    <main first="rtdsrv_a82eb5a1fc404542a18b1336b70d2c4e">
      <tp>
        <v>5</v>
        <stp/>
        <stp>db469891-688d-46c6-b25a-e28e870d714d</stp>
        <tr r="G5496" s="2"/>
      </tp>
    </main>
    <main first="rtdsrv_a82eb5a1fc404542a18b1336b70d2c4e">
      <tp>
        <v>5</v>
        <stp/>
        <stp>20a1f3b3-d36a-4331-9e44-b29d42ee3905</stp>
        <tr r="G8032" s="2"/>
      </tp>
      <tp>
        <v>5</v>
        <stp/>
        <stp>7005462d-f74f-447f-a695-329db7c9aa2f</stp>
        <tr r="G9957" s="2"/>
      </tp>
      <tp>
        <v>5</v>
        <stp/>
        <stp>b8b1bbfc-5c31-4b9d-9239-436cf40d4d06</stp>
        <tr r="G9828" s="2"/>
      </tp>
      <tp>
        <v>5</v>
        <stp/>
        <stp>97d9eddf-89ea-4da8-a834-59c7461d8478</stp>
        <tr r="G7975" s="2"/>
      </tp>
    </main>
    <main first="rtdsrv_a82eb5a1fc404542a18b1336b70d2c4e">
      <tp>
        <v>5</v>
        <stp/>
        <stp>7bb54821-bb80-473c-9798-b35bc9f34311</stp>
        <tr r="G3354" s="2"/>
      </tp>
    </main>
    <main first="rtdsrv_a82eb5a1fc404542a18b1336b70d2c4e">
      <tp>
        <v>5</v>
        <stp/>
        <stp>e890d049-51cb-4033-873f-00445d185273</stp>
        <tr r="G6074" s="2"/>
      </tp>
    </main>
    <main first="rtdsrv_a82eb5a1fc404542a18b1336b70d2c4e">
      <tp>
        <v>5</v>
        <stp/>
        <stp>297409e1-c37c-4eb1-b189-f5fdafa07b6c</stp>
        <tr r="G9880" s="2"/>
      </tp>
    </main>
    <main first="rtdsrv_a82eb5a1fc404542a18b1336b70d2c4e">
      <tp>
        <v>5</v>
        <stp/>
        <stp>14e6099c-deff-434b-8f28-808f57b60e2a</stp>
        <tr r="G2281" s="2"/>
      </tp>
    </main>
    <main first="rtdsrv_a82eb5a1fc404542a18b1336b70d2c4e">
      <tp>
        <v>5</v>
        <stp/>
        <stp>789cb794-0dda-490c-9ae3-cfefc19d85be</stp>
        <tr r="G3372" s="2"/>
      </tp>
    </main>
    <main first="rtdsrv_a82eb5a1fc404542a18b1336b70d2c4e">
      <tp>
        <v>5</v>
        <stp/>
        <stp>d5a26a4d-84a7-4346-a3b9-671bbf8fd281</stp>
        <tr r="G4726" s="2"/>
      </tp>
    </main>
    <main first="rtdsrv_a82eb5a1fc404542a18b1336b70d2c4e">
      <tp>
        <v>5</v>
        <stp/>
        <stp>f490628e-68fd-4090-9dfd-791124fc80c5</stp>
        <tr r="G6432" s="2"/>
      </tp>
      <tp>
        <v>5</v>
        <stp/>
        <stp>b97bdeed-d0b7-496d-ba79-4ee6facef442</stp>
        <tr r="G5194" s="2"/>
      </tp>
    </main>
    <main first="rtdsrv_a82eb5a1fc404542a18b1336b70d2c4e">
      <tp>
        <v>5</v>
        <stp/>
        <stp>b995cb48-f469-4384-90f5-3bb087fc1aa9</stp>
        <tr r="G1814" s="2"/>
      </tp>
      <tp>
        <v>5</v>
        <stp/>
        <stp>1a5c05b6-6a6c-484b-8718-5fde88e574e3</stp>
        <tr r="G8681" s="2"/>
      </tp>
    </main>
    <main first="rtdsrv_a82eb5a1fc404542a18b1336b70d2c4e">
      <tp>
        <v>5</v>
        <stp/>
        <stp>24a943ec-81d3-4874-b871-247351a24b8f</stp>
        <tr r="G4615" s="2"/>
      </tp>
    </main>
    <main first="rtdsrv_a82eb5a1fc404542a18b1336b70d2c4e">
      <tp>
        <v>5</v>
        <stp/>
        <stp>fccd0f53-5ec2-4f21-9596-4eb11644f09b</stp>
        <tr r="G3697" s="2"/>
      </tp>
    </main>
    <main first="rtdsrv_a82eb5a1fc404542a18b1336b70d2c4e">
      <tp>
        <v>5</v>
        <stp/>
        <stp>d07ca8de-259c-496c-9852-d0cdffeaea87</stp>
        <tr r="G2158" s="2"/>
      </tp>
    </main>
    <main first="rtdsrv_a82eb5a1fc404542a18b1336b70d2c4e">
      <tp>
        <v>5</v>
        <stp/>
        <stp>ba02d3c4-49da-431d-ac72-cae7d9c7364f</stp>
        <tr r="G9329" s="2"/>
      </tp>
      <tp>
        <v>5</v>
        <stp/>
        <stp>778f7ed6-b6af-428a-a36d-2022785824c8</stp>
        <tr r="G7733" s="2"/>
      </tp>
      <tp>
        <v>5</v>
        <stp/>
        <stp>dfd675d4-93e5-4a5a-9067-d6e14a3d4189</stp>
        <tr r="G6181" s="2"/>
      </tp>
      <tp>
        <v>5</v>
        <stp/>
        <stp>59cc1fca-72db-4c9d-8b49-b7e69fabf2e4</stp>
        <tr r="G6200" s="2"/>
      </tp>
    </main>
    <main first="rtdsrv_a82eb5a1fc404542a18b1336b70d2c4e">
      <tp>
        <v>5</v>
        <stp/>
        <stp>f362cb31-1871-4118-b7a3-e37555c1ad1c</stp>
        <tr r="G4890" s="2"/>
      </tp>
    </main>
    <main first="rtdsrv_a82eb5a1fc404542a18b1336b70d2c4e">
      <tp>
        <v>5</v>
        <stp/>
        <stp>ceabc55d-983b-4071-9971-2ff5561e0dab</stp>
        <tr r="G6174" s="2"/>
      </tp>
      <tp>
        <v>5</v>
        <stp/>
        <stp>75945130-5147-4c5d-81e9-7853fced9095</stp>
        <tr r="G9572" s="2"/>
      </tp>
      <tp>
        <v>5</v>
        <stp/>
        <stp>e67305c7-69d2-449a-9366-8c2aeb4cf86e</stp>
        <tr r="G2400" s="2"/>
      </tp>
      <tp>
        <v>5</v>
        <stp/>
        <stp>3efea408-2bbd-428a-85a8-681269db1925</stp>
        <tr r="G3065" s="2"/>
      </tp>
    </main>
    <main first="rtdsrv_a82eb5a1fc404542a18b1336b70d2c4e">
      <tp>
        <v>5</v>
        <stp/>
        <stp>7efe7595-b8f7-4917-b791-6739de8c656f</stp>
        <tr r="G4885" s="2"/>
      </tp>
    </main>
    <main first="rtdsrv_a82eb5a1fc404542a18b1336b70d2c4e">
      <tp>
        <v>5</v>
        <stp/>
        <stp>4943231b-1899-4040-a74e-e1dbac3a36df</stp>
        <tr r="G8862" s="2"/>
      </tp>
    </main>
    <main first="rtdsrv_a82eb5a1fc404542a18b1336b70d2c4e">
      <tp>
        <v>5</v>
        <stp/>
        <stp>c3a1c1d2-ea9b-4037-ac22-79940f4aff0a</stp>
        <tr r="G4013" s="2"/>
      </tp>
      <tp>
        <v>5</v>
        <stp/>
        <stp>1fb3ac82-7751-4f42-8b82-1cbdf6de1621</stp>
        <tr r="G662" s="2"/>
      </tp>
      <tp>
        <v>5</v>
        <stp/>
        <stp>29ec5263-2f5d-44e1-949e-7f9fb81d1430</stp>
        <tr r="G9664" s="2"/>
      </tp>
      <tp>
        <v>5</v>
        <stp/>
        <stp>4360504a-8036-49ab-9bf2-b4998ff10641</stp>
        <tr r="G6532" s="2"/>
      </tp>
    </main>
    <main first="rtdsrv_a82eb5a1fc404542a18b1336b70d2c4e">
      <tp>
        <v>5</v>
        <stp/>
        <stp>03aad4c0-ee80-4fcc-9162-2ec0b131b8a3</stp>
        <tr r="G8026" s="2"/>
      </tp>
      <tp>
        <v>5</v>
        <stp/>
        <stp>023c6ea7-67e1-4042-9ba0-9819b222fc25</stp>
        <tr r="G2512" s="2"/>
      </tp>
    </main>
    <main first="rtdsrv_a82eb5a1fc404542a18b1336b70d2c4e">
      <tp>
        <v>5</v>
        <stp/>
        <stp>93636af3-93e3-4bed-98cc-1618f7b88677</stp>
        <tr r="G9988" s="2"/>
      </tp>
      <tp>
        <v>5</v>
        <stp/>
        <stp>16fa6c5a-41e6-49d1-beed-f856da2537e6</stp>
        <tr r="G4293" s="2"/>
      </tp>
    </main>
    <main first="rtdsrv_a82eb5a1fc404542a18b1336b70d2c4e">
      <tp>
        <v>5</v>
        <stp/>
        <stp>b6137215-732e-4b97-ac9f-777a224d1c2b</stp>
        <tr r="G9530" s="2"/>
      </tp>
      <tp>
        <v>5</v>
        <stp/>
        <stp>caf0595b-b1bc-4ae2-b924-bbbbb3a0c010</stp>
        <tr r="G5801" s="2"/>
      </tp>
    </main>
    <main first="rtdsrv_a82eb5a1fc404542a18b1336b70d2c4e">
      <tp>
        <v>5</v>
        <stp/>
        <stp>d9cb1d77-c684-4a83-bce2-8a70bb3a700b</stp>
        <tr r="G5953" s="2"/>
      </tp>
      <tp>
        <v>5</v>
        <stp/>
        <stp>febcef05-aa76-4686-938c-df017d6bf52e</stp>
        <tr r="G5537" s="2"/>
      </tp>
      <tp>
        <v>5</v>
        <stp/>
        <stp>03d5e905-9c97-411c-a0d4-5b3a18aaa553</stp>
        <tr r="G4387" s="2"/>
      </tp>
    </main>
    <main first="rtdsrv_a82eb5a1fc404542a18b1336b70d2c4e">
      <tp>
        <v>5</v>
        <stp/>
        <stp>5416f014-3a4e-4b3d-b22c-515c59e0c27c</stp>
        <tr r="G8932" s="2"/>
      </tp>
    </main>
    <main first="rtdsrv_a82eb5a1fc404542a18b1336b70d2c4e">
      <tp>
        <v>5</v>
        <stp/>
        <stp>24e49221-17fe-4549-bd1d-561f5f3a84c2</stp>
        <tr r="G6015" s="2"/>
      </tp>
      <tp>
        <v>5</v>
        <stp/>
        <stp>42b9820a-81db-4697-98cd-65cb8f606d7c</stp>
        <tr r="G6423" s="2"/>
      </tp>
      <tp>
        <v>5</v>
        <stp/>
        <stp>3d50843a-053c-48ac-9dd7-993cc27277e1</stp>
        <tr r="G6120" s="2"/>
      </tp>
    </main>
    <main first="rtdsrv_a82eb5a1fc404542a18b1336b70d2c4e">
      <tp>
        <v>5</v>
        <stp/>
        <stp>5ac0b375-5e3e-4752-9d4b-28d3640df6bd</stp>
        <tr r="G1042" s="2"/>
      </tp>
    </main>
    <main first="rtdsrv_a82eb5a1fc404542a18b1336b70d2c4e">
      <tp>
        <v>5</v>
        <stp/>
        <stp>65128845-77c0-410d-b040-1e63c1eb7e41</stp>
        <tr r="G2382" s="2"/>
      </tp>
      <tp>
        <v>5</v>
        <stp/>
        <stp>ad7f79b1-629f-4fba-8aa3-12707ccdcae4</stp>
        <tr r="G3971" s="2"/>
      </tp>
      <tp>
        <v>5</v>
        <stp/>
        <stp>2263b904-0725-4ebd-b6e4-0e5c201454d7</stp>
        <tr r="G7385" s="2"/>
      </tp>
      <tp>
        <v>5</v>
        <stp/>
        <stp>08b22fb9-3e6b-4a9e-a01d-5461d7dd9a65</stp>
        <tr r="G5706" s="2"/>
      </tp>
    </main>
    <main first="rtdsrv_a82eb5a1fc404542a18b1336b70d2c4e">
      <tp>
        <v>5</v>
        <stp/>
        <stp>775272fa-83af-4599-b6b6-890ca5ef31f8</stp>
        <tr r="G9539" s="2"/>
      </tp>
    </main>
    <main first="rtdsrv_a82eb5a1fc404542a18b1336b70d2c4e">
      <tp>
        <v>5</v>
        <stp/>
        <stp>37084990-c24a-42b6-9f68-af6bdbfc5253</stp>
        <tr r="G1056" s="2"/>
      </tp>
      <tp>
        <v>5</v>
        <stp/>
        <stp>1f5f7717-8e14-467b-b222-910cfb7bf123</stp>
        <tr r="G953" s="2"/>
      </tp>
    </main>
    <main first="rtdsrv_a82eb5a1fc404542a18b1336b70d2c4e">
      <tp>
        <v>5</v>
        <stp/>
        <stp>d4a144c1-aceb-4d4d-84a1-1e2fbc1af950</stp>
        <tr r="G2558" s="2"/>
      </tp>
      <tp>
        <v>5</v>
        <stp/>
        <stp>632376c3-4eab-48ac-bc61-29d5a4170266</stp>
        <tr r="G9480" s="2"/>
      </tp>
    </main>
    <main first="rtdsrv_a82eb5a1fc404542a18b1336b70d2c4e">
      <tp>
        <v>5</v>
        <stp/>
        <stp>febf19ab-8dc0-4174-a570-3e3b9833fa10</stp>
        <tr r="G4858" s="2"/>
      </tp>
      <tp>
        <v>5</v>
        <stp/>
        <stp>02da7003-0cca-4385-a222-34108b1b18cf</stp>
        <tr r="G9767" s="2"/>
      </tp>
      <tp>
        <v>5</v>
        <stp/>
        <stp>865b89f3-43ec-4dd6-845c-9ea8e203d443</stp>
        <tr r="G5230" s="2"/>
      </tp>
      <tp>
        <v>5</v>
        <stp/>
        <stp>0c597a7a-5094-4cb9-ab19-f7ce40941c7c</stp>
        <tr r="G3801" s="2"/>
      </tp>
    </main>
    <main first="rtdsrv_a82eb5a1fc404542a18b1336b70d2c4e">
      <tp>
        <v>5</v>
        <stp/>
        <stp>97bb6d1c-a769-4c4a-bc87-9e35a7c9cbee</stp>
        <tr r="G8373" s="2"/>
      </tp>
    </main>
    <main first="rtdsrv_a82eb5a1fc404542a18b1336b70d2c4e">
      <tp>
        <v>5</v>
        <stp/>
        <stp>cd5eebf4-9e55-4c54-89c5-4c1b9dca847e</stp>
        <tr r="G2200" s="2"/>
      </tp>
      <tp>
        <v>5</v>
        <stp/>
        <stp>1b9e6739-45f6-4c82-a2f3-4bf77882944f</stp>
        <tr r="G3240" s="2"/>
      </tp>
    </main>
    <main first="rtdsrv_a82eb5a1fc404542a18b1336b70d2c4e">
      <tp>
        <v>5</v>
        <stp/>
        <stp>161d73b7-fcc8-4d2c-80a6-6d7858d1ef2c</stp>
        <tr r="G3624" s="2"/>
      </tp>
    </main>
    <main first="rtdsrv_a82eb5a1fc404542a18b1336b70d2c4e">
      <tp>
        <v>5</v>
        <stp/>
        <stp>f955a48d-0856-424f-adee-c1efc50b2ab2</stp>
        <tr r="G4071" s="2"/>
      </tp>
    </main>
    <main first="rtdsrv_a82eb5a1fc404542a18b1336b70d2c4e">
      <tp>
        <v>5</v>
        <stp/>
        <stp>926bd13b-a578-44f1-b095-c2f27fe28eab</stp>
        <tr r="G5746" s="2"/>
      </tp>
      <tp>
        <v>5</v>
        <stp/>
        <stp>0c821457-3829-4e95-a4f7-17423bb21930</stp>
        <tr r="G7804" s="2"/>
      </tp>
      <tp>
        <v>5</v>
        <stp/>
        <stp>95e88d62-21f9-4925-904a-fc54b9710cfe</stp>
        <tr r="G7910" s="2"/>
      </tp>
    </main>
    <main first="rtdsrv_a82eb5a1fc404542a18b1336b70d2c4e">
      <tp>
        <v>5</v>
        <stp/>
        <stp>5cca1aa4-c923-45e8-b6ba-209b86a9cfec</stp>
        <tr r="G138" s="2"/>
      </tp>
      <tp>
        <v>5</v>
        <stp/>
        <stp>dbc93c6d-2f79-4388-ab8e-8494ae909915</stp>
        <tr r="G7174" s="2"/>
      </tp>
      <tp>
        <v>5</v>
        <stp/>
        <stp>950e781a-18b1-4122-b3b2-426c1cc66f95</stp>
        <tr r="G431" s="2"/>
      </tp>
      <tp>
        <v>5</v>
        <stp/>
        <stp>503620f6-718d-45f1-92b5-38fb0aff7f6f</stp>
        <tr r="G132" s="2"/>
      </tp>
      <tp>
        <v>5</v>
        <stp/>
        <stp>b977d842-6605-4b26-8f79-646ee89e3ad8</stp>
        <tr r="G1934" s="2"/>
      </tp>
      <tp>
        <v>5</v>
        <stp/>
        <stp>78058309-946b-4e19-8660-3aa5cb5e8e7f</stp>
        <tr r="G2814" s="2"/>
      </tp>
    </main>
    <main first="rtdsrv_a82eb5a1fc404542a18b1336b70d2c4e">
      <tp>
        <v>5</v>
        <stp/>
        <stp>8454982e-4b9e-488e-acb0-e8e6cd1628fb</stp>
        <tr r="G7920" s="2"/>
      </tp>
      <tp>
        <v>5</v>
        <stp/>
        <stp>d197efa2-341f-4756-aab9-fb1629794040</stp>
        <tr r="G2214" s="2"/>
      </tp>
    </main>
    <main first="rtdsrv_a82eb5a1fc404542a18b1336b70d2c4e">
      <tp>
        <v>5</v>
        <stp/>
        <stp>921728d8-bcf3-4e02-8dd3-05a93a2b1115</stp>
        <tr r="G2305" s="2"/>
      </tp>
    </main>
    <main first="rtdsrv_a82eb5a1fc404542a18b1336b70d2c4e">
      <tp>
        <v>5</v>
        <stp/>
        <stp>21a7fe6c-2030-4eb3-bc83-4308ccacafe8</stp>
        <tr r="G2580" s="2"/>
      </tp>
    </main>
    <main first="rtdsrv_a82eb5a1fc404542a18b1336b70d2c4e">
      <tp>
        <v>5</v>
        <stp/>
        <stp>dde32fd9-4521-414d-b7cb-7b3b193f316b</stp>
        <tr r="G8802" s="2"/>
      </tp>
    </main>
    <main first="rtdsrv_a82eb5a1fc404542a18b1336b70d2c4e">
      <tp>
        <v>5</v>
        <stp/>
        <stp>324ed542-269a-438b-81c4-f897a294aeb3</stp>
        <tr r="G3741" s="2"/>
      </tp>
      <tp>
        <v>5</v>
        <stp/>
        <stp>a16314b9-4340-49dc-a29b-27550a23dfb6</stp>
        <tr r="G2707" s="2"/>
      </tp>
    </main>
    <main first="rtdsrv_a82eb5a1fc404542a18b1336b70d2c4e">
      <tp>
        <v>5</v>
        <stp/>
        <stp>0bf3ac68-dd87-4829-ac10-e946a73998c4</stp>
        <tr r="G4284" s="2"/>
      </tp>
      <tp>
        <v>5</v>
        <stp/>
        <stp>716ce674-de9c-4eb8-ad7d-f31f43ee5741</stp>
        <tr r="G2361" s="2"/>
      </tp>
      <tp>
        <v>5</v>
        <stp/>
        <stp>8de67504-aba7-446d-947f-074da803575a</stp>
        <tr r="G8452" s="2"/>
      </tp>
      <tp>
        <v>5</v>
        <stp/>
        <stp>1824ba3e-ce64-4b75-919c-694750072dcf</stp>
        <tr r="G5757" s="2"/>
      </tp>
      <tp>
        <v>5</v>
        <stp/>
        <stp>270ceb4c-826f-40eb-9e60-d1e3ac40107f</stp>
        <tr r="G1273" s="2"/>
      </tp>
    </main>
    <main first="rtdsrv_a82eb5a1fc404542a18b1336b70d2c4e">
      <tp>
        <v>5</v>
        <stp/>
        <stp>6b59a40e-9d85-48a4-852b-554bd624a1d4</stp>
        <tr r="G1098" s="2"/>
      </tp>
    </main>
    <main first="rtdsrv_a82eb5a1fc404542a18b1336b70d2c4e">
      <tp>
        <v>5</v>
        <stp/>
        <stp>af55f7ae-8499-4a65-916c-e1d23327734b</stp>
        <tr r="G2818" s="2"/>
      </tp>
      <tp>
        <v>5</v>
        <stp/>
        <stp>ec651825-3c83-4e5c-b97a-3e68ed2effc5</stp>
        <tr r="G5227" s="2"/>
      </tp>
    </main>
    <main first="rtdsrv_a82eb5a1fc404542a18b1336b70d2c4e">
      <tp>
        <v>5</v>
        <stp/>
        <stp>2ed867d0-f68f-4521-a668-4b9d29f4430e</stp>
        <tr r="G7690" s="2"/>
      </tp>
    </main>
    <main first="rtdsrv_a82eb5a1fc404542a18b1336b70d2c4e">
      <tp>
        <v>5</v>
        <stp/>
        <stp>02a0cf61-a7dd-4d86-90b0-493edfd27ef3</stp>
        <tr r="G3337" s="2"/>
      </tp>
      <tp>
        <v>5</v>
        <stp/>
        <stp>7aa1236b-9154-4e4c-a962-88582d734975</stp>
        <tr r="G8429" s="2"/>
      </tp>
      <tp>
        <v>5</v>
        <stp/>
        <stp>8076af2e-7c9d-4712-a095-916cd51f955f</stp>
        <tr r="G8461" s="2"/>
      </tp>
      <tp>
        <v>5</v>
        <stp/>
        <stp>c1df7bcd-2c28-4229-8096-5654d95d8532</stp>
        <tr r="G2658" s="2"/>
      </tp>
    </main>
    <main first="rtdsrv_a82eb5a1fc404542a18b1336b70d2c4e">
      <tp>
        <v>5</v>
        <stp/>
        <stp>13c1b82c-757a-4db5-a8ae-1d0a6e2c62b9</stp>
        <tr r="G672" s="2"/>
      </tp>
    </main>
    <main first="rtdsrv_a82eb5a1fc404542a18b1336b70d2c4e">
      <tp>
        <v>5</v>
        <stp/>
        <stp>987a6535-9784-4b9c-82fd-38e130e05b53</stp>
        <tr r="G2793" s="2"/>
      </tp>
    </main>
    <main first="rtdsrv_a82eb5a1fc404542a18b1336b70d2c4e">
      <tp>
        <v>5</v>
        <stp/>
        <stp>554207a0-f7cb-4805-889f-4d1f634cadcc</stp>
        <tr r="G353" s="2"/>
      </tp>
      <tp>
        <v>5</v>
        <stp/>
        <stp>581c429f-e81c-420b-bfbc-f4478351930b</stp>
        <tr r="G1004" s="2"/>
      </tp>
    </main>
    <main first="rtdsrv_a82eb5a1fc404542a18b1336b70d2c4e">
      <tp>
        <v>5</v>
        <stp/>
        <stp>7ffb1e3b-2d13-4c86-9413-bef8886f5007</stp>
        <tr r="G6104" s="2"/>
      </tp>
    </main>
    <main first="rtdsrv_a82eb5a1fc404542a18b1336b70d2c4e">
      <tp>
        <v>5</v>
        <stp/>
        <stp>ea0931e9-9dc7-4d74-8ea9-afbdc50b9485</stp>
        <tr r="G1017" s="2"/>
      </tp>
      <tp>
        <v>5</v>
        <stp/>
        <stp>d8c97637-0379-46de-912d-0c7bd2ce5c19</stp>
        <tr r="G3889" s="2"/>
      </tp>
      <tp>
        <v>5</v>
        <stp/>
        <stp>ae729049-b8b0-4fd0-a141-8957929a2cd0</stp>
        <tr r="G2498" s="2"/>
      </tp>
      <tp>
        <v>5</v>
        <stp/>
        <stp>9d7893b4-c6ae-49a1-b510-43cf88ea4d78</stp>
        <tr r="G3278" s="2"/>
      </tp>
    </main>
    <main first="rtdsrv_a82eb5a1fc404542a18b1336b70d2c4e">
      <tp>
        <v>5</v>
        <stp/>
        <stp>1af1e117-0c08-4758-90c0-67a6c1325f46</stp>
        <tr r="G1507" s="2"/>
      </tp>
      <tp>
        <v>5</v>
        <stp/>
        <stp>236e1d67-fb43-4b48-a5ef-0a0287adda78</stp>
        <tr r="G7149" s="2"/>
      </tp>
      <tp>
        <v>5</v>
        <stp/>
        <stp>d45dfa35-d76e-4474-bdb7-48f5d5f571de</stp>
        <tr r="G6320" s="2"/>
      </tp>
    </main>
    <main first="rtdsrv_a82eb5a1fc404542a18b1336b70d2c4e">
      <tp>
        <v>5</v>
        <stp/>
        <stp>58d2225d-871a-4612-b0e2-c4a538c1e24d</stp>
        <tr r="G3773" s="2"/>
      </tp>
      <tp>
        <v>5</v>
        <stp/>
        <stp>21de192c-1aac-4720-ba25-92e4ebabc0d8</stp>
        <tr r="G4820" s="2"/>
      </tp>
    </main>
    <main first="rtdsrv_a82eb5a1fc404542a18b1336b70d2c4e">
      <tp>
        <v>5</v>
        <stp/>
        <stp>b9464571-f31b-4aec-90e7-1aa314ba7bff</stp>
        <tr r="G9725" s="2"/>
      </tp>
    </main>
    <main first="rtdsrv_a82eb5a1fc404542a18b1336b70d2c4e">
      <tp>
        <v>5</v>
        <stp/>
        <stp>4e19707c-8d73-4f33-a9ea-1203dafde37f</stp>
        <tr r="G7701" s="2"/>
      </tp>
      <tp>
        <v>5</v>
        <stp/>
        <stp>372edafc-9712-4ad3-b852-d7ce25b7c03b</stp>
        <tr r="G7777" s="2"/>
      </tp>
    </main>
    <main first="rtdsrv_a82eb5a1fc404542a18b1336b70d2c4e">
      <tp>
        <v>5</v>
        <stp/>
        <stp>93ff49a5-4411-458f-a2a0-7c4bd86579bf</stp>
        <tr r="G2470" s="2"/>
      </tp>
    </main>
    <main first="rtdsrv_a82eb5a1fc404542a18b1336b70d2c4e">
      <tp>
        <v>5</v>
        <stp/>
        <stp>1b15c564-dae7-4bfb-858c-34d3b208a428</stp>
        <tr r="G9246" s="2"/>
      </tp>
      <tp>
        <v>5</v>
        <stp/>
        <stp>3c6e86f3-8730-4513-af1e-7dae1fab46a8</stp>
        <tr r="G9239" s="2"/>
      </tp>
      <tp>
        <v>5</v>
        <stp/>
        <stp>b3dd3199-ccb3-4149-abde-7a127181f71c</stp>
        <tr r="G1096" s="2"/>
      </tp>
    </main>
    <main first="rtdsrv_a82eb5a1fc404542a18b1336b70d2c4e">
      <tp>
        <v>5</v>
        <stp/>
        <stp>ff42d4d2-d025-4e56-b694-7bf563f16378</stp>
        <tr r="G1099" s="2"/>
      </tp>
      <tp>
        <v>5</v>
        <stp/>
        <stp>9c2cc067-8e54-457b-91ca-5b34c217baad</stp>
        <tr r="G1471" s="2"/>
      </tp>
    </main>
    <main first="rtdsrv_a82eb5a1fc404542a18b1336b70d2c4e">
      <tp>
        <v>5</v>
        <stp/>
        <stp>68241ca6-ffb0-40d6-96fd-4fc911ecea48</stp>
        <tr r="G3413" s="2"/>
      </tp>
    </main>
    <main first="rtdsrv_a82eb5a1fc404542a18b1336b70d2c4e">
      <tp>
        <v>5</v>
        <stp/>
        <stp>fe7aba73-4f92-4037-8c22-e2ad8e3f39e1</stp>
        <tr r="G9287" s="2"/>
      </tp>
    </main>
    <main first="rtdsrv_a82eb5a1fc404542a18b1336b70d2c4e">
      <tp>
        <v>5</v>
        <stp/>
        <stp>fca1896d-7e39-4741-9035-df3941b87c54</stp>
        <tr r="G3543" s="2"/>
      </tp>
    </main>
    <main first="rtdsrv_a82eb5a1fc404542a18b1336b70d2c4e">
      <tp>
        <v>5</v>
        <stp/>
        <stp>de68f2c8-8492-408d-b516-2fac671670de</stp>
        <tr r="G5916" s="2"/>
      </tp>
      <tp>
        <v>5</v>
        <stp/>
        <stp>58403520-43fd-49e2-9f50-dd8ef2b452c0</stp>
        <tr r="G6502" s="2"/>
      </tp>
    </main>
    <main first="rtdsrv_a82eb5a1fc404542a18b1336b70d2c4e">
      <tp>
        <v>5</v>
        <stp/>
        <stp>4efae7fd-639e-4c6f-a524-98a27a8233b4</stp>
        <tr r="G4418" s="2"/>
      </tp>
      <tp>
        <v>5</v>
        <stp/>
        <stp>054866ed-67c3-455c-a469-c5397751d8e7</stp>
        <tr r="G9796" s="2"/>
      </tp>
    </main>
    <main first="rtdsrv_a82eb5a1fc404542a18b1336b70d2c4e">
      <tp>
        <v>5</v>
        <stp/>
        <stp>3d87c9a0-e7de-43a5-86d4-8649016084d6</stp>
        <tr r="G926" s="2"/>
      </tp>
      <tp>
        <v>5</v>
        <stp/>
        <stp>7dcc5527-528a-40ae-afe9-89c05778802b</stp>
        <tr r="G5268" s="2"/>
      </tp>
    </main>
    <main first="rtdsrv_a82eb5a1fc404542a18b1336b70d2c4e">
      <tp>
        <v>5</v>
        <stp/>
        <stp>cf4f511d-4294-4df9-a484-3a42ca8dc830</stp>
        <tr r="G1634" s="2"/>
      </tp>
      <tp>
        <v>5</v>
        <stp/>
        <stp>74fc3ec7-ff68-44e1-8d33-e4e7ac1dc88d</stp>
        <tr r="G9787" s="2"/>
      </tp>
    </main>
    <main first="rtdsrv_a82eb5a1fc404542a18b1336b70d2c4e">
      <tp>
        <v>5</v>
        <stp/>
        <stp>d74ff99c-a3b2-4e35-882b-46e28a43ee1a</stp>
        <tr r="G2359" s="2"/>
      </tp>
    </main>
    <main first="rtdsrv_a82eb5a1fc404542a18b1336b70d2c4e">
      <tp>
        <v>5</v>
        <stp/>
        <stp>f8725e96-dcf5-4861-a0aa-6c3bc462dd4f</stp>
        <tr r="G6577" s="2"/>
      </tp>
      <tp>
        <v>5</v>
        <stp/>
        <stp>b4246f52-2233-4dec-ae75-69bc25f83b9f</stp>
        <tr r="G2316" s="2"/>
      </tp>
    </main>
    <main first="rtdsrv_a82eb5a1fc404542a18b1336b70d2c4e">
      <tp>
        <v>5</v>
        <stp/>
        <stp>24161e5e-8f77-494e-ab68-0bf537bbb5cc</stp>
        <tr r="G5780" s="2"/>
      </tp>
      <tp>
        <v>5</v>
        <stp/>
        <stp>84d48665-5c3e-4ca2-995d-4942628f9ad4</stp>
        <tr r="G4237" s="2"/>
      </tp>
    </main>
    <main first="rtdsrv_a82eb5a1fc404542a18b1336b70d2c4e">
      <tp>
        <v>5</v>
        <stp/>
        <stp>b1f124d1-41c7-4686-9238-a916d2fc6ea3</stp>
        <tr r="G93" s="2"/>
      </tp>
      <tp>
        <v>5</v>
        <stp/>
        <stp>5f6c045c-09d3-4b3b-bc82-bfddc0c20429</stp>
        <tr r="G9374" s="2"/>
      </tp>
    </main>
    <main first="rtdsrv_a82eb5a1fc404542a18b1336b70d2c4e">
      <tp>
        <v>5</v>
        <stp/>
        <stp>1397e2b9-fdc1-4d54-982d-a181738e79f3</stp>
        <tr r="G4972" s="2"/>
      </tp>
    </main>
    <main first="rtdsrv_a82eb5a1fc404542a18b1336b70d2c4e">
      <tp>
        <v>5</v>
        <stp/>
        <stp>d7318d55-c005-4815-8b55-eeac46eb5990</stp>
        <tr r="G3566" s="2"/>
      </tp>
      <tp>
        <v>5</v>
        <stp/>
        <stp>ca307e8c-fb4b-4ec3-9f43-0fcdea58e82b</stp>
        <tr r="G7734" s="2"/>
      </tp>
    </main>
    <main first="rtdsrv_a82eb5a1fc404542a18b1336b70d2c4e">
      <tp>
        <v>5</v>
        <stp/>
        <stp>629dfbf7-ea66-4cb6-a45b-6b30267808fc</stp>
        <tr r="G3435" s="2"/>
      </tp>
    </main>
    <main first="rtdsrv_a82eb5a1fc404542a18b1336b70d2c4e">
      <tp>
        <v>5</v>
        <stp/>
        <stp>a028f4c4-b800-4bf0-bf83-46607c0adab9</stp>
        <tr r="G3230" s="2"/>
      </tp>
    </main>
    <main first="rtdsrv_a82eb5a1fc404542a18b1336b70d2c4e">
      <tp>
        <v>5</v>
        <stp/>
        <stp>48e36747-f809-4800-8ed9-b9ae28759f84</stp>
        <tr r="G8084" s="2"/>
      </tp>
    </main>
    <main first="rtdsrv_a82eb5a1fc404542a18b1336b70d2c4e">
      <tp>
        <v>5</v>
        <stp/>
        <stp>cc8f895c-db87-49cb-8601-cfd4e3322c7b</stp>
        <tr r="G522" s="2"/>
      </tp>
    </main>
    <main first="rtdsrv_a82eb5a1fc404542a18b1336b70d2c4e">
      <tp>
        <v>5</v>
        <stp/>
        <stp>566248a5-a08d-44c4-85ff-0518a17c7c92</stp>
        <tr r="G5027" s="2"/>
      </tp>
    </main>
    <main first="rtdsrv_a82eb5a1fc404542a18b1336b70d2c4e">
      <tp>
        <v>5</v>
        <stp/>
        <stp>96a1795a-526f-4ca4-9a02-c91b7eb5b88f</stp>
        <tr r="G2608" s="2"/>
      </tp>
      <tp>
        <v>5</v>
        <stp/>
        <stp>fb3d684b-f8fa-4a24-93c6-c6b744a59357</stp>
        <tr r="G6565" s="2"/>
      </tp>
    </main>
    <main first="rtdsrv_a82eb5a1fc404542a18b1336b70d2c4e">
      <tp>
        <v>5</v>
        <stp/>
        <stp>3b8c194a-7734-4975-931f-baa3c5ab2fb0</stp>
        <tr r="G7435" s="2"/>
      </tp>
      <tp>
        <v>5</v>
        <stp/>
        <stp>de45faea-7823-4f1a-b705-761649b10705</stp>
        <tr r="G712" s="2"/>
      </tp>
    </main>
    <main first="rtdsrv_a82eb5a1fc404542a18b1336b70d2c4e">
      <tp>
        <v>5</v>
        <stp/>
        <stp>19687d14-004e-439d-b176-5cb56395f4e8</stp>
        <tr r="G3557" s="2"/>
      </tp>
    </main>
    <main first="rtdsrv_a82eb5a1fc404542a18b1336b70d2c4e">
      <tp>
        <v>5</v>
        <stp/>
        <stp>1275cfb0-5a25-4b9d-aef4-a246288d334b</stp>
        <tr r="G5679" s="2"/>
      </tp>
      <tp>
        <v>5</v>
        <stp/>
        <stp>90484154-5595-455d-ba87-3c55a465de8f</stp>
        <tr r="G7122" s="2"/>
      </tp>
      <tp>
        <v>5</v>
        <stp/>
        <stp>0790dd96-ae5a-4506-a755-76e17d57c98f</stp>
        <tr r="G2399" s="2"/>
      </tp>
    </main>
    <main first="rtdsrv_a82eb5a1fc404542a18b1336b70d2c4e">
      <tp>
        <v>5</v>
        <stp/>
        <stp>e60ac28b-73d7-454c-9d93-cb07ace062ea</stp>
        <tr r="G1324" s="2"/>
      </tp>
    </main>
    <main first="rtdsrv_a82eb5a1fc404542a18b1336b70d2c4e">
      <tp>
        <v>5</v>
        <stp/>
        <stp>586add5c-d6eb-464d-8160-b5fbafba7c9d</stp>
        <tr r="G4969" s="2"/>
      </tp>
    </main>
    <main first="rtdsrv_a82eb5a1fc404542a18b1336b70d2c4e">
      <tp>
        <v>5</v>
        <stp/>
        <stp>5974f589-467f-413b-96ad-c150ca2b41b7</stp>
        <tr r="G8181" s="2"/>
      </tp>
      <tp>
        <v>5</v>
        <stp/>
        <stp>04dc7c8b-244e-4291-8155-a3beb9131169</stp>
        <tr r="G2010" s="2"/>
      </tp>
      <tp>
        <v>5</v>
        <stp/>
        <stp>ef8351c5-9260-48db-b744-68d19c329929</stp>
        <tr r="G7252" s="2"/>
      </tp>
    </main>
    <main first="rtdsrv_a82eb5a1fc404542a18b1336b70d2c4e">
      <tp>
        <v>5</v>
        <stp/>
        <stp>d56c8490-4f9f-4a85-926f-492d2a113444</stp>
        <tr r="G4198" s="2"/>
      </tp>
      <tp>
        <v>5</v>
        <stp/>
        <stp>398754ae-94be-4f3b-899b-bbb31467dcc7</stp>
        <tr r="G2393" s="2"/>
      </tp>
    </main>
    <main first="rtdsrv_a82eb5a1fc404542a18b1336b70d2c4e">
      <tp>
        <v>5</v>
        <stp/>
        <stp>02f40d92-4ac5-495f-bf8f-15a03dca57cc</stp>
        <tr r="G9166" s="2"/>
      </tp>
    </main>
    <main first="rtdsrv_a82eb5a1fc404542a18b1336b70d2c4e">
      <tp>
        <v>5</v>
        <stp/>
        <stp>1cf032c4-422f-4e99-95ea-d4648aac2682</stp>
        <tr r="G8794" s="2"/>
      </tp>
    </main>
    <main first="rtdsrv_a82eb5a1fc404542a18b1336b70d2c4e">
      <tp>
        <v>5</v>
        <stp/>
        <stp>9433bd0d-376a-4fc3-97e6-1b2b79886412</stp>
        <tr r="G1982" s="2"/>
      </tp>
    </main>
    <main first="rtdsrv_a82eb5a1fc404542a18b1336b70d2c4e">
      <tp>
        <v>5</v>
        <stp/>
        <stp>a0d67ca1-31f4-4264-b773-586df899c913</stp>
        <tr r="G917" s="2"/>
      </tp>
      <tp>
        <v>5</v>
        <stp/>
        <stp>9e8c4de4-b77d-41ca-90af-952a393b2544</stp>
        <tr r="G5266" s="2"/>
      </tp>
    </main>
    <main first="rtdsrv_a82eb5a1fc404542a18b1336b70d2c4e">
      <tp>
        <v>5</v>
        <stp/>
        <stp>fdf43364-9a14-4dd3-8f38-afd17da9666a</stp>
        <tr r="G7762" s="2"/>
      </tp>
    </main>
    <main first="rtdsrv_a82eb5a1fc404542a18b1336b70d2c4e">
      <tp>
        <v>5</v>
        <stp/>
        <stp>157d418d-544e-44d3-902c-8ae629684212</stp>
        <tr r="G3315" s="2"/>
      </tp>
    </main>
    <main first="rtdsrv_a82eb5a1fc404542a18b1336b70d2c4e">
      <tp>
        <v>5</v>
        <stp/>
        <stp>808fc3b2-f64e-4af0-9c24-a9a45639b20c</stp>
        <tr r="G4848" s="2"/>
      </tp>
      <tp>
        <v>5</v>
        <stp/>
        <stp>78d8651d-66a2-4c16-bf51-e389ddab5517</stp>
        <tr r="G7992" s="2"/>
      </tp>
      <tp>
        <v>5</v>
        <stp/>
        <stp>7f41787c-9279-437b-b7e8-8ddc9fbca85e</stp>
        <tr r="G5599" s="2"/>
      </tp>
    </main>
    <main first="rtdsrv_a82eb5a1fc404542a18b1336b70d2c4e">
      <tp>
        <v>5</v>
        <stp/>
        <stp>65df0210-a6cd-447a-ab99-693558d8de72</stp>
        <tr r="G1741" s="2"/>
      </tp>
    </main>
    <main first="rtdsrv_a82eb5a1fc404542a18b1336b70d2c4e">
      <tp>
        <v>5</v>
        <stp/>
        <stp>112257ca-4c37-4bf2-999b-fd913b7dced7</stp>
        <tr r="G8421" s="2"/>
      </tp>
      <tp>
        <v>5</v>
        <stp/>
        <stp>ead6aaba-c37a-44c5-a689-6995058b886f</stp>
        <tr r="G8898" s="2"/>
      </tp>
    </main>
    <main first="rtdsrv_a82eb5a1fc404542a18b1336b70d2c4e">
      <tp>
        <v>5</v>
        <stp/>
        <stp>5361930f-dd3b-473f-a0c9-66d3e438e973</stp>
        <tr r="G3778" s="2"/>
      </tp>
    </main>
    <main first="rtdsrv_a82eb5a1fc404542a18b1336b70d2c4e">
      <tp>
        <v>5</v>
        <stp/>
        <stp>38beb05c-6c9e-4597-954f-9f9609ca8831</stp>
        <tr r="G6348" s="2"/>
      </tp>
    </main>
    <main first="rtdsrv_a82eb5a1fc404542a18b1336b70d2c4e">
      <tp>
        <v>5</v>
        <stp/>
        <stp>d3b0b668-1820-4ecc-b3ef-59f87f4e17c2</stp>
        <tr r="G352" s="2"/>
      </tp>
      <tp>
        <v>5</v>
        <stp/>
        <stp>626ddeb8-8886-4ade-86ed-f7afa6acf43d</stp>
        <tr r="G5729" s="2"/>
      </tp>
      <tp>
        <v>5</v>
        <stp/>
        <stp>b7e23352-e6ac-47ae-a463-696e04a80e97</stp>
        <tr r="G1520" s="2"/>
      </tp>
      <tp>
        <v>5</v>
        <stp/>
        <stp>0dd99283-3b82-4d94-b891-95733d7a2c49</stp>
        <tr r="G8394" s="2"/>
      </tp>
    </main>
    <main first="rtdsrv_a82eb5a1fc404542a18b1336b70d2c4e">
      <tp>
        <v>5</v>
        <stp/>
        <stp>6a54bb0d-09e6-4da8-b0eb-d7fad053139e</stp>
        <tr r="G1120" s="2"/>
      </tp>
      <tp>
        <v>5</v>
        <stp/>
        <stp>b2b6b260-37fa-4527-a47e-fbb4396b52fd</stp>
        <tr r="G5470" s="2"/>
      </tp>
      <tp>
        <v>5</v>
        <stp/>
        <stp>17981f73-fc97-4f08-afd8-57de1caa6ed6</stp>
        <tr r="G3508" s="2"/>
      </tp>
      <tp>
        <v>5</v>
        <stp/>
        <stp>204eb7c8-f6dd-4112-9566-c94a0163a7ad</stp>
        <tr r="G7400" s="2"/>
      </tp>
      <tp>
        <v>5</v>
        <stp/>
        <stp>3d720ff9-e6bc-4c18-804e-660341d706b4</stp>
        <tr r="G212" s="2"/>
      </tp>
    </main>
    <main first="rtdsrv_a82eb5a1fc404542a18b1336b70d2c4e">
      <tp>
        <v>5</v>
        <stp/>
        <stp>189d942e-bbe8-412a-88f7-5f2b7f9593a3</stp>
        <tr r="G4448" s="2"/>
      </tp>
    </main>
    <main first="rtdsrv_a82eb5a1fc404542a18b1336b70d2c4e">
      <tp>
        <v>5</v>
        <stp/>
        <stp>8dd679b4-5005-4e8a-bdc9-7a03cb28e394</stp>
        <tr r="G8106" s="2"/>
      </tp>
    </main>
    <main first="rtdsrv_a82eb5a1fc404542a18b1336b70d2c4e">
      <tp>
        <v>5</v>
        <stp/>
        <stp>49e60745-5c5a-4834-8b27-0e19b6c594c0</stp>
        <tr r="G3875" s="2"/>
      </tp>
      <tp>
        <v>5</v>
        <stp/>
        <stp>bd0e845f-5641-446d-af0d-57b0bebd29cb</stp>
        <tr r="G7866" s="2"/>
      </tp>
    </main>
    <main first="rtdsrv_a82eb5a1fc404542a18b1336b70d2c4e">
      <tp>
        <v>5</v>
        <stp/>
        <stp>432cc416-c909-46ad-b992-84b3fcf4b48a</stp>
        <tr r="G7878" s="2"/>
      </tp>
    </main>
    <main first="rtdsrv_a82eb5a1fc404542a18b1336b70d2c4e">
      <tp>
        <v>5</v>
        <stp/>
        <stp>fa560e90-d0b8-44f4-ac82-9c5704721a8f</stp>
        <tr r="G3186" s="2"/>
      </tp>
      <tp>
        <v>5</v>
        <stp/>
        <stp>b4f26d59-2e1f-4ddd-8edd-786db34a23d1</stp>
        <tr r="G4276" s="2"/>
      </tp>
      <tp>
        <v>5</v>
        <stp/>
        <stp>10650642-f8a7-4c0e-af62-043d896c4d91</stp>
        <tr r="G4946" s="2"/>
      </tp>
      <tp>
        <v>5</v>
        <stp/>
        <stp>d081305c-6e09-4f77-8d08-5867b6dade64</stp>
        <tr r="G7735" s="2"/>
      </tp>
      <tp>
        <v>5</v>
        <stp/>
        <stp>a5bdfc27-8319-4a0a-8d22-da7587fe0142</stp>
        <tr r="G3385" s="2"/>
      </tp>
      <tp>
        <v>5</v>
        <stp/>
        <stp>e2a2d15e-8c02-45cd-8f25-c76219eea9ed</stp>
        <tr r="G9624" s="2"/>
      </tp>
    </main>
    <main first="rtdsrv_a82eb5a1fc404542a18b1336b70d2c4e">
      <tp>
        <v>5</v>
        <stp/>
        <stp>8f2340b8-fce9-4625-bc1a-5f0e612919ea</stp>
        <tr r="G2796" s="2"/>
      </tp>
      <tp>
        <v>5</v>
        <stp/>
        <stp>787f6d88-ba97-4fab-a530-ddfab25e3c8d</stp>
        <tr r="G8879" s="2"/>
      </tp>
      <tp>
        <v>5</v>
        <stp/>
        <stp>2043da74-8f63-4471-8743-fd8384cf3f8d</stp>
        <tr r="G9382" s="2"/>
      </tp>
    </main>
    <main first="rtdsrv_a82eb5a1fc404542a18b1336b70d2c4e">
      <tp>
        <v>5</v>
        <stp/>
        <stp>74be9f5e-5adb-49a4-ba3c-f21530e60843</stp>
        <tr r="G629" s="2"/>
      </tp>
      <tp>
        <v>5</v>
        <stp/>
        <stp>e3824c75-e7b8-4a8a-8877-96b316aa799e</stp>
        <tr r="G5908" s="2"/>
      </tp>
      <tp>
        <v>5</v>
        <stp/>
        <stp>200429d3-e5f8-4c94-bb26-04656bb75f64</stp>
        <tr r="G1461" s="2"/>
      </tp>
    </main>
    <main first="rtdsrv_a82eb5a1fc404542a18b1336b70d2c4e">
      <tp>
        <v>5</v>
        <stp/>
        <stp>00fd9f2f-72d5-43ef-988d-da8ce69e9268</stp>
        <tr r="G9704" s="2"/>
      </tp>
      <tp>
        <v>5</v>
        <stp/>
        <stp>de54f2c6-e8b5-4bd3-adf1-ff9379d4eb78</stp>
        <tr r="G577" s="2"/>
      </tp>
    </main>
    <main first="rtdsrv_a82eb5a1fc404542a18b1336b70d2c4e">
      <tp>
        <v>5</v>
        <stp/>
        <stp>8a1d917c-aff7-4b08-9cf0-a63ea35da0cb</stp>
        <tr r="G7133" s="2"/>
      </tp>
      <tp>
        <v>5</v>
        <stp/>
        <stp>4ef6f63a-1291-4c48-b89e-df72ff2ef92a</stp>
        <tr r="G1287" s="2"/>
      </tp>
    </main>
    <main first="rtdsrv_a82eb5a1fc404542a18b1336b70d2c4e">
      <tp>
        <v>5</v>
        <stp/>
        <stp>2006b808-d009-438d-9247-c5656178db08</stp>
        <tr r="G9833" s="2"/>
      </tp>
      <tp>
        <v>5</v>
        <stp/>
        <stp>19246e61-ba22-4ef5-b0b5-093b193a53f2</stp>
        <tr r="G7066" s="2"/>
      </tp>
    </main>
    <main first="rtdsrv_a82eb5a1fc404542a18b1336b70d2c4e">
      <tp>
        <v>5</v>
        <stp/>
        <stp>2a81b378-3523-4454-b629-44c699e0c03d</stp>
        <tr r="G6058" s="2"/>
      </tp>
      <tp>
        <v>5</v>
        <stp/>
        <stp>e3ee0159-10ab-46cf-9b8c-72a047c9d272</stp>
        <tr r="G5954" s="2"/>
      </tp>
    </main>
    <main first="rtdsrv_a82eb5a1fc404542a18b1336b70d2c4e">
      <tp>
        <v>5</v>
        <stp/>
        <stp>5af5090a-b6f2-4e67-8129-1ac7de494a87</stp>
        <tr r="G3081" s="2"/>
      </tp>
    </main>
    <main first="rtdsrv_a82eb5a1fc404542a18b1336b70d2c4e">
      <tp>
        <v>5</v>
        <stp/>
        <stp>d5a7f33b-1af6-48dd-9f45-79dc955bf1ab</stp>
        <tr r="G8072" s="2"/>
      </tp>
    </main>
    <main first="rtdsrv_a82eb5a1fc404542a18b1336b70d2c4e">
      <tp>
        <v>5</v>
        <stp/>
        <stp>51bb29f6-7988-458a-b41a-ca13b18dbec2</stp>
        <tr r="G514" s="2"/>
      </tp>
    </main>
    <main first="rtdsrv_a82eb5a1fc404542a18b1336b70d2c4e">
      <tp>
        <v>5</v>
        <stp/>
        <stp>196d1a94-c9da-4a7a-a6fc-e5ba51830b8a</stp>
        <tr r="G9717" s="2"/>
      </tp>
    </main>
    <main first="rtdsrv_a82eb5a1fc404542a18b1336b70d2c4e">
      <tp>
        <v>5</v>
        <stp/>
        <stp>5a099d7a-3405-4cc4-83c4-d8f90f229ed4</stp>
        <tr r="G8527" s="2"/>
      </tp>
    </main>
    <main first="rtdsrv_a82eb5a1fc404542a18b1336b70d2c4e">
      <tp>
        <v>5</v>
        <stp/>
        <stp>b578482f-7e24-451a-87b1-cceae374a34a</stp>
        <tr r="G8646" s="2"/>
      </tp>
    </main>
    <main first="rtdsrv_a82eb5a1fc404542a18b1336b70d2c4e">
      <tp>
        <v>5</v>
        <stp/>
        <stp>d5cc1e2b-ed39-4080-b250-9973de560603</stp>
        <tr r="G2724" s="2"/>
      </tp>
    </main>
    <main first="rtdsrv_a82eb5a1fc404542a18b1336b70d2c4e">
      <tp>
        <v>5</v>
        <stp/>
        <stp>8adf0852-6ac5-4d84-b69d-49796312a2ef</stp>
        <tr r="G5945" s="2"/>
      </tp>
    </main>
    <main first="rtdsrv_a82eb5a1fc404542a18b1336b70d2c4e">
      <tp>
        <v>5</v>
        <stp/>
        <stp>c6daeff4-82c8-4470-8352-7a0fe4717b24</stp>
        <tr r="G8766" s="2"/>
      </tp>
      <tp>
        <v>5</v>
        <stp/>
        <stp>b9e532ea-2c0a-4562-8a6c-d2e2f0f92e48</stp>
        <tr r="G7460" s="2"/>
      </tp>
      <tp>
        <v>5</v>
        <stp/>
        <stp>8152f21f-f3ee-4a98-b5fe-c57f2eb0117a</stp>
        <tr r="G9128" s="2"/>
      </tp>
      <tp>
        <v>5</v>
        <stp/>
        <stp>19b15286-7bf8-46ab-a048-417106e767b5</stp>
        <tr r="G2675" s="2"/>
      </tp>
    </main>
    <main first="rtdsrv_a82eb5a1fc404542a18b1336b70d2c4e">
      <tp>
        <v>5</v>
        <stp/>
        <stp>01b339f3-9f2e-441b-ba81-ab330b6001fd</stp>
        <tr r="G3032" s="2"/>
      </tp>
    </main>
    <main first="rtdsrv_a82eb5a1fc404542a18b1336b70d2c4e">
      <tp>
        <v>5</v>
        <stp/>
        <stp>8e71d857-4526-4ecf-8f85-b7418c37a958</stp>
        <tr r="G639" s="2"/>
      </tp>
    </main>
    <main first="rtdsrv_a82eb5a1fc404542a18b1336b70d2c4e">
      <tp>
        <v>5</v>
        <stp/>
        <stp>2db252a1-a0c1-46f2-9086-c0a2bad8b604</stp>
        <tr r="G8406" s="2"/>
      </tp>
      <tp>
        <v>5</v>
        <stp/>
        <stp>6bdc159d-aecb-4abb-8076-e828304ad185</stp>
        <tr r="G2363" s="2"/>
      </tp>
    </main>
    <main first="rtdsrv_a82eb5a1fc404542a18b1336b70d2c4e">
      <tp>
        <v>5</v>
        <stp/>
        <stp>a3c119a3-e78f-4f61-897d-b4c5b4af53ce</stp>
        <tr r="G2673" s="2"/>
      </tp>
      <tp>
        <v>5</v>
        <stp/>
        <stp>ed2ceb3f-93eb-46be-8513-eef5ad1180f4</stp>
        <tr r="G8190" s="2"/>
      </tp>
      <tp>
        <v>5</v>
        <stp/>
        <stp>8276f30d-ab76-4b5b-9ec9-090896d8648f</stp>
        <tr r="G8097" s="2"/>
      </tp>
      <tp>
        <v>5</v>
        <stp/>
        <stp>f8010a58-91d8-4e64-b9c2-541048cf1adf</stp>
        <tr r="G54" s="2"/>
      </tp>
      <tp>
        <v>5</v>
        <stp/>
        <stp>a10b2805-4ad8-43d0-a4e1-aa77ca2142dc</stp>
        <tr r="G3743" s="2"/>
      </tp>
    </main>
    <main first="rtdsrv_a82eb5a1fc404542a18b1336b70d2c4e">
      <tp>
        <v>5</v>
        <stp/>
        <stp>596859ce-f366-4581-89b9-a841f4c3dc9b</stp>
        <tr r="G6901" s="2"/>
      </tp>
    </main>
    <main first="rtdsrv_a82eb5a1fc404542a18b1336b70d2c4e">
      <tp>
        <v>5</v>
        <stp/>
        <stp>d271d757-5a03-45ad-94ad-72f55ed8c846</stp>
        <tr r="G5726" s="2"/>
      </tp>
      <tp>
        <v>5</v>
        <stp/>
        <stp>aec4b1d2-24df-43ee-b39c-4d02c6ba523b</stp>
        <tr r="G8183" s="2"/>
      </tp>
      <tp>
        <v>5</v>
        <stp/>
        <stp>135543cd-d42e-4b1e-b38d-3d7dacb50db9</stp>
        <tr r="G7830" s="2"/>
      </tp>
    </main>
    <main first="rtdsrv_a82eb5a1fc404542a18b1336b70d2c4e">
      <tp>
        <v>5</v>
        <stp/>
        <stp>348dd1ee-3bc0-4116-9eb8-942d456fb929</stp>
        <tr r="G4620" s="2"/>
      </tp>
    </main>
    <main first="rtdsrv_a82eb5a1fc404542a18b1336b70d2c4e">
      <tp>
        <v>5</v>
        <stp/>
        <stp>bad235d1-9740-4f5b-b36d-36d4a3eb7fc9</stp>
        <tr r="G1100" s="2"/>
      </tp>
      <tp>
        <v>5</v>
        <stp/>
        <stp>dd3e5a6f-65d2-4e9a-b477-4806c7006068</stp>
        <tr r="G9746" s="2"/>
      </tp>
    </main>
    <main first="rtdsrv_a82eb5a1fc404542a18b1336b70d2c4e">
      <tp>
        <v>5</v>
        <stp/>
        <stp>4717d8c0-33a2-46d2-ae71-a29e1ebc6497</stp>
        <tr r="G3797" s="2"/>
      </tp>
    </main>
    <main first="rtdsrv_a82eb5a1fc404542a18b1336b70d2c4e">
      <tp>
        <v>5</v>
        <stp/>
        <stp>1239e801-ddba-446c-a3b2-fff1177fad6f</stp>
        <tr r="G2668" s="2"/>
      </tp>
    </main>
    <main first="rtdsrv_a82eb5a1fc404542a18b1336b70d2c4e">
      <tp>
        <v>5</v>
        <stp/>
        <stp>d54da423-b7d2-4e5a-830d-7a3789bc8062</stp>
        <tr r="G2025" s="2"/>
      </tp>
    </main>
    <main first="rtdsrv_a82eb5a1fc404542a18b1336b70d2c4e">
      <tp>
        <v>5</v>
        <stp/>
        <stp>4b10937f-82f1-4500-9969-a6cf828521d9</stp>
        <tr r="G5730" s="2"/>
      </tp>
      <tp>
        <v>5</v>
        <stp/>
        <stp>4ce92815-5e44-4683-93a1-b331169b5c83</stp>
        <tr r="G6107" s="2"/>
      </tp>
    </main>
    <main first="rtdsrv_a82eb5a1fc404542a18b1336b70d2c4e">
      <tp>
        <v>5</v>
        <stp/>
        <stp>94873050-c0a6-4bef-bba8-0b7aba2ee923</stp>
        <tr r="G4029" s="2"/>
      </tp>
      <tp>
        <v>5</v>
        <stp/>
        <stp>121c3154-1b18-4cea-ab15-43e7c858a319</stp>
        <tr r="G9253" s="2"/>
      </tp>
    </main>
    <main first="rtdsrv_a82eb5a1fc404542a18b1336b70d2c4e">
      <tp>
        <v>5</v>
        <stp/>
        <stp>9b982921-b8a1-43da-8fd7-8a1600736708</stp>
        <tr r="G1619" s="2"/>
      </tp>
      <tp>
        <v>5</v>
        <stp/>
        <stp>9eaaec8b-ef85-4615-acf9-583ae0bd8be2</stp>
        <tr r="G1036" s="2"/>
      </tp>
      <tp>
        <v>5</v>
        <stp/>
        <stp>4a850fd3-0901-4218-b136-4de4675a8503</stp>
        <tr r="G4205" s="2"/>
      </tp>
    </main>
    <main first="rtdsrv_a82eb5a1fc404542a18b1336b70d2c4e">
      <tp>
        <v>5</v>
        <stp/>
        <stp>b4c443bb-7c03-46d9-9a11-87b9b1feadd8</stp>
        <tr r="G3528" s="2"/>
      </tp>
      <tp>
        <v>5</v>
        <stp/>
        <stp>9b3dfc05-077a-443c-99fe-f37469d33d1b</stp>
        <tr r="G8836" s="2"/>
      </tp>
    </main>
    <main first="rtdsrv_a82eb5a1fc404542a18b1336b70d2c4e">
      <tp>
        <v>5</v>
        <stp/>
        <stp>8aeb5c1c-a3c9-4511-940f-9709f92b560a</stp>
        <tr r="G193" s="2"/>
      </tp>
    </main>
    <main first="rtdsrv_a82eb5a1fc404542a18b1336b70d2c4e">
      <tp>
        <v>5</v>
        <stp/>
        <stp>153bf63f-76a1-44b7-9feb-5672a8de924f</stp>
        <tr r="G675" s="2"/>
      </tp>
      <tp>
        <v>5</v>
        <stp/>
        <stp>655804b7-68bc-48be-9899-a39893e021fa</stp>
        <tr r="G2732" s="2"/>
      </tp>
      <tp>
        <v>5</v>
        <stp/>
        <stp>a48a0036-80d4-4aaa-8f75-e72c05d63248</stp>
        <tr r="G1394" s="2"/>
      </tp>
    </main>
    <main first="rtdsrv_a82eb5a1fc404542a18b1336b70d2c4e">
      <tp>
        <v>5</v>
        <stp/>
        <stp>00dd8df6-e43e-4002-a1b8-ffa3cdbf29af</stp>
        <tr r="G9314" s="2"/>
      </tp>
    </main>
    <main first="rtdsrv_a82eb5a1fc404542a18b1336b70d2c4e">
      <tp>
        <v>5</v>
        <stp/>
        <stp>6822c8eb-be15-440a-80ce-a96e74514787</stp>
        <tr r="G3055" s="2"/>
      </tp>
    </main>
    <main first="rtdsrv_a82eb5a1fc404542a18b1336b70d2c4e">
      <tp>
        <v>5</v>
        <stp/>
        <stp>b697c7a7-8dbc-4b7d-972e-c4f29ca64b23</stp>
        <tr r="G8749" s="2"/>
      </tp>
    </main>
    <main first="rtdsrv_a82eb5a1fc404542a18b1336b70d2c4e">
      <tp>
        <v>5</v>
        <stp/>
        <stp>a3af6246-0602-474d-ab48-68d74667b5e9</stp>
        <tr r="G6157" s="2"/>
      </tp>
    </main>
    <main first="rtdsrv_a82eb5a1fc404542a18b1336b70d2c4e">
      <tp>
        <v>5</v>
        <stp/>
        <stp>f5e71806-fd5a-45b6-9fd9-ffb08add8db8</stp>
        <tr r="G939" s="2"/>
      </tp>
    </main>
    <main first="rtdsrv_a82eb5a1fc404542a18b1336b70d2c4e">
      <tp>
        <v>5</v>
        <stp/>
        <stp>93980ac6-8208-4a43-896d-403f05cf0009</stp>
        <tr r="G2897" s="2"/>
      </tp>
      <tp>
        <v>5</v>
        <stp/>
        <stp>cf230f52-8a35-4e81-a42e-fa4a2e940eb9</stp>
        <tr r="G4355" s="2"/>
      </tp>
      <tp>
        <v>5</v>
        <stp/>
        <stp>a4619505-3bc5-438b-9f58-bde45c7938ce</stp>
        <tr r="G7824" s="2"/>
      </tp>
      <tp>
        <v>5</v>
        <stp/>
        <stp>1205fd2f-49a1-451e-92ab-6af78dc53919</stp>
        <tr r="G9552" s="2"/>
      </tp>
    </main>
    <main first="rtdsrv_a82eb5a1fc404542a18b1336b70d2c4e">
      <tp>
        <v>5</v>
        <stp/>
        <stp>93fe0756-3e48-4b35-a278-d1cdc803af00</stp>
        <tr r="G4045" s="2"/>
      </tp>
    </main>
    <main first="rtdsrv_a82eb5a1fc404542a18b1336b70d2c4e">
      <tp>
        <v>5</v>
        <stp/>
        <stp>b866d605-bb23-43c0-9a21-3783771f541b</stp>
        <tr r="G4953" s="2"/>
      </tp>
      <tp>
        <v>5</v>
        <stp/>
        <stp>11405a69-4b68-4afb-aeb8-a8fef60f90c2</stp>
        <tr r="G230" s="2"/>
      </tp>
    </main>
    <main first="rtdsrv_a82eb5a1fc404542a18b1336b70d2c4e">
      <tp>
        <v>5</v>
        <stp/>
        <stp>bf154714-a41c-42d4-935a-e96bc7931e7c</stp>
        <tr r="G8842" s="2"/>
      </tp>
      <tp>
        <v>5</v>
        <stp/>
        <stp>7b58d0bb-ee87-4bd9-8a19-313a4d1bd0d1</stp>
        <tr r="G4375" s="2"/>
      </tp>
    </main>
    <main first="rtdsrv_a82eb5a1fc404542a18b1336b70d2c4e">
      <tp>
        <v>5</v>
        <stp/>
        <stp>a0a70f66-09f1-45aa-a3e6-c0bd31a73965</stp>
        <tr r="G8117" s="2"/>
      </tp>
    </main>
    <main first="rtdsrv_a82eb5a1fc404542a18b1336b70d2c4e">
      <tp>
        <v>5</v>
        <stp/>
        <stp>37a122cf-9587-422f-85e1-dffe248f2751</stp>
        <tr r="G4466" s="2"/>
      </tp>
      <tp>
        <v>5</v>
        <stp/>
        <stp>7d93999d-1cfa-40bc-b417-13a91b98f5a5</stp>
        <tr r="G1350" s="2"/>
      </tp>
      <tp>
        <v>5</v>
        <stp/>
        <stp>f9403b3c-7fc1-4497-9467-fdc916a46e9b</stp>
        <tr r="G4631" s="2"/>
      </tp>
    </main>
    <main first="rtdsrv_a82eb5a1fc404542a18b1336b70d2c4e">
      <tp>
        <v>5</v>
        <stp/>
        <stp>b82cd392-adb9-484b-96b0-4be58b1fd0f9</stp>
        <tr r="G1424" s="2"/>
      </tp>
    </main>
    <main first="rtdsrv_a82eb5a1fc404542a18b1336b70d2c4e">
      <tp>
        <v>5</v>
        <stp/>
        <stp>2247bf98-2f35-48fa-bd48-a99f33291c5a</stp>
        <tr r="G2260" s="2"/>
      </tp>
    </main>
    <main first="rtdsrv_a82eb5a1fc404542a18b1336b70d2c4e">
      <tp>
        <v>5</v>
        <stp/>
        <stp>3bae9b61-08d8-4fb8-9702-d69a6d832029</stp>
        <tr r="G8219" s="2"/>
      </tp>
      <tp>
        <v>5</v>
        <stp/>
        <stp>6bb72dc4-982d-4505-80c3-c1d437655569</stp>
        <tr r="G2531" s="2"/>
      </tp>
      <tp>
        <v>5</v>
        <stp/>
        <stp>ea879bda-636e-4bf8-b1bb-dab337107c0e</stp>
        <tr r="G5612" s="2"/>
      </tp>
    </main>
    <main first="rtdsrv_a82eb5a1fc404542a18b1336b70d2c4e">
      <tp>
        <v>5</v>
        <stp/>
        <stp>a0bcbb4c-45e1-4fc4-b900-694bb5187487</stp>
        <tr r="G9965" s="2"/>
      </tp>
    </main>
    <main first="rtdsrv_a82eb5a1fc404542a18b1336b70d2c4e">
      <tp>
        <v>5</v>
        <stp/>
        <stp>c832bb41-357e-4f5a-8749-2fc33f37cf59</stp>
        <tr r="G8071" s="2"/>
      </tp>
      <tp>
        <v>5</v>
        <stp/>
        <stp>4e8a83d8-93ec-4f55-a5f8-4f99f332f33a</stp>
        <tr r="G2502" s="2"/>
      </tp>
      <tp>
        <v>5</v>
        <stp/>
        <stp>462ee42c-61e9-41f5-80ef-85b912b1f991</stp>
        <tr r="G9617" s="2"/>
      </tp>
    </main>
    <main first="rtdsrv_a82eb5a1fc404542a18b1336b70d2c4e">
      <tp>
        <v>5</v>
        <stp/>
        <stp>1b4428a5-89c0-466f-8183-3a0596c931b8</stp>
        <tr r="G5284" s="2"/>
      </tp>
    </main>
    <main first="rtdsrv_a82eb5a1fc404542a18b1336b70d2c4e">
      <tp>
        <v>5</v>
        <stp/>
        <stp>a134593a-d3d4-4486-b3d1-bed12990c80b</stp>
        <tr r="G1016" s="2"/>
      </tp>
    </main>
    <main first="rtdsrv_a82eb5a1fc404542a18b1336b70d2c4e">
      <tp>
        <v>5</v>
        <stp/>
        <stp>c2c0dada-f83c-4869-b92e-b118a31f0f5c</stp>
        <tr r="G700" s="2"/>
      </tp>
      <tp>
        <v>5</v>
        <stp/>
        <stp>89de1169-ec3b-44f6-9707-9bf5ba7ee287</stp>
        <tr r="G1820" s="2"/>
      </tp>
      <tp>
        <v>5</v>
        <stp/>
        <stp>539f19e5-ad0a-4616-9005-cbdc53591f31</stp>
        <tr r="G3341" s="2"/>
      </tp>
      <tp>
        <v>5</v>
        <stp/>
        <stp>08abcadb-f818-47ba-8c44-250803e25634</stp>
        <tr r="G2551" s="2"/>
      </tp>
    </main>
    <main first="rtdsrv_a82eb5a1fc404542a18b1336b70d2c4e">
      <tp>
        <v>5</v>
        <stp/>
        <stp>39a03068-8892-4323-918a-8b02fdc5af26</stp>
        <tr r="G6321" s="2"/>
      </tp>
    </main>
    <main first="rtdsrv_a82eb5a1fc404542a18b1336b70d2c4e">
      <tp>
        <v>5</v>
        <stp/>
        <stp>53e87d5c-f998-4883-bd7a-2ef3e8e8f2da</stp>
        <tr r="G8994" s="2"/>
      </tp>
    </main>
    <main first="rtdsrv_a82eb5a1fc404542a18b1336b70d2c4e">
      <tp>
        <v>5</v>
        <stp/>
        <stp>a1c2dd9c-8a0c-4640-91dd-65a54b50b4d8</stp>
        <tr r="G4148" s="2"/>
      </tp>
    </main>
    <main first="rtdsrv_a82eb5a1fc404542a18b1336b70d2c4e">
      <tp>
        <v>5</v>
        <stp/>
        <stp>c506f7fa-06b3-4d1b-9415-958e59ce07a1</stp>
        <tr r="G3161" s="2"/>
      </tp>
      <tp>
        <v>5</v>
        <stp/>
        <stp>d004c96b-ef7f-46c2-97b8-4b0fc37e0707</stp>
        <tr r="G4419" s="2"/>
      </tp>
    </main>
    <main first="rtdsrv_a82eb5a1fc404542a18b1336b70d2c4e">
      <tp>
        <v>5</v>
        <stp/>
        <stp>70cb1b4d-87b6-48dd-9341-2422b28ccf30</stp>
        <tr r="G7825" s="2"/>
      </tp>
      <tp>
        <v>5</v>
        <stp/>
        <stp>f6a4e513-02c0-4c14-8e9b-ab18808746a4</stp>
        <tr r="G3807" s="2"/>
      </tp>
    </main>
    <main first="rtdsrv_a82eb5a1fc404542a18b1336b70d2c4e">
      <tp>
        <v>5</v>
        <stp/>
        <stp>867e05fd-5ef4-46c4-8bca-5f9828559e1f</stp>
        <tr r="G1240" s="2"/>
      </tp>
    </main>
    <main first="rtdsrv_a82eb5a1fc404542a18b1336b70d2c4e">
      <tp>
        <v>5</v>
        <stp/>
        <stp>c2ab1fe8-67b1-4a59-a621-4699b31656c1</stp>
        <tr r="G2052" s="2"/>
      </tp>
    </main>
    <main first="rtdsrv_a82eb5a1fc404542a18b1336b70d2c4e">
      <tp>
        <v>5</v>
        <stp/>
        <stp>fe872641-fe4b-4af2-ad7f-4cf851207828</stp>
        <tr r="G2287" s="2"/>
      </tp>
    </main>
    <main first="rtdsrv_a82eb5a1fc404542a18b1336b70d2c4e">
      <tp>
        <v>5</v>
        <stp/>
        <stp>4b49599d-cc96-4a5c-8435-c476c2416413</stp>
        <tr r="G1453" s="2"/>
      </tp>
    </main>
    <main first="rtdsrv_a82eb5a1fc404542a18b1336b70d2c4e">
      <tp>
        <v>5</v>
        <stp/>
        <stp>b379513c-cbee-4f65-88d0-3196096dbb0c</stp>
        <tr r="G6294" s="2"/>
      </tp>
    </main>
    <main first="rtdsrv_a82eb5a1fc404542a18b1336b70d2c4e">
      <tp>
        <v>5</v>
        <stp/>
        <stp>3bed7fe7-8f6e-4c09-9f29-e72a39e3dca3</stp>
        <tr r="G5727" s="2"/>
      </tp>
    </main>
    <main first="rtdsrv_a82eb5a1fc404542a18b1336b70d2c4e">
      <tp>
        <v>5</v>
        <stp/>
        <stp>7ac7928d-d5e5-4754-8977-826fe9413e25</stp>
        <tr r="G8537" s="2"/>
      </tp>
      <tp>
        <v>5</v>
        <stp/>
        <stp>e278c273-93a9-4448-b9cf-17ecc98866ba</stp>
        <tr r="G1809" s="2"/>
      </tp>
      <tp>
        <v>5</v>
        <stp/>
        <stp>d49fd779-35bf-4049-a556-1170263c0ac8</stp>
        <tr r="G7766" s="2"/>
      </tp>
    </main>
    <main first="rtdsrv_a82eb5a1fc404542a18b1336b70d2c4e">
      <tp>
        <v>5</v>
        <stp/>
        <stp>b1a99f1d-e9d8-4939-a4fb-7322e70693cf</stp>
        <tr r="G7439" s="2"/>
      </tp>
      <tp>
        <v>5</v>
        <stp/>
        <stp>1442e546-6f27-42cb-a090-6190e228857b</stp>
        <tr r="G2205" s="2"/>
      </tp>
    </main>
    <main first="rtdsrv_a82eb5a1fc404542a18b1336b70d2c4e">
      <tp>
        <v>5</v>
        <stp/>
        <stp>fc70f4db-e8e3-4dce-836e-03d310f848f7</stp>
        <tr r="G4233" s="2"/>
      </tp>
      <tp>
        <v>5</v>
        <stp/>
        <stp>06f3edbd-2473-4b89-bd5b-c30f8c1d2f90</stp>
        <tr r="G7394" s="2"/>
      </tp>
    </main>
    <main first="rtdsrv_a82eb5a1fc404542a18b1336b70d2c4e">
      <tp>
        <v>5</v>
        <stp/>
        <stp>2f9f3116-dffa-441c-b076-5a01be042929</stp>
        <tr r="G2248" s="2"/>
      </tp>
    </main>
    <main first="rtdsrv_a82eb5a1fc404542a18b1336b70d2c4e">
      <tp>
        <v>5</v>
        <stp/>
        <stp>8dcdb91b-a7fe-4f36-a5b6-eed81d8483e2</stp>
        <tr r="G4067" s="2"/>
      </tp>
      <tp>
        <v>5</v>
        <stp/>
        <stp>9e088feb-1e56-4dc7-8179-76c22f979882</stp>
        <tr r="G9102" s="2"/>
      </tp>
    </main>
    <main first="rtdsrv_a82eb5a1fc404542a18b1336b70d2c4e">
      <tp>
        <v>5</v>
        <stp/>
        <stp>a5b12b54-9cc3-43d6-8d11-c4f4c298b51d</stp>
        <tr r="G9668" s="2"/>
      </tp>
    </main>
    <main first="rtdsrv_a82eb5a1fc404542a18b1336b70d2c4e">
      <tp>
        <v>5</v>
        <stp/>
        <stp>67ec5099-5d70-4968-88e0-ddbf8f555745</stp>
        <tr r="G8528" s="2"/>
      </tp>
    </main>
    <main first="rtdsrv_a82eb5a1fc404542a18b1336b70d2c4e">
      <tp>
        <v>5</v>
        <stp/>
        <stp>5254457e-af29-43ee-b2a1-1577399a4400</stp>
        <tr r="G1795" s="2"/>
      </tp>
    </main>
    <main first="rtdsrv_a82eb5a1fc404542a18b1336b70d2c4e">
      <tp>
        <v>5</v>
        <stp/>
        <stp>f3f5a07d-7ada-44ab-8f11-62ac4828c795</stp>
        <tr r="G4481" s="2"/>
      </tp>
    </main>
    <main first="rtdsrv_a82eb5a1fc404542a18b1336b70d2c4e">
      <tp>
        <v>5</v>
        <stp/>
        <stp>eb52d46a-05c3-4aba-9db1-02e4a4022994</stp>
        <tr r="G5466" s="2"/>
      </tp>
      <tp>
        <v>5</v>
        <stp/>
        <stp>d4175457-4226-41c9-afde-904a27f624e0</stp>
        <tr r="G9283" s="2"/>
      </tp>
      <tp>
        <v>5</v>
        <stp/>
        <stp>0b25aa90-7223-449f-ac8b-413c78568991</stp>
        <tr r="G1566" s="2"/>
      </tp>
      <tp>
        <v>5</v>
        <stp/>
        <stp>ae44584c-7d40-48cd-8010-1c11f31e9507</stp>
        <tr r="G6484" s="2"/>
      </tp>
    </main>
    <main first="rtdsrv_a82eb5a1fc404542a18b1336b70d2c4e">
      <tp>
        <v>5</v>
        <stp/>
        <stp>3dd247f0-dd02-40da-b73f-98539f4b2ae0</stp>
        <tr r="G7275" s="2"/>
      </tp>
      <tp>
        <v>5</v>
        <stp/>
        <stp>8f7fc9c1-b8e6-48c9-a277-3a0ab972e189</stp>
        <tr r="G4619" s="2"/>
      </tp>
    </main>
    <main first="rtdsrv_a82eb5a1fc404542a18b1336b70d2c4e">
      <tp>
        <v>5</v>
        <stp/>
        <stp>bc245b3a-0852-4d5e-8653-c8ed9e35ff8e</stp>
        <tr r="G1779" s="2"/>
      </tp>
      <tp>
        <v>5</v>
        <stp/>
        <stp>b1c0eeee-932b-49ee-bf61-3575aca1c261</stp>
        <tr r="G9879" s="2"/>
      </tp>
      <tp>
        <v>5</v>
        <stp/>
        <stp>787aed79-21bc-4e14-83e2-cc5bb4c9f215</stp>
        <tr r="G4413" s="2"/>
      </tp>
      <tp>
        <v>5</v>
        <stp/>
        <stp>273f8af1-061a-4c3a-8a0b-f646cbe4f944</stp>
        <tr r="G2391" s="2"/>
      </tp>
    </main>
    <main first="rtdsrv_a82eb5a1fc404542a18b1336b70d2c4e">
      <tp>
        <v>5</v>
        <stp/>
        <stp>ed4aa377-95f6-4af7-a75b-035f7f1ffc4a</stp>
        <tr r="G8566" s="2"/>
      </tp>
    </main>
    <main first="rtdsrv_a82eb5a1fc404542a18b1336b70d2c4e">
      <tp>
        <v>5</v>
        <stp/>
        <stp>a56b3587-c25c-4e10-9882-de725ed7019b</stp>
        <tr r="G977" s="2"/>
      </tp>
      <tp>
        <v>5</v>
        <stp/>
        <stp>7403fce0-7f6a-4f20-aa1d-e6b57431e9c3</stp>
        <tr r="G3314" s="2"/>
      </tp>
      <tp>
        <v>5</v>
        <stp/>
        <stp>e4f21eae-e42f-4921-9fe0-4344891c90c4</stp>
        <tr r="G6094" s="2"/>
      </tp>
    </main>
    <main first="rtdsrv_a82eb5a1fc404542a18b1336b70d2c4e">
      <tp>
        <v>5</v>
        <stp/>
        <stp>23ca2e84-4c7c-4ba2-8b57-90f28743a886</stp>
        <tr r="G4543" s="2"/>
      </tp>
    </main>
    <main first="rtdsrv_a82eb5a1fc404542a18b1336b70d2c4e">
      <tp>
        <v>5</v>
        <stp/>
        <stp>c572b49f-2d22-43d9-89c4-2594b710c13b</stp>
        <tr r="G3876" s="2"/>
      </tp>
      <tp>
        <v>5</v>
        <stp/>
        <stp>beec7ca3-6828-4955-8d98-a3a19c4fc64a</stp>
        <tr r="G5299" s="2"/>
      </tp>
      <tp>
        <v>5</v>
        <stp/>
        <stp>47602fca-84c7-44d6-adf7-0c4993687310</stp>
        <tr r="G9770" s="2"/>
      </tp>
    </main>
    <main first="rtdsrv_a82eb5a1fc404542a18b1336b70d2c4e">
      <tp>
        <v>5</v>
        <stp/>
        <stp>141b9cc0-81e3-4373-8d00-1f0042dc6bb1</stp>
        <tr r="G8317" s="2"/>
      </tp>
    </main>
    <main first="rtdsrv_a82eb5a1fc404542a18b1336b70d2c4e">
      <tp>
        <v>5</v>
        <stp/>
        <stp>8fdcbd40-1a1d-4b40-874f-c8c1c1cc4d22</stp>
        <tr r="G7163" s="2"/>
      </tp>
      <tp>
        <v>5</v>
        <stp/>
        <stp>d7e6e15b-3dfa-4c78-8d1c-ce07e2374110</stp>
        <tr r="G8745" s="2"/>
      </tp>
    </main>
    <main first="rtdsrv_a82eb5a1fc404542a18b1336b70d2c4e">
      <tp>
        <v>5</v>
        <stp/>
        <stp>efd3039c-cfe4-490c-8962-66ca2643b98c</stp>
        <tr r="G9962" s="2"/>
      </tp>
    </main>
    <main first="rtdsrv_a82eb5a1fc404542a18b1336b70d2c4e">
      <tp>
        <v>5</v>
        <stp/>
        <stp>66194816-273b-4478-89ac-0803d4c1b3a0</stp>
        <tr r="G8156" s="2"/>
      </tp>
      <tp>
        <v>5</v>
        <stp/>
        <stp>c90bd531-6817-4ee9-9468-dc23885a64ba</stp>
        <tr r="G4109" s="2"/>
      </tp>
    </main>
    <main first="rtdsrv_a82eb5a1fc404542a18b1336b70d2c4e">
      <tp>
        <v>5</v>
        <stp/>
        <stp>8b785366-e9de-4fdd-bce9-ae18e83682e4</stp>
        <tr r="G229" s="2"/>
      </tp>
    </main>
    <main first="rtdsrv_a82eb5a1fc404542a18b1336b70d2c4e">
      <tp>
        <v>5</v>
        <stp/>
        <stp>a8ecb4e5-8b3d-4a70-820b-18bb97661a29</stp>
        <tr r="G2753" s="2"/>
      </tp>
      <tp>
        <v>5</v>
        <stp/>
        <stp>541dd76d-f28e-4cde-bd90-412961bacc33</stp>
        <tr r="G8464" s="2"/>
      </tp>
    </main>
    <main first="rtdsrv_a82eb5a1fc404542a18b1336b70d2c4e">
      <tp>
        <v>5</v>
        <stp/>
        <stp>eeed8c1b-4628-4770-8e12-98f097e72f5a</stp>
        <tr r="G5413" s="2"/>
      </tp>
      <tp>
        <v>5</v>
        <stp/>
        <stp>e709ec46-ec82-4604-91a1-07c990ba2918</stp>
        <tr r="G1106" s="2"/>
      </tp>
      <tp>
        <v>5</v>
        <stp/>
        <stp>5f2adaf5-5d85-4a3b-a736-79cf5130610c</stp>
        <tr r="G7366" s="2"/>
      </tp>
    </main>
    <main first="rtdsrv_a82eb5a1fc404542a18b1336b70d2c4e">
      <tp>
        <v>5</v>
        <stp/>
        <stp>b7ba4800-30bd-4e52-8ee1-f56adbf17fee</stp>
        <tr r="G3526" s="2"/>
      </tp>
    </main>
    <main first="rtdsrv_a82eb5a1fc404542a18b1336b70d2c4e">
      <tp>
        <v>5</v>
        <stp/>
        <stp>d73cfa34-5f3c-42af-a245-2d37f6d029c2</stp>
        <tr r="G1477" s="2"/>
      </tp>
      <tp>
        <v>5</v>
        <stp/>
        <stp>7d5d31f9-54a2-4e5b-b0e3-4519600c182b</stp>
        <tr r="G3497" s="2"/>
      </tp>
      <tp>
        <v>5</v>
        <stp/>
        <stp>97b89cb4-1769-4f86-a921-94b019278619</stp>
        <tr r="G4090" s="2"/>
      </tp>
      <tp>
        <v>5</v>
        <stp/>
        <stp>02104024-4d16-4efe-9e3a-69bda701f431</stp>
        <tr r="G4277" s="2"/>
      </tp>
    </main>
    <main first="rtdsrv_a82eb5a1fc404542a18b1336b70d2c4e">
      <tp>
        <v>5</v>
        <stp/>
        <stp>c433dc5f-5e26-4fc2-8d9f-542283aa1410</stp>
        <tr r="G7639" s="2"/>
      </tp>
    </main>
    <main first="rtdsrv_a82eb5a1fc404542a18b1336b70d2c4e">
      <tp>
        <v>5</v>
        <stp/>
        <stp>f30bfe49-1c07-4558-9b40-7cfd3d4316e5</stp>
        <tr r="G921" s="2"/>
      </tp>
    </main>
    <main first="rtdsrv_a82eb5a1fc404542a18b1336b70d2c4e">
      <tp>
        <v>5</v>
        <stp/>
        <stp>1fc60b5a-0be5-434d-a481-25419e565bde</stp>
        <tr r="G9952" s="2"/>
      </tp>
      <tp>
        <v>5</v>
        <stp/>
        <stp>bbcdedf0-ac47-415c-90f1-e65b39d1c7f6</stp>
        <tr r="G3844" s="2"/>
      </tp>
    </main>
    <main first="rtdsrv_a82eb5a1fc404542a18b1336b70d2c4e">
      <tp>
        <v>5</v>
        <stp/>
        <stp>718f1d95-5e20-4ee9-b5d3-030fad0f5073</stp>
        <tr r="G5933" s="2"/>
      </tp>
    </main>
    <main first="rtdsrv_a82eb5a1fc404542a18b1336b70d2c4e">
      <tp>
        <v>5</v>
        <stp/>
        <stp>c9e16d1c-ac31-46bf-861a-4f4d4a1a6638</stp>
        <tr r="G5929" s="2"/>
      </tp>
      <tp>
        <v>5</v>
        <stp/>
        <stp>0b661ad5-70b5-469f-81f4-0843b2169d36</stp>
        <tr r="G3440" s="2"/>
      </tp>
    </main>
    <main first="rtdsrv_a82eb5a1fc404542a18b1336b70d2c4e">
      <tp>
        <v>5</v>
        <stp/>
        <stp>1090e2d5-d70f-4f18-84ea-938dae6e87e2</stp>
        <tr r="G5870" s="2"/>
      </tp>
    </main>
    <main first="rtdsrv_a82eb5a1fc404542a18b1336b70d2c4e">
      <tp>
        <v>5</v>
        <stp/>
        <stp>abf6dd76-10b3-497c-9137-9978234e275d</stp>
        <tr r="G4807" s="2"/>
      </tp>
    </main>
    <main first="rtdsrv_a82eb5a1fc404542a18b1336b70d2c4e">
      <tp>
        <v>5</v>
        <stp/>
        <stp>87e2cd5c-3a01-47da-a882-a9a779481c76</stp>
        <tr r="G9891" s="2"/>
      </tp>
    </main>
    <main first="rtdsrv_a82eb5a1fc404542a18b1336b70d2c4e">
      <tp>
        <v>5</v>
        <stp/>
        <stp>15d6bef4-b400-4589-9711-ecc16134c263</stp>
        <tr r="G4916" s="2"/>
      </tp>
      <tp>
        <v>5</v>
        <stp/>
        <stp>dd3b7a43-2dd1-4f39-936f-c21a3f10c6d2</stp>
        <tr r="G8490" s="2"/>
      </tp>
    </main>
    <main first="rtdsrv_a82eb5a1fc404542a18b1336b70d2c4e">
      <tp>
        <v>5</v>
        <stp/>
        <stp>8a016373-ad97-4c86-86dc-c25a88f3712c</stp>
        <tr r="G3942" s="2"/>
      </tp>
      <tp>
        <v>5</v>
        <stp/>
        <stp>708bde8e-1f53-4c5d-a392-02714ed1a4fa</stp>
        <tr r="G6633" s="2"/>
      </tp>
    </main>
    <main first="rtdsrv_a82eb5a1fc404542a18b1336b70d2c4e">
      <tp>
        <v>5</v>
        <stp/>
        <stp>1bebecac-eb69-4965-ad96-4213358c958f</stp>
        <tr r="G6442" s="2"/>
      </tp>
      <tp>
        <v>5</v>
        <stp/>
        <stp>2220810c-6720-4df7-91c1-186d5e1fefbd</stp>
        <tr r="G8798" s="2"/>
      </tp>
      <tp>
        <v>5</v>
        <stp/>
        <stp>d4a7e530-c27b-4359-9fb5-e518f5685c3a</stp>
        <tr r="G850" s="2"/>
      </tp>
    </main>
    <main first="rtdsrv_a82eb5a1fc404542a18b1336b70d2c4e">
      <tp>
        <v>5</v>
        <stp/>
        <stp>1679dff8-ed55-443b-90a7-67aa682efc31</stp>
        <tr r="G1896" s="2"/>
      </tp>
      <tp>
        <v>5</v>
        <stp/>
        <stp>cbb98cd1-ac62-4267-91cd-9ed84341b833</stp>
        <tr r="G2860" s="2"/>
      </tp>
    </main>
    <main first="rtdsrv_a82eb5a1fc404542a18b1336b70d2c4e">
      <tp>
        <v>5</v>
        <stp/>
        <stp>e194688d-9285-4eb7-9da6-d8b80538116b</stp>
        <tr r="G3673" s="2"/>
      </tp>
      <tp>
        <v>5</v>
        <stp/>
        <stp>13a174bd-a611-412f-a4a3-6607f40529da</stp>
        <tr r="G3963" s="2"/>
      </tp>
      <tp>
        <v>5</v>
        <stp/>
        <stp>bd65155e-6efc-4afd-a1b7-8233807df976</stp>
        <tr r="G1474" s="2"/>
      </tp>
    </main>
    <main first="rtdsrv_a82eb5a1fc404542a18b1336b70d2c4e">
      <tp>
        <v>5</v>
        <stp/>
        <stp>dcab1e3e-bc6e-471d-86d5-4d6f4bc49833</stp>
        <tr r="G4104" s="2"/>
      </tp>
      <tp>
        <v>5</v>
        <stp/>
        <stp>1288c903-3bd4-4667-b408-d164b53e7a50</stp>
        <tr r="G8050" s="2"/>
      </tp>
      <tp>
        <v>5</v>
        <stp/>
        <stp>c8c2353a-b792-483f-b3d7-a3f5353661f6</stp>
        <tr r="G7093" s="2"/>
      </tp>
    </main>
    <main first="rtdsrv_a82eb5a1fc404542a18b1336b70d2c4e">
      <tp>
        <v>5</v>
        <stp/>
        <stp>e1305fc2-8d92-401a-b1db-e0ed8a529ae6</stp>
        <tr r="G709" s="2"/>
      </tp>
      <tp>
        <v>5</v>
        <stp/>
        <stp>fb247023-52fd-49da-959a-9bc526fdc159</stp>
        <tr r="G9364" s="2"/>
      </tp>
    </main>
    <main first="rtdsrv_a82eb5a1fc404542a18b1336b70d2c4e">
      <tp>
        <v>5</v>
        <stp/>
        <stp>09438365-abc1-4a93-a2d0-f5d1f1ffeb1e</stp>
        <tr r="G7207" s="2"/>
      </tp>
      <tp>
        <v>5</v>
        <stp/>
        <stp>46238839-7534-4dbe-99be-72654552ec14</stp>
        <tr r="G1692" s="2"/>
      </tp>
    </main>
    <main first="rtdsrv_a82eb5a1fc404542a18b1336b70d2c4e">
      <tp>
        <v>5</v>
        <stp/>
        <stp>65d0688f-c617-4b70-b35e-c1824a152ae8</stp>
        <tr r="G6750" s="2"/>
      </tp>
    </main>
    <main first="rtdsrv_a82eb5a1fc404542a18b1336b70d2c4e">
      <tp>
        <v>5</v>
        <stp/>
        <stp>9848f5b9-15e0-4ccc-9845-21630cfe9ce0</stp>
        <tr r="G8662" s="2"/>
      </tp>
    </main>
    <main first="rtdsrv_a82eb5a1fc404542a18b1336b70d2c4e">
      <tp>
        <v>5</v>
        <stp/>
        <stp>82f1372f-0065-46cc-8a05-c84480b3b4d2</stp>
        <tr r="G2085" s="2"/>
      </tp>
      <tp>
        <v>5</v>
        <stp/>
        <stp>31a0d951-1bb7-4c87-b6f5-39c8b210b921</stp>
        <tr r="G9184" s="2"/>
      </tp>
      <tp>
        <v>5</v>
        <stp/>
        <stp>18efe627-2a50-4394-87cd-a65d2054e71d</stp>
        <tr r="G4771" s="2"/>
      </tp>
      <tp>
        <v>5</v>
        <stp/>
        <stp>a329afc7-bcea-4c66-a295-83cf75afddf2</stp>
        <tr r="G310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6"/>
  <sheetViews>
    <sheetView showGridLines="0" topLeftCell="A12" workbookViewId="0">
      <selection activeCell="B37" sqref="B37"/>
    </sheetView>
  </sheetViews>
  <sheetFormatPr baseColWidth="10" defaultColWidth="9.140625" defaultRowHeight="15" x14ac:dyDescent="0.25"/>
  <cols>
    <col min="1" max="1" width="3.7109375" customWidth="1"/>
    <col min="2" max="2" width="28.7109375" customWidth="1"/>
    <col min="3" max="8" width="13.7109375" customWidth="1"/>
  </cols>
  <sheetData>
    <row r="2" spans="2:8" x14ac:dyDescent="0.25">
      <c r="B2" s="10" t="s">
        <v>0</v>
      </c>
      <c r="C2" s="10"/>
      <c r="D2" s="10"/>
      <c r="E2" s="10"/>
      <c r="F2" s="10"/>
      <c r="G2" s="10"/>
      <c r="H2" s="10"/>
    </row>
    <row r="3" spans="2:8" x14ac:dyDescent="0.25">
      <c r="B3" s="10"/>
      <c r="C3" s="10"/>
      <c r="D3" s="10"/>
      <c r="E3" s="10"/>
      <c r="F3" s="10"/>
      <c r="G3" s="10"/>
      <c r="H3" s="10"/>
    </row>
    <row r="5" spans="2:8" x14ac:dyDescent="0.25">
      <c r="B5" s="1" t="s">
        <v>1</v>
      </c>
    </row>
    <row r="6" spans="2:8" ht="24.75" customHeight="1" x14ac:dyDescent="0.25">
      <c r="B6" s="9" t="s">
        <v>2</v>
      </c>
      <c r="C6" s="9"/>
      <c r="D6" s="9"/>
      <c r="E6" s="9"/>
      <c r="F6" s="9"/>
      <c r="G6" s="9"/>
      <c r="H6" s="9"/>
    </row>
    <row r="7" spans="2:8" ht="24.75" customHeight="1" x14ac:dyDescent="0.25">
      <c r="B7" s="9"/>
      <c r="C7" s="9"/>
      <c r="D7" s="9"/>
      <c r="E7" s="9"/>
      <c r="F7" s="9"/>
      <c r="G7" s="9"/>
      <c r="H7" s="9"/>
    </row>
    <row r="8" spans="2:8" x14ac:dyDescent="0.25">
      <c r="B8" s="1" t="s">
        <v>3</v>
      </c>
    </row>
    <row r="9" spans="2:8" ht="24.75" customHeight="1" x14ac:dyDescent="0.25">
      <c r="B9" s="9" t="s">
        <v>4</v>
      </c>
      <c r="C9" s="9"/>
      <c r="D9" s="9"/>
      <c r="E9" s="9"/>
      <c r="F9" s="9"/>
      <c r="G9" s="9"/>
      <c r="H9" s="9"/>
    </row>
    <row r="10" spans="2:8" ht="24.75" customHeight="1" x14ac:dyDescent="0.25">
      <c r="B10" s="9"/>
      <c r="C10" s="9"/>
      <c r="D10" s="9"/>
      <c r="E10" s="9"/>
      <c r="F10" s="9"/>
      <c r="G10" s="9"/>
      <c r="H10" s="9"/>
    </row>
    <row r="11" spans="2:8" x14ac:dyDescent="0.25">
      <c r="B11" s="1" t="s">
        <v>5</v>
      </c>
    </row>
    <row r="12" spans="2:8" ht="24.75" customHeight="1" x14ac:dyDescent="0.25">
      <c r="B12" s="9" t="s">
        <v>6</v>
      </c>
      <c r="C12" s="9"/>
      <c r="D12" s="9"/>
      <c r="E12" s="9"/>
      <c r="F12" s="9"/>
      <c r="G12" s="9"/>
      <c r="H12" s="9"/>
    </row>
    <row r="13" spans="2:8" ht="24.75" customHeight="1" x14ac:dyDescent="0.25">
      <c r="B13" s="9"/>
      <c r="C13" s="9"/>
      <c r="D13" s="9"/>
      <c r="E13" s="9"/>
      <c r="F13" s="9"/>
      <c r="G13" s="9"/>
      <c r="H13" s="9"/>
    </row>
    <row r="14" spans="2:8" x14ac:dyDescent="0.25">
      <c r="B14" s="1" t="s">
        <v>7</v>
      </c>
    </row>
    <row r="15" spans="2:8" ht="24.75" customHeight="1" x14ac:dyDescent="0.25">
      <c r="B15" s="9" t="s">
        <v>8</v>
      </c>
      <c r="C15" s="9"/>
      <c r="D15" s="9"/>
      <c r="E15" s="9"/>
      <c r="F15" s="9"/>
      <c r="G15" s="9"/>
      <c r="H15" s="9"/>
    </row>
    <row r="16" spans="2:8" ht="24.75" customHeight="1" x14ac:dyDescent="0.25">
      <c r="B16" s="9"/>
      <c r="C16" s="9"/>
      <c r="D16" s="9"/>
      <c r="E16" s="9"/>
      <c r="F16" s="9"/>
      <c r="G16" s="9"/>
      <c r="H16" s="9"/>
    </row>
    <row r="17" spans="2:8" x14ac:dyDescent="0.25">
      <c r="B17" s="1" t="s">
        <v>9</v>
      </c>
    </row>
    <row r="18" spans="2:8" ht="24.75" customHeight="1" x14ac:dyDescent="0.25">
      <c r="B18" s="9" t="s">
        <v>10</v>
      </c>
      <c r="C18" s="9"/>
      <c r="D18" s="9"/>
      <c r="E18" s="9"/>
      <c r="F18" s="9"/>
      <c r="G18" s="9"/>
      <c r="H18" s="9"/>
    </row>
    <row r="19" spans="2:8" ht="24.75" customHeight="1" x14ac:dyDescent="0.25">
      <c r="B19" s="9"/>
      <c r="C19" s="9"/>
      <c r="D19" s="9"/>
      <c r="E19" s="9"/>
      <c r="F19" s="9"/>
      <c r="G19" s="9"/>
      <c r="H19" s="9"/>
    </row>
    <row r="20" spans="2:8" x14ac:dyDescent="0.25">
      <c r="B20" s="1" t="s">
        <v>11</v>
      </c>
    </row>
    <row r="21" spans="2:8" ht="24.75" customHeight="1" x14ac:dyDescent="0.25">
      <c r="B21" s="9" t="s">
        <v>12</v>
      </c>
      <c r="C21" s="9"/>
      <c r="D21" s="9"/>
      <c r="E21" s="9"/>
      <c r="F21" s="9"/>
      <c r="G21" s="9"/>
      <c r="H21" s="9"/>
    </row>
    <row r="22" spans="2:8" ht="24.75" customHeight="1" x14ac:dyDescent="0.25">
      <c r="B22" s="9"/>
      <c r="C22" s="9"/>
      <c r="D22" s="9"/>
      <c r="E22" s="9"/>
      <c r="F22" s="9"/>
      <c r="G22" s="9"/>
      <c r="H22" s="9"/>
    </row>
    <row r="23" spans="2:8" x14ac:dyDescent="0.25">
      <c r="B23" s="1" t="s">
        <v>13</v>
      </c>
    </row>
    <row r="24" spans="2:8" ht="24.75" customHeight="1" x14ac:dyDescent="0.25">
      <c r="B24" s="9" t="s">
        <v>14</v>
      </c>
      <c r="C24" s="9"/>
      <c r="D24" s="9"/>
      <c r="E24" s="9"/>
      <c r="F24" s="9"/>
      <c r="G24" s="9"/>
      <c r="H24" s="9"/>
    </row>
    <row r="25" spans="2:8" ht="24.75" customHeight="1" x14ac:dyDescent="0.25">
      <c r="B25" s="9"/>
      <c r="C25" s="9"/>
      <c r="D25" s="9"/>
      <c r="E25" s="9"/>
      <c r="F25" s="9"/>
      <c r="G25" s="9"/>
      <c r="H25" s="9"/>
    </row>
    <row r="27" spans="2:8" x14ac:dyDescent="0.25">
      <c r="B27" s="2" t="s">
        <v>15</v>
      </c>
    </row>
    <row r="29" spans="2:8" x14ac:dyDescent="0.25">
      <c r="B29" t="s">
        <v>16</v>
      </c>
      <c r="C29">
        <f>COUNT(Origination!G2:G10001)</f>
        <v>9999</v>
      </c>
    </row>
    <row r="30" spans="2:8" x14ac:dyDescent="0.25">
      <c r="B30" t="s">
        <v>17</v>
      </c>
      <c r="C30" s="3" t="e">
        <f>SUM(Origination!G2:G10001)</f>
        <v>#VALUE!</v>
      </c>
    </row>
    <row r="32" spans="2:8" x14ac:dyDescent="0.25">
      <c r="B32" t="s">
        <v>18</v>
      </c>
    </row>
    <row r="33" spans="2:8" x14ac:dyDescent="0.25">
      <c r="B33" s="9" t="str">
        <f>_xll.QS.ENGINE.STATUS()</f>
        <v>{"canceled":0,"commit_ms":600.655900000001,"completed":10001,"context_builds":10000,"curve_builds":10000,"definitions":39998,"definitions_built":50002,"diagnostics":["invalid engine inputs"],"errors":1,"lifecycle_error":"","max_dispatch_ms":153.3115,"native_ms":13624.808199999952,"pending":0,"pending_delivery":0,"queue_ms":7281574.899500005,"reused":9999,"settled":true,"submitted":10001,"subscriptions":10000,"waiting_inputs":0,"workers":8}</v>
      </c>
      <c r="C33" s="9"/>
      <c r="D33" s="9"/>
      <c r="E33" s="9"/>
      <c r="F33" s="9"/>
      <c r="G33" s="9"/>
      <c r="H33" s="9"/>
    </row>
    <row r="34" spans="2:8" x14ac:dyDescent="0.25">
      <c r="B34" s="9"/>
      <c r="C34" s="9"/>
      <c r="D34" s="9"/>
      <c r="E34" s="9"/>
      <c r="F34" s="9"/>
      <c r="G34" s="9"/>
      <c r="H34" s="9"/>
    </row>
    <row r="35" spans="2:8" x14ac:dyDescent="0.25">
      <c r="B35" s="9"/>
      <c r="C35" s="9"/>
      <c r="D35" s="9"/>
      <c r="E35" s="9"/>
      <c r="F35" s="9"/>
      <c r="G35" s="9"/>
      <c r="H35" s="9"/>
    </row>
    <row r="36" spans="2:8" x14ac:dyDescent="0.25">
      <c r="B36" s="9"/>
      <c r="C36" s="9"/>
      <c r="D36" s="9"/>
      <c r="E36" s="9"/>
      <c r="F36" s="9"/>
      <c r="G36" s="9"/>
      <c r="H36" s="9"/>
    </row>
  </sheetData>
  <mergeCells count="9">
    <mergeCell ref="B18:H19"/>
    <mergeCell ref="B21:H22"/>
    <mergeCell ref="B24:H25"/>
    <mergeCell ref="B33:H36"/>
    <mergeCell ref="B2:H3"/>
    <mergeCell ref="B6:H7"/>
    <mergeCell ref="B9:H10"/>
    <mergeCell ref="B12:H13"/>
    <mergeCell ref="B15:H16"/>
  </mergeCells>
  <hyperlinks>
    <hyperlink ref="B27" location="'Origination'!A1" display="Open the 10,000 valuation rows →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1"/>
  <sheetViews>
    <sheetView showGridLines="0" tabSelected="1" workbookViewId="0">
      <pane xSplit="2" ySplit="1" topLeftCell="C113" activePane="bottomRight" state="frozen"/>
      <selection pane="topRight" activeCell="C1" sqref="C1"/>
      <selection pane="bottomLeft" activeCell="A2" sqref="A2"/>
      <selection pane="bottomRight" activeCell="G114" sqref="G114"/>
    </sheetView>
  </sheetViews>
  <sheetFormatPr baseColWidth="10" defaultColWidth="9.140625" defaultRowHeight="15" x14ac:dyDescent="0.25"/>
  <cols>
    <col min="1" max="2" width="16.7109375" customWidth="1"/>
    <col min="3" max="7" width="23.7109375" customWidth="1"/>
    <col min="8" max="8" width="16.7109375" customWidth="1"/>
    <col min="9" max="10" width="17.7109375" customWidth="1"/>
    <col min="11" max="11" width="34.7109375" customWidth="1"/>
    <col min="12" max="12" width="16.7109375" customWidth="1"/>
  </cols>
  <sheetData>
    <row r="1" spans="1:12" ht="32.25" customHeigh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pans="1:12" x14ac:dyDescent="0.25">
      <c r="A2" s="5" t="s">
        <v>37</v>
      </c>
      <c r="B2" s="5" t="s">
        <v>38</v>
      </c>
      <c r="C2" s="6" t="str">
        <f>_xll.QS.CONTEXT.CREATE("market.0",A2,"USD","SOFR")</f>
        <v>QSObject:PricingContext:w1~market.0:21380</v>
      </c>
      <c r="D2" s="6" t="str">
        <f>_xll.QS.CONTEXT.ADD.CURVE(C2,"SOFR",$K$2:$K$7,$L$2:$L$7,,,"Actual360","LogLinear",TRUE)</f>
        <v>QSObject:ContextInput:w1~input.qs_context_add_curve.2359132437744.1.3.0:39912</v>
      </c>
      <c r="E2" s="6" t="str">
        <f>_xll.QS.INSTRUMENT.SWAP("swap.0",H2,B2,"USD","SOFR",I2,J2,0,"Actual360","Simple","Annual","Annual","Annual")</f>
        <v>QSObject:Swap:w1~swap.0:21379</v>
      </c>
      <c r="F2" s="6" t="str">
        <f>_xll.QS.TRADE.CREATE("trade.0",E2,A2,"Receive")</f>
        <v>QSObject:SwapTrade:w1~trade.0:31059</v>
      </c>
      <c r="G2" s="3">
        <f>_xll.QS.EVALUATE(C2,F2)</f>
        <v>13679.325764515685</v>
      </c>
      <c r="H2" s="5" t="s">
        <v>39</v>
      </c>
      <c r="I2" s="7">
        <v>1000000</v>
      </c>
      <c r="J2" s="8">
        <v>3.5000000000000003E-2</v>
      </c>
      <c r="K2" s="5" t="s">
        <v>31</v>
      </c>
      <c r="L2" s="8">
        <v>3.0499999999999999E-2</v>
      </c>
    </row>
    <row r="3" spans="1:12" x14ac:dyDescent="0.25">
      <c r="A3" s="5" t="s">
        <v>40</v>
      </c>
      <c r="B3" s="5" t="s">
        <v>41</v>
      </c>
      <c r="C3" s="6" t="str">
        <f>_xll.QS.CONTEXT.CREATE("market.1",A3,"USD","SOFR")</f>
        <v>QSObject:PricingContext:w1~market.1:21378</v>
      </c>
      <c r="D3" s="6" t="str">
        <f>_xll.QS.CONTEXT.ADD.CURVE(C3,"SOFR",$K$2:$K$7,$L$2:$L$7,,,"Actual360","LogLinear",TRUE)</f>
        <v>QSObject:ContextInput:w1~input.qs_context_add_curve.2359132437744.2.3.0:39911</v>
      </c>
      <c r="E3" s="6" t="str">
        <f>_xll.QS.INSTRUMENT.SWAP("swap.1",H3,B3,"USD","SOFR",I3,J3,0,"Actual360","Simple","Annual","Annual","Annual")</f>
        <v>QSObject:Swap:w1~swap.1:21377</v>
      </c>
      <c r="F3" s="6" t="str">
        <f>_xll.QS.TRADE.CREATE("trade.1",E3,A3,"Receive")</f>
        <v>QSObject:SwapTrade:w1~trade.1:31058</v>
      </c>
      <c r="G3" s="3">
        <f>_xll.QS.EVALUATE(C3,F3)</f>
        <v>14173.308398759407</v>
      </c>
      <c r="H3" s="5" t="s">
        <v>42</v>
      </c>
      <c r="I3" s="7">
        <v>1000100</v>
      </c>
      <c r="J3" s="8">
        <v>3.5100000000000013E-2</v>
      </c>
      <c r="K3" s="5" t="s">
        <v>32</v>
      </c>
      <c r="L3" s="8">
        <v>3.1E-2</v>
      </c>
    </row>
    <row r="4" spans="1:12" x14ac:dyDescent="0.25">
      <c r="A4" s="5" t="s">
        <v>43</v>
      </c>
      <c r="B4" s="5" t="s">
        <v>44</v>
      </c>
      <c r="C4" s="6" t="str">
        <f>_xll.QS.CONTEXT.CREATE("market.2",A4,"USD","SOFR")</f>
        <v>QSObject:PricingContext:w1~market.2:21376</v>
      </c>
      <c r="D4" s="6" t="str">
        <f>_xll.QS.CONTEXT.ADD.CURVE(C4,"SOFR",$K$2:$K$7,$L$2:$L$7,,,"Actual360","LogLinear",TRUE)</f>
        <v>QSObject:ContextInput:w1~input.qs_context_add_curve.2359132437744.3.3.0:39910</v>
      </c>
      <c r="E4" s="6" t="str">
        <f>_xll.QS.INSTRUMENT.SWAP("swap.2",H4,B4,"USD","SOFR",I4,J4,0,"Actual360","Simple","Annual","Annual","Annual")</f>
        <v>QSObject:Swap:w1~swap.2:21375</v>
      </c>
      <c r="F4" s="6" t="str">
        <f>_xll.QS.TRADE.CREATE("trade.2",E4,A4,"Receive")</f>
        <v>QSObject:SwapTrade:w1~trade.2:31057</v>
      </c>
      <c r="G4" s="3">
        <f>_xll.QS.EVALUATE(C4,F4)</f>
        <v>14709.047079335764</v>
      </c>
      <c r="H4" s="5" t="s">
        <v>45</v>
      </c>
      <c r="I4" s="7">
        <v>1000200</v>
      </c>
      <c r="J4" s="8">
        <v>3.5200000000000002E-2</v>
      </c>
      <c r="K4" s="5" t="s">
        <v>33</v>
      </c>
      <c r="L4" s="8">
        <v>3.2000000000000001E-2</v>
      </c>
    </row>
    <row r="5" spans="1:12" x14ac:dyDescent="0.25">
      <c r="A5" s="5" t="s">
        <v>46</v>
      </c>
      <c r="B5" s="5" t="s">
        <v>47</v>
      </c>
      <c r="C5" s="6" t="str">
        <f>_xll.QS.CONTEXT.CREATE("market.3",A5,"USD","SOFR")</f>
        <v>QSObject:PricingContext:w1~market.3:21374</v>
      </c>
      <c r="D5" s="6" t="str">
        <f>_xll.QS.CONTEXT.ADD.CURVE(C5,"SOFR",$K$2:$K$7,$L$2:$L$7,,,"Actual360","LogLinear",TRUE)</f>
        <v>QSObject:ContextInput:w1~input.qs_context_add_curve.2359132437744.4.3.0:39909</v>
      </c>
      <c r="E5" s="6" t="str">
        <f>_xll.QS.INSTRUMENT.SWAP("swap.3",H5,B5,"USD","SOFR",I5,J5,0,"Actual360","Simple","Annual","Annual","Annual")</f>
        <v>QSObject:Swap:w1~swap.3:21373</v>
      </c>
      <c r="F5" s="6" t="str">
        <f>_xll.QS.TRADE.CREATE("trade.3",E5,A5,"Receive")</f>
        <v>QSObject:SwapTrade:w1~trade.3:31056</v>
      </c>
      <c r="G5" s="3">
        <f>_xll.QS.EVALUATE(C5,F5)</f>
        <v>15215.37743096229</v>
      </c>
      <c r="H5" s="5" t="s">
        <v>48</v>
      </c>
      <c r="I5" s="7">
        <v>1000300</v>
      </c>
      <c r="J5" s="8">
        <v>3.5299999999999998E-2</v>
      </c>
      <c r="K5" s="5" t="s">
        <v>34</v>
      </c>
      <c r="L5" s="8">
        <v>3.2000000000000001E-2</v>
      </c>
    </row>
    <row r="6" spans="1:12" x14ac:dyDescent="0.25">
      <c r="A6" s="5" t="s">
        <v>49</v>
      </c>
      <c r="B6" s="5" t="s">
        <v>50</v>
      </c>
      <c r="C6" s="6" t="str">
        <f>_xll.QS.CONTEXT.CREATE("market.4",A6,"USD","SOFR")</f>
        <v>QSObject:PricingContext:w1~market.4:21372</v>
      </c>
      <c r="D6" s="6" t="str">
        <f>_xll.QS.CONTEXT.ADD.CURVE(C6,"SOFR",$K$2:$K$7,$L$2:$L$7,,,"Actual360","LogLinear",TRUE)</f>
        <v>QSObject:ContextInput:w1~input.qs_context_add_curve.2359132437744.5.3.0:39908</v>
      </c>
      <c r="E6" s="6" t="str">
        <f>_xll.QS.INSTRUMENT.SWAP("swap.4",H6,B6,"USD","SOFR",I6,J6,0,"Actual360","Simple","Annual","Annual","Annual")</f>
        <v>QSObject:Swap:w1~swap.4:21371</v>
      </c>
      <c r="F6" s="6" t="str">
        <f>_xll.QS.TRADE.CREATE("trade.4",E6,A6,"Receive")</f>
        <v>QSObject:SwapTrade:w1~trade.4:31055</v>
      </c>
      <c r="G6" s="3">
        <f>_xll.QS.EVALUATE(C6,F6)</f>
        <v>15639.856861950095</v>
      </c>
      <c r="H6" s="5" t="s">
        <v>51</v>
      </c>
      <c r="I6" s="7">
        <v>1000400</v>
      </c>
      <c r="J6" s="8">
        <v>3.5400000000000001E-2</v>
      </c>
      <c r="K6" s="5" t="s">
        <v>35</v>
      </c>
      <c r="L6" s="8">
        <v>3.9E-2</v>
      </c>
    </row>
    <row r="7" spans="1:12" x14ac:dyDescent="0.25">
      <c r="A7" s="5" t="s">
        <v>52</v>
      </c>
      <c r="B7" s="5" t="s">
        <v>53</v>
      </c>
      <c r="C7" s="6" t="str">
        <f>_xll.QS.CONTEXT.CREATE("market.5",A7,"USD","SOFR")</f>
        <v>QSObject:PricingContext:w1~market.5:21370</v>
      </c>
      <c r="D7" s="6" t="str">
        <f>_xll.QS.CONTEXT.ADD.CURVE(C7,"SOFR",$K$2:$K$7,$L$2:$L$7,,,"Actual360","LogLinear",TRUE)</f>
        <v>QSObject:ContextInput:w1~input.qs_context_add_curve.2359132437744.6.3.0:39907</v>
      </c>
      <c r="E7" s="6" t="str">
        <f>_xll.QS.INSTRUMENT.SWAP("swap.5",H7,B7,"USD","SOFR",I7,J7,0,"Actual360","Simple","Annual","Annual","Annual")</f>
        <v>QSObject:Swap:w1~swap.5:21369</v>
      </c>
      <c r="F7" s="6" t="str">
        <f>_xll.QS.TRADE.CREATE("trade.5",E7,A7,"Receive")</f>
        <v>QSObject:SwapTrade:w1~trade.5:31054</v>
      </c>
      <c r="G7" s="3">
        <f>_xll.QS.EVALUATE(C7,F7)</f>
        <v>16030.824685227286</v>
      </c>
      <c r="H7" s="5" t="s">
        <v>54</v>
      </c>
      <c r="I7" s="7">
        <v>1000500</v>
      </c>
      <c r="J7" s="8">
        <v>3.5499999999999997E-2</v>
      </c>
      <c r="K7" s="5" t="s">
        <v>36</v>
      </c>
      <c r="L7" s="8">
        <v>0.04</v>
      </c>
    </row>
    <row r="8" spans="1:12" x14ac:dyDescent="0.25">
      <c r="A8" s="5" t="s">
        <v>55</v>
      </c>
      <c r="B8" s="5" t="s">
        <v>56</v>
      </c>
      <c r="C8" s="6" t="str">
        <f>_xll.QS.CONTEXT.CREATE("market.6",A8,"USD","SOFR")</f>
        <v>QSObject:PricingContext:w1~market.6:21368</v>
      </c>
      <c r="D8" s="6" t="str">
        <f>_xll.QS.CONTEXT.ADD.CURVE(C8,"SOFR",$K$2:$K$7,$L$2:$L$7,,,"Actual360","LogLinear",TRUE)</f>
        <v>QSObject:ContextInput:w1~input.qs_context_add_curve.2359132437744.7.3.0:39906</v>
      </c>
      <c r="E8" s="6" t="str">
        <f>_xll.QS.INSTRUMENT.SWAP("swap.6",H8,B8,"USD","SOFR",I8,J8,0,"Actual360","Simple","Annual","Annual","Annual")</f>
        <v>QSObject:Swap:w1~swap.6:21367</v>
      </c>
      <c r="F8" s="6" t="str">
        <f>_xll.QS.TRADE.CREATE("trade.6",E8,A8,"Receive")</f>
        <v>QSObject:SwapTrade:w1~trade.6:31053</v>
      </c>
      <c r="G8" s="3">
        <f>_xll.QS.EVALUATE(C8,F8)</f>
        <v>16375.276740478675</v>
      </c>
      <c r="H8" s="5" t="s">
        <v>57</v>
      </c>
      <c r="I8" s="7">
        <v>1000600</v>
      </c>
      <c r="J8" s="8">
        <v>3.5600000000000007E-2</v>
      </c>
    </row>
    <row r="9" spans="1:12" x14ac:dyDescent="0.25">
      <c r="A9" s="5" t="s">
        <v>39</v>
      </c>
      <c r="B9" s="5" t="s">
        <v>58</v>
      </c>
      <c r="C9" s="6" t="str">
        <f>_xll.QS.CONTEXT.CREATE("market.7",A9,"USD","SOFR")</f>
        <v>QSObject:PricingContext:w1~market.7:21366</v>
      </c>
      <c r="D9" s="6" t="str">
        <f>_xll.QS.CONTEXT.ADD.CURVE(C9,"SOFR",$K$2:$K$7,$L$2:$L$7,,,"Actual360","LogLinear",TRUE)</f>
        <v>QSObject:ContextInput:w1~input.qs_context_add_curve.2359132437744.8.3.0:39905</v>
      </c>
      <c r="E9" s="6" t="str">
        <f>_xll.QS.INSTRUMENT.SWAP("swap.7",H9,B9,"USD","SOFR",I9,J9,0,"Actual360","Simple","Annual","Annual","Annual")</f>
        <v>QSObject:Swap:w1~swap.7:21365</v>
      </c>
      <c r="F9" s="6" t="str">
        <f>_xll.QS.TRADE.CREATE("trade.7",E9,A9,"Receive")</f>
        <v>QSObject:SwapTrade:w1~trade.7:31052</v>
      </c>
      <c r="G9" s="3">
        <f>_xll.QS.EVALUATE(C9,F9)</f>
        <v>16879.714684678151</v>
      </c>
      <c r="H9" s="5" t="s">
        <v>59</v>
      </c>
      <c r="I9" s="7">
        <v>1000700</v>
      </c>
      <c r="J9" s="8">
        <v>3.5700000000000003E-2</v>
      </c>
    </row>
    <row r="10" spans="1:12" x14ac:dyDescent="0.25">
      <c r="A10" s="5" t="s">
        <v>42</v>
      </c>
      <c r="B10" s="5" t="s">
        <v>60</v>
      </c>
      <c r="C10" s="6" t="str">
        <f>_xll.QS.CONTEXT.CREATE("market.8",A10,"USD","SOFR")</f>
        <v>QSObject:PricingContext:w1~market.8:21364</v>
      </c>
      <c r="D10" s="6" t="str">
        <f>_xll.QS.CONTEXT.ADD.CURVE(C10,"SOFR",$K$2:$K$7,$L$2:$L$7,,,"Actual360","LogLinear",TRUE)</f>
        <v>QSObject:ContextInput:w1~input.qs_context_add_curve.2359132437744.9.3.0:39904</v>
      </c>
      <c r="E10" s="6" t="str">
        <f>_xll.QS.INSTRUMENT.SWAP("swap.8",H10,B10,"USD","SOFR",I10,J10,0,"Actual360","Simple","Annual","Annual","Annual")</f>
        <v>QSObject:Swap:w1~swap.8:21363</v>
      </c>
      <c r="F10" s="6" t="str">
        <f>_xll.QS.TRADE.CREATE("trade.8",E10,A10,"Receive")</f>
        <v>QSObject:SwapTrade:w1~trade.8:31051</v>
      </c>
      <c r="G10" s="3">
        <f>_xll.QS.EVALUATE(C10,F10)</f>
        <v>17384.316802072532</v>
      </c>
      <c r="H10" s="5" t="s">
        <v>61</v>
      </c>
      <c r="I10" s="7">
        <v>1000800</v>
      </c>
      <c r="J10" s="8">
        <v>3.5800000000000012E-2</v>
      </c>
    </row>
    <row r="11" spans="1:12" x14ac:dyDescent="0.25">
      <c r="A11" s="5" t="s">
        <v>45</v>
      </c>
      <c r="B11" s="5" t="s">
        <v>62</v>
      </c>
      <c r="C11" s="6" t="str">
        <f>_xll.QS.CONTEXT.CREATE("market.9",A11,"USD","SOFR")</f>
        <v>QSObject:PricingContext:w1~market.9:21362</v>
      </c>
      <c r="D11" s="6" t="str">
        <f>_xll.QS.CONTEXT.ADD.CURVE(C11,"SOFR",$K$2:$K$7,$L$2:$L$7,,,"Actual360","LogLinear",TRUE)</f>
        <v>QSObject:ContextInput:w1~input.qs_context_add_curve.2359132437744.10.3.0:39903</v>
      </c>
      <c r="E11" s="6" t="str">
        <f>_xll.QS.INSTRUMENT.SWAP("swap.9",H11,B11,"USD","SOFR",I11,J11,0,"Actual360","Simple","Annual","Annual","Annual")</f>
        <v>QSObject:Swap:w1~swap.9:21361</v>
      </c>
      <c r="F11" s="6" t="str">
        <f>_xll.QS.TRADE.CREATE("trade.9",E11,A11,"Receive")</f>
        <v>QSObject:SwapTrade:w1~trade.9:31050</v>
      </c>
      <c r="G11" s="3">
        <f>_xll.QS.EVALUATE(C11,F11)</f>
        <v>17986.973054385639</v>
      </c>
      <c r="H11" s="5" t="s">
        <v>63</v>
      </c>
      <c r="I11" s="7">
        <v>1000900</v>
      </c>
      <c r="J11" s="8">
        <v>3.5900000000000001E-2</v>
      </c>
    </row>
    <row r="12" spans="1:12" x14ac:dyDescent="0.25">
      <c r="A12" s="5" t="s">
        <v>48</v>
      </c>
      <c r="B12" s="5" t="s">
        <v>64</v>
      </c>
      <c r="C12" s="6" t="str">
        <f>_xll.QS.CONTEXT.CREATE("market.10",A12,"USD","SOFR")</f>
        <v>QSObject:PricingContext:w1~market.10:21360</v>
      </c>
      <c r="D12" s="6" t="str">
        <f>_xll.QS.CONTEXT.ADD.CURVE(C12,"SOFR",$K$2:$K$7,$L$2:$L$7,,,"Actual360","LogLinear",TRUE)</f>
        <v>QSObject:ContextInput:w1~input.qs_context_add_curve.2359132437744.11.3.0:39902</v>
      </c>
      <c r="E12" s="6" t="str">
        <f>_xll.QS.INSTRUMENT.SWAP("swap.10",H12,B12,"USD","SOFR",I12,J12,0,"Actual360","Simple","Annual","Annual","Annual")</f>
        <v>QSObject:Swap:w1~swap.10:21359</v>
      </c>
      <c r="F12" s="6" t="str">
        <f>_xll.QS.TRADE.CREATE("trade.10",E12,A12,"Receive")</f>
        <v>QSObject:SwapTrade:w1~trade.10:31049</v>
      </c>
      <c r="G12" s="3">
        <f>_xll.QS.EVALUATE(C12,F12)</f>
        <v>18459.564269909501</v>
      </c>
      <c r="H12" s="5" t="s">
        <v>65</v>
      </c>
      <c r="I12" s="7">
        <v>1001000</v>
      </c>
      <c r="J12" s="8">
        <v>3.5999999999999997E-2</v>
      </c>
    </row>
    <row r="13" spans="1:12" x14ac:dyDescent="0.25">
      <c r="A13" s="5" t="s">
        <v>51</v>
      </c>
      <c r="B13" s="5" t="s">
        <v>66</v>
      </c>
      <c r="C13" s="6" t="str">
        <f>_xll.QS.CONTEXT.CREATE("market.11",A13,"USD","SOFR")</f>
        <v>QSObject:PricingContext:w1~market.11:21358</v>
      </c>
      <c r="D13" s="6" t="str">
        <f>_xll.QS.CONTEXT.ADD.CURVE(C13,"SOFR",$K$2:$K$7,$L$2:$L$7,,,"Actual360","LogLinear",TRUE)</f>
        <v>QSObject:ContextInput:w1~input.qs_context_add_curve.2359132437744.12.3.0:39901</v>
      </c>
      <c r="E13" s="6" t="str">
        <f>_xll.QS.INSTRUMENT.SWAP("swap.11",H13,B13,"USD","SOFR",I13,J13,0,"Actual360","Simple","Annual","Annual","Annual")</f>
        <v>QSObject:Swap:w1~swap.11:21357</v>
      </c>
      <c r="F13" s="6" t="str">
        <f>_xll.QS.TRADE.CREATE("trade.11",E13,A13,"Receive")</f>
        <v>QSObject:SwapTrade:w1~trade.11:31048</v>
      </c>
      <c r="G13" s="3">
        <f>_xll.QS.EVALUATE(C13,F13)</f>
        <v>18922.609152641868</v>
      </c>
      <c r="H13" s="5" t="s">
        <v>67</v>
      </c>
      <c r="I13" s="7">
        <v>1001100</v>
      </c>
      <c r="J13" s="8">
        <v>3.61E-2</v>
      </c>
    </row>
    <row r="14" spans="1:12" x14ac:dyDescent="0.25">
      <c r="A14" s="5" t="s">
        <v>54</v>
      </c>
      <c r="B14" s="5" t="s">
        <v>68</v>
      </c>
      <c r="C14" s="6" t="str">
        <f>_xll.QS.CONTEXT.CREATE("market.12",A14,"USD","SOFR")</f>
        <v>QSObject:PricingContext:w1~market.12:21356</v>
      </c>
      <c r="D14" s="6" t="str">
        <f>_xll.QS.CONTEXT.ADD.CURVE(C14,"SOFR",$K$2:$K$7,$L$2:$L$7,,,"Actual360","LogLinear",TRUE)</f>
        <v>QSObject:ContextInput:w1~input.qs_context_add_curve.2359132437744.13.3.0:39900</v>
      </c>
      <c r="E14" s="6" t="str">
        <f>_xll.QS.INSTRUMENT.SWAP("swap.12",H14,B14,"USD","SOFR",I14,J14,0,"Actual360","Simple","Annual","Annual","Annual")</f>
        <v>QSObject:Swap:w1~swap.12:21355</v>
      </c>
      <c r="F14" s="6" t="str">
        <f>_xll.QS.TRADE.CREATE("trade.12",E14,A14,"Receive")</f>
        <v>QSObject:SwapTrade:w1~trade.12:31047</v>
      </c>
      <c r="G14" s="3">
        <f>_xll.QS.EVALUATE(C14,F14)</f>
        <v>19321.240647502957</v>
      </c>
      <c r="H14" s="5" t="s">
        <v>69</v>
      </c>
      <c r="I14" s="7">
        <v>1001200</v>
      </c>
      <c r="J14" s="8">
        <v>3.6200000000000003E-2</v>
      </c>
    </row>
    <row r="15" spans="1:12" x14ac:dyDescent="0.25">
      <c r="A15" s="5" t="s">
        <v>57</v>
      </c>
      <c r="B15" s="5" t="s">
        <v>70</v>
      </c>
      <c r="C15" s="6" t="str">
        <f>_xll.QS.CONTEXT.CREATE("market.13",A15,"USD","SOFR")</f>
        <v>QSObject:PricingContext:w1~market.13:21354</v>
      </c>
      <c r="D15" s="6" t="str">
        <f>_xll.QS.CONTEXT.ADD.CURVE(C15,"SOFR",$K$2:$K$7,$L$2:$L$7,,,"Actual360","LogLinear",TRUE)</f>
        <v>QSObject:ContextInput:w1~input.qs_context_add_curve.2359132437744.14.3.0:39899</v>
      </c>
      <c r="E15" s="6" t="str">
        <f>_xll.QS.INSTRUMENT.SWAP("swap.13",H15,B15,"USD","SOFR",I15,J15,0,"Actual360","Simple","Annual","Annual","Annual")</f>
        <v>QSObject:Swap:w1~swap.13:21353</v>
      </c>
      <c r="F15" s="6" t="str">
        <f>_xll.QS.TRADE.CREATE("trade.13",E15,A15,"Receive")</f>
        <v>QSObject:SwapTrade:w1~trade.13:31046</v>
      </c>
      <c r="G15" s="3">
        <f>_xll.QS.EVALUATE(C15,F15)</f>
        <v>19701.377149826196</v>
      </c>
      <c r="H15" s="5" t="s">
        <v>71</v>
      </c>
      <c r="I15" s="7">
        <v>1001300</v>
      </c>
      <c r="J15" s="8">
        <v>3.6300000000000013E-2</v>
      </c>
    </row>
    <row r="16" spans="1:12" x14ac:dyDescent="0.25">
      <c r="A16" s="5" t="s">
        <v>59</v>
      </c>
      <c r="B16" s="5" t="s">
        <v>72</v>
      </c>
      <c r="C16" s="6" t="str">
        <f>_xll.QS.CONTEXT.CREATE("market.14",A16,"USD","SOFR")</f>
        <v>QSObject:PricingContext:w1~market.14:21352</v>
      </c>
      <c r="D16" s="6" t="str">
        <f>_xll.QS.CONTEXT.ADD.CURVE(C16,"SOFR",$K$2:$K$7,$L$2:$L$7,,,"Actual360","LogLinear",TRUE)</f>
        <v>QSObject:ContextInput:w1~input.qs_context_add_curve.2359132437744.15.3.0:39898</v>
      </c>
      <c r="E16" s="6" t="str">
        <f>_xll.QS.INSTRUMENT.SWAP("swap.14",H16,B16,"USD","SOFR",I16,J16,0,"Actual360","Simple","Annual","Annual","Annual")</f>
        <v>QSObject:Swap:w1~swap.14:21351</v>
      </c>
      <c r="F16" s="6" t="str">
        <f>_xll.QS.TRADE.CREATE("trade.14",E16,A16,"Receive")</f>
        <v>QSObject:SwapTrade:w1~trade.14:31045</v>
      </c>
      <c r="G16" s="3">
        <f>_xll.QS.EVALUATE(C16,F16)</f>
        <v>20166.732671450576</v>
      </c>
      <c r="H16" s="5" t="s">
        <v>73</v>
      </c>
      <c r="I16" s="7">
        <v>1001400</v>
      </c>
      <c r="J16" s="8">
        <v>3.6400000000000002E-2</v>
      </c>
    </row>
    <row r="17" spans="1:10" x14ac:dyDescent="0.25">
      <c r="A17" s="5" t="s">
        <v>61</v>
      </c>
      <c r="B17" s="5" t="s">
        <v>74</v>
      </c>
      <c r="C17" s="6" t="str">
        <f>_xll.QS.CONTEXT.CREATE("market.15",A17,"USD","SOFR")</f>
        <v>QSObject:PricingContext:w1~market.15:21350</v>
      </c>
      <c r="D17" s="6" t="str">
        <f>_xll.QS.CONTEXT.ADD.CURVE(C17,"SOFR",$K$2:$K$7,$L$2:$L$7,,,"Actual360","LogLinear",TRUE)</f>
        <v>QSObject:ContextInput:w1~input.qs_context_add_curve.2359132437744.16.3.0:39897</v>
      </c>
      <c r="E17" s="6" t="str">
        <f>_xll.QS.INSTRUMENT.SWAP("swap.15",H17,B17,"USD","SOFR",I17,J17,0,"Actual360","Simple","Annual","Annual","Annual")</f>
        <v>QSObject:Swap:w1~swap.15:21349</v>
      </c>
      <c r="F17" s="6" t="str">
        <f>_xll.QS.TRADE.CREATE("trade.15",E17,A17,"Receive")</f>
        <v>QSObject:SwapTrade:w1~trade.15:31044</v>
      </c>
      <c r="G17" s="3">
        <f>_xll.QS.EVALUATE(C17,F17)</f>
        <v>20659.072501994095</v>
      </c>
      <c r="H17" s="5" t="s">
        <v>75</v>
      </c>
      <c r="I17" s="7">
        <v>1001500</v>
      </c>
      <c r="J17" s="8">
        <v>3.6499999999999998E-2</v>
      </c>
    </row>
    <row r="18" spans="1:10" x14ac:dyDescent="0.25">
      <c r="A18" s="5" t="s">
        <v>63</v>
      </c>
      <c r="B18" s="5" t="s">
        <v>76</v>
      </c>
      <c r="C18" s="6" t="str">
        <f>_xll.QS.CONTEXT.CREATE("market.16",A18,"USD","SOFR")</f>
        <v>QSObject:PricingContext:w1~market.16:21348</v>
      </c>
      <c r="D18" s="6" t="str">
        <f>_xll.QS.CONTEXT.ADD.CURVE(C18,"SOFR",$K$2:$K$7,$L$2:$L$7,,,"Actual360","LogLinear",TRUE)</f>
        <v>QSObject:ContextInput:w1~input.qs_context_add_curve.2359132437744.17.3.0:39896</v>
      </c>
      <c r="E18" s="6" t="str">
        <f>_xll.QS.INSTRUMENT.SWAP("swap.16",H18,B18,"USD","SOFR",I18,J18,0,"Actual360","Simple","Annual","Annual","Annual")</f>
        <v>QSObject:Swap:w1~swap.16:21347</v>
      </c>
      <c r="F18" s="6" t="str">
        <f>_xll.QS.TRADE.CREATE("trade.16",E18,A18,"Receive")</f>
        <v>QSObject:SwapTrade:w1~trade.16:31043</v>
      </c>
      <c r="G18" s="3">
        <f>_xll.QS.EVALUATE(C18,F18)</f>
        <v>21196.037292876812</v>
      </c>
      <c r="H18" s="5" t="s">
        <v>77</v>
      </c>
      <c r="I18" s="7">
        <v>1001600</v>
      </c>
      <c r="J18" s="8">
        <v>3.6600000000000001E-2</v>
      </c>
    </row>
    <row r="19" spans="1:10" x14ac:dyDescent="0.25">
      <c r="A19" s="5" t="s">
        <v>65</v>
      </c>
      <c r="B19" s="5" t="s">
        <v>78</v>
      </c>
      <c r="C19" s="6" t="str">
        <f>_xll.QS.CONTEXT.CREATE("market.17",A19,"USD","SOFR")</f>
        <v>QSObject:PricingContext:w1~market.17:21346</v>
      </c>
      <c r="D19" s="6" t="str">
        <f>_xll.QS.CONTEXT.ADD.CURVE(C19,"SOFR",$K$2:$K$7,$L$2:$L$7,,,"Actual360","LogLinear",TRUE)</f>
        <v>QSObject:ContextInput:w1~input.qs_context_add_curve.2359132437744.18.3.0:39895</v>
      </c>
      <c r="E19" s="6" t="str">
        <f>_xll.QS.INSTRUMENT.SWAP("swap.17",H19,B19,"USD","SOFR",I19,J19,0,"Actual360","Simple","Annual","Annual","Annual")</f>
        <v>QSObject:Swap:w1~swap.17:21345</v>
      </c>
      <c r="F19" s="6" t="str">
        <f>_xll.QS.TRADE.CREATE("trade.17",E19,A19,"Receive")</f>
        <v>QSObject:SwapTrade:w1~trade.17:31042</v>
      </c>
      <c r="G19" s="3">
        <f>_xll.QS.EVALUATE(C19,F19)</f>
        <v>21703.666477158506</v>
      </c>
      <c r="H19" s="5" t="s">
        <v>79</v>
      </c>
      <c r="I19" s="7">
        <v>1001700</v>
      </c>
      <c r="J19" s="8">
        <v>3.6700000000000003E-2</v>
      </c>
    </row>
    <row r="20" spans="1:10" x14ac:dyDescent="0.25">
      <c r="A20" s="5" t="s">
        <v>67</v>
      </c>
      <c r="B20" s="5" t="s">
        <v>80</v>
      </c>
      <c r="C20" s="6" t="str">
        <f>_xll.QS.CONTEXT.CREATE("market.18",A20,"USD","SOFR")</f>
        <v>QSObject:PricingContext:w1~market.18:21344</v>
      </c>
      <c r="D20" s="6" t="str">
        <f>_xll.QS.CONTEXT.ADD.CURVE(C20,"SOFR",$K$2:$K$7,$L$2:$L$7,,,"Actual360","LogLinear",TRUE)</f>
        <v>QSObject:ContextInput:w1~input.qs_context_add_curve.2359132437744.19.3.0:39894</v>
      </c>
      <c r="E20" s="6" t="str">
        <f>_xll.QS.INSTRUMENT.SWAP("swap.18",H20,B20,"USD","SOFR",I20,J20,0,"Actual360","Simple","Annual","Annual","Annual")</f>
        <v>QSObject:Swap:w1~swap.18:21343</v>
      </c>
      <c r="F20" s="6" t="str">
        <f>_xll.QS.TRADE.CREATE("trade.18",E20,A20,"Receive")</f>
        <v>QSObject:SwapTrade:w1~trade.18:31041</v>
      </c>
      <c r="G20" s="3">
        <f>_xll.QS.EVALUATE(C20,F20)</f>
        <v>22129.312364331992</v>
      </c>
      <c r="H20" s="5" t="s">
        <v>81</v>
      </c>
      <c r="I20" s="7">
        <v>1001800</v>
      </c>
      <c r="J20" s="8">
        <v>3.6800000000000013E-2</v>
      </c>
    </row>
    <row r="21" spans="1:10" x14ac:dyDescent="0.25">
      <c r="A21" s="5" t="s">
        <v>69</v>
      </c>
      <c r="B21" s="5" t="s">
        <v>82</v>
      </c>
      <c r="C21" s="6" t="str">
        <f>_xll.QS.CONTEXT.CREATE("market.19",A21,"USD","SOFR")</f>
        <v>QSObject:PricingContext:w1~market.19:21342</v>
      </c>
      <c r="D21" s="6" t="str">
        <f>_xll.QS.CONTEXT.ADD.CURVE(C21,"SOFR",$K$2:$K$7,$L$2:$L$7,,,"Actual360","LogLinear",TRUE)</f>
        <v>QSObject:ContextInput:w1~input.qs_context_add_curve.2359132437744.20.3.0:39893</v>
      </c>
      <c r="E21" s="6" t="str">
        <f>_xll.QS.INSTRUMENT.SWAP("swap.19",H21,B21,"USD","SOFR",I21,J21,0,"Actual360","Simple","Annual","Annual","Annual")</f>
        <v>QSObject:Swap:w1~swap.19:21341</v>
      </c>
      <c r="F21" s="6" t="str">
        <f>_xll.QS.TRADE.CREATE("trade.19",E21,A21,"Receive")</f>
        <v>QSObject:SwapTrade:w1~trade.19:31040</v>
      </c>
      <c r="G21" s="3">
        <f>_xll.QS.EVALUATE(C21,F21)</f>
        <v>22524.696377192202</v>
      </c>
      <c r="H21" s="5" t="s">
        <v>83</v>
      </c>
      <c r="I21" s="7">
        <v>1001900</v>
      </c>
      <c r="J21" s="8">
        <v>3.6900000000000002E-2</v>
      </c>
    </row>
    <row r="22" spans="1:10" x14ac:dyDescent="0.25">
      <c r="A22" s="5" t="s">
        <v>71</v>
      </c>
      <c r="B22" s="5" t="s">
        <v>84</v>
      </c>
      <c r="C22" s="6" t="str">
        <f>_xll.QS.CONTEXT.CREATE("market.20",A22,"USD","SOFR")</f>
        <v>QSObject:PricingContext:w1~market.20:21340</v>
      </c>
      <c r="D22" s="6" t="str">
        <f>_xll.QS.CONTEXT.ADD.CURVE(C22,"SOFR",$K$2:$K$7,$L$2:$L$7,,,"Actual360","LogLinear",TRUE)</f>
        <v>QSObject:ContextInput:w1~input.qs_context_add_curve.2359132437744.21.3.0:39892</v>
      </c>
      <c r="E22" s="6" t="str">
        <f>_xll.QS.INSTRUMENT.SWAP("swap.20",H22,B22,"USD","SOFR",I22,J22,0,"Actual360","Simple","Annual","Annual","Annual")</f>
        <v>QSObject:Swap:w1~swap.20:21339</v>
      </c>
      <c r="F22" s="6" t="str">
        <f>_xll.QS.TRADE.CREATE("trade.20",E22,A22,"Receive")</f>
        <v>QSObject:SwapTrade:w1~trade.20:31039</v>
      </c>
      <c r="G22" s="3">
        <f>_xll.QS.EVALUATE(C22,F22)</f>
        <v>22910.381522130258</v>
      </c>
      <c r="H22" s="5" t="s">
        <v>85</v>
      </c>
      <c r="I22" s="7">
        <v>1002000</v>
      </c>
      <c r="J22" s="8">
        <v>3.7000000000000012E-2</v>
      </c>
    </row>
    <row r="23" spans="1:10" x14ac:dyDescent="0.25">
      <c r="A23" s="5" t="s">
        <v>73</v>
      </c>
      <c r="B23" s="5" t="s">
        <v>86</v>
      </c>
      <c r="C23" s="6" t="str">
        <f>_xll.QS.CONTEXT.CREATE("market.21",A23,"USD","SOFR")</f>
        <v>QSObject:PricingContext:w1~market.21:21338</v>
      </c>
      <c r="D23" s="6" t="str">
        <f>_xll.QS.CONTEXT.ADD.CURVE(C23,"SOFR",$K$2:$K$7,$L$2:$L$7,,,"Actual360","LogLinear",TRUE)</f>
        <v>QSObject:ContextInput:w1~input.qs_context_add_curve.2359132437744.22.3.0:39891</v>
      </c>
      <c r="E23" s="6" t="str">
        <f>_xll.QS.INSTRUMENT.SWAP("swap.21",H23,B23,"USD","SOFR",I23,J23,0,"Actual360","Simple","Annual","Annual","Annual")</f>
        <v>QSObject:Swap:w1~swap.21:21337</v>
      </c>
      <c r="F23" s="6" t="str">
        <f>_xll.QS.TRADE.CREATE("trade.21",E23,A23,"Receive")</f>
        <v>QSObject:SwapTrade:w1~trade.21:31038</v>
      </c>
      <c r="G23" s="3">
        <f>_xll.QS.EVALUATE(C23,F23)</f>
        <v>23416.867096424434</v>
      </c>
      <c r="H23" s="5" t="s">
        <v>87</v>
      </c>
      <c r="I23" s="7">
        <v>1002100</v>
      </c>
      <c r="J23" s="8">
        <v>3.7100000000000001E-2</v>
      </c>
    </row>
    <row r="24" spans="1:10" x14ac:dyDescent="0.25">
      <c r="A24" s="5" t="s">
        <v>75</v>
      </c>
      <c r="B24" s="5" t="s">
        <v>88</v>
      </c>
      <c r="C24" s="6" t="str">
        <f>_xll.QS.CONTEXT.CREATE("market.22",A24,"USD","SOFR")</f>
        <v>QSObject:PricingContext:w1~market.22:21336</v>
      </c>
      <c r="D24" s="6" t="str">
        <f>_xll.QS.CONTEXT.ADD.CURVE(C24,"SOFR",$K$2:$K$7,$L$2:$L$7,,,"Actual360","LogLinear",TRUE)</f>
        <v>QSObject:ContextInput:w1~input.qs_context_add_curve.2359132437744.23.3.0:39890</v>
      </c>
      <c r="E24" s="6" t="str">
        <f>_xll.QS.INSTRUMENT.SWAP("swap.22",H24,B24,"USD","SOFR",I24,J24,0,"Actual360","Simple","Annual","Annual","Annual")</f>
        <v>QSObject:Swap:w1~swap.22:21335</v>
      </c>
      <c r="F24" s="6" t="str">
        <f>_xll.QS.TRADE.CREATE("trade.22",E24,A24,"Receive")</f>
        <v>QSObject:SwapTrade:w1~trade.22:31037</v>
      </c>
      <c r="G24" s="3">
        <f>_xll.QS.EVALUATE(C24,F24)</f>
        <v>23908.30457726205</v>
      </c>
      <c r="H24" s="5" t="s">
        <v>89</v>
      </c>
      <c r="I24" s="7">
        <v>1002200</v>
      </c>
      <c r="J24" s="8">
        <v>3.7199999999999997E-2</v>
      </c>
    </row>
    <row r="25" spans="1:10" x14ac:dyDescent="0.25">
      <c r="A25" s="5" t="s">
        <v>77</v>
      </c>
      <c r="B25" s="5" t="s">
        <v>90</v>
      </c>
      <c r="C25" s="6" t="str">
        <f>_xll.QS.CONTEXT.CREATE("market.23",A25,"USD","SOFR")</f>
        <v>QSObject:PricingContext:w1~market.23:21334</v>
      </c>
      <c r="D25" s="6" t="str">
        <f>_xll.QS.CONTEXT.ADD.CURVE(C25,"SOFR",$K$2:$K$7,$L$2:$L$7,,,"Actual360","LogLinear",TRUE)</f>
        <v>QSObject:ContextInput:w1~input.qs_context_add_curve.2359132437744.24.3.0:39889</v>
      </c>
      <c r="E25" s="6" t="str">
        <f>_xll.QS.INSTRUMENT.SWAP("swap.23",H25,B25,"USD","SOFR",I25,J25,0,"Actual360","Simple","Annual","Annual","Annual")</f>
        <v>QSObject:Swap:w1~swap.23:21333</v>
      </c>
      <c r="F25" s="6" t="str">
        <f>_xll.QS.TRADE.CREATE("trade.23",E25,A25,"Receive")</f>
        <v>QSObject:SwapTrade:w1~trade.23:31036</v>
      </c>
      <c r="G25" s="3">
        <f>_xll.QS.EVALUATE(C25,F25)</f>
        <v>24446.262811989487</v>
      </c>
      <c r="H25" s="5" t="s">
        <v>91</v>
      </c>
      <c r="I25" s="7">
        <v>1002300</v>
      </c>
      <c r="J25" s="8">
        <v>3.73E-2</v>
      </c>
    </row>
    <row r="26" spans="1:10" x14ac:dyDescent="0.25">
      <c r="A26" s="5" t="s">
        <v>79</v>
      </c>
      <c r="B26" s="5" t="s">
        <v>92</v>
      </c>
      <c r="C26" s="6" t="str">
        <f>_xll.QS.CONTEXT.CREATE("market.24",A26,"USD","SOFR")</f>
        <v>QSObject:PricingContext:w1~market.24:21332</v>
      </c>
      <c r="D26" s="6" t="str">
        <f>_xll.QS.CONTEXT.ADD.CURVE(C26,"SOFR",$K$2:$K$7,$L$2:$L$7,,,"Actual360","LogLinear",TRUE)</f>
        <v>QSObject:ContextInput:w1~input.qs_context_add_curve.2359132437744.25.3.0:39888</v>
      </c>
      <c r="E26" s="6" t="str">
        <f>_xll.QS.INSTRUMENT.SWAP("swap.24",H26,B26,"USD","SOFR",I26,J26,0,"Actual360","Simple","Annual","Annual","Annual")</f>
        <v>QSObject:Swap:w1~swap.24:21331</v>
      </c>
      <c r="F26" s="6" t="str">
        <f>_xll.QS.TRADE.CREATE("trade.24",E26,A26,"Receive")</f>
        <v>QSObject:SwapTrade:w1~trade.24:31035</v>
      </c>
      <c r="G26" s="3">
        <f>_xll.QS.EVALUATE(C26,F26)</f>
        <v>24954.589819864839</v>
      </c>
      <c r="H26" s="5" t="s">
        <v>93</v>
      </c>
      <c r="I26" s="7">
        <v>1002400</v>
      </c>
      <c r="J26" s="8">
        <v>3.7400000000000003E-2</v>
      </c>
    </row>
    <row r="27" spans="1:10" x14ac:dyDescent="0.25">
      <c r="A27" s="5" t="s">
        <v>81</v>
      </c>
      <c r="B27" s="5" t="s">
        <v>94</v>
      </c>
      <c r="C27" s="6" t="str">
        <f>_xll.QS.CONTEXT.CREATE("market.25",A27,"USD","SOFR")</f>
        <v>QSObject:PricingContext:w1~market.25:21330</v>
      </c>
      <c r="D27" s="6" t="str">
        <f>_xll.QS.CONTEXT.ADD.CURVE(C27,"SOFR",$K$2:$K$7,$L$2:$L$7,,,"Actual360","LogLinear",TRUE)</f>
        <v>QSObject:ContextInput:w1~input.qs_context_add_curve.2359132437744.26.3.0:39887</v>
      </c>
      <c r="E27" s="6" t="str">
        <f>_xll.QS.INSTRUMENT.SWAP("swap.25",H27,B27,"USD","SOFR",I27,J27,0,"Actual360","Simple","Annual","Annual","Annual")</f>
        <v>QSObject:Swap:w1~swap.25:21329</v>
      </c>
      <c r="F27" s="6" t="str">
        <f>_xll.QS.TRADE.CREATE("trade.25",E27,A27,"Receive")</f>
        <v>QSObject:SwapTrade:w1~trade.25:31034</v>
      </c>
      <c r="G27" s="3">
        <f>_xll.QS.EVALUATE(C27,F27)</f>
        <v>25380.671470314697</v>
      </c>
      <c r="H27" s="5" t="s">
        <v>95</v>
      </c>
      <c r="I27" s="7">
        <v>1002500</v>
      </c>
      <c r="J27" s="8">
        <v>3.7500000000000012E-2</v>
      </c>
    </row>
    <row r="28" spans="1:10" x14ac:dyDescent="0.25">
      <c r="A28" s="5" t="s">
        <v>83</v>
      </c>
      <c r="B28" s="5" t="s">
        <v>96</v>
      </c>
      <c r="C28" s="6" t="str">
        <f>_xll.QS.CONTEXT.CREATE("market.26",A28,"USD","SOFR")</f>
        <v>QSObject:PricingContext:w1~market.26:21328</v>
      </c>
      <c r="D28" s="6" t="str">
        <f>_xll.QS.CONTEXT.ADD.CURVE(C28,"SOFR",$K$2:$K$7,$L$2:$L$7,,,"Actual360","LogLinear",TRUE)</f>
        <v>QSObject:ContextInput:w1~input.qs_context_add_curve.2359132437744.27.3.0:39886</v>
      </c>
      <c r="E28" s="6" t="str">
        <f>_xll.QS.INSTRUMENT.SWAP("swap.26",H28,B28,"USD","SOFR",I28,J28,0,"Actual360","Simple","Annual","Annual","Annual")</f>
        <v>QSObject:Swap:w1~swap.26:21327</v>
      </c>
      <c r="F28" s="6" t="str">
        <f>_xll.QS.TRADE.CREATE("trade.26",E28,A28,"Receive")</f>
        <v>QSObject:SwapTrade:w1~trade.26:31033</v>
      </c>
      <c r="G28" s="3">
        <f>_xll.QS.EVALUATE(C28,F28)</f>
        <v>25772.841130100525</v>
      </c>
      <c r="H28" s="5" t="s">
        <v>97</v>
      </c>
      <c r="I28" s="7">
        <v>1002600</v>
      </c>
      <c r="J28" s="8">
        <v>3.7600000000000001E-2</v>
      </c>
    </row>
    <row r="29" spans="1:10" x14ac:dyDescent="0.25">
      <c r="A29" s="5" t="s">
        <v>85</v>
      </c>
      <c r="B29" s="5" t="s">
        <v>98</v>
      </c>
      <c r="C29" s="6" t="str">
        <f>_xll.QS.CONTEXT.CREATE("market.27",A29,"USD","SOFR")</f>
        <v>QSObject:PricingContext:w1~market.27:21326</v>
      </c>
      <c r="D29" s="6" t="str">
        <f>_xll.QS.CONTEXT.ADD.CURVE(C29,"SOFR",$K$2:$K$7,$L$2:$L$7,,,"Actual360","LogLinear",TRUE)</f>
        <v>QSObject:ContextInput:w1~input.qs_context_add_curve.2359132437744.28.3.0:39885</v>
      </c>
      <c r="E29" s="6" t="str">
        <f>_xll.QS.INSTRUMENT.SWAP("swap.27",H29,B29,"USD","SOFR",I29,J29,0,"Actual360","Simple","Annual","Annual","Annual")</f>
        <v>QSObject:Swap:w1~swap.27:21325</v>
      </c>
      <c r="F29" s="6" t="str">
        <f>_xll.QS.TRADE.CREATE("trade.27",E29,A29,"Receive")</f>
        <v>QSObject:SwapTrade:w1~trade.27:31032</v>
      </c>
      <c r="G29" s="3">
        <f>_xll.QS.EVALUATE(C29,F29)</f>
        <v>26164.133020341731</v>
      </c>
      <c r="H29" s="5" t="s">
        <v>99</v>
      </c>
      <c r="I29" s="7">
        <v>1002700</v>
      </c>
      <c r="J29" s="8">
        <v>3.7699999999999997E-2</v>
      </c>
    </row>
    <row r="30" spans="1:10" x14ac:dyDescent="0.25">
      <c r="A30" s="5" t="s">
        <v>87</v>
      </c>
      <c r="B30" s="5" t="s">
        <v>100</v>
      </c>
      <c r="C30" s="6" t="str">
        <f>_xll.QS.CONTEXT.CREATE("market.28",A30,"USD","SOFR")</f>
        <v>QSObject:PricingContext:w1~market.28:21324</v>
      </c>
      <c r="D30" s="6" t="str">
        <f>_xll.QS.CONTEXT.ADD.CURVE(C30,"SOFR",$K$2:$K$7,$L$2:$L$7,,,"Actual360","LogLinear",TRUE)</f>
        <v>QSObject:ContextInput:w1~input.qs_context_add_curve.2359132437744.29.3.0:39884</v>
      </c>
      <c r="E30" s="6" t="str">
        <f>_xll.QS.INSTRUMENT.SWAP("swap.28",H30,B30,"USD","SOFR",I30,J30,0,"Actual360","Simple","Annual","Annual","Annual")</f>
        <v>QSObject:Swap:w1~swap.28:21323</v>
      </c>
      <c r="F30" s="6" t="str">
        <f>_xll.QS.TRADE.CREATE("trade.28",E30,A30,"Receive")</f>
        <v>QSObject:SwapTrade:w1~trade.28:31031</v>
      </c>
      <c r="G30" s="3">
        <f>_xll.QS.EVALUATE(C30,F30)</f>
        <v>26671.624597372247</v>
      </c>
      <c r="H30" s="5" t="s">
        <v>101</v>
      </c>
      <c r="I30" s="7">
        <v>1002800</v>
      </c>
      <c r="J30" s="8">
        <v>3.78E-2</v>
      </c>
    </row>
    <row r="31" spans="1:10" x14ac:dyDescent="0.25">
      <c r="A31" s="5" t="s">
        <v>89</v>
      </c>
      <c r="B31" s="5" t="s">
        <v>102</v>
      </c>
      <c r="C31" s="6" t="str">
        <f>_xll.QS.CONTEXT.CREATE("market.29",A31,"USD","SOFR")</f>
        <v>QSObject:PricingContext:w1~market.29:21322</v>
      </c>
      <c r="D31" s="6" t="str">
        <f>_xll.QS.CONTEXT.ADD.CURVE(C31,"SOFR",$K$2:$K$7,$L$2:$L$7,,,"Actual360","LogLinear",TRUE)</f>
        <v>QSObject:ContextInput:w1~input.qs_context_add_curve.2359132437744.30.3.0:39883</v>
      </c>
      <c r="E31" s="6" t="str">
        <f>_xll.QS.INSTRUMENT.SWAP("swap.29",H31,B31,"USD","SOFR",I31,J31,0,"Actual360","Simple","Annual","Annual","Annual")</f>
        <v>QSObject:Swap:w1~swap.29:21321</v>
      </c>
      <c r="F31" s="6" t="str">
        <f>_xll.QS.TRADE.CREATE("trade.29",E31,A31,"Receive")</f>
        <v>QSObject:SwapTrade:w1~trade.29:31030</v>
      </c>
      <c r="G31" s="3">
        <f>_xll.QS.EVALUATE(C31,F31)</f>
        <v>27162.118390633699</v>
      </c>
      <c r="H31" s="5" t="s">
        <v>103</v>
      </c>
      <c r="I31" s="7">
        <v>1002900</v>
      </c>
      <c r="J31" s="8">
        <v>3.7900000000000003E-2</v>
      </c>
    </row>
    <row r="32" spans="1:10" x14ac:dyDescent="0.25">
      <c r="A32" s="5" t="s">
        <v>91</v>
      </c>
      <c r="B32" s="5" t="s">
        <v>104</v>
      </c>
      <c r="C32" s="6" t="str">
        <f>_xll.QS.CONTEXT.CREATE("market.30",A32,"USD","SOFR")</f>
        <v>QSObject:PricingContext:w1~market.30:21320</v>
      </c>
      <c r="D32" s="6" t="str">
        <f>_xll.QS.CONTEXT.ADD.CURVE(C32,"SOFR",$K$2:$K$7,$L$2:$L$7,,,"Actual360","LogLinear",TRUE)</f>
        <v>QSObject:ContextInput:w1~input.qs_context_add_curve.2359132437744.31.3.0:39882</v>
      </c>
      <c r="E32" s="6" t="str">
        <f>_xll.QS.INSTRUMENT.SWAP("swap.30",H32,B32,"USD","SOFR",I32,J32,0,"Actual360","Simple","Annual","Annual","Annual")</f>
        <v>QSObject:Swap:w1~swap.30:21319</v>
      </c>
      <c r="F32" s="6" t="str">
        <f>_xll.QS.TRADE.CREATE("trade.30",E32,A32,"Receive")</f>
        <v>QSObject:SwapTrade:w1~trade.30:31029</v>
      </c>
      <c r="G32" s="3">
        <f>_xll.QS.EVALUATE(C32,F32)</f>
        <v>27700.848978834416</v>
      </c>
      <c r="H32" s="5" t="s">
        <v>105</v>
      </c>
      <c r="I32" s="7">
        <v>1003000</v>
      </c>
      <c r="J32" s="8">
        <v>3.8000000000000013E-2</v>
      </c>
    </row>
    <row r="33" spans="1:10" x14ac:dyDescent="0.25">
      <c r="A33" s="5" t="s">
        <v>93</v>
      </c>
      <c r="B33" s="5" t="s">
        <v>106</v>
      </c>
      <c r="C33" s="6" t="str">
        <f>_xll.QS.CONTEXT.CREATE("market.31",A33,"USD","SOFR")</f>
        <v>QSObject:PricingContext:w1~market.31:21318</v>
      </c>
      <c r="D33" s="6" t="str">
        <f>_xll.QS.CONTEXT.ADD.CURVE(C33,"SOFR",$K$2:$K$7,$L$2:$L$7,,,"Actual360","LogLinear",TRUE)</f>
        <v>QSObject:ContextInput:w1~input.qs_context_add_curve.2359132437744.32.3.0:39881</v>
      </c>
      <c r="E33" s="6" t="str">
        <f>_xll.QS.INSTRUMENT.SWAP("swap.31",H33,B33,"USD","SOFR",I33,J33,0,"Actual360","Simple","Annual","Annual","Annual")</f>
        <v>QSObject:Swap:w1~swap.31:21317</v>
      </c>
      <c r="F33" s="6" t="str">
        <f>_xll.QS.TRADE.CREATE("trade.31",E33,A33,"Receive")</f>
        <v>QSObject:SwapTrade:w1~trade.31:31028</v>
      </c>
      <c r="G33" s="3">
        <f>_xll.QS.EVALUATE(C33,F33)</f>
        <v>28210.032375643383</v>
      </c>
      <c r="H33" s="5" t="s">
        <v>107</v>
      </c>
      <c r="I33" s="7">
        <v>1003100</v>
      </c>
      <c r="J33" s="8">
        <v>3.8100000000000002E-2</v>
      </c>
    </row>
    <row r="34" spans="1:10" x14ac:dyDescent="0.25">
      <c r="A34" s="5" t="s">
        <v>95</v>
      </c>
      <c r="B34" s="5" t="s">
        <v>108</v>
      </c>
      <c r="C34" s="6" t="str">
        <f>_xll.QS.CONTEXT.CREATE("market.32",A34,"USD","SOFR")</f>
        <v>QSObject:PricingContext:w1~market.32:21316</v>
      </c>
      <c r="D34" s="6" t="str">
        <f>_xll.QS.CONTEXT.ADD.CURVE(C34,"SOFR",$K$2:$K$7,$L$2:$L$7,,,"Actual360","LogLinear",TRUE)</f>
        <v>QSObject:ContextInput:w1~input.qs_context_add_curve.2359132437744.33.3.0:39880</v>
      </c>
      <c r="E34" s="6" t="str">
        <f>_xll.QS.INSTRUMENT.SWAP("swap.32",H34,B34,"USD","SOFR",I34,J34,0,"Actual360","Simple","Annual","Annual","Annual")</f>
        <v>QSObject:Swap:w1~swap.32:21315</v>
      </c>
      <c r="F34" s="6" t="str">
        <f>_xll.QS.TRADE.CREATE("trade.32",E34,A34,"Receive")</f>
        <v>QSObject:SwapTrade:w1~trade.32:31027</v>
      </c>
      <c r="G34" s="3">
        <f>_xll.QS.EVALUATE(C34,F34)</f>
        <v>28636.844520418439</v>
      </c>
      <c r="H34" s="5" t="s">
        <v>109</v>
      </c>
      <c r="I34" s="7">
        <v>1003200</v>
      </c>
      <c r="J34" s="8">
        <v>3.8199999999999998E-2</v>
      </c>
    </row>
    <row r="35" spans="1:10" x14ac:dyDescent="0.25">
      <c r="A35" s="5" t="s">
        <v>97</v>
      </c>
      <c r="B35" s="5" t="s">
        <v>110</v>
      </c>
      <c r="C35" s="6" t="str">
        <f>_xll.QS.CONTEXT.CREATE("market.33",A35,"USD","SOFR")</f>
        <v>QSObject:PricingContext:w1~market.33:21314</v>
      </c>
      <c r="D35" s="6" t="str">
        <f>_xll.QS.CONTEXT.ADD.CURVE(C35,"SOFR",$K$2:$K$7,$L$2:$L$7,,,"Actual360","LogLinear",TRUE)</f>
        <v>QSObject:ContextInput:w1~input.qs_context_add_curve.2359132437744.34.3.0:39879</v>
      </c>
      <c r="E35" s="6" t="str">
        <f>_xll.QS.INSTRUMENT.SWAP("swap.33",H35,B35,"USD","SOFR",I35,J35,0,"Actual360","Simple","Annual","Annual","Annual")</f>
        <v>QSObject:Swap:w1~swap.33:21313</v>
      </c>
      <c r="F35" s="6" t="str">
        <f>_xll.QS.TRADE.CREATE("trade.33",E35,A35,"Receive")</f>
        <v>QSObject:SwapTrade:w1~trade.33:31026</v>
      </c>
      <c r="G35" s="3">
        <f>_xll.QS.EVALUATE(C35,F35)</f>
        <v>29025.795560176997</v>
      </c>
      <c r="H35" s="5" t="s">
        <v>111</v>
      </c>
      <c r="I35" s="7">
        <v>1003300</v>
      </c>
      <c r="J35" s="8">
        <v>3.8300000000000001E-2</v>
      </c>
    </row>
    <row r="36" spans="1:10" x14ac:dyDescent="0.25">
      <c r="A36" s="5" t="s">
        <v>99</v>
      </c>
      <c r="B36" s="5" t="s">
        <v>112</v>
      </c>
      <c r="C36" s="6" t="str">
        <f>_xll.QS.CONTEXT.CREATE("market.34",A36,"USD","SOFR")</f>
        <v>QSObject:PricingContext:w1~market.34:21312</v>
      </c>
      <c r="D36" s="6" t="str">
        <f>_xll.QS.CONTEXT.ADD.CURVE(C36,"SOFR",$K$2:$K$7,$L$2:$L$7,,,"Actual360","LogLinear",TRUE)</f>
        <v>QSObject:ContextInput:w1~input.qs_context_add_curve.2359132437744.35.3.0:39878</v>
      </c>
      <c r="E36" s="6" t="str">
        <f>_xll.QS.INSTRUMENT.SWAP("swap.34",H36,B36,"USD","SOFR",I36,J36,0,"Actual360","Simple","Annual","Annual","Annual")</f>
        <v>QSObject:Swap:w1~swap.34:21311</v>
      </c>
      <c r="F36" s="6" t="str">
        <f>_xll.QS.TRADE.CREATE("trade.34",E36,A36,"Receive")</f>
        <v>QSObject:SwapTrade:w1~trade.34:31025</v>
      </c>
      <c r="G36" s="3">
        <f>_xll.QS.EVALUATE(C36,F36)</f>
        <v>29422.704144920783</v>
      </c>
      <c r="H36" s="5" t="s">
        <v>113</v>
      </c>
      <c r="I36" s="7">
        <v>1003400</v>
      </c>
      <c r="J36" s="8">
        <v>3.8399999999999997E-2</v>
      </c>
    </row>
    <row r="37" spans="1:10" x14ac:dyDescent="0.25">
      <c r="A37" s="5" t="s">
        <v>101</v>
      </c>
      <c r="B37" s="5" t="s">
        <v>114</v>
      </c>
      <c r="C37" s="6" t="str">
        <f>_xll.QS.CONTEXT.CREATE("market.35",A37,"USD","SOFR")</f>
        <v>QSObject:PricingContext:w1~market.35:21310</v>
      </c>
      <c r="D37" s="6" t="str">
        <f>_xll.QS.CONTEXT.ADD.CURVE(C37,"SOFR",$K$2:$K$7,$L$2:$L$7,,,"Actual360","LogLinear",TRUE)</f>
        <v>QSObject:ContextInput:w1~input.qs_context_add_curve.2359132437744.36.3.0:39877</v>
      </c>
      <c r="E37" s="6" t="str">
        <f>_xll.QS.INSTRUMENT.SWAP("swap.35",H37,B37,"USD","SOFR",I37,J37,0,"Actual360","Simple","Annual","Annual","Annual")</f>
        <v>QSObject:Swap:w1~swap.35:21309</v>
      </c>
      <c r="F37" s="6" t="str">
        <f>_xll.QS.TRADE.CREATE("trade.35",E37,A37,"Receive")</f>
        <v>QSObject:SwapTrade:w1~trade.35:31024</v>
      </c>
      <c r="G37" s="3">
        <f>_xll.QS.EVALUATE(C37,F37)</f>
        <v>29931.167745277286</v>
      </c>
      <c r="H37" s="5" t="s">
        <v>115</v>
      </c>
      <c r="I37" s="7">
        <v>1003500</v>
      </c>
      <c r="J37" s="8">
        <v>3.8500000000000013E-2</v>
      </c>
    </row>
    <row r="38" spans="1:10" x14ac:dyDescent="0.25">
      <c r="A38" s="5" t="s">
        <v>103</v>
      </c>
      <c r="B38" s="5" t="s">
        <v>116</v>
      </c>
      <c r="C38" s="6" t="str">
        <f>_xll.QS.CONTEXT.CREATE("market.36",A38,"USD","SOFR")</f>
        <v>QSObject:PricingContext:w1~market.36:21308</v>
      </c>
      <c r="D38" s="6" t="str">
        <f>_xll.QS.CONTEXT.ADD.CURVE(C38,"SOFR",$K$2:$K$7,$L$2:$L$7,,,"Actual360","LogLinear",TRUE)</f>
        <v>QSObject:ContextInput:w1~input.qs_context_add_curve.2359132437744.37.3.0:39876</v>
      </c>
      <c r="E38" s="6" t="str">
        <f>_xll.QS.INSTRUMENT.SWAP("swap.36",H38,B38,"USD","SOFR",I38,J38,0,"Actual360","Simple","Annual","Annual","Annual")</f>
        <v>QSObject:Swap:w1~swap.36:21307</v>
      </c>
      <c r="F38" s="6" t="str">
        <f>_xll.QS.TRADE.CREATE("trade.36",E38,A38,"Receive")</f>
        <v>QSObject:SwapTrade:w1~trade.36:31023</v>
      </c>
      <c r="G38" s="3">
        <f>_xll.QS.EVALUATE(C38,F38)</f>
        <v>30420.527025789102</v>
      </c>
      <c r="H38" s="5" t="s">
        <v>117</v>
      </c>
      <c r="I38" s="7">
        <v>1003600</v>
      </c>
      <c r="J38" s="8">
        <v>3.8600000000000002E-2</v>
      </c>
    </row>
    <row r="39" spans="1:10" x14ac:dyDescent="0.25">
      <c r="A39" s="5" t="s">
        <v>105</v>
      </c>
      <c r="B39" s="5" t="s">
        <v>118</v>
      </c>
      <c r="C39" s="6" t="str">
        <f>_xll.QS.CONTEXT.CREATE("market.37",A39,"USD","SOFR")</f>
        <v>QSObject:PricingContext:w1~market.37:21306</v>
      </c>
      <c r="D39" s="6" t="str">
        <f>_xll.QS.CONTEXT.ADD.CURVE(C39,"SOFR",$K$2:$K$7,$L$2:$L$7,,,"Actual360","LogLinear",TRUE)</f>
        <v>QSObject:ContextInput:w1~input.qs_context_add_curve.2359132437744.38.3.0:39875</v>
      </c>
      <c r="E39" s="6" t="str">
        <f>_xll.QS.INSTRUMENT.SWAP("swap.37",H39,B39,"USD","SOFR",I39,J39,0,"Actual360","Simple","Annual","Annual","Annual")</f>
        <v>QSObject:Swap:w1~swap.37:21305</v>
      </c>
      <c r="F39" s="6" t="str">
        <f>_xll.QS.TRADE.CREATE("trade.37",E39,A39,"Receive")</f>
        <v>QSObject:SwapTrade:w1~trade.37:31022</v>
      </c>
      <c r="G39" s="3">
        <f>_xll.QS.EVALUATE(C39,F39)</f>
        <v>30960.014086060957</v>
      </c>
      <c r="H39" s="5" t="s">
        <v>119</v>
      </c>
      <c r="I39" s="7">
        <v>1003700</v>
      </c>
      <c r="J39" s="8">
        <v>3.8700000000000012E-2</v>
      </c>
    </row>
    <row r="40" spans="1:10" x14ac:dyDescent="0.25">
      <c r="A40" s="5" t="s">
        <v>107</v>
      </c>
      <c r="B40" s="5" t="s">
        <v>120</v>
      </c>
      <c r="C40" s="6" t="str">
        <f>_xll.QS.CONTEXT.CREATE("market.38",A40,"USD","SOFR")</f>
        <v>QSObject:PricingContext:w1~market.38:21304</v>
      </c>
      <c r="D40" s="6" t="str">
        <f>_xll.QS.CONTEXT.ADD.CURVE(C40,"SOFR",$K$2:$K$7,$L$2:$L$7,,,"Actual360","LogLinear",TRUE)</f>
        <v>QSObject:ContextInput:w1~input.qs_context_add_curve.2359132437744.39.3.0:39874</v>
      </c>
      <c r="E40" s="6" t="str">
        <f>_xll.QS.INSTRUMENT.SWAP("swap.38",H40,B40,"USD","SOFR",I40,J40,0,"Actual360","Simple","Annual","Annual","Annual")</f>
        <v>QSObject:Swap:w1~swap.38:21303</v>
      </c>
      <c r="F40" s="6" t="str">
        <f>_xll.QS.TRADE.CREATE("trade.38",E40,A40,"Receive")</f>
        <v>QSObject:SwapTrade:w1~trade.38:31021</v>
      </c>
      <c r="G40" s="3">
        <f>_xll.QS.EVALUATE(C40,F40)</f>
        <v>31469.866794100693</v>
      </c>
      <c r="H40" s="5" t="s">
        <v>121</v>
      </c>
      <c r="I40" s="7">
        <v>1003800</v>
      </c>
      <c r="J40" s="8">
        <v>3.8800000000000001E-2</v>
      </c>
    </row>
    <row r="41" spans="1:10" x14ac:dyDescent="0.25">
      <c r="A41" s="5" t="s">
        <v>109</v>
      </c>
      <c r="B41" s="5" t="s">
        <v>122</v>
      </c>
      <c r="C41" s="6" t="str">
        <f>_xll.QS.CONTEXT.CREATE("market.39",A41,"USD","SOFR")</f>
        <v>QSObject:PricingContext:w1~market.39:21302</v>
      </c>
      <c r="D41" s="6" t="str">
        <f>_xll.QS.CONTEXT.ADD.CURVE(C41,"SOFR",$K$2:$K$7,$L$2:$L$7,,,"Actual360","LogLinear",TRUE)</f>
        <v>QSObject:ContextInput:w1~input.qs_context_add_curve.2359132437744.40.3.0:39873</v>
      </c>
      <c r="E41" s="6" t="str">
        <f>_xll.QS.INSTRUMENT.SWAP("swap.39",H41,B41,"USD","SOFR",I41,J41,0,"Actual360","Simple","Annual","Annual","Annual")</f>
        <v>QSObject:Swap:w1~swap.39:21301</v>
      </c>
      <c r="F41" s="6" t="str">
        <f>_xll.QS.TRADE.CREATE("trade.39",E41,A41,"Receive")</f>
        <v>QSObject:SwapTrade:w1~trade.39:31020</v>
      </c>
      <c r="G41" s="3">
        <f>_xll.QS.EVALUATE(C41,F41)</f>
        <v>31897.122652382262</v>
      </c>
      <c r="H41" s="5" t="s">
        <v>123</v>
      </c>
      <c r="I41" s="7">
        <v>1003900</v>
      </c>
      <c r="J41" s="8">
        <v>3.8899999999999997E-2</v>
      </c>
    </row>
    <row r="42" spans="1:10" x14ac:dyDescent="0.25">
      <c r="A42" s="5" t="s">
        <v>111</v>
      </c>
      <c r="B42" s="5" t="s">
        <v>124</v>
      </c>
      <c r="C42" s="6" t="str">
        <f>_xll.QS.CONTEXT.CREATE("market.40",A42,"USD","SOFR")</f>
        <v>QSObject:PricingContext:w1~market.40:21300</v>
      </c>
      <c r="D42" s="6" t="str">
        <f>_xll.QS.CONTEXT.ADD.CURVE(C42,"SOFR",$K$2:$K$7,$L$2:$L$7,,,"Actual360","LogLinear",TRUE)</f>
        <v>QSObject:ContextInput:w1~input.qs_context_add_curve.2359132437744.41.3.0:39872</v>
      </c>
      <c r="E42" s="6" t="str">
        <f>_xll.QS.INSTRUMENT.SWAP("swap.40",H42,B42,"USD","SOFR",I42,J42,0,"Actual360","Simple","Annual","Annual","Annual")</f>
        <v>QSObject:Swap:w1~swap.40:21299</v>
      </c>
      <c r="F42" s="6" t="str">
        <f>_xll.QS.TRADE.CREATE("trade.40",E42,A42,"Receive")</f>
        <v>QSObject:SwapTrade:w1~trade.40:31019</v>
      </c>
      <c r="G42" s="3">
        <f>_xll.QS.EVALUATE(C42,F42)</f>
        <v>32262.571538725439</v>
      </c>
      <c r="H42" s="5" t="s">
        <v>125</v>
      </c>
      <c r="I42" s="7">
        <v>1004000</v>
      </c>
      <c r="J42" s="8">
        <v>3.9000000000000007E-2</v>
      </c>
    </row>
    <row r="43" spans="1:10" x14ac:dyDescent="0.25">
      <c r="A43" s="5" t="s">
        <v>113</v>
      </c>
      <c r="B43" s="5" t="s">
        <v>126</v>
      </c>
      <c r="C43" s="6" t="str">
        <f>_xll.QS.CONTEXT.CREATE("market.41",A43,"USD","SOFR")</f>
        <v>QSObject:PricingContext:w1~market.41:21298</v>
      </c>
      <c r="D43" s="6" t="str">
        <f>_xll.QS.CONTEXT.ADD.CURVE(C43,"SOFR",$K$2:$K$7,$L$2:$L$7,,,"Actual360","LogLinear",TRUE)</f>
        <v>QSObject:ContextInput:w1~input.qs_context_add_curve.2359132437744.42.3.0:39871</v>
      </c>
      <c r="E43" s="6" t="str">
        <f>_xll.QS.INSTRUMENT.SWAP("swap.41",H43,B43,"USD","SOFR",I43,J43,0,"Actual360","Simple","Annual","Annual","Annual")</f>
        <v>QSObject:Swap:w1~swap.41:21297</v>
      </c>
      <c r="F43" s="6" t="str">
        <f>_xll.QS.TRADE.CREATE("trade.41",E43,A43,"Receive")</f>
        <v>QSObject:SwapTrade:w1~trade.41:31018</v>
      </c>
      <c r="G43" s="3">
        <f>_xll.QS.EVALUATE(C43,F43)</f>
        <v>32642.914809338046</v>
      </c>
      <c r="H43" s="5" t="s">
        <v>127</v>
      </c>
      <c r="I43" s="7">
        <v>1004100</v>
      </c>
      <c r="J43" s="8">
        <v>3.9100000000000003E-2</v>
      </c>
    </row>
    <row r="44" spans="1:10" x14ac:dyDescent="0.25">
      <c r="A44" s="5" t="s">
        <v>115</v>
      </c>
      <c r="B44" s="5" t="s">
        <v>128</v>
      </c>
      <c r="C44" s="6" t="str">
        <f>_xll.QS.CONTEXT.CREATE("market.42",A44,"USD","SOFR")</f>
        <v>QSObject:PricingContext:w1~market.42:21296</v>
      </c>
      <c r="D44" s="6" t="str">
        <f>_xll.QS.CONTEXT.ADD.CURVE(C44,"SOFR",$K$2:$K$7,$L$2:$L$7,,,"Actual360","LogLinear",TRUE)</f>
        <v>QSObject:ContextInput:w1~input.qs_context_add_curve.2359132437744.43.3.0:39870</v>
      </c>
      <c r="E44" s="6" t="str">
        <f>_xll.QS.INSTRUMENT.SWAP("swap.42",H44,B44,"USD","SOFR",I44,J44,0,"Actual360","Simple","Annual","Annual","Annual")</f>
        <v>QSObject:Swap:w1~swap.42:21295</v>
      </c>
      <c r="F44" s="6" t="str">
        <f>_xll.QS.TRADE.CREATE("trade.42",E44,A44,"Receive")</f>
        <v>QSObject:SwapTrade:w1~trade.42:31017</v>
      </c>
      <c r="G44" s="3">
        <f>_xll.QS.EVALUATE(C44,F44)</f>
        <v>33152.635165594707</v>
      </c>
      <c r="H44" s="5" t="s">
        <v>129</v>
      </c>
      <c r="I44" s="7">
        <v>1004200</v>
      </c>
      <c r="J44" s="8">
        <v>3.9200000000000013E-2</v>
      </c>
    </row>
    <row r="45" spans="1:10" x14ac:dyDescent="0.25">
      <c r="A45" s="5" t="s">
        <v>117</v>
      </c>
      <c r="B45" s="5" t="s">
        <v>130</v>
      </c>
      <c r="C45" s="6" t="str">
        <f>_xll.QS.CONTEXT.CREATE("market.43",A45,"USD","SOFR")</f>
        <v>QSObject:PricingContext:w1~market.43:21294</v>
      </c>
      <c r="D45" s="6" t="str">
        <f>_xll.QS.CONTEXT.ADD.CURVE(C45,"SOFR",$K$2:$K$7,$L$2:$L$7,,,"Actual360","LogLinear",TRUE)</f>
        <v>QSObject:ContextInput:w1~input.qs_context_add_curve.2359132437744.44.3.0:39869</v>
      </c>
      <c r="E45" s="6" t="str">
        <f>_xll.QS.INSTRUMENT.SWAP("swap.43",H45,B45,"USD","SOFR",I45,J45,0,"Actual360","Simple","Annual","Annual","Annual")</f>
        <v>QSObject:Swap:w1~swap.43:21293</v>
      </c>
      <c r="F45" s="6" t="str">
        <f>_xll.QS.TRADE.CREATE("trade.43",E45,A45,"Receive")</f>
        <v>QSObject:SwapTrade:w1~trade.43:31016</v>
      </c>
      <c r="G45" s="3">
        <f>_xll.QS.EVALUATE(C45,F45)</f>
        <v>33662.54065319075</v>
      </c>
      <c r="H45" s="5" t="s">
        <v>131</v>
      </c>
      <c r="I45" s="7">
        <v>1004300</v>
      </c>
      <c r="J45" s="8">
        <v>3.9300000000000002E-2</v>
      </c>
    </row>
    <row r="46" spans="1:10" x14ac:dyDescent="0.25">
      <c r="A46" s="5" t="s">
        <v>119</v>
      </c>
      <c r="B46" s="5" t="s">
        <v>132</v>
      </c>
      <c r="C46" s="6" t="str">
        <f>_xll.QS.CONTEXT.CREATE("market.44",A46,"USD","SOFR")</f>
        <v>QSObject:PricingContext:w1~market.44:21292</v>
      </c>
      <c r="D46" s="6" t="str">
        <f>_xll.QS.CONTEXT.ADD.CURVE(C46,"SOFR",$K$2:$K$7,$L$2:$L$7,,,"Actual360","LogLinear",TRUE)</f>
        <v>QSObject:ContextInput:w1~input.qs_context_add_curve.2359132437744.45.3.0:39868</v>
      </c>
      <c r="E46" s="6" t="str">
        <f>_xll.QS.INSTRUMENT.SWAP("swap.44",H46,B46,"USD","SOFR",I46,J46,0,"Actual360","Simple","Annual","Annual","Annual")</f>
        <v>QSObject:Swap:w1~swap.44:21291</v>
      </c>
      <c r="F46" s="6" t="str">
        <f>_xll.QS.TRADE.CREATE("trade.44",E46,A46,"Receive")</f>
        <v>QSObject:SwapTrade:w1~trade.44:31015</v>
      </c>
      <c r="G46" s="3">
        <f>_xll.QS.EVALUATE(C46,F46)</f>
        <v>34261.090546670581</v>
      </c>
      <c r="H46" s="5" t="s">
        <v>133</v>
      </c>
      <c r="I46" s="7">
        <v>1004400</v>
      </c>
      <c r="J46" s="8">
        <v>3.9399999999999998E-2</v>
      </c>
    </row>
    <row r="47" spans="1:10" x14ac:dyDescent="0.25">
      <c r="A47" s="5" t="s">
        <v>121</v>
      </c>
      <c r="B47" s="5" t="s">
        <v>134</v>
      </c>
      <c r="C47" s="6" t="str">
        <f>_xll.QS.CONTEXT.CREATE("market.45",A47,"USD","SOFR")</f>
        <v>QSObject:PricingContext:w1~market.45:21290</v>
      </c>
      <c r="D47" s="6" t="str">
        <f>_xll.QS.CONTEXT.ADD.CURVE(C47,"SOFR",$K$2:$K$7,$L$2:$L$7,,,"Actual360","LogLinear",TRUE)</f>
        <v>QSObject:ContextInput:w1~input.qs_context_add_curve.2359132437744.46.3.0:39867</v>
      </c>
      <c r="E47" s="6" t="str">
        <f>_xll.QS.INSTRUMENT.SWAP("swap.45",H47,B47,"USD","SOFR",I47,J47,0,"Actual360","Simple","Annual","Annual","Annual")</f>
        <v>QSObject:Swap:w1~swap.45:21289</v>
      </c>
      <c r="F47" s="6" t="str">
        <f>_xll.QS.TRADE.CREATE("trade.45",E47,A47,"Receive")</f>
        <v>QSObject:SwapTrade:w1~trade.45:31014</v>
      </c>
      <c r="G47" s="3">
        <f>_xll.QS.EVALUATE(C47,F47)</f>
        <v>34737.043906529521</v>
      </c>
      <c r="H47" s="5" t="s">
        <v>135</v>
      </c>
      <c r="I47" s="7">
        <v>1004500</v>
      </c>
      <c r="J47" s="8">
        <v>3.9500000000000007E-2</v>
      </c>
    </row>
    <row r="48" spans="1:10" x14ac:dyDescent="0.25">
      <c r="A48" s="5" t="s">
        <v>123</v>
      </c>
      <c r="B48" s="5" t="s">
        <v>136</v>
      </c>
      <c r="C48" s="6" t="str">
        <f>_xll.QS.CONTEXT.CREATE("market.46",A48,"USD","SOFR")</f>
        <v>QSObject:PricingContext:w1~market.46:21288</v>
      </c>
      <c r="D48" s="6" t="str">
        <f>_xll.QS.CONTEXT.ADD.CURVE(C48,"SOFR",$K$2:$K$7,$L$2:$L$7,,,"Actual360","LogLinear",TRUE)</f>
        <v>QSObject:ContextInput:w1~input.qs_context_add_curve.2359132437744.47.3.0:39866</v>
      </c>
      <c r="E48" s="6" t="str">
        <f>_xll.QS.INSTRUMENT.SWAP("swap.46",H48,B48,"USD","SOFR",I48,J48,0,"Actual360","Simple","Annual","Annual","Annual")</f>
        <v>QSObject:Swap:w1~swap.46:21287</v>
      </c>
      <c r="F48" s="6" t="str">
        <f>_xll.QS.TRADE.CREATE("trade.46",E48,A48,"Receive")</f>
        <v>QSObject:SwapTrade:w1~trade.46:31013</v>
      </c>
      <c r="G48" s="3">
        <f>_xll.QS.EVALUATE(C48,F48)</f>
        <v>35203.082249337669</v>
      </c>
      <c r="H48" s="5" t="s">
        <v>137</v>
      </c>
      <c r="I48" s="7">
        <v>1004600</v>
      </c>
      <c r="J48" s="8">
        <v>3.9600000000000003E-2</v>
      </c>
    </row>
    <row r="49" spans="1:10" x14ac:dyDescent="0.25">
      <c r="A49" s="5" t="s">
        <v>125</v>
      </c>
      <c r="B49" s="5" t="s">
        <v>138</v>
      </c>
      <c r="C49" s="6" t="str">
        <f>_xll.QS.CONTEXT.CREATE("market.47",A49,"USD","SOFR")</f>
        <v>QSObject:PricingContext:w1~market.47:21286</v>
      </c>
      <c r="D49" s="6" t="str">
        <f>_xll.QS.CONTEXT.ADD.CURVE(C49,"SOFR",$K$2:$K$7,$L$2:$L$7,,,"Actual360","LogLinear",TRUE)</f>
        <v>QSObject:ContextInput:w1~input.qs_context_add_curve.2359132437744.48.3.0:39865</v>
      </c>
      <c r="E49" s="6" t="str">
        <f>_xll.QS.INSTRUMENT.SWAP("swap.47",H49,B49,"USD","SOFR",I49,J49,0,"Actual360","Simple","Annual","Annual","Annual")</f>
        <v>QSObject:Swap:w1~swap.47:21285</v>
      </c>
      <c r="F49" s="6" t="str">
        <f>_xll.QS.TRADE.CREATE("trade.47",E49,A49,"Receive")</f>
        <v>QSObject:SwapTrade:w1~trade.47:31012</v>
      </c>
      <c r="G49" s="3">
        <f>_xll.QS.EVALUATE(C49,F49)</f>
        <v>35585.584758311583</v>
      </c>
      <c r="H49" s="5" t="s">
        <v>139</v>
      </c>
      <c r="I49" s="7">
        <v>1004700</v>
      </c>
      <c r="J49" s="8">
        <v>3.9700000000000013E-2</v>
      </c>
    </row>
    <row r="50" spans="1:10" x14ac:dyDescent="0.25">
      <c r="A50" s="5" t="s">
        <v>127</v>
      </c>
      <c r="B50" s="5" t="s">
        <v>140</v>
      </c>
      <c r="C50" s="6" t="str">
        <f>_xll.QS.CONTEXT.CREATE("market.48",A50,"USD","SOFR")</f>
        <v>QSObject:PricingContext:w1~market.48:21284</v>
      </c>
      <c r="D50" s="6" t="str">
        <f>_xll.QS.CONTEXT.ADD.CURVE(C50,"SOFR",$K$2:$K$7,$L$2:$L$7,,,"Actual360","LogLinear",TRUE)</f>
        <v>QSObject:ContextInput:w1~input.qs_context_add_curve.2359132437744.49.3.0:39864</v>
      </c>
      <c r="E50" s="6" t="str">
        <f>_xll.QS.INSTRUMENT.SWAP("swap.48",H50,B50,"USD","SOFR",I50,J50,0,"Actual360","Simple","Annual","Annual","Annual")</f>
        <v>QSObject:Swap:w1~swap.48:21283</v>
      </c>
      <c r="F50" s="6" t="str">
        <f>_xll.QS.TRADE.CREATE("trade.48",E50,A50,"Receive")</f>
        <v>QSObject:SwapTrade:w1~trade.48:31011</v>
      </c>
      <c r="G50" s="3">
        <f>_xll.QS.EVALUATE(C50,F50)</f>
        <v>35993.649651703439</v>
      </c>
      <c r="H50" s="5" t="s">
        <v>141</v>
      </c>
      <c r="I50" s="7">
        <v>1004800</v>
      </c>
      <c r="J50" s="8">
        <v>3.9800000000000002E-2</v>
      </c>
    </row>
    <row r="51" spans="1:10" x14ac:dyDescent="0.25">
      <c r="A51" s="5" t="s">
        <v>129</v>
      </c>
      <c r="B51" s="5" t="s">
        <v>142</v>
      </c>
      <c r="C51" s="6" t="str">
        <f>_xll.QS.CONTEXT.CREATE("market.49",A51,"USD","SOFR")</f>
        <v>QSObject:PricingContext:w1~market.49:21282</v>
      </c>
      <c r="D51" s="6" t="str">
        <f>_xll.QS.CONTEXT.ADD.CURVE(C51,"SOFR",$K$2:$K$7,$L$2:$L$7,,,"Actual360","LogLinear",TRUE)</f>
        <v>QSObject:ContextInput:w1~input.qs_context_add_curve.2359132437744.50.3.0:39863</v>
      </c>
      <c r="E51" s="6" t="str">
        <f>_xll.QS.INSTRUMENT.SWAP("swap.49",H51,B51,"USD","SOFR",I51,J51,0,"Actual360","Simple","Annual","Annual","Annual")</f>
        <v>QSObject:Swap:w1~swap.49:21281</v>
      </c>
      <c r="F51" s="6" t="str">
        <f>_xll.QS.TRADE.CREATE("trade.49",E51,A51,"Receive")</f>
        <v>QSObject:SwapTrade:w1~trade.49:31010</v>
      </c>
      <c r="G51" s="3">
        <f>_xll.QS.EVALUATE(C51,F51)</f>
        <v>36463.638635990836</v>
      </c>
      <c r="H51" s="5" t="s">
        <v>143</v>
      </c>
      <c r="I51" s="7">
        <v>1004900</v>
      </c>
      <c r="J51" s="8">
        <v>3.9899999999999998E-2</v>
      </c>
    </row>
    <row r="52" spans="1:10" x14ac:dyDescent="0.25">
      <c r="A52" s="5" t="s">
        <v>131</v>
      </c>
      <c r="B52" s="5" t="s">
        <v>144</v>
      </c>
      <c r="C52" s="6" t="str">
        <f>_xll.QS.CONTEXT.CREATE("market.50",A52,"USD","SOFR")</f>
        <v>QSObject:PricingContext:w1~market.50:21280</v>
      </c>
      <c r="D52" s="6" t="str">
        <f>_xll.QS.CONTEXT.ADD.CURVE(C52,"SOFR",$K$2:$K$7,$L$2:$L$7,,,"Actual360","LogLinear",TRUE)</f>
        <v>QSObject:ContextInput:w1~input.qs_context_add_curve.2359132437744.51.3.0:39862</v>
      </c>
      <c r="E52" s="6" t="str">
        <f>_xll.QS.INSTRUMENT.SWAP("swap.50",H52,B52,"USD","SOFR",I52,J52,0,"Actual360","Simple","Annual","Annual","Annual")</f>
        <v>QSObject:Swap:w1~swap.50:21279</v>
      </c>
      <c r="F52" s="6" t="str">
        <f>_xll.QS.TRADE.CREATE("trade.50",E52,A52,"Receive")</f>
        <v>QSObject:SwapTrade:w1~trade.50:31009</v>
      </c>
      <c r="G52" s="3">
        <f>_xll.QS.EVALUATE(C52,F52)</f>
        <v>13779.471271033264</v>
      </c>
      <c r="H52" s="5" t="s">
        <v>145</v>
      </c>
      <c r="I52" s="7">
        <v>1005000</v>
      </c>
      <c r="J52" s="8">
        <v>3.5000000000000003E-2</v>
      </c>
    </row>
    <row r="53" spans="1:10" x14ac:dyDescent="0.25">
      <c r="A53" s="5" t="s">
        <v>133</v>
      </c>
      <c r="B53" s="5" t="s">
        <v>146</v>
      </c>
      <c r="C53" s="6" t="str">
        <f>_xll.QS.CONTEXT.CREATE("market.51",A53,"USD","SOFR")</f>
        <v>QSObject:PricingContext:w1~market.51:21278</v>
      </c>
      <c r="D53" s="6" t="str">
        <f>_xll.QS.CONTEXT.ADD.CURVE(C53,"SOFR",$K$2:$K$7,$L$2:$L$7,,,"Actual360","LogLinear",TRUE)</f>
        <v>QSObject:ContextInput:w1~input.qs_context_add_curve.2359132437744.52.3.0:39861</v>
      </c>
      <c r="E53" s="6" t="str">
        <f>_xll.QS.INSTRUMENT.SWAP("swap.51",H53,B53,"USD","SOFR",I53,J53,0,"Actual360","Simple","Annual","Annual","Annual")</f>
        <v>QSObject:Swap:w1~swap.51:21277</v>
      </c>
      <c r="F53" s="6" t="str">
        <f>_xll.QS.TRADE.CREATE("trade.51",E53,A53,"Receive")</f>
        <v>QSObject:SwapTrade:w1~trade.51:31008</v>
      </c>
      <c r="G53" s="3">
        <f>_xll.QS.EVALUATE(C53,F53)</f>
        <v>14317.751280580578</v>
      </c>
      <c r="H53" s="5" t="s">
        <v>147</v>
      </c>
      <c r="I53" s="7">
        <v>1005100</v>
      </c>
      <c r="J53" s="8">
        <v>3.5100000000000013E-2</v>
      </c>
    </row>
    <row r="54" spans="1:10" x14ac:dyDescent="0.25">
      <c r="A54" s="5" t="s">
        <v>135</v>
      </c>
      <c r="B54" s="5" t="s">
        <v>148</v>
      </c>
      <c r="C54" s="6" t="str">
        <f>_xll.QS.CONTEXT.CREATE("market.52",A54,"USD","SOFR")</f>
        <v>QSObject:PricingContext:w1~market.52:21276</v>
      </c>
      <c r="D54" s="6" t="str">
        <f>_xll.QS.CONTEXT.ADD.CURVE(C54,"SOFR",$K$2:$K$7,$L$2:$L$7,,,"Actual360","LogLinear",TRUE)</f>
        <v>QSObject:ContextInput:w1~input.qs_context_add_curve.2359132437744.53.3.0:39860</v>
      </c>
      <c r="E54" s="6" t="str">
        <f>_xll.QS.INSTRUMENT.SWAP("swap.52",H54,B54,"USD","SOFR",I54,J54,0,"Actual360","Simple","Annual","Annual","Annual")</f>
        <v>QSObject:Swap:w1~swap.52:21275</v>
      </c>
      <c r="F54" s="6" t="str">
        <f>_xll.QS.TRADE.CREATE("trade.52",E54,A54,"Receive")</f>
        <v>QSObject:SwapTrade:w1~trade.52:31007</v>
      </c>
      <c r="G54" s="3">
        <f>_xll.QS.EVALUATE(C54,F54)</f>
        <v>14826.368279641723</v>
      </c>
      <c r="H54" s="5" t="s">
        <v>149</v>
      </c>
      <c r="I54" s="7">
        <v>1005200</v>
      </c>
      <c r="J54" s="8">
        <v>3.5200000000000002E-2</v>
      </c>
    </row>
    <row r="55" spans="1:10" x14ac:dyDescent="0.25">
      <c r="A55" s="5" t="s">
        <v>137</v>
      </c>
      <c r="B55" s="5" t="s">
        <v>150</v>
      </c>
      <c r="C55" s="6" t="str">
        <f>_xll.QS.CONTEXT.CREATE("market.53",A55,"USD","SOFR")</f>
        <v>QSObject:PricingContext:w1~market.53:21274</v>
      </c>
      <c r="D55" s="6" t="str">
        <f>_xll.QS.CONTEXT.ADD.CURVE(C55,"SOFR",$K$2:$K$7,$L$2:$L$7,,,"Actual360","LogLinear",TRUE)</f>
        <v>QSObject:ContextInput:w1~input.qs_context_add_curve.2359132437744.54.3.0:39859</v>
      </c>
      <c r="E55" s="6" t="str">
        <f>_xll.QS.INSTRUMENT.SWAP("swap.53",H55,B55,"USD","SOFR",I55,J55,0,"Actual360","Simple","Annual","Annual","Annual")</f>
        <v>QSObject:Swap:w1~swap.53:21273</v>
      </c>
      <c r="F55" s="6" t="str">
        <f>_xll.QS.TRADE.CREATE("trade.53",E55,A55,"Receive")</f>
        <v>QSObject:SwapTrade:w1~trade.53:31006</v>
      </c>
      <c r="G55" s="3">
        <f>_xll.QS.EVALUATE(C55,F55)</f>
        <v>15252.731178670645</v>
      </c>
      <c r="H55" s="5" t="s">
        <v>151</v>
      </c>
      <c r="I55" s="7">
        <v>1005300</v>
      </c>
      <c r="J55" s="8">
        <v>3.5299999999999998E-2</v>
      </c>
    </row>
    <row r="56" spans="1:10" x14ac:dyDescent="0.25">
      <c r="A56" s="5" t="s">
        <v>139</v>
      </c>
      <c r="B56" s="5" t="s">
        <v>152</v>
      </c>
      <c r="C56" s="6" t="str">
        <f>_xll.QS.CONTEXT.CREATE("market.54",A56,"USD","SOFR")</f>
        <v>QSObject:PricingContext:w1~market.54:21272</v>
      </c>
      <c r="D56" s="6" t="str">
        <f>_xll.QS.CONTEXT.ADD.CURVE(C56,"SOFR",$K$2:$K$7,$L$2:$L$7,,,"Actual360","LogLinear",TRUE)</f>
        <v>QSObject:ContextInput:w1~input.qs_context_add_curve.2359132437744.55.3.0:39858</v>
      </c>
      <c r="E56" s="6" t="str">
        <f>_xll.QS.INSTRUMENT.SWAP("swap.54",H56,B56,"USD","SOFR",I56,J56,0,"Actual360","Simple","Annual","Annual","Annual")</f>
        <v>QSObject:Swap:w1~swap.54:21271</v>
      </c>
      <c r="F56" s="6" t="str">
        <f>_xll.QS.TRADE.CREATE("trade.54",E56,A56,"Receive")</f>
        <v>QSObject:SwapTrade:w1~trade.54:31005</v>
      </c>
      <c r="G56" s="3">
        <f>_xll.QS.EVALUATE(C56,F56)</f>
        <v>15656.947635536726</v>
      </c>
      <c r="H56" s="5" t="s">
        <v>153</v>
      </c>
      <c r="I56" s="7">
        <v>1005400</v>
      </c>
      <c r="J56" s="8">
        <v>3.5400000000000001E-2</v>
      </c>
    </row>
    <row r="57" spans="1:10" x14ac:dyDescent="0.25">
      <c r="A57" s="5" t="s">
        <v>141</v>
      </c>
      <c r="B57" s="5" t="s">
        <v>154</v>
      </c>
      <c r="C57" s="6" t="str">
        <f>_xll.QS.CONTEXT.CREATE("market.55",A57,"USD","SOFR")</f>
        <v>QSObject:PricingContext:w1~market.55:21270</v>
      </c>
      <c r="D57" s="6" t="str">
        <f>_xll.QS.CONTEXT.ADD.CURVE(C57,"SOFR",$K$2:$K$7,$L$2:$L$7,,,"Actual360","LogLinear",TRUE)</f>
        <v>QSObject:ContextInput:w1~input.qs_context_add_curve.2359132437744.56.3.0:39857</v>
      </c>
      <c r="E57" s="6" t="str">
        <f>_xll.QS.INSTRUMENT.SWAP("swap.55",H57,B57,"USD","SOFR",I57,J57,0,"Actual360","Simple","Annual","Annual","Annual")</f>
        <v>QSObject:Swap:w1~swap.55:21269</v>
      </c>
      <c r="F57" s="6" t="str">
        <f>_xll.QS.TRADE.CREATE("trade.55",E57,A57,"Receive")</f>
        <v>QSObject:SwapTrade:w1~trade.55:31004</v>
      </c>
      <c r="G57" s="3">
        <f>_xll.QS.EVALUATE(C57,F57)</f>
        <v>16032.48879100498</v>
      </c>
      <c r="H57" s="5" t="s">
        <v>155</v>
      </c>
      <c r="I57" s="7">
        <v>1005500</v>
      </c>
      <c r="J57" s="8">
        <v>3.5499999999999997E-2</v>
      </c>
    </row>
    <row r="58" spans="1:10" x14ac:dyDescent="0.25">
      <c r="A58" s="5" t="s">
        <v>143</v>
      </c>
      <c r="B58" s="5" t="s">
        <v>156</v>
      </c>
      <c r="C58" s="6" t="str">
        <f>_xll.QS.CONTEXT.CREATE("market.56",A58,"USD","SOFR")</f>
        <v>QSObject:PricingContext:w1~market.56:21268</v>
      </c>
      <c r="D58" s="6" t="str">
        <f>_xll.QS.CONTEXT.ADD.CURVE(C58,"SOFR",$K$2:$K$7,$L$2:$L$7,,,"Actual360","LogLinear",TRUE)</f>
        <v>QSObject:ContextInput:w1~input.qs_context_add_curve.2359132437744.57.3.0:39856</v>
      </c>
      <c r="E58" s="6" t="str">
        <f>_xll.QS.INSTRUMENT.SWAP("swap.56",H58,B58,"USD","SOFR",I58,J58,0,"Actual360","Simple","Annual","Annual","Annual")</f>
        <v>QSObject:Swap:w1~swap.56:21267</v>
      </c>
      <c r="F58" s="6" t="str">
        <f>_xll.QS.TRADE.CREATE("trade.56",E58,A58,"Receive")</f>
        <v>QSObject:SwapTrade:w1~trade.56:31003</v>
      </c>
      <c r="G58" s="3">
        <f>_xll.QS.EVALUATE(C58,F58)</f>
        <v>16539.426804627812</v>
      </c>
      <c r="H58" s="5" t="s">
        <v>157</v>
      </c>
      <c r="I58" s="7">
        <v>1005600</v>
      </c>
      <c r="J58" s="8">
        <v>3.5600000000000007E-2</v>
      </c>
    </row>
    <row r="59" spans="1:10" x14ac:dyDescent="0.25">
      <c r="A59" s="5" t="s">
        <v>145</v>
      </c>
      <c r="B59" s="5" t="s">
        <v>158</v>
      </c>
      <c r="C59" s="6" t="str">
        <f>_xll.QS.CONTEXT.CREATE("market.57",A59,"USD","SOFR")</f>
        <v>QSObject:PricingContext:w1~market.57:21266</v>
      </c>
      <c r="D59" s="6" t="str">
        <f>_xll.QS.CONTEXT.ADD.CURVE(C59,"SOFR",$K$2:$K$7,$L$2:$L$7,,,"Actual360","LogLinear",TRUE)</f>
        <v>QSObject:ContextInput:w1~input.qs_context_add_curve.2359132437744.58.3.0:39855</v>
      </c>
      <c r="E59" s="6" t="str">
        <f>_xll.QS.INSTRUMENT.SWAP("swap.57",H59,B59,"USD","SOFR",I59,J59,0,"Actual360","Simple","Annual","Annual","Annual")</f>
        <v>QSObject:Swap:w1~swap.57:21265</v>
      </c>
      <c r="F59" s="6" t="str">
        <f>_xll.QS.TRADE.CREATE("trade.57",E59,A59,"Receive")</f>
        <v>QSObject:SwapTrade:w1~trade.57:31002</v>
      </c>
      <c r="G59" s="3">
        <f>_xll.QS.EVALUATE(C59,F59)</f>
        <v>17035.233566185172</v>
      </c>
      <c r="H59" s="5" t="s">
        <v>159</v>
      </c>
      <c r="I59" s="7">
        <v>1005700</v>
      </c>
      <c r="J59" s="8">
        <v>3.5700000000000003E-2</v>
      </c>
    </row>
    <row r="60" spans="1:10" x14ac:dyDescent="0.25">
      <c r="A60" s="5" t="s">
        <v>147</v>
      </c>
      <c r="B60" s="5" t="s">
        <v>160</v>
      </c>
      <c r="C60" s="6" t="str">
        <f>_xll.QS.CONTEXT.CREATE("market.58",A60,"USD","SOFR")</f>
        <v>QSObject:PricingContext:w1~market.58:21264</v>
      </c>
      <c r="D60" s="6" t="str">
        <f>_xll.QS.CONTEXT.ADD.CURVE(C60,"SOFR",$K$2:$K$7,$L$2:$L$7,,,"Actual360","LogLinear",TRUE)</f>
        <v>QSObject:ContextInput:w1~input.qs_context_add_curve.2359132437744.59.3.0:39854</v>
      </c>
      <c r="E60" s="6" t="str">
        <f>_xll.QS.INSTRUMENT.SWAP("swap.58",H60,B60,"USD","SOFR",I60,J60,0,"Actual360","Simple","Annual","Annual","Annual")</f>
        <v>QSObject:Swap:w1~swap.58:21263</v>
      </c>
      <c r="F60" s="6" t="str">
        <f>_xll.QS.TRADE.CREATE("trade.58",E60,A60,"Receive")</f>
        <v>QSObject:SwapTrade:w1~trade.58:31001</v>
      </c>
      <c r="G60" s="3">
        <f>_xll.QS.EVALUATE(C60,F60)</f>
        <v>17574.127071096296</v>
      </c>
      <c r="H60" s="5" t="s">
        <v>161</v>
      </c>
      <c r="I60" s="7">
        <v>1005800</v>
      </c>
      <c r="J60" s="8">
        <v>3.5800000000000012E-2</v>
      </c>
    </row>
    <row r="61" spans="1:10" x14ac:dyDescent="0.25">
      <c r="A61" s="5" t="s">
        <v>149</v>
      </c>
      <c r="B61" s="5" t="s">
        <v>162</v>
      </c>
      <c r="C61" s="6" t="str">
        <f>_xll.QS.CONTEXT.CREATE("market.59",A61,"USD","SOFR")</f>
        <v>QSObject:PricingContext:w1~market.59:21262</v>
      </c>
      <c r="D61" s="6" t="str">
        <f>_xll.QS.CONTEXT.ADD.CURVE(C61,"SOFR",$K$2:$K$7,$L$2:$L$7,,,"Actual360","LogLinear",TRUE)</f>
        <v>QSObject:ContextInput:w1~input.qs_context_add_curve.2359132437744.60.3.0:39853</v>
      </c>
      <c r="E61" s="6" t="str">
        <f>_xll.QS.INSTRUMENT.SWAP("swap.59",H61,B61,"USD","SOFR",I61,J61,0,"Actual360","Simple","Annual","Annual","Annual")</f>
        <v>QSObject:Swap:w1~swap.59:21261</v>
      </c>
      <c r="F61" s="6" t="str">
        <f>_xll.QS.TRADE.CREATE("trade.59",E61,A61,"Receive")</f>
        <v>QSObject:SwapTrade:w1~trade.59:31000</v>
      </c>
      <c r="G61" s="3">
        <f>_xll.QS.EVALUATE(C61,F61)</f>
        <v>18083.414738686861</v>
      </c>
      <c r="H61" s="5" t="s">
        <v>163</v>
      </c>
      <c r="I61" s="7">
        <v>1005900</v>
      </c>
      <c r="J61" s="8">
        <v>3.5900000000000001E-2</v>
      </c>
    </row>
    <row r="62" spans="1:10" x14ac:dyDescent="0.25">
      <c r="A62" s="5" t="s">
        <v>151</v>
      </c>
      <c r="B62" s="5" t="s">
        <v>164</v>
      </c>
      <c r="C62" s="6" t="str">
        <f>_xll.QS.CONTEXT.CREATE("market.60",A62,"USD","SOFR")</f>
        <v>QSObject:PricingContext:w1~market.60:21260</v>
      </c>
      <c r="D62" s="6" t="str">
        <f>_xll.QS.CONTEXT.ADD.CURVE(C62,"SOFR",$K$2:$K$7,$L$2:$L$7,,,"Actual360","LogLinear",TRUE)</f>
        <v>QSObject:ContextInput:w1~input.qs_context_add_curve.2359132437744.61.3.0:39852</v>
      </c>
      <c r="E62" s="6" t="str">
        <f>_xll.QS.INSTRUMENT.SWAP("swap.60",H62,B62,"USD","SOFR",I62,J62,0,"Actual360","Simple","Annual","Annual","Annual")</f>
        <v>QSObject:Swap:w1~swap.60:21259</v>
      </c>
      <c r="F62" s="6" t="str">
        <f>_xll.QS.TRADE.CREATE("trade.60",E62,A62,"Receive")</f>
        <v>QSObject:SwapTrade:w1~trade.60:30999</v>
      </c>
      <c r="G62" s="3">
        <f>_xll.QS.EVALUATE(C62,F62)</f>
        <v>18510.974587214339</v>
      </c>
      <c r="H62" s="5" t="s">
        <v>165</v>
      </c>
      <c r="I62" s="7">
        <v>1006000</v>
      </c>
      <c r="J62" s="8">
        <v>3.5999999999999997E-2</v>
      </c>
    </row>
    <row r="63" spans="1:10" x14ac:dyDescent="0.25">
      <c r="A63" s="5" t="s">
        <v>153</v>
      </c>
      <c r="B63" s="5" t="s">
        <v>166</v>
      </c>
      <c r="C63" s="6" t="str">
        <f>_xll.QS.CONTEXT.CREATE("market.61",A63,"USD","SOFR")</f>
        <v>QSObject:PricingContext:w1~market.61:21258</v>
      </c>
      <c r="D63" s="6" t="str">
        <f>_xll.QS.CONTEXT.ADD.CURVE(C63,"SOFR",$K$2:$K$7,$L$2:$L$7,,,"Actual360","LogLinear",TRUE)</f>
        <v>QSObject:ContextInput:w1~input.qs_context_add_curve.2359132437744.62.3.0:39851</v>
      </c>
      <c r="E63" s="6" t="str">
        <f>_xll.QS.INSTRUMENT.SWAP("swap.61",H63,B63,"USD","SOFR",I63,J63,0,"Actual360","Simple","Annual","Annual","Annual")</f>
        <v>QSObject:Swap:w1~swap.61:21257</v>
      </c>
      <c r="F63" s="6" t="str">
        <f>_xll.QS.TRADE.CREATE("trade.61",E63,A63,"Receive")</f>
        <v>QSObject:SwapTrade:w1~trade.61:30998</v>
      </c>
      <c r="G63" s="3">
        <f>_xll.QS.EVALUATE(C63,F63)</f>
        <v>18911.873230779107</v>
      </c>
      <c r="H63" s="5" t="s">
        <v>167</v>
      </c>
      <c r="I63" s="7">
        <v>1006100</v>
      </c>
      <c r="J63" s="8">
        <v>3.61E-2</v>
      </c>
    </row>
    <row r="64" spans="1:10" x14ac:dyDescent="0.25">
      <c r="A64" s="5" t="s">
        <v>155</v>
      </c>
      <c r="B64" s="5" t="s">
        <v>168</v>
      </c>
      <c r="C64" s="6" t="str">
        <f>_xll.QS.CONTEXT.CREATE("market.62",A64,"USD","SOFR")</f>
        <v>QSObject:PricingContext:w1~market.62:21256</v>
      </c>
      <c r="D64" s="6" t="str">
        <f>_xll.QS.CONTEXT.ADD.CURVE(C64,"SOFR",$K$2:$K$7,$L$2:$L$7,,,"Actual360","LogLinear",TRUE)</f>
        <v>QSObject:ContextInput:w1~input.qs_context_add_curve.2359132437744.63.3.0:39850</v>
      </c>
      <c r="E64" s="6" t="str">
        <f>_xll.QS.INSTRUMENT.SWAP("swap.62",H64,B64,"USD","SOFR",I64,J64,0,"Actual360","Simple","Annual","Annual","Annual")</f>
        <v>QSObject:Swap:w1~swap.62:21255</v>
      </c>
      <c r="F64" s="6" t="str">
        <f>_xll.QS.TRADE.CREATE("trade.62",E64,A64,"Receive")</f>
        <v>QSObject:SwapTrade:w1~trade.62:30997</v>
      </c>
      <c r="G64" s="3">
        <f>_xll.QS.EVALUATE(C64,F64)</f>
        <v>19293.034361314854</v>
      </c>
      <c r="H64" s="5" t="s">
        <v>169</v>
      </c>
      <c r="I64" s="7">
        <v>1006200</v>
      </c>
      <c r="J64" s="8">
        <v>3.6200000000000003E-2</v>
      </c>
    </row>
    <row r="65" spans="1:10" x14ac:dyDescent="0.25">
      <c r="A65" s="5" t="s">
        <v>157</v>
      </c>
      <c r="B65" s="5" t="s">
        <v>170</v>
      </c>
      <c r="C65" s="6" t="str">
        <f>_xll.QS.CONTEXT.CREATE("market.63",A65,"USD","SOFR")</f>
        <v>QSObject:PricingContext:w1~market.63:21254</v>
      </c>
      <c r="D65" s="6" t="str">
        <f>_xll.QS.CONTEXT.ADD.CURVE(C65,"SOFR",$K$2:$K$7,$L$2:$L$7,,,"Actual360","LogLinear",TRUE)</f>
        <v>QSObject:ContextInput:w1~input.qs_context_add_curve.2359132437744.64.3.0:39849</v>
      </c>
      <c r="E65" s="6" t="str">
        <f>_xll.QS.INSTRUMENT.SWAP("swap.63",H65,B65,"USD","SOFR",I65,J65,0,"Actual360","Simple","Annual","Annual","Annual")</f>
        <v>QSObject:Swap:w1~swap.63:21253</v>
      </c>
      <c r="F65" s="6" t="str">
        <f>_xll.QS.TRADE.CREATE("trade.63",E65,A65,"Receive")</f>
        <v>QSObject:SwapTrade:w1~trade.63:30996</v>
      </c>
      <c r="G65" s="3">
        <f>_xll.QS.EVALUATE(C65,F65)</f>
        <v>19801.467864835155</v>
      </c>
      <c r="H65" s="5" t="s">
        <v>171</v>
      </c>
      <c r="I65" s="7">
        <v>1006300</v>
      </c>
      <c r="J65" s="8">
        <v>3.6300000000000013E-2</v>
      </c>
    </row>
    <row r="66" spans="1:10" x14ac:dyDescent="0.25">
      <c r="A66" s="5" t="s">
        <v>159</v>
      </c>
      <c r="B66" s="5" t="s">
        <v>172</v>
      </c>
      <c r="C66" s="6" t="str">
        <f>_xll.QS.CONTEXT.CREATE("market.64",A66,"USD","SOFR")</f>
        <v>QSObject:PricingContext:w1~market.64:21252</v>
      </c>
      <c r="D66" s="6" t="str">
        <f>_xll.QS.CONTEXT.ADD.CURVE(C66,"SOFR",$K$2:$K$7,$L$2:$L$7,,,"Actual360","LogLinear",TRUE)</f>
        <v>QSObject:ContextInput:w1~input.qs_context_add_curve.2359132437744.65.3.0:39848</v>
      </c>
      <c r="E66" s="6" t="str">
        <f>_xll.QS.INSTRUMENT.SWAP("swap.64",H66,B66,"USD","SOFR",I66,J66,0,"Actual360","Simple","Annual","Annual","Annual")</f>
        <v>QSObject:Swap:w1~swap.64:21251</v>
      </c>
      <c r="F66" s="6" t="str">
        <f>_xll.QS.TRADE.CREATE("trade.64",E66,A66,"Receive")</f>
        <v>QSObject:SwapTrade:w1~trade.64:30995</v>
      </c>
      <c r="G66" s="3">
        <f>_xll.QS.EVALUATE(C66,F66)</f>
        <v>20295.66994882459</v>
      </c>
      <c r="H66" s="5" t="s">
        <v>173</v>
      </c>
      <c r="I66" s="7">
        <v>1006400</v>
      </c>
      <c r="J66" s="8">
        <v>3.6400000000000002E-2</v>
      </c>
    </row>
    <row r="67" spans="1:10" x14ac:dyDescent="0.25">
      <c r="A67" s="5" t="s">
        <v>161</v>
      </c>
      <c r="B67" s="5" t="s">
        <v>174</v>
      </c>
      <c r="C67" s="6" t="str">
        <f>_xll.QS.CONTEXT.CREATE("market.65",A67,"USD","SOFR")</f>
        <v>QSObject:PricingContext:w1~market.65:21250</v>
      </c>
      <c r="D67" s="6" t="str">
        <f>_xll.QS.CONTEXT.ADD.CURVE(C67,"SOFR",$K$2:$K$7,$L$2:$L$7,,,"Actual360","LogLinear",TRUE)</f>
        <v>QSObject:ContextInput:w1~input.qs_context_add_curve.2359132437744.66.3.0:39847</v>
      </c>
      <c r="E67" s="6" t="str">
        <f>_xll.QS.INSTRUMENT.SWAP("swap.65",H67,B67,"USD","SOFR",I67,J67,0,"Actual360","Simple","Annual","Annual","Annual")</f>
        <v>QSObject:Swap:w1~swap.65:21249</v>
      </c>
      <c r="F67" s="6" t="str">
        <f>_xll.QS.TRADE.CREATE("trade.65",E67,A67,"Receive")</f>
        <v>QSObject:SwapTrade:w1~trade.65:30994</v>
      </c>
      <c r="G67" s="3">
        <f>_xll.QS.EVALUATE(C67,F67)</f>
        <v>20835.308867796124</v>
      </c>
      <c r="H67" s="5" t="s">
        <v>175</v>
      </c>
      <c r="I67" s="7">
        <v>1006500</v>
      </c>
      <c r="J67" s="8">
        <v>3.6499999999999998E-2</v>
      </c>
    </row>
    <row r="68" spans="1:10" x14ac:dyDescent="0.25">
      <c r="A68" s="5" t="s">
        <v>163</v>
      </c>
      <c r="B68" s="5" t="s">
        <v>176</v>
      </c>
      <c r="C68" s="6" t="str">
        <f>_xll.QS.CONTEXT.CREATE("market.66",A68,"USD","SOFR")</f>
        <v>QSObject:PricingContext:w1~market.66:21248</v>
      </c>
      <c r="D68" s="6" t="str">
        <f>_xll.QS.CONTEXT.ADD.CURVE(C68,"SOFR",$K$2:$K$7,$L$2:$L$7,,,"Actual360","LogLinear",TRUE)</f>
        <v>QSObject:ContextInput:w1~input.qs_context_add_curve.2359132437744.67.3.0:39846</v>
      </c>
      <c r="E68" s="6" t="str">
        <f>_xll.QS.INSTRUMENT.SWAP("swap.66",H68,B68,"USD","SOFR",I68,J68,0,"Actual360","Simple","Annual","Annual","Annual")</f>
        <v>QSObject:Swap:w1~swap.66:21247</v>
      </c>
      <c r="F68" s="6" t="str">
        <f>_xll.QS.TRADE.CREATE("trade.66",E68,A68,"Receive")</f>
        <v>QSObject:SwapTrade:w1~trade.66:30993</v>
      </c>
      <c r="G68" s="3">
        <f>_xll.QS.EVALUATE(C68,F68)</f>
        <v>21345.307259769103</v>
      </c>
      <c r="H68" s="5" t="s">
        <v>177</v>
      </c>
      <c r="I68" s="7">
        <v>1006600</v>
      </c>
      <c r="J68" s="8">
        <v>3.6600000000000001E-2</v>
      </c>
    </row>
    <row r="69" spans="1:10" x14ac:dyDescent="0.25">
      <c r="A69" s="5" t="s">
        <v>165</v>
      </c>
      <c r="B69" s="5" t="s">
        <v>178</v>
      </c>
      <c r="C69" s="6" t="str">
        <f>_xll.QS.CONTEXT.CREATE("market.67",A69,"USD","SOFR")</f>
        <v>QSObject:PricingContext:w1~market.67:21246</v>
      </c>
      <c r="D69" s="6" t="str">
        <f>_xll.QS.CONTEXT.ADD.CURVE(C69,"SOFR",$K$2:$K$7,$L$2:$L$7,,,"Actual360","LogLinear",TRUE)</f>
        <v>QSObject:ContextInput:w1~input.qs_context_add_curve.2359132437744.68.3.0:39845</v>
      </c>
      <c r="E69" s="6" t="str">
        <f>_xll.QS.INSTRUMENT.SWAP("swap.67",H69,B69,"USD","SOFR",I69,J69,0,"Actual360","Simple","Annual","Annual","Annual")</f>
        <v>QSObject:Swap:w1~swap.67:21245</v>
      </c>
      <c r="F69" s="6" t="str">
        <f>_xll.QS.TRADE.CREATE("trade.67",E69,A69,"Receive")</f>
        <v>QSObject:SwapTrade:w1~trade.67:30992</v>
      </c>
      <c r="G69" s="3">
        <f>_xll.QS.EVALUATE(C69,F69)</f>
        <v>21773.459968220595</v>
      </c>
      <c r="H69" s="5" t="s">
        <v>179</v>
      </c>
      <c r="I69" s="7">
        <v>1006700</v>
      </c>
      <c r="J69" s="8">
        <v>3.6700000000000003E-2</v>
      </c>
    </row>
    <row r="70" spans="1:10" x14ac:dyDescent="0.25">
      <c r="A70" s="5" t="s">
        <v>167</v>
      </c>
      <c r="B70" s="5" t="s">
        <v>180</v>
      </c>
      <c r="C70" s="6" t="str">
        <f>_xll.QS.CONTEXT.CREATE("market.68",A70,"USD","SOFR")</f>
        <v>QSObject:PricingContext:w1~market.68:21244</v>
      </c>
      <c r="D70" s="6" t="str">
        <f>_xll.QS.CONTEXT.ADD.CURVE(C70,"SOFR",$K$2:$K$7,$L$2:$L$7,,,"Actual360","LogLinear",TRUE)</f>
        <v>QSObject:ContextInput:w1~input.qs_context_add_curve.2359132437744.69.3.0:39844</v>
      </c>
      <c r="E70" s="6" t="str">
        <f>_xll.QS.INSTRUMENT.SWAP("swap.68",H70,B70,"USD","SOFR",I70,J70,0,"Actual360","Simple","Annual","Annual","Annual")</f>
        <v>QSObject:Swap:w1~swap.68:21243</v>
      </c>
      <c r="F70" s="6" t="str">
        <f>_xll.QS.TRADE.CREATE("trade.68",E70,A70,"Receive")</f>
        <v>QSObject:SwapTrade:w1~trade.68:30991</v>
      </c>
      <c r="G70" s="3">
        <f>_xll.QS.EVALUATE(C70,F70)</f>
        <v>22171.129123217546</v>
      </c>
      <c r="H70" s="5" t="s">
        <v>181</v>
      </c>
      <c r="I70" s="7">
        <v>1006800</v>
      </c>
      <c r="J70" s="8">
        <v>3.6800000000000013E-2</v>
      </c>
    </row>
    <row r="71" spans="1:10" x14ac:dyDescent="0.25">
      <c r="A71" s="5" t="s">
        <v>169</v>
      </c>
      <c r="B71" s="5" t="s">
        <v>182</v>
      </c>
      <c r="C71" s="6" t="str">
        <f>_xll.QS.CONTEXT.CREATE("market.69",A71,"USD","SOFR")</f>
        <v>QSObject:PricingContext:w1~market.69:21242</v>
      </c>
      <c r="D71" s="6" t="str">
        <f>_xll.QS.CONTEXT.ADD.CURVE(C71,"SOFR",$K$2:$K$7,$L$2:$L$7,,,"Actual360","LogLinear",TRUE)</f>
        <v>QSObject:ContextInput:w1~input.qs_context_add_curve.2359132437744.70.3.0:39843</v>
      </c>
      <c r="E71" s="6" t="str">
        <f>_xll.QS.INSTRUMENT.SWAP("swap.69",H71,B71,"USD","SOFR",I71,J71,0,"Actual360","Simple","Annual","Annual","Annual")</f>
        <v>QSObject:Swap:w1~swap.69:21241</v>
      </c>
      <c r="F71" s="6" t="str">
        <f>_xll.QS.TRADE.CREATE("trade.69",E71,A71,"Receive")</f>
        <v>QSObject:SwapTrade:w1~trade.69:30990</v>
      </c>
      <c r="G71" s="3">
        <f>_xll.QS.EVALUATE(C71,F71)</f>
        <v>22557.915319485077</v>
      </c>
      <c r="H71" s="5" t="s">
        <v>183</v>
      </c>
      <c r="I71" s="7">
        <v>1006900</v>
      </c>
      <c r="J71" s="8">
        <v>3.6900000000000002E-2</v>
      </c>
    </row>
    <row r="72" spans="1:10" x14ac:dyDescent="0.25">
      <c r="A72" s="5" t="s">
        <v>171</v>
      </c>
      <c r="B72" s="5" t="s">
        <v>184</v>
      </c>
      <c r="C72" s="6" t="str">
        <f>_xll.QS.CONTEXT.CREATE("market.70",A72,"USD","SOFR")</f>
        <v>QSObject:PricingContext:w1~market.70:21240</v>
      </c>
      <c r="D72" s="6" t="str">
        <f>_xll.QS.CONTEXT.ADD.CURVE(C72,"SOFR",$K$2:$K$7,$L$2:$L$7,,,"Actual360","LogLinear",TRUE)</f>
        <v>QSObject:ContextInput:w1~input.qs_context_add_curve.2359132437744.71.3.0:39842</v>
      </c>
      <c r="E72" s="6" t="str">
        <f>_xll.QS.INSTRUMENT.SWAP("swap.70",H72,B72,"USD","SOFR",I72,J72,0,"Actual360","Simple","Annual","Annual","Annual")</f>
        <v>QSObject:Swap:w1~swap.70:21239</v>
      </c>
      <c r="F72" s="6" t="str">
        <f>_xll.QS.TRADE.CREATE("trade.70",E72,A72,"Receive")</f>
        <v>QSObject:SwapTrade:w1~trade.70:30989</v>
      </c>
      <c r="G72" s="3">
        <f>_xll.QS.EVALUATE(C72,F72)</f>
        <v>23067.350393274817</v>
      </c>
      <c r="H72" s="5" t="s">
        <v>185</v>
      </c>
      <c r="I72" s="7">
        <v>1007000</v>
      </c>
      <c r="J72" s="8">
        <v>3.7000000000000012E-2</v>
      </c>
    </row>
    <row r="73" spans="1:10" x14ac:dyDescent="0.25">
      <c r="A73" s="5" t="s">
        <v>173</v>
      </c>
      <c r="B73" s="5" t="s">
        <v>186</v>
      </c>
      <c r="C73" s="6" t="str">
        <f>_xll.QS.CONTEXT.CREATE("market.71",A73,"USD","SOFR")</f>
        <v>QSObject:PricingContext:w1~market.71:21238</v>
      </c>
      <c r="D73" s="6" t="str">
        <f>_xll.QS.CONTEXT.ADD.CURVE(C73,"SOFR",$K$2:$K$7,$L$2:$L$7,,,"Actual360","LogLinear",TRUE)</f>
        <v>QSObject:ContextInput:w1~input.qs_context_add_curve.2359132437744.72.3.0:39841</v>
      </c>
      <c r="E73" s="6" t="str">
        <f>_xll.QS.INSTRUMENT.SWAP("swap.71",H73,B73,"USD","SOFR",I73,J73,0,"Actual360","Simple","Annual","Annual","Annual")</f>
        <v>QSObject:Swap:w1~swap.71:21237</v>
      </c>
      <c r="F73" s="6" t="str">
        <f>_xll.QS.TRADE.CREATE("trade.71",E73,A73,"Receive")</f>
        <v>QSObject:SwapTrade:w1~trade.71:30988</v>
      </c>
      <c r="G73" s="3">
        <f>_xll.QS.EVALUATE(C73,F73)</f>
        <v>23560.625420321565</v>
      </c>
      <c r="H73" s="5" t="s">
        <v>187</v>
      </c>
      <c r="I73" s="7">
        <v>1007100</v>
      </c>
      <c r="J73" s="8">
        <v>3.7100000000000001E-2</v>
      </c>
    </row>
    <row r="74" spans="1:10" x14ac:dyDescent="0.25">
      <c r="A74" s="5" t="s">
        <v>175</v>
      </c>
      <c r="B74" s="5" t="s">
        <v>188</v>
      </c>
      <c r="C74" s="6" t="str">
        <f>_xll.QS.CONTEXT.CREATE("market.72",A74,"USD","SOFR")</f>
        <v>QSObject:PricingContext:w1~market.72:21236</v>
      </c>
      <c r="D74" s="6" t="str">
        <f>_xll.QS.CONTEXT.ADD.CURVE(C74,"SOFR",$K$2:$K$7,$L$2:$L$7,,,"Actual360","LogLinear",TRUE)</f>
        <v>QSObject:ContextInput:w1~input.qs_context_add_curve.2359132437744.73.3.0:39840</v>
      </c>
      <c r="E74" s="6" t="str">
        <f>_xll.QS.INSTRUMENT.SWAP("swap.72",H74,B74,"USD","SOFR",I74,J74,0,"Actual360","Simple","Annual","Annual","Annual")</f>
        <v>QSObject:Swap:w1~swap.72:21235</v>
      </c>
      <c r="F74" s="6" t="str">
        <f>_xll.QS.TRADE.CREATE("trade.72",E74,A74,"Receive")</f>
        <v>QSObject:SwapTrade:w1~trade.72:30987</v>
      </c>
      <c r="G74" s="3">
        <f>_xll.QS.EVALUATE(C74,F74)</f>
        <v>24101.009821163705</v>
      </c>
      <c r="H74" s="5" t="s">
        <v>189</v>
      </c>
      <c r="I74" s="7">
        <v>1007200</v>
      </c>
      <c r="J74" s="8">
        <v>3.7199999999999997E-2</v>
      </c>
    </row>
    <row r="75" spans="1:10" x14ac:dyDescent="0.25">
      <c r="A75" s="5" t="s">
        <v>177</v>
      </c>
      <c r="B75" s="5" t="s">
        <v>190</v>
      </c>
      <c r="C75" s="6" t="str">
        <f>_xll.QS.CONTEXT.CREATE("market.73",A75,"USD","SOFR")</f>
        <v>QSObject:PricingContext:w1~market.73:21234</v>
      </c>
      <c r="D75" s="6" t="str">
        <f>_xll.QS.CONTEXT.ADD.CURVE(C75,"SOFR",$K$2:$K$7,$L$2:$L$7,,,"Actual360","LogLinear",TRUE)</f>
        <v>QSObject:ContextInput:w1~input.qs_context_add_curve.2359132437744.74.3.0:39839</v>
      </c>
      <c r="E75" s="6" t="str">
        <f>_xll.QS.INSTRUMENT.SWAP("swap.73",H75,B75,"USD","SOFR",I75,J75,0,"Actual360","Simple","Annual","Annual","Annual")</f>
        <v>QSObject:Swap:w1~swap.73:21233</v>
      </c>
      <c r="F75" s="6" t="str">
        <f>_xll.QS.TRADE.CREATE("trade.73",E75,A75,"Receive")</f>
        <v>QSObject:SwapTrade:w1~trade.73:30986</v>
      </c>
      <c r="G75" s="3">
        <f>_xll.QS.EVALUATE(C75,F75)</f>
        <v>24611.718985826545</v>
      </c>
      <c r="H75" s="5" t="s">
        <v>191</v>
      </c>
      <c r="I75" s="7">
        <v>1007300</v>
      </c>
      <c r="J75" s="8">
        <v>3.73E-2</v>
      </c>
    </row>
    <row r="76" spans="1:10" x14ac:dyDescent="0.25">
      <c r="A76" s="5" t="s">
        <v>179</v>
      </c>
      <c r="B76" s="5" t="s">
        <v>192</v>
      </c>
      <c r="C76" s="6" t="str">
        <f>_xll.QS.CONTEXT.CREATE("market.74",A76,"USD","SOFR")</f>
        <v>QSObject:PricingContext:w1~market.74:21232</v>
      </c>
      <c r="D76" s="6" t="str">
        <f>_xll.QS.CONTEXT.ADD.CURVE(C76,"SOFR",$K$2:$K$7,$L$2:$L$7,,,"Actual360","LogLinear",TRUE)</f>
        <v>QSObject:ContextInput:w1~input.qs_context_add_curve.2359132437744.75.3.0:39838</v>
      </c>
      <c r="E76" s="6" t="str">
        <f>_xll.QS.INSTRUMENT.SWAP("swap.74",H76,B76,"USD","SOFR",I76,J76,0,"Actual360","Simple","Annual","Annual","Annual")</f>
        <v>QSObject:Swap:w1~swap.74:21231</v>
      </c>
      <c r="F76" s="6" t="str">
        <f>_xll.QS.TRADE.CREATE("trade.74",E76,A76,"Receive")</f>
        <v>QSObject:SwapTrade:w1~trade.74:30985</v>
      </c>
      <c r="G76" s="3">
        <f>_xll.QS.EVALUATE(C76,F76)</f>
        <v>25040.464517771146</v>
      </c>
      <c r="H76" s="5" t="s">
        <v>193</v>
      </c>
      <c r="I76" s="7">
        <v>1007400</v>
      </c>
      <c r="J76" s="8">
        <v>3.7400000000000003E-2</v>
      </c>
    </row>
    <row r="77" spans="1:10" x14ac:dyDescent="0.25">
      <c r="A77" s="5" t="s">
        <v>181</v>
      </c>
      <c r="B77" s="5" t="s">
        <v>194</v>
      </c>
      <c r="C77" s="6" t="str">
        <f>_xll.QS.CONTEXT.CREATE("market.75",A77,"USD","SOFR")</f>
        <v>QSObject:PricingContext:w1~market.75:21230</v>
      </c>
      <c r="D77" s="6" t="str">
        <f>_xll.QS.CONTEXT.ADD.CURVE(C77,"SOFR",$K$2:$K$7,$L$2:$L$7,,,"Actual360","LogLinear",TRUE)</f>
        <v>QSObject:ContextInput:w1~input.qs_context_add_curve.2359132437744.76.3.0:39837</v>
      </c>
      <c r="E77" s="6" t="str">
        <f>_xll.QS.INSTRUMENT.SWAP("swap.75",H77,B77,"USD","SOFR",I77,J77,0,"Actual360","Simple","Annual","Annual","Annual")</f>
        <v>QSObject:Swap:w1~swap.75:21229</v>
      </c>
      <c r="F77" s="6" t="str">
        <f>_xll.QS.TRADE.CREATE("trade.75",E77,A77,"Receive")</f>
        <v>QSObject:SwapTrade:w1~trade.75:30984</v>
      </c>
      <c r="G77" s="3">
        <f>_xll.QS.EVALUATE(C77,F77)</f>
        <v>25434.898858508004</v>
      </c>
      <c r="H77" s="5" t="s">
        <v>195</v>
      </c>
      <c r="I77" s="7">
        <v>1007500</v>
      </c>
      <c r="J77" s="8">
        <v>3.7500000000000012E-2</v>
      </c>
    </row>
    <row r="78" spans="1:10" x14ac:dyDescent="0.25">
      <c r="A78" s="5" t="s">
        <v>183</v>
      </c>
      <c r="B78" s="5" t="s">
        <v>196</v>
      </c>
      <c r="C78" s="6" t="str">
        <f>_xll.QS.CONTEXT.CREATE("market.76",A78,"USD","SOFR")</f>
        <v>QSObject:PricingContext:w1~market.76:21228</v>
      </c>
      <c r="D78" s="6" t="str">
        <f>_xll.QS.CONTEXT.ADD.CURVE(C78,"SOFR",$K$2:$K$7,$L$2:$L$7,,,"Actual360","LogLinear",TRUE)</f>
        <v>QSObject:ContextInput:w1~input.qs_context_add_curve.2359132437744.77.3.0:39836</v>
      </c>
      <c r="E78" s="6" t="str">
        <f>_xll.QS.INSTRUMENT.SWAP("swap.76",H78,B78,"USD","SOFR",I78,J78,0,"Actual360","Simple","Annual","Annual","Annual")</f>
        <v>QSObject:Swap:w1~swap.76:21227</v>
      </c>
      <c r="F78" s="6" t="str">
        <f>_xll.QS.TRADE.CREATE("trade.76",E78,A78,"Receive")</f>
        <v>QSObject:SwapTrade:w1~trade.76:30983</v>
      </c>
      <c r="G78" s="3">
        <f>_xll.QS.EVALUATE(C78,F78)</f>
        <v>25827.317126468577</v>
      </c>
      <c r="H78" s="5" t="s">
        <v>197</v>
      </c>
      <c r="I78" s="7">
        <v>1007600</v>
      </c>
      <c r="J78" s="8">
        <v>3.7600000000000001E-2</v>
      </c>
    </row>
    <row r="79" spans="1:10" x14ac:dyDescent="0.25">
      <c r="A79" s="5" t="s">
        <v>185</v>
      </c>
      <c r="B79" s="5" t="s">
        <v>198</v>
      </c>
      <c r="C79" s="6" t="str">
        <f>_xll.QS.CONTEXT.CREATE("market.77",A79,"USD","SOFR")</f>
        <v>QSObject:PricingContext:w1~market.77:21226</v>
      </c>
      <c r="D79" s="6" t="str">
        <f>_xll.QS.CONTEXT.ADD.CURVE(C79,"SOFR",$K$2:$K$7,$L$2:$L$7,,,"Actual360","LogLinear",TRUE)</f>
        <v>QSObject:ContextInput:w1~input.qs_context_add_curve.2359132437744.78.3.0:39835</v>
      </c>
      <c r="E79" s="6" t="str">
        <f>_xll.QS.INSTRUMENT.SWAP("swap.77",H79,B79,"USD","SOFR",I79,J79,0,"Actual360","Simple","Annual","Annual","Annual")</f>
        <v>QSObject:Swap:w1~swap.77:21225</v>
      </c>
      <c r="F79" s="6" t="str">
        <f>_xll.QS.TRADE.CREATE("trade.77",E79,A79,"Receive")</f>
        <v>QSObject:SwapTrade:w1~trade.77:30982</v>
      </c>
      <c r="G79" s="3">
        <f>_xll.QS.EVALUATE(C79,F79)</f>
        <v>26337.754224187283</v>
      </c>
      <c r="H79" s="5" t="s">
        <v>199</v>
      </c>
      <c r="I79" s="7">
        <v>1007700</v>
      </c>
      <c r="J79" s="8">
        <v>3.7699999999999997E-2</v>
      </c>
    </row>
    <row r="80" spans="1:10" x14ac:dyDescent="0.25">
      <c r="A80" s="5" t="s">
        <v>187</v>
      </c>
      <c r="B80" s="5" t="s">
        <v>200</v>
      </c>
      <c r="C80" s="6" t="str">
        <f>_xll.QS.CONTEXT.CREATE("market.78",A80,"USD","SOFR")</f>
        <v>QSObject:PricingContext:w1~market.78:21224</v>
      </c>
      <c r="D80" s="6" t="str">
        <f>_xll.QS.CONTEXT.ADD.CURVE(C80,"SOFR",$K$2:$K$7,$L$2:$L$7,,,"Actual360","LogLinear",TRUE)</f>
        <v>QSObject:ContextInput:w1~input.qs_context_add_curve.2359132437744.79.3.0:39834</v>
      </c>
      <c r="E80" s="6" t="str">
        <f>_xll.QS.INSTRUMENT.SWAP("swap.78",H80,B80,"USD","SOFR",I80,J80,0,"Actual360","Simple","Annual","Annual","Annual")</f>
        <v>QSObject:Swap:w1~swap.78:21223</v>
      </c>
      <c r="F80" s="6" t="str">
        <f>_xll.QS.TRADE.CREATE("trade.78",E80,A80,"Receive")</f>
        <v>QSObject:SwapTrade:w1~trade.78:30981</v>
      </c>
      <c r="G80" s="3">
        <f>_xll.QS.EVALUATE(C80,F80)</f>
        <v>26830.099980676245</v>
      </c>
      <c r="H80" s="5" t="s">
        <v>201</v>
      </c>
      <c r="I80" s="7">
        <v>1007800</v>
      </c>
      <c r="J80" s="8">
        <v>3.78E-2</v>
      </c>
    </row>
    <row r="81" spans="1:10" x14ac:dyDescent="0.25">
      <c r="A81" s="5" t="s">
        <v>189</v>
      </c>
      <c r="B81" s="5" t="s">
        <v>202</v>
      </c>
      <c r="C81" s="6" t="str">
        <f>_xll.QS.CONTEXT.CREATE("market.79",A81,"USD","SOFR")</f>
        <v>QSObject:PricingContext:w1~market.79:21222</v>
      </c>
      <c r="D81" s="6" t="str">
        <f>_xll.QS.CONTEXT.ADD.CURVE(C81,"SOFR",$K$2:$K$7,$L$2:$L$7,,,"Actual360","LogLinear",TRUE)</f>
        <v>QSObject:ContextInput:w1~input.qs_context_add_curve.2359132437744.80.3.0:39833</v>
      </c>
      <c r="E81" s="6" t="str">
        <f>_xll.QS.INSTRUMENT.SWAP("swap.79",H81,B81,"USD","SOFR",I81,J81,0,"Actual360","Simple","Annual","Annual","Annual")</f>
        <v>QSObject:Swap:w1~swap.79:21221</v>
      </c>
      <c r="F81" s="6" t="str">
        <f>_xll.QS.TRADE.CREATE("trade.79",E81,A81,"Receive")</f>
        <v>QSObject:SwapTrade:w1~trade.79:30980</v>
      </c>
      <c r="G81" s="3">
        <f>_xll.QS.EVALUATE(C81,F81)</f>
        <v>27371.229931199257</v>
      </c>
      <c r="H81" s="5" t="s">
        <v>203</v>
      </c>
      <c r="I81" s="7">
        <v>1007900</v>
      </c>
      <c r="J81" s="8">
        <v>3.7900000000000003E-2</v>
      </c>
    </row>
    <row r="82" spans="1:10" x14ac:dyDescent="0.25">
      <c r="A82" s="5" t="s">
        <v>191</v>
      </c>
      <c r="B82" s="5" t="s">
        <v>204</v>
      </c>
      <c r="C82" s="6" t="str">
        <f>_xll.QS.CONTEXT.CREATE("market.80",A82,"USD","SOFR")</f>
        <v>QSObject:PricingContext:w1~market.80:21220</v>
      </c>
      <c r="D82" s="6" t="str">
        <f>_xll.QS.CONTEXT.ADD.CURVE(C82,"SOFR",$K$2:$K$7,$L$2:$L$7,,,"Actual360","LogLinear",TRUE)</f>
        <v>QSObject:ContextInput:w1~input.qs_context_add_curve.2359132437744.81.3.0:39832</v>
      </c>
      <c r="E82" s="6" t="str">
        <f>_xll.QS.INSTRUMENT.SWAP("swap.80",H82,B82,"USD","SOFR",I82,J82,0,"Actual360","Simple","Annual","Annual","Annual")</f>
        <v>QSObject:Swap:w1~swap.80:21219</v>
      </c>
      <c r="F82" s="6" t="str">
        <f>_xll.QS.TRADE.CREATE("trade.80",E82,A82,"Receive")</f>
        <v>QSObject:SwapTrade:w1~trade.80:30979</v>
      </c>
      <c r="G82" s="3">
        <f>_xll.QS.EVALUATE(C82,F82)</f>
        <v>27882.678111791123</v>
      </c>
      <c r="H82" s="5" t="s">
        <v>205</v>
      </c>
      <c r="I82" s="7">
        <v>1008000</v>
      </c>
      <c r="J82" s="8">
        <v>3.8000000000000013E-2</v>
      </c>
    </row>
    <row r="83" spans="1:10" x14ac:dyDescent="0.25">
      <c r="A83" s="5" t="s">
        <v>193</v>
      </c>
      <c r="B83" s="5" t="s">
        <v>206</v>
      </c>
      <c r="C83" s="6" t="str">
        <f>_xll.QS.CONTEXT.CREATE("market.81",A83,"USD","SOFR")</f>
        <v>QSObject:PricingContext:w1~market.81:21218</v>
      </c>
      <c r="D83" s="6" t="str">
        <f>_xll.QS.CONTEXT.ADD.CURVE(C83,"SOFR",$K$2:$K$7,$L$2:$L$7,,,"Actual360","LogLinear",TRUE)</f>
        <v>QSObject:ContextInput:w1~input.qs_context_add_curve.2359132437744.82.3.0:39831</v>
      </c>
      <c r="E83" s="6" t="str">
        <f>_xll.QS.INSTRUMENT.SWAP("swap.81",H83,B83,"USD","SOFR",I83,J83,0,"Actual360","Simple","Annual","Annual","Annual")</f>
        <v>QSObject:Swap:w1~swap.81:21217</v>
      </c>
      <c r="F83" s="6" t="str">
        <f>_xll.QS.TRADE.CREATE("trade.81",E83,A83,"Receive")</f>
        <v>QSObject:SwapTrade:w1~trade.81:30978</v>
      </c>
      <c r="G83" s="3">
        <f>_xll.QS.EVALUATE(C83,F83)</f>
        <v>28312.220629810807</v>
      </c>
      <c r="H83" s="5" t="s">
        <v>207</v>
      </c>
      <c r="I83" s="7">
        <v>1008100</v>
      </c>
      <c r="J83" s="8">
        <v>3.8100000000000002E-2</v>
      </c>
    </row>
    <row r="84" spans="1:10" x14ac:dyDescent="0.25">
      <c r="A84" s="5" t="s">
        <v>195</v>
      </c>
      <c r="B84" s="5" t="s">
        <v>208</v>
      </c>
      <c r="C84" s="6" t="str">
        <f>_xll.QS.CONTEXT.CREATE("market.82",A84,"USD","SOFR")</f>
        <v>QSObject:PricingContext:w1~market.82:21216</v>
      </c>
      <c r="D84" s="6" t="str">
        <f>_xll.QS.CONTEXT.ADD.CURVE(C84,"SOFR",$K$2:$K$7,$L$2:$L$7,,,"Actual360","LogLinear",TRUE)</f>
        <v>QSObject:ContextInput:w1~input.qs_context_add_curve.2359132437744.83.3.0:39830</v>
      </c>
      <c r="E84" s="6" t="str">
        <f>_xll.QS.INSTRUMENT.SWAP("swap.82",H84,B84,"USD","SOFR",I84,J84,0,"Actual360","Simple","Annual","Annual","Annual")</f>
        <v>QSObject:Swap:w1~swap.82:21215</v>
      </c>
      <c r="F84" s="6" t="str">
        <f>_xll.QS.TRADE.CREATE("trade.82",E84,A84,"Receive")</f>
        <v>QSObject:SwapTrade:w1~trade.82:30977</v>
      </c>
      <c r="G84" s="3">
        <f>_xll.QS.EVALUATE(C84,F84)</f>
        <v>28758.0457135703</v>
      </c>
      <c r="H84" s="5" t="s">
        <v>209</v>
      </c>
      <c r="I84" s="7">
        <v>1008200</v>
      </c>
      <c r="J84" s="8">
        <v>3.8199999999999998E-2</v>
      </c>
    </row>
    <row r="85" spans="1:10" x14ac:dyDescent="0.25">
      <c r="A85" s="5" t="s">
        <v>197</v>
      </c>
      <c r="B85" s="5" t="s">
        <v>210</v>
      </c>
      <c r="C85" s="6" t="str">
        <f>_xll.QS.CONTEXT.CREATE("market.83",A85,"USD","SOFR")</f>
        <v>QSObject:PricingContext:w1~market.83:21214</v>
      </c>
      <c r="D85" s="6" t="str">
        <f>_xll.QS.CONTEXT.ADD.CURVE(C85,"SOFR",$K$2:$K$7,$L$2:$L$7,,,"Actual360","LogLinear",TRUE)</f>
        <v>QSObject:ContextInput:w1~input.qs_context_add_curve.2359132437744.84.3.0:39829</v>
      </c>
      <c r="E85" s="6" t="str">
        <f>_xll.QS.INSTRUMENT.SWAP("swap.83",H85,B85,"USD","SOFR",I85,J85,0,"Actual360","Simple","Annual","Annual","Annual")</f>
        <v>QSObject:Swap:w1~swap.83:21213</v>
      </c>
      <c r="F85" s="6" t="str">
        <f>_xll.QS.TRADE.CREATE("trade.83",E85,A85,"Receive")</f>
        <v>QSObject:SwapTrade:w1~trade.83:30976</v>
      </c>
      <c r="G85" s="3">
        <f>_xll.QS.EVALUATE(C85,F85)</f>
        <v>29102.005510699146</v>
      </c>
      <c r="H85" s="5" t="s">
        <v>211</v>
      </c>
      <c r="I85" s="7">
        <v>1008300</v>
      </c>
      <c r="J85" s="8">
        <v>3.8300000000000001E-2</v>
      </c>
    </row>
    <row r="86" spans="1:10" x14ac:dyDescent="0.25">
      <c r="A86" s="5" t="s">
        <v>199</v>
      </c>
      <c r="B86" s="5" t="s">
        <v>212</v>
      </c>
      <c r="C86" s="6" t="str">
        <f>_xll.QS.CONTEXT.CREATE("market.84",A86,"USD","SOFR")</f>
        <v>QSObject:PricingContext:w1~market.84:21212</v>
      </c>
      <c r="D86" s="6" t="str">
        <f>_xll.QS.CONTEXT.ADD.CURVE(C86,"SOFR",$K$2:$K$7,$L$2:$L$7,,,"Actual360","LogLinear",TRUE)</f>
        <v>QSObject:ContextInput:w1~input.qs_context_add_curve.2359132437744.85.3.0:39828</v>
      </c>
      <c r="E86" s="6" t="str">
        <f>_xll.QS.INSTRUMENT.SWAP("swap.84",H86,B86,"USD","SOFR",I86,J86,0,"Actual360","Simple","Annual","Annual","Annual")</f>
        <v>QSObject:Swap:w1~swap.84:21211</v>
      </c>
      <c r="F86" s="6" t="str">
        <f>_xll.QS.TRADE.CREATE("trade.84",E86,A86,"Receive")</f>
        <v>QSObject:SwapTrade:w1~trade.84:30975</v>
      </c>
      <c r="G86" s="3">
        <f>_xll.QS.EVALUATE(C86,F86)</f>
        <v>29612.979991629767</v>
      </c>
      <c r="H86" s="5" t="s">
        <v>213</v>
      </c>
      <c r="I86" s="7">
        <v>1008400</v>
      </c>
      <c r="J86" s="8">
        <v>3.8399999999999997E-2</v>
      </c>
    </row>
    <row r="87" spans="1:10" x14ac:dyDescent="0.25">
      <c r="A87" s="5" t="s">
        <v>201</v>
      </c>
      <c r="B87" s="5" t="s">
        <v>214</v>
      </c>
      <c r="C87" s="6" t="str">
        <f>_xll.QS.CONTEXT.CREATE("market.85",A87,"USD","SOFR")</f>
        <v>QSObject:PricingContext:w1~market.85:21210</v>
      </c>
      <c r="D87" s="6" t="str">
        <f>_xll.QS.CONTEXT.ADD.CURVE(C87,"SOFR",$K$2:$K$7,$L$2:$L$7,,,"Actual360","LogLinear",TRUE)</f>
        <v>QSObject:ContextInput:w1~input.qs_context_add_curve.2359132437744.86.3.0:39827</v>
      </c>
      <c r="E87" s="6" t="str">
        <f>_xll.QS.INSTRUMENT.SWAP("swap.85",H87,B87,"USD","SOFR",I87,J87,0,"Actual360","Simple","Annual","Annual","Annual")</f>
        <v>QSObject:Swap:w1~swap.85:21209</v>
      </c>
      <c r="F87" s="6" t="str">
        <f>_xll.QS.TRADE.CREATE("trade.85",E87,A87,"Receive")</f>
        <v>QSObject:SwapTrade:w1~trade.85:30974</v>
      </c>
      <c r="G87" s="3">
        <f>_xll.QS.EVALUATE(C87,F87)</f>
        <v>30104.342552757</v>
      </c>
      <c r="H87" s="5" t="s">
        <v>215</v>
      </c>
      <c r="I87" s="7">
        <v>1008500</v>
      </c>
      <c r="J87" s="8">
        <v>3.8500000000000013E-2</v>
      </c>
    </row>
    <row r="88" spans="1:10" x14ac:dyDescent="0.25">
      <c r="A88" s="5" t="s">
        <v>203</v>
      </c>
      <c r="B88" s="5" t="s">
        <v>216</v>
      </c>
      <c r="C88" s="6" t="str">
        <f>_xll.QS.CONTEXT.CREATE("market.86",A88,"USD","SOFR")</f>
        <v>QSObject:PricingContext:w1~market.86:21208</v>
      </c>
      <c r="D88" s="6" t="str">
        <f>_xll.QS.CONTEXT.ADD.CURVE(C88,"SOFR",$K$2:$K$7,$L$2:$L$7,,,"Actual360","LogLinear",TRUE)</f>
        <v>QSObject:ContextInput:w1~input.qs_context_add_curve.2359132437744.87.3.0:39826</v>
      </c>
      <c r="E88" s="6" t="str">
        <f>_xll.QS.INSTRUMENT.SWAP("swap.86",H88,B88,"USD","SOFR",I88,J88,0,"Actual360","Simple","Annual","Annual","Annual")</f>
        <v>QSObject:Swap:w1~swap.86:21207</v>
      </c>
      <c r="F88" s="6" t="str">
        <f>_xll.QS.TRADE.CREATE("trade.86",E88,A88,"Receive")</f>
        <v>QSObject:SwapTrade:w1~trade.86:30973</v>
      </c>
      <c r="G88" s="3">
        <f>_xll.QS.EVALUATE(C88,F88)</f>
        <v>30685.251832850634</v>
      </c>
      <c r="H88" s="5" t="s">
        <v>217</v>
      </c>
      <c r="I88" s="7">
        <v>1008600</v>
      </c>
      <c r="J88" s="8">
        <v>3.8600000000000002E-2</v>
      </c>
    </row>
    <row r="89" spans="1:10" x14ac:dyDescent="0.25">
      <c r="A89" s="5" t="s">
        <v>205</v>
      </c>
      <c r="B89" s="5" t="s">
        <v>218</v>
      </c>
      <c r="C89" s="6" t="str">
        <f>_xll.QS.CONTEXT.CREATE("market.87",A89,"USD","SOFR")</f>
        <v>QSObject:PricingContext:w1~market.87:21206</v>
      </c>
      <c r="D89" s="6" t="str">
        <f>_xll.QS.CONTEXT.ADD.CURVE(C89,"SOFR",$K$2:$K$7,$L$2:$L$7,,,"Actual360","LogLinear",TRUE)</f>
        <v>QSObject:ContextInput:w1~input.qs_context_add_curve.2359132437744.88.3.0:39825</v>
      </c>
      <c r="E89" s="6" t="str">
        <f>_xll.QS.INSTRUMENT.SWAP("swap.87",H89,B89,"USD","SOFR",I89,J89,0,"Actual360","Simple","Annual","Annual","Annual")</f>
        <v>QSObject:Swap:w1~swap.87:21205</v>
      </c>
      <c r="F89" s="6" t="str">
        <f>_xll.QS.TRADE.CREATE("trade.87",E89,A89,"Receive")</f>
        <v>QSObject:SwapTrade:w1~trade.87:30972</v>
      </c>
      <c r="G89" s="3">
        <f>_xll.QS.EVALUATE(C89,F89)</f>
        <v>31158.100052867365</v>
      </c>
      <c r="H89" s="5" t="s">
        <v>219</v>
      </c>
      <c r="I89" s="7">
        <v>1008700</v>
      </c>
      <c r="J89" s="8">
        <v>3.8700000000000012E-2</v>
      </c>
    </row>
    <row r="90" spans="1:10" x14ac:dyDescent="0.25">
      <c r="A90" s="5" t="s">
        <v>207</v>
      </c>
      <c r="B90" s="5" t="s">
        <v>220</v>
      </c>
      <c r="C90" s="6" t="str">
        <f>_xll.QS.CONTEXT.CREATE("market.88",A90,"USD","SOFR")</f>
        <v>QSObject:PricingContext:w1~market.88:21204</v>
      </c>
      <c r="D90" s="6" t="str">
        <f>_xll.QS.CONTEXT.ADD.CURVE(C90,"SOFR",$K$2:$K$7,$L$2:$L$7,,,"Actual360","LogLinear",TRUE)</f>
        <v>QSObject:ContextInput:w1~input.qs_context_add_curve.2359132437744.89.3.0:39824</v>
      </c>
      <c r="E90" s="6" t="str">
        <f>_xll.QS.INSTRUMENT.SWAP("swap.88",H90,B90,"USD","SOFR",I90,J90,0,"Actual360","Simple","Annual","Annual","Annual")</f>
        <v>QSObject:Swap:w1~swap.88:21203</v>
      </c>
      <c r="F90" s="6" t="str">
        <f>_xll.QS.TRADE.CREATE("trade.88",E90,A90,"Receive")</f>
        <v>QSObject:SwapTrade:w1~trade.88:30971</v>
      </c>
      <c r="G90" s="3">
        <f>_xll.QS.EVALUATE(C90,F90)</f>
        <v>31588.029362335685</v>
      </c>
      <c r="H90" s="5" t="s">
        <v>221</v>
      </c>
      <c r="I90" s="7">
        <v>1008800</v>
      </c>
      <c r="J90" s="8">
        <v>3.8800000000000001E-2</v>
      </c>
    </row>
    <row r="91" spans="1:10" x14ac:dyDescent="0.25">
      <c r="A91" s="5" t="s">
        <v>209</v>
      </c>
      <c r="B91" s="5" t="s">
        <v>222</v>
      </c>
      <c r="C91" s="6" t="str">
        <f>_xll.QS.CONTEXT.CREATE("market.89",A91,"USD","SOFR")</f>
        <v>QSObject:PricingContext:w1~market.89:21202</v>
      </c>
      <c r="D91" s="6" t="str">
        <f>_xll.QS.CONTEXT.ADD.CURVE(C91,"SOFR",$K$2:$K$7,$L$2:$L$7,,,"Actual360","LogLinear",TRUE)</f>
        <v>QSObject:ContextInput:w1~input.qs_context_add_curve.2359132437744.90.3.0:39823</v>
      </c>
      <c r="E91" s="6" t="str">
        <f>_xll.QS.INSTRUMENT.SWAP("swap.89",H91,B91,"USD","SOFR",I91,J91,0,"Actual360","Simple","Annual","Annual","Annual")</f>
        <v>QSObject:Swap:w1~swap.89:21201</v>
      </c>
      <c r="F91" s="6" t="str">
        <f>_xll.QS.TRADE.CREATE("trade.89",E91,A91,"Receive")</f>
        <v>QSObject:SwapTrade:w1~trade.89:30970</v>
      </c>
      <c r="G91" s="3">
        <f>_xll.QS.EVALUATE(C91,F91)</f>
        <v>31975.976336768705</v>
      </c>
      <c r="H91" s="5" t="s">
        <v>223</v>
      </c>
      <c r="I91" s="7">
        <v>1008900</v>
      </c>
      <c r="J91" s="8">
        <v>3.8899999999999997E-2</v>
      </c>
    </row>
    <row r="92" spans="1:10" x14ac:dyDescent="0.25">
      <c r="A92" s="5" t="s">
        <v>211</v>
      </c>
      <c r="B92" s="5" t="s">
        <v>224</v>
      </c>
      <c r="C92" s="6" t="str">
        <f>_xll.QS.CONTEXT.CREATE("market.90",A92,"USD","SOFR")</f>
        <v>QSObject:PricingContext:w1~market.90:21200</v>
      </c>
      <c r="D92" s="6" t="str">
        <f>_xll.QS.CONTEXT.ADD.CURVE(C92,"SOFR",$K$2:$K$7,$L$2:$L$7,,,"Actual360","LogLinear",TRUE)</f>
        <v>QSObject:ContextInput:w1~input.qs_context_add_curve.2359132437744.91.3.0:39822</v>
      </c>
      <c r="E92" s="6" t="str">
        <f>_xll.QS.INSTRUMENT.SWAP("swap.90",H92,B92,"USD","SOFR",I92,J92,0,"Actual360","Simple","Annual","Annual","Annual")</f>
        <v>QSObject:Swap:w1~swap.90:21199</v>
      </c>
      <c r="F92" s="6" t="str">
        <f>_xll.QS.TRADE.CREATE("trade.90",E92,A92,"Receive")</f>
        <v>QSObject:SwapTrade:w1~trade.90:30969</v>
      </c>
      <c r="G92" s="3">
        <f>_xll.QS.EVALUATE(C92,F92)</f>
        <v>32379.674483782273</v>
      </c>
      <c r="H92" s="5" t="s">
        <v>225</v>
      </c>
      <c r="I92" s="7">
        <v>1009000</v>
      </c>
      <c r="J92" s="8">
        <v>3.9000000000000007E-2</v>
      </c>
    </row>
    <row r="93" spans="1:10" x14ac:dyDescent="0.25">
      <c r="A93" s="5" t="s">
        <v>213</v>
      </c>
      <c r="B93" s="5" t="s">
        <v>226</v>
      </c>
      <c r="C93" s="6" t="str">
        <f>_xll.QS.CONTEXT.CREATE("market.91",A93,"USD","SOFR")</f>
        <v>QSObject:PricingContext:w1~market.91:21198</v>
      </c>
      <c r="D93" s="6" t="str">
        <f>_xll.QS.CONTEXT.ADD.CURVE(C93,"SOFR",$K$2:$K$7,$L$2:$L$7,,,"Actual360","LogLinear",TRUE)</f>
        <v>QSObject:ContextInput:w1~input.qs_context_add_curve.2359132437744.92.3.0:39821</v>
      </c>
      <c r="E93" s="6" t="str">
        <f>_xll.QS.INSTRUMENT.SWAP("swap.91",H93,B93,"USD","SOFR",I93,J93,0,"Actual360","Simple","Annual","Annual","Annual")</f>
        <v>QSObject:Swap:w1~swap.91:21197</v>
      </c>
      <c r="F93" s="6" t="str">
        <f>_xll.QS.TRADE.CREATE("trade.91",E93,A93,"Receive")</f>
        <v>QSObject:SwapTrade:w1~trade.91:30968</v>
      </c>
      <c r="G93" s="3">
        <f>_xll.QS.EVALUATE(C93,F93)</f>
        <v>32891.946381085407</v>
      </c>
      <c r="H93" s="5" t="s">
        <v>227</v>
      </c>
      <c r="I93" s="7">
        <v>1009100</v>
      </c>
      <c r="J93" s="8">
        <v>3.9100000000000003E-2</v>
      </c>
    </row>
    <row r="94" spans="1:10" x14ac:dyDescent="0.25">
      <c r="A94" s="5" t="s">
        <v>215</v>
      </c>
      <c r="B94" s="5" t="s">
        <v>228</v>
      </c>
      <c r="C94" s="6" t="str">
        <f>_xll.QS.CONTEXT.CREATE("market.92",A94,"USD","SOFR")</f>
        <v>QSObject:PricingContext:w1~market.92:21196</v>
      </c>
      <c r="D94" s="6" t="str">
        <f>_xll.QS.CONTEXT.ADD.CURVE(C94,"SOFR",$K$2:$K$7,$L$2:$L$7,,,"Actual360","LogLinear",TRUE)</f>
        <v>QSObject:ContextInput:w1~input.qs_context_add_curve.2359132437744.93.3.0:39820</v>
      </c>
      <c r="E94" s="6" t="str">
        <f>_xll.QS.INSTRUMENT.SWAP("swap.92",H94,B94,"USD","SOFR",I94,J94,0,"Actual360","Simple","Annual","Annual","Annual")</f>
        <v>QSObject:Swap:w1~swap.92:21195</v>
      </c>
      <c r="F94" s="6" t="str">
        <f>_xll.QS.TRADE.CREATE("trade.92",E94,A94,"Receive")</f>
        <v>QSObject:SwapTrade:w1~trade.92:30967</v>
      </c>
      <c r="G94" s="3">
        <f>_xll.QS.EVALUATE(C94,F94)</f>
        <v>33382.610582789785</v>
      </c>
      <c r="H94" s="5" t="s">
        <v>229</v>
      </c>
      <c r="I94" s="7">
        <v>1009200</v>
      </c>
      <c r="J94" s="8">
        <v>3.9200000000000013E-2</v>
      </c>
    </row>
    <row r="95" spans="1:10" x14ac:dyDescent="0.25">
      <c r="A95" s="5" t="s">
        <v>217</v>
      </c>
      <c r="B95" s="5" t="s">
        <v>230</v>
      </c>
      <c r="C95" s="6" t="str">
        <f>_xll.QS.CONTEXT.CREATE("market.93",A95,"USD","SOFR")</f>
        <v>QSObject:PricingContext:w1~market.93:21194</v>
      </c>
      <c r="D95" s="6" t="str">
        <f>_xll.QS.CONTEXT.ADD.CURVE(C95,"SOFR",$K$2:$K$7,$L$2:$L$7,,,"Actual360","LogLinear",TRUE)</f>
        <v>QSObject:ContextInput:w1~input.qs_context_add_curve.2359132437744.94.3.0:39819</v>
      </c>
      <c r="E95" s="6" t="str">
        <f>_xll.QS.INSTRUMENT.SWAP("swap.93",H95,B95,"USD","SOFR",I95,J95,0,"Actual360","Simple","Annual","Annual","Annual")</f>
        <v>QSObject:Swap:w1~swap.93:21193</v>
      </c>
      <c r="F95" s="6" t="str">
        <f>_xll.QS.TRADE.CREATE("trade.93",E95,A95,"Receive")</f>
        <v>QSObject:SwapTrade:w1~trade.93:30966</v>
      </c>
      <c r="G95" s="3">
        <f>_xll.QS.EVALUATE(C95,F95)</f>
        <v>33925.227621273487</v>
      </c>
      <c r="H95" s="5" t="s">
        <v>231</v>
      </c>
      <c r="I95" s="7">
        <v>1009300</v>
      </c>
      <c r="J95" s="8">
        <v>3.9300000000000002E-2</v>
      </c>
    </row>
    <row r="96" spans="1:10" x14ac:dyDescent="0.25">
      <c r="A96" s="5" t="s">
        <v>219</v>
      </c>
      <c r="B96" s="5" t="s">
        <v>232</v>
      </c>
      <c r="C96" s="6" t="str">
        <f>_xll.QS.CONTEXT.CREATE("market.94",A96,"USD","SOFR")</f>
        <v>QSObject:PricingContext:w1~market.94:21192</v>
      </c>
      <c r="D96" s="6" t="str">
        <f>_xll.QS.CONTEXT.ADD.CURVE(C96,"SOFR",$K$2:$K$7,$L$2:$L$7,,,"Actual360","LogLinear",TRUE)</f>
        <v>QSObject:ContextInput:w1~input.qs_context_add_curve.2359132437744.95.3.0:39818</v>
      </c>
      <c r="E96" s="6" t="str">
        <f>_xll.QS.INSTRUMENT.SWAP("swap.94",H96,B96,"USD","SOFR",I96,J96,0,"Actual360","Simple","Annual","Annual","Annual")</f>
        <v>QSObject:Swap:w1~swap.94:21191</v>
      </c>
      <c r="F96" s="6" t="str">
        <f>_xll.QS.TRADE.CREATE("trade.94",E96,A96,"Receive")</f>
        <v>QSObject:SwapTrade:w1~trade.94:30965</v>
      </c>
      <c r="G96" s="3">
        <f>_xll.QS.EVALUATE(C96,F96)</f>
        <v>34438.217845614694</v>
      </c>
      <c r="H96" s="5" t="s">
        <v>233</v>
      </c>
      <c r="I96" s="7">
        <v>1009400</v>
      </c>
      <c r="J96" s="8">
        <v>3.9399999999999998E-2</v>
      </c>
    </row>
    <row r="97" spans="1:10" x14ac:dyDescent="0.25">
      <c r="A97" s="5" t="s">
        <v>221</v>
      </c>
      <c r="B97" s="5" t="s">
        <v>234</v>
      </c>
      <c r="C97" s="6" t="str">
        <f>_xll.QS.CONTEXT.CREATE("market.95",A97,"USD","SOFR")</f>
        <v>QSObject:PricingContext:w1~market.95:21190</v>
      </c>
      <c r="D97" s="6" t="str">
        <f>_xll.QS.CONTEXT.ADD.CURVE(C97,"SOFR",$K$2:$K$7,$L$2:$L$7,,,"Actual360","LogLinear",TRUE)</f>
        <v>QSObject:ContextInput:w1~input.qs_context_add_curve.2359132437744.96.3.0:39817</v>
      </c>
      <c r="E97" s="6" t="str">
        <f>_xll.QS.INSTRUMENT.SWAP("swap.95",H97,B97,"USD","SOFR",I97,J97,0,"Actual360","Simple","Annual","Annual","Annual")</f>
        <v>QSObject:Swap:w1~swap.95:21189</v>
      </c>
      <c r="F97" s="6" t="str">
        <f>_xll.QS.TRADE.CREATE("trade.95",E97,A97,"Receive")</f>
        <v>QSObject:SwapTrade:w1~trade.95:30964</v>
      </c>
      <c r="G97" s="3">
        <f>_xll.QS.EVALUATE(C97,F97)</f>
        <v>34803.265719169925</v>
      </c>
      <c r="H97" s="5" t="s">
        <v>235</v>
      </c>
      <c r="I97" s="7">
        <v>1009500</v>
      </c>
      <c r="J97" s="8">
        <v>3.9500000000000007E-2</v>
      </c>
    </row>
    <row r="98" spans="1:10" x14ac:dyDescent="0.25">
      <c r="A98" s="5" t="s">
        <v>223</v>
      </c>
      <c r="B98" s="5" t="s">
        <v>236</v>
      </c>
      <c r="C98" s="6" t="str">
        <f>_xll.QS.CONTEXT.CREATE("market.96",A98,"USD","SOFR")</f>
        <v>QSObject:PricingContext:w1~market.96:21188</v>
      </c>
      <c r="D98" s="6" t="str">
        <f>_xll.QS.CONTEXT.ADD.CURVE(C98,"SOFR",$K$2:$K$7,$L$2:$L$7,,,"Actual360","LogLinear",TRUE)</f>
        <v>QSObject:ContextInput:w1~input.qs_context_add_curve.2359132437744.97.3.0:39816</v>
      </c>
      <c r="E98" s="6" t="str">
        <f>_xll.QS.INSTRUMENT.SWAP("swap.96",H98,B98,"USD","SOFR",I98,J98,0,"Actual360","Simple","Annual","Annual","Annual")</f>
        <v>QSObject:Swap:w1~swap.96:21187</v>
      </c>
      <c r="F98" s="6" t="str">
        <f>_xll.QS.TRADE.CREATE("trade.96",E98,A98,"Receive")</f>
        <v>QSObject:SwapTrade:w1~trade.96:30963</v>
      </c>
      <c r="G98" s="3">
        <f>_xll.QS.EVALUATE(C98,F98)</f>
        <v>35190.515269476484</v>
      </c>
      <c r="H98" s="5" t="s">
        <v>237</v>
      </c>
      <c r="I98" s="7">
        <v>1009600</v>
      </c>
      <c r="J98" s="8">
        <v>3.9600000000000003E-2</v>
      </c>
    </row>
    <row r="99" spans="1:10" x14ac:dyDescent="0.25">
      <c r="A99" s="5" t="s">
        <v>225</v>
      </c>
      <c r="B99" s="5" t="s">
        <v>238</v>
      </c>
      <c r="C99" s="6" t="str">
        <f>_xll.QS.CONTEXT.CREATE("market.97",A99,"USD","SOFR")</f>
        <v>QSObject:PricingContext:w1~market.97:21186</v>
      </c>
      <c r="D99" s="6" t="str">
        <f>_xll.QS.CONTEXT.ADD.CURVE(C99,"SOFR",$K$2:$K$7,$L$2:$L$7,,,"Actual360","LogLinear",TRUE)</f>
        <v>QSObject:ContextInput:w1~input.qs_context_add_curve.2359132437744.98.3.0:39815</v>
      </c>
      <c r="E99" s="6" t="str">
        <f>_xll.QS.INSTRUMENT.SWAP("swap.97",H99,B99,"USD","SOFR",I99,J99,0,"Actual360","Simple","Annual","Annual","Annual")</f>
        <v>QSObject:Swap:w1~swap.97:21185</v>
      </c>
      <c r="F99" s="6" t="str">
        <f>_xll.QS.TRADE.CREATE("trade.97",E99,A99,"Receive")</f>
        <v>QSObject:SwapTrade:w1~trade.97:30962</v>
      </c>
      <c r="G99" s="3">
        <f>_xll.QS.EVALUATE(C99,F99)</f>
        <v>35662.653977403163</v>
      </c>
      <c r="H99" s="5" t="s">
        <v>239</v>
      </c>
      <c r="I99" s="7">
        <v>1009700</v>
      </c>
      <c r="J99" s="8">
        <v>3.9700000000000013E-2</v>
      </c>
    </row>
    <row r="100" spans="1:10" x14ac:dyDescent="0.25">
      <c r="A100" s="5" t="s">
        <v>227</v>
      </c>
      <c r="B100" s="5" t="s">
        <v>240</v>
      </c>
      <c r="C100" s="6" t="str">
        <f>_xll.QS.CONTEXT.CREATE("market.98",A100,"USD","SOFR")</f>
        <v>QSObject:PricingContext:w1~market.98:21184</v>
      </c>
      <c r="D100" s="6" t="str">
        <f>_xll.QS.CONTEXT.ADD.CURVE(C100,"SOFR",$K$2:$K$7,$L$2:$L$7,,,"Actual360","LogLinear",TRUE)</f>
        <v>QSObject:ContextInput:w1~input.qs_context_add_curve.2359132437744.99.3.0:39814</v>
      </c>
      <c r="E100" s="6" t="str">
        <f>_xll.QS.INSTRUMENT.SWAP("swap.98",H100,B100,"USD","SOFR",I100,J100,0,"Actual360","Simple","Annual","Annual","Annual")</f>
        <v>QSObject:Swap:w1~swap.98:21183</v>
      </c>
      <c r="F100" s="6" t="str">
        <f>_xll.QS.TRADE.CREATE("trade.98",E100,A100,"Receive")</f>
        <v>QSObject:SwapTrade:w1~trade.98:30961</v>
      </c>
      <c r="G100" s="3">
        <f>_xll.QS.EVALUATE(C100,F100)</f>
        <v>36176.093531762017</v>
      </c>
      <c r="H100" s="5" t="s">
        <v>241</v>
      </c>
      <c r="I100" s="7">
        <v>1009800</v>
      </c>
      <c r="J100" s="8">
        <v>3.9800000000000002E-2</v>
      </c>
    </row>
    <row r="101" spans="1:10" x14ac:dyDescent="0.25">
      <c r="A101" s="5" t="s">
        <v>229</v>
      </c>
      <c r="B101" s="5" t="s">
        <v>242</v>
      </c>
      <c r="C101" s="6" t="str">
        <f>_xll.QS.CONTEXT.CREATE("market.99",A101,"USD","SOFR")</f>
        <v>QSObject:PricingContext:w1~market.99:21182</v>
      </c>
      <c r="D101" s="6" t="str">
        <f>_xll.QS.CONTEXT.ADD.CURVE(C101,"SOFR",$K$2:$K$7,$L$2:$L$7,,,"Actual360","LogLinear",TRUE)</f>
        <v>QSObject:ContextInput:w1~input.qs_context_add_curve.2359132437744.100.3.0:39813</v>
      </c>
      <c r="E101" s="6" t="str">
        <f>_xll.QS.INSTRUMENT.SWAP("swap.99",H101,B101,"USD","SOFR",I101,J101,0,"Actual360","Simple","Annual","Annual","Annual")</f>
        <v>QSObject:Swap:w1~swap.99:21181</v>
      </c>
      <c r="F101" s="6" t="str">
        <f>_xll.QS.TRADE.CREATE("trade.99",E101,A101,"Receive")</f>
        <v>QSObject:SwapTrade:w1~trade.99:30960</v>
      </c>
      <c r="G101" s="3">
        <f>_xll.QS.EVALUATE(C101,F101)</f>
        <v>36777.270652237115</v>
      </c>
      <c r="H101" s="5" t="s">
        <v>243</v>
      </c>
      <c r="I101" s="7">
        <v>1009900</v>
      </c>
      <c r="J101" s="8">
        <v>3.9899999999999998E-2</v>
      </c>
    </row>
    <row r="102" spans="1:10" x14ac:dyDescent="0.25">
      <c r="A102" s="5" t="s">
        <v>231</v>
      </c>
      <c r="B102" s="5" t="s">
        <v>244</v>
      </c>
      <c r="C102" s="6" t="str">
        <f>_xll.QS.CONTEXT.CREATE("market.100",A102,"USD","SOFR")</f>
        <v>QSObject:PricingContext:w1~market.100:21180</v>
      </c>
      <c r="D102" s="6" t="str">
        <f>_xll.QS.CONTEXT.ADD.CURVE(C102,"SOFR",$K$2:$K$7,$L$2:$L$7,,,"Actual360","LogLinear",TRUE)</f>
        <v>QSObject:ContextInput:w1~input.qs_context_add_curve.2359132437744.101.3.0:39812</v>
      </c>
      <c r="E102" s="6" t="str">
        <f>_xll.QS.INSTRUMENT.SWAP("swap.100",H102,B102,"USD","SOFR",I102,J102,0,"Actual360","Simple","Annual","Annual","Annual")</f>
        <v>QSObject:Swap:w1~swap.100:21179</v>
      </c>
      <c r="F102" s="6" t="str">
        <f>_xll.QS.TRADE.CREATE("trade.100",E102,A102,"Receive")</f>
        <v>QSObject:SwapTrade:w1~trade.100:30959</v>
      </c>
      <c r="G102" s="3">
        <f>_xll.QS.EVALUATE(C102,F102)</f>
        <v>13967.958310337792</v>
      </c>
      <c r="H102" s="5" t="s">
        <v>245</v>
      </c>
      <c r="I102" s="7">
        <v>1010000</v>
      </c>
      <c r="J102" s="8">
        <v>3.5000000000000003E-2</v>
      </c>
    </row>
    <row r="103" spans="1:10" x14ac:dyDescent="0.25">
      <c r="A103" s="5" t="s">
        <v>233</v>
      </c>
      <c r="B103" s="5" t="s">
        <v>246</v>
      </c>
      <c r="C103" s="6" t="str">
        <f>_xll.QS.CONTEXT.CREATE("market.101",A103,"USD","SOFR")</f>
        <v>QSObject:PricingContext:w1~market.101:21178</v>
      </c>
      <c r="D103" s="6" t="str">
        <f>_xll.QS.CONTEXT.ADD.CURVE(C103,"SOFR",$K$2:$K$7,$L$2:$L$7,,,"Actual360","LogLinear",TRUE)</f>
        <v>QSObject:ContextInput:w1~input.qs_context_add_curve.2359132437744.102.3.0:39811</v>
      </c>
      <c r="E103" s="6" t="str">
        <f>_xll.QS.INSTRUMENT.SWAP("swap.101",H103,B103,"USD","SOFR",I103,J103,0,"Actual360","Simple","Annual","Annual","Annual")</f>
        <v>QSObject:Swap:w1~swap.101:21177</v>
      </c>
      <c r="F103" s="6" t="str">
        <f>_xll.QS.TRADE.CREATE("trade.101",E103,A103,"Receive")</f>
        <v>QSObject:SwapTrade:w1~trade.101:30958</v>
      </c>
      <c r="G103" s="3">
        <f>_xll.QS.EVALUATE(C103,F103)</f>
        <v>14434.92850596389</v>
      </c>
      <c r="H103" s="5" t="s">
        <v>247</v>
      </c>
      <c r="I103" s="7">
        <v>1010100</v>
      </c>
      <c r="J103" s="8">
        <v>3.5100000000000013E-2</v>
      </c>
    </row>
    <row r="104" spans="1:10" x14ac:dyDescent="0.25">
      <c r="A104" s="5" t="s">
        <v>235</v>
      </c>
      <c r="B104" s="5" t="s">
        <v>248</v>
      </c>
      <c r="C104" s="6" t="str">
        <f>_xll.QS.CONTEXT.CREATE("market.102",A104,"USD","SOFR")</f>
        <v>QSObject:PricingContext:w1~market.102:21176</v>
      </c>
      <c r="D104" s="6" t="str">
        <f>_xll.QS.CONTEXT.ADD.CURVE(C104,"SOFR",$K$2:$K$7,$L$2:$L$7,,,"Actual360","LogLinear",TRUE)</f>
        <v>QSObject:ContextInput:w1~input.qs_context_add_curve.2359132437744.103.3.0:39810</v>
      </c>
      <c r="E104" s="6" t="str">
        <f>_xll.QS.INSTRUMENT.SWAP("swap.102",H104,B104,"USD","SOFR",I104,J104,0,"Actual360","Simple","Annual","Annual","Annual")</f>
        <v>QSObject:Swap:w1~swap.102:21175</v>
      </c>
      <c r="F104" s="6" t="str">
        <f>_xll.QS.TRADE.CREATE("trade.102",E104,A104,"Receive")</f>
        <v>QSObject:SwapTrade:w1~trade.102:30957</v>
      </c>
      <c r="G104" s="3">
        <f>_xll.QS.EVALUATE(C104,F104)</f>
        <v>14862.170117428763</v>
      </c>
      <c r="H104" s="5" t="s">
        <v>249</v>
      </c>
      <c r="I104" s="7">
        <v>1010200</v>
      </c>
      <c r="J104" s="8">
        <v>3.5200000000000002E-2</v>
      </c>
    </row>
    <row r="105" spans="1:10" x14ac:dyDescent="0.25">
      <c r="A105" s="5" t="s">
        <v>237</v>
      </c>
      <c r="B105" s="5" t="s">
        <v>250</v>
      </c>
      <c r="C105" s="6" t="str">
        <f>_xll.QS.CONTEXT.CREATE("market.103",A105,"USD","SOFR")</f>
        <v>QSObject:PricingContext:w1~market.103:21174</v>
      </c>
      <c r="D105" s="6" t="str">
        <f>_xll.QS.CONTEXT.ADD.CURVE(C105,"SOFR",$K$2:$K$7,$L$2:$L$7,,,"Actual360","LogLinear",TRUE)</f>
        <v>QSObject:ContextInput:w1~input.qs_context_add_curve.2359132437744.104.3.0:39809</v>
      </c>
      <c r="E105" s="6" t="str">
        <f>_xll.QS.INSTRUMENT.SWAP("swap.103",H105,B105,"USD","SOFR",I105,J105,0,"Actual360","Simple","Annual","Annual","Annual")</f>
        <v>QSObject:Swap:w1~swap.103:21173</v>
      </c>
      <c r="F105" s="6" t="str">
        <f>_xll.QS.TRADE.CREATE("trade.103",E105,A105,"Receive")</f>
        <v>QSObject:SwapTrade:w1~trade.103:30956</v>
      </c>
      <c r="G105" s="3">
        <f>_xll.QS.EVALUATE(C105,F105)</f>
        <v>15268.761155700478</v>
      </c>
      <c r="H105" s="5" t="s">
        <v>251</v>
      </c>
      <c r="I105" s="7">
        <v>1010300</v>
      </c>
      <c r="J105" s="8">
        <v>3.5299999999999998E-2</v>
      </c>
    </row>
    <row r="106" spans="1:10" x14ac:dyDescent="0.25">
      <c r="A106" s="5" t="s">
        <v>239</v>
      </c>
      <c r="B106" s="5" t="s">
        <v>252</v>
      </c>
      <c r="C106" s="6" t="str">
        <f>_xll.QS.CONTEXT.CREATE("market.104",A106,"USD","SOFR")</f>
        <v>QSObject:PricingContext:w1~market.104:21172</v>
      </c>
      <c r="D106" s="6" t="str">
        <f>_xll.QS.CONTEXT.ADD.CURVE(C106,"SOFR",$K$2:$K$7,$L$2:$L$7,,,"Actual360","LogLinear",TRUE)</f>
        <v>QSObject:ContextInput:w1~input.qs_context_add_curve.2359132437744.105.3.0:39808</v>
      </c>
      <c r="E106" s="6" t="str">
        <f>_xll.QS.INSTRUMENT.SWAP("swap.104",H106,B106,"USD","SOFR",I106,J106,0,"Actual360","Simple","Annual","Annual","Annual")</f>
        <v>QSObject:Swap:w1~swap.104:21171</v>
      </c>
      <c r="F106" s="6" t="str">
        <f>_xll.QS.TRADE.CREATE("trade.104",E106,A106,"Receive")</f>
        <v>QSObject:SwapTrade:w1~trade.104:30955</v>
      </c>
      <c r="G106" s="3">
        <f>_xll.QS.EVALUATE(C106,F106)</f>
        <v>15645.264169032955</v>
      </c>
      <c r="H106" s="5" t="s">
        <v>253</v>
      </c>
      <c r="I106" s="7">
        <v>1010400</v>
      </c>
      <c r="J106" s="8">
        <v>3.5400000000000001E-2</v>
      </c>
    </row>
    <row r="107" spans="1:10" x14ac:dyDescent="0.25">
      <c r="A107" s="5" t="s">
        <v>241</v>
      </c>
      <c r="B107" s="5" t="s">
        <v>254</v>
      </c>
      <c r="C107" s="6" t="str">
        <f>_xll.QS.CONTEXT.CREATE("market.105",A107,"USD","SOFR")</f>
        <v>QSObject:PricingContext:w1~market.105:21170</v>
      </c>
      <c r="D107" s="6" t="str">
        <f>_xll.QS.CONTEXT.ADD.CURVE(C107,"SOFR",$K$2:$K$7,$L$2:$L$7,,,"Actual360","LogLinear",TRUE)</f>
        <v>QSObject:ContextInput:w1~input.qs_context_add_curve.2359132437744.106.3.0:39807</v>
      </c>
      <c r="E107" s="6" t="str">
        <f>_xll.QS.INSTRUMENT.SWAP("swap.105",H107,B107,"USD","SOFR",I107,J107,0,"Actual360","Simple","Annual","Annual","Annual")</f>
        <v>QSObject:Swap:w1~swap.105:21169</v>
      </c>
      <c r="F107" s="6" t="str">
        <f>_xll.QS.TRADE.CREATE("trade.105",E107,A107,"Receive")</f>
        <v>QSObject:SwapTrade:w1~trade.105:30954</v>
      </c>
      <c r="G107" s="3">
        <f>_xll.QS.EVALUATE(C107,F107)</f>
        <v>16154.5001804965</v>
      </c>
      <c r="H107" s="5" t="s">
        <v>255</v>
      </c>
      <c r="I107" s="7">
        <v>1010500</v>
      </c>
      <c r="J107" s="8">
        <v>3.5499999999999997E-2</v>
      </c>
    </row>
    <row r="108" spans="1:10" x14ac:dyDescent="0.25">
      <c r="A108" s="5" t="s">
        <v>243</v>
      </c>
      <c r="B108" s="5" t="s">
        <v>256</v>
      </c>
      <c r="C108" s="6" t="str">
        <f>_xll.QS.CONTEXT.CREATE("market.106",A108,"USD","SOFR")</f>
        <v>QSObject:PricingContext:w1~market.106:21168</v>
      </c>
      <c r="D108" s="6" t="str">
        <f>_xll.QS.CONTEXT.ADD.CURVE(C108,"SOFR",$K$2:$K$7,$L$2:$L$7,,,"Actual360","LogLinear",TRUE)</f>
        <v>QSObject:ContextInput:w1~input.qs_context_add_curve.2359132437744.107.3.0:39806</v>
      </c>
      <c r="E108" s="6" t="str">
        <f>_xll.QS.INSTRUMENT.SWAP("swap.106",H108,B108,"USD","SOFR",I108,J108,0,"Actual360","Simple","Annual","Annual","Annual")</f>
        <v>QSObject:Swap:w1~swap.106:21167</v>
      </c>
      <c r="F108" s="6" t="str">
        <f>_xll.QS.TRADE.CREATE("trade.106",E108,A108,"Receive")</f>
        <v>QSObject:SwapTrade:w1~trade.106:30953</v>
      </c>
      <c r="G108" s="3">
        <f>_xll.QS.EVALUATE(C108,F108)</f>
        <v>16652.209193736551</v>
      </c>
      <c r="H108" s="5" t="s">
        <v>257</v>
      </c>
      <c r="I108" s="7">
        <v>1010600</v>
      </c>
      <c r="J108" s="8">
        <v>3.5600000000000007E-2</v>
      </c>
    </row>
    <row r="109" spans="1:10" x14ac:dyDescent="0.25">
      <c r="A109" s="5" t="s">
        <v>245</v>
      </c>
      <c r="B109" s="5" t="s">
        <v>258</v>
      </c>
      <c r="C109" s="6" t="str">
        <f>_xll.QS.CONTEXT.CREATE("market.107",A109,"USD","SOFR")</f>
        <v>QSObject:PricingContext:w1~market.107:21166</v>
      </c>
      <c r="D109" s="6" t="str">
        <f>_xll.QS.CONTEXT.ADD.CURVE(C109,"SOFR",$K$2:$K$7,$L$2:$L$7,,,"Actual360","LogLinear",TRUE)</f>
        <v>QSObject:ContextInput:w1~input.qs_context_add_curve.2359132437744.108.3.0:39805</v>
      </c>
      <c r="E109" s="6" t="str">
        <f>_xll.QS.INSTRUMENT.SWAP("swap.107",H109,B109,"USD","SOFR",I109,J109,0,"Actual360","Simple","Annual","Annual","Annual")</f>
        <v>QSObject:Swap:w1~swap.107:21165</v>
      </c>
      <c r="F109" s="6" t="str">
        <f>_xll.QS.TRADE.CREATE("trade.107",E109,A109,"Receive")</f>
        <v>QSObject:SwapTrade:w1~trade.107:30952</v>
      </c>
      <c r="G109" s="3">
        <f>_xll.QS.EVALUATE(C109,F109)</f>
        <v>17193.670608602275</v>
      </c>
      <c r="H109" s="5" t="s">
        <v>259</v>
      </c>
      <c r="I109" s="7">
        <v>1010700</v>
      </c>
      <c r="J109" s="8">
        <v>3.5700000000000003E-2</v>
      </c>
    </row>
    <row r="110" spans="1:10" x14ac:dyDescent="0.25">
      <c r="A110" s="5" t="s">
        <v>247</v>
      </c>
      <c r="B110" s="5" t="s">
        <v>260</v>
      </c>
      <c r="C110" s="6" t="str">
        <f>_xll.QS.CONTEXT.CREATE("market.108",A110,"USD","SOFR")</f>
        <v>QSObject:PricingContext:w1~market.108:21164</v>
      </c>
      <c r="D110" s="6" t="str">
        <f>_xll.QS.CONTEXT.ADD.CURVE(C110,"SOFR",$K$2:$K$7,$L$2:$L$7,,,"Actual360","LogLinear",TRUE)</f>
        <v>QSObject:ContextInput:w1~input.qs_context_add_curve.2359132437744.109.3.0:39804</v>
      </c>
      <c r="E110" s="6" t="str">
        <f>_xll.QS.INSTRUMENT.SWAP("swap.108",H110,B110,"USD","SOFR",I110,J110,0,"Actual360","Simple","Annual","Annual","Annual")</f>
        <v>QSObject:Swap:w1~swap.108:21163</v>
      </c>
      <c r="F110" s="6" t="str">
        <f>_xll.QS.TRADE.CREATE("trade.108",E110,A110,"Receive")</f>
        <v>QSObject:SwapTrade:w1~trade.108:30951</v>
      </c>
      <c r="G110" s="3">
        <f>_xll.QS.EVALUATE(C110,F110)</f>
        <v>17705.380032601948</v>
      </c>
      <c r="H110" s="5" t="s">
        <v>261</v>
      </c>
      <c r="I110" s="7">
        <v>1010800</v>
      </c>
      <c r="J110" s="8">
        <v>3.5800000000000012E-2</v>
      </c>
    </row>
    <row r="111" spans="1:10" x14ac:dyDescent="0.25">
      <c r="A111" s="5" t="s">
        <v>249</v>
      </c>
      <c r="B111" s="5" t="s">
        <v>262</v>
      </c>
      <c r="C111" s="6" t="str">
        <f>_xll.QS.CONTEXT.CREATE("market.109",A111,"USD","SOFR")</f>
        <v>QSObject:PricingContext:w1~market.109:21162</v>
      </c>
      <c r="D111" s="6" t="str">
        <f>_xll.QS.CONTEXT.ADD.CURVE(C111,"SOFR",$K$2:$K$7,$L$2:$L$7,,,"Actual360","LogLinear",TRUE)</f>
        <v>QSObject:ContextInput:w1~input.qs_context_add_curve.2359132437744.110.3.0:39803</v>
      </c>
      <c r="E111" s="6" t="str">
        <f>_xll.QS.INSTRUMENT.SWAP("swap.109",H111,B111,"USD","SOFR",I111,J111,0,"Actual360","Simple","Annual","Annual","Annual")</f>
        <v>QSObject:Swap:w1~swap.109:21161</v>
      </c>
      <c r="F111" s="6" t="str">
        <f>_xll.QS.TRADE.CREATE("trade.109",E111,A111,"Receive")</f>
        <v>QSObject:SwapTrade:w1~trade.109:30950</v>
      </c>
      <c r="G111" s="3">
        <f>_xll.QS.EVALUATE(C111,F111)</f>
        <v>18134.971316352781</v>
      </c>
      <c r="H111" s="5" t="s">
        <v>263</v>
      </c>
      <c r="I111" s="7">
        <v>1010900</v>
      </c>
      <c r="J111" s="8">
        <v>3.5900000000000001E-2</v>
      </c>
    </row>
    <row r="112" spans="1:10" x14ac:dyDescent="0.25">
      <c r="A112" s="5" t="s">
        <v>251</v>
      </c>
      <c r="B112" s="5" t="s">
        <v>264</v>
      </c>
      <c r="C112" s="6" t="str">
        <f>_xll.QS.CONTEXT.CREATE("market.110",A112,"USD","SOFR")</f>
        <v>QSObject:PricingContext:w1~market.110:21160</v>
      </c>
      <c r="D112" s="6" t="str">
        <f>_xll.QS.CONTEXT.ADD.CURVE(C112,"SOFR",$K$2:$K$7,$L$2:$L$7,,,"Actual360","LogLinear",TRUE)</f>
        <v>QSObject:ContextInput:w1~input.qs_context_add_curve.2359132437744.111.3.0:39802</v>
      </c>
      <c r="E112" s="6" t="str">
        <f>_xll.QS.INSTRUMENT.SWAP("swap.110",H112,B112,"USD","SOFR",I112,J112,0,"Actual360","Simple","Annual","Annual","Annual")</f>
        <v>QSObject:Swap:w1~swap.110:21159</v>
      </c>
      <c r="F112" s="6" t="str">
        <f>_xll.QS.TRADE.CREATE("trade.110",E112,A112,"Receive")</f>
        <v>QSObject:SwapTrade:w1~trade.110:30949</v>
      </c>
      <c r="G112" s="3">
        <f>_xll.QS.EVALUATE(C112,F112)</f>
        <v>18538.316793306778</v>
      </c>
      <c r="H112" s="5" t="s">
        <v>265</v>
      </c>
      <c r="I112" s="7">
        <v>1011000</v>
      </c>
      <c r="J112" s="8">
        <v>3.5999999999999997E-2</v>
      </c>
    </row>
    <row r="113" spans="1:10" x14ac:dyDescent="0.25">
      <c r="A113" s="5" t="s">
        <v>253</v>
      </c>
      <c r="B113" s="5" t="s">
        <v>266</v>
      </c>
      <c r="C113" s="6"/>
      <c r="D113" s="6" t="e">
        <f>_xll.QS.CONTEXT.ADD.CURVE(C113,"SOFR",$K$2:$K$7,$L$2:$L$7,,,"Actual360","LogLinear",TRUE)</f>
        <v>#VALUE!</v>
      </c>
      <c r="E113" s="6" t="str">
        <f>_xll.QS.INSTRUMENT.SWAP("swap.111",H113,B113,"USD","SOFR",I113,J113,0,"Actual360","Simple","Annual","Annual","Annual")</f>
        <v>QSObject:Swap:w1~swap.111:21157</v>
      </c>
      <c r="F113" s="6" t="str">
        <f>_xll.QS.TRADE.CREATE("trade.111",E113,A113,"Receive")</f>
        <v>QSObject:SwapTrade:w1~trade.111:30948</v>
      </c>
      <c r="G113" s="3" t="e">
        <f>_xll.QS.EVALUATE(C113,F113)</f>
        <v>#VALUE!</v>
      </c>
      <c r="H113" s="5" t="s">
        <v>267</v>
      </c>
      <c r="I113" s="7">
        <v>1011100</v>
      </c>
      <c r="J113" s="8">
        <v>3.61E-2</v>
      </c>
    </row>
    <row r="114" spans="1:10" x14ac:dyDescent="0.25">
      <c r="A114" s="5" t="s">
        <v>255</v>
      </c>
      <c r="B114" s="5" t="s">
        <v>268</v>
      </c>
      <c r="C114" s="6" t="str">
        <f>_xll.QS.CONTEXT.CREATE("market.112",A114,"USD","SOFR")</f>
        <v>QSObject:PricingContext:w1~market.112:21156</v>
      </c>
      <c r="D114" s="6" t="str">
        <f>_xll.QS.CONTEXT.ADD.CURVE(C114,"SOFR",$K$2:$K$7,$L$2:$L$7,,,"Actual360","LogLinear",TRUE)</f>
        <v>QSObject:ContextInput:w1~input.qs_context_add_curve.2359132437744.113.3.0:39800</v>
      </c>
      <c r="E114" s="6" t="str">
        <f>_xll.QS.INSTRUMENT.SWAP("swap.112",H114,B114,"USD","SOFR",I114,J114,0,"Actual360","Simple","Annual","Annual","Annual")</f>
        <v>QSObject:Swap:w1~swap.112:21155</v>
      </c>
      <c r="F114" s="6" t="str">
        <f>_xll.QS.TRADE.CREATE("trade.112",E114,A114,"Receive")</f>
        <v>QSObject:SwapTrade:w1~trade.112:30947</v>
      </c>
      <c r="G114" s="3">
        <f>_xll.QS.EVALUATE(C114,F114)</f>
        <v>19517.566245355923</v>
      </c>
      <c r="H114" s="5" t="s">
        <v>269</v>
      </c>
      <c r="I114" s="7">
        <v>1011200</v>
      </c>
      <c r="J114" s="8">
        <v>3.6200000000000003E-2</v>
      </c>
    </row>
    <row r="115" spans="1:10" x14ac:dyDescent="0.25">
      <c r="A115" s="5" t="s">
        <v>257</v>
      </c>
      <c r="B115" s="5" t="s">
        <v>270</v>
      </c>
      <c r="C115" s="6" t="str">
        <f>_xll.QS.CONTEXT.CREATE("market.113",A115,"USD","SOFR")</f>
        <v>QSObject:PricingContext:w1~market.113:21154</v>
      </c>
      <c r="D115" s="6" t="str">
        <f>_xll.QS.CONTEXT.ADD.CURVE(C115,"SOFR",$K$2:$K$7,$L$2:$L$7,,,"Actual360","LogLinear",TRUE)</f>
        <v>QSObject:ContextInput:w1~input.qs_context_add_curve.2359132437744.114.3.0:39799</v>
      </c>
      <c r="E115" s="6" t="str">
        <f>_xll.QS.INSTRUMENT.SWAP("swap.113",H115,B115,"USD","SOFR",I115,J115,0,"Actual360","Simple","Annual","Annual","Annual")</f>
        <v>QSObject:Swap:w1~swap.113:21153</v>
      </c>
      <c r="F115" s="6" t="str">
        <f>_xll.QS.TRADE.CREATE("trade.113",E115,A115,"Receive")</f>
        <v>QSObject:SwapTrade:w1~trade.113:30946</v>
      </c>
      <c r="G115" s="3">
        <f>_xll.QS.EVALUATE(C115,F115)</f>
        <v>19928.144004669433</v>
      </c>
      <c r="H115" s="5" t="s">
        <v>271</v>
      </c>
      <c r="I115" s="7">
        <v>1011300</v>
      </c>
      <c r="J115" s="8">
        <v>3.6300000000000013E-2</v>
      </c>
    </row>
    <row r="116" spans="1:10" x14ac:dyDescent="0.25">
      <c r="A116" s="5" t="s">
        <v>259</v>
      </c>
      <c r="B116" s="5" t="s">
        <v>272</v>
      </c>
      <c r="C116" s="6" t="str">
        <f>_xll.QS.CONTEXT.CREATE("market.114",A116,"USD","SOFR")</f>
        <v>QSObject:PricingContext:w1~market.114:21152</v>
      </c>
      <c r="D116" s="6" t="str">
        <f>_xll.QS.CONTEXT.ADD.CURVE(C116,"SOFR",$K$2:$K$7,$L$2:$L$7,,,"Actual360","LogLinear",TRUE)</f>
        <v>QSObject:ContextInput:w1~input.qs_context_add_curve.2359132437744.115.3.0:39798</v>
      </c>
      <c r="E116" s="6" t="str">
        <f>_xll.QS.INSTRUMENT.SWAP("swap.114",H116,B116,"USD","SOFR",I116,J116,0,"Actual360","Simple","Annual","Annual","Annual")</f>
        <v>QSObject:Swap:w1~swap.114:21151</v>
      </c>
      <c r="F116" s="6" t="str">
        <f>_xll.QS.TRADE.CREATE("trade.114",E116,A116,"Receive")</f>
        <v>QSObject:SwapTrade:w1~trade.114:30945</v>
      </c>
      <c r="G116" s="3">
        <f>_xll.QS.EVALUATE(C116,F116)</f>
        <v>20470.347148578203</v>
      </c>
      <c r="H116" s="5" t="s">
        <v>273</v>
      </c>
      <c r="I116" s="7">
        <v>1011400</v>
      </c>
      <c r="J116" s="8">
        <v>3.6400000000000002E-2</v>
      </c>
    </row>
    <row r="117" spans="1:10" x14ac:dyDescent="0.25">
      <c r="A117" s="5" t="s">
        <v>261</v>
      </c>
      <c r="B117" s="5" t="s">
        <v>274</v>
      </c>
      <c r="C117" s="6" t="str">
        <f>_xll.QS.CONTEXT.CREATE("market.115",A117,"USD","SOFR")</f>
        <v>QSObject:PricingContext:w1~market.115:21150</v>
      </c>
      <c r="D117" s="6" t="str">
        <f>_xll.QS.CONTEXT.ADD.CURVE(C117,"SOFR",$K$2:$K$7,$L$2:$L$7,,,"Actual360","LogLinear",TRUE)</f>
        <v>QSObject:ContextInput:w1~input.qs_context_add_curve.2359132437744.116.3.0:39797</v>
      </c>
      <c r="E117" s="6" t="str">
        <f>_xll.QS.INSTRUMENT.SWAP("swap.115",H117,B117,"USD","SOFR",I117,J117,0,"Actual360","Simple","Annual","Annual","Annual")</f>
        <v>QSObject:Swap:w1~swap.115:21149</v>
      </c>
      <c r="F117" s="6" t="str">
        <f>_xll.QS.TRADE.CREATE("trade.115",E117,A117,"Receive")</f>
        <v>QSObject:SwapTrade:w1~trade.115:30944</v>
      </c>
      <c r="G117" s="3">
        <f>_xll.QS.EVALUATE(C117,F117)</f>
        <v>20941.685479869848</v>
      </c>
      <c r="H117" s="5" t="s">
        <v>275</v>
      </c>
      <c r="I117" s="7">
        <v>1011500</v>
      </c>
      <c r="J117" s="8">
        <v>3.6499999999999998E-2</v>
      </c>
    </row>
    <row r="118" spans="1:10" x14ac:dyDescent="0.25">
      <c r="A118" s="5" t="s">
        <v>263</v>
      </c>
      <c r="B118" s="5" t="s">
        <v>276</v>
      </c>
      <c r="C118" s="6" t="str">
        <f>_xll.QS.CONTEXT.CREATE("market.116",A118,"USD","SOFR")</f>
        <v>QSObject:PricingContext:w1~market.116:21148</v>
      </c>
      <c r="D118" s="6" t="str">
        <f>_xll.QS.CONTEXT.ADD.CURVE(C118,"SOFR",$K$2:$K$7,$L$2:$L$7,,,"Actual360","LogLinear",TRUE)</f>
        <v>QSObject:ContextInput:w1~input.qs_context_add_curve.2359132437744.117.3.0:39796</v>
      </c>
      <c r="E118" s="6" t="str">
        <f>_xll.QS.INSTRUMENT.SWAP("swap.116",H118,B118,"USD","SOFR",I118,J118,0,"Actual360","Simple","Annual","Annual","Annual")</f>
        <v>QSObject:Swap:w1~swap.116:21147</v>
      </c>
      <c r="F118" s="6" t="str">
        <f>_xll.QS.TRADE.CREATE("trade.116",E118,A118,"Receive")</f>
        <v>QSObject:SwapTrade:w1~trade.116:30943</v>
      </c>
      <c r="G118" s="3">
        <f>_xll.QS.EVALUATE(C118,F118)</f>
        <v>21412.950989511352</v>
      </c>
      <c r="H118" s="5" t="s">
        <v>277</v>
      </c>
      <c r="I118" s="7">
        <v>1011600</v>
      </c>
      <c r="J118" s="8">
        <v>3.6600000000000001E-2</v>
      </c>
    </row>
    <row r="119" spans="1:10" x14ac:dyDescent="0.25">
      <c r="A119" s="5" t="s">
        <v>265</v>
      </c>
      <c r="B119" s="5" t="s">
        <v>278</v>
      </c>
      <c r="C119" s="6" t="str">
        <f>_xll.QS.CONTEXT.CREATE("market.117",A119,"USD","SOFR")</f>
        <v>QSObject:PricingContext:w1~market.117:21146</v>
      </c>
      <c r="D119" s="6" t="str">
        <f>_xll.QS.CONTEXT.ADD.CURVE(C119,"SOFR",$K$2:$K$7,$L$2:$L$7,,,"Actual360","LogLinear",TRUE)</f>
        <v>QSObject:ContextInput:w1~input.qs_context_add_curve.2359132437744.118.3.0:39795</v>
      </c>
      <c r="E119" s="6" t="str">
        <f>_xll.QS.INSTRUMENT.SWAP("swap.117",H119,B119,"USD","SOFR",I119,J119,0,"Actual360","Simple","Annual","Annual","Annual")</f>
        <v>QSObject:Swap:w1~swap.117:21145</v>
      </c>
      <c r="F119" s="6" t="str">
        <f>_xll.QS.TRADE.CREATE("trade.117",E119,A119,"Receive")</f>
        <v>QSObject:SwapTrade:w1~trade.117:30942</v>
      </c>
      <c r="G119" s="3">
        <f>_xll.QS.EVALUATE(C119,F119)</f>
        <v>21813.048718380782</v>
      </c>
      <c r="H119" s="5" t="s">
        <v>279</v>
      </c>
      <c r="I119" s="7">
        <v>1011700</v>
      </c>
      <c r="J119" s="8">
        <v>3.6700000000000003E-2</v>
      </c>
    </row>
    <row r="120" spans="1:10" x14ac:dyDescent="0.25">
      <c r="A120" s="5" t="s">
        <v>267</v>
      </c>
      <c r="B120" s="5" t="s">
        <v>280</v>
      </c>
      <c r="C120" s="6" t="str">
        <f>_xll.QS.CONTEXT.CREATE("market.118",A120,"USD","SOFR")</f>
        <v>QSObject:PricingContext:w1~market.118:21144</v>
      </c>
      <c r="D120" s="6" t="str">
        <f>_xll.QS.CONTEXT.ADD.CURVE(C120,"SOFR",$K$2:$K$7,$L$2:$L$7,,,"Actual360","LogLinear",TRUE)</f>
        <v>QSObject:ContextInput:w1~input.qs_context_add_curve.2359132437744.119.3.0:39794</v>
      </c>
      <c r="E120" s="6" t="str">
        <f>_xll.QS.INSTRUMENT.SWAP("swap.118",H120,B120,"USD","SOFR",I120,J120,0,"Actual360","Simple","Annual","Annual","Annual")</f>
        <v>QSObject:Swap:w1~swap.118:21143</v>
      </c>
      <c r="F120" s="6" t="str">
        <f>_xll.QS.TRADE.CREATE("trade.118",E120,A120,"Receive")</f>
        <v>QSObject:SwapTrade:w1~trade.118:30941</v>
      </c>
      <c r="G120" s="3">
        <f>_xll.QS.EVALUATE(C120,F120)</f>
        <v>22200.937073485511</v>
      </c>
      <c r="H120" s="5" t="s">
        <v>281</v>
      </c>
      <c r="I120" s="7">
        <v>1011800</v>
      </c>
      <c r="J120" s="8">
        <v>3.6800000000000013E-2</v>
      </c>
    </row>
    <row r="121" spans="1:10" x14ac:dyDescent="0.25">
      <c r="A121" s="5" t="s">
        <v>269</v>
      </c>
      <c r="B121" s="5" t="s">
        <v>282</v>
      </c>
      <c r="C121" s="6" t="str">
        <f>_xll.QS.CONTEXT.CREATE("market.119",A121,"USD","SOFR")</f>
        <v>QSObject:PricingContext:w1~market.119:21142</v>
      </c>
      <c r="D121" s="6" t="str">
        <f>_xll.QS.CONTEXT.ADD.CURVE(C121,"SOFR",$K$2:$K$7,$L$2:$L$7,,,"Actual360","LogLinear",TRUE)</f>
        <v>QSObject:ContextInput:w1~input.qs_context_add_curve.2359132437744.120.3.0:39793</v>
      </c>
      <c r="E121" s="6" t="str">
        <f>_xll.QS.INSTRUMENT.SWAP("swap.119",H121,B121,"USD","SOFR",I121,J121,0,"Actual360","Simple","Annual","Annual","Annual")</f>
        <v>QSObject:Swap:w1~swap.119:21141</v>
      </c>
      <c r="F121" s="6" t="str">
        <f>_xll.QS.TRADE.CREATE("trade.119",E121,A121,"Receive")</f>
        <v>QSObject:SwapTrade:w1~trade.119:30940</v>
      </c>
      <c r="G121" s="3">
        <f>_xll.QS.EVALUATE(C121,F121)</f>
        <v>22712.747151859621</v>
      </c>
      <c r="H121" s="5" t="s">
        <v>283</v>
      </c>
      <c r="I121" s="7">
        <v>1011900</v>
      </c>
      <c r="J121" s="8">
        <v>3.6900000000000002E-2</v>
      </c>
    </row>
    <row r="122" spans="1:10" x14ac:dyDescent="0.25">
      <c r="A122" s="5" t="s">
        <v>271</v>
      </c>
      <c r="B122" s="5" t="s">
        <v>284</v>
      </c>
      <c r="C122" s="6" t="str">
        <f>_xll.QS.CONTEXT.CREATE("market.120",A122,"USD","SOFR")</f>
        <v>QSObject:PricingContext:w1~market.120:21140</v>
      </c>
      <c r="D122" s="6" t="str">
        <f>_xll.QS.CONTEXT.ADD.CURVE(C122,"SOFR",$K$2:$K$7,$L$2:$L$7,,,"Actual360","LogLinear",TRUE)</f>
        <v>QSObject:ContextInput:w1~input.qs_context_add_curve.2359132437744.121.3.0:39792</v>
      </c>
      <c r="E122" s="6" t="str">
        <f>_xll.QS.INSTRUMENT.SWAP("swap.120",H122,B122,"USD","SOFR",I122,J122,0,"Actual360","Simple","Annual","Annual","Annual")</f>
        <v>QSObject:Swap:w1~swap.120:21139</v>
      </c>
      <c r="F122" s="6" t="str">
        <f>_xll.QS.TRADE.CREATE("trade.120",E122,A122,"Receive")</f>
        <v>QSObject:SwapTrade:w1~trade.120:30939</v>
      </c>
      <c r="G122" s="3">
        <f>_xll.QS.EVALUATE(C122,F122)</f>
        <v>23208.593495106805</v>
      </c>
      <c r="H122" s="5" t="s">
        <v>285</v>
      </c>
      <c r="I122" s="7">
        <v>1012000</v>
      </c>
      <c r="J122" s="8">
        <v>3.7000000000000012E-2</v>
      </c>
    </row>
    <row r="123" spans="1:10" x14ac:dyDescent="0.25">
      <c r="A123" s="5" t="s">
        <v>273</v>
      </c>
      <c r="B123" s="5" t="s">
        <v>286</v>
      </c>
      <c r="C123" s="6" t="str">
        <f>_xll.QS.CONTEXT.CREATE("market.121",A123,"USD","SOFR")</f>
        <v>QSObject:PricingContext:w1~market.121:21138</v>
      </c>
      <c r="D123" s="6" t="str">
        <f>_xll.QS.CONTEXT.ADD.CURVE(C123,"SOFR",$K$2:$K$7,$L$2:$L$7,,,"Actual360","LogLinear",TRUE)</f>
        <v>QSObject:ContextInput:w1~input.qs_context_add_curve.2359132437744.122.3.0:39791</v>
      </c>
      <c r="E123" s="6" t="str">
        <f>_xll.QS.INSTRUMENT.SWAP("swap.121",H123,B123,"USD","SOFR",I123,J123,0,"Actual360","Simple","Annual","Annual","Annual")</f>
        <v>QSObject:Swap:w1~swap.121:21137</v>
      </c>
      <c r="F123" s="6" t="str">
        <f>_xll.QS.TRADE.CREATE("trade.121",E123,A123,"Receive")</f>
        <v>QSObject:SwapTrade:w1~trade.121:30938</v>
      </c>
      <c r="G123" s="3">
        <f>_xll.QS.EVALUATE(C123,F123)</f>
        <v>23751.542353378336</v>
      </c>
      <c r="H123" s="5" t="s">
        <v>287</v>
      </c>
      <c r="I123" s="7">
        <v>1012100</v>
      </c>
      <c r="J123" s="8">
        <v>3.7100000000000001E-2</v>
      </c>
    </row>
    <row r="124" spans="1:10" x14ac:dyDescent="0.25">
      <c r="A124" s="5" t="s">
        <v>275</v>
      </c>
      <c r="B124" s="5" t="s">
        <v>288</v>
      </c>
      <c r="C124" s="6" t="str">
        <f>_xll.QS.CONTEXT.CREATE("market.122",A124,"USD","SOFR")</f>
        <v>QSObject:PricingContext:w1~market.122:21136</v>
      </c>
      <c r="D124" s="6" t="str">
        <f>_xll.QS.CONTEXT.ADD.CURVE(C124,"SOFR",$K$2:$K$7,$L$2:$L$7,,,"Actual360","LogLinear",TRUE)</f>
        <v>QSObject:ContextInput:w1~input.qs_context_add_curve.2359132437744.123.3.0:39790</v>
      </c>
      <c r="E124" s="6" t="str">
        <f>_xll.QS.INSTRUMENT.SWAP("swap.122",H124,B124,"USD","SOFR",I124,J124,0,"Actual360","Simple","Annual","Annual","Annual")</f>
        <v>QSObject:Swap:w1~swap.122:21135</v>
      </c>
      <c r="F124" s="6" t="str">
        <f>_xll.QS.TRADE.CREATE("trade.122",E124,A124,"Receive")</f>
        <v>QSObject:SwapTrade:w1~trade.122:30937</v>
      </c>
      <c r="G124" s="3">
        <f>_xll.QS.EVALUATE(C124,F124)</f>
        <v>24264.673113857654</v>
      </c>
      <c r="H124" s="5" t="s">
        <v>289</v>
      </c>
      <c r="I124" s="7">
        <v>1012200</v>
      </c>
      <c r="J124" s="8">
        <v>3.7199999999999997E-2</v>
      </c>
    </row>
    <row r="125" spans="1:10" x14ac:dyDescent="0.25">
      <c r="A125" s="5" t="s">
        <v>277</v>
      </c>
      <c r="B125" s="5" t="s">
        <v>290</v>
      </c>
      <c r="C125" s="6" t="str">
        <f>_xll.QS.CONTEXT.CREATE("market.123",A125,"USD","SOFR")</f>
        <v>QSObject:PricingContext:w1~market.123:21134</v>
      </c>
      <c r="D125" s="6" t="str">
        <f>_xll.QS.CONTEXT.ADD.CURVE(C125,"SOFR",$K$2:$K$7,$L$2:$L$7,,,"Actual360","LogLinear",TRUE)</f>
        <v>QSObject:ContextInput:w1~input.qs_context_add_curve.2359132437744.124.3.0:39789</v>
      </c>
      <c r="E125" s="6" t="str">
        <f>_xll.QS.INSTRUMENT.SWAP("swap.123",H125,B125,"USD","SOFR",I125,J125,0,"Actual360","Simple","Annual","Annual","Annual")</f>
        <v>QSObject:Swap:w1~swap.123:21133</v>
      </c>
      <c r="F125" s="6" t="str">
        <f>_xll.QS.TRADE.CREATE("trade.123",E125,A125,"Receive")</f>
        <v>QSObject:SwapTrade:w1~trade.123:30936</v>
      </c>
      <c r="G125" s="3">
        <f>_xll.QS.EVALUATE(C125,F125)</f>
        <v>24695.449831214275</v>
      </c>
      <c r="H125" s="5" t="s">
        <v>291</v>
      </c>
      <c r="I125" s="7">
        <v>1012300</v>
      </c>
      <c r="J125" s="8">
        <v>3.73E-2</v>
      </c>
    </row>
    <row r="126" spans="1:10" x14ac:dyDescent="0.25">
      <c r="A126" s="5" t="s">
        <v>279</v>
      </c>
      <c r="B126" s="5" t="s">
        <v>292</v>
      </c>
      <c r="C126" s="6" t="str">
        <f>_xll.QS.CONTEXT.CREATE("market.124",A126,"USD","SOFR")</f>
        <v>QSObject:PricingContext:w1~market.124:21132</v>
      </c>
      <c r="D126" s="6" t="str">
        <f>_xll.QS.CONTEXT.ADD.CURVE(C126,"SOFR",$K$2:$K$7,$L$2:$L$7,,,"Actual360","LogLinear",TRUE)</f>
        <v>QSObject:ContextInput:w1~input.qs_context_add_curve.2359132437744.125.3.0:39788</v>
      </c>
      <c r="E126" s="6" t="str">
        <f>_xll.QS.INSTRUMENT.SWAP("swap.124",H126,B126,"USD","SOFR",I126,J126,0,"Actual360","Simple","Annual","Annual","Annual")</f>
        <v>QSObject:Swap:w1~swap.124:21131</v>
      </c>
      <c r="F126" s="6" t="str">
        <f>_xll.QS.TRADE.CREATE("trade.124",E126,A126,"Receive")</f>
        <v>QSObject:SwapTrade:w1~trade.124:30935</v>
      </c>
      <c r="G126" s="3">
        <f>_xll.QS.EVALUATE(C126,F126)</f>
        <v>25092.294486306557</v>
      </c>
      <c r="H126" s="5" t="s">
        <v>293</v>
      </c>
      <c r="I126" s="7">
        <v>1012400</v>
      </c>
      <c r="J126" s="8">
        <v>3.7400000000000003E-2</v>
      </c>
    </row>
    <row r="127" spans="1:10" x14ac:dyDescent="0.25">
      <c r="A127" s="5" t="s">
        <v>281</v>
      </c>
      <c r="B127" s="5" t="s">
        <v>294</v>
      </c>
      <c r="C127" s="6" t="str">
        <f>_xll.QS.CONTEXT.CREATE("market.125",A127,"USD","SOFR")</f>
        <v>QSObject:PricingContext:w1~market.125:21130</v>
      </c>
      <c r="D127" s="6" t="str">
        <f>_xll.QS.CONTEXT.ADD.CURVE(C127,"SOFR",$K$2:$K$7,$L$2:$L$7,,,"Actual360","LogLinear",TRUE)</f>
        <v>QSObject:ContextInput:w1~input.qs_context_add_curve.2359132437744.126.3.0:39787</v>
      </c>
      <c r="E127" s="6" t="str">
        <f>_xll.QS.INSTRUMENT.SWAP("swap.125",H127,B127,"USD","SOFR",I127,J127,0,"Actual360","Simple","Annual","Annual","Annual")</f>
        <v>QSObject:Swap:w1~swap.125:21129</v>
      </c>
      <c r="F127" s="6" t="str">
        <f>_xll.QS.TRADE.CREATE("trade.125",E127,A127,"Receive")</f>
        <v>QSObject:SwapTrade:w1~trade.125:30934</v>
      </c>
      <c r="G127" s="3">
        <f>_xll.QS.EVALUATE(C127,F127)</f>
        <v>25485.838933542527</v>
      </c>
      <c r="H127" s="5" t="s">
        <v>295</v>
      </c>
      <c r="I127" s="7">
        <v>1012500</v>
      </c>
      <c r="J127" s="8">
        <v>3.7500000000000012E-2</v>
      </c>
    </row>
    <row r="128" spans="1:10" x14ac:dyDescent="0.25">
      <c r="A128" s="5" t="s">
        <v>283</v>
      </c>
      <c r="B128" s="5" t="s">
        <v>296</v>
      </c>
      <c r="C128" s="6" t="str">
        <f>_xll.QS.CONTEXT.CREATE("market.126",A128,"USD","SOFR")</f>
        <v>QSObject:PricingContext:w1~market.126:21128</v>
      </c>
      <c r="D128" s="6" t="str">
        <f>_xll.QS.CONTEXT.ADD.CURVE(C128,"SOFR",$K$2:$K$7,$L$2:$L$7,,,"Actual360","LogLinear",TRUE)</f>
        <v>QSObject:ContextInput:w1~input.qs_context_add_curve.2359132437744.127.3.0:39786</v>
      </c>
      <c r="E128" s="6" t="str">
        <f>_xll.QS.INSTRUMENT.SWAP("swap.126",H128,B128,"USD","SOFR",I128,J128,0,"Actual360","Simple","Annual","Annual","Annual")</f>
        <v>QSObject:Swap:w1~swap.126:21127</v>
      </c>
      <c r="F128" s="6" t="str">
        <f>_xll.QS.TRADE.CREATE("trade.126",E128,A128,"Receive")</f>
        <v>QSObject:SwapTrade:w1~trade.126:30933</v>
      </c>
      <c r="G128" s="3">
        <f>_xll.QS.EVALUATE(C128,F128)</f>
        <v>25998.652591250564</v>
      </c>
      <c r="H128" s="5" t="s">
        <v>297</v>
      </c>
      <c r="I128" s="7">
        <v>1012600</v>
      </c>
      <c r="J128" s="8">
        <v>3.7600000000000001E-2</v>
      </c>
    </row>
    <row r="129" spans="1:10" x14ac:dyDescent="0.25">
      <c r="A129" s="5" t="s">
        <v>285</v>
      </c>
      <c r="B129" s="5" t="s">
        <v>298</v>
      </c>
      <c r="C129" s="6" t="str">
        <f>_xll.QS.CONTEXT.CREATE("market.127",A129,"USD","SOFR")</f>
        <v>QSObject:PricingContext:w1~market.127:21126</v>
      </c>
      <c r="D129" s="6" t="str">
        <f>_xll.QS.CONTEXT.ADD.CURVE(C129,"SOFR",$K$2:$K$7,$L$2:$L$7,,,"Actual360","LogLinear",TRUE)</f>
        <v>QSObject:ContextInput:w1~input.qs_context_add_curve.2359132437744.128.3.0:39785</v>
      </c>
      <c r="E129" s="6" t="str">
        <f>_xll.QS.INSTRUMENT.SWAP("swap.127",H129,B129,"USD","SOFR",I129,J129,0,"Actual360","Simple","Annual","Annual","Annual")</f>
        <v>QSObject:Swap:w1~swap.127:21125</v>
      </c>
      <c r="F129" s="6" t="str">
        <f>_xll.QS.TRADE.CREATE("trade.127",E129,A129,"Receive")</f>
        <v>QSObject:SwapTrade:w1~trade.127:30932</v>
      </c>
      <c r="G129" s="3">
        <f>_xll.QS.EVALUATE(C129,F129)</f>
        <v>26493.562074401721</v>
      </c>
      <c r="H129" s="5" t="s">
        <v>299</v>
      </c>
      <c r="I129" s="7">
        <v>1012700</v>
      </c>
      <c r="J129" s="8">
        <v>3.7699999999999997E-2</v>
      </c>
    </row>
    <row r="130" spans="1:10" x14ac:dyDescent="0.25">
      <c r="A130" s="5" t="s">
        <v>287</v>
      </c>
      <c r="B130" s="5" t="s">
        <v>300</v>
      </c>
      <c r="C130" s="6" t="str">
        <f>_xll.QS.CONTEXT.CREATE("market.128",A130,"USD","SOFR")</f>
        <v>QSObject:PricingContext:w1~market.128:21124</v>
      </c>
      <c r="D130" s="6" t="str">
        <f>_xll.QS.CONTEXT.ADD.CURVE(C130,"SOFR",$K$2:$K$7,$L$2:$L$7,,,"Actual360","LogLinear",TRUE)</f>
        <v>QSObject:ContextInput:w1~input.qs_context_add_curve.2359132437744.129.3.0:39784</v>
      </c>
      <c r="E130" s="6" t="str">
        <f>_xll.QS.INSTRUMENT.SWAP("swap.128",H130,B130,"USD","SOFR",I130,J130,0,"Actual360","Simple","Annual","Annual","Annual")</f>
        <v>QSObject:Swap:w1~swap.128:21123</v>
      </c>
      <c r="F130" s="6" t="str">
        <f>_xll.QS.TRADE.CREATE("trade.128",E130,A130,"Receive")</f>
        <v>QSObject:SwapTrade:w1~trade.128:30931</v>
      </c>
      <c r="G130" s="3">
        <f>_xll.QS.EVALUATE(C130,F130)</f>
        <v>27037.256714846266</v>
      </c>
      <c r="H130" s="5" t="s">
        <v>301</v>
      </c>
      <c r="I130" s="7">
        <v>1012800</v>
      </c>
      <c r="J130" s="8">
        <v>3.78E-2</v>
      </c>
    </row>
    <row r="131" spans="1:10" x14ac:dyDescent="0.25">
      <c r="A131" s="5" t="s">
        <v>289</v>
      </c>
      <c r="B131" s="5" t="s">
        <v>302</v>
      </c>
      <c r="C131" s="6" t="str">
        <f>_xll.QS.CONTEXT.CREATE("market.129",A131,"USD","SOFR")</f>
        <v>QSObject:PricingContext:w1~market.129:21122</v>
      </c>
      <c r="D131" s="6" t="str">
        <f>_xll.QS.CONTEXT.ADD.CURVE(C131,"SOFR",$K$2:$K$7,$L$2:$L$7,,,"Actual360","LogLinear",TRUE)</f>
        <v>QSObject:ContextInput:w1~input.qs_context_add_curve.2359132437744.130.3.0:39783</v>
      </c>
      <c r="E131" s="6" t="str">
        <f>_xll.QS.INSTRUMENT.SWAP("swap.129",H131,B131,"USD","SOFR",I131,J131,0,"Actual360","Simple","Annual","Annual","Annual")</f>
        <v>QSObject:Swap:w1~swap.129:21121</v>
      </c>
      <c r="F131" s="6" t="str">
        <f>_xll.QS.TRADE.CREATE("trade.129",E131,A131,"Receive")</f>
        <v>QSObject:SwapTrade:w1~trade.129:30930</v>
      </c>
      <c r="G131" s="3">
        <f>_xll.QS.EVALUATE(C131,F131)</f>
        <v>27551.098461948393</v>
      </c>
      <c r="H131" s="5" t="s">
        <v>303</v>
      </c>
      <c r="I131" s="7">
        <v>1012900</v>
      </c>
      <c r="J131" s="8">
        <v>3.7900000000000003E-2</v>
      </c>
    </row>
    <row r="132" spans="1:10" x14ac:dyDescent="0.25">
      <c r="A132" s="5" t="s">
        <v>291</v>
      </c>
      <c r="B132" s="5" t="s">
        <v>304</v>
      </c>
      <c r="C132" s="6" t="str">
        <f>_xll.QS.CONTEXT.CREATE("market.130",A132,"USD","SOFR")</f>
        <v>QSObject:PricingContext:w1~market.130:21120</v>
      </c>
      <c r="D132" s="6" t="str">
        <f>_xll.QS.CONTEXT.ADD.CURVE(C132,"SOFR",$K$2:$K$7,$L$2:$L$7,,,"Actual360","LogLinear",TRUE)</f>
        <v>QSObject:ContextInput:w1~input.qs_context_add_curve.2359132437744.131.3.0:39782</v>
      </c>
      <c r="E132" s="6" t="str">
        <f>_xll.QS.INSTRUMENT.SWAP("swap.130",H132,B132,"USD","SOFR",I132,J132,0,"Actual360","Simple","Annual","Annual","Annual")</f>
        <v>QSObject:Swap:w1~swap.130:21119</v>
      </c>
      <c r="F132" s="6" t="str">
        <f>_xll.QS.TRADE.CREATE("trade.130",E132,A132,"Receive")</f>
        <v>QSObject:SwapTrade:w1~trade.130:30929</v>
      </c>
      <c r="G132" s="3">
        <f>_xll.QS.EVALUATE(C132,F132)</f>
        <v>27982.467841461737</v>
      </c>
      <c r="H132" s="5" t="s">
        <v>305</v>
      </c>
      <c r="I132" s="7">
        <v>1013000</v>
      </c>
      <c r="J132" s="8">
        <v>3.8000000000000013E-2</v>
      </c>
    </row>
    <row r="133" spans="1:10" x14ac:dyDescent="0.25">
      <c r="A133" s="5" t="s">
        <v>293</v>
      </c>
      <c r="B133" s="5" t="s">
        <v>306</v>
      </c>
      <c r="C133" s="6" t="str">
        <f>_xll.QS.CONTEXT.CREATE("market.131",A133,"USD","SOFR")</f>
        <v>QSObject:PricingContext:w1~market.131:21118</v>
      </c>
      <c r="D133" s="6" t="str">
        <f>_xll.QS.CONTEXT.ADD.CURVE(C133,"SOFR",$K$2:$K$7,$L$2:$L$7,,,"Actual360","LogLinear",TRUE)</f>
        <v>QSObject:ContextInput:w1~input.qs_context_add_curve.2359132437744.132.3.0:39781</v>
      </c>
      <c r="E133" s="6" t="str">
        <f>_xll.QS.INSTRUMENT.SWAP("swap.131",H133,B133,"USD","SOFR",I133,J133,0,"Actual360","Simple","Annual","Annual","Annual")</f>
        <v>QSObject:Swap:w1~swap.131:21117</v>
      </c>
      <c r="F133" s="6" t="str">
        <f>_xll.QS.TRADE.CREATE("trade.131",E133,A133,"Receive")</f>
        <v>QSObject:SwapTrade:w1~trade.131:30928</v>
      </c>
      <c r="G133" s="3">
        <f>_xll.QS.EVALUATE(C133,F133)</f>
        <v>28376.054097084387</v>
      </c>
      <c r="H133" s="5" t="s">
        <v>307</v>
      </c>
      <c r="I133" s="7">
        <v>1013100</v>
      </c>
      <c r="J133" s="8">
        <v>3.8100000000000002E-2</v>
      </c>
    </row>
    <row r="134" spans="1:10" x14ac:dyDescent="0.25">
      <c r="A134" s="5" t="s">
        <v>295</v>
      </c>
      <c r="B134" s="5" t="s">
        <v>308</v>
      </c>
      <c r="C134" s="6" t="str">
        <f>_xll.QS.CONTEXT.CREATE("market.132",A134,"USD","SOFR")</f>
        <v>QSObject:PricingContext:w1~market.132:21116</v>
      </c>
      <c r="D134" s="6" t="str">
        <f>_xll.QS.CONTEXT.ADD.CURVE(C134,"SOFR",$K$2:$K$7,$L$2:$L$7,,,"Actual360","LogLinear",TRUE)</f>
        <v>QSObject:ContextInput:w1~input.qs_context_add_curve.2359132437744.133.3.0:39780</v>
      </c>
      <c r="E134" s="6" t="str">
        <f>_xll.QS.INSTRUMENT.SWAP("swap.132",H134,B134,"USD","SOFR",I134,J134,0,"Actual360","Simple","Annual","Annual","Annual")</f>
        <v>QSObject:Swap:w1~swap.132:21115</v>
      </c>
      <c r="F134" s="6" t="str">
        <f>_xll.QS.TRADE.CREATE("trade.132",E134,A134,"Receive")</f>
        <v>QSObject:SwapTrade:w1~trade.132:30927</v>
      </c>
      <c r="G134" s="3">
        <f>_xll.QS.EVALUATE(C134,F134)</f>
        <v>28775.261642412526</v>
      </c>
      <c r="H134" s="5" t="s">
        <v>309</v>
      </c>
      <c r="I134" s="7">
        <v>1013200</v>
      </c>
      <c r="J134" s="8">
        <v>3.8199999999999998E-2</v>
      </c>
    </row>
    <row r="135" spans="1:10" x14ac:dyDescent="0.25">
      <c r="A135" s="5" t="s">
        <v>297</v>
      </c>
      <c r="B135" s="5" t="s">
        <v>310</v>
      </c>
      <c r="C135" s="6" t="str">
        <f>_xll.QS.CONTEXT.CREATE("market.133",A135,"USD","SOFR")</f>
        <v>QSObject:PricingContext:w1~market.133:21114</v>
      </c>
      <c r="D135" s="6" t="str">
        <f>_xll.QS.CONTEXT.ADD.CURVE(C135,"SOFR",$K$2:$K$7,$L$2:$L$7,,,"Actual360","LogLinear",TRUE)</f>
        <v>QSObject:ContextInput:w1~input.qs_context_add_curve.2359132437744.134.3.0:39779</v>
      </c>
      <c r="E135" s="6" t="str">
        <f>_xll.QS.INSTRUMENT.SWAP("swap.133",H135,B135,"USD","SOFR",I135,J135,0,"Actual360","Simple","Annual","Annual","Annual")</f>
        <v>QSObject:Swap:w1~swap.133:21113</v>
      </c>
      <c r="F135" s="6" t="str">
        <f>_xll.QS.TRADE.CREATE("trade.133",E135,A135,"Receive")</f>
        <v>QSObject:SwapTrade:w1~trade.133:30926</v>
      </c>
      <c r="G135" s="3">
        <f>_xll.QS.EVALUATE(C135,F135)</f>
        <v>29289.079333114441</v>
      </c>
      <c r="H135" s="5" t="s">
        <v>311</v>
      </c>
      <c r="I135" s="7">
        <v>1013300</v>
      </c>
      <c r="J135" s="8">
        <v>3.8300000000000001E-2</v>
      </c>
    </row>
    <row r="136" spans="1:10" x14ac:dyDescent="0.25">
      <c r="A136" s="5" t="s">
        <v>299</v>
      </c>
      <c r="B136" s="5" t="s">
        <v>312</v>
      </c>
      <c r="C136" s="6" t="str">
        <f>_xll.QS.CONTEXT.CREATE("market.134",A136,"USD","SOFR")</f>
        <v>QSObject:PricingContext:w1~market.134:21112</v>
      </c>
      <c r="D136" s="6" t="str">
        <f>_xll.QS.CONTEXT.ADD.CURVE(C136,"SOFR",$K$2:$K$7,$L$2:$L$7,,,"Actual360","LogLinear",TRUE)</f>
        <v>QSObject:ContextInput:w1~input.qs_context_add_curve.2359132437744.135.3.0:39778</v>
      </c>
      <c r="E136" s="6" t="str">
        <f>_xll.QS.INSTRUMENT.SWAP("swap.134",H136,B136,"USD","SOFR",I136,J136,0,"Actual360","Simple","Annual","Annual","Annual")</f>
        <v>QSObject:Swap:w1~swap.134:21111</v>
      </c>
      <c r="F136" s="6" t="str">
        <f>_xll.QS.TRADE.CREATE("trade.134",E136,A136,"Receive")</f>
        <v>QSObject:SwapTrade:w1~trade.134:30925</v>
      </c>
      <c r="G136" s="3">
        <f>_xll.QS.EVALUATE(C136,F136)</f>
        <v>29783.049742554209</v>
      </c>
      <c r="H136" s="5" t="s">
        <v>313</v>
      </c>
      <c r="I136" s="7">
        <v>1013400</v>
      </c>
      <c r="J136" s="8">
        <v>3.8399999999999997E-2</v>
      </c>
    </row>
    <row r="137" spans="1:10" x14ac:dyDescent="0.25">
      <c r="A137" s="5" t="s">
        <v>301</v>
      </c>
      <c r="B137" s="5" t="s">
        <v>314</v>
      </c>
      <c r="C137" s="6" t="str">
        <f>_xll.QS.CONTEXT.CREATE("market.135",A137,"USD","SOFR")</f>
        <v>QSObject:PricingContext:w1~market.135:21110</v>
      </c>
      <c r="D137" s="6" t="str">
        <f>_xll.QS.CONTEXT.ADD.CURVE(C137,"SOFR",$K$2:$K$7,$L$2:$L$7,,,"Actual360","LogLinear",TRUE)</f>
        <v>QSObject:ContextInput:w1~input.qs_context_add_curve.2359132437744.136.3.0:39777</v>
      </c>
      <c r="E137" s="6" t="str">
        <f>_xll.QS.INSTRUMENT.SWAP("swap.135",H137,B137,"USD","SOFR",I137,J137,0,"Actual360","Simple","Annual","Annual","Annual")</f>
        <v>QSObject:Swap:w1~swap.135:21109</v>
      </c>
      <c r="F137" s="6" t="str">
        <f>_xll.QS.TRADE.CREATE("trade.135",E137,A137,"Receive")</f>
        <v>QSObject:SwapTrade:w1~trade.135:30924</v>
      </c>
      <c r="G137" s="3">
        <f>_xll.QS.EVALUATE(C137,F137)</f>
        <v>30327.394991630419</v>
      </c>
      <c r="H137" s="5" t="s">
        <v>315</v>
      </c>
      <c r="I137" s="7">
        <v>1013500</v>
      </c>
      <c r="J137" s="8">
        <v>3.8500000000000013E-2</v>
      </c>
    </row>
    <row r="138" spans="1:10" x14ac:dyDescent="0.25">
      <c r="A138" s="5" t="s">
        <v>303</v>
      </c>
      <c r="B138" s="5" t="s">
        <v>316</v>
      </c>
      <c r="C138" s="6" t="str">
        <f>_xll.QS.CONTEXT.CREATE("market.136",A138,"USD","SOFR")</f>
        <v>QSObject:PricingContext:w1~market.136:21108</v>
      </c>
      <c r="D138" s="6" t="str">
        <f>_xll.QS.CONTEXT.ADD.CURVE(C138,"SOFR",$K$2:$K$7,$L$2:$L$7,,,"Actual360","LogLinear",TRUE)</f>
        <v>QSObject:ContextInput:w1~input.qs_context_add_curve.2359132437744.137.3.0:39776</v>
      </c>
      <c r="E138" s="6" t="str">
        <f>_xll.QS.INSTRUMENT.SWAP("swap.136",H138,B138,"USD","SOFR",I138,J138,0,"Actual360","Simple","Annual","Annual","Annual")</f>
        <v>QSObject:Swap:w1~swap.136:21107</v>
      </c>
      <c r="F138" s="6" t="str">
        <f>_xll.QS.TRADE.CREATE("trade.136",E138,A138,"Receive")</f>
        <v>QSObject:SwapTrade:w1~trade.136:30923</v>
      </c>
      <c r="G138" s="3">
        <f>_xll.QS.EVALUATE(C138,F138)</f>
        <v>30841.748112909878</v>
      </c>
      <c r="H138" s="5" t="s">
        <v>317</v>
      </c>
      <c r="I138" s="7">
        <v>1013600</v>
      </c>
      <c r="J138" s="8">
        <v>3.8600000000000002E-2</v>
      </c>
    </row>
    <row r="139" spans="1:10" x14ac:dyDescent="0.25">
      <c r="A139" s="5" t="s">
        <v>305</v>
      </c>
      <c r="B139" s="5" t="s">
        <v>318</v>
      </c>
      <c r="C139" s="6" t="str">
        <f>_xll.QS.CONTEXT.CREATE("market.137",A139,"USD","SOFR")</f>
        <v>QSObject:PricingContext:w1~market.137:21106</v>
      </c>
      <c r="D139" s="6" t="str">
        <f>_xll.QS.CONTEXT.ADD.CURVE(C139,"SOFR",$K$2:$K$7,$L$2:$L$7,,,"Actual360","LogLinear",TRUE)</f>
        <v>QSObject:ContextInput:w1~input.qs_context_add_curve.2359132437744.138.3.0:39775</v>
      </c>
      <c r="E139" s="6" t="str">
        <f>_xll.QS.INSTRUMENT.SWAP("swap.137",H139,B139,"USD","SOFR",I139,J139,0,"Actual360","Simple","Annual","Annual","Annual")</f>
        <v>QSObject:Swap:w1~swap.137:21105</v>
      </c>
      <c r="F139" s="6" t="str">
        <f>_xll.QS.TRADE.CREATE("trade.137",E139,A139,"Receive")</f>
        <v>QSObject:SwapTrade:w1~trade.137:30922</v>
      </c>
      <c r="G139" s="3">
        <f>_xll.QS.EVALUATE(C139,F139)</f>
        <v>31273.660273525147</v>
      </c>
      <c r="H139" s="5" t="s">
        <v>319</v>
      </c>
      <c r="I139" s="7">
        <v>1013700</v>
      </c>
      <c r="J139" s="8">
        <v>3.8700000000000012E-2</v>
      </c>
    </row>
    <row r="140" spans="1:10" x14ac:dyDescent="0.25">
      <c r="A140" s="5" t="s">
        <v>307</v>
      </c>
      <c r="B140" s="5" t="s">
        <v>320</v>
      </c>
      <c r="C140" s="6" t="str">
        <f>_xll.QS.CONTEXT.CREATE("market.138",A140,"USD","SOFR")</f>
        <v>QSObject:PricingContext:w1~market.138:21104</v>
      </c>
      <c r="D140" s="6" t="str">
        <f>_xll.QS.CONTEXT.ADD.CURVE(C140,"SOFR",$K$2:$K$7,$L$2:$L$7,,,"Actual360","LogLinear",TRUE)</f>
        <v>QSObject:ContextInput:w1~input.qs_context_add_curve.2359132437744.139.3.0:39774</v>
      </c>
      <c r="E140" s="6" t="str">
        <f>_xll.QS.INSTRUMENT.SWAP("swap.138",H140,B140,"USD","SOFR",I140,J140,0,"Actual360","Simple","Annual","Annual","Annual")</f>
        <v>QSObject:Swap:w1~swap.138:21103</v>
      </c>
      <c r="F140" s="6" t="str">
        <f>_xll.QS.TRADE.CREATE("trade.138",E140,A140,"Receive")</f>
        <v>QSObject:SwapTrade:w1~trade.138:30921</v>
      </c>
      <c r="G140" s="3">
        <f>_xll.QS.EVALUATE(C140,F140)</f>
        <v>31644.200085180004</v>
      </c>
      <c r="H140" s="5" t="s">
        <v>321</v>
      </c>
      <c r="I140" s="7">
        <v>1013800</v>
      </c>
      <c r="J140" s="8">
        <v>3.8800000000000001E-2</v>
      </c>
    </row>
    <row r="141" spans="1:10" x14ac:dyDescent="0.25">
      <c r="A141" s="5" t="s">
        <v>309</v>
      </c>
      <c r="B141" s="5" t="s">
        <v>322</v>
      </c>
      <c r="C141" s="6" t="str">
        <f>_xll.QS.CONTEXT.CREATE("market.139",A141,"USD","SOFR")</f>
        <v>QSObject:PricingContext:w1~market.139:21102</v>
      </c>
      <c r="D141" s="6" t="str">
        <f>_xll.QS.CONTEXT.ADD.CURVE(C141,"SOFR",$K$2:$K$7,$L$2:$L$7,,,"Actual360","LogLinear",TRUE)</f>
        <v>QSObject:ContextInput:w1~input.qs_context_add_curve.2359132437744.140.3.0:39773</v>
      </c>
      <c r="E141" s="6" t="str">
        <f>_xll.QS.INSTRUMENT.SWAP("swap.139",H141,B141,"USD","SOFR",I141,J141,0,"Actual360","Simple","Annual","Annual","Annual")</f>
        <v>QSObject:Swap:w1~swap.139:21101</v>
      </c>
      <c r="F141" s="6" t="str">
        <f>_xll.QS.TRADE.CREATE("trade.139",E141,A141,"Receive")</f>
        <v>QSObject:SwapTrade:w1~trade.139:30920</v>
      </c>
      <c r="G141" s="3">
        <f>_xll.QS.EVALUATE(C141,F141)</f>
        <v>32026.077701737522</v>
      </c>
      <c r="H141" s="5" t="s">
        <v>323</v>
      </c>
      <c r="I141" s="7">
        <v>1013900</v>
      </c>
      <c r="J141" s="8">
        <v>3.8899999999999997E-2</v>
      </c>
    </row>
    <row r="142" spans="1:10" x14ac:dyDescent="0.25">
      <c r="A142" s="5" t="s">
        <v>311</v>
      </c>
      <c r="B142" s="5" t="s">
        <v>324</v>
      </c>
      <c r="C142" s="6" t="str">
        <f>_xll.QS.CONTEXT.CREATE("market.140",A142,"USD","SOFR")</f>
        <v>QSObject:PricingContext:w1~market.140:21100</v>
      </c>
      <c r="D142" s="6" t="str">
        <f>_xll.QS.CONTEXT.ADD.CURVE(C142,"SOFR",$K$2:$K$7,$L$2:$L$7,,,"Actual360","LogLinear",TRUE)</f>
        <v>QSObject:ContextInput:w1~input.qs_context_add_curve.2359132437744.141.3.0:39772</v>
      </c>
      <c r="E142" s="6" t="str">
        <f>_xll.QS.INSTRUMENT.SWAP("swap.140",H142,B142,"USD","SOFR",I142,J142,0,"Actual360","Simple","Annual","Annual","Annual")</f>
        <v>QSObject:Swap:w1~swap.140:21099</v>
      </c>
      <c r="F142" s="6" t="str">
        <f>_xll.QS.TRADE.CREATE("trade.140",E142,A142,"Receive")</f>
        <v>QSObject:SwapTrade:w1~trade.140:30919</v>
      </c>
      <c r="G142" s="3">
        <f>_xll.QS.EVALUATE(C142,F142)</f>
        <v>32541.477636858628</v>
      </c>
      <c r="H142" s="5" t="s">
        <v>325</v>
      </c>
      <c r="I142" s="7">
        <v>1014000</v>
      </c>
      <c r="J142" s="8">
        <v>3.9000000000000007E-2</v>
      </c>
    </row>
    <row r="143" spans="1:10" x14ac:dyDescent="0.25">
      <c r="A143" s="5" t="s">
        <v>313</v>
      </c>
      <c r="B143" s="5" t="s">
        <v>326</v>
      </c>
      <c r="C143" s="6" t="str">
        <f>_xll.QS.CONTEXT.CREATE("market.141",A143,"USD","SOFR")</f>
        <v>QSObject:PricingContext:w1~market.141:21098</v>
      </c>
      <c r="D143" s="6" t="str">
        <f>_xll.QS.CONTEXT.ADD.CURVE(C143,"SOFR",$K$2:$K$7,$L$2:$L$7,,,"Actual360","LogLinear",TRUE)</f>
        <v>QSObject:ContextInput:w1~input.qs_context_add_curve.2359132437744.142.3.0:39771</v>
      </c>
      <c r="E143" s="6" t="str">
        <f>_xll.QS.INSTRUMENT.SWAP("swap.141",H143,B143,"USD","SOFR",I143,J143,0,"Actual360","Simple","Annual","Annual","Annual")</f>
        <v>QSObject:Swap:w1~swap.141:21097</v>
      </c>
      <c r="F143" s="6" t="str">
        <f>_xll.QS.TRADE.CREATE("trade.141",E143,A143,"Receive")</f>
        <v>QSObject:SwapTrade:w1~trade.141:30918</v>
      </c>
      <c r="G143" s="3">
        <f>_xll.QS.EVALUATE(C143,F143)</f>
        <v>33055.397474541234</v>
      </c>
      <c r="H143" s="5" t="s">
        <v>327</v>
      </c>
      <c r="I143" s="7">
        <v>1014100</v>
      </c>
      <c r="J143" s="8">
        <v>3.9100000000000003E-2</v>
      </c>
    </row>
    <row r="144" spans="1:10" x14ac:dyDescent="0.25">
      <c r="A144" s="5" t="s">
        <v>315</v>
      </c>
      <c r="B144" s="5" t="s">
        <v>328</v>
      </c>
      <c r="C144" s="6" t="str">
        <f>_xll.QS.CONTEXT.CREATE("market.142",A144,"USD","SOFR")</f>
        <v>QSObject:PricingContext:w1~market.142:21096</v>
      </c>
      <c r="D144" s="6" t="str">
        <f>_xll.QS.CONTEXT.ADD.CURVE(C144,"SOFR",$K$2:$K$7,$L$2:$L$7,,,"Actual360","LogLinear",TRUE)</f>
        <v>QSObject:ContextInput:w1~input.qs_context_add_curve.2359132437744.143.3.0:39770</v>
      </c>
      <c r="E144" s="6" t="str">
        <f>_xll.QS.INSTRUMENT.SWAP("swap.142",H144,B144,"USD","SOFR",I144,J144,0,"Actual360","Simple","Annual","Annual","Annual")</f>
        <v>QSObject:Swap:w1~swap.142:21095</v>
      </c>
      <c r="F144" s="6" t="str">
        <f>_xll.QS.TRADE.CREATE("trade.142",E144,A144,"Receive")</f>
        <v>QSObject:SwapTrade:w1~trade.142:30917</v>
      </c>
      <c r="G144" s="3">
        <f>_xll.QS.EVALUATE(C144,F144)</f>
        <v>33660.122055831598</v>
      </c>
      <c r="H144" s="5" t="s">
        <v>329</v>
      </c>
      <c r="I144" s="7">
        <v>1014200</v>
      </c>
      <c r="J144" s="8">
        <v>3.9200000000000013E-2</v>
      </c>
    </row>
    <row r="145" spans="1:10" x14ac:dyDescent="0.25">
      <c r="A145" s="5" t="s">
        <v>317</v>
      </c>
      <c r="B145" s="5" t="s">
        <v>330</v>
      </c>
      <c r="C145" s="6" t="str">
        <f>_xll.QS.CONTEXT.CREATE("market.143",A145,"USD","SOFR")</f>
        <v>QSObject:PricingContext:w1~market.143:21094</v>
      </c>
      <c r="D145" s="6" t="str">
        <f>_xll.QS.CONTEXT.ADD.CURVE(C145,"SOFR",$K$2:$K$7,$L$2:$L$7,,,"Actual360","LogLinear",TRUE)</f>
        <v>QSObject:ContextInput:w1~input.qs_context_add_curve.2359132437744.144.3.0:39769</v>
      </c>
      <c r="E145" s="6" t="str">
        <f>_xll.QS.INSTRUMENT.SWAP("swap.143",H145,B145,"USD","SOFR",I145,J145,0,"Actual360","Simple","Annual","Annual","Annual")</f>
        <v>QSObject:Swap:w1~swap.143:21093</v>
      </c>
      <c r="F145" s="6" t="str">
        <f>_xll.QS.TRADE.CREATE("trade.143",E145,A145,"Receive")</f>
        <v>QSObject:SwapTrade:w1~trade.143:30916</v>
      </c>
      <c r="G145" s="3">
        <f>_xll.QS.EVALUATE(C145,F145)</f>
        <v>34141.113236924168</v>
      </c>
      <c r="H145" s="5" t="s">
        <v>331</v>
      </c>
      <c r="I145" s="7">
        <v>1014300</v>
      </c>
      <c r="J145" s="8">
        <v>3.9300000000000002E-2</v>
      </c>
    </row>
    <row r="146" spans="1:10" x14ac:dyDescent="0.25">
      <c r="A146" s="5" t="s">
        <v>319</v>
      </c>
      <c r="B146" s="5" t="s">
        <v>332</v>
      </c>
      <c r="C146" s="6" t="str">
        <f>_xll.QS.CONTEXT.CREATE("market.144",A146,"USD","SOFR")</f>
        <v>QSObject:PricingContext:w1~market.144:21092</v>
      </c>
      <c r="D146" s="6" t="str">
        <f>_xll.QS.CONTEXT.ADD.CURVE(C146,"SOFR",$K$2:$K$7,$L$2:$L$7,,,"Actual360","LogLinear",TRUE)</f>
        <v>QSObject:ContextInput:w1~input.qs_context_add_curve.2359132437744.145.3.0:39768</v>
      </c>
      <c r="E146" s="6" t="str">
        <f>_xll.QS.INSTRUMENT.SWAP("swap.144",H146,B146,"USD","SOFR",I146,J146,0,"Actual360","Simple","Annual","Annual","Annual")</f>
        <v>QSObject:Swap:w1~swap.144:21091</v>
      </c>
      <c r="F146" s="6" t="str">
        <f>_xll.QS.TRADE.CREATE("trade.144",E146,A146,"Receive")</f>
        <v>QSObject:SwapTrade:w1~trade.144:30915</v>
      </c>
      <c r="G146" s="3">
        <f>_xll.QS.EVALUATE(C146,F146)</f>
        <v>34610.814032394032</v>
      </c>
      <c r="H146" s="5" t="s">
        <v>333</v>
      </c>
      <c r="I146" s="7">
        <v>1014400</v>
      </c>
      <c r="J146" s="8">
        <v>3.9399999999999998E-2</v>
      </c>
    </row>
    <row r="147" spans="1:10" x14ac:dyDescent="0.25">
      <c r="A147" s="5" t="s">
        <v>321</v>
      </c>
      <c r="B147" s="5" t="s">
        <v>334</v>
      </c>
      <c r="C147" s="6" t="str">
        <f>_xll.QS.CONTEXT.CREATE("market.145",A147,"USD","SOFR")</f>
        <v>QSObject:PricingContext:w1~market.145:21090</v>
      </c>
      <c r="D147" s="6" t="str">
        <f>_xll.QS.CONTEXT.ADD.CURVE(C147,"SOFR",$K$2:$K$7,$L$2:$L$7,,,"Actual360","LogLinear",TRUE)</f>
        <v>QSObject:ContextInput:w1~input.qs_context_add_curve.2359132437744.146.3.0:39767</v>
      </c>
      <c r="E147" s="6" t="str">
        <f>_xll.QS.INSTRUMENT.SWAP("swap.145",H147,B147,"USD","SOFR",I147,J147,0,"Actual360","Simple","Annual","Annual","Annual")</f>
        <v>QSObject:Swap:w1~swap.145:21089</v>
      </c>
      <c r="F147" s="6" t="str">
        <f>_xll.QS.TRADE.CREATE("trade.145",E147,A147,"Receive")</f>
        <v>QSObject:SwapTrade:w1~trade.145:30914</v>
      </c>
      <c r="G147" s="3">
        <f>_xll.QS.EVALUATE(C147,F147)</f>
        <v>34997.868039878056</v>
      </c>
      <c r="H147" s="5" t="s">
        <v>335</v>
      </c>
      <c r="I147" s="7">
        <v>1014500</v>
      </c>
      <c r="J147" s="8">
        <v>3.9500000000000007E-2</v>
      </c>
    </row>
    <row r="148" spans="1:10" x14ac:dyDescent="0.25">
      <c r="A148" s="5" t="s">
        <v>323</v>
      </c>
      <c r="B148" s="5" t="s">
        <v>336</v>
      </c>
      <c r="C148" s="6" t="str">
        <f>_xll.QS.CONTEXT.CREATE("market.146",A148,"USD","SOFR")</f>
        <v>QSObject:PricingContext:w1~market.146:21088</v>
      </c>
      <c r="D148" s="6" t="str">
        <f>_xll.QS.CONTEXT.ADD.CURVE(C148,"SOFR",$K$2:$K$7,$L$2:$L$7,,,"Actual360","LogLinear",TRUE)</f>
        <v>QSObject:ContextInput:w1~input.qs_context_add_curve.2359132437744.147.3.0:39766</v>
      </c>
      <c r="E148" s="6" t="str">
        <f>_xll.QS.INSTRUMENT.SWAP("swap.146",H148,B148,"USD","SOFR",I148,J148,0,"Actual360","Simple","Annual","Annual","Annual")</f>
        <v>QSObject:Swap:w1~swap.146:21087</v>
      </c>
      <c r="F148" s="6" t="str">
        <f>_xll.QS.TRADE.CREATE("trade.146",E148,A148,"Receive")</f>
        <v>QSObject:SwapTrade:w1~trade.146:30913</v>
      </c>
      <c r="G148" s="3">
        <f>_xll.QS.EVALUATE(C148,F148)</f>
        <v>35408.42611433912</v>
      </c>
      <c r="H148" s="5" t="s">
        <v>337</v>
      </c>
      <c r="I148" s="7">
        <v>1014600</v>
      </c>
      <c r="J148" s="8">
        <v>3.9600000000000003E-2</v>
      </c>
    </row>
    <row r="149" spans="1:10" x14ac:dyDescent="0.25">
      <c r="A149" s="5" t="s">
        <v>325</v>
      </c>
      <c r="B149" s="5" t="s">
        <v>338</v>
      </c>
      <c r="C149" s="6" t="str">
        <f>_xll.QS.CONTEXT.CREATE("market.147",A149,"USD","SOFR")</f>
        <v>QSObject:PricingContext:w1~market.147:21086</v>
      </c>
      <c r="D149" s="6" t="str">
        <f>_xll.QS.CONTEXT.ADD.CURVE(C149,"SOFR",$K$2:$K$7,$L$2:$L$7,,,"Actual360","LogLinear",TRUE)</f>
        <v>QSObject:ContextInput:w1~input.qs_context_add_curve.2359132437744.148.3.0:39765</v>
      </c>
      <c r="E149" s="6" t="str">
        <f>_xll.QS.INSTRUMENT.SWAP("swap.147",H149,B149,"USD","SOFR",I149,J149,0,"Actual360","Simple","Annual","Annual","Annual")</f>
        <v>QSObject:Swap:w1~swap.147:21085</v>
      </c>
      <c r="F149" s="6" t="str">
        <f>_xll.QS.TRADE.CREATE("trade.147",E149,A149,"Receive")</f>
        <v>QSObject:SwapTrade:w1~trade.147:30912</v>
      </c>
      <c r="G149" s="3">
        <f>_xll.QS.EVALUATE(C149,F149)</f>
        <v>35882.793103772994</v>
      </c>
      <c r="H149" s="5" t="s">
        <v>339</v>
      </c>
      <c r="I149" s="7">
        <v>1014700</v>
      </c>
      <c r="J149" s="8">
        <v>3.9700000000000013E-2</v>
      </c>
    </row>
    <row r="150" spans="1:10" x14ac:dyDescent="0.25">
      <c r="A150" s="5" t="s">
        <v>327</v>
      </c>
      <c r="B150" s="5" t="s">
        <v>340</v>
      </c>
      <c r="C150" s="6" t="str">
        <f>_xll.QS.CONTEXT.CREATE("market.148",A150,"USD","SOFR")</f>
        <v>QSObject:PricingContext:w1~market.148:21084</v>
      </c>
      <c r="D150" s="6" t="str">
        <f>_xll.QS.CONTEXT.ADD.CURVE(C150,"SOFR",$K$2:$K$7,$L$2:$L$7,,,"Actual360","LogLinear",TRUE)</f>
        <v>QSObject:ContextInput:w1~input.qs_context_add_curve.2359132437744.149.3.0:39764</v>
      </c>
      <c r="E150" s="6" t="str">
        <f>_xll.QS.INSTRUMENT.SWAP("swap.148",H150,B150,"USD","SOFR",I150,J150,0,"Actual360","Simple","Annual","Annual","Annual")</f>
        <v>QSObject:Swap:w1~swap.148:21083</v>
      </c>
      <c r="F150" s="6" t="str">
        <f>_xll.QS.TRADE.CREATE("trade.148",E150,A150,"Receive")</f>
        <v>QSObject:SwapTrade:w1~trade.148:30911</v>
      </c>
      <c r="G150" s="3">
        <f>_xll.QS.EVALUATE(C150,F150)</f>
        <v>36374.855761950545</v>
      </c>
      <c r="H150" s="5" t="s">
        <v>341</v>
      </c>
      <c r="I150" s="7">
        <v>1014800</v>
      </c>
      <c r="J150" s="8">
        <v>3.9800000000000002E-2</v>
      </c>
    </row>
    <row r="151" spans="1:10" x14ac:dyDescent="0.25">
      <c r="A151" s="5" t="s">
        <v>329</v>
      </c>
      <c r="B151" s="5" t="s">
        <v>342</v>
      </c>
      <c r="C151" s="6" t="str">
        <f>_xll.QS.CONTEXT.CREATE("market.149",A151,"USD","SOFR")</f>
        <v>QSObject:PricingContext:w1~market.149:21082</v>
      </c>
      <c r="D151" s="6" t="str">
        <f>_xll.QS.CONTEXT.ADD.CURVE(C151,"SOFR",$K$2:$K$7,$L$2:$L$7,,,"Actual360","LogLinear",TRUE)</f>
        <v>QSObject:ContextInput:w1~input.qs_context_add_curve.2359132437744.150.3.0:39763</v>
      </c>
      <c r="E151" s="6" t="str">
        <f>_xll.QS.INSTRUMENT.SWAP("swap.149",H151,B151,"USD","SOFR",I151,J151,0,"Actual360","Simple","Annual","Annual","Annual")</f>
        <v>QSObject:Swap:w1~swap.149:21081</v>
      </c>
      <c r="F151" s="6" t="str">
        <f>_xll.QS.TRADE.CREATE("trade.149",E151,A151,"Receive")</f>
        <v>QSObject:SwapTrade:w1~trade.149:30910</v>
      </c>
      <c r="G151" s="3">
        <f>_xll.QS.EVALUATE(C151,F151)</f>
        <v>36921.514739257102</v>
      </c>
      <c r="H151" s="5" t="s">
        <v>343</v>
      </c>
      <c r="I151" s="7">
        <v>1014900</v>
      </c>
      <c r="J151" s="8">
        <v>3.9899999999999998E-2</v>
      </c>
    </row>
    <row r="152" spans="1:10" x14ac:dyDescent="0.25">
      <c r="A152" s="5" t="s">
        <v>331</v>
      </c>
      <c r="B152" s="5" t="s">
        <v>344</v>
      </c>
      <c r="C152" s="6" t="str">
        <f>_xll.QS.CONTEXT.CREATE("market.150",A152,"USD","SOFR")</f>
        <v>QSObject:PricingContext:w1~market.150:21080</v>
      </c>
      <c r="D152" s="6" t="str">
        <f>_xll.QS.CONTEXT.ADD.CURVE(C152,"SOFR",$K$2:$K$7,$L$2:$L$7,,,"Actual360","LogLinear",TRUE)</f>
        <v>QSObject:ContextInput:w1~input.qs_context_add_curve.2359132437744.151.3.0:39762</v>
      </c>
      <c r="E152" s="6" t="str">
        <f>_xll.QS.INSTRUMENT.SWAP("swap.150",H152,B152,"USD","SOFR",I152,J152,0,"Actual360","Simple","Annual","Annual","Annual")</f>
        <v>QSObject:Swap:w1~swap.150:21079</v>
      </c>
      <c r="F152" s="6" t="str">
        <f>_xll.QS.TRADE.CREATE("trade.150",E152,A152,"Receive")</f>
        <v>QSObject:SwapTrade:w1~trade.150:30909</v>
      </c>
      <c r="G152" s="3">
        <f>_xll.QS.EVALUATE(C152,F152)</f>
        <v>14034.46397131851</v>
      </c>
      <c r="H152" s="5" t="s">
        <v>345</v>
      </c>
      <c r="I152" s="7">
        <v>1015000</v>
      </c>
      <c r="J152" s="8">
        <v>3.5000000000000003E-2</v>
      </c>
    </row>
    <row r="153" spans="1:10" x14ac:dyDescent="0.25">
      <c r="A153" s="5" t="s">
        <v>333</v>
      </c>
      <c r="B153" s="5" t="s">
        <v>346</v>
      </c>
      <c r="C153" s="6" t="str">
        <f>_xll.QS.CONTEXT.CREATE("market.151",A153,"USD","SOFR")</f>
        <v>QSObject:PricingContext:w1~market.151:21078</v>
      </c>
      <c r="D153" s="6" t="str">
        <f>_xll.QS.CONTEXT.ADD.CURVE(C153,"SOFR",$K$2:$K$7,$L$2:$L$7,,,"Actual360","LogLinear",TRUE)</f>
        <v>QSObject:ContextInput:w1~input.qs_context_add_curve.2359132437744.152.3.0:39761</v>
      </c>
      <c r="E153" s="6" t="str">
        <f>_xll.QS.INSTRUMENT.SWAP("swap.151",H153,B153,"USD","SOFR",I153,J153,0,"Actual360","Simple","Annual","Annual","Annual")</f>
        <v>QSObject:Swap:w1~swap.151:21077</v>
      </c>
      <c r="F153" s="6" t="str">
        <f>_xll.QS.TRADE.CREATE("trade.151",E153,A153,"Receive")</f>
        <v>QSObject:SwapTrade:w1~trade.151:30908</v>
      </c>
      <c r="G153" s="3">
        <f>_xll.QS.EVALUATE(C153,F153)</f>
        <v>14465.494080180437</v>
      </c>
      <c r="H153" s="5" t="s">
        <v>347</v>
      </c>
      <c r="I153" s="7">
        <v>1015100</v>
      </c>
      <c r="J153" s="8">
        <v>3.5100000000000013E-2</v>
      </c>
    </row>
    <row r="154" spans="1:10" x14ac:dyDescent="0.25">
      <c r="A154" s="5" t="s">
        <v>335</v>
      </c>
      <c r="B154" s="5" t="s">
        <v>348</v>
      </c>
      <c r="C154" s="6" t="str">
        <f>_xll.QS.CONTEXT.CREATE("market.152",A154,"USD","SOFR")</f>
        <v>QSObject:PricingContext:w1~market.152:21076</v>
      </c>
      <c r="D154" s="6" t="str">
        <f>_xll.QS.CONTEXT.ADD.CURVE(C154,"SOFR",$K$2:$K$7,$L$2:$L$7,,,"Actual360","LogLinear",TRUE)</f>
        <v>QSObject:ContextInput:w1~input.qs_context_add_curve.2359132437744.153.3.0:39760</v>
      </c>
      <c r="E154" s="6" t="str">
        <f>_xll.QS.INSTRUMENT.SWAP("swap.152",H154,B154,"USD","SOFR",I154,J154,0,"Actual360","Simple","Annual","Annual","Annual")</f>
        <v>QSObject:Swap:w1~swap.152:21075</v>
      </c>
      <c r="F154" s="6" t="str">
        <f>_xll.QS.TRADE.CREATE("trade.152",E154,A154,"Receive")</f>
        <v>QSObject:SwapTrade:w1~trade.152:30907</v>
      </c>
      <c r="G154" s="3">
        <f>_xll.QS.EVALUATE(C154,F154)</f>
        <v>14874.552398125459</v>
      </c>
      <c r="H154" s="5" t="s">
        <v>349</v>
      </c>
      <c r="I154" s="7">
        <v>1015200</v>
      </c>
      <c r="J154" s="8">
        <v>3.5200000000000002E-2</v>
      </c>
    </row>
    <row r="155" spans="1:10" x14ac:dyDescent="0.25">
      <c r="A155" s="5" t="s">
        <v>337</v>
      </c>
      <c r="B155" s="5" t="s">
        <v>350</v>
      </c>
      <c r="C155" s="6" t="str">
        <f>_xll.QS.CONTEXT.CREATE("market.153",A155,"USD","SOFR")</f>
        <v>QSObject:PricingContext:w1~market.153:21074</v>
      </c>
      <c r="D155" s="6" t="str">
        <f>_xll.QS.CONTEXT.ADD.CURVE(C155,"SOFR",$K$2:$K$7,$L$2:$L$7,,,"Actual360","LogLinear",TRUE)</f>
        <v>QSObject:ContextInput:w1~input.qs_context_add_curve.2359132437744.154.3.0:39759</v>
      </c>
      <c r="E155" s="6" t="str">
        <f>_xll.QS.INSTRUMENT.SWAP("swap.153",H155,B155,"USD","SOFR",I155,J155,0,"Actual360","Simple","Annual","Annual","Annual")</f>
        <v>QSObject:Swap:w1~swap.153:21073</v>
      </c>
      <c r="F155" s="6" t="str">
        <f>_xll.QS.TRADE.CREATE("trade.153",E155,A155,"Receive")</f>
        <v>QSObject:SwapTrade:w1~trade.153:30906</v>
      </c>
      <c r="G155" s="3">
        <f>_xll.QS.EVALUATE(C155,F155)</f>
        <v>15252.196698851003</v>
      </c>
      <c r="H155" s="5" t="s">
        <v>351</v>
      </c>
      <c r="I155" s="7">
        <v>1015300</v>
      </c>
      <c r="J155" s="8">
        <v>3.5299999999999998E-2</v>
      </c>
    </row>
    <row r="156" spans="1:10" x14ac:dyDescent="0.25">
      <c r="A156" s="5" t="s">
        <v>339</v>
      </c>
      <c r="B156" s="5" t="s">
        <v>352</v>
      </c>
      <c r="C156" s="6" t="str">
        <f>_xll.QS.CONTEXT.CREATE("market.154",A156,"USD","SOFR")</f>
        <v>QSObject:PricingContext:w1~market.154:21072</v>
      </c>
      <c r="D156" s="6" t="str">
        <f>_xll.QS.CONTEXT.ADD.CURVE(C156,"SOFR",$K$2:$K$7,$L$2:$L$7,,,"Actual360","LogLinear",TRUE)</f>
        <v>QSObject:ContextInput:w1~input.qs_context_add_curve.2359132437744.155.3.0:39758</v>
      </c>
      <c r="E156" s="6" t="str">
        <f>_xll.QS.INSTRUMENT.SWAP("swap.154",H156,B156,"USD","SOFR",I156,J156,0,"Actual360","Simple","Annual","Annual","Annual")</f>
        <v>QSObject:Swap:w1~swap.154:21071</v>
      </c>
      <c r="F156" s="6" t="str">
        <f>_xll.QS.TRADE.CREATE("trade.154",E156,A156,"Receive")</f>
        <v>QSObject:SwapTrade:w1~trade.154:30905</v>
      </c>
      <c r="G156" s="3">
        <f>_xll.QS.EVALUATE(C156,F156)</f>
        <v>15764.372419651656</v>
      </c>
      <c r="H156" s="5" t="s">
        <v>353</v>
      </c>
      <c r="I156" s="7">
        <v>1015400</v>
      </c>
      <c r="J156" s="8">
        <v>3.5400000000000001E-2</v>
      </c>
    </row>
    <row r="157" spans="1:10" x14ac:dyDescent="0.25">
      <c r="A157" s="5" t="s">
        <v>341</v>
      </c>
      <c r="B157" s="5" t="s">
        <v>354</v>
      </c>
      <c r="C157" s="6" t="str">
        <f>_xll.QS.CONTEXT.CREATE("market.155",A157,"USD","SOFR")</f>
        <v>QSObject:PricingContext:w1~market.155:21070</v>
      </c>
      <c r="D157" s="6" t="str">
        <f>_xll.QS.CONTEXT.ADD.CURVE(C157,"SOFR",$K$2:$K$7,$L$2:$L$7,,,"Actual360","LogLinear",TRUE)</f>
        <v>QSObject:ContextInput:w1~input.qs_context_add_curve.2359132437744.156.3.0:39757</v>
      </c>
      <c r="E157" s="6" t="str">
        <f>_xll.QS.INSTRUMENT.SWAP("swap.155",H157,B157,"USD","SOFR",I157,J157,0,"Actual360","Simple","Annual","Annual","Annual")</f>
        <v>QSObject:Swap:w1~swap.155:21069</v>
      </c>
      <c r="F157" s="6" t="str">
        <f>_xll.QS.TRADE.CREATE("trade.155",E157,A157,"Receive")</f>
        <v>QSObject:SwapTrade:w1~trade.155:30904</v>
      </c>
      <c r="G157" s="3">
        <f>_xll.QS.EVALUATE(C157,F157)</f>
        <v>16264.674551136461</v>
      </c>
      <c r="H157" s="5" t="s">
        <v>355</v>
      </c>
      <c r="I157" s="7">
        <v>1015500</v>
      </c>
      <c r="J157" s="8">
        <v>3.5499999999999997E-2</v>
      </c>
    </row>
    <row r="158" spans="1:10" x14ac:dyDescent="0.25">
      <c r="A158" s="5" t="s">
        <v>343</v>
      </c>
      <c r="B158" s="5" t="s">
        <v>356</v>
      </c>
      <c r="C158" s="6" t="str">
        <f>_xll.QS.CONTEXT.CREATE("market.156",A158,"USD","SOFR")</f>
        <v>QSObject:PricingContext:w1~market.156:21068</v>
      </c>
      <c r="D158" s="6" t="str">
        <f>_xll.QS.CONTEXT.ADD.CURVE(C158,"SOFR",$K$2:$K$7,$L$2:$L$7,,,"Actual360","LogLinear",TRUE)</f>
        <v>QSObject:ContextInput:w1~input.qs_context_add_curve.2359132437744.157.3.0:39756</v>
      </c>
      <c r="E158" s="6" t="str">
        <f>_xll.QS.INSTRUMENT.SWAP("swap.156",H158,B158,"USD","SOFR",I158,J158,0,"Actual360","Simple","Annual","Annual","Annual")</f>
        <v>QSObject:Swap:w1~swap.156:21067</v>
      </c>
      <c r="F158" s="6" t="str">
        <f>_xll.QS.TRADE.CREATE("trade.156",E158,A158,"Receive")</f>
        <v>QSObject:SwapTrade:w1~trade.156:30903</v>
      </c>
      <c r="G158" s="3">
        <f>_xll.QS.EVALUATE(C158,F158)</f>
        <v>16808.6959731276</v>
      </c>
      <c r="H158" s="5" t="s">
        <v>357</v>
      </c>
      <c r="I158" s="7">
        <v>1015600</v>
      </c>
      <c r="J158" s="8">
        <v>3.5600000000000007E-2</v>
      </c>
    </row>
    <row r="159" spans="1:10" x14ac:dyDescent="0.25">
      <c r="A159" s="5" t="s">
        <v>345</v>
      </c>
      <c r="B159" s="5" t="s">
        <v>358</v>
      </c>
      <c r="C159" s="6" t="str">
        <f>_xll.QS.CONTEXT.CREATE("market.157",A159,"USD","SOFR")</f>
        <v>QSObject:PricingContext:w1~market.157:21066</v>
      </c>
      <c r="D159" s="6" t="str">
        <f>_xll.QS.CONTEXT.ADD.CURVE(C159,"SOFR",$K$2:$K$7,$L$2:$L$7,,,"Actual360","LogLinear",TRUE)</f>
        <v>QSObject:ContextInput:w1~input.qs_context_add_curve.2359132437744.158.3.0:39755</v>
      </c>
      <c r="E159" s="6" t="str">
        <f>_xll.QS.INSTRUMENT.SWAP("swap.157",H159,B159,"USD","SOFR",I159,J159,0,"Actual360","Simple","Annual","Annual","Annual")</f>
        <v>QSObject:Swap:w1~swap.157:21065</v>
      </c>
      <c r="F159" s="6" t="str">
        <f>_xll.QS.TRADE.CREATE("trade.157",E159,A159,"Receive")</f>
        <v>QSObject:SwapTrade:w1~trade.157:30902</v>
      </c>
      <c r="G159" s="3">
        <f>_xll.QS.EVALUATE(C159,F159)</f>
        <v>17322.826121541533</v>
      </c>
      <c r="H159" s="5" t="s">
        <v>359</v>
      </c>
      <c r="I159" s="7">
        <v>1015700</v>
      </c>
      <c r="J159" s="8">
        <v>3.5700000000000003E-2</v>
      </c>
    </row>
    <row r="160" spans="1:10" x14ac:dyDescent="0.25">
      <c r="A160" s="5" t="s">
        <v>347</v>
      </c>
      <c r="B160" s="5" t="s">
        <v>360</v>
      </c>
      <c r="C160" s="6" t="str">
        <f>_xll.QS.CONTEXT.CREATE("market.158",A160,"USD","SOFR")</f>
        <v>QSObject:PricingContext:w1~market.158:21064</v>
      </c>
      <c r="D160" s="6" t="str">
        <f>_xll.QS.CONTEXT.ADD.CURVE(C160,"SOFR",$K$2:$K$7,$L$2:$L$7,,,"Actual360","LogLinear",TRUE)</f>
        <v>QSObject:ContextInput:w1~input.qs_context_add_curve.2359132437744.159.3.0:39754</v>
      </c>
      <c r="E160" s="6" t="str">
        <f>_xll.QS.INSTRUMENT.SWAP("swap.158",H160,B160,"USD","SOFR",I160,J160,0,"Actual360","Simple","Annual","Annual","Annual")</f>
        <v>QSObject:Swap:w1~swap.158:21063</v>
      </c>
      <c r="F160" s="6" t="str">
        <f>_xll.QS.TRADE.CREATE("trade.158",E160,A160,"Receive")</f>
        <v>QSObject:SwapTrade:w1~trade.158:30901</v>
      </c>
      <c r="G160" s="3">
        <f>_xll.QS.EVALUATE(C160,F160)</f>
        <v>17754.448876946906</v>
      </c>
      <c r="H160" s="5" t="s">
        <v>361</v>
      </c>
      <c r="I160" s="7">
        <v>1015800</v>
      </c>
      <c r="J160" s="8">
        <v>3.5800000000000012E-2</v>
      </c>
    </row>
    <row r="161" spans="1:10" x14ac:dyDescent="0.25">
      <c r="A161" s="5" t="s">
        <v>349</v>
      </c>
      <c r="B161" s="5" t="s">
        <v>362</v>
      </c>
      <c r="C161" s="6" t="str">
        <f>_xll.QS.CONTEXT.CREATE("market.159",A161,"USD","SOFR")</f>
        <v>QSObject:PricingContext:w1~market.159:21062</v>
      </c>
      <c r="D161" s="6" t="str">
        <f>_xll.QS.CONTEXT.ADD.CURVE(C161,"SOFR",$K$2:$K$7,$L$2:$L$7,,,"Actual360","LogLinear",TRUE)</f>
        <v>QSObject:ContextInput:w1~input.qs_context_add_curve.2359132437744.160.3.0:39753</v>
      </c>
      <c r="E161" s="6" t="str">
        <f>_xll.QS.INSTRUMENT.SWAP("swap.159",H161,B161,"USD","SOFR",I161,J161,0,"Actual360","Simple","Annual","Annual","Annual")</f>
        <v>QSObject:Swap:w1~swap.159:21061</v>
      </c>
      <c r="F161" s="6" t="str">
        <f>_xll.QS.TRADE.CREATE("trade.159",E161,A161,"Receive")</f>
        <v>QSObject:SwapTrade:w1~trade.159:30900</v>
      </c>
      <c r="G161" s="3">
        <f>_xll.QS.EVALUATE(C161,F161)</f>
        <v>18160.24651298274</v>
      </c>
      <c r="H161" s="5" t="s">
        <v>363</v>
      </c>
      <c r="I161" s="7">
        <v>1015900</v>
      </c>
      <c r="J161" s="8">
        <v>3.5900000000000001E-2</v>
      </c>
    </row>
    <row r="162" spans="1:10" x14ac:dyDescent="0.25">
      <c r="A162" s="5" t="s">
        <v>351</v>
      </c>
      <c r="B162" s="5" t="s">
        <v>364</v>
      </c>
      <c r="C162" s="6" t="str">
        <f>_xll.QS.CONTEXT.CREATE("market.160",A162,"USD","SOFR")</f>
        <v>QSObject:PricingContext:w1~market.160:21060</v>
      </c>
      <c r="D162" s="6" t="str">
        <f>_xll.QS.CONTEXT.ADD.CURVE(C162,"SOFR",$K$2:$K$7,$L$2:$L$7,,,"Actual360","LogLinear",TRUE)</f>
        <v>QSObject:ContextInput:w1~input.qs_context_add_curve.2359132437744.161.3.0:39752</v>
      </c>
      <c r="E162" s="6" t="str">
        <f>_xll.QS.INSTRUMENT.SWAP("swap.160",H162,B162,"USD","SOFR",I162,J162,0,"Actual360","Simple","Annual","Annual","Annual")</f>
        <v>QSObject:Swap:w1~swap.160:21059</v>
      </c>
      <c r="F162" s="6" t="str">
        <f>_xll.QS.TRADE.CREATE("trade.160",E162,A162,"Receive")</f>
        <v>QSObject:SwapTrade:w1~trade.160:30899</v>
      </c>
      <c r="G162" s="3">
        <f>_xll.QS.EVALUATE(C162,F162)</f>
        <v>18543.556914355326</v>
      </c>
      <c r="H162" s="5" t="s">
        <v>365</v>
      </c>
      <c r="I162" s="7">
        <v>1016000</v>
      </c>
      <c r="J162" s="8">
        <v>3.5999999999999997E-2</v>
      </c>
    </row>
    <row r="163" spans="1:10" x14ac:dyDescent="0.25">
      <c r="A163" s="5" t="s">
        <v>353</v>
      </c>
      <c r="B163" s="5" t="s">
        <v>366</v>
      </c>
      <c r="C163" s="6" t="str">
        <f>_xll.QS.CONTEXT.CREATE("market.161",A163,"USD","SOFR")</f>
        <v>QSObject:PricingContext:w1~market.161:21058</v>
      </c>
      <c r="D163" s="6" t="str">
        <f>_xll.QS.CONTEXT.ADD.CURVE(C163,"SOFR",$K$2:$K$7,$L$2:$L$7,,,"Actual360","LogLinear",TRUE)</f>
        <v>QSObject:ContextInput:w1~input.qs_context_add_curve.2359132437744.162.3.0:39751</v>
      </c>
      <c r="E163" s="6" t="str">
        <f>_xll.QS.INSTRUMENT.SWAP("swap.161",H163,B163,"USD","SOFR",I163,J163,0,"Actual360","Simple","Annual","Annual","Annual")</f>
        <v>QSObject:Swap:w1~swap.161:21057</v>
      </c>
      <c r="F163" s="6" t="str">
        <f>_xll.QS.TRADE.CREATE("trade.161",E163,A163,"Receive")</f>
        <v>QSObject:SwapTrade:w1~trade.161:30898</v>
      </c>
      <c r="G163" s="3">
        <f>_xll.QS.EVALUATE(C163,F163)</f>
        <v>19056.736862575272</v>
      </c>
      <c r="H163" s="5" t="s">
        <v>367</v>
      </c>
      <c r="I163" s="7">
        <v>1016100</v>
      </c>
      <c r="J163" s="8">
        <v>3.61E-2</v>
      </c>
    </row>
    <row r="164" spans="1:10" x14ac:dyDescent="0.25">
      <c r="A164" s="5" t="s">
        <v>355</v>
      </c>
      <c r="B164" s="5" t="s">
        <v>368</v>
      </c>
      <c r="C164" s="6" t="str">
        <f>_xll.QS.CONTEXT.CREATE("market.162",A164,"USD","SOFR")</f>
        <v>QSObject:PricingContext:w1~market.162:21056</v>
      </c>
      <c r="D164" s="6" t="str">
        <f>_xll.QS.CONTEXT.ADD.CURVE(C164,"SOFR",$K$2:$K$7,$L$2:$L$7,,,"Actual360","LogLinear",TRUE)</f>
        <v>QSObject:ContextInput:w1~input.qs_context_add_curve.2359132437744.163.3.0:39750</v>
      </c>
      <c r="E164" s="6" t="str">
        <f>_xll.QS.INSTRUMENT.SWAP("swap.162",H164,B164,"USD","SOFR",I164,J164,0,"Actual360","Simple","Annual","Annual","Annual")</f>
        <v>QSObject:Swap:w1~swap.162:21055</v>
      </c>
      <c r="F164" s="6" t="str">
        <f>_xll.QS.TRADE.CREATE("trade.162",E164,A164,"Receive")</f>
        <v>QSObject:SwapTrade:w1~trade.162:30897</v>
      </c>
      <c r="G164" s="3">
        <f>_xll.QS.EVALUATE(C164,F164)</f>
        <v>19556.0989716566</v>
      </c>
      <c r="H164" s="5" t="s">
        <v>369</v>
      </c>
      <c r="I164" s="7">
        <v>1016200</v>
      </c>
      <c r="J164" s="8">
        <v>3.6200000000000003E-2</v>
      </c>
    </row>
    <row r="165" spans="1:10" x14ac:dyDescent="0.25">
      <c r="A165" s="5" t="s">
        <v>357</v>
      </c>
      <c r="B165" s="5" t="s">
        <v>370</v>
      </c>
      <c r="C165" s="6" t="str">
        <f>_xll.QS.CONTEXT.CREATE("market.163",A165,"USD","SOFR")</f>
        <v>QSObject:PricingContext:w1~market.163:21054</v>
      </c>
      <c r="D165" s="6" t="str">
        <f>_xll.QS.CONTEXT.ADD.CURVE(C165,"SOFR",$K$2:$K$7,$L$2:$L$7,,,"Actual360","LogLinear",TRUE)</f>
        <v>QSObject:ContextInput:w1~input.qs_context_add_curve.2359132437744.164.3.0:39749</v>
      </c>
      <c r="E165" s="6" t="str">
        <f>_xll.QS.INSTRUMENT.SWAP("swap.163",H165,B165,"USD","SOFR",I165,J165,0,"Actual360","Simple","Annual","Annual","Annual")</f>
        <v>QSObject:Swap:w1~swap.163:21053</v>
      </c>
      <c r="F165" s="6" t="str">
        <f>_xll.QS.TRADE.CREATE("trade.163",E165,A165,"Receive")</f>
        <v>QSObject:SwapTrade:w1~trade.163:30896</v>
      </c>
      <c r="G165" s="3">
        <f>_xll.QS.EVALUATE(C165,F165)</f>
        <v>20100.866272692499</v>
      </c>
      <c r="H165" s="5" t="s">
        <v>371</v>
      </c>
      <c r="I165" s="7">
        <v>1016300</v>
      </c>
      <c r="J165" s="8">
        <v>3.6300000000000013E-2</v>
      </c>
    </row>
    <row r="166" spans="1:10" x14ac:dyDescent="0.25">
      <c r="A166" s="5" t="s">
        <v>359</v>
      </c>
      <c r="B166" s="5" t="s">
        <v>372</v>
      </c>
      <c r="C166" s="6" t="str">
        <f>_xll.QS.CONTEXT.CREATE("market.164",A166,"USD","SOFR")</f>
        <v>QSObject:PricingContext:w1~market.164:21052</v>
      </c>
      <c r="D166" s="6" t="str">
        <f>_xll.QS.CONTEXT.ADD.CURVE(C166,"SOFR",$K$2:$K$7,$L$2:$L$7,,,"Actual360","LogLinear",TRUE)</f>
        <v>QSObject:ContextInput:w1~input.qs_context_add_curve.2359132437744.165.3.0:39748</v>
      </c>
      <c r="E166" s="6" t="str">
        <f>_xll.QS.INSTRUMENT.SWAP("swap.164",H166,B166,"USD","SOFR",I166,J166,0,"Actual360","Simple","Annual","Annual","Annual")</f>
        <v>QSObject:Swap:w1~swap.164:21051</v>
      </c>
      <c r="F166" s="6" t="str">
        <f>_xll.QS.TRADE.CREATE("trade.164",E166,A166,"Receive")</f>
        <v>QSObject:SwapTrade:w1~trade.164:30895</v>
      </c>
      <c r="G166" s="3">
        <f>_xll.QS.EVALUATE(C166,F166)</f>
        <v>20615.707476739812</v>
      </c>
      <c r="H166" s="5" t="s">
        <v>373</v>
      </c>
      <c r="I166" s="7">
        <v>1016400</v>
      </c>
      <c r="J166" s="8">
        <v>3.6400000000000002E-2</v>
      </c>
    </row>
    <row r="167" spans="1:10" x14ac:dyDescent="0.25">
      <c r="A167" s="5" t="s">
        <v>361</v>
      </c>
      <c r="B167" s="5" t="s">
        <v>374</v>
      </c>
      <c r="C167" s="6" t="str">
        <f>_xll.QS.CONTEXT.CREATE("market.165",A167,"USD","SOFR")</f>
        <v>QSObject:PricingContext:w1~market.165:21050</v>
      </c>
      <c r="D167" s="6" t="str">
        <f>_xll.QS.CONTEXT.ADD.CURVE(C167,"SOFR",$K$2:$K$7,$L$2:$L$7,,,"Actual360","LogLinear",TRUE)</f>
        <v>QSObject:ContextInput:w1~input.qs_context_add_curve.2359132437744.166.3.0:39747</v>
      </c>
      <c r="E167" s="6" t="str">
        <f>_xll.QS.INSTRUMENT.SWAP("swap.165",H167,B167,"USD","SOFR",I167,J167,0,"Actual360","Simple","Annual","Annual","Annual")</f>
        <v>QSObject:Swap:w1~swap.165:21049</v>
      </c>
      <c r="F167" s="6" t="str">
        <f>_xll.QS.TRADE.CREATE("trade.165",E167,A167,"Receive")</f>
        <v>QSObject:SwapTrade:w1~trade.165:30894</v>
      </c>
      <c r="G167" s="3">
        <f>_xll.QS.EVALUATE(C167,F167)</f>
        <v>21047.922842257711</v>
      </c>
      <c r="H167" s="5" t="s">
        <v>375</v>
      </c>
      <c r="I167" s="7">
        <v>1016500</v>
      </c>
      <c r="J167" s="8">
        <v>3.6499999999999998E-2</v>
      </c>
    </row>
    <row r="168" spans="1:10" x14ac:dyDescent="0.25">
      <c r="A168" s="5" t="s">
        <v>363</v>
      </c>
      <c r="B168" s="5" t="s">
        <v>376</v>
      </c>
      <c r="C168" s="6" t="str">
        <f>_xll.QS.CONTEXT.CREATE("market.166",A168,"USD","SOFR")</f>
        <v>QSObject:PricingContext:w1~market.166:21048</v>
      </c>
      <c r="D168" s="6" t="str">
        <f>_xll.QS.CONTEXT.ADD.CURVE(C168,"SOFR",$K$2:$K$7,$L$2:$L$7,,,"Actual360","LogLinear",TRUE)</f>
        <v>QSObject:ContextInput:w1~input.qs_context_add_curve.2359132437744.167.3.0:39746</v>
      </c>
      <c r="E168" s="6" t="str">
        <f>_xll.QS.INSTRUMENT.SWAP("swap.166",H168,B168,"USD","SOFR",I168,J168,0,"Actual360","Simple","Annual","Annual","Annual")</f>
        <v>QSObject:Swap:w1~swap.166:21047</v>
      </c>
      <c r="F168" s="6" t="str">
        <f>_xll.QS.TRADE.CREATE("trade.166",E168,A168,"Receive")</f>
        <v>QSObject:SwapTrade:w1~trade.166:30893</v>
      </c>
      <c r="G168" s="3">
        <f>_xll.QS.EVALUATE(C168,F168)</f>
        <v>21450.454470691919</v>
      </c>
      <c r="H168" s="5" t="s">
        <v>377</v>
      </c>
      <c r="I168" s="7">
        <v>1016600</v>
      </c>
      <c r="J168" s="8">
        <v>3.6600000000000001E-2</v>
      </c>
    </row>
    <row r="169" spans="1:10" x14ac:dyDescent="0.25">
      <c r="A169" s="5" t="s">
        <v>365</v>
      </c>
      <c r="B169" s="5" t="s">
        <v>378</v>
      </c>
      <c r="C169" s="6" t="str">
        <f>_xll.QS.CONTEXT.CREATE("market.167",A169,"USD","SOFR")</f>
        <v>QSObject:PricingContext:w1~market.167:21046</v>
      </c>
      <c r="D169" s="6" t="str">
        <f>_xll.QS.CONTEXT.ADD.CURVE(C169,"SOFR",$K$2:$K$7,$L$2:$L$7,,,"Actual360","LogLinear",TRUE)</f>
        <v>QSObject:ContextInput:w1~input.qs_context_add_curve.2359132437744.168.3.0:39745</v>
      </c>
      <c r="E169" s="6" t="str">
        <f>_xll.QS.INSTRUMENT.SWAP("swap.167",H169,B169,"USD","SOFR",I169,J169,0,"Actual360","Simple","Annual","Annual","Annual")</f>
        <v>QSObject:Swap:w1~swap.167:21045</v>
      </c>
      <c r="F169" s="6" t="str">
        <f>_xll.QS.TRADE.CREATE("trade.167",E169,A169,"Receive")</f>
        <v>QSObject:SwapTrade:w1~trade.167:30892</v>
      </c>
      <c r="G169" s="3">
        <f>_xll.QS.EVALUATE(C169,F169)</f>
        <v>21839.437978672704</v>
      </c>
      <c r="H169" s="5" t="s">
        <v>379</v>
      </c>
      <c r="I169" s="7">
        <v>1016700</v>
      </c>
      <c r="J169" s="8">
        <v>3.6700000000000003E-2</v>
      </c>
    </row>
    <row r="170" spans="1:10" x14ac:dyDescent="0.25">
      <c r="A170" s="5" t="s">
        <v>367</v>
      </c>
      <c r="B170" s="5" t="s">
        <v>380</v>
      </c>
      <c r="C170" s="6" t="str">
        <f>_xll.QS.CONTEXT.CREATE("market.168",A170,"USD","SOFR")</f>
        <v>QSObject:PricingContext:w1~market.168:21044</v>
      </c>
      <c r="D170" s="6" t="str">
        <f>_xll.QS.CONTEXT.ADD.CURVE(C170,"SOFR",$K$2:$K$7,$L$2:$L$7,,,"Actual360","LogLinear",TRUE)</f>
        <v>QSObject:ContextInput:w1~input.qs_context_add_curve.2359132437744.169.3.0:39744</v>
      </c>
      <c r="E170" s="6" t="str">
        <f>_xll.QS.INSTRUMENT.SWAP("swap.168",H170,B170,"USD","SOFR",I170,J170,0,"Actual360","Simple","Annual","Annual","Annual")</f>
        <v>QSObject:Swap:w1~swap.168:21043</v>
      </c>
      <c r="F170" s="6" t="str">
        <f>_xll.QS.TRADE.CREATE("trade.168",E170,A170,"Receive")</f>
        <v>QSObject:SwapTrade:w1~trade.168:30891</v>
      </c>
      <c r="G170" s="3">
        <f>_xll.QS.EVALUATE(C170,F170)</f>
        <v>22353.622607971734</v>
      </c>
      <c r="H170" s="5" t="s">
        <v>381</v>
      </c>
      <c r="I170" s="7">
        <v>1016800</v>
      </c>
      <c r="J170" s="8">
        <v>3.6800000000000013E-2</v>
      </c>
    </row>
    <row r="171" spans="1:10" x14ac:dyDescent="0.25">
      <c r="A171" s="5" t="s">
        <v>369</v>
      </c>
      <c r="B171" s="5" t="s">
        <v>382</v>
      </c>
      <c r="C171" s="6" t="str">
        <f>_xll.QS.CONTEXT.CREATE("market.169",A171,"USD","SOFR")</f>
        <v>QSObject:PricingContext:w1~market.169:21042</v>
      </c>
      <c r="D171" s="6" t="str">
        <f>_xll.QS.CONTEXT.ADD.CURVE(C171,"SOFR",$K$2:$K$7,$L$2:$L$7,,,"Actual360","LogLinear",TRUE)</f>
        <v>QSObject:ContextInput:w1~input.qs_context_add_curve.2359132437744.170.3.0:39743</v>
      </c>
      <c r="E171" s="6" t="str">
        <f>_xll.QS.INSTRUMENT.SWAP("swap.169",H171,B171,"USD","SOFR",I171,J171,0,"Actual360","Simple","Annual","Annual","Annual")</f>
        <v>QSObject:Swap:w1~swap.169:21041</v>
      </c>
      <c r="F171" s="6" t="str">
        <f>_xll.QS.TRADE.CREATE("trade.169",E171,A171,"Receive")</f>
        <v>QSObject:SwapTrade:w1~trade.169:30890</v>
      </c>
      <c r="G171" s="3">
        <f>_xll.QS.EVALUATE(C171,F171)</f>
        <v>22852.042481034314</v>
      </c>
      <c r="H171" s="5" t="s">
        <v>383</v>
      </c>
      <c r="I171" s="7">
        <v>1016900</v>
      </c>
      <c r="J171" s="8">
        <v>3.6900000000000002E-2</v>
      </c>
    </row>
    <row r="172" spans="1:10" x14ac:dyDescent="0.25">
      <c r="A172" s="5" t="s">
        <v>371</v>
      </c>
      <c r="B172" s="5" t="s">
        <v>384</v>
      </c>
      <c r="C172" s="6" t="str">
        <f>_xll.QS.CONTEXT.CREATE("market.170",A172,"USD","SOFR")</f>
        <v>QSObject:PricingContext:w1~market.170:21040</v>
      </c>
      <c r="D172" s="6" t="str">
        <f>_xll.QS.CONTEXT.ADD.CURVE(C172,"SOFR",$K$2:$K$7,$L$2:$L$7,,,"Actual360","LogLinear",TRUE)</f>
        <v>QSObject:ContextInput:w1~input.qs_context_add_curve.2359132437744.171.3.0:39742</v>
      </c>
      <c r="E172" s="6" t="str">
        <f>_xll.QS.INSTRUMENT.SWAP("swap.170",H172,B172,"USD","SOFR",I172,J172,0,"Actual360","Simple","Annual","Annual","Annual")</f>
        <v>QSObject:Swap:w1~swap.170:21039</v>
      </c>
      <c r="F172" s="6" t="str">
        <f>_xll.QS.TRADE.CREATE("trade.170",E172,A172,"Receive")</f>
        <v>QSObject:SwapTrade:w1~trade.170:30889</v>
      </c>
      <c r="G172" s="3">
        <f>_xll.QS.EVALUATE(C172,F172)</f>
        <v>23397.555728925134</v>
      </c>
      <c r="H172" s="5" t="s">
        <v>385</v>
      </c>
      <c r="I172" s="7">
        <v>1017000</v>
      </c>
      <c r="J172" s="8">
        <v>3.7000000000000012E-2</v>
      </c>
    </row>
    <row r="173" spans="1:10" x14ac:dyDescent="0.25">
      <c r="A173" s="5" t="s">
        <v>373</v>
      </c>
      <c r="B173" s="5" t="s">
        <v>386</v>
      </c>
      <c r="C173" s="6" t="str">
        <f>_xll.QS.CONTEXT.CREATE("market.171",A173,"USD","SOFR")</f>
        <v>QSObject:PricingContext:w1~market.171:21038</v>
      </c>
      <c r="D173" s="6" t="str">
        <f>_xll.QS.CONTEXT.ADD.CURVE(C173,"SOFR",$K$2:$K$7,$L$2:$L$7,,,"Actual360","LogLinear",TRUE)</f>
        <v>QSObject:ContextInput:w1~input.qs_context_add_curve.2359132437744.172.3.0:39741</v>
      </c>
      <c r="E173" s="6" t="str">
        <f>_xll.QS.INSTRUMENT.SWAP("swap.171",H173,B173,"USD","SOFR",I173,J173,0,"Actual360","Simple","Annual","Annual","Annual")</f>
        <v>QSObject:Swap:w1~swap.171:21037</v>
      </c>
      <c r="F173" s="6" t="str">
        <f>_xll.QS.TRADE.CREATE("trade.171",E173,A173,"Receive")</f>
        <v>QSObject:SwapTrade:w1~trade.171:30888</v>
      </c>
      <c r="G173" s="3">
        <f>_xll.QS.EVALUATE(C173,F173)</f>
        <v>23913.108036913396</v>
      </c>
      <c r="H173" s="5" t="s">
        <v>387</v>
      </c>
      <c r="I173" s="7">
        <v>1017100</v>
      </c>
      <c r="J173" s="8">
        <v>3.7100000000000001E-2</v>
      </c>
    </row>
    <row r="174" spans="1:10" x14ac:dyDescent="0.25">
      <c r="A174" s="5" t="s">
        <v>375</v>
      </c>
      <c r="B174" s="5" t="s">
        <v>388</v>
      </c>
      <c r="C174" s="6" t="str">
        <f>_xll.QS.CONTEXT.CREATE("market.172",A174,"USD","SOFR")</f>
        <v>QSObject:PricingContext:w1~market.172:21036</v>
      </c>
      <c r="D174" s="6" t="str">
        <f>_xll.QS.CONTEXT.ADD.CURVE(C174,"SOFR",$K$2:$K$7,$L$2:$L$7,,,"Actual360","LogLinear",TRUE)</f>
        <v>QSObject:ContextInput:w1~input.qs_context_add_curve.2359132437744.173.3.0:39740</v>
      </c>
      <c r="E174" s="6" t="str">
        <f>_xll.QS.INSTRUMENT.SWAP("swap.172",H174,B174,"USD","SOFR",I174,J174,0,"Actual360","Simple","Annual","Annual","Annual")</f>
        <v>QSObject:Swap:w1~swap.172:21035</v>
      </c>
      <c r="F174" s="6" t="str">
        <f>_xll.QS.TRADE.CREATE("trade.172",E174,A174,"Receive")</f>
        <v>QSObject:SwapTrade:w1~trade.172:30887</v>
      </c>
      <c r="G174" s="3">
        <f>_xll.QS.EVALUATE(C174,F174)</f>
        <v>24346.080475408082</v>
      </c>
      <c r="H174" s="5" t="s">
        <v>389</v>
      </c>
      <c r="I174" s="7">
        <v>1017200</v>
      </c>
      <c r="J174" s="8">
        <v>3.7199999999999997E-2</v>
      </c>
    </row>
    <row r="175" spans="1:10" x14ac:dyDescent="0.25">
      <c r="A175" s="5" t="s">
        <v>377</v>
      </c>
      <c r="B175" s="5" t="s">
        <v>390</v>
      </c>
      <c r="C175" s="6" t="str">
        <f>_xll.QS.CONTEXT.CREATE("market.173",A175,"USD","SOFR")</f>
        <v>QSObject:PricingContext:w1~market.173:21034</v>
      </c>
      <c r="D175" s="6" t="str">
        <f>_xll.QS.CONTEXT.ADD.CURVE(C175,"SOFR",$K$2:$K$7,$L$2:$L$7,,,"Actual360","LogLinear",TRUE)</f>
        <v>QSObject:ContextInput:w1~input.qs_context_add_curve.2359132437744.174.3.0:39739</v>
      </c>
      <c r="E175" s="6" t="str">
        <f>_xll.QS.INSTRUMENT.SWAP("swap.173",H175,B175,"USD","SOFR",I175,J175,0,"Actual360","Simple","Annual","Annual","Annual")</f>
        <v>QSObject:Swap:w1~swap.173:21033</v>
      </c>
      <c r="F175" s="6" t="str">
        <f>_xll.QS.TRADE.CREATE("trade.173",E175,A175,"Receive")</f>
        <v>QSObject:SwapTrade:w1~trade.173:30886</v>
      </c>
      <c r="G175" s="3">
        <f>_xll.QS.EVALUATE(C175,F175)</f>
        <v>24793.083947169765</v>
      </c>
      <c r="H175" s="5" t="s">
        <v>391</v>
      </c>
      <c r="I175" s="7">
        <v>1017300</v>
      </c>
      <c r="J175" s="8">
        <v>3.73E-2</v>
      </c>
    </row>
    <row r="176" spans="1:10" x14ac:dyDescent="0.25">
      <c r="A176" s="5" t="s">
        <v>379</v>
      </c>
      <c r="B176" s="5" t="s">
        <v>392</v>
      </c>
      <c r="C176" s="6" t="str">
        <f>_xll.QS.CONTEXT.CREATE("market.174",A176,"USD","SOFR")</f>
        <v>QSObject:PricingContext:w1~market.174:21032</v>
      </c>
      <c r="D176" s="6" t="str">
        <f>_xll.QS.CONTEXT.ADD.CURVE(C176,"SOFR",$K$2:$K$7,$L$2:$L$7,,,"Actual360","LogLinear",TRUE)</f>
        <v>QSObject:ContextInput:w1~input.qs_context_add_curve.2359132437744.175.3.0:39738</v>
      </c>
      <c r="E176" s="6" t="str">
        <f>_xll.QS.INSTRUMENT.SWAP("swap.174",H176,B176,"USD","SOFR",I176,J176,0,"Actual360","Simple","Annual","Annual","Annual")</f>
        <v>QSObject:Swap:w1~swap.174:21031</v>
      </c>
      <c r="F176" s="6" t="str">
        <f>_xll.QS.TRADE.CREATE("trade.174",E176,A176,"Receive")</f>
        <v>QSObject:SwapTrade:w1~trade.174:30885</v>
      </c>
      <c r="G176" s="3">
        <f>_xll.QS.EVALUATE(C176,F176)</f>
        <v>25139.839891803218</v>
      </c>
      <c r="H176" s="5" t="s">
        <v>393</v>
      </c>
      <c r="I176" s="7">
        <v>1017400</v>
      </c>
      <c r="J176" s="8">
        <v>3.7400000000000003E-2</v>
      </c>
    </row>
    <row r="177" spans="1:10" x14ac:dyDescent="0.25">
      <c r="A177" s="5" t="s">
        <v>381</v>
      </c>
      <c r="B177" s="5" t="s">
        <v>394</v>
      </c>
      <c r="C177" s="6" t="str">
        <f>_xll.QS.CONTEXT.CREATE("market.175",A177,"USD","SOFR")</f>
        <v>QSObject:PricingContext:w1~market.175:21030</v>
      </c>
      <c r="D177" s="6" t="str">
        <f>_xll.QS.CONTEXT.ADD.CURVE(C177,"SOFR",$K$2:$K$7,$L$2:$L$7,,,"Actual360","LogLinear",TRUE)</f>
        <v>QSObject:ContextInput:w1~input.qs_context_add_curve.2359132437744.176.3.0:39737</v>
      </c>
      <c r="E177" s="6" t="str">
        <f>_xll.QS.INSTRUMENT.SWAP("swap.175",H177,B177,"USD","SOFR",I177,J177,0,"Actual360","Simple","Annual","Annual","Annual")</f>
        <v>QSObject:Swap:w1~swap.175:21029</v>
      </c>
      <c r="F177" s="6" t="str">
        <f>_xll.QS.TRADE.CREATE("trade.175",E177,A177,"Receive")</f>
        <v>QSObject:SwapTrade:w1~trade.175:30884</v>
      </c>
      <c r="G177" s="3">
        <f>_xll.QS.EVALUATE(C177,F177)</f>
        <v>25654.965473792316</v>
      </c>
      <c r="H177" s="5" t="s">
        <v>395</v>
      </c>
      <c r="I177" s="7">
        <v>1017500</v>
      </c>
      <c r="J177" s="8">
        <v>3.7500000000000012E-2</v>
      </c>
    </row>
    <row r="178" spans="1:10" x14ac:dyDescent="0.25">
      <c r="A178" s="5" t="s">
        <v>383</v>
      </c>
      <c r="B178" s="5" t="s">
        <v>396</v>
      </c>
      <c r="C178" s="6" t="str">
        <f>_xll.QS.CONTEXT.CREATE("market.176",A178,"USD","SOFR")</f>
        <v>QSObject:PricingContext:w1~market.176:21028</v>
      </c>
      <c r="D178" s="6" t="str">
        <f>_xll.QS.CONTEXT.ADD.CURVE(C178,"SOFR",$K$2:$K$7,$L$2:$L$7,,,"Actual360","LogLinear",TRUE)</f>
        <v>QSObject:ContextInput:w1~input.qs_context_add_curve.2359132437744.177.3.0:39736</v>
      </c>
      <c r="E178" s="6" t="str">
        <f>_xll.QS.INSTRUMENT.SWAP("swap.176",H178,B178,"USD","SOFR",I178,J178,0,"Actual360","Simple","Annual","Annual","Annual")</f>
        <v>QSObject:Swap:w1~swap.176:21027</v>
      </c>
      <c r="F178" s="6" t="str">
        <f>_xll.QS.TRADE.CREATE("trade.176",E178,A178,"Receive")</f>
        <v>QSObject:SwapTrade:w1~trade.176:30883</v>
      </c>
      <c r="G178" s="3">
        <f>_xll.QS.EVALUATE(C178,F178)</f>
        <v>26152.209530436732</v>
      </c>
      <c r="H178" s="5" t="s">
        <v>397</v>
      </c>
      <c r="I178" s="7">
        <v>1017600</v>
      </c>
      <c r="J178" s="8">
        <v>3.7600000000000001E-2</v>
      </c>
    </row>
    <row r="179" spans="1:10" x14ac:dyDescent="0.25">
      <c r="A179" s="5" t="s">
        <v>385</v>
      </c>
      <c r="B179" s="5" t="s">
        <v>398</v>
      </c>
      <c r="C179" s="6" t="str">
        <f>_xll.QS.CONTEXT.CREATE("market.177",A179,"USD","SOFR")</f>
        <v>QSObject:PricingContext:w1~market.177:21026</v>
      </c>
      <c r="D179" s="6" t="str">
        <f>_xll.QS.CONTEXT.ADD.CURVE(C179,"SOFR",$K$2:$K$7,$L$2:$L$7,,,"Actual360","LogLinear",TRUE)</f>
        <v>QSObject:ContextInput:w1~input.qs_context_add_curve.2359132437744.178.3.0:39735</v>
      </c>
      <c r="E179" s="6" t="str">
        <f>_xll.QS.INSTRUMENT.SWAP("swap.177",H179,B179,"USD","SOFR",I179,J179,0,"Actual360","Simple","Annual","Annual","Annual")</f>
        <v>QSObject:Swap:w1~swap.177:21025</v>
      </c>
      <c r="F179" s="6" t="str">
        <f>_xll.QS.TRADE.CREATE("trade.177",E179,A179,"Receive")</f>
        <v>QSObject:SwapTrade:w1~trade.177:30882</v>
      </c>
      <c r="G179" s="3">
        <f>_xll.QS.EVALUATE(C179,F179)</f>
        <v>26733.008948560291</v>
      </c>
      <c r="H179" s="5" t="s">
        <v>399</v>
      </c>
      <c r="I179" s="7">
        <v>1017700</v>
      </c>
      <c r="J179" s="8">
        <v>3.7699999999999997E-2</v>
      </c>
    </row>
    <row r="180" spans="1:10" x14ac:dyDescent="0.25">
      <c r="A180" s="5" t="s">
        <v>387</v>
      </c>
      <c r="B180" s="5" t="s">
        <v>400</v>
      </c>
      <c r="C180" s="6" t="str">
        <f>_xll.QS.CONTEXT.CREATE("market.178",A180,"USD","SOFR")</f>
        <v>QSObject:PricingContext:w1~market.178:21024</v>
      </c>
      <c r="D180" s="6" t="str">
        <f>_xll.QS.CONTEXT.ADD.CURVE(C180,"SOFR",$K$2:$K$7,$L$2:$L$7,,,"Actual360","LogLinear",TRUE)</f>
        <v>QSObject:ContextInput:w1~input.qs_context_add_curve.2359132437744.179.3.0:39734</v>
      </c>
      <c r="E180" s="6" t="str">
        <f>_xll.QS.INSTRUMENT.SWAP("swap.178",H180,B180,"USD","SOFR",I180,J180,0,"Actual360","Simple","Annual","Annual","Annual")</f>
        <v>QSObject:Swap:w1~swap.178:21023</v>
      </c>
      <c r="F180" s="6" t="str">
        <f>_xll.QS.TRADE.CREATE("trade.178",E180,A180,"Receive")</f>
        <v>QSObject:SwapTrade:w1~trade.178:30881</v>
      </c>
      <c r="G180" s="3">
        <f>_xll.QS.EVALUATE(C180,F180)</f>
        <v>27215.237717852815</v>
      </c>
      <c r="H180" s="5" t="s">
        <v>401</v>
      </c>
      <c r="I180" s="7">
        <v>1017800</v>
      </c>
      <c r="J180" s="8">
        <v>3.78E-2</v>
      </c>
    </row>
    <row r="181" spans="1:10" x14ac:dyDescent="0.25">
      <c r="A181" s="5" t="s">
        <v>389</v>
      </c>
      <c r="B181" s="5" t="s">
        <v>402</v>
      </c>
      <c r="C181" s="6" t="str">
        <f>_xll.QS.CONTEXT.CREATE("market.179",A181,"USD","SOFR")</f>
        <v>QSObject:PricingContext:w1~market.179:21022</v>
      </c>
      <c r="D181" s="6" t="str">
        <f>_xll.QS.CONTEXT.ADD.CURVE(C181,"SOFR",$K$2:$K$7,$L$2:$L$7,,,"Actual360","LogLinear",TRUE)</f>
        <v>QSObject:ContextInput:w1~input.qs_context_add_curve.2359132437744.180.3.0:39733</v>
      </c>
      <c r="E181" s="6" t="str">
        <f>_xll.QS.INSTRUMENT.SWAP("swap.179",H181,B181,"USD","SOFR",I181,J181,0,"Actual360","Simple","Annual","Annual","Annual")</f>
        <v>QSObject:Swap:w1~swap.179:21021</v>
      </c>
      <c r="F181" s="6" t="str">
        <f>_xll.QS.TRADE.CREATE("trade.179",E181,A181,"Receive")</f>
        <v>QSObject:SwapTrade:w1~trade.179:30880</v>
      </c>
      <c r="G181" s="3">
        <f>_xll.QS.EVALUATE(C181,F181)</f>
        <v>27687.633057635958</v>
      </c>
      <c r="H181" s="5" t="s">
        <v>403</v>
      </c>
      <c r="I181" s="7">
        <v>1017900</v>
      </c>
      <c r="J181" s="8">
        <v>3.7900000000000003E-2</v>
      </c>
    </row>
    <row r="182" spans="1:10" x14ac:dyDescent="0.25">
      <c r="A182" s="5" t="s">
        <v>391</v>
      </c>
      <c r="B182" s="5" t="s">
        <v>404</v>
      </c>
      <c r="C182" s="6" t="str">
        <f>_xll.QS.CONTEXT.CREATE("market.180",A182,"USD","SOFR")</f>
        <v>QSObject:PricingContext:w1~market.180:21020</v>
      </c>
      <c r="D182" s="6" t="str">
        <f>_xll.QS.CONTEXT.ADD.CURVE(C182,"SOFR",$K$2:$K$7,$L$2:$L$7,,,"Actual360","LogLinear",TRUE)</f>
        <v>QSObject:ContextInput:w1~input.qs_context_add_curve.2359132437744.181.3.0:39732</v>
      </c>
      <c r="E182" s="6" t="str">
        <f>_xll.QS.INSTRUMENT.SWAP("swap.180",H182,B182,"USD","SOFR",I182,J182,0,"Actual360","Simple","Annual","Annual","Annual")</f>
        <v>QSObject:Swap:w1~swap.180:21019</v>
      </c>
      <c r="F182" s="6" t="str">
        <f>_xll.QS.TRADE.CREATE("trade.180",E182,A182,"Receive")</f>
        <v>QSObject:SwapTrade:w1~trade.180:30879</v>
      </c>
      <c r="G182" s="3">
        <f>_xll.QS.EVALUATE(C182,F182)</f>
        <v>28083.598625554496</v>
      </c>
      <c r="H182" s="5" t="s">
        <v>405</v>
      </c>
      <c r="I182" s="7">
        <v>1018000</v>
      </c>
      <c r="J182" s="8">
        <v>3.8000000000000013E-2</v>
      </c>
    </row>
    <row r="183" spans="1:10" x14ac:dyDescent="0.25">
      <c r="A183" s="5" t="s">
        <v>393</v>
      </c>
      <c r="B183" s="5" t="s">
        <v>406</v>
      </c>
      <c r="C183" s="6" t="str">
        <f>_xll.QS.CONTEXT.CREATE("market.181",A183,"USD","SOFR")</f>
        <v>QSObject:PricingContext:w1~market.181:21018</v>
      </c>
      <c r="D183" s="6" t="str">
        <f>_xll.QS.CONTEXT.ADD.CURVE(C183,"SOFR",$K$2:$K$7,$L$2:$L$7,,,"Actual360","LogLinear",TRUE)</f>
        <v>QSObject:ContextInput:w1~input.qs_context_add_curve.2359132437744.182.3.0:39731</v>
      </c>
      <c r="E183" s="6" t="str">
        <f>_xll.QS.INSTRUMENT.SWAP("swap.181",H183,B183,"USD","SOFR",I183,J183,0,"Actual360","Simple","Annual","Annual","Annual")</f>
        <v>QSObject:Swap:w1~swap.181:21017</v>
      </c>
      <c r="F183" s="6" t="str">
        <f>_xll.QS.TRADE.CREATE("trade.181",E183,A183,"Receive")</f>
        <v>QSObject:SwapTrade:w1~trade.181:30878</v>
      </c>
      <c r="G183" s="3">
        <f>_xll.QS.EVALUATE(C183,F183)</f>
        <v>28483.784417054241</v>
      </c>
      <c r="H183" s="5" t="s">
        <v>407</v>
      </c>
      <c r="I183" s="7">
        <v>1018100</v>
      </c>
      <c r="J183" s="8">
        <v>3.8100000000000002E-2</v>
      </c>
    </row>
    <row r="184" spans="1:10" x14ac:dyDescent="0.25">
      <c r="A184" s="5" t="s">
        <v>395</v>
      </c>
      <c r="B184" s="5" t="s">
        <v>408</v>
      </c>
      <c r="C184" s="6" t="str">
        <f>_xll.QS.CONTEXT.CREATE("market.182",A184,"USD","SOFR")</f>
        <v>QSObject:PricingContext:w1~market.182:21016</v>
      </c>
      <c r="D184" s="6" t="str">
        <f>_xll.QS.CONTEXT.ADD.CURVE(C184,"SOFR",$K$2:$K$7,$L$2:$L$7,,,"Actual360","LogLinear",TRUE)</f>
        <v>QSObject:ContextInput:w1~input.qs_context_add_curve.2359132437744.183.3.0:39730</v>
      </c>
      <c r="E184" s="6" t="str">
        <f>_xll.QS.INSTRUMENT.SWAP("swap.182",H184,B184,"USD","SOFR",I184,J184,0,"Actual360","Simple","Annual","Annual","Annual")</f>
        <v>QSObject:Swap:w1~swap.182:21015</v>
      </c>
      <c r="F184" s="6" t="str">
        <f>_xll.QS.TRADE.CREATE("trade.182",E184,A184,"Receive")</f>
        <v>QSObject:SwapTrade:w1~trade.182:30877</v>
      </c>
      <c r="G184" s="3">
        <f>_xll.QS.EVALUATE(C184,F184)</f>
        <v>29001.324389714904</v>
      </c>
      <c r="H184" s="5" t="s">
        <v>409</v>
      </c>
      <c r="I184" s="7">
        <v>1018200</v>
      </c>
      <c r="J184" s="8">
        <v>3.8199999999999998E-2</v>
      </c>
    </row>
    <row r="185" spans="1:10" x14ac:dyDescent="0.25">
      <c r="A185" s="5" t="s">
        <v>397</v>
      </c>
      <c r="B185" s="5" t="s">
        <v>410</v>
      </c>
      <c r="C185" s="6" t="str">
        <f>_xll.QS.CONTEXT.CREATE("market.183",A185,"USD","SOFR")</f>
        <v>QSObject:PricingContext:w1~market.183:21014</v>
      </c>
      <c r="D185" s="6" t="str">
        <f>_xll.QS.CONTEXT.ADD.CURVE(C185,"SOFR",$K$2:$K$7,$L$2:$L$7,,,"Actual360","LogLinear",TRUE)</f>
        <v>QSObject:ContextInput:w1~input.qs_context_add_curve.2359132437744.184.3.0:39729</v>
      </c>
      <c r="E185" s="6" t="str">
        <f>_xll.QS.INSTRUMENT.SWAP("swap.183",H185,B185,"USD","SOFR",I185,J185,0,"Actual360","Simple","Annual","Annual","Annual")</f>
        <v>QSObject:Swap:w1~swap.183:21013</v>
      </c>
      <c r="F185" s="6" t="str">
        <f>_xll.QS.TRADE.CREATE("trade.183",E185,A185,"Receive")</f>
        <v>QSObject:SwapTrade:w1~trade.183:30876</v>
      </c>
      <c r="G185" s="3">
        <f>_xll.QS.EVALUATE(C185,F185)</f>
        <v>29572.506512857351</v>
      </c>
      <c r="H185" s="5" t="s">
        <v>411</v>
      </c>
      <c r="I185" s="7">
        <v>1018300</v>
      </c>
      <c r="J185" s="8">
        <v>3.8300000000000001E-2</v>
      </c>
    </row>
    <row r="186" spans="1:10" x14ac:dyDescent="0.25">
      <c r="A186" s="5" t="s">
        <v>399</v>
      </c>
      <c r="B186" s="5" t="s">
        <v>412</v>
      </c>
      <c r="C186" s="6" t="str">
        <f>_xll.QS.CONTEXT.CREATE("market.184",A186,"USD","SOFR")</f>
        <v>QSObject:PricingContext:w1~market.184:21012</v>
      </c>
      <c r="D186" s="6" t="str">
        <f>_xll.QS.CONTEXT.ADD.CURVE(C186,"SOFR",$K$2:$K$7,$L$2:$L$7,,,"Actual360","LogLinear",TRUE)</f>
        <v>QSObject:ContextInput:w1~input.qs_context_add_curve.2359132437744.185.3.0:39728</v>
      </c>
      <c r="E186" s="6" t="str">
        <f>_xll.QS.INSTRUMENT.SWAP("swap.184",H186,B186,"USD","SOFR",I186,J186,0,"Actual360","Simple","Annual","Annual","Annual")</f>
        <v>QSObject:Swap:w1~swap.184:21011</v>
      </c>
      <c r="F186" s="6" t="str">
        <f>_xll.QS.TRADE.CREATE("trade.184",E186,A186,"Receive")</f>
        <v>QSObject:SwapTrade:w1~trade.184:30875</v>
      </c>
      <c r="G186" s="3">
        <f>_xll.QS.EVALUATE(C186,F186)</f>
        <v>30004.492111393785</v>
      </c>
      <c r="H186" s="5" t="s">
        <v>413</v>
      </c>
      <c r="I186" s="7">
        <v>1018400</v>
      </c>
      <c r="J186" s="8">
        <v>3.8399999999999997E-2</v>
      </c>
    </row>
    <row r="187" spans="1:10" x14ac:dyDescent="0.25">
      <c r="A187" s="5" t="s">
        <v>401</v>
      </c>
      <c r="B187" s="5" t="s">
        <v>414</v>
      </c>
      <c r="C187" s="6" t="str">
        <f>_xll.QS.CONTEXT.CREATE("market.185",A187,"USD","SOFR")</f>
        <v>QSObject:PricingContext:w1~market.185:21010</v>
      </c>
      <c r="D187" s="6" t="str">
        <f>_xll.QS.CONTEXT.ADD.CURVE(C187,"SOFR",$K$2:$K$7,$L$2:$L$7,,,"Actual360","LogLinear",TRUE)</f>
        <v>QSObject:ContextInput:w1~input.qs_context_add_curve.2359132437744.186.3.0:39727</v>
      </c>
      <c r="E187" s="6" t="str">
        <f>_xll.QS.INSTRUMENT.SWAP("swap.185",H187,B187,"USD","SOFR",I187,J187,0,"Actual360","Simple","Annual","Annual","Annual")</f>
        <v>QSObject:Swap:w1~swap.185:21009</v>
      </c>
      <c r="F187" s="6" t="str">
        <f>_xll.QS.TRADE.CREATE("trade.185",E187,A187,"Receive")</f>
        <v>QSObject:SwapTrade:w1~trade.185:30874</v>
      </c>
      <c r="G187" s="3">
        <f>_xll.QS.EVALUATE(C187,F187)</f>
        <v>30521.466772186384</v>
      </c>
      <c r="H187" s="5" t="s">
        <v>415</v>
      </c>
      <c r="I187" s="7">
        <v>1018500</v>
      </c>
      <c r="J187" s="8">
        <v>3.8500000000000013E-2</v>
      </c>
    </row>
    <row r="188" spans="1:10" x14ac:dyDescent="0.25">
      <c r="A188" s="5" t="s">
        <v>403</v>
      </c>
      <c r="B188" s="5" t="s">
        <v>416</v>
      </c>
      <c r="C188" s="6" t="str">
        <f>_xll.QS.CONTEXT.CREATE("market.186",A188,"USD","SOFR")</f>
        <v>QSObject:PricingContext:w1~market.186:21008</v>
      </c>
      <c r="D188" s="6" t="str">
        <f>_xll.QS.CONTEXT.ADD.CURVE(C188,"SOFR",$K$2:$K$7,$L$2:$L$7,,,"Actual360","LogLinear",TRUE)</f>
        <v>QSObject:ContextInput:w1~input.qs_context_add_curve.2359132437744.187.3.0:39726</v>
      </c>
      <c r="E188" s="6" t="str">
        <f>_xll.QS.INSTRUMENT.SWAP("swap.186",H188,B188,"USD","SOFR",I188,J188,0,"Actual360","Simple","Annual","Annual","Annual")</f>
        <v>QSObject:Swap:w1~swap.186:21007</v>
      </c>
      <c r="F188" s="6" t="str">
        <f>_xll.QS.TRADE.CREATE("trade.186",E188,A188,"Receive")</f>
        <v>QSObject:SwapTrade:w1~trade.186:30873</v>
      </c>
      <c r="G188" s="3">
        <f>_xll.QS.EVALUATE(C188,F188)</f>
        <v>30955.459749456822</v>
      </c>
      <c r="H188" s="5" t="s">
        <v>417</v>
      </c>
      <c r="I188" s="7">
        <v>1018600</v>
      </c>
      <c r="J188" s="8">
        <v>3.8600000000000002E-2</v>
      </c>
    </row>
    <row r="189" spans="1:10" x14ac:dyDescent="0.25">
      <c r="A189" s="5" t="s">
        <v>405</v>
      </c>
      <c r="B189" s="5" t="s">
        <v>418</v>
      </c>
      <c r="C189" s="6" t="str">
        <f>_xll.QS.CONTEXT.CREATE("market.187",A189,"USD","SOFR")</f>
        <v>QSObject:PricingContext:w1~market.187:21006</v>
      </c>
      <c r="D189" s="6" t="str">
        <f>_xll.QS.CONTEXT.ADD.CURVE(C189,"SOFR",$K$2:$K$7,$L$2:$L$7,,,"Actual360","LogLinear",TRUE)</f>
        <v>QSObject:ContextInput:w1~input.qs_context_add_curve.2359132437744.188.3.0:39725</v>
      </c>
      <c r="E189" s="6" t="str">
        <f>_xll.QS.INSTRUMENT.SWAP("swap.187",H189,B189,"USD","SOFR",I189,J189,0,"Actual360","Simple","Annual","Annual","Annual")</f>
        <v>QSObject:Swap:w1~swap.187:21005</v>
      </c>
      <c r="F189" s="6" t="str">
        <f>_xll.QS.TRADE.CREATE("trade.187",E189,A189,"Receive")</f>
        <v>QSObject:SwapTrade:w1~trade.187:30872</v>
      </c>
      <c r="G189" s="3">
        <f>_xll.QS.EVALUATE(C189,F189)</f>
        <v>31348.161400931363</v>
      </c>
      <c r="H189" s="5" t="s">
        <v>419</v>
      </c>
      <c r="I189" s="7">
        <v>1018700</v>
      </c>
      <c r="J189" s="8">
        <v>3.8700000000000012E-2</v>
      </c>
    </row>
    <row r="190" spans="1:10" x14ac:dyDescent="0.25">
      <c r="A190" s="5" t="s">
        <v>407</v>
      </c>
      <c r="B190" s="5" t="s">
        <v>420</v>
      </c>
      <c r="C190" s="6" t="str">
        <f>_xll.QS.CONTEXT.CREATE("market.188",A190,"USD","SOFR")</f>
        <v>QSObject:PricingContext:w1~market.188:21004</v>
      </c>
      <c r="D190" s="6" t="str">
        <f>_xll.QS.CONTEXT.ADD.CURVE(C190,"SOFR",$K$2:$K$7,$L$2:$L$7,,,"Actual360","LogLinear",TRUE)</f>
        <v>QSObject:ContextInput:w1~input.qs_context_add_curve.2359132437744.189.3.0:39724</v>
      </c>
      <c r="E190" s="6" t="str">
        <f>_xll.QS.INSTRUMENT.SWAP("swap.188",H190,B190,"USD","SOFR",I190,J190,0,"Actual360","Simple","Annual","Annual","Annual")</f>
        <v>QSObject:Swap:w1~swap.188:21003</v>
      </c>
      <c r="F190" s="6" t="str">
        <f>_xll.QS.TRADE.CREATE("trade.188",E190,A190,"Receive")</f>
        <v>QSObject:SwapTrade:w1~trade.188:30871</v>
      </c>
      <c r="G190" s="3">
        <f>_xll.QS.EVALUATE(C190,F190)</f>
        <v>31754.206264503609</v>
      </c>
      <c r="H190" s="5" t="s">
        <v>421</v>
      </c>
      <c r="I190" s="7">
        <v>1018800</v>
      </c>
      <c r="J190" s="8">
        <v>3.8800000000000001E-2</v>
      </c>
    </row>
    <row r="191" spans="1:10" x14ac:dyDescent="0.25">
      <c r="A191" s="5" t="s">
        <v>409</v>
      </c>
      <c r="B191" s="5" t="s">
        <v>422</v>
      </c>
      <c r="C191" s="6" t="str">
        <f>_xll.QS.CONTEXT.CREATE("market.189",A191,"USD","SOFR")</f>
        <v>QSObject:PricingContext:w1~market.189:21002</v>
      </c>
      <c r="D191" s="6" t="str">
        <f>_xll.QS.CONTEXT.ADD.CURVE(C191,"SOFR",$K$2:$K$7,$L$2:$L$7,,,"Actual360","LogLinear",TRUE)</f>
        <v>QSObject:ContextInput:w1~input.qs_context_add_curve.2359132437744.190.3.0:39723</v>
      </c>
      <c r="E191" s="6" t="str">
        <f>_xll.QS.INSTRUMENT.SWAP("swap.189",H191,B191,"USD","SOFR",I191,J191,0,"Actual360","Simple","Annual","Annual","Annual")</f>
        <v>QSObject:Swap:w1~swap.189:21001</v>
      </c>
      <c r="F191" s="6" t="str">
        <f>_xll.QS.TRADE.CREATE("trade.189",E191,A191,"Receive")</f>
        <v>QSObject:SwapTrade:w1~trade.189:30870</v>
      </c>
      <c r="G191" s="3">
        <f>_xll.QS.EVALUATE(C191,F191)</f>
        <v>32271.407658998443</v>
      </c>
      <c r="H191" s="5" t="s">
        <v>423</v>
      </c>
      <c r="I191" s="7">
        <v>1018900</v>
      </c>
      <c r="J191" s="8">
        <v>3.8899999999999997E-2</v>
      </c>
    </row>
    <row r="192" spans="1:10" x14ac:dyDescent="0.25">
      <c r="A192" s="5" t="s">
        <v>411</v>
      </c>
      <c r="B192" s="5" t="s">
        <v>424</v>
      </c>
      <c r="C192" s="6" t="str">
        <f>_xll.QS.CONTEXT.CREATE("market.190",A192,"USD","SOFR")</f>
        <v>QSObject:PricingContext:w1~market.190:21000</v>
      </c>
      <c r="D192" s="6" t="str">
        <f>_xll.QS.CONTEXT.ADD.CURVE(C192,"SOFR",$K$2:$K$7,$L$2:$L$7,,,"Actual360","LogLinear",TRUE)</f>
        <v>QSObject:ContextInput:w1~input.qs_context_add_curve.2359132437744.191.3.0:39722</v>
      </c>
      <c r="E192" s="6" t="str">
        <f>_xll.QS.INSTRUMENT.SWAP("swap.190",H192,B192,"USD","SOFR",I192,J192,0,"Actual360","Simple","Annual","Annual","Annual")</f>
        <v>QSObject:Swap:w1~swap.190:20999</v>
      </c>
      <c r="F192" s="6" t="str">
        <f>_xll.QS.TRADE.CREATE("trade.190",E192,A192,"Receive")</f>
        <v>QSObject:SwapTrade:w1~trade.190:30869</v>
      </c>
      <c r="G192" s="3">
        <f>_xll.QS.EVALUATE(C192,F192)</f>
        <v>32766.987542312945</v>
      </c>
      <c r="H192" s="5" t="s">
        <v>425</v>
      </c>
      <c r="I192" s="7">
        <v>1019000</v>
      </c>
      <c r="J192" s="8">
        <v>3.9000000000000007E-2</v>
      </c>
    </row>
    <row r="193" spans="1:10" x14ac:dyDescent="0.25">
      <c r="A193" s="5" t="s">
        <v>413</v>
      </c>
      <c r="B193" s="5" t="s">
        <v>426</v>
      </c>
      <c r="C193" s="6" t="str">
        <f>_xll.QS.CONTEXT.CREATE("market.191",A193,"USD","SOFR")</f>
        <v>QSObject:PricingContext:w1~market.191:20998</v>
      </c>
      <c r="D193" s="6" t="str">
        <f>_xll.QS.CONTEXT.ADD.CURVE(C193,"SOFR",$K$2:$K$7,$L$2:$L$7,,,"Actual360","LogLinear",TRUE)</f>
        <v>QSObject:ContextInput:w1~input.qs_context_add_curve.2359132437744.192.3.0:39721</v>
      </c>
      <c r="E193" s="6" t="str">
        <f>_xll.QS.INSTRUMENT.SWAP("swap.191",H193,B193,"USD","SOFR",I193,J193,0,"Actual360","Simple","Annual","Annual","Annual")</f>
        <v>QSObject:Swap:w1~swap.191:20997</v>
      </c>
      <c r="F193" s="6" t="str">
        <f>_xll.QS.TRADE.CREATE("trade.191",E193,A193,"Receive")</f>
        <v>QSObject:SwapTrade:w1~trade.191:30868</v>
      </c>
      <c r="G193" s="3">
        <f>_xll.QS.EVALUATE(C193,F193)</f>
        <v>33314.739037629945</v>
      </c>
      <c r="H193" s="5" t="s">
        <v>427</v>
      </c>
      <c r="I193" s="7">
        <v>1019100</v>
      </c>
      <c r="J193" s="8">
        <v>3.9100000000000003E-2</v>
      </c>
    </row>
    <row r="194" spans="1:10" x14ac:dyDescent="0.25">
      <c r="A194" s="5" t="s">
        <v>415</v>
      </c>
      <c r="B194" s="5" t="s">
        <v>428</v>
      </c>
      <c r="C194" s="6" t="str">
        <f>_xll.QS.CONTEXT.CREATE("market.192",A194,"USD","SOFR")</f>
        <v>QSObject:PricingContext:w1~market.192:20996</v>
      </c>
      <c r="D194" s="6" t="str">
        <f>_xll.QS.CONTEXT.ADD.CURVE(C194,"SOFR",$K$2:$K$7,$L$2:$L$7,,,"Actual360","LogLinear",TRUE)</f>
        <v>QSObject:ContextInput:w1~input.qs_context_add_curve.2359132437744.193.3.0:39720</v>
      </c>
      <c r="E194" s="6" t="str">
        <f>_xll.QS.INSTRUMENT.SWAP("swap.192",H194,B194,"USD","SOFR",I194,J194,0,"Actual360","Simple","Annual","Annual","Annual")</f>
        <v>QSObject:Swap:w1~swap.192:20995</v>
      </c>
      <c r="F194" s="6" t="str">
        <f>_xll.QS.TRADE.CREATE("trade.192",E194,A194,"Receive")</f>
        <v>QSObject:SwapTrade:w1~trade.192:30867</v>
      </c>
      <c r="G194" s="3">
        <f>_xll.QS.EVALUATE(C194,F194)</f>
        <v>33832.424947285763</v>
      </c>
      <c r="H194" s="5" t="s">
        <v>429</v>
      </c>
      <c r="I194" s="7">
        <v>1019200</v>
      </c>
      <c r="J194" s="8">
        <v>3.9200000000000013E-2</v>
      </c>
    </row>
    <row r="195" spans="1:10" x14ac:dyDescent="0.25">
      <c r="A195" s="5" t="s">
        <v>417</v>
      </c>
      <c r="B195" s="5" t="s">
        <v>430</v>
      </c>
      <c r="C195" s="6" t="str">
        <f>_xll.QS.CONTEXT.CREATE("market.193",A195,"USD","SOFR")</f>
        <v>QSObject:PricingContext:w1~market.193:20994</v>
      </c>
      <c r="D195" s="6" t="str">
        <f>_xll.QS.CONTEXT.ADD.CURVE(C195,"SOFR",$K$2:$K$7,$L$2:$L$7,,,"Actual360","LogLinear",TRUE)</f>
        <v>QSObject:ContextInput:w1~input.qs_context_add_curve.2359132437744.194.3.0:39719</v>
      </c>
      <c r="E195" s="6" t="str">
        <f>_xll.QS.INSTRUMENT.SWAP("swap.193",H195,B195,"USD","SOFR",I195,J195,0,"Actual360","Simple","Annual","Annual","Annual")</f>
        <v>QSObject:Swap:w1~swap.193:20993</v>
      </c>
      <c r="F195" s="6" t="str">
        <f>_xll.QS.TRADE.CREATE("trade.193",E195,A195,"Receive")</f>
        <v>QSObject:SwapTrade:w1~trade.193:30866</v>
      </c>
      <c r="G195" s="3">
        <f>_xll.QS.EVALUATE(C195,F195)</f>
        <v>34267.010388945404</v>
      </c>
      <c r="H195" s="5" t="s">
        <v>431</v>
      </c>
      <c r="I195" s="7">
        <v>1019300</v>
      </c>
      <c r="J195" s="8">
        <v>3.9300000000000002E-2</v>
      </c>
    </row>
    <row r="196" spans="1:10" x14ac:dyDescent="0.25">
      <c r="A196" s="5" t="s">
        <v>419</v>
      </c>
      <c r="B196" s="5" t="s">
        <v>432</v>
      </c>
      <c r="C196" s="6" t="str">
        <f>_xll.QS.CONTEXT.CREATE("market.194",A196,"USD","SOFR")</f>
        <v>QSObject:PricingContext:w1~market.194:20992</v>
      </c>
      <c r="D196" s="6" t="str">
        <f>_xll.QS.CONTEXT.ADD.CURVE(C196,"SOFR",$K$2:$K$7,$L$2:$L$7,,,"Actual360","LogLinear",TRUE)</f>
        <v>QSObject:ContextInput:w1~input.qs_context_add_curve.2359132437744.195.3.0:39718</v>
      </c>
      <c r="E196" s="6" t="str">
        <f>_xll.QS.INSTRUMENT.SWAP("swap.194",H196,B196,"USD","SOFR",I196,J196,0,"Actual360","Simple","Annual","Annual","Annual")</f>
        <v>QSObject:Swap:w1~swap.194:20991</v>
      </c>
      <c r="F196" s="6" t="str">
        <f>_xll.QS.TRADE.CREATE("trade.194",E196,A196,"Receive")</f>
        <v>QSObject:SwapTrade:w1~trade.194:30865</v>
      </c>
      <c r="G196" s="3">
        <f>_xll.QS.EVALUATE(C196,F196)</f>
        <v>34656.424730048377</v>
      </c>
      <c r="H196" s="5" t="s">
        <v>433</v>
      </c>
      <c r="I196" s="7">
        <v>1019400</v>
      </c>
      <c r="J196" s="8">
        <v>3.9399999999999998E-2</v>
      </c>
    </row>
    <row r="197" spans="1:10" x14ac:dyDescent="0.25">
      <c r="A197" s="5" t="s">
        <v>421</v>
      </c>
      <c r="B197" s="5" t="s">
        <v>434</v>
      </c>
      <c r="C197" s="6" t="str">
        <f>_xll.QS.CONTEXT.CREATE("market.195",A197,"USD","SOFR")</f>
        <v>QSObject:PricingContext:w1~market.195:20990</v>
      </c>
      <c r="D197" s="6" t="str">
        <f>_xll.QS.CONTEXT.ADD.CURVE(C197,"SOFR",$K$2:$K$7,$L$2:$L$7,,,"Actual360","LogLinear",TRUE)</f>
        <v>QSObject:ContextInput:w1~input.qs_context_add_curve.2359132437744.196.3.0:39717</v>
      </c>
      <c r="E197" s="6" t="str">
        <f>_xll.QS.INSTRUMENT.SWAP("swap.195",H197,B197,"USD","SOFR",I197,J197,0,"Actual360","Simple","Annual","Annual","Annual")</f>
        <v>QSObject:Swap:w1~swap.195:20989</v>
      </c>
      <c r="F197" s="6" t="str">
        <f>_xll.QS.TRADE.CREATE("trade.195",E197,A197,"Receive")</f>
        <v>QSObject:SwapTrade:w1~trade.195:30864</v>
      </c>
      <c r="G197" s="3">
        <f>_xll.QS.EVALUATE(C197,F197)</f>
        <v>35068.170724073469</v>
      </c>
      <c r="H197" s="5" t="s">
        <v>435</v>
      </c>
      <c r="I197" s="7">
        <v>1019500</v>
      </c>
      <c r="J197" s="8">
        <v>3.9500000000000007E-2</v>
      </c>
    </row>
    <row r="198" spans="1:10" x14ac:dyDescent="0.25">
      <c r="A198" s="5" t="s">
        <v>423</v>
      </c>
      <c r="B198" s="5" t="s">
        <v>436</v>
      </c>
      <c r="C198" s="6" t="str">
        <f>_xll.QS.CONTEXT.CREATE("market.196",A198,"USD","SOFR")</f>
        <v>QSObject:PricingContext:w1~market.196:20988</v>
      </c>
      <c r="D198" s="6" t="str">
        <f>_xll.QS.CONTEXT.ADD.CURVE(C198,"SOFR",$K$2:$K$7,$L$2:$L$7,,,"Actual360","LogLinear",TRUE)</f>
        <v>QSObject:ContextInput:w1~input.qs_context_add_curve.2359132437744.197.3.0:39716</v>
      </c>
      <c r="E198" s="6" t="str">
        <f>_xll.QS.INSTRUMENT.SWAP("swap.196",H198,B198,"USD","SOFR",I198,J198,0,"Actual360","Simple","Annual","Annual","Annual")</f>
        <v>QSObject:Swap:w1~swap.196:20987</v>
      </c>
      <c r="F198" s="6" t="str">
        <f>_xll.QS.TRADE.CREATE("trade.196",E198,A198,"Receive")</f>
        <v>QSObject:SwapTrade:w1~trade.196:30863</v>
      </c>
      <c r="G198" s="3">
        <f>_xll.QS.EVALUATE(C198,F198)</f>
        <v>35586.378614286601</v>
      </c>
      <c r="H198" s="5" t="s">
        <v>437</v>
      </c>
      <c r="I198" s="7">
        <v>1019600</v>
      </c>
      <c r="J198" s="8">
        <v>3.9600000000000003E-2</v>
      </c>
    </row>
    <row r="199" spans="1:10" x14ac:dyDescent="0.25">
      <c r="A199" s="5" t="s">
        <v>425</v>
      </c>
      <c r="B199" s="5" t="s">
        <v>438</v>
      </c>
      <c r="C199" s="6" t="str">
        <f>_xll.QS.CONTEXT.CREATE("market.197",A199,"USD","SOFR")</f>
        <v>QSObject:PricingContext:w1~market.197:20986</v>
      </c>
      <c r="D199" s="6" t="str">
        <f>_xll.QS.CONTEXT.ADD.CURVE(C199,"SOFR",$K$2:$K$7,$L$2:$L$7,,,"Actual360","LogLinear",TRUE)</f>
        <v>QSObject:ContextInput:w1~input.qs_context_add_curve.2359132437744.198.3.0:39715</v>
      </c>
      <c r="E199" s="6" t="str">
        <f>_xll.QS.INSTRUMENT.SWAP("swap.197",H199,B199,"USD","SOFR",I199,J199,0,"Actual360","Simple","Annual","Annual","Annual")</f>
        <v>QSObject:Swap:w1~swap.197:20985</v>
      </c>
      <c r="F199" s="6" t="str">
        <f>_xll.QS.TRADE.CREATE("trade.197",E199,A199,"Receive")</f>
        <v>QSObject:SwapTrade:w1~trade.197:30862</v>
      </c>
      <c r="G199" s="3">
        <f>_xll.QS.EVALUATE(C199,F199)</f>
        <v>36081.007407121215</v>
      </c>
      <c r="H199" s="5" t="s">
        <v>439</v>
      </c>
      <c r="I199" s="7">
        <v>1019700</v>
      </c>
      <c r="J199" s="8">
        <v>3.9700000000000013E-2</v>
      </c>
    </row>
    <row r="200" spans="1:10" x14ac:dyDescent="0.25">
      <c r="A200" s="5" t="s">
        <v>427</v>
      </c>
      <c r="B200" s="5" t="s">
        <v>440</v>
      </c>
      <c r="C200" s="6" t="str">
        <f>_xll.QS.CONTEXT.CREATE("market.198",A200,"USD","SOFR")</f>
        <v>QSObject:PricingContext:w1~market.198:20984</v>
      </c>
      <c r="D200" s="6" t="str">
        <f>_xll.QS.CONTEXT.ADD.CURVE(C200,"SOFR",$K$2:$K$7,$L$2:$L$7,,,"Actual360","LogLinear",TRUE)</f>
        <v>QSObject:ContextInput:w1~input.qs_context_add_curve.2359132437744.199.3.0:39714</v>
      </c>
      <c r="E200" s="6" t="str">
        <f>_xll.QS.INSTRUMENT.SWAP("swap.198",H200,B200,"USD","SOFR",I200,J200,0,"Actual360","Simple","Annual","Annual","Annual")</f>
        <v>QSObject:Swap:w1~swap.198:20983</v>
      </c>
      <c r="F200" s="6" t="str">
        <f>_xll.QS.TRADE.CREATE("trade.198",E200,A200,"Receive")</f>
        <v>QSObject:SwapTrade:w1~trade.198:30861</v>
      </c>
      <c r="G200" s="3">
        <f>_xll.QS.EVALUATE(C200,F200)</f>
        <v>36629.505120533926</v>
      </c>
      <c r="H200" s="5" t="s">
        <v>441</v>
      </c>
      <c r="I200" s="7">
        <v>1019800</v>
      </c>
      <c r="J200" s="8">
        <v>3.9800000000000002E-2</v>
      </c>
    </row>
    <row r="201" spans="1:10" x14ac:dyDescent="0.25">
      <c r="A201" s="5" t="s">
        <v>429</v>
      </c>
      <c r="B201" s="5" t="s">
        <v>442</v>
      </c>
      <c r="C201" s="6" t="str">
        <f>_xll.QS.CONTEXT.CREATE("market.199",A201,"USD","SOFR")</f>
        <v>QSObject:PricingContext:w1~market.199:20982</v>
      </c>
      <c r="D201" s="6" t="str">
        <f>_xll.QS.CONTEXT.ADD.CURVE(C201,"SOFR",$K$2:$K$7,$L$2:$L$7,,,"Actual360","LogLinear",TRUE)</f>
        <v>QSObject:ContextInput:w1~input.qs_context_add_curve.2359132437744.200.3.0:39713</v>
      </c>
      <c r="E201" s="6" t="str">
        <f>_xll.QS.INSTRUMENT.SWAP("swap.199",H201,B201,"USD","SOFR",I201,J201,0,"Actual360","Simple","Annual","Annual","Annual")</f>
        <v>QSObject:Swap:w1~swap.199:20981</v>
      </c>
      <c r="F201" s="6" t="str">
        <f>_xll.QS.TRADE.CREATE("trade.199",E201,A201,"Receive")</f>
        <v>QSObject:SwapTrade:w1~trade.199:30860</v>
      </c>
      <c r="G201" s="3">
        <f>_xll.QS.EVALUATE(C201,F201)</f>
        <v>37147.902327360389</v>
      </c>
      <c r="H201" s="5" t="s">
        <v>443</v>
      </c>
      <c r="I201" s="7">
        <v>1019900</v>
      </c>
      <c r="J201" s="8">
        <v>3.9899999999999998E-2</v>
      </c>
    </row>
    <row r="202" spans="1:10" x14ac:dyDescent="0.25">
      <c r="A202" s="5" t="s">
        <v>431</v>
      </c>
      <c r="B202" s="5" t="s">
        <v>444</v>
      </c>
      <c r="C202" s="6" t="str">
        <f>_xll.QS.CONTEXT.CREATE("market.200",A202,"USD","SOFR")</f>
        <v>QSObject:PricingContext:w1~market.200:20980</v>
      </c>
      <c r="D202" s="6" t="str">
        <f>_xll.QS.CONTEXT.ADD.CURVE(C202,"SOFR",$K$2:$K$7,$L$2:$L$7,,,"Actual360","LogLinear",TRUE)</f>
        <v>QSObject:ContextInput:w1~input.qs_context_add_curve.2359132437744.201.3.0:39712</v>
      </c>
      <c r="E202" s="6" t="str">
        <f>_xll.QS.INSTRUMENT.SWAP("swap.200",H202,B202,"USD","SOFR",I202,J202,0,"Actual360","Simple","Annual","Annual","Annual")</f>
        <v>QSObject:Swap:w1~swap.200:20979</v>
      </c>
      <c r="F202" s="6" t="str">
        <f>_xll.QS.TRADE.CREATE("trade.200",E202,A202,"Receive")</f>
        <v>QSObject:SwapTrade:w1~trade.200:30859</v>
      </c>
      <c r="G202" s="3">
        <f>_xll.QS.EVALUATE(C202,F202)</f>
        <v>14064.958180077756</v>
      </c>
      <c r="H202" s="5" t="s">
        <v>445</v>
      </c>
      <c r="I202" s="7">
        <v>1020000</v>
      </c>
      <c r="J202" s="8">
        <v>3.5000000000000003E-2</v>
      </c>
    </row>
    <row r="203" spans="1:10" x14ac:dyDescent="0.25">
      <c r="A203" s="5" t="s">
        <v>433</v>
      </c>
      <c r="B203" s="5" t="s">
        <v>446</v>
      </c>
      <c r="C203" s="6" t="str">
        <f>_xll.QS.CONTEXT.CREATE("market.201",A203,"USD","SOFR")</f>
        <v>QSObject:PricingContext:w1~market.201:20978</v>
      </c>
      <c r="D203" s="6" t="str">
        <f>_xll.QS.CONTEXT.ADD.CURVE(C203,"SOFR",$K$2:$K$7,$L$2:$L$7,,,"Actual360","LogLinear",TRUE)</f>
        <v>QSObject:ContextInput:w1~input.qs_context_add_curve.2359132437744.202.3.0:39711</v>
      </c>
      <c r="E203" s="6" t="str">
        <f>_xll.QS.INSTRUMENT.SWAP("swap.201",H203,B203,"USD","SOFR",I203,J203,0,"Actual360","Simple","Annual","Annual","Annual")</f>
        <v>QSObject:Swap:w1~swap.201:20977</v>
      </c>
      <c r="F203" s="6" t="str">
        <f>_xll.QS.TRADE.CREATE("trade.201",E203,A203,"Receive")</f>
        <v>QSObject:SwapTrade:w1~trade.201:30858</v>
      </c>
      <c r="G203" s="3">
        <f>_xll.QS.EVALUATE(C203,F203)</f>
        <v>14476.492242314114</v>
      </c>
      <c r="H203" s="5" t="s">
        <v>447</v>
      </c>
      <c r="I203" s="7">
        <v>1020100</v>
      </c>
      <c r="J203" s="8">
        <v>3.5100000000000013E-2</v>
      </c>
    </row>
    <row r="204" spans="1:10" x14ac:dyDescent="0.25">
      <c r="A204" s="5" t="s">
        <v>435</v>
      </c>
      <c r="B204" s="5" t="s">
        <v>448</v>
      </c>
      <c r="C204" s="6" t="str">
        <f>_xll.QS.CONTEXT.CREATE("market.202",A204,"USD","SOFR")</f>
        <v>QSObject:PricingContext:w1~market.202:20976</v>
      </c>
      <c r="D204" s="6" t="str">
        <f>_xll.QS.CONTEXT.ADD.CURVE(C204,"SOFR",$K$2:$K$7,$L$2:$L$7,,,"Actual360","LogLinear",TRUE)</f>
        <v>QSObject:ContextInput:w1~input.qs_context_add_curve.2359132437744.203.3.0:39710</v>
      </c>
      <c r="E204" s="6" t="str">
        <f>_xll.QS.INSTRUMENT.SWAP("swap.202",H204,B204,"USD","SOFR",I204,J204,0,"Actual360","Simple","Annual","Annual","Annual")</f>
        <v>QSObject:Swap:w1~swap.202:20975</v>
      </c>
      <c r="F204" s="6" t="str">
        <f>_xll.QS.TRADE.CREATE("trade.202",E204,A204,"Receive")</f>
        <v>QSObject:SwapTrade:w1~trade.202:30857</v>
      </c>
      <c r="G204" s="3">
        <f>_xll.QS.EVALUATE(C204,F204)</f>
        <v>14855.176649078057</v>
      </c>
      <c r="H204" s="5" t="s">
        <v>449</v>
      </c>
      <c r="I204" s="7">
        <v>1020200</v>
      </c>
      <c r="J204" s="8">
        <v>3.5200000000000002E-2</v>
      </c>
    </row>
    <row r="205" spans="1:10" x14ac:dyDescent="0.25">
      <c r="A205" s="5" t="s">
        <v>437</v>
      </c>
      <c r="B205" s="5" t="s">
        <v>450</v>
      </c>
      <c r="C205" s="6" t="str">
        <f>_xll.QS.CONTEXT.CREATE("market.203",A205,"USD","SOFR")</f>
        <v>QSObject:PricingContext:w1~market.203:20974</v>
      </c>
      <c r="D205" s="6" t="str">
        <f>_xll.QS.CONTEXT.ADD.CURVE(C205,"SOFR",$K$2:$K$7,$L$2:$L$7,,,"Actual360","LogLinear",TRUE)</f>
        <v>QSObject:ContextInput:w1~input.qs_context_add_curve.2359132437744.204.3.0:39709</v>
      </c>
      <c r="E205" s="6" t="str">
        <f>_xll.QS.INSTRUMENT.SWAP("swap.203",H205,B205,"USD","SOFR",I205,J205,0,"Actual360","Simple","Annual","Annual","Annual")</f>
        <v>QSObject:Swap:w1~swap.203:20973</v>
      </c>
      <c r="F205" s="6" t="str">
        <f>_xll.QS.TRADE.CREATE("trade.203",E205,A205,"Receive")</f>
        <v>QSObject:SwapTrade:w1~trade.203:30856</v>
      </c>
      <c r="G205" s="3">
        <f>_xll.QS.EVALUATE(C205,F205)</f>
        <v>15369.814236137347</v>
      </c>
      <c r="H205" s="5" t="s">
        <v>451</v>
      </c>
      <c r="I205" s="7">
        <v>1020300</v>
      </c>
      <c r="J205" s="8">
        <v>3.5299999999999998E-2</v>
      </c>
    </row>
    <row r="206" spans="1:10" x14ac:dyDescent="0.25">
      <c r="A206" s="5" t="s">
        <v>439</v>
      </c>
      <c r="B206" s="5" t="s">
        <v>452</v>
      </c>
      <c r="C206" s="6" t="str">
        <f>_xll.QS.CONTEXT.CREATE("market.204",A206,"USD","SOFR")</f>
        <v>QSObject:PricingContext:w1~market.204:20972</v>
      </c>
      <c r="D206" s="6" t="str">
        <f>_xll.QS.CONTEXT.ADD.CURVE(C206,"SOFR",$K$2:$K$7,$L$2:$L$7,,,"Actual360","LogLinear",TRUE)</f>
        <v>QSObject:ContextInput:w1~input.qs_context_add_curve.2359132437744.205.3.0:39708</v>
      </c>
      <c r="E206" s="6" t="str">
        <f>_xll.QS.INSTRUMENT.SWAP("swap.204",H206,B206,"USD","SOFR",I206,J206,0,"Actual360","Simple","Annual","Annual","Annual")</f>
        <v>QSObject:Swap:w1~swap.204:20971</v>
      </c>
      <c r="F206" s="6" t="str">
        <f>_xll.QS.TRADE.CREATE("trade.204",E206,A206,"Receive")</f>
        <v>QSObject:SwapTrade:w1~trade.204:30855</v>
      </c>
      <c r="G206" s="3">
        <f>_xll.QS.EVALUATE(C206,F206)</f>
        <v>15872.856448349521</v>
      </c>
      <c r="H206" s="5" t="s">
        <v>453</v>
      </c>
      <c r="I206" s="7">
        <v>1020400</v>
      </c>
      <c r="J206" s="8">
        <v>3.5400000000000001E-2</v>
      </c>
    </row>
    <row r="207" spans="1:10" x14ac:dyDescent="0.25">
      <c r="A207" s="5" t="s">
        <v>441</v>
      </c>
      <c r="B207" s="5" t="s">
        <v>454</v>
      </c>
      <c r="C207" s="6" t="str">
        <f>_xll.QS.CONTEXT.CREATE("market.205",A207,"USD","SOFR")</f>
        <v>QSObject:PricingContext:w1~market.205:20970</v>
      </c>
      <c r="D207" s="6" t="str">
        <f>_xll.QS.CONTEXT.ADD.CURVE(C207,"SOFR",$K$2:$K$7,$L$2:$L$7,,,"Actual360","LogLinear",TRUE)</f>
        <v>QSObject:ContextInput:w1~input.qs_context_add_curve.2359132437744.206.3.0:39707</v>
      </c>
      <c r="E207" s="6" t="str">
        <f>_xll.QS.INSTRUMENT.SWAP("swap.205",H207,B207,"USD","SOFR",I207,J207,0,"Actual360","Simple","Annual","Annual","Annual")</f>
        <v>QSObject:Swap:w1~swap.205:20969</v>
      </c>
      <c r="F207" s="6" t="str">
        <f>_xll.QS.TRADE.CREATE("trade.205",E207,A207,"Receive")</f>
        <v>QSObject:SwapTrade:w1~trade.205:30854</v>
      </c>
      <c r="G207" s="3">
        <f>_xll.QS.EVALUATE(C207,F207)</f>
        <v>16419.201689141475</v>
      </c>
      <c r="H207" s="5" t="s">
        <v>455</v>
      </c>
      <c r="I207" s="7">
        <v>1020500</v>
      </c>
      <c r="J207" s="8">
        <v>3.5499999999999997E-2</v>
      </c>
    </row>
    <row r="208" spans="1:10" x14ac:dyDescent="0.25">
      <c r="A208" s="5" t="s">
        <v>443</v>
      </c>
      <c r="B208" s="5" t="s">
        <v>456</v>
      </c>
      <c r="C208" s="6" t="str">
        <f>_xll.QS.CONTEXT.CREATE("market.206",A208,"USD","SOFR")</f>
        <v>QSObject:PricingContext:w1~market.206:20968</v>
      </c>
      <c r="D208" s="6" t="str">
        <f>_xll.QS.CONTEXT.ADD.CURVE(C208,"SOFR",$K$2:$K$7,$L$2:$L$7,,,"Actual360","LogLinear",TRUE)</f>
        <v>QSObject:ContextInput:w1~input.qs_context_add_curve.2359132437744.207.3.0:39706</v>
      </c>
      <c r="E208" s="6" t="str">
        <f>_xll.QS.INSTRUMENT.SWAP("swap.206",H208,B208,"USD","SOFR",I208,J208,0,"Actual360","Simple","Annual","Annual","Annual")</f>
        <v>QSObject:Swap:w1~swap.206:20967</v>
      </c>
      <c r="F208" s="6" t="str">
        <f>_xll.QS.TRADE.CREATE("trade.206",E208,A208,"Receive")</f>
        <v>QSObject:SwapTrade:w1~trade.206:30853</v>
      </c>
      <c r="G208" s="3">
        <f>_xll.QS.EVALUATE(C208,F208)</f>
        <v>16935.631835563996</v>
      </c>
      <c r="H208" s="5" t="s">
        <v>457</v>
      </c>
      <c r="I208" s="7">
        <v>1020600</v>
      </c>
      <c r="J208" s="8">
        <v>3.5600000000000007E-2</v>
      </c>
    </row>
    <row r="209" spans="1:10" x14ac:dyDescent="0.25">
      <c r="A209" s="5" t="s">
        <v>445</v>
      </c>
      <c r="B209" s="5" t="s">
        <v>458</v>
      </c>
      <c r="C209" s="6" t="str">
        <f>_xll.QS.CONTEXT.CREATE("market.207",A209,"USD","SOFR")</f>
        <v>QSObject:PricingContext:w1~market.207:20966</v>
      </c>
      <c r="D209" s="6" t="str">
        <f>_xll.QS.CONTEXT.ADD.CURVE(C209,"SOFR",$K$2:$K$7,$L$2:$L$7,,,"Actual360","LogLinear",TRUE)</f>
        <v>QSObject:ContextInput:w1~input.qs_context_add_curve.2359132437744.208.3.0:39705</v>
      </c>
      <c r="E209" s="6" t="str">
        <f>_xll.QS.INSTRUMENT.SWAP("swap.207",H209,B209,"USD","SOFR",I209,J209,0,"Actual360","Simple","Annual","Annual","Annual")</f>
        <v>QSObject:Swap:w1~swap.207:20965</v>
      </c>
      <c r="F209" s="6" t="str">
        <f>_xll.QS.TRADE.CREATE("trade.207",E209,A209,"Receive")</f>
        <v>QSObject:SwapTrade:w1~trade.207:30852</v>
      </c>
      <c r="G209" s="3">
        <f>_xll.QS.EVALUATE(C209,F209)</f>
        <v>17369.159079580459</v>
      </c>
      <c r="H209" s="5" t="s">
        <v>459</v>
      </c>
      <c r="I209" s="7">
        <v>1020700</v>
      </c>
      <c r="J209" s="8">
        <v>3.5700000000000003E-2</v>
      </c>
    </row>
    <row r="210" spans="1:10" x14ac:dyDescent="0.25">
      <c r="A210" s="5" t="s">
        <v>447</v>
      </c>
      <c r="B210" s="5" t="s">
        <v>460</v>
      </c>
      <c r="C210" s="6" t="str">
        <f>_xll.QS.CONTEXT.CREATE("market.208",A210,"USD","SOFR")</f>
        <v>QSObject:PricingContext:w1~market.208:20964</v>
      </c>
      <c r="D210" s="6" t="str">
        <f>_xll.QS.CONTEXT.ADD.CURVE(C210,"SOFR",$K$2:$K$7,$L$2:$L$7,,,"Actual360","LogLinear",TRUE)</f>
        <v>QSObject:ContextInput:w1~input.qs_context_add_curve.2359132437744.209.3.0:39704</v>
      </c>
      <c r="E210" s="6" t="str">
        <f>_xll.QS.INSTRUMENT.SWAP("swap.208",H210,B210,"USD","SOFR",I210,J210,0,"Actual360","Simple","Annual","Annual","Annual")</f>
        <v>QSObject:Swap:w1~swap.208:20963</v>
      </c>
      <c r="F210" s="6" t="str">
        <f>_xll.QS.TRADE.CREATE("trade.208",E210,A210,"Receive")</f>
        <v>QSObject:SwapTrade:w1~trade.208:30851</v>
      </c>
      <c r="G210" s="3">
        <f>_xll.QS.EVALUATE(C210,F210)</f>
        <v>17777.414331464886</v>
      </c>
      <c r="H210" s="5" t="s">
        <v>461</v>
      </c>
      <c r="I210" s="7">
        <v>1020800</v>
      </c>
      <c r="J210" s="8">
        <v>3.5800000000000012E-2</v>
      </c>
    </row>
    <row r="211" spans="1:10" x14ac:dyDescent="0.25">
      <c r="A211" s="5" t="s">
        <v>449</v>
      </c>
      <c r="B211" s="5" t="s">
        <v>462</v>
      </c>
      <c r="C211" s="6" t="str">
        <f>_xll.QS.CONTEXT.CREATE("market.209",A211,"USD","SOFR")</f>
        <v>QSObject:PricingContext:w1~market.209:20962</v>
      </c>
      <c r="D211" s="6" t="str">
        <f>_xll.QS.CONTEXT.ADD.CURVE(C211,"SOFR",$K$2:$K$7,$L$2:$L$7,,,"Actual360","LogLinear",TRUE)</f>
        <v>QSObject:ContextInput:w1~input.qs_context_add_curve.2359132437744.210.3.0:39703</v>
      </c>
      <c r="E211" s="6" t="str">
        <f>_xll.QS.INSTRUMENT.SWAP("swap.209",H211,B211,"USD","SOFR",I211,J211,0,"Actual360","Simple","Annual","Annual","Annual")</f>
        <v>QSObject:Swap:w1~swap.209:20961</v>
      </c>
      <c r="F211" s="6" t="str">
        <f>_xll.QS.TRADE.CREATE("trade.209",E211,A211,"Receive")</f>
        <v>QSObject:SwapTrade:w1~trade.209:30850</v>
      </c>
      <c r="G211" s="3">
        <f>_xll.QS.EVALUATE(C211,F211)</f>
        <v>18161.78941517455</v>
      </c>
      <c r="H211" s="5" t="s">
        <v>463</v>
      </c>
      <c r="I211" s="7">
        <v>1020900</v>
      </c>
      <c r="J211" s="8">
        <v>3.5900000000000001E-2</v>
      </c>
    </row>
    <row r="212" spans="1:10" x14ac:dyDescent="0.25">
      <c r="A212" s="5" t="s">
        <v>451</v>
      </c>
      <c r="B212" s="5" t="s">
        <v>464</v>
      </c>
      <c r="C212" s="6" t="str">
        <f>_xll.QS.CONTEXT.CREATE("market.210",A212,"USD","SOFR")</f>
        <v>QSObject:PricingContext:w1~market.210:20960</v>
      </c>
      <c r="D212" s="6" t="str">
        <f>_xll.QS.CONTEXT.ADD.CURVE(C212,"SOFR",$K$2:$K$7,$L$2:$L$7,,,"Actual360","LogLinear",TRUE)</f>
        <v>QSObject:ContextInput:w1~input.qs_context_add_curve.2359132437744.211.3.0:39702</v>
      </c>
      <c r="E212" s="6" t="str">
        <f>_xll.QS.INSTRUMENT.SWAP("swap.210",H212,B212,"USD","SOFR",I212,J212,0,"Actual360","Simple","Annual","Annual","Annual")</f>
        <v>QSObject:Swap:w1~swap.210:20959</v>
      </c>
      <c r="F212" s="6" t="str">
        <f>_xll.QS.TRADE.CREATE("trade.210",E212,A212,"Receive")</f>
        <v>QSObject:SwapTrade:w1~trade.210:30849</v>
      </c>
      <c r="G212" s="3">
        <f>_xll.QS.EVALUATE(C212,F212)</f>
        <v>18677.589407735966</v>
      </c>
      <c r="H212" s="5" t="s">
        <v>465</v>
      </c>
      <c r="I212" s="7">
        <v>1021000</v>
      </c>
      <c r="J212" s="8">
        <v>3.5999999999999997E-2</v>
      </c>
    </row>
    <row r="213" spans="1:10" x14ac:dyDescent="0.25">
      <c r="A213" s="5" t="s">
        <v>453</v>
      </c>
      <c r="B213" s="5" t="s">
        <v>466</v>
      </c>
      <c r="C213" s="6" t="str">
        <f>_xll.QS.CONTEXT.CREATE("market.211",A213,"USD","SOFR")</f>
        <v>QSObject:PricingContext:w1~market.211:20958</v>
      </c>
      <c r="D213" s="6" t="str">
        <f>_xll.QS.CONTEXT.ADD.CURVE(C213,"SOFR",$K$2:$K$7,$L$2:$L$7,,,"Actual360","LogLinear",TRUE)</f>
        <v>QSObject:ContextInput:w1~input.qs_context_add_curve.2359132437744.212.3.0:39701</v>
      </c>
      <c r="E213" s="6" t="str">
        <f>_xll.QS.INSTRUMENT.SWAP("swap.211",H213,B213,"USD","SOFR",I213,J213,0,"Actual360","Simple","Annual","Annual","Annual")</f>
        <v>QSObject:Swap:w1~swap.211:20957</v>
      </c>
      <c r="F213" s="6" t="str">
        <f>_xll.QS.TRADE.CREATE("trade.211",E213,A213,"Receive")</f>
        <v>QSObject:SwapTrade:w1~trade.211:30848</v>
      </c>
      <c r="G213" s="3">
        <f>_xll.QS.EVALUATE(C213,F213)</f>
        <v>19179.534849786178</v>
      </c>
      <c r="H213" s="5" t="s">
        <v>467</v>
      </c>
      <c r="I213" s="7">
        <v>1021100</v>
      </c>
      <c r="J213" s="8">
        <v>3.61E-2</v>
      </c>
    </row>
    <row r="214" spans="1:10" x14ac:dyDescent="0.25">
      <c r="A214" s="5" t="s">
        <v>455</v>
      </c>
      <c r="B214" s="5" t="s">
        <v>468</v>
      </c>
      <c r="C214" s="6" t="str">
        <f>_xll.QS.CONTEXT.CREATE("market.212",A214,"USD","SOFR")</f>
        <v>QSObject:PricingContext:w1~market.212:20956</v>
      </c>
      <c r="D214" s="6" t="str">
        <f>_xll.QS.CONTEXT.ADD.CURVE(C214,"SOFR",$K$2:$K$7,$L$2:$L$7,,,"Actual360","LogLinear",TRUE)</f>
        <v>QSObject:ContextInput:w1~input.qs_context_add_curve.2359132437744.213.3.0:39700</v>
      </c>
      <c r="E214" s="6" t="str">
        <f>_xll.QS.INSTRUMENT.SWAP("swap.212",H214,B214,"USD","SOFR",I214,J214,0,"Actual360","Simple","Annual","Annual","Annual")</f>
        <v>QSObject:Swap:w1~swap.212:20955</v>
      </c>
      <c r="F214" s="6" t="str">
        <f>_xll.QS.TRADE.CREATE("trade.212",E214,A214,"Receive")</f>
        <v>QSObject:SwapTrade:w1~trade.212:30847</v>
      </c>
      <c r="G214" s="3">
        <f>_xll.QS.EVALUATE(C214,F214)</f>
        <v>19726.866240138799</v>
      </c>
      <c r="H214" s="5" t="s">
        <v>469</v>
      </c>
      <c r="I214" s="7">
        <v>1021200</v>
      </c>
      <c r="J214" s="8">
        <v>3.6200000000000003E-2</v>
      </c>
    </row>
    <row r="215" spans="1:10" x14ac:dyDescent="0.25">
      <c r="A215" s="5" t="s">
        <v>457</v>
      </c>
      <c r="B215" s="5" t="s">
        <v>470</v>
      </c>
      <c r="C215" s="6" t="str">
        <f>_xll.QS.CONTEXT.CREATE("market.213",A215,"USD","SOFR")</f>
        <v>QSObject:PricingContext:w1~market.213:20954</v>
      </c>
      <c r="D215" s="6" t="str">
        <f>_xll.QS.CONTEXT.ADD.CURVE(C215,"SOFR",$K$2:$K$7,$L$2:$L$7,,,"Actual360","LogLinear",TRUE)</f>
        <v>QSObject:ContextInput:w1~input.qs_context_add_curve.2359132437744.214.3.0:39699</v>
      </c>
      <c r="E215" s="6" t="str">
        <f>_xll.QS.INSTRUMENT.SWAP("swap.213",H215,B215,"USD","SOFR",I215,J215,0,"Actual360","Simple","Annual","Annual","Annual")</f>
        <v>QSObject:Swap:w1~swap.213:20953</v>
      </c>
      <c r="F215" s="6" t="str">
        <f>_xll.QS.TRADE.CREATE("trade.213",E215,A215,"Receive")</f>
        <v>QSObject:SwapTrade:w1~trade.213:30846</v>
      </c>
      <c r="G215" s="3">
        <f>_xll.QS.EVALUATE(C215,F215)</f>
        <v>20244.128777762406</v>
      </c>
      <c r="H215" s="5" t="s">
        <v>471</v>
      </c>
      <c r="I215" s="7">
        <v>1021300</v>
      </c>
      <c r="J215" s="8">
        <v>3.6300000000000013E-2</v>
      </c>
    </row>
    <row r="216" spans="1:10" x14ac:dyDescent="0.25">
      <c r="A216" s="5" t="s">
        <v>459</v>
      </c>
      <c r="B216" s="5" t="s">
        <v>472</v>
      </c>
      <c r="C216" s="6" t="str">
        <f>_xll.QS.CONTEXT.CREATE("market.214",A216,"USD","SOFR")</f>
        <v>QSObject:PricingContext:w1~market.214:20952</v>
      </c>
      <c r="D216" s="6" t="str">
        <f>_xll.QS.CONTEXT.ADD.CURVE(C216,"SOFR",$K$2:$K$7,$L$2:$L$7,,,"Actual360","LogLinear",TRUE)</f>
        <v>QSObject:ContextInput:w1~input.qs_context_add_curve.2359132437744.215.3.0:39698</v>
      </c>
      <c r="E216" s="6" t="str">
        <f>_xll.QS.INSTRUMENT.SWAP("swap.214",H216,B216,"USD","SOFR",I216,J216,0,"Actual360","Simple","Annual","Annual","Annual")</f>
        <v>QSObject:Swap:w1~swap.214:20951</v>
      </c>
      <c r="F216" s="6" t="str">
        <f>_xll.QS.TRADE.CREATE("trade.214",E216,A216,"Receive")</f>
        <v>QSObject:SwapTrade:w1~trade.214:30845</v>
      </c>
      <c r="G216" s="3">
        <f>_xll.QS.EVALUATE(C216,F216)</f>
        <v>20678.3755264596</v>
      </c>
      <c r="H216" s="5" t="s">
        <v>473</v>
      </c>
      <c r="I216" s="7">
        <v>1021400</v>
      </c>
      <c r="J216" s="8">
        <v>3.6400000000000002E-2</v>
      </c>
    </row>
    <row r="217" spans="1:10" x14ac:dyDescent="0.25">
      <c r="A217" s="5" t="s">
        <v>461</v>
      </c>
      <c r="B217" s="5" t="s">
        <v>474</v>
      </c>
      <c r="C217" s="6" t="str">
        <f>_xll.QS.CONTEXT.CREATE("market.215",A217,"USD","SOFR")</f>
        <v>QSObject:PricingContext:w1~market.215:20950</v>
      </c>
      <c r="D217" s="6" t="str">
        <f>_xll.QS.CONTEXT.ADD.CURVE(C217,"SOFR",$K$2:$K$7,$L$2:$L$7,,,"Actual360","LogLinear",TRUE)</f>
        <v>QSObject:ContextInput:w1~input.qs_context_add_curve.2359132437744.216.3.0:39697</v>
      </c>
      <c r="E217" s="6" t="str">
        <f>_xll.QS.INSTRUMENT.SWAP("swap.215",H217,B217,"USD","SOFR",I217,J217,0,"Actual360","Simple","Annual","Annual","Annual")</f>
        <v>QSObject:Swap:w1~swap.215:20949</v>
      </c>
      <c r="F217" s="6" t="str">
        <f>_xll.QS.TRADE.CREATE("trade.215",E217,A217,"Receive")</f>
        <v>QSObject:SwapTrade:w1~trade.215:30844</v>
      </c>
      <c r="G217" s="3">
        <f>_xll.QS.EVALUATE(C217,F217)</f>
        <v>21083.346380151073</v>
      </c>
      <c r="H217" s="5" t="s">
        <v>475</v>
      </c>
      <c r="I217" s="7">
        <v>1021500</v>
      </c>
      <c r="J217" s="8">
        <v>3.6499999999999998E-2</v>
      </c>
    </row>
    <row r="218" spans="1:10" x14ac:dyDescent="0.25">
      <c r="A218" s="5" t="s">
        <v>463</v>
      </c>
      <c r="B218" s="5" t="s">
        <v>476</v>
      </c>
      <c r="C218" s="6" t="str">
        <f>_xll.QS.CONTEXT.CREATE("market.216",A218,"USD","SOFR")</f>
        <v>QSObject:PricingContext:w1~market.216:20948</v>
      </c>
      <c r="D218" s="6" t="str">
        <f>_xll.QS.CONTEXT.ADD.CURVE(C218,"SOFR",$K$2:$K$7,$L$2:$L$7,,,"Actual360","LogLinear",TRUE)</f>
        <v>QSObject:ContextInput:w1~input.qs_context_add_curve.2359132437744.217.3.0:39696</v>
      </c>
      <c r="E218" s="6" t="str">
        <f>_xll.QS.INSTRUMENT.SWAP("swap.216",H218,B218,"USD","SOFR",I218,J218,0,"Actual360","Simple","Annual","Annual","Annual")</f>
        <v>QSObject:Swap:w1~swap.216:20947</v>
      </c>
      <c r="F218" s="6" t="str">
        <f>_xll.QS.TRADE.CREATE("trade.216",E218,A218,"Receive")</f>
        <v>QSObject:SwapTrade:w1~trade.216:30843</v>
      </c>
      <c r="G218" s="3">
        <f>_xll.QS.EVALUATE(C218,F218)</f>
        <v>21473.418035046761</v>
      </c>
      <c r="H218" s="5" t="s">
        <v>477</v>
      </c>
      <c r="I218" s="7">
        <v>1021600</v>
      </c>
      <c r="J218" s="8">
        <v>3.6600000000000001E-2</v>
      </c>
    </row>
    <row r="219" spans="1:10" x14ac:dyDescent="0.25">
      <c r="A219" s="5" t="s">
        <v>465</v>
      </c>
      <c r="B219" s="5" t="s">
        <v>478</v>
      </c>
      <c r="C219" s="6" t="str">
        <f>_xll.QS.CONTEXT.CREATE("market.217",A219,"USD","SOFR")</f>
        <v>QSObject:PricingContext:w1~market.217:20946</v>
      </c>
      <c r="D219" s="6" t="str">
        <f>_xll.QS.CONTEXT.ADD.CURVE(C219,"SOFR",$K$2:$K$7,$L$2:$L$7,,,"Actual360","LogLinear",TRUE)</f>
        <v>QSObject:ContextInput:w1~input.qs_context_add_curve.2359132437744.218.3.0:39695</v>
      </c>
      <c r="E219" s="6" t="str">
        <f>_xll.QS.INSTRUMENT.SWAP("swap.217",H219,B219,"USD","SOFR",I219,J219,0,"Actual360","Simple","Annual","Annual","Annual")</f>
        <v>QSObject:Swap:w1~swap.217:20945</v>
      </c>
      <c r="F219" s="6" t="str">
        <f>_xll.QS.TRADE.CREATE("trade.217",E219,A219,"Receive")</f>
        <v>QSObject:SwapTrade:w1~trade.217:30842</v>
      </c>
      <c r="G219" s="3">
        <f>_xll.QS.EVALUATE(C219,F219)</f>
        <v>21989.976761610953</v>
      </c>
      <c r="H219" s="5" t="s">
        <v>479</v>
      </c>
      <c r="I219" s="7">
        <v>1021700</v>
      </c>
      <c r="J219" s="8">
        <v>3.6700000000000003E-2</v>
      </c>
    </row>
    <row r="220" spans="1:10" x14ac:dyDescent="0.25">
      <c r="A220" s="5" t="s">
        <v>467</v>
      </c>
      <c r="B220" s="5" t="s">
        <v>480</v>
      </c>
      <c r="C220" s="6" t="str">
        <f>_xll.QS.CONTEXT.CREATE("market.218",A220,"USD","SOFR")</f>
        <v>QSObject:PricingContext:w1~market.218:20944</v>
      </c>
      <c r="D220" s="6" t="str">
        <f>_xll.QS.CONTEXT.ADD.CURVE(C220,"SOFR",$K$2:$K$7,$L$2:$L$7,,,"Actual360","LogLinear",TRUE)</f>
        <v>QSObject:ContextInput:w1~input.qs_context_add_curve.2359132437744.219.3.0:39694</v>
      </c>
      <c r="E220" s="6" t="str">
        <f>_xll.QS.INSTRUMENT.SWAP("swap.218",H220,B220,"USD","SOFR",I220,J220,0,"Actual360","Simple","Annual","Annual","Annual")</f>
        <v>QSObject:Swap:w1~swap.218:20943</v>
      </c>
      <c r="F220" s="6" t="str">
        <f>_xll.QS.TRADE.CREATE("trade.218",E220,A220,"Receive")</f>
        <v>QSObject:SwapTrade:w1~trade.218:30841</v>
      </c>
      <c r="G220" s="3">
        <f>_xll.QS.EVALUATE(C220,F220)</f>
        <v>22490.97237810427</v>
      </c>
      <c r="H220" s="5" t="s">
        <v>481</v>
      </c>
      <c r="I220" s="7">
        <v>1021800</v>
      </c>
      <c r="J220" s="8">
        <v>3.6800000000000013E-2</v>
      </c>
    </row>
    <row r="221" spans="1:10" x14ac:dyDescent="0.25">
      <c r="A221" s="5" t="s">
        <v>469</v>
      </c>
      <c r="B221" s="5" t="s">
        <v>482</v>
      </c>
      <c r="C221" s="6" t="str">
        <f>_xll.QS.CONTEXT.CREATE("market.219",A221,"USD","SOFR")</f>
        <v>QSObject:PricingContext:w1~market.219:20942</v>
      </c>
      <c r="D221" s="6" t="str">
        <f>_xll.QS.CONTEXT.ADD.CURVE(C221,"SOFR",$K$2:$K$7,$L$2:$L$7,,,"Actual360","LogLinear",TRUE)</f>
        <v>QSObject:ContextInput:w1~input.qs_context_add_curve.2359132437744.220.3.0:39693</v>
      </c>
      <c r="E221" s="6" t="str">
        <f>_xll.QS.INSTRUMENT.SWAP("swap.219",H221,B221,"USD","SOFR",I221,J221,0,"Actual360","Simple","Annual","Annual","Annual")</f>
        <v>QSObject:Swap:w1~swap.219:20941</v>
      </c>
      <c r="F221" s="6" t="str">
        <f>_xll.QS.TRADE.CREATE("trade.219",E221,A221,"Receive")</f>
        <v>QSObject:SwapTrade:w1~trade.219:30840</v>
      </c>
      <c r="G221" s="3">
        <f>_xll.QS.EVALUATE(C221,F221)</f>
        <v>23039.049947803949</v>
      </c>
      <c r="H221" s="5" t="s">
        <v>483</v>
      </c>
      <c r="I221" s="7">
        <v>1021900</v>
      </c>
      <c r="J221" s="8">
        <v>3.6900000000000002E-2</v>
      </c>
    </row>
    <row r="222" spans="1:10" x14ac:dyDescent="0.25">
      <c r="A222" s="5" t="s">
        <v>471</v>
      </c>
      <c r="B222" s="5" t="s">
        <v>484</v>
      </c>
      <c r="C222" s="6" t="str">
        <f>_xll.QS.CONTEXT.CREATE("market.220",A222,"USD","SOFR")</f>
        <v>QSObject:PricingContext:w1~market.220:20940</v>
      </c>
      <c r="D222" s="6" t="str">
        <f>_xll.QS.CONTEXT.ADD.CURVE(C222,"SOFR",$K$2:$K$7,$L$2:$L$7,,,"Actual360","LogLinear",TRUE)</f>
        <v>QSObject:ContextInput:w1~input.qs_context_add_curve.2359132437744.221.3.0:39692</v>
      </c>
      <c r="E222" s="6" t="str">
        <f>_xll.QS.INSTRUMENT.SWAP("swap.220",H222,B222,"USD","SOFR",I222,J222,0,"Actual360","Simple","Annual","Annual","Annual")</f>
        <v>QSObject:Swap:w1~swap.220:20939</v>
      </c>
      <c r="F222" s="6" t="str">
        <f>_xll.QS.TRADE.CREATE("trade.220",E222,A222,"Receive")</f>
        <v>QSObject:SwapTrade:w1~trade.220:30839</v>
      </c>
      <c r="G222" s="3">
        <f>_xll.QS.EVALUATE(C222,F222)</f>
        <v>23557.023754994076</v>
      </c>
      <c r="H222" s="5" t="s">
        <v>485</v>
      </c>
      <c r="I222" s="7">
        <v>1022000</v>
      </c>
      <c r="J222" s="8">
        <v>3.7000000000000012E-2</v>
      </c>
    </row>
    <row r="223" spans="1:10" x14ac:dyDescent="0.25">
      <c r="A223" s="5" t="s">
        <v>473</v>
      </c>
      <c r="B223" s="5" t="s">
        <v>486</v>
      </c>
      <c r="C223" s="6" t="str">
        <f>_xll.QS.CONTEXT.CREATE("market.221",A223,"USD","SOFR")</f>
        <v>QSObject:PricingContext:w1~market.221:20938</v>
      </c>
      <c r="D223" s="6" t="str">
        <f>_xll.QS.CONTEXT.ADD.CURVE(C223,"SOFR",$K$2:$K$7,$L$2:$L$7,,,"Actual360","LogLinear",TRUE)</f>
        <v>QSObject:ContextInput:w1~input.qs_context_add_curve.2359132437744.222.3.0:39691</v>
      </c>
      <c r="E223" s="6" t="str">
        <f>_xll.QS.INSTRUMENT.SWAP("swap.221",H223,B223,"USD","SOFR",I223,J223,0,"Actual360","Simple","Annual","Annual","Annual")</f>
        <v>QSObject:Swap:w1~swap.221:20937</v>
      </c>
      <c r="F223" s="6" t="str">
        <f>_xll.QS.TRADE.CREATE("trade.221",E223,A223,"Receive")</f>
        <v>QSObject:SwapTrade:w1~trade.221:30838</v>
      </c>
      <c r="G223" s="3">
        <f>_xll.QS.EVALUATE(C223,F223)</f>
        <v>23991.862952467192</v>
      </c>
      <c r="H223" s="5" t="s">
        <v>487</v>
      </c>
      <c r="I223" s="7">
        <v>1022100</v>
      </c>
      <c r="J223" s="8">
        <v>3.7100000000000001E-2</v>
      </c>
    </row>
    <row r="224" spans="1:10" x14ac:dyDescent="0.25">
      <c r="A224" s="5" t="s">
        <v>475</v>
      </c>
      <c r="B224" s="5" t="s">
        <v>488</v>
      </c>
      <c r="C224" s="6" t="str">
        <f>_xll.QS.CONTEXT.CREATE("market.222",A224,"USD","SOFR")</f>
        <v>QSObject:PricingContext:w1~market.222:20936</v>
      </c>
      <c r="D224" s="6" t="str">
        <f>_xll.QS.CONTEXT.ADD.CURVE(C224,"SOFR",$K$2:$K$7,$L$2:$L$7,,,"Actual360","LogLinear",TRUE)</f>
        <v>QSObject:ContextInput:w1~input.qs_context_add_curve.2359132437744.223.3.0:39690</v>
      </c>
      <c r="E224" s="6" t="str">
        <f>_xll.QS.INSTRUMENT.SWAP("swap.222",H224,B224,"USD","SOFR",I224,J224,0,"Actual360","Simple","Annual","Annual","Annual")</f>
        <v>QSObject:Swap:w1~swap.222:20935</v>
      </c>
      <c r="F224" s="6" t="str">
        <f>_xll.QS.TRADE.CREATE("trade.222",E224,A224,"Receive")</f>
        <v>QSObject:SwapTrade:w1~trade.222:30837</v>
      </c>
      <c r="G224" s="3">
        <f>_xll.QS.EVALUATE(C224,F224)</f>
        <v>24393.544213347726</v>
      </c>
      <c r="H224" s="5" t="s">
        <v>489</v>
      </c>
      <c r="I224" s="7">
        <v>1022200</v>
      </c>
      <c r="J224" s="8">
        <v>3.7199999999999997E-2</v>
      </c>
    </row>
    <row r="225" spans="1:10" x14ac:dyDescent="0.25">
      <c r="A225" s="5" t="s">
        <v>477</v>
      </c>
      <c r="B225" s="5" t="s">
        <v>490</v>
      </c>
      <c r="C225" s="6" t="str">
        <f>_xll.QS.CONTEXT.CREATE("market.223",A225,"USD","SOFR")</f>
        <v>QSObject:PricingContext:w1~market.223:20934</v>
      </c>
      <c r="D225" s="6" t="str">
        <f>_xll.QS.CONTEXT.ADD.CURVE(C225,"SOFR",$K$2:$K$7,$L$2:$L$7,,,"Actual360","LogLinear",TRUE)</f>
        <v>QSObject:ContextInput:w1~input.qs_context_add_curve.2359132437744.224.3.0:39689</v>
      </c>
      <c r="E225" s="6" t="str">
        <f>_xll.QS.INSTRUMENT.SWAP("swap.223",H225,B225,"USD","SOFR",I225,J225,0,"Actual360","Simple","Annual","Annual","Annual")</f>
        <v>QSObject:Swap:w1~swap.223:20933</v>
      </c>
      <c r="F225" s="6" t="str">
        <f>_xll.QS.TRADE.CREATE("trade.223",E225,A225,"Receive")</f>
        <v>QSObject:SwapTrade:w1~trade.223:30836</v>
      </c>
      <c r="G225" s="3">
        <f>_xll.QS.EVALUATE(C225,F225)</f>
        <v>24789.320001250791</v>
      </c>
      <c r="H225" s="5" t="s">
        <v>491</v>
      </c>
      <c r="I225" s="7">
        <v>1022300</v>
      </c>
      <c r="J225" s="8">
        <v>3.73E-2</v>
      </c>
    </row>
    <row r="226" spans="1:10" x14ac:dyDescent="0.25">
      <c r="A226" s="5" t="s">
        <v>479</v>
      </c>
      <c r="B226" s="5" t="s">
        <v>492</v>
      </c>
      <c r="C226" s="6" t="str">
        <f>_xll.QS.CONTEXT.CREATE("market.224",A226,"USD","SOFR")</f>
        <v>QSObject:PricingContext:w1~market.224:20932</v>
      </c>
      <c r="D226" s="6" t="str">
        <f>_xll.QS.CONTEXT.ADD.CURVE(C226,"SOFR",$K$2:$K$7,$L$2:$L$7,,,"Actual360","LogLinear",TRUE)</f>
        <v>QSObject:ContextInput:w1~input.qs_context_add_curve.2359132437744.225.3.0:39688</v>
      </c>
      <c r="E226" s="6" t="str">
        <f>_xll.QS.INSTRUMENT.SWAP("swap.224",H226,B226,"USD","SOFR",I226,J226,0,"Actual360","Simple","Annual","Annual","Annual")</f>
        <v>QSObject:Swap:w1~swap.224:20931</v>
      </c>
      <c r="F226" s="6" t="str">
        <f>_xll.QS.TRADE.CREATE("trade.224",E226,A226,"Receive")</f>
        <v>QSObject:SwapTrade:w1~trade.224:30835</v>
      </c>
      <c r="G226" s="3">
        <f>_xll.QS.EVALUATE(C226,F226)</f>
        <v>25306.885417958769</v>
      </c>
      <c r="H226" s="5" t="s">
        <v>493</v>
      </c>
      <c r="I226" s="7">
        <v>1022400</v>
      </c>
      <c r="J226" s="8">
        <v>3.7400000000000003E-2</v>
      </c>
    </row>
    <row r="227" spans="1:10" x14ac:dyDescent="0.25">
      <c r="A227" s="5" t="s">
        <v>481</v>
      </c>
      <c r="B227" s="5" t="s">
        <v>494</v>
      </c>
      <c r="C227" s="6" t="str">
        <f>_xll.QS.CONTEXT.CREATE("market.225",A227,"USD","SOFR")</f>
        <v>QSObject:PricingContext:w1~market.225:20930</v>
      </c>
      <c r="D227" s="6" t="str">
        <f>_xll.QS.CONTEXT.ADD.CURVE(C227,"SOFR",$K$2:$K$7,$L$2:$L$7,,,"Actual360","LogLinear",TRUE)</f>
        <v>QSObject:ContextInput:w1~input.qs_context_add_curve.2359132437744.226.3.0:39687</v>
      </c>
      <c r="E227" s="6" t="str">
        <f>_xll.QS.INSTRUMENT.SWAP("swap.225",H227,B227,"USD","SOFR",I227,J227,0,"Actual360","Simple","Annual","Annual","Annual")</f>
        <v>QSObject:Swap:w1~swap.225:20929</v>
      </c>
      <c r="F227" s="6" t="str">
        <f>_xll.QS.TRADE.CREATE("trade.225",E227,A227,"Receive")</f>
        <v>QSObject:SwapTrade:w1~trade.225:30834</v>
      </c>
      <c r="G227" s="3">
        <f>_xll.QS.EVALUATE(C227,F227)</f>
        <v>25806.928995279945</v>
      </c>
      <c r="H227" s="5" t="s">
        <v>495</v>
      </c>
      <c r="I227" s="7">
        <v>1022500</v>
      </c>
      <c r="J227" s="8">
        <v>3.7500000000000012E-2</v>
      </c>
    </row>
    <row r="228" spans="1:10" x14ac:dyDescent="0.25">
      <c r="A228" s="5" t="s">
        <v>483</v>
      </c>
      <c r="B228" s="5" t="s">
        <v>496</v>
      </c>
      <c r="C228" s="6" t="str">
        <f>_xll.QS.CONTEXT.CREATE("market.226",A228,"USD","SOFR")</f>
        <v>QSObject:PricingContext:w1~market.226:20928</v>
      </c>
      <c r="D228" s="6" t="str">
        <f>_xll.QS.CONTEXT.ADD.CURVE(C228,"SOFR",$K$2:$K$7,$L$2:$L$7,,,"Actual360","LogLinear",TRUE)</f>
        <v>QSObject:ContextInput:w1~input.qs_context_add_curve.2359132437744.227.3.0:39686</v>
      </c>
      <c r="E228" s="6" t="str">
        <f>_xll.QS.INSTRUMENT.SWAP("swap.226",H228,B228,"USD","SOFR",I228,J228,0,"Actual360","Simple","Annual","Annual","Annual")</f>
        <v>QSObject:Swap:w1~swap.226:20927</v>
      </c>
      <c r="F228" s="6" t="str">
        <f>_xll.QS.TRADE.CREATE("trade.226",E228,A228,"Receive")</f>
        <v>QSObject:SwapTrade:w1~trade.226:30833</v>
      </c>
      <c r="G228" s="3">
        <f>_xll.QS.EVALUATE(C228,F228)</f>
        <v>26355.752812137045</v>
      </c>
      <c r="H228" s="5" t="s">
        <v>497</v>
      </c>
      <c r="I228" s="7">
        <v>1022600</v>
      </c>
      <c r="J228" s="8">
        <v>3.7600000000000001E-2</v>
      </c>
    </row>
    <row r="229" spans="1:10" x14ac:dyDescent="0.25">
      <c r="A229" s="5" t="s">
        <v>485</v>
      </c>
      <c r="B229" s="5" t="s">
        <v>498</v>
      </c>
      <c r="C229" s="6" t="str">
        <f>_xll.QS.CONTEXT.CREATE("market.227",A229,"USD","SOFR")</f>
        <v>QSObject:PricingContext:w1~market.227:20926</v>
      </c>
      <c r="D229" s="6" t="str">
        <f>_xll.QS.CONTEXT.ADD.CURVE(C229,"SOFR",$K$2:$K$7,$L$2:$L$7,,,"Actual360","LogLinear",TRUE)</f>
        <v>QSObject:ContextInput:w1~input.qs_context_add_curve.2359132437744.228.3.0:39685</v>
      </c>
      <c r="E229" s="6" t="str">
        <f>_xll.QS.INSTRUMENT.SWAP("swap.227",H229,B229,"USD","SOFR",I229,J229,0,"Actual360","Simple","Annual","Annual","Annual")</f>
        <v>QSObject:Swap:w1~swap.227:20925</v>
      </c>
      <c r="F229" s="6" t="str">
        <f>_xll.QS.TRADE.CREATE("trade.227",E229,A229,"Receive")</f>
        <v>QSObject:SwapTrade:w1~trade.227:30832</v>
      </c>
      <c r="G229" s="3">
        <f>_xll.QS.EVALUATE(C229,F229)</f>
        <v>26874.437937200957</v>
      </c>
      <c r="H229" s="5" t="s">
        <v>499</v>
      </c>
      <c r="I229" s="7">
        <v>1022700</v>
      </c>
      <c r="J229" s="8">
        <v>3.7699999999999997E-2</v>
      </c>
    </row>
    <row r="230" spans="1:10" x14ac:dyDescent="0.25">
      <c r="A230" s="5" t="s">
        <v>487</v>
      </c>
      <c r="B230" s="5" t="s">
        <v>500</v>
      </c>
      <c r="C230" s="6" t="str">
        <f>_xll.QS.CONTEXT.CREATE("market.228",A230,"USD","SOFR")</f>
        <v>QSObject:PricingContext:w1~market.228:20924</v>
      </c>
      <c r="D230" s="6" t="str">
        <f>_xll.QS.CONTEXT.ADD.CURVE(C230,"SOFR",$K$2:$K$7,$L$2:$L$7,,,"Actual360","LogLinear",TRUE)</f>
        <v>QSObject:ContextInput:w1~input.qs_context_add_curve.2359132437744.229.3.0:39684</v>
      </c>
      <c r="E230" s="6" t="str">
        <f>_xll.QS.INSTRUMENT.SWAP("swap.228",H230,B230,"USD","SOFR",I230,J230,0,"Actual360","Simple","Annual","Annual","Annual")</f>
        <v>QSObject:Swap:w1~swap.228:20923</v>
      </c>
      <c r="F230" s="6" t="str">
        <f>_xll.QS.TRADE.CREATE("trade.228",E230,A230,"Receive")</f>
        <v>QSObject:SwapTrade:w1~trade.228:30831</v>
      </c>
      <c r="G230" s="3">
        <f>_xll.QS.EVALUATE(C230,F230)</f>
        <v>27309.869547019145</v>
      </c>
      <c r="H230" s="5" t="s">
        <v>501</v>
      </c>
      <c r="I230" s="7">
        <v>1022800</v>
      </c>
      <c r="J230" s="8">
        <v>3.78E-2</v>
      </c>
    </row>
    <row r="231" spans="1:10" x14ac:dyDescent="0.25">
      <c r="A231" s="5" t="s">
        <v>489</v>
      </c>
      <c r="B231" s="5" t="s">
        <v>502</v>
      </c>
      <c r="C231" s="6" t="str">
        <f>_xll.QS.CONTEXT.CREATE("market.229",A231,"USD","SOFR")</f>
        <v>QSObject:PricingContext:w1~market.229:20922</v>
      </c>
      <c r="D231" s="6" t="str">
        <f>_xll.QS.CONTEXT.ADD.CURVE(C231,"SOFR",$K$2:$K$7,$L$2:$L$7,,,"Actual360","LogLinear",TRUE)</f>
        <v>QSObject:ContextInput:w1~input.qs_context_add_curve.2359132437744.230.3.0:39683</v>
      </c>
      <c r="E231" s="6" t="str">
        <f>_xll.QS.INSTRUMENT.SWAP("swap.229",H231,B231,"USD","SOFR",I231,J231,0,"Actual360","Simple","Annual","Annual","Annual")</f>
        <v>QSObject:Swap:w1~swap.229:20921</v>
      </c>
      <c r="F231" s="6" t="str">
        <f>_xll.QS.TRADE.CREATE("trade.229",E231,A231,"Receive")</f>
        <v>QSObject:SwapTrade:w1~trade.229:30830</v>
      </c>
      <c r="G231" s="3">
        <f>_xll.QS.EVALUATE(C231,F231)</f>
        <v>27708.255889396285</v>
      </c>
      <c r="H231" s="5" t="s">
        <v>503</v>
      </c>
      <c r="I231" s="7">
        <v>1022900</v>
      </c>
      <c r="J231" s="8">
        <v>3.7900000000000003E-2</v>
      </c>
    </row>
    <row r="232" spans="1:10" x14ac:dyDescent="0.25">
      <c r="A232" s="5" t="s">
        <v>491</v>
      </c>
      <c r="B232" s="5" t="s">
        <v>504</v>
      </c>
      <c r="C232" s="6" t="str">
        <f>_xll.QS.CONTEXT.CREATE("market.230",A232,"USD","SOFR")</f>
        <v>QSObject:PricingContext:w1~market.230:20920</v>
      </c>
      <c r="D232" s="6" t="str">
        <f>_xll.QS.CONTEXT.ADD.CURVE(C232,"SOFR",$K$2:$K$7,$L$2:$L$7,,,"Actual360","LogLinear",TRUE)</f>
        <v>QSObject:ContextInput:w1~input.qs_context_add_curve.2359132437744.231.3.0:39682</v>
      </c>
      <c r="E232" s="6" t="str">
        <f>_xll.QS.INSTRUMENT.SWAP("swap.230",H232,B232,"USD","SOFR",I232,J232,0,"Actual360","Simple","Annual","Annual","Annual")</f>
        <v>QSObject:Swap:w1~swap.230:20919</v>
      </c>
      <c r="F232" s="6" t="str">
        <f>_xll.QS.TRADE.CREATE("trade.230",E232,A232,"Receive")</f>
        <v>QSObject:SwapTrade:w1~trade.230:30829</v>
      </c>
      <c r="G232" s="3">
        <f>_xll.QS.EVALUATE(C232,F232)</f>
        <v>28109.742816268055</v>
      </c>
      <c r="H232" s="5" t="s">
        <v>505</v>
      </c>
      <c r="I232" s="7">
        <v>1023000</v>
      </c>
      <c r="J232" s="8">
        <v>3.8000000000000013E-2</v>
      </c>
    </row>
    <row r="233" spans="1:10" x14ac:dyDescent="0.25">
      <c r="A233" s="5" t="s">
        <v>493</v>
      </c>
      <c r="B233" s="5" t="s">
        <v>506</v>
      </c>
      <c r="C233" s="6" t="str">
        <f>_xll.QS.CONTEXT.CREATE("market.231",A233,"USD","SOFR")</f>
        <v>QSObject:PricingContext:w1~market.231:20918</v>
      </c>
      <c r="D233" s="6" t="str">
        <f>_xll.QS.CONTEXT.ADD.CURVE(C233,"SOFR",$K$2:$K$7,$L$2:$L$7,,,"Actual360","LogLinear",TRUE)</f>
        <v>QSObject:ContextInput:w1~input.qs_context_add_curve.2359132437744.232.3.0:39681</v>
      </c>
      <c r="E233" s="6" t="str">
        <f>_xll.QS.INSTRUMENT.SWAP("swap.231",H233,B233,"USD","SOFR",I233,J233,0,"Actual360","Simple","Annual","Annual","Annual")</f>
        <v>QSObject:Swap:w1~swap.231:20917</v>
      </c>
      <c r="F233" s="6" t="str">
        <f>_xll.QS.TRADE.CREATE("trade.231",E233,A233,"Receive")</f>
        <v>QSObject:SwapTrade:w1~trade.231:30828</v>
      </c>
      <c r="G233" s="3">
        <f>_xll.QS.EVALUATE(C233,F233)</f>
        <v>28628.315376779472</v>
      </c>
      <c r="H233" s="5" t="s">
        <v>507</v>
      </c>
      <c r="I233" s="7">
        <v>1023100</v>
      </c>
      <c r="J233" s="8">
        <v>3.8100000000000002E-2</v>
      </c>
    </row>
    <row r="234" spans="1:10" x14ac:dyDescent="0.25">
      <c r="A234" s="5" t="s">
        <v>495</v>
      </c>
      <c r="B234" s="5" t="s">
        <v>508</v>
      </c>
      <c r="C234" s="6" t="str">
        <f>_xll.QS.CONTEXT.CREATE("market.232",A234,"USD","SOFR")</f>
        <v>QSObject:PricingContext:w1~market.232:20916</v>
      </c>
      <c r="D234" s="6" t="str">
        <f>_xll.QS.CONTEXT.ADD.CURVE(C234,"SOFR",$K$2:$K$7,$L$2:$L$7,,,"Actual360","LogLinear",TRUE)</f>
        <v>QSObject:ContextInput:w1~input.qs_context_add_curve.2359132437744.233.3.0:39680</v>
      </c>
      <c r="E234" s="6" t="str">
        <f>_xll.QS.INSTRUMENT.SWAP("swap.232",H234,B234,"USD","SOFR",I234,J234,0,"Actual360","Simple","Annual","Annual","Annual")</f>
        <v>QSObject:Swap:w1~swap.232:20915</v>
      </c>
      <c r="F234" s="6" t="str">
        <f>_xll.QS.TRADE.CREATE("trade.232",E234,A234,"Receive")</f>
        <v>QSObject:SwapTrade:w1~trade.232:30827</v>
      </c>
      <c r="G234" s="3">
        <f>_xll.QS.EVALUATE(C234,F234)</f>
        <v>29127.404701313077</v>
      </c>
      <c r="H234" s="5" t="s">
        <v>509</v>
      </c>
      <c r="I234" s="7">
        <v>1023200</v>
      </c>
      <c r="J234" s="8">
        <v>3.8199999999999998E-2</v>
      </c>
    </row>
    <row r="235" spans="1:10" x14ac:dyDescent="0.25">
      <c r="A235" s="5" t="s">
        <v>497</v>
      </c>
      <c r="B235" s="5" t="s">
        <v>510</v>
      </c>
      <c r="C235" s="6" t="str">
        <f>_xll.QS.CONTEXT.CREATE("market.233",A235,"USD","SOFR")</f>
        <v>QSObject:PricingContext:w1~market.233:20914</v>
      </c>
      <c r="D235" s="6" t="str">
        <f>_xll.QS.CONTEXT.ADD.CURVE(C235,"SOFR",$K$2:$K$7,$L$2:$L$7,,,"Actual360","LogLinear",TRUE)</f>
        <v>QSObject:ContextInput:w1~input.qs_context_add_curve.2359132437744.234.3.0:39679</v>
      </c>
      <c r="E235" s="6" t="str">
        <f>_xll.QS.INSTRUMENT.SWAP("swap.233",H235,B235,"USD","SOFR",I235,J235,0,"Actual360","Simple","Annual","Annual","Annual")</f>
        <v>QSObject:Swap:w1~swap.233:20913</v>
      </c>
      <c r="F235" s="6" t="str">
        <f>_xll.QS.TRADE.CREATE("trade.233",E235,A235,"Receive")</f>
        <v>QSObject:SwapTrade:w1~trade.233:30826</v>
      </c>
      <c r="G235" s="3">
        <f>_xll.QS.EVALUATE(C235,F235)</f>
        <v>29676.974833137891</v>
      </c>
      <c r="H235" s="5" t="s">
        <v>511</v>
      </c>
      <c r="I235" s="7">
        <v>1023300</v>
      </c>
      <c r="J235" s="8">
        <v>3.8300000000000001E-2</v>
      </c>
    </row>
    <row r="236" spans="1:10" x14ac:dyDescent="0.25">
      <c r="A236" s="5" t="s">
        <v>499</v>
      </c>
      <c r="B236" s="5" t="s">
        <v>512</v>
      </c>
      <c r="C236" s="6" t="str">
        <f>_xll.QS.CONTEXT.CREATE("market.234",A236,"USD","SOFR")</f>
        <v>QSObject:PricingContext:w1~market.234:20912</v>
      </c>
      <c r="D236" s="6" t="str">
        <f>_xll.QS.CONTEXT.ADD.CURVE(C236,"SOFR",$K$2:$K$7,$L$2:$L$7,,,"Actual360","LogLinear",TRUE)</f>
        <v>QSObject:ContextInput:w1~input.qs_context_add_curve.2359132437744.235.3.0:39678</v>
      </c>
      <c r="E236" s="6" t="str">
        <f>_xll.QS.INSTRUMENT.SWAP("swap.234",H236,B236,"USD","SOFR",I236,J236,0,"Actual360","Simple","Annual","Annual","Annual")</f>
        <v>QSObject:Swap:w1~swap.234:20911</v>
      </c>
      <c r="F236" s="6" t="str">
        <f>_xll.QS.TRADE.CREATE("trade.234",E236,A236,"Receive")</f>
        <v>QSObject:SwapTrade:w1~trade.234:30825</v>
      </c>
      <c r="G236" s="3">
        <f>_xll.QS.EVALUATE(C236,F236)</f>
        <v>30196.371324382955</v>
      </c>
      <c r="H236" s="5" t="s">
        <v>513</v>
      </c>
      <c r="I236" s="7">
        <v>1023400</v>
      </c>
      <c r="J236" s="8">
        <v>3.8399999999999997E-2</v>
      </c>
    </row>
    <row r="237" spans="1:10" x14ac:dyDescent="0.25">
      <c r="A237" s="5" t="s">
        <v>501</v>
      </c>
      <c r="B237" s="5" t="s">
        <v>514</v>
      </c>
      <c r="C237" s="6" t="str">
        <f>_xll.QS.CONTEXT.CREATE("market.235",A237,"USD","SOFR")</f>
        <v>QSObject:PricingContext:w1~market.235:20910</v>
      </c>
      <c r="D237" s="6" t="str">
        <f>_xll.QS.CONTEXT.ADD.CURVE(C237,"SOFR",$K$2:$K$7,$L$2:$L$7,,,"Actual360","LogLinear",TRUE)</f>
        <v>QSObject:ContextInput:w1~input.qs_context_add_curve.2359132437744.236.3.0:39677</v>
      </c>
      <c r="E237" s="6" t="str">
        <f>_xll.QS.INSTRUMENT.SWAP("swap.235",H237,B237,"USD","SOFR",I237,J237,0,"Actual360","Simple","Annual","Annual","Annual")</f>
        <v>QSObject:Swap:w1~swap.235:20909</v>
      </c>
      <c r="F237" s="6" t="str">
        <f>_xll.QS.TRADE.CREATE("trade.235",E237,A237,"Receive")</f>
        <v>QSObject:SwapTrade:w1~trade.235:30824</v>
      </c>
      <c r="G237" s="3">
        <f>_xll.QS.EVALUATE(C237,F237)</f>
        <v>30632.566040927919</v>
      </c>
      <c r="H237" s="5" t="s">
        <v>515</v>
      </c>
      <c r="I237" s="7">
        <v>1023500</v>
      </c>
      <c r="J237" s="8">
        <v>3.8500000000000013E-2</v>
      </c>
    </row>
    <row r="238" spans="1:10" x14ac:dyDescent="0.25">
      <c r="A238" s="5" t="s">
        <v>503</v>
      </c>
      <c r="B238" s="5" t="s">
        <v>516</v>
      </c>
      <c r="C238" s="6" t="str">
        <f>_xll.QS.CONTEXT.CREATE("market.236",A238,"USD","SOFR")</f>
        <v>QSObject:PricingContext:w1~market.236:20908</v>
      </c>
      <c r="D238" s="6" t="str">
        <f>_xll.QS.CONTEXT.ADD.CURVE(C238,"SOFR",$K$2:$K$7,$L$2:$L$7,,,"Actual360","LogLinear",TRUE)</f>
        <v>QSObject:ContextInput:w1~input.qs_context_add_curve.2359132437744.237.3.0:39676</v>
      </c>
      <c r="E238" s="6" t="str">
        <f>_xll.QS.INSTRUMENT.SWAP("swap.236",H238,B238,"USD","SOFR",I238,J238,0,"Actual360","Simple","Annual","Annual","Annual")</f>
        <v>QSObject:Swap:w1~swap.236:20907</v>
      </c>
      <c r="F238" s="6" t="str">
        <f>_xll.QS.TRADE.CREATE("trade.236",E238,A238,"Receive")</f>
        <v>QSObject:SwapTrade:w1~trade.236:30823</v>
      </c>
      <c r="G238" s="3">
        <f>_xll.QS.EVALUATE(C238,F238)</f>
        <v>31007.815246637812</v>
      </c>
      <c r="H238" s="5" t="s">
        <v>517</v>
      </c>
      <c r="I238" s="7">
        <v>1023600</v>
      </c>
      <c r="J238" s="8">
        <v>3.8600000000000002E-2</v>
      </c>
    </row>
    <row r="239" spans="1:10" x14ac:dyDescent="0.25">
      <c r="A239" s="5" t="s">
        <v>505</v>
      </c>
      <c r="B239" s="5" t="s">
        <v>518</v>
      </c>
      <c r="C239" s="6" t="str">
        <f>_xll.QS.CONTEXT.CREATE("market.237",A239,"USD","SOFR")</f>
        <v>QSObject:PricingContext:w1~market.237:20906</v>
      </c>
      <c r="D239" s="6" t="str">
        <f>_xll.QS.CONTEXT.ADD.CURVE(C239,"SOFR",$K$2:$K$7,$L$2:$L$7,,,"Actual360","LogLinear",TRUE)</f>
        <v>QSObject:ContextInput:w1~input.qs_context_add_curve.2359132437744.238.3.0:39675</v>
      </c>
      <c r="E239" s="6" t="str">
        <f>_xll.QS.INSTRUMENT.SWAP("swap.237",H239,B239,"USD","SOFR",I239,J239,0,"Actual360","Simple","Annual","Annual","Annual")</f>
        <v>QSObject:Swap:w1~swap.237:20905</v>
      </c>
      <c r="F239" s="6" t="str">
        <f>_xll.QS.TRADE.CREATE("trade.237",E239,A239,"Receive")</f>
        <v>QSObject:SwapTrade:w1~trade.237:30822</v>
      </c>
      <c r="G239" s="3">
        <f>_xll.QS.EVALUATE(C239,F239)</f>
        <v>31391.443795787603</v>
      </c>
      <c r="H239" s="5" t="s">
        <v>519</v>
      </c>
      <c r="I239" s="7">
        <v>1023700</v>
      </c>
      <c r="J239" s="8">
        <v>3.8700000000000012E-2</v>
      </c>
    </row>
    <row r="240" spans="1:10" x14ac:dyDescent="0.25">
      <c r="A240" s="5" t="s">
        <v>507</v>
      </c>
      <c r="B240" s="5" t="s">
        <v>520</v>
      </c>
      <c r="C240" s="6" t="str">
        <f>_xll.QS.CONTEXT.CREATE("market.238",A240,"USD","SOFR")</f>
        <v>QSObject:PricingContext:w1~market.238:20904</v>
      </c>
      <c r="D240" s="6" t="str">
        <f>_xll.QS.CONTEXT.ADD.CURVE(C240,"SOFR",$K$2:$K$7,$L$2:$L$7,,,"Actual360","LogLinear",TRUE)</f>
        <v>QSObject:ContextInput:w1~input.qs_context_add_curve.2359132437744.239.3.0:39674</v>
      </c>
      <c r="E240" s="6" t="str">
        <f>_xll.QS.INSTRUMENT.SWAP("swap.238",H240,B240,"USD","SOFR",I240,J240,0,"Actual360","Simple","Annual","Annual","Annual")</f>
        <v>QSObject:Swap:w1~swap.238:20903</v>
      </c>
      <c r="F240" s="6" t="str">
        <f>_xll.QS.TRADE.CREATE("trade.238",E240,A240,"Receive")</f>
        <v>QSObject:SwapTrade:w1~trade.238:30821</v>
      </c>
      <c r="G240" s="3">
        <f>_xll.QS.EVALUATE(C240,F240)</f>
        <v>31911.297644916125</v>
      </c>
      <c r="H240" s="5" t="s">
        <v>521</v>
      </c>
      <c r="I240" s="7">
        <v>1023800</v>
      </c>
      <c r="J240" s="8">
        <v>3.8800000000000001E-2</v>
      </c>
    </row>
    <row r="241" spans="1:10" x14ac:dyDescent="0.25">
      <c r="A241" s="5" t="s">
        <v>509</v>
      </c>
      <c r="B241" s="5" t="s">
        <v>522</v>
      </c>
      <c r="C241" s="6" t="str">
        <f>_xll.QS.CONTEXT.CREATE("market.239",A241,"USD","SOFR")</f>
        <v>QSObject:PricingContext:w1~market.239:20902</v>
      </c>
      <c r="D241" s="6" t="str">
        <f>_xll.QS.CONTEXT.ADD.CURVE(C241,"SOFR",$K$2:$K$7,$L$2:$L$7,,,"Actual360","LogLinear",TRUE)</f>
        <v>QSObject:ContextInput:w1~input.qs_context_add_curve.2359132437744.240.3.0:39673</v>
      </c>
      <c r="E241" s="6" t="str">
        <f>_xll.QS.INSTRUMENT.SWAP("swap.239",H241,B241,"USD","SOFR",I241,J241,0,"Actual360","Simple","Annual","Annual","Annual")</f>
        <v>QSObject:Swap:w1~swap.239:20901</v>
      </c>
      <c r="F241" s="6" t="str">
        <f>_xll.QS.TRADE.CREATE("trade.239",E241,A241,"Receive")</f>
        <v>QSObject:SwapTrade:w1~trade.239:30820</v>
      </c>
      <c r="G241" s="3">
        <f>_xll.QS.EVALUATE(C241,F241)</f>
        <v>32429.767100272376</v>
      </c>
      <c r="H241" s="5" t="s">
        <v>523</v>
      </c>
      <c r="I241" s="7">
        <v>1023900</v>
      </c>
      <c r="J241" s="8">
        <v>3.8899999999999997E-2</v>
      </c>
    </row>
    <row r="242" spans="1:10" x14ac:dyDescent="0.25">
      <c r="A242" s="5" t="s">
        <v>511</v>
      </c>
      <c r="B242" s="5" t="s">
        <v>524</v>
      </c>
      <c r="C242" s="6" t="str">
        <f>_xll.QS.CONTEXT.CREATE("market.240",A242,"USD","SOFR")</f>
        <v>QSObject:PricingContext:w1~market.240:20900</v>
      </c>
      <c r="D242" s="6" t="str">
        <f>_xll.QS.CONTEXT.ADD.CURVE(C242,"SOFR",$K$2:$K$7,$L$2:$L$7,,,"Actual360","LogLinear",TRUE)</f>
        <v>QSObject:ContextInput:w1~input.qs_context_add_curve.2359132437744.241.3.0:39672</v>
      </c>
      <c r="E242" s="6" t="str">
        <f>_xll.QS.INSTRUMENT.SWAP("swap.240",H242,B242,"USD","SOFR",I242,J242,0,"Actual360","Simple","Annual","Annual","Annual")</f>
        <v>QSObject:Swap:w1~swap.240:20899</v>
      </c>
      <c r="F242" s="6" t="str">
        <f>_xll.QS.TRADE.CREATE("trade.240",E242,A242,"Receive")</f>
        <v>QSObject:SwapTrade:w1~trade.240:30819</v>
      </c>
      <c r="G242" s="3">
        <f>_xll.QS.EVALUATE(C242,F242)</f>
        <v>33041.037915634704</v>
      </c>
      <c r="H242" s="5" t="s">
        <v>525</v>
      </c>
      <c r="I242" s="7">
        <v>1024000</v>
      </c>
      <c r="J242" s="8">
        <v>3.9000000000000007E-2</v>
      </c>
    </row>
    <row r="243" spans="1:10" x14ac:dyDescent="0.25">
      <c r="A243" s="5" t="s">
        <v>513</v>
      </c>
      <c r="B243" s="5" t="s">
        <v>526</v>
      </c>
      <c r="C243" s="6" t="str">
        <f>_xll.QS.CONTEXT.CREATE("market.241",A243,"USD","SOFR")</f>
        <v>QSObject:PricingContext:w1~market.241:20898</v>
      </c>
      <c r="D243" s="6" t="str">
        <f>_xll.QS.CONTEXT.ADD.CURVE(C243,"SOFR",$K$2:$K$7,$L$2:$L$7,,,"Actual360","LogLinear",TRUE)</f>
        <v>QSObject:ContextInput:w1~input.qs_context_add_curve.2359132437744.242.3.0:39671</v>
      </c>
      <c r="E243" s="6" t="str">
        <f>_xll.QS.INSTRUMENT.SWAP("swap.241",H243,B243,"USD","SOFR",I243,J243,0,"Actual360","Simple","Annual","Annual","Annual")</f>
        <v>QSObject:Swap:w1~swap.241:20897</v>
      </c>
      <c r="F243" s="6" t="str">
        <f>_xll.QS.TRADE.CREATE("trade.241",E243,A243,"Receive")</f>
        <v>QSObject:SwapTrade:w1~trade.241:30818</v>
      </c>
      <c r="G243" s="3">
        <f>_xll.QS.EVALUATE(C243,F243)</f>
        <v>33525.679277778363</v>
      </c>
      <c r="H243" s="5" t="s">
        <v>527</v>
      </c>
      <c r="I243" s="7">
        <v>1024100</v>
      </c>
      <c r="J243" s="8">
        <v>3.9100000000000003E-2</v>
      </c>
    </row>
    <row r="244" spans="1:10" x14ac:dyDescent="0.25">
      <c r="A244" s="5" t="s">
        <v>515</v>
      </c>
      <c r="B244" s="5" t="s">
        <v>528</v>
      </c>
      <c r="C244" s="6" t="str">
        <f>_xll.QS.CONTEXT.CREATE("market.242",A244,"USD","SOFR")</f>
        <v>QSObject:PricingContext:w1~market.242:20896</v>
      </c>
      <c r="D244" s="6" t="str">
        <f>_xll.QS.CONTEXT.ADD.CURVE(C244,"SOFR",$K$2:$K$7,$L$2:$L$7,,,"Actual360","LogLinear",TRUE)</f>
        <v>QSObject:ContextInput:w1~input.qs_context_add_curve.2359132437744.243.3.0:39670</v>
      </c>
      <c r="E244" s="6" t="str">
        <f>_xll.QS.INSTRUMENT.SWAP("swap.242",H244,B244,"USD","SOFR",I244,J244,0,"Actual360","Simple","Annual","Annual","Annual")</f>
        <v>QSObject:Swap:w1~swap.242:20895</v>
      </c>
      <c r="F244" s="6" t="str">
        <f>_xll.QS.TRADE.CREATE("trade.242",E244,A244,"Receive")</f>
        <v>QSObject:SwapTrade:w1~trade.242:30817</v>
      </c>
      <c r="G244" s="3">
        <f>_xll.QS.EVALUATE(C244,F244)</f>
        <v>34001.495402811575</v>
      </c>
      <c r="H244" s="5" t="s">
        <v>529</v>
      </c>
      <c r="I244" s="7">
        <v>1024200</v>
      </c>
      <c r="J244" s="8">
        <v>3.9200000000000013E-2</v>
      </c>
    </row>
    <row r="245" spans="1:10" x14ac:dyDescent="0.25">
      <c r="A245" s="5" t="s">
        <v>517</v>
      </c>
      <c r="B245" s="5" t="s">
        <v>530</v>
      </c>
      <c r="C245" s="6" t="str">
        <f>_xll.QS.CONTEXT.CREATE("market.243",A245,"USD","SOFR")</f>
        <v>QSObject:PricingContext:w1~market.243:20894</v>
      </c>
      <c r="D245" s="6" t="str">
        <f>_xll.QS.CONTEXT.ADD.CURVE(C245,"SOFR",$K$2:$K$7,$L$2:$L$7,,,"Actual360","LogLinear",TRUE)</f>
        <v>QSObject:ContextInput:w1~input.qs_context_add_curve.2359132437744.244.3.0:39669</v>
      </c>
      <c r="E245" s="6" t="str">
        <f>_xll.QS.INSTRUMENT.SWAP("swap.243",H245,B245,"USD","SOFR",I245,J245,0,"Actual360","Simple","Annual","Annual","Annual")</f>
        <v>QSObject:Swap:w1~swap.243:20893</v>
      </c>
      <c r="F245" s="6" t="str">
        <f>_xll.QS.TRADE.CREATE("trade.243",E245,A245,"Receive")</f>
        <v>QSObject:SwapTrade:w1~trade.243:30816</v>
      </c>
      <c r="G245" s="3">
        <f>_xll.QS.EVALUATE(C245,F245)</f>
        <v>34393.441671259039</v>
      </c>
      <c r="H245" s="5" t="s">
        <v>531</v>
      </c>
      <c r="I245" s="7">
        <v>1024300</v>
      </c>
      <c r="J245" s="8">
        <v>3.9300000000000002E-2</v>
      </c>
    </row>
    <row r="246" spans="1:10" x14ac:dyDescent="0.25">
      <c r="A246" s="5" t="s">
        <v>519</v>
      </c>
      <c r="B246" s="5" t="s">
        <v>532</v>
      </c>
      <c r="C246" s="6" t="str">
        <f>_xll.QS.CONTEXT.CREATE("market.244",A246,"USD","SOFR")</f>
        <v>QSObject:PricingContext:w1~market.244:20892</v>
      </c>
      <c r="D246" s="6" t="str">
        <f>_xll.QS.CONTEXT.ADD.CURVE(C246,"SOFR",$K$2:$K$7,$L$2:$L$7,,,"Actual360","LogLinear",TRUE)</f>
        <v>QSObject:ContextInput:w1~input.qs_context_add_curve.2359132437744.245.3.0:39668</v>
      </c>
      <c r="E246" s="6" t="str">
        <f>_xll.QS.INSTRUMENT.SWAP("swap.244",H246,B246,"USD","SOFR",I246,J246,0,"Actual360","Simple","Annual","Annual","Annual")</f>
        <v>QSObject:Swap:w1~swap.244:20891</v>
      </c>
      <c r="F246" s="6" t="str">
        <f>_xll.QS.TRADE.CREATE("trade.244",E246,A246,"Receive")</f>
        <v>QSObject:SwapTrade:w1~trade.244:30815</v>
      </c>
      <c r="G246" s="3">
        <f>_xll.QS.EVALUATE(C246,F246)</f>
        <v>34806.274718567307</v>
      </c>
      <c r="H246" s="5" t="s">
        <v>533</v>
      </c>
      <c r="I246" s="7">
        <v>1024400</v>
      </c>
      <c r="J246" s="8">
        <v>3.9399999999999998E-2</v>
      </c>
    </row>
    <row r="247" spans="1:10" x14ac:dyDescent="0.25">
      <c r="A247" s="5" t="s">
        <v>521</v>
      </c>
      <c r="B247" s="5" t="s">
        <v>534</v>
      </c>
      <c r="C247" s="6" t="str">
        <f>_xll.QS.CONTEXT.CREATE("market.245",A247,"USD","SOFR")</f>
        <v>QSObject:PricingContext:w1~market.245:20890</v>
      </c>
      <c r="D247" s="6" t="str">
        <f>_xll.QS.CONTEXT.ADD.CURVE(C247,"SOFR",$K$2:$K$7,$L$2:$L$7,,,"Actual360","LogLinear",TRUE)</f>
        <v>QSObject:ContextInput:w1~input.qs_context_add_curve.2359132437744.246.3.0:39667</v>
      </c>
      <c r="E247" s="6" t="str">
        <f>_xll.QS.INSTRUMENT.SWAP("swap.245",H247,B247,"USD","SOFR",I247,J247,0,"Actual360","Simple","Annual","Annual","Annual")</f>
        <v>QSObject:Swap:w1~swap.245:20889</v>
      </c>
      <c r="F247" s="6" t="str">
        <f>_xll.QS.TRADE.CREATE("trade.245",E247,A247,"Receive")</f>
        <v>QSObject:SwapTrade:w1~trade.245:30814</v>
      </c>
      <c r="G247" s="3">
        <f>_xll.QS.EVALUATE(C247,F247)</f>
        <v>35284.913822443064</v>
      </c>
      <c r="H247" s="5" t="s">
        <v>535</v>
      </c>
      <c r="I247" s="7">
        <v>1024500</v>
      </c>
      <c r="J247" s="8">
        <v>3.9500000000000007E-2</v>
      </c>
    </row>
    <row r="248" spans="1:10" x14ac:dyDescent="0.25">
      <c r="A248" s="5" t="s">
        <v>523</v>
      </c>
      <c r="B248" s="5" t="s">
        <v>536</v>
      </c>
      <c r="C248" s="6" t="str">
        <f>_xll.QS.CONTEXT.CREATE("market.246",A248,"USD","SOFR")</f>
        <v>QSObject:PricingContext:w1~market.246:20888</v>
      </c>
      <c r="D248" s="6" t="str">
        <f>_xll.QS.CONTEXT.ADD.CURVE(C248,"SOFR",$K$2:$K$7,$L$2:$L$7,,,"Actual360","LogLinear",TRUE)</f>
        <v>QSObject:ContextInput:w1~input.qs_context_add_curve.2359132437744.247.3.0:39666</v>
      </c>
      <c r="E248" s="6" t="str">
        <f>_xll.QS.INSTRUMENT.SWAP("swap.246",H248,B248,"USD","SOFR",I248,J248,0,"Actual360","Simple","Annual","Annual","Annual")</f>
        <v>QSObject:Swap:w1~swap.246:20887</v>
      </c>
      <c r="F248" s="6" t="str">
        <f>_xll.QS.TRADE.CREATE("trade.246",E248,A248,"Receive")</f>
        <v>QSObject:SwapTrade:w1~trade.246:30813</v>
      </c>
      <c r="G248" s="3">
        <f>_xll.QS.EVALUATE(C248,F248)</f>
        <v>35782.039393218947</v>
      </c>
      <c r="H248" s="5" t="s">
        <v>537</v>
      </c>
      <c r="I248" s="7">
        <v>1024600</v>
      </c>
      <c r="J248" s="8">
        <v>3.9600000000000003E-2</v>
      </c>
    </row>
    <row r="249" spans="1:10" x14ac:dyDescent="0.25">
      <c r="A249" s="5" t="s">
        <v>525</v>
      </c>
      <c r="B249" s="5" t="s">
        <v>538</v>
      </c>
      <c r="C249" s="6" t="str">
        <f>_xll.QS.CONTEXT.CREATE("market.247",A249,"USD","SOFR")</f>
        <v>QSObject:PricingContext:w1~market.247:20886</v>
      </c>
      <c r="D249" s="6" t="str">
        <f>_xll.QS.CONTEXT.ADD.CURVE(C249,"SOFR",$K$2:$K$7,$L$2:$L$7,,,"Actual360","LogLinear",TRUE)</f>
        <v>QSObject:ContextInput:w1~input.qs_context_add_curve.2359132437744.248.3.0:39665</v>
      </c>
      <c r="E249" s="6" t="str">
        <f>_xll.QS.INSTRUMENT.SWAP("swap.247",H249,B249,"USD","SOFR",I249,J249,0,"Actual360","Simple","Annual","Annual","Annual")</f>
        <v>QSObject:Swap:w1~swap.247:20885</v>
      </c>
      <c r="F249" s="6" t="str">
        <f>_xll.QS.TRADE.CREATE("trade.247",E249,A249,"Receive")</f>
        <v>QSObject:SwapTrade:w1~trade.247:30812</v>
      </c>
      <c r="G249" s="3">
        <f>_xll.QS.EVALUATE(C249,F249)</f>
        <v>36333.034748064427</v>
      </c>
      <c r="H249" s="5" t="s">
        <v>539</v>
      </c>
      <c r="I249" s="7">
        <v>1024700</v>
      </c>
      <c r="J249" s="8">
        <v>3.9700000000000013E-2</v>
      </c>
    </row>
    <row r="250" spans="1:10" x14ac:dyDescent="0.25">
      <c r="A250" s="5" t="s">
        <v>527</v>
      </c>
      <c r="B250" s="5" t="s">
        <v>540</v>
      </c>
      <c r="C250" s="6" t="str">
        <f>_xll.QS.CONTEXT.CREATE("market.248",A250,"USD","SOFR")</f>
        <v>QSObject:PricingContext:w1~market.248:20884</v>
      </c>
      <c r="D250" s="6" t="str">
        <f>_xll.QS.CONTEXT.ADD.CURVE(C250,"SOFR",$K$2:$K$7,$L$2:$L$7,,,"Actual360","LogLinear",TRUE)</f>
        <v>QSObject:ContextInput:w1~input.qs_context_add_curve.2359132437744.249.3.0:39664</v>
      </c>
      <c r="E250" s="6" t="str">
        <f>_xll.QS.INSTRUMENT.SWAP("swap.248",H250,B250,"USD","SOFR",I250,J250,0,"Actual360","Simple","Annual","Annual","Annual")</f>
        <v>QSObject:Swap:w1~swap.248:20883</v>
      </c>
      <c r="F250" s="6" t="str">
        <f>_xll.QS.TRADE.CREATE("trade.248",E250,A250,"Receive")</f>
        <v>QSObject:SwapTrade:w1~trade.248:30811</v>
      </c>
      <c r="G250" s="3">
        <f>_xll.QS.EVALUATE(C250,F250)</f>
        <v>36853.795713673077</v>
      </c>
      <c r="H250" s="5" t="s">
        <v>541</v>
      </c>
      <c r="I250" s="7">
        <v>1024800</v>
      </c>
      <c r="J250" s="8">
        <v>3.9800000000000002E-2</v>
      </c>
    </row>
    <row r="251" spans="1:10" x14ac:dyDescent="0.25">
      <c r="A251" s="5" t="s">
        <v>529</v>
      </c>
      <c r="B251" s="5" t="s">
        <v>542</v>
      </c>
      <c r="C251" s="6" t="str">
        <f>_xll.QS.CONTEXT.CREATE("market.249",A251,"USD","SOFR")</f>
        <v>QSObject:PricingContext:w1~market.249:20882</v>
      </c>
      <c r="D251" s="6" t="str">
        <f>_xll.QS.CONTEXT.ADD.CURVE(C251,"SOFR",$K$2:$K$7,$L$2:$L$7,,,"Actual360","LogLinear",TRUE)</f>
        <v>QSObject:ContextInput:w1~input.qs_context_add_curve.2359132437744.250.3.0:39663</v>
      </c>
      <c r="E251" s="6" t="str">
        <f>_xll.QS.INSTRUMENT.SWAP("swap.249",H251,B251,"USD","SOFR",I251,J251,0,"Actual360","Simple","Annual","Annual","Annual")</f>
        <v>QSObject:Swap:w1~swap.249:20881</v>
      </c>
      <c r="F251" s="6" t="str">
        <f>_xll.QS.TRADE.CREATE("trade.249",E251,A251,"Receive")</f>
        <v>QSObject:SwapTrade:w1~trade.249:30810</v>
      </c>
      <c r="G251" s="3">
        <f>_xll.QS.EVALUATE(C251,F251)</f>
        <v>37291.004341941727</v>
      </c>
      <c r="H251" s="5" t="s">
        <v>543</v>
      </c>
      <c r="I251" s="7">
        <v>1024900</v>
      </c>
      <c r="J251" s="8">
        <v>3.9899999999999998E-2</v>
      </c>
    </row>
    <row r="252" spans="1:10" x14ac:dyDescent="0.25">
      <c r="A252" s="5" t="s">
        <v>531</v>
      </c>
      <c r="B252" s="5" t="s">
        <v>544</v>
      </c>
      <c r="C252" s="6" t="str">
        <f>_xll.QS.CONTEXT.CREATE("market.250",A252,"USD","SOFR")</f>
        <v>QSObject:PricingContext:w1~market.250:20880</v>
      </c>
      <c r="D252" s="6" t="str">
        <f>_xll.QS.CONTEXT.ADD.CURVE(C252,"SOFR",$K$2:$K$7,$L$2:$L$7,,,"Actual360","LogLinear",TRUE)</f>
        <v>QSObject:ContextInput:w1~input.qs_context_add_curve.2359132437744.251.3.0:39662</v>
      </c>
      <c r="E252" s="6" t="str">
        <f>_xll.QS.INSTRUMENT.SWAP("swap.250",H252,B252,"USD","SOFR",I252,J252,0,"Actual360","Simple","Annual","Annual","Annual")</f>
        <v>QSObject:Swap:w1~swap.250:20879</v>
      </c>
      <c r="F252" s="6" t="str">
        <f>_xll.QS.TRADE.CREATE("trade.250",E252,A252,"Receive")</f>
        <v>QSObject:SwapTrade:w1~trade.250:30809</v>
      </c>
      <c r="G252" s="3">
        <f>_xll.QS.EVALUATE(C252,F252)</f>
        <v>14073.918243650573</v>
      </c>
      <c r="H252" s="5" t="s">
        <v>545</v>
      </c>
      <c r="I252" s="7">
        <v>1025000</v>
      </c>
      <c r="J252" s="8">
        <v>3.5000000000000003E-2</v>
      </c>
    </row>
    <row r="253" spans="1:10" x14ac:dyDescent="0.25">
      <c r="A253" s="5" t="s">
        <v>533</v>
      </c>
      <c r="B253" s="5" t="s">
        <v>546</v>
      </c>
      <c r="C253" s="6" t="str">
        <f>_xll.QS.CONTEXT.CREATE("market.251",A253,"USD","SOFR")</f>
        <v>QSObject:PricingContext:w1~market.251:20878</v>
      </c>
      <c r="D253" s="6" t="str">
        <f>_xll.QS.CONTEXT.ADD.CURVE(C253,"SOFR",$K$2:$K$7,$L$2:$L$7,,,"Actual360","LogLinear",TRUE)</f>
        <v>QSObject:ContextInput:w1~input.qs_context_add_curve.2359132437744.252.3.0:39661</v>
      </c>
      <c r="E253" s="6" t="str">
        <f>_xll.QS.INSTRUMENT.SWAP("swap.251",H253,B253,"USD","SOFR",I253,J253,0,"Actual360","Simple","Annual","Annual","Annual")</f>
        <v>QSObject:Swap:w1~swap.251:20877</v>
      </c>
      <c r="F253" s="6" t="str">
        <f>_xll.QS.TRADE.CREATE("trade.251",E253,A253,"Receive")</f>
        <v>QSObject:SwapTrade:w1~trade.251:30808</v>
      </c>
      <c r="G253" s="3">
        <f>_xll.QS.EVALUATE(C253,F253)</f>
        <v>14453.635750491998</v>
      </c>
      <c r="H253" s="5" t="s">
        <v>547</v>
      </c>
      <c r="I253" s="7">
        <v>1025100</v>
      </c>
      <c r="J253" s="8">
        <v>3.5100000000000013E-2</v>
      </c>
    </row>
    <row r="254" spans="1:10" x14ac:dyDescent="0.25">
      <c r="A254" s="5" t="s">
        <v>535</v>
      </c>
      <c r="B254" s="5" t="s">
        <v>548</v>
      </c>
      <c r="C254" s="6" t="str">
        <f>_xll.QS.CONTEXT.CREATE("market.252",A254,"USD","SOFR")</f>
        <v>QSObject:PricingContext:w1~market.252:20876</v>
      </c>
      <c r="D254" s="6" t="str">
        <f>_xll.QS.CONTEXT.ADD.CURVE(C254,"SOFR",$K$2:$K$7,$L$2:$L$7,,,"Actual360","LogLinear",TRUE)</f>
        <v>QSObject:ContextInput:w1~input.qs_context_add_curve.2359132437744.253.3.0:39660</v>
      </c>
      <c r="E254" s="6" t="str">
        <f>_xll.QS.INSTRUMENT.SWAP("swap.252",H254,B254,"USD","SOFR",I254,J254,0,"Actual360","Simple","Annual","Annual","Annual")</f>
        <v>QSObject:Swap:w1~swap.252:20875</v>
      </c>
      <c r="F254" s="6" t="str">
        <f>_xll.QS.TRADE.CREATE("trade.252",E254,A254,"Receive")</f>
        <v>QSObject:SwapTrade:w1~trade.252:30807</v>
      </c>
      <c r="G254" s="3">
        <f>_xll.QS.EVALUATE(C254,F254)</f>
        <v>14970.552990543314</v>
      </c>
      <c r="H254" s="5" t="s">
        <v>549</v>
      </c>
      <c r="I254" s="7">
        <v>1025200</v>
      </c>
      <c r="J254" s="8">
        <v>3.5200000000000002E-2</v>
      </c>
    </row>
    <row r="255" spans="1:10" x14ac:dyDescent="0.25">
      <c r="A255" s="5" t="s">
        <v>537</v>
      </c>
      <c r="B255" s="5" t="s">
        <v>550</v>
      </c>
      <c r="C255" s="6" t="str">
        <f>_xll.QS.CONTEXT.CREATE("market.253",A255,"USD","SOFR")</f>
        <v>QSObject:PricingContext:w1~market.253:20874</v>
      </c>
      <c r="D255" s="6" t="str">
        <f>_xll.QS.CONTEXT.ADD.CURVE(C255,"SOFR",$K$2:$K$7,$L$2:$L$7,,,"Actual360","LogLinear",TRUE)</f>
        <v>QSObject:ContextInput:w1~input.qs_context_add_curve.2359132437744.254.3.0:39659</v>
      </c>
      <c r="E255" s="6" t="str">
        <f>_xll.QS.INSTRUMENT.SWAP("swap.253",H255,B255,"USD","SOFR",I255,J255,0,"Actual360","Simple","Annual","Annual","Annual")</f>
        <v>QSObject:Swap:w1~swap.253:20873</v>
      </c>
      <c r="F255" s="6" t="str">
        <f>_xll.QS.TRADE.CREATE("trade.253",E255,A255,"Receive")</f>
        <v>QSObject:SwapTrade:w1~trade.253:30806</v>
      </c>
      <c r="G255" s="3">
        <f>_xll.QS.EVALUATE(C255,F255)</f>
        <v>15476.039180657412</v>
      </c>
      <c r="H255" s="5" t="s">
        <v>551</v>
      </c>
      <c r="I255" s="7">
        <v>1025300</v>
      </c>
      <c r="J255" s="8">
        <v>3.5299999999999998E-2</v>
      </c>
    </row>
    <row r="256" spans="1:10" x14ac:dyDescent="0.25">
      <c r="A256" s="5" t="s">
        <v>539</v>
      </c>
      <c r="B256" s="5" t="s">
        <v>552</v>
      </c>
      <c r="C256" s="6" t="str">
        <f>_xll.QS.CONTEXT.CREATE("market.254",A256,"USD","SOFR")</f>
        <v>QSObject:PricingContext:w1~market.254:20872</v>
      </c>
      <c r="D256" s="6" t="str">
        <f>_xll.QS.CONTEXT.ADD.CURVE(C256,"SOFR",$K$2:$K$7,$L$2:$L$7,,,"Actual360","LogLinear",TRUE)</f>
        <v>QSObject:ContextInput:w1~input.qs_context_add_curve.2359132437744.255.3.0:39658</v>
      </c>
      <c r="E256" s="6" t="str">
        <f>_xll.QS.INSTRUMENT.SWAP("swap.254",H256,B256,"USD","SOFR",I256,J256,0,"Actual360","Simple","Annual","Annual","Annual")</f>
        <v>QSObject:Swap:w1~swap.254:20871</v>
      </c>
      <c r="F256" s="6" t="str">
        <f>_xll.QS.TRADE.CREATE("trade.254",E256,A256,"Receive")</f>
        <v>QSObject:SwapTrade:w1~trade.254:30805</v>
      </c>
      <c r="G256" s="3">
        <f>_xll.QS.EVALUATE(C256,F256)</f>
        <v>16025.188248487542</v>
      </c>
      <c r="H256" s="5" t="s">
        <v>553</v>
      </c>
      <c r="I256" s="7">
        <v>1025400</v>
      </c>
      <c r="J256" s="8">
        <v>3.5400000000000001E-2</v>
      </c>
    </row>
    <row r="257" spans="1:10" x14ac:dyDescent="0.25">
      <c r="A257" s="5" t="s">
        <v>541</v>
      </c>
      <c r="B257" s="5" t="s">
        <v>554</v>
      </c>
      <c r="C257" s="6" t="str">
        <f>_xll.QS.CONTEXT.CREATE("market.255",A257,"USD","SOFR")</f>
        <v>QSObject:PricingContext:w1~market.255:20870</v>
      </c>
      <c r="D257" s="6" t="str">
        <f>_xll.QS.CONTEXT.ADD.CURVE(C257,"SOFR",$K$2:$K$7,$L$2:$L$7,,,"Actual360","LogLinear",TRUE)</f>
        <v>QSObject:ContextInput:w1~input.qs_context_add_curve.2359132437744.256.3.0:39657</v>
      </c>
      <c r="E257" s="6" t="str">
        <f>_xll.QS.INSTRUMENT.SWAP("swap.255",H257,B257,"USD","SOFR",I257,J257,0,"Actual360","Simple","Annual","Annual","Annual")</f>
        <v>QSObject:Swap:w1~swap.255:20869</v>
      </c>
      <c r="F257" s="6" t="str">
        <f>_xll.QS.TRADE.CREATE("trade.255",E257,A257,"Receive")</f>
        <v>QSObject:SwapTrade:w1~trade.255:30804</v>
      </c>
      <c r="G257" s="3">
        <f>_xll.QS.EVALUATE(C257,F257)</f>
        <v>16544.160684495226</v>
      </c>
      <c r="H257" s="5" t="s">
        <v>555</v>
      </c>
      <c r="I257" s="7">
        <v>1025500</v>
      </c>
      <c r="J257" s="8">
        <v>3.5499999999999997E-2</v>
      </c>
    </row>
    <row r="258" spans="1:10" x14ac:dyDescent="0.25">
      <c r="A258" s="5" t="s">
        <v>543</v>
      </c>
      <c r="B258" s="5" t="s">
        <v>556</v>
      </c>
      <c r="C258" s="6" t="str">
        <f>_xll.QS.CONTEXT.CREATE("market.256",A258,"USD","SOFR")</f>
        <v>QSObject:PricingContext:w1~market.256:20868</v>
      </c>
      <c r="D258" s="6" t="str">
        <f>_xll.QS.CONTEXT.ADD.CURVE(C258,"SOFR",$K$2:$K$7,$L$2:$L$7,,,"Actual360","LogLinear",TRUE)</f>
        <v>QSObject:ContextInput:w1~input.qs_context_add_curve.2359132437744.257.3.0:39656</v>
      </c>
      <c r="E258" s="6" t="str">
        <f>_xll.QS.INSTRUMENT.SWAP("swap.256",H258,B258,"USD","SOFR",I258,J258,0,"Actual360","Simple","Annual","Annual","Annual")</f>
        <v>QSObject:Swap:w1~swap.256:20867</v>
      </c>
      <c r="F258" s="6" t="str">
        <f>_xll.QS.TRADE.CREATE("trade.256",E258,A258,"Receive")</f>
        <v>QSObject:SwapTrade:w1~trade.256:30803</v>
      </c>
      <c r="G258" s="3">
        <f>_xll.QS.EVALUATE(C258,F258)</f>
        <v>16979.8464925017</v>
      </c>
      <c r="H258" s="5" t="s">
        <v>557</v>
      </c>
      <c r="I258" s="7">
        <v>1025600</v>
      </c>
      <c r="J258" s="8">
        <v>3.5600000000000007E-2</v>
      </c>
    </row>
    <row r="259" spans="1:10" x14ac:dyDescent="0.25">
      <c r="A259" s="5" t="s">
        <v>545</v>
      </c>
      <c r="B259" s="5" t="s">
        <v>558</v>
      </c>
      <c r="C259" s="6" t="str">
        <f>_xll.QS.CONTEXT.CREATE("market.257",A259,"USD","SOFR")</f>
        <v>QSObject:PricingContext:w1~market.257:20866</v>
      </c>
      <c r="D259" s="6" t="str">
        <f>_xll.QS.CONTEXT.ADD.CURVE(C259,"SOFR",$K$2:$K$7,$L$2:$L$7,,,"Actual360","LogLinear",TRUE)</f>
        <v>QSObject:ContextInput:w1~input.qs_context_add_curve.2359132437744.258.3.0:39655</v>
      </c>
      <c r="E259" s="6" t="str">
        <f>_xll.QS.INSTRUMENT.SWAP("swap.257",H259,B259,"USD","SOFR",I259,J259,0,"Actual360","Simple","Annual","Annual","Annual")</f>
        <v>QSObject:Swap:w1~swap.257:20865</v>
      </c>
      <c r="F259" s="6" t="str">
        <f>_xll.QS.TRADE.CREATE("trade.257",E259,A259,"Receive")</f>
        <v>QSObject:SwapTrade:w1~trade.257:30802</v>
      </c>
      <c r="G259" s="3">
        <f>_xll.QS.EVALUATE(C259,F259)</f>
        <v>17390.564423778575</v>
      </c>
      <c r="H259" s="5" t="s">
        <v>559</v>
      </c>
      <c r="I259" s="7">
        <v>1025700</v>
      </c>
      <c r="J259" s="8">
        <v>3.5700000000000003E-2</v>
      </c>
    </row>
    <row r="260" spans="1:10" x14ac:dyDescent="0.25">
      <c r="A260" s="5" t="s">
        <v>547</v>
      </c>
      <c r="B260" s="5" t="s">
        <v>560</v>
      </c>
      <c r="C260" s="6" t="str">
        <f>_xll.QS.CONTEXT.CREATE("market.258",A260,"USD","SOFR")</f>
        <v>QSObject:PricingContext:w1~market.258:20864</v>
      </c>
      <c r="D260" s="6" t="str">
        <f>_xll.QS.CONTEXT.ADD.CURVE(C260,"SOFR",$K$2:$K$7,$L$2:$L$7,,,"Actual360","LogLinear",TRUE)</f>
        <v>QSObject:ContextInput:w1~input.qs_context_add_curve.2359132437744.259.3.0:39654</v>
      </c>
      <c r="E260" s="6" t="str">
        <f>_xll.QS.INSTRUMENT.SWAP("swap.258",H260,B260,"USD","SOFR",I260,J260,0,"Actual360","Simple","Annual","Annual","Annual")</f>
        <v>QSObject:Swap:w1~swap.258:20863</v>
      </c>
      <c r="F260" s="6" t="str">
        <f>_xll.QS.TRADE.CREATE("trade.258",E260,A260,"Receive")</f>
        <v>QSObject:SwapTrade:w1~trade.258:30801</v>
      </c>
      <c r="G260" s="3">
        <f>_xll.QS.EVALUATE(C260,F260)</f>
        <v>17775.996072143298</v>
      </c>
      <c r="H260" s="5" t="s">
        <v>561</v>
      </c>
      <c r="I260" s="7">
        <v>1025800</v>
      </c>
      <c r="J260" s="8">
        <v>3.5800000000000012E-2</v>
      </c>
    </row>
    <row r="261" spans="1:10" x14ac:dyDescent="0.25">
      <c r="A261" s="5" t="s">
        <v>549</v>
      </c>
      <c r="B261" s="5" t="s">
        <v>562</v>
      </c>
      <c r="C261" s="6" t="str">
        <f>_xll.QS.CONTEXT.CREATE("market.259",A261,"USD","SOFR")</f>
        <v>QSObject:PricingContext:w1~market.259:20862</v>
      </c>
      <c r="D261" s="6" t="str">
        <f>_xll.QS.CONTEXT.ADD.CURVE(C261,"SOFR",$K$2:$K$7,$L$2:$L$7,,,"Actual360","LogLinear",TRUE)</f>
        <v>QSObject:ContextInput:w1~input.qs_context_add_curve.2359132437744.260.3.0:39653</v>
      </c>
      <c r="E261" s="6" t="str">
        <f>_xll.QS.INSTRUMENT.SWAP("swap.259",H261,B261,"USD","SOFR",I261,J261,0,"Actual360","Simple","Annual","Annual","Annual")</f>
        <v>QSObject:Swap:w1~swap.259:20861</v>
      </c>
      <c r="F261" s="6" t="str">
        <f>_xll.QS.TRADE.CREATE("trade.259",E261,A261,"Receive")</f>
        <v>QSObject:SwapTrade:w1~trade.259:30800</v>
      </c>
      <c r="G261" s="3">
        <f>_xll.QS.EVALUATE(C261,F261)</f>
        <v>18293.920650423777</v>
      </c>
      <c r="H261" s="5" t="s">
        <v>563</v>
      </c>
      <c r="I261" s="7">
        <v>1025900</v>
      </c>
      <c r="J261" s="8">
        <v>3.5900000000000001E-2</v>
      </c>
    </row>
    <row r="262" spans="1:10" x14ac:dyDescent="0.25">
      <c r="A262" s="5" t="s">
        <v>551</v>
      </c>
      <c r="B262" s="5" t="s">
        <v>564</v>
      </c>
      <c r="C262" s="6" t="str">
        <f>_xll.QS.CONTEXT.CREATE("market.260",A262,"USD","SOFR")</f>
        <v>QSObject:PricingContext:w1~market.260:20860</v>
      </c>
      <c r="D262" s="6" t="str">
        <f>_xll.QS.CONTEXT.ADD.CURVE(C262,"SOFR",$K$2:$K$7,$L$2:$L$7,,,"Actual360","LogLinear",TRUE)</f>
        <v>QSObject:ContextInput:w1~input.qs_context_add_curve.2359132437744.261.3.0:39652</v>
      </c>
      <c r="E262" s="6" t="str">
        <f>_xll.QS.INSTRUMENT.SWAP("swap.260",H262,B262,"USD","SOFR",I262,J262,0,"Actual360","Simple","Annual","Annual","Annual")</f>
        <v>QSObject:Swap:w1~swap.260:20859</v>
      </c>
      <c r="F262" s="6" t="str">
        <f>_xll.QS.TRADE.CREATE("trade.260",E262,A262,"Receive")</f>
        <v>QSObject:SwapTrade:w1~trade.260:30799</v>
      </c>
      <c r="G262" s="3">
        <f>_xll.QS.EVALUATE(C262,F262)</f>
        <v>18798.451639058207</v>
      </c>
      <c r="H262" s="5" t="s">
        <v>565</v>
      </c>
      <c r="I262" s="7">
        <v>1026000</v>
      </c>
      <c r="J262" s="8">
        <v>3.5999999999999997E-2</v>
      </c>
    </row>
    <row r="263" spans="1:10" x14ac:dyDescent="0.25">
      <c r="A263" s="5" t="s">
        <v>553</v>
      </c>
      <c r="B263" s="5" t="s">
        <v>566</v>
      </c>
      <c r="C263" s="6" t="str">
        <f>_xll.QS.CONTEXT.CREATE("market.261",A263,"USD","SOFR")</f>
        <v>QSObject:PricingContext:w1~market.261:20858</v>
      </c>
      <c r="D263" s="6" t="str">
        <f>_xll.QS.CONTEXT.ADD.CURVE(C263,"SOFR",$K$2:$K$7,$L$2:$L$7,,,"Actual360","LogLinear",TRUE)</f>
        <v>QSObject:ContextInput:w1~input.qs_context_add_curve.2359132437744.262.3.0:39651</v>
      </c>
      <c r="E263" s="6" t="str">
        <f>_xll.QS.INSTRUMENT.SWAP("swap.261",H263,B263,"USD","SOFR",I263,J263,0,"Actual360","Simple","Annual","Annual","Annual")</f>
        <v>QSObject:Swap:w1~swap.261:20857</v>
      </c>
      <c r="F263" s="6" t="str">
        <f>_xll.QS.TRADE.CREATE("trade.261",E263,A263,"Receive")</f>
        <v>QSObject:SwapTrade:w1~trade.261:30798</v>
      </c>
      <c r="G263" s="3">
        <f>_xll.QS.EVALUATE(C263,F263)</f>
        <v>19348.347050917371</v>
      </c>
      <c r="H263" s="5" t="s">
        <v>567</v>
      </c>
      <c r="I263" s="7">
        <v>1026100</v>
      </c>
      <c r="J263" s="8">
        <v>3.61E-2</v>
      </c>
    </row>
    <row r="264" spans="1:10" x14ac:dyDescent="0.25">
      <c r="A264" s="5" t="s">
        <v>555</v>
      </c>
      <c r="B264" s="5" t="s">
        <v>568</v>
      </c>
      <c r="C264" s="6" t="str">
        <f>_xll.QS.CONTEXT.CREATE("market.262",A264,"USD","SOFR")</f>
        <v>QSObject:PricingContext:w1~market.262:20856</v>
      </c>
      <c r="D264" s="6" t="str">
        <f>_xll.QS.CONTEXT.ADD.CURVE(C264,"SOFR",$K$2:$K$7,$L$2:$L$7,,,"Actual360","LogLinear",TRUE)</f>
        <v>QSObject:ContextInput:w1~input.qs_context_add_curve.2359132437744.263.3.0:39650</v>
      </c>
      <c r="E264" s="6" t="str">
        <f>_xll.QS.INSTRUMENT.SWAP("swap.262",H264,B264,"USD","SOFR",I264,J264,0,"Actual360","Simple","Annual","Annual","Annual")</f>
        <v>QSObject:Swap:w1~swap.262:20855</v>
      </c>
      <c r="F264" s="6" t="str">
        <f>_xll.QS.TRADE.CREATE("trade.262",E264,A264,"Receive")</f>
        <v>QSObject:SwapTrade:w1~trade.262:30797</v>
      </c>
      <c r="G264" s="3">
        <f>_xll.QS.EVALUATE(C264,F264)</f>
        <v>19868.030873809614</v>
      </c>
      <c r="H264" s="5" t="s">
        <v>569</v>
      </c>
      <c r="I264" s="7">
        <v>1026200</v>
      </c>
      <c r="J264" s="8">
        <v>3.6200000000000003E-2</v>
      </c>
    </row>
    <row r="265" spans="1:10" x14ac:dyDescent="0.25">
      <c r="A265" s="5" t="s">
        <v>557</v>
      </c>
      <c r="B265" s="5" t="s">
        <v>570</v>
      </c>
      <c r="C265" s="6" t="str">
        <f>_xll.QS.CONTEXT.CREATE("market.263",A265,"USD","SOFR")</f>
        <v>QSObject:PricingContext:w1~market.263:20854</v>
      </c>
      <c r="D265" s="6" t="str">
        <f>_xll.QS.CONTEXT.ADD.CURVE(C265,"SOFR",$K$2:$K$7,$L$2:$L$7,,,"Actual360","LogLinear",TRUE)</f>
        <v>QSObject:ContextInput:w1~input.qs_context_add_curve.2359132437744.264.3.0:39649</v>
      </c>
      <c r="E265" s="6" t="str">
        <f>_xll.QS.INSTRUMENT.SWAP("swap.263",H265,B265,"USD","SOFR",I265,J265,0,"Actual360","Simple","Annual","Annual","Annual")</f>
        <v>QSObject:Swap:w1~swap.263:20853</v>
      </c>
      <c r="F265" s="6" t="str">
        <f>_xll.QS.TRADE.CREATE("trade.263",E265,A265,"Receive")</f>
        <v>QSObject:SwapTrade:w1~trade.263:30796</v>
      </c>
      <c r="G265" s="3">
        <f>_xll.QS.EVALUATE(C265,F265)</f>
        <v>20304.309042117169</v>
      </c>
      <c r="H265" s="5" t="s">
        <v>571</v>
      </c>
      <c r="I265" s="7">
        <v>1026300</v>
      </c>
      <c r="J265" s="8">
        <v>3.6300000000000013E-2</v>
      </c>
    </row>
    <row r="266" spans="1:10" x14ac:dyDescent="0.25">
      <c r="A266" s="5" t="s">
        <v>559</v>
      </c>
      <c r="B266" s="5" t="s">
        <v>572</v>
      </c>
      <c r="C266" s="6" t="str">
        <f>_xll.QS.CONTEXT.CREATE("market.264",A266,"USD","SOFR")</f>
        <v>QSObject:PricingContext:w1~market.264:20852</v>
      </c>
      <c r="D266" s="6" t="str">
        <f>_xll.QS.CONTEXT.ADD.CURVE(C266,"SOFR",$K$2:$K$7,$L$2:$L$7,,,"Actual360","LogLinear",TRUE)</f>
        <v>QSObject:ContextInput:w1~input.qs_context_add_curve.2359132437744.265.3.0:39648</v>
      </c>
      <c r="E266" s="6" t="str">
        <f>_xll.QS.INSTRUMENT.SWAP("swap.264",H266,B266,"USD","SOFR",I266,J266,0,"Actual360","Simple","Annual","Annual","Annual")</f>
        <v>QSObject:Swap:w1~swap.264:20851</v>
      </c>
      <c r="F266" s="6" t="str">
        <f>_xll.QS.TRADE.CREATE("trade.264",E266,A266,"Receive")</f>
        <v>QSObject:SwapTrade:w1~trade.264:30795</v>
      </c>
      <c r="G266" s="3">
        <f>_xll.QS.EVALUATE(C266,F266)</f>
        <v>20752.462984850015</v>
      </c>
      <c r="H266" s="5" t="s">
        <v>573</v>
      </c>
      <c r="I266" s="7">
        <v>1026400</v>
      </c>
      <c r="J266" s="8">
        <v>3.6400000000000002E-2</v>
      </c>
    </row>
    <row r="267" spans="1:10" x14ac:dyDescent="0.25">
      <c r="A267" s="5" t="s">
        <v>561</v>
      </c>
      <c r="B267" s="5" t="s">
        <v>574</v>
      </c>
      <c r="C267" s="6" t="str">
        <f>_xll.QS.CONTEXT.CREATE("market.265",A267,"USD","SOFR")</f>
        <v>QSObject:PricingContext:w1~market.265:20850</v>
      </c>
      <c r="D267" s="6" t="str">
        <f>_xll.QS.CONTEXT.ADD.CURVE(C267,"SOFR",$K$2:$K$7,$L$2:$L$7,,,"Actual360","LogLinear",TRUE)</f>
        <v>QSObject:ContextInput:w1~input.qs_context_add_curve.2359132437744.266.3.0:39647</v>
      </c>
      <c r="E267" s="6" t="str">
        <f>_xll.QS.INSTRUMENT.SWAP("swap.265",H267,B267,"USD","SOFR",I267,J267,0,"Actual360","Simple","Annual","Annual","Annual")</f>
        <v>QSObject:Swap:w1~swap.265:20849</v>
      </c>
      <c r="F267" s="6" t="str">
        <f>_xll.QS.TRADE.CREATE("trade.265",E267,A267,"Receive")</f>
        <v>QSObject:SwapTrade:w1~trade.265:30794</v>
      </c>
      <c r="G267" s="3">
        <f>_xll.QS.EVALUATE(C267,F267)</f>
        <v>21229.771789864462</v>
      </c>
      <c r="H267" s="5" t="s">
        <v>575</v>
      </c>
      <c r="I267" s="7">
        <v>1026500</v>
      </c>
      <c r="J267" s="8">
        <v>3.6499999999999998E-2</v>
      </c>
    </row>
    <row r="268" spans="1:10" x14ac:dyDescent="0.25">
      <c r="A268" s="5" t="s">
        <v>563</v>
      </c>
      <c r="B268" s="5" t="s">
        <v>576</v>
      </c>
      <c r="C268" s="6" t="str">
        <f>_xll.QS.CONTEXT.CREATE("market.266",A268,"USD","SOFR")</f>
        <v>QSObject:PricingContext:w1~market.266:20848</v>
      </c>
      <c r="D268" s="6" t="str">
        <f>_xll.QS.CONTEXT.ADD.CURVE(C268,"SOFR",$K$2:$K$7,$L$2:$L$7,,,"Actual360","LogLinear",TRUE)</f>
        <v>QSObject:ContextInput:w1~input.qs_context_add_curve.2359132437744.267.3.0:39646</v>
      </c>
      <c r="E268" s="6" t="str">
        <f>_xll.QS.INSTRUMENT.SWAP("swap.266",H268,B268,"USD","SOFR",I268,J268,0,"Actual360","Simple","Annual","Annual","Annual")</f>
        <v>QSObject:Swap:w1~swap.266:20847</v>
      </c>
      <c r="F268" s="6" t="str">
        <f>_xll.QS.TRADE.CREATE("trade.266",E268,A268,"Receive")</f>
        <v>QSObject:SwapTrade:w1~trade.266:30793</v>
      </c>
      <c r="G268" s="3">
        <f>_xll.QS.EVALUATE(C268,F268)</f>
        <v>21621.809612777175</v>
      </c>
      <c r="H268" s="5" t="s">
        <v>577</v>
      </c>
      <c r="I268" s="7">
        <v>1026600</v>
      </c>
      <c r="J268" s="8">
        <v>3.6600000000000001E-2</v>
      </c>
    </row>
    <row r="269" spans="1:10" x14ac:dyDescent="0.25">
      <c r="A269" s="5" t="s">
        <v>565</v>
      </c>
      <c r="B269" s="5" t="s">
        <v>578</v>
      </c>
      <c r="C269" s="6" t="str">
        <f>_xll.QS.CONTEXT.CREATE("market.267",A269,"USD","SOFR")</f>
        <v>QSObject:PricingContext:w1~market.267:20846</v>
      </c>
      <c r="D269" s="6" t="str">
        <f>_xll.QS.CONTEXT.ADD.CURVE(C269,"SOFR",$K$2:$K$7,$L$2:$L$7,,,"Actual360","LogLinear",TRUE)</f>
        <v>QSObject:ContextInput:w1~input.qs_context_add_curve.2359132437744.268.3.0:39645</v>
      </c>
      <c r="E269" s="6" t="str">
        <f>_xll.QS.INSTRUMENT.SWAP("swap.267",H269,B269,"USD","SOFR",I269,J269,0,"Actual360","Simple","Annual","Annual","Annual")</f>
        <v>QSObject:Swap:w1~swap.267:20845</v>
      </c>
      <c r="F269" s="6" t="str">
        <f>_xll.QS.TRADE.CREATE("trade.267",E269,A269,"Receive")</f>
        <v>QSObject:SwapTrade:w1~trade.267:30792</v>
      </c>
      <c r="G269" s="3">
        <f>_xll.QS.EVALUATE(C269,F269)</f>
        <v>22125.383186316543</v>
      </c>
      <c r="H269" s="5" t="s">
        <v>579</v>
      </c>
      <c r="I269" s="7">
        <v>1026700</v>
      </c>
      <c r="J269" s="8">
        <v>3.6700000000000003E-2</v>
      </c>
    </row>
    <row r="270" spans="1:10" x14ac:dyDescent="0.25">
      <c r="A270" s="5" t="s">
        <v>567</v>
      </c>
      <c r="B270" s="5" t="s">
        <v>580</v>
      </c>
      <c r="C270" s="6" t="str">
        <f>_xll.QS.CONTEXT.CREATE("market.268",A270,"USD","SOFR")</f>
        <v>QSObject:PricingContext:w1~market.268:20844</v>
      </c>
      <c r="D270" s="6" t="str">
        <f>_xll.QS.CONTEXT.ADD.CURVE(C270,"SOFR",$K$2:$K$7,$L$2:$L$7,,,"Actual360","LogLinear",TRUE)</f>
        <v>QSObject:ContextInput:w1~input.qs_context_add_curve.2359132437744.269.3.0:39644</v>
      </c>
      <c r="E270" s="6" t="str">
        <f>_xll.QS.INSTRUMENT.SWAP("swap.268",H270,B270,"USD","SOFR",I270,J270,0,"Actual360","Simple","Annual","Annual","Annual")</f>
        <v>QSObject:Swap:w1~swap.268:20843</v>
      </c>
      <c r="F270" s="6" t="str">
        <f>_xll.QS.TRADE.CREATE("trade.268",E270,A270,"Receive")</f>
        <v>QSObject:SwapTrade:w1~trade.268:30791</v>
      </c>
      <c r="G270" s="3">
        <f>_xll.QS.EVALUATE(C270,F270)</f>
        <v>22715.399747762083</v>
      </c>
      <c r="H270" s="5" t="s">
        <v>581</v>
      </c>
      <c r="I270" s="7">
        <v>1026800</v>
      </c>
      <c r="J270" s="8">
        <v>3.6800000000000013E-2</v>
      </c>
    </row>
    <row r="271" spans="1:10" x14ac:dyDescent="0.25">
      <c r="A271" s="5" t="s">
        <v>569</v>
      </c>
      <c r="B271" s="5" t="s">
        <v>582</v>
      </c>
      <c r="C271" s="6" t="str">
        <f>_xll.QS.CONTEXT.CREATE("market.269",A271,"USD","SOFR")</f>
        <v>QSObject:PricingContext:w1~market.269:20842</v>
      </c>
      <c r="D271" s="6" t="str">
        <f>_xll.QS.CONTEXT.ADD.CURVE(C271,"SOFR",$K$2:$K$7,$L$2:$L$7,,,"Actual360","LogLinear",TRUE)</f>
        <v>QSObject:ContextInput:w1~input.qs_context_add_curve.2359132437744.270.3.0:39643</v>
      </c>
      <c r="E271" s="6" t="str">
        <f>_xll.QS.INSTRUMENT.SWAP("swap.269",H271,B271,"USD","SOFR",I271,J271,0,"Actual360","Simple","Annual","Annual","Annual")</f>
        <v>QSObject:Swap:w1~swap.269:20841</v>
      </c>
      <c r="F271" s="6" t="str">
        <f>_xll.QS.TRADE.CREATE("trade.269",E271,A271,"Receive")</f>
        <v>QSObject:SwapTrade:w1~trade.269:30790</v>
      </c>
      <c r="G271" s="3">
        <f>_xll.QS.EVALUATE(C271,F271)</f>
        <v>23196.420268099271</v>
      </c>
      <c r="H271" s="5" t="s">
        <v>583</v>
      </c>
      <c r="I271" s="7">
        <v>1026900</v>
      </c>
      <c r="J271" s="8">
        <v>3.6900000000000002E-2</v>
      </c>
    </row>
    <row r="272" spans="1:10" x14ac:dyDescent="0.25">
      <c r="A272" s="5" t="s">
        <v>571</v>
      </c>
      <c r="B272" s="5" t="s">
        <v>584</v>
      </c>
      <c r="C272" s="6" t="str">
        <f>_xll.QS.CONTEXT.CREATE("market.270",A272,"USD","SOFR")</f>
        <v>QSObject:PricingContext:w1~market.270:20840</v>
      </c>
      <c r="D272" s="6" t="str">
        <f>_xll.QS.CONTEXT.ADD.CURVE(C272,"SOFR",$K$2:$K$7,$L$2:$L$7,,,"Actual360","LogLinear",TRUE)</f>
        <v>QSObject:ContextInput:w1~input.qs_context_add_curve.2359132437744.271.3.0:39642</v>
      </c>
      <c r="E272" s="6" t="str">
        <f>_xll.QS.INSTRUMENT.SWAP("swap.270",H272,B272,"USD","SOFR",I272,J272,0,"Actual360","Simple","Annual","Annual","Annual")</f>
        <v>QSObject:Swap:w1~swap.270:20839</v>
      </c>
      <c r="F272" s="6" t="str">
        <f>_xll.QS.TRADE.CREATE("trade.270",E272,A272,"Receive")</f>
        <v>QSObject:SwapTrade:w1~trade.270:30789</v>
      </c>
      <c r="G272" s="3">
        <f>_xll.QS.EVALUATE(C272,F272)</f>
        <v>23633.290760277003</v>
      </c>
      <c r="H272" s="5" t="s">
        <v>585</v>
      </c>
      <c r="I272" s="7">
        <v>1027000</v>
      </c>
      <c r="J272" s="8">
        <v>3.7000000000000012E-2</v>
      </c>
    </row>
    <row r="273" spans="1:10" x14ac:dyDescent="0.25">
      <c r="A273" s="5" t="s">
        <v>573</v>
      </c>
      <c r="B273" s="5" t="s">
        <v>586</v>
      </c>
      <c r="C273" s="6" t="str">
        <f>_xll.QS.CONTEXT.CREATE("market.271",A273,"USD","SOFR")</f>
        <v>QSObject:PricingContext:w1~market.271:20838</v>
      </c>
      <c r="D273" s="6" t="str">
        <f>_xll.QS.CONTEXT.ADD.CURVE(C273,"SOFR",$K$2:$K$7,$L$2:$L$7,,,"Actual360","LogLinear",TRUE)</f>
        <v>QSObject:ContextInput:w1~input.qs_context_add_curve.2359132437744.272.3.0:39641</v>
      </c>
      <c r="E273" s="6" t="str">
        <f>_xll.QS.INSTRUMENT.SWAP("swap.271",H273,B273,"USD","SOFR",I273,J273,0,"Actual360","Simple","Annual","Annual","Annual")</f>
        <v>QSObject:Swap:w1~swap.271:20837</v>
      </c>
      <c r="F273" s="6" t="str">
        <f>_xll.QS.TRADE.CREATE("trade.271",E273,A273,"Receive")</f>
        <v>QSObject:SwapTrade:w1~trade.271:30788</v>
      </c>
      <c r="G273" s="3">
        <f>_xll.QS.EVALUATE(C273,F273)</f>
        <v>24021.859846482515</v>
      </c>
      <c r="H273" s="5" t="s">
        <v>587</v>
      </c>
      <c r="I273" s="7">
        <v>1027100</v>
      </c>
      <c r="J273" s="8">
        <v>3.7100000000000001E-2</v>
      </c>
    </row>
    <row r="274" spans="1:10" x14ac:dyDescent="0.25">
      <c r="A274" s="5" t="s">
        <v>575</v>
      </c>
      <c r="B274" s="5" t="s">
        <v>588</v>
      </c>
      <c r="C274" s="6" t="str">
        <f>_xll.QS.CONTEXT.CREATE("market.272",A274,"USD","SOFR")</f>
        <v>QSObject:PricingContext:w1~market.272:20836</v>
      </c>
      <c r="D274" s="6" t="str">
        <f>_xll.QS.CONTEXT.ADD.CURVE(C274,"SOFR",$K$2:$K$7,$L$2:$L$7,,,"Actual360","LogLinear",TRUE)</f>
        <v>QSObject:ContextInput:w1~input.qs_context_add_curve.2359132437744.273.3.0:39640</v>
      </c>
      <c r="E274" s="6" t="str">
        <f>_xll.QS.INSTRUMENT.SWAP("swap.272",H274,B274,"USD","SOFR",I274,J274,0,"Actual360","Simple","Annual","Annual","Annual")</f>
        <v>QSObject:Swap:w1~swap.272:20835</v>
      </c>
      <c r="F274" s="6" t="str">
        <f>_xll.QS.TRADE.CREATE("trade.272",E274,A274,"Receive")</f>
        <v>QSObject:SwapTrade:w1~trade.272:30787</v>
      </c>
      <c r="G274" s="3">
        <f>_xll.QS.EVALUATE(C274,F274)</f>
        <v>24391.606550195975</v>
      </c>
      <c r="H274" s="5" t="s">
        <v>589</v>
      </c>
      <c r="I274" s="7">
        <v>1027200</v>
      </c>
      <c r="J274" s="8">
        <v>3.7199999999999997E-2</v>
      </c>
    </row>
    <row r="275" spans="1:10" x14ac:dyDescent="0.25">
      <c r="A275" s="5" t="s">
        <v>577</v>
      </c>
      <c r="B275" s="5" t="s">
        <v>590</v>
      </c>
      <c r="C275" s="6" t="str">
        <f>_xll.QS.CONTEXT.CREATE("market.273",A275,"USD","SOFR")</f>
        <v>QSObject:PricingContext:w1~market.273:20834</v>
      </c>
      <c r="D275" s="6" t="str">
        <f>_xll.QS.CONTEXT.ADD.CURVE(C275,"SOFR",$K$2:$K$7,$L$2:$L$7,,,"Actual360","LogLinear",TRUE)</f>
        <v>QSObject:ContextInput:w1~input.qs_context_add_curve.2359132437744.274.3.0:39639</v>
      </c>
      <c r="E275" s="6" t="str">
        <f>_xll.QS.INSTRUMENT.SWAP("swap.273",H275,B275,"USD","SOFR",I275,J275,0,"Actual360","Simple","Annual","Annual","Annual")</f>
        <v>QSObject:Swap:w1~swap.273:20833</v>
      </c>
      <c r="F275" s="6" t="str">
        <f>_xll.QS.TRADE.CREATE("trade.273",E275,A275,"Receive")</f>
        <v>QSObject:SwapTrade:w1~trade.273:30786</v>
      </c>
      <c r="G275" s="3">
        <f>_xll.QS.EVALUATE(C275,F275)</f>
        <v>24911.483025062065</v>
      </c>
      <c r="H275" s="5" t="s">
        <v>591</v>
      </c>
      <c r="I275" s="7">
        <v>1027300</v>
      </c>
      <c r="J275" s="8">
        <v>3.73E-2</v>
      </c>
    </row>
    <row r="276" spans="1:10" x14ac:dyDescent="0.25">
      <c r="A276" s="5" t="s">
        <v>579</v>
      </c>
      <c r="B276" s="5" t="s">
        <v>592</v>
      </c>
      <c r="C276" s="6" t="str">
        <f>_xll.QS.CONTEXT.CREATE("market.274",A276,"USD","SOFR")</f>
        <v>QSObject:PricingContext:w1~market.274:20832</v>
      </c>
      <c r="D276" s="6" t="str">
        <f>_xll.QS.CONTEXT.ADD.CURVE(C276,"SOFR",$K$2:$K$7,$L$2:$L$7,,,"Actual360","LogLinear",TRUE)</f>
        <v>QSObject:ContextInput:w1~input.qs_context_add_curve.2359132437744.275.3.0:39638</v>
      </c>
      <c r="E276" s="6" t="str">
        <f>_xll.QS.INSTRUMENT.SWAP("swap.274",H276,B276,"USD","SOFR",I276,J276,0,"Actual360","Simple","Annual","Annual","Annual")</f>
        <v>QSObject:Swap:w1~swap.274:20831</v>
      </c>
      <c r="F276" s="6" t="str">
        <f>_xll.QS.TRADE.CREATE("trade.274",E276,A276,"Receive")</f>
        <v>QSObject:SwapTrade:w1~trade.274:30785</v>
      </c>
      <c r="G276" s="3">
        <f>_xll.QS.EVALUATE(C276,F276)</f>
        <v>25430.359809588903</v>
      </c>
      <c r="H276" s="5" t="s">
        <v>593</v>
      </c>
      <c r="I276" s="7">
        <v>1027400</v>
      </c>
      <c r="J276" s="8">
        <v>3.7400000000000003E-2</v>
      </c>
    </row>
    <row r="277" spans="1:10" x14ac:dyDescent="0.25">
      <c r="A277" s="5" t="s">
        <v>581</v>
      </c>
      <c r="B277" s="5" t="s">
        <v>594</v>
      </c>
      <c r="C277" s="6" t="str">
        <f>_xll.QS.CONTEXT.CREATE("market.275",A277,"USD","SOFR")</f>
        <v>QSObject:PricingContext:w1~market.275:20830</v>
      </c>
      <c r="D277" s="6" t="str">
        <f>_xll.QS.CONTEXT.ADD.CURVE(C277,"SOFR",$K$2:$K$7,$L$2:$L$7,,,"Actual360","LogLinear",TRUE)</f>
        <v>QSObject:ContextInput:w1~input.qs_context_add_curve.2359132437744.276.3.0:39637</v>
      </c>
      <c r="E277" s="6" t="str">
        <f>_xll.QS.INSTRUMENT.SWAP("swap.275",H277,B277,"USD","SOFR",I277,J277,0,"Actual360","Simple","Annual","Annual","Annual")</f>
        <v>QSObject:Swap:w1~swap.275:20829</v>
      </c>
      <c r="F277" s="6" t="str">
        <f>_xll.QS.TRADE.CREATE("trade.275",E277,A277,"Receive")</f>
        <v>QSObject:SwapTrade:w1~trade.275:30784</v>
      </c>
      <c r="G277" s="3">
        <f>_xll.QS.EVALUATE(C277,F277)</f>
        <v>26045.935261920844</v>
      </c>
      <c r="H277" s="5" t="s">
        <v>595</v>
      </c>
      <c r="I277" s="7">
        <v>1027500</v>
      </c>
      <c r="J277" s="8">
        <v>3.7500000000000012E-2</v>
      </c>
    </row>
    <row r="278" spans="1:10" x14ac:dyDescent="0.25">
      <c r="A278" s="5" t="s">
        <v>583</v>
      </c>
      <c r="B278" s="5" t="s">
        <v>596</v>
      </c>
      <c r="C278" s="6" t="str">
        <f>_xll.QS.CONTEXT.CREATE("market.276",A278,"USD","SOFR")</f>
        <v>QSObject:PricingContext:w1~market.276:20828</v>
      </c>
      <c r="D278" s="6" t="str">
        <f>_xll.QS.CONTEXT.ADD.CURVE(C278,"SOFR",$K$2:$K$7,$L$2:$L$7,,,"Actual360","LogLinear",TRUE)</f>
        <v>QSObject:ContextInput:w1~input.qs_context_add_curve.2359132437744.277.3.0:39636</v>
      </c>
      <c r="E278" s="6" t="str">
        <f>_xll.QS.INSTRUMENT.SWAP("swap.276",H278,B278,"USD","SOFR",I278,J278,0,"Actual360","Simple","Annual","Annual","Annual")</f>
        <v>QSObject:Swap:w1~swap.276:20827</v>
      </c>
      <c r="F278" s="6" t="str">
        <f>_xll.QS.TRADE.CREATE("trade.276",E278,A278,"Receive")</f>
        <v>QSObject:SwapTrade:w1~trade.276:30783</v>
      </c>
      <c r="G278" s="3">
        <f>_xll.QS.EVALUATE(C278,F278)</f>
        <v>26532.17948045535</v>
      </c>
      <c r="H278" s="5" t="s">
        <v>597</v>
      </c>
      <c r="I278" s="7">
        <v>1027600</v>
      </c>
      <c r="J278" s="8">
        <v>3.7600000000000001E-2</v>
      </c>
    </row>
    <row r="279" spans="1:10" x14ac:dyDescent="0.25">
      <c r="A279" s="5" t="s">
        <v>585</v>
      </c>
      <c r="B279" s="5" t="s">
        <v>598</v>
      </c>
      <c r="C279" s="6" t="str">
        <f>_xll.QS.CONTEXT.CREATE("market.277",A279,"USD","SOFR")</f>
        <v>QSObject:PricingContext:w1~market.277:20826</v>
      </c>
      <c r="D279" s="6" t="str">
        <f>_xll.QS.CONTEXT.ADD.CURVE(C279,"SOFR",$K$2:$K$7,$L$2:$L$7,,,"Actual360","LogLinear",TRUE)</f>
        <v>QSObject:ContextInput:w1~input.qs_context_add_curve.2359132437744.278.3.0:39635</v>
      </c>
      <c r="E279" s="6" t="str">
        <f>_xll.QS.INSTRUMENT.SWAP("swap.277",H279,B279,"USD","SOFR",I279,J279,0,"Actual360","Simple","Annual","Annual","Annual")</f>
        <v>QSObject:Swap:w1~swap.277:20825</v>
      </c>
      <c r="F279" s="6" t="str">
        <f>_xll.QS.TRADE.CREATE("trade.277",E279,A279,"Receive")</f>
        <v>QSObject:SwapTrade:w1~trade.277:30782</v>
      </c>
      <c r="G279" s="3">
        <f>_xll.QS.EVALUATE(C279,F279)</f>
        <v>27009.077205493079</v>
      </c>
      <c r="H279" s="5" t="s">
        <v>599</v>
      </c>
      <c r="I279" s="7">
        <v>1027700</v>
      </c>
      <c r="J279" s="8">
        <v>3.7699999999999997E-2</v>
      </c>
    </row>
    <row r="280" spans="1:10" x14ac:dyDescent="0.25">
      <c r="A280" s="5" t="s">
        <v>587</v>
      </c>
      <c r="B280" s="5" t="s">
        <v>600</v>
      </c>
      <c r="C280" s="6" t="str">
        <f>_xll.QS.CONTEXT.CREATE("market.278",A280,"USD","SOFR")</f>
        <v>QSObject:PricingContext:w1~market.278:20824</v>
      </c>
      <c r="D280" s="6" t="str">
        <f>_xll.QS.CONTEXT.ADD.CURVE(C280,"SOFR",$K$2:$K$7,$L$2:$L$7,,,"Actual360","LogLinear",TRUE)</f>
        <v>QSObject:ContextInput:w1~input.qs_context_add_curve.2359132437744.279.3.0:39634</v>
      </c>
      <c r="E280" s="6" t="str">
        <f>_xll.QS.INSTRUMENT.SWAP("swap.278",H280,B280,"USD","SOFR",I280,J280,0,"Actual360","Simple","Annual","Annual","Annual")</f>
        <v>QSObject:Swap:w1~swap.278:20823</v>
      </c>
      <c r="F280" s="6" t="str">
        <f>_xll.QS.TRADE.CREATE("trade.278",E280,A280,"Receive")</f>
        <v>QSObject:SwapTrade:w1~trade.278:30781</v>
      </c>
      <c r="G280" s="3">
        <f>_xll.QS.EVALUATE(C280,F280)</f>
        <v>27410.058137124408</v>
      </c>
      <c r="H280" s="5" t="s">
        <v>601</v>
      </c>
      <c r="I280" s="7">
        <v>1027800</v>
      </c>
      <c r="J280" s="8">
        <v>3.78E-2</v>
      </c>
    </row>
    <row r="281" spans="1:10" x14ac:dyDescent="0.25">
      <c r="A281" s="5" t="s">
        <v>589</v>
      </c>
      <c r="B281" s="5" t="s">
        <v>602</v>
      </c>
      <c r="C281" s="6" t="str">
        <f>_xll.QS.CONTEXT.CREATE("market.279",A281,"USD","SOFR")</f>
        <v>QSObject:PricingContext:w1~market.279:20822</v>
      </c>
      <c r="D281" s="6" t="str">
        <f>_xll.QS.CONTEXT.ADD.CURVE(C281,"SOFR",$K$2:$K$7,$L$2:$L$7,,,"Actual360","LogLinear",TRUE)</f>
        <v>QSObject:ContextInput:w1~input.qs_context_add_curve.2359132437744.280.3.0:39633</v>
      </c>
      <c r="E281" s="6" t="str">
        <f>_xll.QS.INSTRUMENT.SWAP("swap.279",H281,B281,"USD","SOFR",I281,J281,0,"Actual360","Simple","Annual","Annual","Annual")</f>
        <v>QSObject:Swap:w1~swap.279:20821</v>
      </c>
      <c r="F281" s="6" t="str">
        <f>_xll.QS.TRADE.CREATE("trade.279",E281,A281,"Receive")</f>
        <v>QSObject:SwapTrade:w1~trade.279:30780</v>
      </c>
      <c r="G281" s="3">
        <f>_xll.QS.EVALUATE(C281,F281)</f>
        <v>27812.587197300021</v>
      </c>
      <c r="H281" s="5" t="s">
        <v>603</v>
      </c>
      <c r="I281" s="7">
        <v>1027900</v>
      </c>
      <c r="J281" s="8">
        <v>3.7900000000000003E-2</v>
      </c>
    </row>
    <row r="282" spans="1:10" x14ac:dyDescent="0.25">
      <c r="A282" s="5" t="s">
        <v>591</v>
      </c>
      <c r="B282" s="5" t="s">
        <v>604</v>
      </c>
      <c r="C282" s="6" t="str">
        <f>_xll.QS.CONTEXT.CREATE("market.280",A282,"USD","SOFR")</f>
        <v>QSObject:PricingContext:w1~market.280:20820</v>
      </c>
      <c r="D282" s="6" t="str">
        <f>_xll.QS.CONTEXT.ADD.CURVE(C282,"SOFR",$K$2:$K$7,$L$2:$L$7,,,"Actual360","LogLinear",TRUE)</f>
        <v>QSObject:ContextInput:w1~input.qs_context_add_curve.2359132437744.281.3.0:39632</v>
      </c>
      <c r="E282" s="6" t="str">
        <f>_xll.QS.INSTRUMENT.SWAP("swap.280",H282,B282,"USD","SOFR",I282,J282,0,"Actual360","Simple","Annual","Annual","Annual")</f>
        <v>QSObject:Swap:w1~swap.280:20819</v>
      </c>
      <c r="F282" s="6" t="str">
        <f>_xll.QS.TRADE.CREATE("trade.280",E282,A282,"Receive")</f>
        <v>QSObject:SwapTrade:w1~trade.280:30779</v>
      </c>
      <c r="G282" s="3">
        <f>_xll.QS.EVALUATE(C282,F282)</f>
        <v>28291.615978531292</v>
      </c>
      <c r="H282" s="5" t="s">
        <v>605</v>
      </c>
      <c r="I282" s="7">
        <v>1028000</v>
      </c>
      <c r="J282" s="8">
        <v>3.8000000000000013E-2</v>
      </c>
    </row>
    <row r="283" spans="1:10" x14ac:dyDescent="0.25">
      <c r="A283" s="5" t="s">
        <v>593</v>
      </c>
      <c r="B283" s="5" t="s">
        <v>606</v>
      </c>
      <c r="C283" s="6" t="str">
        <f>_xll.QS.CONTEXT.CREATE("market.281",A283,"USD","SOFR")</f>
        <v>QSObject:PricingContext:w1~market.281:20818</v>
      </c>
      <c r="D283" s="6" t="str">
        <f>_xll.QS.CONTEXT.ADD.CURVE(C283,"SOFR",$K$2:$K$7,$L$2:$L$7,,,"Actual360","LogLinear",TRUE)</f>
        <v>QSObject:ContextInput:w1~input.qs_context_add_curve.2359132437744.282.3.0:39631</v>
      </c>
      <c r="E283" s="6" t="str">
        <f>_xll.QS.INSTRUMENT.SWAP("swap.281",H283,B283,"USD","SOFR",I283,J283,0,"Actual360","Simple","Annual","Annual","Annual")</f>
        <v>QSObject:Swap:w1~swap.281:20817</v>
      </c>
      <c r="F283" s="6" t="str">
        <f>_xll.QS.TRADE.CREATE("trade.281",E283,A283,"Receive")</f>
        <v>QSObject:SwapTrade:w1~trade.281:30778</v>
      </c>
      <c r="G283" s="3">
        <f>_xll.QS.EVALUATE(C283,F283)</f>
        <v>28793.223279366641</v>
      </c>
      <c r="H283" s="5" t="s">
        <v>607</v>
      </c>
      <c r="I283" s="7">
        <v>1028100</v>
      </c>
      <c r="J283" s="8">
        <v>3.8100000000000002E-2</v>
      </c>
    </row>
    <row r="284" spans="1:10" x14ac:dyDescent="0.25">
      <c r="A284" s="5" t="s">
        <v>595</v>
      </c>
      <c r="B284" s="5" t="s">
        <v>608</v>
      </c>
      <c r="C284" s="6" t="str">
        <f>_xll.QS.CONTEXT.CREATE("market.282",A284,"USD","SOFR")</f>
        <v>QSObject:PricingContext:w1~market.282:20816</v>
      </c>
      <c r="D284" s="6" t="str">
        <f>_xll.QS.CONTEXT.ADD.CURVE(C284,"SOFR",$K$2:$K$7,$L$2:$L$7,,,"Actual360","LogLinear",TRUE)</f>
        <v>QSObject:ContextInput:w1~input.qs_context_add_curve.2359132437744.283.3.0:39630</v>
      </c>
      <c r="E284" s="6" t="str">
        <f>_xll.QS.INSTRUMENT.SWAP("swap.282",H284,B284,"USD","SOFR",I284,J284,0,"Actual360","Simple","Annual","Annual","Annual")</f>
        <v>QSObject:Swap:w1~swap.282:20815</v>
      </c>
      <c r="F284" s="6" t="str">
        <f>_xll.QS.TRADE.CREATE("trade.282",E284,A284,"Receive")</f>
        <v>QSObject:SwapTrade:w1~trade.282:30777</v>
      </c>
      <c r="G284" s="3">
        <f>_xll.QS.EVALUATE(C284,F284)</f>
        <v>29345.083647316835</v>
      </c>
      <c r="H284" s="5" t="s">
        <v>609</v>
      </c>
      <c r="I284" s="7">
        <v>1028200</v>
      </c>
      <c r="J284" s="8">
        <v>3.8199999999999998E-2</v>
      </c>
    </row>
    <row r="285" spans="1:10" x14ac:dyDescent="0.25">
      <c r="A285" s="5" t="s">
        <v>597</v>
      </c>
      <c r="B285" s="5" t="s">
        <v>610</v>
      </c>
      <c r="C285" s="6" t="str">
        <f>_xll.QS.CONTEXT.CREATE("market.283",A285,"USD","SOFR")</f>
        <v>QSObject:PricingContext:w1~market.283:20814</v>
      </c>
      <c r="D285" s="6" t="str">
        <f>_xll.QS.CONTEXT.ADD.CURVE(C285,"SOFR",$K$2:$K$7,$L$2:$L$7,,,"Actual360","LogLinear",TRUE)</f>
        <v>QSObject:ContextInput:w1~input.qs_context_add_curve.2359132437744.284.3.0:39629</v>
      </c>
      <c r="E285" s="6" t="str">
        <f>_xll.QS.INSTRUMENT.SWAP("swap.283",H285,B285,"USD","SOFR",I285,J285,0,"Actual360","Simple","Annual","Annual","Annual")</f>
        <v>QSObject:Swap:w1~swap.283:20813</v>
      </c>
      <c r="F285" s="6" t="str">
        <f>_xll.QS.TRADE.CREATE("trade.283",E285,A285,"Receive")</f>
        <v>QSObject:SwapTrade:w1~trade.283:30776</v>
      </c>
      <c r="G285" s="3">
        <f>_xll.QS.EVALUATE(C285,F285)</f>
        <v>29866.756671604271</v>
      </c>
      <c r="H285" s="5" t="s">
        <v>611</v>
      </c>
      <c r="I285" s="7">
        <v>1028300</v>
      </c>
      <c r="J285" s="8">
        <v>3.8300000000000001E-2</v>
      </c>
    </row>
    <row r="286" spans="1:10" x14ac:dyDescent="0.25">
      <c r="A286" s="5" t="s">
        <v>599</v>
      </c>
      <c r="B286" s="5" t="s">
        <v>612</v>
      </c>
      <c r="C286" s="6" t="str">
        <f>_xll.QS.CONTEXT.CREATE("market.284",A286,"USD","SOFR")</f>
        <v>QSObject:PricingContext:w1~market.284:20812</v>
      </c>
      <c r="D286" s="6" t="str">
        <f>_xll.QS.CONTEXT.ADD.CURVE(C286,"SOFR",$K$2:$K$7,$L$2:$L$7,,,"Actual360","LogLinear",TRUE)</f>
        <v>QSObject:ContextInput:w1~input.qs_context_add_curve.2359132437744.285.3.0:39628</v>
      </c>
      <c r="E286" s="6" t="str">
        <f>_xll.QS.INSTRUMENT.SWAP("swap.284",H286,B286,"USD","SOFR",I286,J286,0,"Actual360","Simple","Annual","Annual","Annual")</f>
        <v>QSObject:Swap:w1~swap.284:20811</v>
      </c>
      <c r="F286" s="6" t="str">
        <f>_xll.QS.TRADE.CREATE("trade.284",E286,A286,"Receive")</f>
        <v>QSObject:SwapTrade:w1~trade.284:30775</v>
      </c>
      <c r="G286" s="3">
        <f>_xll.QS.EVALUATE(C286,F286)</f>
        <v>30304.811702230141</v>
      </c>
      <c r="H286" s="5" t="s">
        <v>613</v>
      </c>
      <c r="I286" s="7">
        <v>1028400</v>
      </c>
      <c r="J286" s="8">
        <v>3.8399999999999997E-2</v>
      </c>
    </row>
    <row r="287" spans="1:10" x14ac:dyDescent="0.25">
      <c r="A287" s="5" t="s">
        <v>601</v>
      </c>
      <c r="B287" s="5" t="s">
        <v>614</v>
      </c>
      <c r="C287" s="6" t="str">
        <f>_xll.QS.CONTEXT.CREATE("market.285",A287,"USD","SOFR")</f>
        <v>QSObject:PricingContext:w1~market.285:20810</v>
      </c>
      <c r="D287" s="6" t="str">
        <f>_xll.QS.CONTEXT.ADD.CURVE(C287,"SOFR",$K$2:$K$7,$L$2:$L$7,,,"Actual360","LogLinear",TRUE)</f>
        <v>QSObject:ContextInput:w1~input.qs_context_add_curve.2359132437744.286.3.0:39627</v>
      </c>
      <c r="E287" s="6" t="str">
        <f>_xll.QS.INSTRUMENT.SWAP("swap.285",H287,B287,"USD","SOFR",I287,J287,0,"Actual360","Simple","Annual","Annual","Annual")</f>
        <v>QSObject:Swap:w1~swap.285:20809</v>
      </c>
      <c r="F287" s="6" t="str">
        <f>_xll.QS.TRADE.CREATE("trade.285",E287,A287,"Receive")</f>
        <v>QSObject:SwapTrade:w1~trade.285:30774</v>
      </c>
      <c r="G287" s="3">
        <f>_xll.QS.EVALUATE(C287,F287)</f>
        <v>30702.287572810106</v>
      </c>
      <c r="H287" s="5" t="s">
        <v>615</v>
      </c>
      <c r="I287" s="7">
        <v>1028500</v>
      </c>
      <c r="J287" s="8">
        <v>3.8500000000000013E-2</v>
      </c>
    </row>
    <row r="288" spans="1:10" x14ac:dyDescent="0.25">
      <c r="A288" s="5" t="s">
        <v>603</v>
      </c>
      <c r="B288" s="5" t="s">
        <v>616</v>
      </c>
      <c r="C288" s="6" t="str">
        <f>_xll.QS.CONTEXT.CREATE("market.286",A288,"USD","SOFR")</f>
        <v>QSObject:PricingContext:w1~market.286:20808</v>
      </c>
      <c r="D288" s="6" t="str">
        <f>_xll.QS.CONTEXT.ADD.CURVE(C288,"SOFR",$K$2:$K$7,$L$2:$L$7,,,"Actual360","LogLinear",TRUE)</f>
        <v>QSObject:ContextInput:w1~input.qs_context_add_curve.2359132437744.287.3.0:39626</v>
      </c>
      <c r="E288" s="6" t="str">
        <f>_xll.QS.INSTRUMENT.SWAP("swap.286",H288,B288,"USD","SOFR",I288,J288,0,"Actual360","Simple","Annual","Annual","Annual")</f>
        <v>QSObject:Swap:w1~swap.286:20807</v>
      </c>
      <c r="F288" s="6" t="str">
        <f>_xll.QS.TRADE.CREATE("trade.286",E288,A288,"Receive")</f>
        <v>QSObject:SwapTrade:w1~trade.286:30773</v>
      </c>
      <c r="G288" s="3">
        <f>_xll.QS.EVALUATE(C288,F288)</f>
        <v>31110.645846880045</v>
      </c>
      <c r="H288" s="5" t="s">
        <v>617</v>
      </c>
      <c r="I288" s="7">
        <v>1028600</v>
      </c>
      <c r="J288" s="8">
        <v>3.8600000000000002E-2</v>
      </c>
    </row>
    <row r="289" spans="1:10" x14ac:dyDescent="0.25">
      <c r="A289" s="5" t="s">
        <v>605</v>
      </c>
      <c r="B289" s="5" t="s">
        <v>618</v>
      </c>
      <c r="C289" s="6" t="str">
        <f>_xll.QS.CONTEXT.CREATE("market.287",A289,"USD","SOFR")</f>
        <v>QSObject:PricingContext:w1~market.287:20806</v>
      </c>
      <c r="D289" s="6" t="str">
        <f>_xll.QS.CONTEXT.ADD.CURVE(C289,"SOFR",$K$2:$K$7,$L$2:$L$7,,,"Actual360","LogLinear",TRUE)</f>
        <v>QSObject:ContextInput:w1~input.qs_context_add_curve.2359132437744.288.3.0:39625</v>
      </c>
      <c r="E289" s="6" t="str">
        <f>_xll.QS.INSTRUMENT.SWAP("swap.287",H289,B289,"USD","SOFR",I289,J289,0,"Actual360","Simple","Annual","Annual","Annual")</f>
        <v>QSObject:Swap:w1~swap.287:20805</v>
      </c>
      <c r="F289" s="6" t="str">
        <f>_xll.QS.TRADE.CREATE("trade.287",E289,A289,"Receive")</f>
        <v>QSObject:SwapTrade:w1~trade.287:30772</v>
      </c>
      <c r="G289" s="3">
        <f>_xll.QS.EVALUATE(C289,F289)</f>
        <v>31632.604314674652</v>
      </c>
      <c r="H289" s="5" t="s">
        <v>619</v>
      </c>
      <c r="I289" s="7">
        <v>1028700</v>
      </c>
      <c r="J289" s="8">
        <v>3.8700000000000012E-2</v>
      </c>
    </row>
    <row r="290" spans="1:10" x14ac:dyDescent="0.25">
      <c r="A290" s="5" t="s">
        <v>607</v>
      </c>
      <c r="B290" s="5" t="s">
        <v>620</v>
      </c>
      <c r="C290" s="6" t="str">
        <f>_xll.QS.CONTEXT.CREATE("market.288",A290,"USD","SOFR")</f>
        <v>QSObject:PricingContext:w1~market.288:20804</v>
      </c>
      <c r="D290" s="6" t="str">
        <f>_xll.QS.CONTEXT.ADD.CURVE(C290,"SOFR",$K$2:$K$7,$L$2:$L$7,,,"Actual360","LogLinear",TRUE)</f>
        <v>QSObject:ContextInput:w1~input.qs_context_add_curve.2359132437744.289.3.0:39624</v>
      </c>
      <c r="E290" s="6" t="str">
        <f>_xll.QS.INSTRUMENT.SWAP("swap.288",H290,B290,"USD","SOFR",I290,J290,0,"Actual360","Simple","Annual","Annual","Annual")</f>
        <v>QSObject:Swap:w1~swap.288:20803</v>
      </c>
      <c r="F290" s="6" t="str">
        <f>_xll.QS.TRADE.CREATE("trade.288",E290,A290,"Receive")</f>
        <v>QSObject:SwapTrade:w1~trade.288:30771</v>
      </c>
      <c r="G290" s="3">
        <f>_xll.QS.EVALUATE(C290,F290)</f>
        <v>32133.29236123728</v>
      </c>
      <c r="H290" s="5" t="s">
        <v>621</v>
      </c>
      <c r="I290" s="7">
        <v>1028800</v>
      </c>
      <c r="J290" s="8">
        <v>3.8800000000000001E-2</v>
      </c>
    </row>
    <row r="291" spans="1:10" x14ac:dyDescent="0.25">
      <c r="A291" s="5" t="s">
        <v>609</v>
      </c>
      <c r="B291" s="5" t="s">
        <v>622</v>
      </c>
      <c r="C291" s="6" t="str">
        <f>_xll.QS.CONTEXT.CREATE("market.289",A291,"USD","SOFR")</f>
        <v>QSObject:PricingContext:w1~market.289:20802</v>
      </c>
      <c r="D291" s="6" t="str">
        <f>_xll.QS.CONTEXT.ADD.CURVE(C291,"SOFR",$K$2:$K$7,$L$2:$L$7,,,"Actual360","LogLinear",TRUE)</f>
        <v>QSObject:ContextInput:w1~input.qs_context_add_curve.2359132437744.290.3.0:39623</v>
      </c>
      <c r="E291" s="6" t="str">
        <f>_xll.QS.INSTRUMENT.SWAP("swap.289",H291,B291,"USD","SOFR",I291,J291,0,"Actual360","Simple","Annual","Annual","Annual")</f>
        <v>QSObject:Swap:w1~swap.289:20801</v>
      </c>
      <c r="F291" s="6" t="str">
        <f>_xll.QS.TRADE.CREATE("trade.289",E291,A291,"Receive")</f>
        <v>QSObject:SwapTrade:w1~trade.289:30770</v>
      </c>
      <c r="G291" s="3">
        <f>_xll.QS.EVALUATE(C291,F291)</f>
        <v>32686.17382731524</v>
      </c>
      <c r="H291" s="5" t="s">
        <v>623</v>
      </c>
      <c r="I291" s="7">
        <v>1028900</v>
      </c>
      <c r="J291" s="8">
        <v>3.8899999999999997E-2</v>
      </c>
    </row>
    <row r="292" spans="1:10" x14ac:dyDescent="0.25">
      <c r="A292" s="5" t="s">
        <v>611</v>
      </c>
      <c r="B292" s="5" t="s">
        <v>624</v>
      </c>
      <c r="C292" s="6" t="str">
        <f>_xll.QS.CONTEXT.CREATE("market.290",A292,"USD","SOFR")</f>
        <v>QSObject:PricingContext:w1~market.290:20800</v>
      </c>
      <c r="D292" s="6" t="str">
        <f>_xll.QS.CONTEXT.ADD.CURVE(C292,"SOFR",$K$2:$K$7,$L$2:$L$7,,,"Actual360","LogLinear",TRUE)</f>
        <v>QSObject:ContextInput:w1~input.qs_context_add_curve.2359132437744.291.3.0:39622</v>
      </c>
      <c r="E292" s="6" t="str">
        <f>_xll.QS.INSTRUMENT.SWAP("swap.290",H292,B292,"USD","SOFR",I292,J292,0,"Actual360","Simple","Annual","Annual","Annual")</f>
        <v>QSObject:Swap:w1~swap.290:20799</v>
      </c>
      <c r="F292" s="6" t="str">
        <f>_xll.QS.TRADE.CREATE("trade.290",E292,A292,"Receive")</f>
        <v>QSObject:SwapTrade:w1~trade.290:30769</v>
      </c>
      <c r="G292" s="3">
        <f>_xll.QS.EVALUATE(C292,F292)</f>
        <v>33208.703680819832</v>
      </c>
      <c r="H292" s="5" t="s">
        <v>625</v>
      </c>
      <c r="I292" s="7">
        <v>1029000</v>
      </c>
      <c r="J292" s="8">
        <v>3.9000000000000007E-2</v>
      </c>
    </row>
    <row r="293" spans="1:10" x14ac:dyDescent="0.25">
      <c r="A293" s="5" t="s">
        <v>613</v>
      </c>
      <c r="B293" s="5" t="s">
        <v>626</v>
      </c>
      <c r="C293" s="6" t="str">
        <f>_xll.QS.CONTEXT.CREATE("market.291",A293,"USD","SOFR")</f>
        <v>QSObject:PricingContext:w1~market.291:20798</v>
      </c>
      <c r="D293" s="6" t="str">
        <f>_xll.QS.CONTEXT.ADD.CURVE(C293,"SOFR",$K$2:$K$7,$L$2:$L$7,,,"Actual360","LogLinear",TRUE)</f>
        <v>QSObject:ContextInput:w1~input.qs_context_add_curve.2359132437744.292.3.0:39621</v>
      </c>
      <c r="E293" s="6" t="str">
        <f>_xll.QS.INSTRUMENT.SWAP("swap.291",H293,B293,"USD","SOFR",I293,J293,0,"Actual360","Simple","Annual","Annual","Annual")</f>
        <v>QSObject:Swap:w1~swap.291:20797</v>
      </c>
      <c r="F293" s="6" t="str">
        <f>_xll.QS.TRADE.CREATE("trade.291",E293,A293,"Receive")</f>
        <v>QSObject:SwapTrade:w1~trade.291:30768</v>
      </c>
      <c r="G293" s="3">
        <f>_xll.QS.EVALUATE(C293,F293)</f>
        <v>33647.350926023413</v>
      </c>
      <c r="H293" s="5" t="s">
        <v>627</v>
      </c>
      <c r="I293" s="7">
        <v>1029100</v>
      </c>
      <c r="J293" s="8">
        <v>3.9100000000000003E-2</v>
      </c>
    </row>
    <row r="294" spans="1:10" x14ac:dyDescent="0.25">
      <c r="A294" s="5" t="s">
        <v>615</v>
      </c>
      <c r="B294" s="5" t="s">
        <v>628</v>
      </c>
      <c r="C294" s="6" t="str">
        <f>_xll.QS.CONTEXT.CREATE("market.292",A294,"USD","SOFR")</f>
        <v>QSObject:PricingContext:w1~market.292:20796</v>
      </c>
      <c r="D294" s="6" t="str">
        <f>_xll.QS.CONTEXT.ADD.CURVE(C294,"SOFR",$K$2:$K$7,$L$2:$L$7,,,"Actual360","LogLinear",TRUE)</f>
        <v>QSObject:ContextInput:w1~input.qs_context_add_curve.2359132437744.293.3.0:39620</v>
      </c>
      <c r="E294" s="6" t="str">
        <f>_xll.QS.INSTRUMENT.SWAP("swap.292",H294,B294,"USD","SOFR",I294,J294,0,"Actual360","Simple","Annual","Annual","Annual")</f>
        <v>QSObject:Swap:w1~swap.292:20795</v>
      </c>
      <c r="F294" s="6" t="str">
        <f>_xll.QS.TRADE.CREATE("trade.292",E294,A294,"Receive")</f>
        <v>QSObject:SwapTrade:w1~trade.292:30767</v>
      </c>
      <c r="G294" s="3">
        <f>_xll.QS.EVALUATE(C294,F294)</f>
        <v>34041.502967197826</v>
      </c>
      <c r="H294" s="5" t="s">
        <v>629</v>
      </c>
      <c r="I294" s="7">
        <v>1029200</v>
      </c>
      <c r="J294" s="8">
        <v>3.9200000000000013E-2</v>
      </c>
    </row>
    <row r="295" spans="1:10" x14ac:dyDescent="0.25">
      <c r="A295" s="5" t="s">
        <v>617</v>
      </c>
      <c r="B295" s="5" t="s">
        <v>630</v>
      </c>
      <c r="C295" s="6" t="str">
        <f>_xll.QS.CONTEXT.CREATE("market.293",A295,"USD","SOFR")</f>
        <v>QSObject:PricingContext:w1~market.293:20794</v>
      </c>
      <c r="D295" s="6" t="str">
        <f>_xll.QS.CONTEXT.ADD.CURVE(C295,"SOFR",$K$2:$K$7,$L$2:$L$7,,,"Actual360","LogLinear",TRUE)</f>
        <v>QSObject:ContextInput:w1~input.qs_context_add_curve.2359132437744.294.3.0:39619</v>
      </c>
      <c r="E295" s="6" t="str">
        <f>_xll.QS.INSTRUMENT.SWAP("swap.293",H295,B295,"USD","SOFR",I295,J295,0,"Actual360","Simple","Annual","Annual","Annual")</f>
        <v>QSObject:Swap:w1~swap.293:20793</v>
      </c>
      <c r="F295" s="6" t="str">
        <f>_xll.QS.TRADE.CREATE("trade.293",E295,A295,"Receive")</f>
        <v>QSObject:SwapTrade:w1~trade.293:30766</v>
      </c>
      <c r="G295" s="3">
        <f>_xll.QS.EVALUATE(C295,F295)</f>
        <v>34455.61041259706</v>
      </c>
      <c r="H295" s="5" t="s">
        <v>631</v>
      </c>
      <c r="I295" s="7">
        <v>1029300</v>
      </c>
      <c r="J295" s="8">
        <v>3.9300000000000002E-2</v>
      </c>
    </row>
    <row r="296" spans="1:10" x14ac:dyDescent="0.25">
      <c r="A296" s="5" t="s">
        <v>619</v>
      </c>
      <c r="B296" s="5" t="s">
        <v>632</v>
      </c>
      <c r="C296" s="6" t="str">
        <f>_xll.QS.CONTEXT.CREATE("market.294",A296,"USD","SOFR")</f>
        <v>QSObject:PricingContext:w1~market.294:20792</v>
      </c>
      <c r="D296" s="6" t="str">
        <f>_xll.QS.CONTEXT.ADD.CURVE(C296,"SOFR",$K$2:$K$7,$L$2:$L$7,,,"Actual360","LogLinear",TRUE)</f>
        <v>QSObject:ContextInput:w1~input.qs_context_add_curve.2359132437744.295.3.0:39618</v>
      </c>
      <c r="E296" s="6" t="str">
        <f>_xll.QS.INSTRUMENT.SWAP("swap.294",H296,B296,"USD","SOFR",I296,J296,0,"Actual360","Simple","Annual","Annual","Annual")</f>
        <v>QSObject:Swap:w1~swap.294:20791</v>
      </c>
      <c r="F296" s="6" t="str">
        <f>_xll.QS.TRADE.CREATE("trade.294",E296,A296,"Receive")</f>
        <v>QSObject:SwapTrade:w1~trade.294:30765</v>
      </c>
      <c r="G296" s="3">
        <f>_xll.QS.EVALUATE(C296,F296)</f>
        <v>34978.578486919447</v>
      </c>
      <c r="H296" s="5" t="s">
        <v>633</v>
      </c>
      <c r="I296" s="7">
        <v>1029400</v>
      </c>
      <c r="J296" s="8">
        <v>3.9399999999999998E-2</v>
      </c>
    </row>
    <row r="297" spans="1:10" x14ac:dyDescent="0.25">
      <c r="A297" s="5" t="s">
        <v>621</v>
      </c>
      <c r="B297" s="5" t="s">
        <v>634</v>
      </c>
      <c r="C297" s="6" t="str">
        <f>_xll.QS.CONTEXT.CREATE("market.295",A297,"USD","SOFR")</f>
        <v>QSObject:PricingContext:w1~market.295:20790</v>
      </c>
      <c r="D297" s="6" t="str">
        <f>_xll.QS.CONTEXT.ADD.CURVE(C297,"SOFR",$K$2:$K$7,$L$2:$L$7,,,"Actual360","LogLinear",TRUE)</f>
        <v>QSObject:ContextInput:w1~input.qs_context_add_curve.2359132437744.296.3.0:39617</v>
      </c>
      <c r="E297" s="6" t="str">
        <f>_xll.QS.INSTRUMENT.SWAP("swap.295",H297,B297,"USD","SOFR",I297,J297,0,"Actual360","Simple","Annual","Annual","Annual")</f>
        <v>QSObject:Swap:w1~swap.295:20789</v>
      </c>
      <c r="F297" s="6" t="str">
        <f>_xll.QS.TRADE.CREATE("trade.295",E297,A297,"Receive")</f>
        <v>QSObject:SwapTrade:w1~trade.295:30764</v>
      </c>
      <c r="G297" s="3">
        <f>_xll.QS.EVALUATE(C297,F297)</f>
        <v>35478.455853342166</v>
      </c>
      <c r="H297" s="5" t="s">
        <v>635</v>
      </c>
      <c r="I297" s="7">
        <v>1029500</v>
      </c>
      <c r="J297" s="8">
        <v>3.9500000000000007E-2</v>
      </c>
    </row>
    <row r="298" spans="1:10" x14ac:dyDescent="0.25">
      <c r="A298" s="5" t="s">
        <v>623</v>
      </c>
      <c r="B298" s="5" t="s">
        <v>636</v>
      </c>
      <c r="C298" s="6" t="str">
        <f>_xll.QS.CONTEXT.CREATE("market.296",A298,"USD","SOFR")</f>
        <v>QSObject:PricingContext:w1~market.296:20788</v>
      </c>
      <c r="D298" s="6" t="str">
        <f>_xll.QS.CONTEXT.ADD.CURVE(C298,"SOFR",$K$2:$K$7,$L$2:$L$7,,,"Actual360","LogLinear",TRUE)</f>
        <v>QSObject:ContextInput:w1~input.qs_context_add_curve.2359132437744.297.3.0:39616</v>
      </c>
      <c r="E298" s="6" t="str">
        <f>_xll.QS.INSTRUMENT.SWAP("swap.296",H298,B298,"USD","SOFR",I298,J298,0,"Actual360","Simple","Annual","Annual","Annual")</f>
        <v>QSObject:Swap:w1~swap.296:20787</v>
      </c>
      <c r="F298" s="6" t="str">
        <f>_xll.QS.TRADE.CREATE("trade.296",E298,A298,"Receive")</f>
        <v>QSObject:SwapTrade:w1~trade.296:30763</v>
      </c>
      <c r="G298" s="3">
        <f>_xll.QS.EVALUATE(C298,F298)</f>
        <v>36032.2733345796</v>
      </c>
      <c r="H298" s="5" t="s">
        <v>637</v>
      </c>
      <c r="I298" s="7">
        <v>1029600</v>
      </c>
      <c r="J298" s="8">
        <v>3.9600000000000003E-2</v>
      </c>
    </row>
    <row r="299" spans="1:10" x14ac:dyDescent="0.25">
      <c r="A299" s="5" t="s">
        <v>625</v>
      </c>
      <c r="B299" s="5" t="s">
        <v>638</v>
      </c>
      <c r="C299" s="6" t="str">
        <f>_xll.QS.CONTEXT.CREATE("market.297",A299,"USD","SOFR")</f>
        <v>QSObject:PricingContext:w1~market.297:20786</v>
      </c>
      <c r="D299" s="6" t="str">
        <f>_xll.QS.CONTEXT.ADD.CURVE(C299,"SOFR",$K$2:$K$7,$L$2:$L$7,,,"Actual360","LogLinear",TRUE)</f>
        <v>QSObject:ContextInput:w1~input.qs_context_add_curve.2359132437744.298.3.0:39615</v>
      </c>
      <c r="E299" s="6" t="str">
        <f>_xll.QS.INSTRUMENT.SWAP("swap.297",H299,B299,"USD","SOFR",I299,J299,0,"Actual360","Simple","Annual","Annual","Annual")</f>
        <v>QSObject:Swap:w1~swap.297:20785</v>
      </c>
      <c r="F299" s="6" t="str">
        <f>_xll.QS.TRADE.CREATE("trade.297",E299,A299,"Receive")</f>
        <v>QSObject:SwapTrade:w1~trade.297:30762</v>
      </c>
      <c r="G299" s="3">
        <f>_xll.QS.EVALUATE(C299,F299)</f>
        <v>36555.169895010564</v>
      </c>
      <c r="H299" s="5" t="s">
        <v>639</v>
      </c>
      <c r="I299" s="7">
        <v>1029700</v>
      </c>
      <c r="J299" s="8">
        <v>3.9700000000000013E-2</v>
      </c>
    </row>
    <row r="300" spans="1:10" x14ac:dyDescent="0.25">
      <c r="A300" s="5" t="s">
        <v>627</v>
      </c>
      <c r="B300" s="5" t="s">
        <v>640</v>
      </c>
      <c r="C300" s="6" t="str">
        <f>_xll.QS.CONTEXT.CREATE("market.298",A300,"USD","SOFR")</f>
        <v>QSObject:PricingContext:w1~market.298:20784</v>
      </c>
      <c r="D300" s="6" t="str">
        <f>_xll.QS.CONTEXT.ADD.CURVE(C300,"SOFR",$K$2:$K$7,$L$2:$L$7,,,"Actual360","LogLinear",TRUE)</f>
        <v>QSObject:ContextInput:w1~input.qs_context_add_curve.2359132437744.299.3.0:39614</v>
      </c>
      <c r="E300" s="6" t="str">
        <f>_xll.QS.INSTRUMENT.SWAP("swap.298",H300,B300,"USD","SOFR",I300,J300,0,"Actual360","Simple","Annual","Annual","Annual")</f>
        <v>QSObject:Swap:w1~swap.298:20783</v>
      </c>
      <c r="F300" s="6" t="str">
        <f>_xll.QS.TRADE.CREATE("trade.298",E300,A300,"Receive")</f>
        <v>QSObject:SwapTrade:w1~trade.298:30761</v>
      </c>
      <c r="G300" s="3">
        <f>_xll.QS.EVALUATE(C300,F300)</f>
        <v>36994.279580200484</v>
      </c>
      <c r="H300" s="5" t="s">
        <v>641</v>
      </c>
      <c r="I300" s="7">
        <v>1029800</v>
      </c>
      <c r="J300" s="8">
        <v>3.9800000000000002E-2</v>
      </c>
    </row>
    <row r="301" spans="1:10" x14ac:dyDescent="0.25">
      <c r="A301" s="5" t="s">
        <v>629</v>
      </c>
      <c r="B301" s="5" t="s">
        <v>642</v>
      </c>
      <c r="C301" s="6" t="str">
        <f>_xll.QS.CONTEXT.CREATE("market.299",A301,"USD","SOFR")</f>
        <v>QSObject:PricingContext:w1~market.299:20782</v>
      </c>
      <c r="D301" s="6" t="str">
        <f>_xll.QS.CONTEXT.ADD.CURVE(C301,"SOFR",$K$2:$K$7,$L$2:$L$7,,,"Actual360","LogLinear",TRUE)</f>
        <v>QSObject:ContextInput:w1~input.qs_context_add_curve.2359132437744.300.3.0:39613</v>
      </c>
      <c r="E301" s="6" t="str">
        <f>_xll.QS.INSTRUMENT.SWAP("swap.299",H301,B301,"USD","SOFR",I301,J301,0,"Actual360","Simple","Annual","Annual","Annual")</f>
        <v>QSObject:Swap:w1~swap.299:20781</v>
      </c>
      <c r="F301" s="6" t="str">
        <f>_xll.QS.TRADE.CREATE("trade.299",E301,A301,"Receive")</f>
        <v>QSObject:SwapTrade:w1~trade.299:30760</v>
      </c>
      <c r="G301" s="3">
        <f>_xll.QS.EVALUATE(C301,F301)</f>
        <v>37385.101936638253</v>
      </c>
      <c r="H301" s="5" t="s">
        <v>643</v>
      </c>
      <c r="I301" s="7">
        <v>1029900</v>
      </c>
      <c r="J301" s="8">
        <v>3.9899999999999998E-2</v>
      </c>
    </row>
    <row r="302" spans="1:10" x14ac:dyDescent="0.25">
      <c r="A302" s="5" t="s">
        <v>631</v>
      </c>
      <c r="B302" s="5" t="s">
        <v>644</v>
      </c>
      <c r="C302" s="6" t="str">
        <f>_xll.QS.CONTEXT.CREATE("market.300",A302,"USD","SOFR")</f>
        <v>QSObject:PricingContext:w1~market.300:20780</v>
      </c>
      <c r="D302" s="6" t="str">
        <f>_xll.QS.CONTEXT.ADD.CURVE(C302,"SOFR",$K$2:$K$7,$L$2:$L$7,,,"Actual360","LogLinear",TRUE)</f>
        <v>QSObject:ContextInput:w1~input.qs_context_add_curve.2359132437744.301.3.0:39612</v>
      </c>
      <c r="E302" s="6" t="str">
        <f>_xll.QS.INSTRUMENT.SWAP("swap.300",H302,B302,"USD","SOFR",I302,J302,0,"Actual360","Simple","Annual","Annual","Annual")</f>
        <v>QSObject:Swap:w1~swap.300:20779</v>
      </c>
      <c r="F302" s="6" t="str">
        <f>_xll.QS.TRADE.CREATE("trade.300",E302,A302,"Receive")</f>
        <v>QSObject:SwapTrade:w1~trade.300:30759</v>
      </c>
      <c r="G302" s="3">
        <f>_xll.QS.EVALUATE(C302,F302)</f>
        <v>14047.443484316664</v>
      </c>
      <c r="H302" s="5" t="s">
        <v>645</v>
      </c>
      <c r="I302" s="7">
        <v>1030000</v>
      </c>
      <c r="J302" s="8">
        <v>3.5000000000000003E-2</v>
      </c>
    </row>
    <row r="303" spans="1:10" x14ac:dyDescent="0.25">
      <c r="A303" s="5" t="s">
        <v>633</v>
      </c>
      <c r="B303" s="5" t="s">
        <v>646</v>
      </c>
      <c r="C303" s="6" t="str">
        <f>_xll.QS.CONTEXT.CREATE("market.301",A303,"USD","SOFR")</f>
        <v>QSObject:PricingContext:w1~market.301:20778</v>
      </c>
      <c r="D303" s="6" t="str">
        <f>_xll.QS.CONTEXT.ADD.CURVE(C303,"SOFR",$K$2:$K$7,$L$2:$L$7,,,"Actual360","LogLinear",TRUE)</f>
        <v>QSObject:ContextInput:w1~input.qs_context_add_curve.2359132437744.302.3.0:39611</v>
      </c>
      <c r="E303" s="6" t="str">
        <f>_xll.QS.INSTRUMENT.SWAP("swap.301",H303,B303,"USD","SOFR",I303,J303,0,"Actual360","Simple","Annual","Annual","Annual")</f>
        <v>QSObject:Swap:w1~swap.301:20777</v>
      </c>
      <c r="F303" s="6" t="str">
        <f>_xll.QS.TRADE.CREATE("trade.301",E303,A303,"Receive")</f>
        <v>QSObject:SwapTrade:w1~trade.301:30758</v>
      </c>
      <c r="G303" s="3">
        <f>_xll.QS.EVALUATE(C303,F303)</f>
        <v>14566.174622305469</v>
      </c>
      <c r="H303" s="5" t="s">
        <v>647</v>
      </c>
      <c r="I303" s="7">
        <v>1030100</v>
      </c>
      <c r="J303" s="8">
        <v>3.5100000000000013E-2</v>
      </c>
    </row>
    <row r="304" spans="1:10" x14ac:dyDescent="0.25">
      <c r="A304" s="5" t="s">
        <v>635</v>
      </c>
      <c r="B304" s="5" t="s">
        <v>648</v>
      </c>
      <c r="C304" s="6" t="str">
        <f>_xll.QS.CONTEXT.CREATE("market.302",A304,"USD","SOFR")</f>
        <v>QSObject:PricingContext:w1~market.302:20776</v>
      </c>
      <c r="D304" s="6" t="str">
        <f>_xll.QS.CONTEXT.ADD.CURVE(C304,"SOFR",$K$2:$K$7,$L$2:$L$7,,,"Actual360","LogLinear",TRUE)</f>
        <v>QSObject:ContextInput:w1~input.qs_context_add_curve.2359132437744.303.3.0:39610</v>
      </c>
      <c r="E304" s="6" t="str">
        <f>_xll.QS.INSTRUMENT.SWAP("swap.302",H304,B304,"USD","SOFR",I304,J304,0,"Actual360","Simple","Annual","Annual","Annual")</f>
        <v>QSObject:Swap:w1~swap.302:20775</v>
      </c>
      <c r="F304" s="6" t="str">
        <f>_xll.QS.TRADE.CREATE("trade.302",E304,A304,"Receive")</f>
        <v>QSObject:SwapTrade:w1~trade.302:30757</v>
      </c>
      <c r="G304" s="3">
        <f>_xll.QS.EVALUATE(C304,F304)</f>
        <v>15074.942862131484</v>
      </c>
      <c r="H304" s="5" t="s">
        <v>649</v>
      </c>
      <c r="I304" s="7">
        <v>1030200</v>
      </c>
      <c r="J304" s="8">
        <v>3.5200000000000002E-2</v>
      </c>
    </row>
    <row r="305" spans="1:10" x14ac:dyDescent="0.25">
      <c r="A305" s="5" t="s">
        <v>637</v>
      </c>
      <c r="B305" s="5" t="s">
        <v>650</v>
      </c>
      <c r="C305" s="6" t="str">
        <f>_xll.QS.CONTEXT.CREATE("market.303",A305,"USD","SOFR")</f>
        <v>QSObject:PricingContext:w1~market.303:20774</v>
      </c>
      <c r="D305" s="6" t="str">
        <f>_xll.QS.CONTEXT.ADD.CURVE(C305,"SOFR",$K$2:$K$7,$L$2:$L$7,,,"Actual360","LogLinear",TRUE)</f>
        <v>QSObject:ContextInput:w1~input.qs_context_add_curve.2359132437744.304.3.0:39609</v>
      </c>
      <c r="E305" s="6" t="str">
        <f>_xll.QS.INSTRUMENT.SWAP("swap.303",H305,B305,"USD","SOFR",I305,J305,0,"Actual360","Simple","Annual","Annual","Annual")</f>
        <v>QSObject:Swap:w1~swap.303:20773</v>
      </c>
      <c r="F305" s="6" t="str">
        <f>_xll.QS.TRADE.CREATE("trade.303",E305,A305,"Receive")</f>
        <v>QSObject:SwapTrade:w1~trade.303:30756</v>
      </c>
      <c r="G305" s="3">
        <f>_xll.QS.EVALUATE(C305,F305)</f>
        <v>15626.655651165758</v>
      </c>
      <c r="H305" s="5" t="s">
        <v>651</v>
      </c>
      <c r="I305" s="7">
        <v>1030300</v>
      </c>
      <c r="J305" s="8">
        <v>3.5299999999999998E-2</v>
      </c>
    </row>
    <row r="306" spans="1:10" x14ac:dyDescent="0.25">
      <c r="A306" s="5" t="s">
        <v>639</v>
      </c>
      <c r="B306" s="5" t="s">
        <v>652</v>
      </c>
      <c r="C306" s="6" t="str">
        <f>_xll.QS.CONTEXT.CREATE("market.304",A306,"USD","SOFR")</f>
        <v>QSObject:PricingContext:w1~market.304:20772</v>
      </c>
      <c r="D306" s="6" t="str">
        <f>_xll.QS.CONTEXT.ADD.CURVE(C306,"SOFR",$K$2:$K$7,$L$2:$L$7,,,"Actual360","LogLinear",TRUE)</f>
        <v>QSObject:ContextInput:w1~input.qs_context_add_curve.2359132437744.305.3.0:39608</v>
      </c>
      <c r="E306" s="6" t="str">
        <f>_xll.QS.INSTRUMENT.SWAP("swap.304",H306,B306,"USD","SOFR",I306,J306,0,"Actual360","Simple","Annual","Annual","Annual")</f>
        <v>QSObject:Swap:w1~swap.304:20771</v>
      </c>
      <c r="F306" s="6" t="str">
        <f>_xll.QS.TRADE.CREATE("trade.304",E306,A306,"Receive")</f>
        <v>QSObject:SwapTrade:w1~trade.304:30755</v>
      </c>
      <c r="G306" s="3">
        <f>_xll.QS.EVALUATE(C306,F306)</f>
        <v>16148.049158509086</v>
      </c>
      <c r="H306" s="5" t="s">
        <v>653</v>
      </c>
      <c r="I306" s="7">
        <v>1030400</v>
      </c>
      <c r="J306" s="8">
        <v>3.5400000000000001E-2</v>
      </c>
    </row>
    <row r="307" spans="1:10" x14ac:dyDescent="0.25">
      <c r="A307" s="5" t="s">
        <v>641</v>
      </c>
      <c r="B307" s="5" t="s">
        <v>654</v>
      </c>
      <c r="C307" s="6" t="str">
        <f>_xll.QS.CONTEXT.CREATE("market.305",A307,"USD","SOFR")</f>
        <v>QSObject:PricingContext:w1~market.305:20770</v>
      </c>
      <c r="D307" s="6" t="str">
        <f>_xll.QS.CONTEXT.ADD.CURVE(C307,"SOFR",$K$2:$K$7,$L$2:$L$7,,,"Actual360","LogLinear",TRUE)</f>
        <v>QSObject:ContextInput:w1~input.qs_context_add_curve.2359132437744.306.3.0:39607</v>
      </c>
      <c r="E307" s="6" t="str">
        <f>_xll.QS.INSTRUMENT.SWAP("swap.305",H307,B307,"USD","SOFR",I307,J307,0,"Actual360","Simple","Annual","Annual","Annual")</f>
        <v>QSObject:Swap:w1~swap.305:20769</v>
      </c>
      <c r="F307" s="6" t="str">
        <f>_xll.QS.TRADE.CREATE("trade.305",E307,A307,"Receive")</f>
        <v>QSObject:SwapTrade:w1~trade.305:30754</v>
      </c>
      <c r="G307" s="3">
        <f>_xll.QS.EVALUATE(C307,F307)</f>
        <v>16585.678572804078</v>
      </c>
      <c r="H307" s="5" t="s">
        <v>655</v>
      </c>
      <c r="I307" s="7">
        <v>1030500</v>
      </c>
      <c r="J307" s="8">
        <v>3.5499999999999997E-2</v>
      </c>
    </row>
    <row r="308" spans="1:10" x14ac:dyDescent="0.25">
      <c r="A308" s="5" t="s">
        <v>643</v>
      </c>
      <c r="B308" s="5" t="s">
        <v>656</v>
      </c>
      <c r="C308" s="6" t="str">
        <f>_xll.QS.CONTEXT.CREATE("market.306",A308,"USD","SOFR")</f>
        <v>QSObject:PricingContext:w1~market.306:20768</v>
      </c>
      <c r="D308" s="6" t="str">
        <f>_xll.QS.CONTEXT.ADD.CURVE(C308,"SOFR",$K$2:$K$7,$L$2:$L$7,,,"Actual360","LogLinear",TRUE)</f>
        <v>QSObject:ContextInput:w1~input.qs_context_add_curve.2359132437744.307.3.0:39606</v>
      </c>
      <c r="E308" s="6" t="str">
        <f>_xll.QS.INSTRUMENT.SWAP("swap.306",H308,B308,"USD","SOFR",I308,J308,0,"Actual360","Simple","Annual","Annual","Annual")</f>
        <v>QSObject:Swap:w1~swap.306:20767</v>
      </c>
      <c r="F308" s="6" t="str">
        <f>_xll.QS.TRADE.CREATE("trade.306",E308,A308,"Receive")</f>
        <v>QSObject:SwapTrade:w1~trade.306:30753</v>
      </c>
      <c r="G308" s="3">
        <f>_xll.QS.EVALUATE(C308,F308)</f>
        <v>16987.477660108179</v>
      </c>
      <c r="H308" s="5" t="s">
        <v>657</v>
      </c>
      <c r="I308" s="7">
        <v>1030600</v>
      </c>
      <c r="J308" s="8">
        <v>3.5600000000000007E-2</v>
      </c>
    </row>
    <row r="309" spans="1:10" x14ac:dyDescent="0.25">
      <c r="A309" s="5" t="s">
        <v>645</v>
      </c>
      <c r="B309" s="5" t="s">
        <v>658</v>
      </c>
      <c r="C309" s="6" t="str">
        <f>_xll.QS.CONTEXT.CREATE("market.307",A309,"USD","SOFR")</f>
        <v>QSObject:PricingContext:w1~market.307:20766</v>
      </c>
      <c r="D309" s="6" t="str">
        <f>_xll.QS.CONTEXT.ADD.CURVE(C309,"SOFR",$K$2:$K$7,$L$2:$L$7,,,"Actual360","LogLinear",TRUE)</f>
        <v>QSObject:ContextInput:w1~input.qs_context_add_curve.2359132437744.308.3.0:39605</v>
      </c>
      <c r="E309" s="6" t="str">
        <f>_xll.QS.INSTRUMENT.SWAP("swap.307",H309,B309,"USD","SOFR",I309,J309,0,"Actual360","Simple","Annual","Annual","Annual")</f>
        <v>QSObject:Swap:w1~swap.307:20765</v>
      </c>
      <c r="F309" s="6" t="str">
        <f>_xll.QS.TRADE.CREATE("trade.307",E309,A309,"Receive")</f>
        <v>QSObject:SwapTrade:w1~trade.307:30752</v>
      </c>
      <c r="G309" s="3">
        <f>_xll.QS.EVALUATE(C309,F309)</f>
        <v>17373.503029551546</v>
      </c>
      <c r="H309" s="5" t="s">
        <v>659</v>
      </c>
      <c r="I309" s="7">
        <v>1030700</v>
      </c>
      <c r="J309" s="8">
        <v>3.5700000000000003E-2</v>
      </c>
    </row>
    <row r="310" spans="1:10" x14ac:dyDescent="0.25">
      <c r="A310" s="5" t="s">
        <v>647</v>
      </c>
      <c r="B310" s="5" t="s">
        <v>660</v>
      </c>
      <c r="C310" s="6" t="str">
        <f>_xll.QS.CONTEXT.CREATE("market.308",A310,"USD","SOFR")</f>
        <v>QSObject:PricingContext:w1~market.308:20764</v>
      </c>
      <c r="D310" s="6" t="str">
        <f>_xll.QS.CONTEXT.ADD.CURVE(C310,"SOFR",$K$2:$K$7,$L$2:$L$7,,,"Actual360","LogLinear",TRUE)</f>
        <v>QSObject:ContextInput:w1~input.qs_context_add_curve.2359132437744.309.3.0:39604</v>
      </c>
      <c r="E310" s="6" t="str">
        <f>_xll.QS.INSTRUMENT.SWAP("swap.308",H310,B310,"USD","SOFR",I310,J310,0,"Actual360","Simple","Annual","Annual","Annual")</f>
        <v>QSObject:Swap:w1~swap.308:20763</v>
      </c>
      <c r="F310" s="6" t="str">
        <f>_xll.QS.TRADE.CREATE("trade.308",E310,A310,"Receive")</f>
        <v>QSObject:SwapTrade:w1~trade.308:30751</v>
      </c>
      <c r="G310" s="3">
        <f>_xll.QS.EVALUATE(C310,F310)</f>
        <v>17893.83271863731</v>
      </c>
      <c r="H310" s="5" t="s">
        <v>661</v>
      </c>
      <c r="I310" s="7">
        <v>1030800</v>
      </c>
      <c r="J310" s="8">
        <v>3.5800000000000012E-2</v>
      </c>
    </row>
    <row r="311" spans="1:10" x14ac:dyDescent="0.25">
      <c r="A311" s="5" t="s">
        <v>649</v>
      </c>
      <c r="B311" s="5" t="s">
        <v>662</v>
      </c>
      <c r="C311" s="6" t="str">
        <f>_xll.QS.CONTEXT.CREATE("market.309",A311,"USD","SOFR")</f>
        <v>QSObject:PricingContext:w1~market.309:20762</v>
      </c>
      <c r="D311" s="6" t="str">
        <f>_xll.QS.CONTEXT.ADD.CURVE(C311,"SOFR",$K$2:$K$7,$L$2:$L$7,,,"Actual360","LogLinear",TRUE)</f>
        <v>QSObject:ContextInput:w1~input.qs_context_add_curve.2359132437744.310.3.0:39603</v>
      </c>
      <c r="E311" s="6" t="str">
        <f>_xll.QS.INSTRUMENT.SWAP("swap.309",H311,B311,"USD","SOFR",I311,J311,0,"Actual360","Simple","Annual","Annual","Annual")</f>
        <v>QSObject:Swap:w1~swap.309:20761</v>
      </c>
      <c r="F311" s="6" t="str">
        <f>_xll.QS.TRADE.CREATE("trade.309",E311,A311,"Receive")</f>
        <v>QSObject:SwapTrade:w1~trade.309:30750</v>
      </c>
      <c r="G311" s="3">
        <f>_xll.QS.EVALUATE(C311,F311)</f>
        <v>18412.935917409835</v>
      </c>
      <c r="H311" s="5" t="s">
        <v>663</v>
      </c>
      <c r="I311" s="7">
        <v>1030900</v>
      </c>
      <c r="J311" s="8">
        <v>3.5900000000000001E-2</v>
      </c>
    </row>
    <row r="312" spans="1:10" x14ac:dyDescent="0.25">
      <c r="A312" s="5" t="s">
        <v>651</v>
      </c>
      <c r="B312" s="5" t="s">
        <v>664</v>
      </c>
      <c r="C312" s="6" t="str">
        <f>_xll.QS.CONTEXT.CREATE("market.310",A312,"USD","SOFR")</f>
        <v>QSObject:PricingContext:w1~market.310:20760</v>
      </c>
      <c r="D312" s="6" t="str">
        <f>_xll.QS.CONTEXT.ADD.CURVE(C312,"SOFR",$K$2:$K$7,$L$2:$L$7,,,"Actual360","LogLinear",TRUE)</f>
        <v>QSObject:ContextInput:w1~input.qs_context_add_curve.2359132437744.311.3.0:39602</v>
      </c>
      <c r="E312" s="6" t="str">
        <f>_xll.QS.INSTRUMENT.SWAP("swap.310",H312,B312,"USD","SOFR",I312,J312,0,"Actual360","Simple","Annual","Annual","Annual")</f>
        <v>QSObject:Swap:w1~swap.310:20759</v>
      </c>
      <c r="F312" s="6" t="str">
        <f>_xll.QS.TRADE.CREATE("trade.310",E312,A312,"Receive")</f>
        <v>QSObject:SwapTrade:w1~trade.310:30749</v>
      </c>
      <c r="G312" s="3">
        <f>_xll.QS.EVALUATE(C312,F312)</f>
        <v>18965.200077127363</v>
      </c>
      <c r="H312" s="5" t="s">
        <v>665</v>
      </c>
      <c r="I312" s="7">
        <v>1031000</v>
      </c>
      <c r="J312" s="8">
        <v>3.5999999999999997E-2</v>
      </c>
    </row>
    <row r="313" spans="1:10" x14ac:dyDescent="0.25">
      <c r="A313" s="5" t="s">
        <v>653</v>
      </c>
      <c r="B313" s="5" t="s">
        <v>666</v>
      </c>
      <c r="C313" s="6" t="str">
        <f>_xll.QS.CONTEXT.CREATE("market.311",A313,"USD","SOFR")</f>
        <v>QSObject:PricingContext:w1~market.311:20758</v>
      </c>
      <c r="D313" s="6" t="str">
        <f>_xll.QS.CONTEXT.ADD.CURVE(C313,"SOFR",$K$2:$K$7,$L$2:$L$7,,,"Actual360","LogLinear",TRUE)</f>
        <v>QSObject:ContextInput:w1~input.qs_context_add_curve.2359132437744.312.3.0:39601</v>
      </c>
      <c r="E313" s="6" t="str">
        <f>_xll.QS.INSTRUMENT.SWAP("swap.311",H313,B313,"USD","SOFR",I313,J313,0,"Actual360","Simple","Annual","Annual","Annual")</f>
        <v>QSObject:Swap:w1~swap.311:20757</v>
      </c>
      <c r="F313" s="6" t="str">
        <f>_xll.QS.TRADE.CREATE("trade.311",E313,A313,"Receive")</f>
        <v>QSObject:SwapTrade:w1~trade.311:30748</v>
      </c>
      <c r="G313" s="3">
        <f>_xll.QS.EVALUATE(C313,F313)</f>
        <v>19489.224820615957</v>
      </c>
      <c r="H313" s="5" t="s">
        <v>667</v>
      </c>
      <c r="I313" s="7">
        <v>1031100</v>
      </c>
      <c r="J313" s="8">
        <v>3.61E-2</v>
      </c>
    </row>
    <row r="314" spans="1:10" x14ac:dyDescent="0.25">
      <c r="A314" s="5" t="s">
        <v>655</v>
      </c>
      <c r="B314" s="5" t="s">
        <v>668</v>
      </c>
      <c r="C314" s="6" t="str">
        <f>_xll.QS.CONTEXT.CREATE("market.312",A314,"USD","SOFR")</f>
        <v>QSObject:PricingContext:w1~market.312:20756</v>
      </c>
      <c r="D314" s="6" t="str">
        <f>_xll.QS.CONTEXT.ADD.CURVE(C314,"SOFR",$K$2:$K$7,$L$2:$L$7,,,"Actual360","LogLinear",TRUE)</f>
        <v>QSObject:ContextInput:w1~input.qs_context_add_curve.2359132437744.313.3.0:39600</v>
      </c>
      <c r="E314" s="6" t="str">
        <f>_xll.QS.INSTRUMENT.SWAP("swap.312",H314,B314,"USD","SOFR",I314,J314,0,"Actual360","Simple","Annual","Annual","Annual")</f>
        <v>QSObject:Swap:w1~swap.312:20755</v>
      </c>
      <c r="F314" s="6" t="str">
        <f>_xll.QS.TRADE.CREATE("trade.312",E314,A314,"Receive")</f>
        <v>QSObject:SwapTrade:w1~trade.312:30747</v>
      </c>
      <c r="G314" s="3">
        <f>_xll.QS.EVALUATE(C314,F314)</f>
        <v>19967.695119506112</v>
      </c>
      <c r="H314" s="5" t="s">
        <v>669</v>
      </c>
      <c r="I314" s="7">
        <v>1031200</v>
      </c>
      <c r="J314" s="8">
        <v>3.6200000000000003E-2</v>
      </c>
    </row>
    <row r="315" spans="1:10" x14ac:dyDescent="0.25">
      <c r="A315" s="5" t="s">
        <v>657</v>
      </c>
      <c r="B315" s="5" t="s">
        <v>670</v>
      </c>
      <c r="C315" s="6" t="str">
        <f>_xll.QS.CONTEXT.CREATE("market.313",A315,"USD","SOFR")</f>
        <v>QSObject:PricingContext:w1~market.313:20754</v>
      </c>
      <c r="D315" s="6" t="str">
        <f>_xll.QS.CONTEXT.ADD.CURVE(C315,"SOFR",$K$2:$K$7,$L$2:$L$7,,,"Actual360","LogLinear",TRUE)</f>
        <v>QSObject:ContextInput:w1~input.qs_context_add_curve.2359132437744.314.3.0:39599</v>
      </c>
      <c r="E315" s="6" t="str">
        <f>_xll.QS.INSTRUMENT.SWAP("swap.313",H315,B315,"USD","SOFR",I315,J315,0,"Actual360","Simple","Annual","Annual","Annual")</f>
        <v>QSObject:Swap:w1~swap.313:20753</v>
      </c>
      <c r="F315" s="6" t="str">
        <f>_xll.QS.TRADE.CREATE("trade.313",E315,A315,"Receive")</f>
        <v>QSObject:SwapTrade:w1~trade.313:30746</v>
      </c>
      <c r="G315" s="3">
        <f>_xll.QS.EVALUATE(C315,F315)</f>
        <v>20377.566614458876</v>
      </c>
      <c r="H315" s="5" t="s">
        <v>671</v>
      </c>
      <c r="I315" s="7">
        <v>1031300</v>
      </c>
      <c r="J315" s="8">
        <v>3.6300000000000013E-2</v>
      </c>
    </row>
    <row r="316" spans="1:10" x14ac:dyDescent="0.25">
      <c r="A316" s="5" t="s">
        <v>659</v>
      </c>
      <c r="B316" s="5" t="s">
        <v>672</v>
      </c>
      <c r="C316" s="6" t="str">
        <f>_xll.QS.CONTEXT.CREATE("market.314",A316,"USD","SOFR")</f>
        <v>QSObject:PricingContext:w1~market.314:20752</v>
      </c>
      <c r="D316" s="6" t="str">
        <f>_xll.QS.CONTEXT.ADD.CURVE(C316,"SOFR",$K$2:$K$7,$L$2:$L$7,,,"Actual360","LogLinear",TRUE)</f>
        <v>QSObject:ContextInput:w1~input.qs_context_add_curve.2359132437744.315.3.0:39598</v>
      </c>
      <c r="E316" s="6" t="str">
        <f>_xll.QS.INSTRUMENT.SWAP("swap.314",H316,B316,"USD","SOFR",I316,J316,0,"Actual360","Simple","Annual","Annual","Annual")</f>
        <v>QSObject:Swap:w1~swap.314:20751</v>
      </c>
      <c r="F316" s="6" t="str">
        <f>_xll.QS.TRADE.CREATE("trade.314",E316,A316,"Receive")</f>
        <v>QSObject:SwapTrade:w1~trade.314:30745</v>
      </c>
      <c r="G316" s="3">
        <f>_xll.QS.EVALUATE(C316,F316)</f>
        <v>20769.701453000056</v>
      </c>
      <c r="H316" s="5" t="s">
        <v>673</v>
      </c>
      <c r="I316" s="7">
        <v>1031400</v>
      </c>
      <c r="J316" s="8">
        <v>3.6400000000000002E-2</v>
      </c>
    </row>
    <row r="317" spans="1:10" x14ac:dyDescent="0.25">
      <c r="A317" s="5" t="s">
        <v>661</v>
      </c>
      <c r="B317" s="5" t="s">
        <v>674</v>
      </c>
      <c r="C317" s="6" t="str">
        <f>_xll.QS.CONTEXT.CREATE("market.315",A317,"USD","SOFR")</f>
        <v>QSObject:PricingContext:w1~market.315:20750</v>
      </c>
      <c r="D317" s="6" t="str">
        <f>_xll.QS.CONTEXT.ADD.CURVE(C317,"SOFR",$K$2:$K$7,$L$2:$L$7,,,"Actual360","LogLinear",TRUE)</f>
        <v>QSObject:ContextInput:w1~input.qs_context_add_curve.2359132437744.316.3.0:39597</v>
      </c>
      <c r="E317" s="6" t="str">
        <f>_xll.QS.INSTRUMENT.SWAP("swap.315",H317,B317,"USD","SOFR",I317,J317,0,"Actual360","Simple","Annual","Annual","Annual")</f>
        <v>QSObject:Swap:w1~swap.315:20749</v>
      </c>
      <c r="F317" s="6" t="str">
        <f>_xll.QS.TRADE.CREATE("trade.315",E317,A317,"Receive")</f>
        <v>QSObject:SwapTrade:w1~trade.315:30744</v>
      </c>
      <c r="G317" s="3">
        <f>_xll.QS.EVALUATE(C317,F317)</f>
        <v>21249.121161470648</v>
      </c>
      <c r="H317" s="5" t="s">
        <v>675</v>
      </c>
      <c r="I317" s="7">
        <v>1031500</v>
      </c>
      <c r="J317" s="8">
        <v>3.6499999999999998E-2</v>
      </c>
    </row>
    <row r="318" spans="1:10" x14ac:dyDescent="0.25">
      <c r="A318" s="5" t="s">
        <v>663</v>
      </c>
      <c r="B318" s="5" t="s">
        <v>676</v>
      </c>
      <c r="C318" s="6" t="str">
        <f>_xll.QS.CONTEXT.CREATE("market.316",A318,"USD","SOFR")</f>
        <v>QSObject:PricingContext:w1~market.316:20748</v>
      </c>
      <c r="D318" s="6" t="str">
        <f>_xll.QS.CONTEXT.ADD.CURVE(C318,"SOFR",$K$2:$K$7,$L$2:$L$7,,,"Actual360","LogLinear",TRUE)</f>
        <v>QSObject:ContextInput:w1~input.qs_context_add_curve.2359132437744.317.3.0:39596</v>
      </c>
      <c r="E318" s="6" t="str">
        <f>_xll.QS.INSTRUMENT.SWAP("swap.316",H318,B318,"USD","SOFR",I318,J318,0,"Actual360","Simple","Annual","Annual","Annual")</f>
        <v>QSObject:Swap:w1~swap.316:20747</v>
      </c>
      <c r="F318" s="6" t="str">
        <f>_xll.QS.TRADE.CREATE("trade.316",E318,A318,"Receive")</f>
        <v>QSObject:SwapTrade:w1~trade.316:30743</v>
      </c>
      <c r="G318" s="3">
        <f>_xll.QS.EVALUATE(C318,F318)</f>
        <v>21755.274905671224</v>
      </c>
      <c r="H318" s="5" t="s">
        <v>677</v>
      </c>
      <c r="I318" s="7">
        <v>1031600</v>
      </c>
      <c r="J318" s="8">
        <v>3.6600000000000001E-2</v>
      </c>
    </row>
    <row r="319" spans="1:10" x14ac:dyDescent="0.25">
      <c r="A319" s="5" t="s">
        <v>665</v>
      </c>
      <c r="B319" s="5" t="s">
        <v>678</v>
      </c>
      <c r="C319" s="6" t="str">
        <f>_xll.QS.CONTEXT.CREATE("market.317",A319,"USD","SOFR")</f>
        <v>QSObject:PricingContext:w1~market.317:20746</v>
      </c>
      <c r="D319" s="6" t="str">
        <f>_xll.QS.CONTEXT.ADD.CURVE(C319,"SOFR",$K$2:$K$7,$L$2:$L$7,,,"Actual360","LogLinear",TRUE)</f>
        <v>QSObject:ContextInput:w1~input.qs_context_add_curve.2359132437744.318.3.0:39595</v>
      </c>
      <c r="E319" s="6" t="str">
        <f>_xll.QS.INSTRUMENT.SWAP("swap.317",H319,B319,"USD","SOFR",I319,J319,0,"Actual360","Simple","Annual","Annual","Annual")</f>
        <v>QSObject:Swap:w1~swap.317:20745</v>
      </c>
      <c r="F319" s="6" t="str">
        <f>_xll.QS.TRADE.CREATE("trade.317",E319,A319,"Receive")</f>
        <v>QSObject:SwapTrade:w1~trade.317:30742</v>
      </c>
      <c r="G319" s="3">
        <f>_xll.QS.EVALUATE(C319,F319)</f>
        <v>22308.480915558401</v>
      </c>
      <c r="H319" s="5" t="s">
        <v>679</v>
      </c>
      <c r="I319" s="7">
        <v>1031700</v>
      </c>
      <c r="J319" s="8">
        <v>3.6700000000000003E-2</v>
      </c>
    </row>
    <row r="320" spans="1:10" x14ac:dyDescent="0.25">
      <c r="A320" s="5" t="s">
        <v>667</v>
      </c>
      <c r="B320" s="5" t="s">
        <v>680</v>
      </c>
      <c r="C320" s="6" t="str">
        <f>_xll.QS.CONTEXT.CREATE("market.318",A320,"USD","SOFR")</f>
        <v>QSObject:PricingContext:w1~market.318:20744</v>
      </c>
      <c r="D320" s="6" t="str">
        <f>_xll.QS.CONTEXT.ADD.CURVE(C320,"SOFR",$K$2:$K$7,$L$2:$L$7,,,"Actual360","LogLinear",TRUE)</f>
        <v>QSObject:ContextInput:w1~input.qs_context_add_curve.2359132437744.319.3.0:39594</v>
      </c>
      <c r="E320" s="6" t="str">
        <f>_xll.QS.INSTRUMENT.SWAP("swap.318",H320,B320,"USD","SOFR",I320,J320,0,"Actual360","Simple","Annual","Annual","Annual")</f>
        <v>QSObject:Swap:w1~swap.318:20743</v>
      </c>
      <c r="F320" s="6" t="str">
        <f>_xll.QS.TRADE.CREATE("trade.318",E320,A320,"Receive")</f>
        <v>QSObject:SwapTrade:w1~trade.318:30741</v>
      </c>
      <c r="G320" s="3">
        <f>_xll.QS.EVALUATE(C320,F320)</f>
        <v>22816.526096271609</v>
      </c>
      <c r="H320" s="5" t="s">
        <v>681</v>
      </c>
      <c r="I320" s="7">
        <v>1031800</v>
      </c>
      <c r="J320" s="8">
        <v>3.6800000000000013E-2</v>
      </c>
    </row>
    <row r="321" spans="1:10" x14ac:dyDescent="0.25">
      <c r="A321" s="5" t="s">
        <v>669</v>
      </c>
      <c r="B321" s="5" t="s">
        <v>682</v>
      </c>
      <c r="C321" s="6" t="str">
        <f>_xll.QS.CONTEXT.CREATE("market.319",A321,"USD","SOFR")</f>
        <v>QSObject:PricingContext:w1~market.319:20742</v>
      </c>
      <c r="D321" s="6" t="str">
        <f>_xll.QS.CONTEXT.ADD.CURVE(C321,"SOFR",$K$2:$K$7,$L$2:$L$7,,,"Actual360","LogLinear",TRUE)</f>
        <v>QSObject:ContextInput:w1~input.qs_context_add_curve.2359132437744.320.3.0:39593</v>
      </c>
      <c r="E321" s="6" t="str">
        <f>_xll.QS.INSTRUMENT.SWAP("swap.319",H321,B321,"USD","SOFR",I321,J321,0,"Actual360","Simple","Annual","Annual","Annual")</f>
        <v>QSObject:Swap:w1~swap.319:20741</v>
      </c>
      <c r="F321" s="6" t="str">
        <f>_xll.QS.TRADE.CREATE("trade.319",E321,A321,"Receive")</f>
        <v>QSObject:SwapTrade:w1~trade.319:30740</v>
      </c>
      <c r="G321" s="3">
        <f>_xll.QS.EVALUATE(C321,F321)</f>
        <v>23242.537814831376</v>
      </c>
      <c r="H321" s="5" t="s">
        <v>683</v>
      </c>
      <c r="I321" s="7">
        <v>1031900</v>
      </c>
      <c r="J321" s="8">
        <v>3.6900000000000002E-2</v>
      </c>
    </row>
    <row r="322" spans="1:10" x14ac:dyDescent="0.25">
      <c r="A322" s="5" t="s">
        <v>671</v>
      </c>
      <c r="B322" s="5" t="s">
        <v>684</v>
      </c>
      <c r="C322" s="6" t="str">
        <f>_xll.QS.CONTEXT.CREATE("market.320",A322,"USD","SOFR")</f>
        <v>QSObject:PricingContext:w1~market.320:20740</v>
      </c>
      <c r="D322" s="6" t="str">
        <f>_xll.QS.CONTEXT.ADD.CURVE(C322,"SOFR",$K$2:$K$7,$L$2:$L$7,,,"Actual360","LogLinear",TRUE)</f>
        <v>QSObject:ContextInput:w1~input.qs_context_add_curve.2359132437744.321.3.0:39592</v>
      </c>
      <c r="E322" s="6" t="str">
        <f>_xll.QS.INSTRUMENT.SWAP("swap.320",H322,B322,"USD","SOFR",I322,J322,0,"Actual360","Simple","Annual","Annual","Annual")</f>
        <v>QSObject:Swap:w1~swap.320:20739</v>
      </c>
      <c r="F322" s="6" t="str">
        <f>_xll.QS.TRADE.CREATE("trade.320",E322,A322,"Receive")</f>
        <v>QSObject:SwapTrade:w1~trade.320:30739</v>
      </c>
      <c r="G322" s="3">
        <f>_xll.QS.EVALUATE(C322,F322)</f>
        <v>23676.691033936957</v>
      </c>
      <c r="H322" s="5" t="s">
        <v>685</v>
      </c>
      <c r="I322" s="7">
        <v>1032000</v>
      </c>
      <c r="J322" s="8">
        <v>3.7000000000000012E-2</v>
      </c>
    </row>
    <row r="323" spans="1:10" x14ac:dyDescent="0.25">
      <c r="A323" s="5" t="s">
        <v>673</v>
      </c>
      <c r="B323" s="5" t="s">
        <v>686</v>
      </c>
      <c r="C323" s="6" t="str">
        <f>_xll.QS.CONTEXT.CREATE("market.321",A323,"USD","SOFR")</f>
        <v>QSObject:PricingContext:w1~market.321:20738</v>
      </c>
      <c r="D323" s="6" t="str">
        <f>_xll.QS.CONTEXT.ADD.CURVE(C323,"SOFR",$K$2:$K$7,$L$2:$L$7,,,"Actual360","LogLinear",TRUE)</f>
        <v>QSObject:ContextInput:w1~input.qs_context_add_curve.2359132437744.322.3.0:39591</v>
      </c>
      <c r="E323" s="6" t="str">
        <f>_xll.QS.INSTRUMENT.SWAP("swap.321",H323,B323,"USD","SOFR",I323,J323,0,"Actual360","Simple","Annual","Annual","Annual")</f>
        <v>QSObject:Swap:w1~swap.321:20737</v>
      </c>
      <c r="F323" s="6" t="str">
        <f>_xll.QS.TRADE.CREATE("trade.321",E323,A323,"Receive")</f>
        <v>QSObject:SwapTrade:w1~trade.321:30738</v>
      </c>
      <c r="G323" s="3">
        <f>_xll.QS.EVALUATE(C323,F323)</f>
        <v>24074.660664174753</v>
      </c>
      <c r="H323" s="5" t="s">
        <v>687</v>
      </c>
      <c r="I323" s="7">
        <v>1032100</v>
      </c>
      <c r="J323" s="8">
        <v>3.7100000000000001E-2</v>
      </c>
    </row>
    <row r="324" spans="1:10" x14ac:dyDescent="0.25">
      <c r="A324" s="5" t="s">
        <v>675</v>
      </c>
      <c r="B324" s="5" t="s">
        <v>688</v>
      </c>
      <c r="C324" s="6" t="str">
        <f>_xll.QS.CONTEXT.CREATE("market.322",A324,"USD","SOFR")</f>
        <v>QSObject:PricingContext:w1~market.322:20736</v>
      </c>
      <c r="D324" s="6" t="str">
        <f>_xll.QS.CONTEXT.ADD.CURVE(C324,"SOFR",$K$2:$K$7,$L$2:$L$7,,,"Actual360","LogLinear",TRUE)</f>
        <v>QSObject:ContextInput:w1~input.qs_context_add_curve.2359132437744.323.3.0:39590</v>
      </c>
      <c r="E324" s="6" t="str">
        <f>_xll.QS.INSTRUMENT.SWAP("swap.322",H324,B324,"USD","SOFR",I324,J324,0,"Actual360","Simple","Annual","Annual","Annual")</f>
        <v>QSObject:Swap:w1~swap.322:20735</v>
      </c>
      <c r="F324" s="6" t="str">
        <f>_xll.QS.TRADE.CREATE("trade.322",E324,A324,"Receive")</f>
        <v>QSObject:SwapTrade:w1~trade.322:30737</v>
      </c>
      <c r="G324" s="3">
        <f>_xll.QS.EVALUATE(C324,F324)</f>
        <v>24634.896174692978</v>
      </c>
      <c r="H324" s="5" t="s">
        <v>689</v>
      </c>
      <c r="I324" s="7">
        <v>1032200</v>
      </c>
      <c r="J324" s="8">
        <v>3.7199999999999997E-2</v>
      </c>
    </row>
    <row r="325" spans="1:10" x14ac:dyDescent="0.25">
      <c r="A325" s="5" t="s">
        <v>677</v>
      </c>
      <c r="B325" s="5" t="s">
        <v>690</v>
      </c>
      <c r="C325" s="6" t="str">
        <f>_xll.QS.CONTEXT.CREATE("market.323",A325,"USD","SOFR")</f>
        <v>QSObject:PricingContext:w1~market.323:20734</v>
      </c>
      <c r="D325" s="6" t="str">
        <f>_xll.QS.CONTEXT.ADD.CURVE(C325,"SOFR",$K$2:$K$7,$L$2:$L$7,,,"Actual360","LogLinear",TRUE)</f>
        <v>QSObject:ContextInput:w1~input.qs_context_add_curve.2359132437744.324.3.0:39589</v>
      </c>
      <c r="E325" s="6" t="str">
        <f>_xll.QS.INSTRUMENT.SWAP("swap.323",H325,B325,"USD","SOFR",I325,J325,0,"Actual360","Simple","Annual","Annual","Annual")</f>
        <v>QSObject:Swap:w1~swap.323:20733</v>
      </c>
      <c r="F325" s="6" t="str">
        <f>_xll.QS.TRADE.CREATE("trade.323",E325,A325,"Receive")</f>
        <v>QSObject:SwapTrade:w1~trade.323:30736</v>
      </c>
      <c r="G325" s="3">
        <f>_xll.QS.EVALUATE(C325,F325)</f>
        <v>25219.965539024492</v>
      </c>
      <c r="H325" s="5" t="s">
        <v>691</v>
      </c>
      <c r="I325" s="7">
        <v>1032300</v>
      </c>
      <c r="J325" s="8">
        <v>3.73E-2</v>
      </c>
    </row>
    <row r="326" spans="1:10" x14ac:dyDescent="0.25">
      <c r="A326" s="5" t="s">
        <v>679</v>
      </c>
      <c r="B326" s="5" t="s">
        <v>692</v>
      </c>
      <c r="C326" s="6" t="str">
        <f>_xll.QS.CONTEXT.CREATE("market.324",A326,"USD","SOFR")</f>
        <v>QSObject:PricingContext:w1~market.324:20732</v>
      </c>
      <c r="D326" s="6" t="str">
        <f>_xll.QS.CONTEXT.ADD.CURVE(C326,"SOFR",$K$2:$K$7,$L$2:$L$7,,,"Actual360","LogLinear",TRUE)</f>
        <v>QSObject:ContextInput:w1~input.qs_context_add_curve.2359132437744.325.3.0:39588</v>
      </c>
      <c r="E326" s="6" t="str">
        <f>_xll.QS.INSTRUMENT.SWAP("swap.324",H326,B326,"USD","SOFR",I326,J326,0,"Actual360","Simple","Annual","Annual","Annual")</f>
        <v>QSObject:Swap:w1~swap.324:20731</v>
      </c>
      <c r="F326" s="6" t="str">
        <f>_xll.QS.TRADE.CREATE("trade.324",E326,A326,"Receive")</f>
        <v>QSObject:SwapTrade:w1~trade.324:30735</v>
      </c>
      <c r="G326" s="3">
        <f>_xll.QS.EVALUATE(C326,F326)</f>
        <v>25704.327459481108</v>
      </c>
      <c r="H326" s="5" t="s">
        <v>693</v>
      </c>
      <c r="I326" s="7">
        <v>1032400</v>
      </c>
      <c r="J326" s="8">
        <v>3.7400000000000003E-2</v>
      </c>
    </row>
    <row r="327" spans="1:10" x14ac:dyDescent="0.25">
      <c r="A327" s="5" t="s">
        <v>681</v>
      </c>
      <c r="B327" s="5" t="s">
        <v>694</v>
      </c>
      <c r="C327" s="6" t="str">
        <f>_xll.QS.CONTEXT.CREATE("market.325",A327,"USD","SOFR")</f>
        <v>QSObject:PricingContext:w1~market.325:20730</v>
      </c>
      <c r="D327" s="6" t="str">
        <f>_xll.QS.CONTEXT.ADD.CURVE(C327,"SOFR",$K$2:$K$7,$L$2:$L$7,,,"Actual360","LogLinear",TRUE)</f>
        <v>QSObject:ContextInput:w1~input.qs_context_add_curve.2359132437744.326.3.0:39587</v>
      </c>
      <c r="E327" s="6" t="str">
        <f>_xll.QS.INSTRUMENT.SWAP("swap.325",H327,B327,"USD","SOFR",I327,J327,0,"Actual360","Simple","Annual","Annual","Annual")</f>
        <v>QSObject:Swap:w1~swap.325:20729</v>
      </c>
      <c r="F327" s="6" t="str">
        <f>_xll.QS.TRADE.CREATE("trade.325",E327,A327,"Receive")</f>
        <v>QSObject:SwapTrade:w1~trade.325:30734</v>
      </c>
      <c r="G327" s="3">
        <f>_xll.QS.EVALUATE(C327,F327)</f>
        <v>26180.170030641639</v>
      </c>
      <c r="H327" s="5" t="s">
        <v>695</v>
      </c>
      <c r="I327" s="7">
        <v>1032500</v>
      </c>
      <c r="J327" s="8">
        <v>3.7500000000000012E-2</v>
      </c>
    </row>
    <row r="328" spans="1:10" x14ac:dyDescent="0.25">
      <c r="A328" s="5" t="s">
        <v>683</v>
      </c>
      <c r="B328" s="5" t="s">
        <v>696</v>
      </c>
      <c r="C328" s="6" t="str">
        <f>_xll.QS.CONTEXT.CREATE("market.326",A328,"USD","SOFR")</f>
        <v>QSObject:PricingContext:w1~market.326:20728</v>
      </c>
      <c r="D328" s="6" t="str">
        <f>_xll.QS.CONTEXT.ADD.CURVE(C328,"SOFR",$K$2:$K$7,$L$2:$L$7,,,"Actual360","LogLinear",TRUE)</f>
        <v>QSObject:ContextInput:w1~input.qs_context_add_curve.2359132437744.327.3.0:39586</v>
      </c>
      <c r="E328" s="6" t="str">
        <f>_xll.QS.INSTRUMENT.SWAP("swap.326",H328,B328,"USD","SOFR",I328,J328,0,"Actual360","Simple","Annual","Annual","Annual")</f>
        <v>QSObject:Swap:w1~swap.326:20727</v>
      </c>
      <c r="F328" s="6" t="str">
        <f>_xll.QS.TRADE.CREATE("trade.326",E328,A328,"Receive")</f>
        <v>QSObject:SwapTrade:w1~trade.326:30733</v>
      </c>
      <c r="G328" s="3">
        <f>_xll.QS.EVALUATE(C328,F328)</f>
        <v>26619.62053567285</v>
      </c>
      <c r="H328" s="5" t="s">
        <v>697</v>
      </c>
      <c r="I328" s="7">
        <v>1032600</v>
      </c>
      <c r="J328" s="8">
        <v>3.7600000000000001E-2</v>
      </c>
    </row>
    <row r="329" spans="1:10" x14ac:dyDescent="0.25">
      <c r="A329" s="5" t="s">
        <v>685</v>
      </c>
      <c r="B329" s="5" t="s">
        <v>698</v>
      </c>
      <c r="C329" s="6" t="str">
        <f>_xll.QS.CONTEXT.CREATE("market.327",A329,"USD","SOFR")</f>
        <v>QSObject:PricingContext:w1~market.327:20726</v>
      </c>
      <c r="D329" s="6" t="str">
        <f>_xll.QS.CONTEXT.ADD.CURVE(C329,"SOFR",$K$2:$K$7,$L$2:$L$7,,,"Actual360","LogLinear",TRUE)</f>
        <v>QSObject:ContextInput:w1~input.qs_context_add_curve.2359132437744.328.3.0:39585</v>
      </c>
      <c r="E329" s="6" t="str">
        <f>_xll.QS.INSTRUMENT.SWAP("swap.327",H329,B329,"USD","SOFR",I329,J329,0,"Actual360","Simple","Annual","Annual","Annual")</f>
        <v>QSObject:Swap:w1~swap.327:20725</v>
      </c>
      <c r="F329" s="6" t="str">
        <f>_xll.QS.TRADE.CREATE("trade.327",E329,A329,"Receive")</f>
        <v>QSObject:SwapTrade:w1~trade.327:30732</v>
      </c>
      <c r="G329" s="3">
        <f>_xll.QS.EVALUATE(C329,F329)</f>
        <v>27023.285490883783</v>
      </c>
      <c r="H329" s="5" t="s">
        <v>699</v>
      </c>
      <c r="I329" s="7">
        <v>1032700</v>
      </c>
      <c r="J329" s="8">
        <v>3.7699999999999997E-2</v>
      </c>
    </row>
    <row r="330" spans="1:10" x14ac:dyDescent="0.25">
      <c r="A330" s="5" t="s">
        <v>687</v>
      </c>
      <c r="B330" s="5" t="s">
        <v>700</v>
      </c>
      <c r="C330" s="6" t="str">
        <f>_xll.QS.CONTEXT.CREATE("market.328",A330,"USD","SOFR")</f>
        <v>QSObject:PricingContext:w1~market.328:20724</v>
      </c>
      <c r="D330" s="6" t="str">
        <f>_xll.QS.CONTEXT.ADD.CURVE(C330,"SOFR",$K$2:$K$7,$L$2:$L$7,,,"Actual360","LogLinear",TRUE)</f>
        <v>QSObject:ContextInput:w1~input.qs_context_add_curve.2359132437744.329.3.0:39584</v>
      </c>
      <c r="E330" s="6" t="str">
        <f>_xll.QS.INSTRUMENT.SWAP("swap.328",H330,B330,"USD","SOFR",I330,J330,0,"Actual360","Simple","Annual","Annual","Annual")</f>
        <v>QSObject:Swap:w1~swap.328:20723</v>
      </c>
      <c r="F330" s="6" t="str">
        <f>_xll.QS.TRADE.CREATE("trade.328",E330,A330,"Receive")</f>
        <v>QSObject:SwapTrade:w1~trade.328:30731</v>
      </c>
      <c r="G330" s="3">
        <f>_xll.QS.EVALUATE(C330,F330)</f>
        <v>27427.023921835931</v>
      </c>
      <c r="H330" s="5" t="s">
        <v>701</v>
      </c>
      <c r="I330" s="7">
        <v>1032800</v>
      </c>
      <c r="J330" s="8">
        <v>3.78E-2</v>
      </c>
    </row>
    <row r="331" spans="1:10" x14ac:dyDescent="0.25">
      <c r="A331" s="5" t="s">
        <v>689</v>
      </c>
      <c r="B331" s="5" t="s">
        <v>702</v>
      </c>
      <c r="C331" s="6" t="str">
        <f>_xll.QS.CONTEXT.CREATE("market.329",A331,"USD","SOFR")</f>
        <v>QSObject:PricingContext:w1~market.329:20722</v>
      </c>
      <c r="D331" s="6" t="str">
        <f>_xll.QS.CONTEXT.ADD.CURVE(C331,"SOFR",$K$2:$K$7,$L$2:$L$7,,,"Actual360","LogLinear",TRUE)</f>
        <v>QSObject:ContextInput:w1~input.qs_context_add_curve.2359132437744.330.3.0:39583</v>
      </c>
      <c r="E331" s="6" t="str">
        <f>_xll.QS.INSTRUMENT.SWAP("swap.329",H331,B331,"USD","SOFR",I331,J331,0,"Actual360","Simple","Annual","Annual","Annual")</f>
        <v>QSObject:Swap:w1~swap.329:20721</v>
      </c>
      <c r="F331" s="6" t="str">
        <f>_xll.QS.TRADE.CREATE("trade.329",E331,A331,"Receive")</f>
        <v>QSObject:SwapTrade:w1~trade.329:30730</v>
      </c>
      <c r="G331" s="3">
        <f>_xll.QS.EVALUATE(C331,F331)</f>
        <v>27949.517772967025</v>
      </c>
      <c r="H331" s="5" t="s">
        <v>703</v>
      </c>
      <c r="I331" s="7">
        <v>1032900</v>
      </c>
      <c r="J331" s="8">
        <v>3.7900000000000003E-2</v>
      </c>
    </row>
    <row r="332" spans="1:10" x14ac:dyDescent="0.25">
      <c r="A332" s="5" t="s">
        <v>691</v>
      </c>
      <c r="B332" s="5" t="s">
        <v>704</v>
      </c>
      <c r="C332" s="6" t="str">
        <f>_xll.QS.CONTEXT.CREATE("market.330",A332,"USD","SOFR")</f>
        <v>QSObject:PricingContext:w1~market.330:20720</v>
      </c>
      <c r="D332" s="6" t="str">
        <f>_xll.QS.CONTEXT.ADD.CURVE(C332,"SOFR",$K$2:$K$7,$L$2:$L$7,,,"Actual360","LogLinear",TRUE)</f>
        <v>QSObject:ContextInput:w1~input.qs_context_add_curve.2359132437744.331.3.0:39582</v>
      </c>
      <c r="E332" s="6" t="str">
        <f>_xll.QS.INSTRUMENT.SWAP("swap.330",H332,B332,"USD","SOFR",I332,J332,0,"Actual360","Simple","Annual","Annual","Annual")</f>
        <v>QSObject:Swap:w1~swap.330:20719</v>
      </c>
      <c r="F332" s="6" t="str">
        <f>_xll.QS.TRADE.CREATE("trade.330",E332,A332,"Receive")</f>
        <v>QSObject:SwapTrade:w1~trade.330:30729</v>
      </c>
      <c r="G332" s="3">
        <f>_xll.QS.EVALUATE(C332,F332)</f>
        <v>28453.679308452934</v>
      </c>
      <c r="H332" s="5" t="s">
        <v>705</v>
      </c>
      <c r="I332" s="7">
        <v>1033000</v>
      </c>
      <c r="J332" s="8">
        <v>3.8000000000000013E-2</v>
      </c>
    </row>
    <row r="333" spans="1:10" x14ac:dyDescent="0.25">
      <c r="A333" s="5" t="s">
        <v>693</v>
      </c>
      <c r="B333" s="5" t="s">
        <v>706</v>
      </c>
      <c r="C333" s="6" t="str">
        <f>_xll.QS.CONTEXT.CREATE("market.331",A333,"USD","SOFR")</f>
        <v>QSObject:PricingContext:w1~market.331:20718</v>
      </c>
      <c r="D333" s="6" t="str">
        <f>_xll.QS.CONTEXT.ADD.CURVE(C333,"SOFR",$K$2:$K$7,$L$2:$L$7,,,"Actual360","LogLinear",TRUE)</f>
        <v>QSObject:ContextInput:w1~input.qs_context_add_curve.2359132437744.332.3.0:39581</v>
      </c>
      <c r="E333" s="6" t="str">
        <f>_xll.QS.INSTRUMENT.SWAP("swap.331",H333,B333,"USD","SOFR",I333,J333,0,"Actual360","Simple","Annual","Annual","Annual")</f>
        <v>QSObject:Swap:w1~swap.331:20717</v>
      </c>
      <c r="F333" s="6" t="str">
        <f>_xll.QS.TRADE.CREATE("trade.331",E333,A333,"Receive")</f>
        <v>QSObject:SwapTrade:w1~trade.331:30728</v>
      </c>
      <c r="G333" s="3">
        <f>_xll.QS.EVALUATE(C333,F333)</f>
        <v>29008.778617259086</v>
      </c>
      <c r="H333" s="5" t="s">
        <v>707</v>
      </c>
      <c r="I333" s="7">
        <v>1033100</v>
      </c>
      <c r="J333" s="8">
        <v>3.8100000000000002E-2</v>
      </c>
    </row>
    <row r="334" spans="1:10" x14ac:dyDescent="0.25">
      <c r="A334" s="5" t="s">
        <v>695</v>
      </c>
      <c r="B334" s="5" t="s">
        <v>708</v>
      </c>
      <c r="C334" s="6" t="str">
        <f>_xll.QS.CONTEXT.CREATE("market.332",A334,"USD","SOFR")</f>
        <v>QSObject:PricingContext:w1~market.332:20716</v>
      </c>
      <c r="D334" s="6" t="str">
        <f>_xll.QS.CONTEXT.ADD.CURVE(C334,"SOFR",$K$2:$K$7,$L$2:$L$7,,,"Actual360","LogLinear",TRUE)</f>
        <v>QSObject:ContextInput:w1~input.qs_context_add_curve.2359132437744.333.3.0:39580</v>
      </c>
      <c r="E334" s="6" t="str">
        <f>_xll.QS.INSTRUMENT.SWAP("swap.332",H334,B334,"USD","SOFR",I334,J334,0,"Actual360","Simple","Annual","Annual","Annual")</f>
        <v>QSObject:Swap:w1~swap.332:20715</v>
      </c>
      <c r="F334" s="6" t="str">
        <f>_xll.QS.TRADE.CREATE("trade.332",E334,A334,"Receive")</f>
        <v>QSObject:SwapTrade:w1~trade.332:30727</v>
      </c>
      <c r="G334" s="3">
        <f>_xll.QS.EVALUATE(C334,F334)</f>
        <v>29532.622813850394</v>
      </c>
      <c r="H334" s="5" t="s">
        <v>709</v>
      </c>
      <c r="I334" s="7">
        <v>1033200</v>
      </c>
      <c r="J334" s="8">
        <v>3.8199999999999998E-2</v>
      </c>
    </row>
    <row r="335" spans="1:10" x14ac:dyDescent="0.25">
      <c r="A335" s="5" t="s">
        <v>697</v>
      </c>
      <c r="B335" s="5" t="s">
        <v>710</v>
      </c>
      <c r="C335" s="6" t="str">
        <f>_xll.QS.CONTEXT.CREATE("market.333",A335,"USD","SOFR")</f>
        <v>QSObject:PricingContext:w1~market.333:20714</v>
      </c>
      <c r="D335" s="6" t="str">
        <f>_xll.QS.CONTEXT.ADD.CURVE(C335,"SOFR",$K$2:$K$7,$L$2:$L$7,,,"Actual360","LogLinear",TRUE)</f>
        <v>QSObject:ContextInput:w1~input.qs_context_add_curve.2359132437744.334.3.0:39579</v>
      </c>
      <c r="E335" s="6" t="str">
        <f>_xll.QS.INSTRUMENT.SWAP("swap.333",H335,B335,"USD","SOFR",I335,J335,0,"Actual360","Simple","Annual","Annual","Annual")</f>
        <v>QSObject:Swap:w1~swap.333:20713</v>
      </c>
      <c r="F335" s="6" t="str">
        <f>_xll.QS.TRADE.CREATE("trade.333",E335,A335,"Receive")</f>
        <v>QSObject:SwapTrade:w1~trade.333:30726</v>
      </c>
      <c r="G335" s="3">
        <f>_xll.QS.EVALUATE(C335,F335)</f>
        <v>29972.708925800045</v>
      </c>
      <c r="H335" s="5" t="s">
        <v>711</v>
      </c>
      <c r="I335" s="7">
        <v>1033300</v>
      </c>
      <c r="J335" s="8">
        <v>3.8300000000000001E-2</v>
      </c>
    </row>
    <row r="336" spans="1:10" x14ac:dyDescent="0.25">
      <c r="A336" s="5" t="s">
        <v>699</v>
      </c>
      <c r="B336" s="5" t="s">
        <v>712</v>
      </c>
      <c r="C336" s="6" t="str">
        <f>_xll.QS.CONTEXT.CREATE("market.334",A336,"USD","SOFR")</f>
        <v>QSObject:PricingContext:w1~market.334:20712</v>
      </c>
      <c r="D336" s="6" t="str">
        <f>_xll.QS.CONTEXT.ADD.CURVE(C336,"SOFR",$K$2:$K$7,$L$2:$L$7,,,"Actual360","LogLinear",TRUE)</f>
        <v>QSObject:ContextInput:w1~input.qs_context_add_curve.2359132437744.335.3.0:39578</v>
      </c>
      <c r="E336" s="6" t="str">
        <f>_xll.QS.INSTRUMENT.SWAP("swap.334",H336,B336,"USD","SOFR",I336,J336,0,"Actual360","Simple","Annual","Annual","Annual")</f>
        <v>QSObject:Swap:w1~swap.334:20711</v>
      </c>
      <c r="F336" s="6" t="str">
        <f>_xll.QS.TRADE.CREATE("trade.334",E336,A336,"Receive")</f>
        <v>QSObject:SwapTrade:w1~trade.334:30725</v>
      </c>
      <c r="G336" s="3">
        <f>_xll.QS.EVALUATE(C336,F336)</f>
        <v>30372.579894471284</v>
      </c>
      <c r="H336" s="5" t="s">
        <v>713</v>
      </c>
      <c r="I336" s="7">
        <v>1033400</v>
      </c>
      <c r="J336" s="8">
        <v>3.8399999999999997E-2</v>
      </c>
    </row>
    <row r="337" spans="1:10" x14ac:dyDescent="0.25">
      <c r="A337" s="5" t="s">
        <v>701</v>
      </c>
      <c r="B337" s="5" t="s">
        <v>714</v>
      </c>
      <c r="C337" s="6" t="str">
        <f>_xll.QS.CONTEXT.CREATE("market.335",A337,"USD","SOFR")</f>
        <v>QSObject:PricingContext:w1~market.335:20710</v>
      </c>
      <c r="D337" s="6" t="str">
        <f>_xll.QS.CONTEXT.ADD.CURVE(C337,"SOFR",$K$2:$K$7,$L$2:$L$7,,,"Actual360","LogLinear",TRUE)</f>
        <v>QSObject:ContextInput:w1~input.qs_context_add_curve.2359132437744.336.3.0:39577</v>
      </c>
      <c r="E337" s="6" t="str">
        <f>_xll.QS.INSTRUMENT.SWAP("swap.335",H337,B337,"USD","SOFR",I337,J337,0,"Actual360","Simple","Annual","Annual","Annual")</f>
        <v>QSObject:Swap:w1~swap.335:20709</v>
      </c>
      <c r="F337" s="6" t="str">
        <f>_xll.QS.TRADE.CREATE("trade.335",E337,A337,"Receive")</f>
        <v>QSObject:SwapTrade:w1~trade.335:30724</v>
      </c>
      <c r="G337" s="3">
        <f>_xll.QS.EVALUATE(C337,F337)</f>
        <v>30782.084364848539</v>
      </c>
      <c r="H337" s="5" t="s">
        <v>715</v>
      </c>
      <c r="I337" s="7">
        <v>1033500</v>
      </c>
      <c r="J337" s="8">
        <v>3.8500000000000013E-2</v>
      </c>
    </row>
    <row r="338" spans="1:10" x14ac:dyDescent="0.25">
      <c r="A338" s="5" t="s">
        <v>703</v>
      </c>
      <c r="B338" s="5" t="s">
        <v>716</v>
      </c>
      <c r="C338" s="6" t="str">
        <f>_xll.QS.CONTEXT.CREATE("market.336",A338,"USD","SOFR")</f>
        <v>QSObject:PricingContext:w1~market.336:20708</v>
      </c>
      <c r="D338" s="6" t="str">
        <f>_xll.QS.CONTEXT.ADD.CURVE(C338,"SOFR",$K$2:$K$7,$L$2:$L$7,,,"Actual360","LogLinear",TRUE)</f>
        <v>QSObject:ContextInput:w1~input.qs_context_add_curve.2359132437744.337.3.0:39576</v>
      </c>
      <c r="E338" s="6" t="str">
        <f>_xll.QS.INSTRUMENT.SWAP("swap.336",H338,B338,"USD","SOFR",I338,J338,0,"Actual360","Simple","Annual","Annual","Annual")</f>
        <v>QSObject:Swap:w1~swap.336:20707</v>
      </c>
      <c r="F338" s="6" t="str">
        <f>_xll.QS.TRADE.CREATE("trade.336",E338,A338,"Receive")</f>
        <v>QSObject:SwapTrade:w1~trade.336:30723</v>
      </c>
      <c r="G338" s="3">
        <f>_xll.QS.EVALUATE(C338,F338)</f>
        <v>31306.42068880337</v>
      </c>
      <c r="H338" s="5" t="s">
        <v>717</v>
      </c>
      <c r="I338" s="7">
        <v>1033600</v>
      </c>
      <c r="J338" s="8">
        <v>3.8600000000000002E-2</v>
      </c>
    </row>
    <row r="339" spans="1:10" x14ac:dyDescent="0.25">
      <c r="A339" s="5" t="s">
        <v>705</v>
      </c>
      <c r="B339" s="5" t="s">
        <v>718</v>
      </c>
      <c r="C339" s="6" t="str">
        <f>_xll.QS.CONTEXT.CREATE("market.337",A339,"USD","SOFR")</f>
        <v>QSObject:PricingContext:w1~market.337:20706</v>
      </c>
      <c r="D339" s="6" t="str">
        <f>_xll.QS.CONTEXT.ADD.CURVE(C339,"SOFR",$K$2:$K$7,$L$2:$L$7,,,"Actual360","LogLinear",TRUE)</f>
        <v>QSObject:ContextInput:w1~input.qs_context_add_curve.2359132437744.338.3.0:39575</v>
      </c>
      <c r="E339" s="6" t="str">
        <f>_xll.QS.INSTRUMENT.SWAP("swap.337",H339,B339,"USD","SOFR",I339,J339,0,"Actual360","Simple","Annual","Annual","Annual")</f>
        <v>QSObject:Swap:w1~swap.337:20705</v>
      </c>
      <c r="F339" s="6" t="str">
        <f>_xll.QS.TRADE.CREATE("trade.337",E339,A339,"Receive")</f>
        <v>QSObject:SwapTrade:w1~trade.337:30722</v>
      </c>
      <c r="G339" s="3">
        <f>_xll.QS.EVALUATE(C339,F339)</f>
        <v>31809.666137412845</v>
      </c>
      <c r="H339" s="5" t="s">
        <v>719</v>
      </c>
      <c r="I339" s="7">
        <v>1033700</v>
      </c>
      <c r="J339" s="8">
        <v>3.8700000000000012E-2</v>
      </c>
    </row>
    <row r="340" spans="1:10" x14ac:dyDescent="0.25">
      <c r="A340" s="5" t="s">
        <v>707</v>
      </c>
      <c r="B340" s="5" t="s">
        <v>720</v>
      </c>
      <c r="C340" s="6" t="str">
        <f>_xll.QS.CONTEXT.CREATE("market.338",A340,"USD","SOFR")</f>
        <v>QSObject:PricingContext:w1~market.338:20704</v>
      </c>
      <c r="D340" s="6" t="str">
        <f>_xll.QS.CONTEXT.ADD.CURVE(C340,"SOFR",$K$2:$K$7,$L$2:$L$7,,,"Actual360","LogLinear",TRUE)</f>
        <v>QSObject:ContextInput:w1~input.qs_context_add_curve.2359132437744.339.3.0:39574</v>
      </c>
      <c r="E340" s="6" t="str">
        <f>_xll.QS.INSTRUMENT.SWAP("swap.338",H340,B340,"USD","SOFR",I340,J340,0,"Actual360","Simple","Annual","Annual","Annual")</f>
        <v>QSObject:Swap:w1~swap.338:20703</v>
      </c>
      <c r="F340" s="6" t="str">
        <f>_xll.QS.TRADE.CREATE("trade.338",E340,A340,"Receive")</f>
        <v>QSObject:SwapTrade:w1~trade.338:30721</v>
      </c>
      <c r="G340" s="3">
        <f>_xll.QS.EVALUATE(C340,F340)</f>
        <v>32365.112487156061</v>
      </c>
      <c r="H340" s="5" t="s">
        <v>721</v>
      </c>
      <c r="I340" s="7">
        <v>1033800</v>
      </c>
      <c r="J340" s="8">
        <v>3.8800000000000001E-2</v>
      </c>
    </row>
    <row r="341" spans="1:10" x14ac:dyDescent="0.25">
      <c r="A341" s="5" t="s">
        <v>709</v>
      </c>
      <c r="B341" s="5" t="s">
        <v>722</v>
      </c>
      <c r="C341" s="6" t="str">
        <f>_xll.QS.CONTEXT.CREATE("market.339",A341,"USD","SOFR")</f>
        <v>QSObject:PricingContext:w1~market.339:20702</v>
      </c>
      <c r="D341" s="6" t="str">
        <f>_xll.QS.CONTEXT.ADD.CURVE(C341,"SOFR",$K$2:$K$7,$L$2:$L$7,,,"Actual360","LogLinear",TRUE)</f>
        <v>QSObject:ContextInput:w1~input.qs_context_add_curve.2359132437744.340.3.0:39573</v>
      </c>
      <c r="E341" s="6" t="str">
        <f>_xll.QS.INSTRUMENT.SWAP("swap.339",H341,B341,"USD","SOFR",I341,J341,0,"Actual360","Simple","Annual","Annual","Annual")</f>
        <v>QSObject:Swap:w1~swap.339:20701</v>
      </c>
      <c r="F341" s="6" t="str">
        <f>_xll.QS.TRADE.CREATE("trade.339",E341,A341,"Receive")</f>
        <v>QSObject:SwapTrade:w1~trade.339:30720</v>
      </c>
      <c r="G341" s="3">
        <f>_xll.QS.EVALUATE(C341,F341)</f>
        <v>32890.064240123873</v>
      </c>
      <c r="H341" s="5" t="s">
        <v>723</v>
      </c>
      <c r="I341" s="7">
        <v>1033900</v>
      </c>
      <c r="J341" s="8">
        <v>3.8899999999999997E-2</v>
      </c>
    </row>
    <row r="342" spans="1:10" x14ac:dyDescent="0.25">
      <c r="A342" s="5" t="s">
        <v>711</v>
      </c>
      <c r="B342" s="5" t="s">
        <v>724</v>
      </c>
      <c r="C342" s="6" t="str">
        <f>_xll.QS.CONTEXT.CREATE("market.340",A342,"USD","SOFR")</f>
        <v>QSObject:PricingContext:w1~market.340:20700</v>
      </c>
      <c r="D342" s="6" t="str">
        <f>_xll.QS.CONTEXT.ADD.CURVE(C342,"SOFR",$K$2:$K$7,$L$2:$L$7,,,"Actual360","LogLinear",TRUE)</f>
        <v>QSObject:ContextInput:w1~input.qs_context_add_curve.2359132437744.341.3.0:39572</v>
      </c>
      <c r="E342" s="6" t="str">
        <f>_xll.QS.INSTRUMENT.SWAP("swap.340",H342,B342,"USD","SOFR",I342,J342,0,"Actual360","Simple","Annual","Annual","Annual")</f>
        <v>QSObject:Swap:w1~swap.340:20699</v>
      </c>
      <c r="F342" s="6" t="str">
        <f>_xll.QS.TRADE.CREATE("trade.340",E342,A342,"Receive")</f>
        <v>QSObject:SwapTrade:w1~trade.340:30719</v>
      </c>
      <c r="G342" s="3">
        <f>_xll.QS.EVALUATE(C342,F342)</f>
        <v>33330.742441745679</v>
      </c>
      <c r="H342" s="5" t="s">
        <v>725</v>
      </c>
      <c r="I342" s="7">
        <v>1034000</v>
      </c>
      <c r="J342" s="8">
        <v>3.9000000000000007E-2</v>
      </c>
    </row>
    <row r="343" spans="1:10" x14ac:dyDescent="0.25">
      <c r="A343" s="5" t="s">
        <v>713</v>
      </c>
      <c r="B343" s="5" t="s">
        <v>726</v>
      </c>
      <c r="C343" s="6" t="str">
        <f>_xll.QS.CONTEXT.CREATE("market.341",A343,"USD","SOFR")</f>
        <v>QSObject:PricingContext:w1~market.341:20698</v>
      </c>
      <c r="D343" s="6" t="str">
        <f>_xll.QS.CONTEXT.ADD.CURVE(C343,"SOFR",$K$2:$K$7,$L$2:$L$7,,,"Actual360","LogLinear",TRUE)</f>
        <v>QSObject:ContextInput:w1~input.qs_context_add_curve.2359132437744.342.3.0:39571</v>
      </c>
      <c r="E343" s="6" t="str">
        <f>_xll.QS.INSTRUMENT.SWAP("swap.341",H343,B343,"USD","SOFR",I343,J343,0,"Actual360","Simple","Annual","Annual","Annual")</f>
        <v>QSObject:Swap:w1~swap.341:20697</v>
      </c>
      <c r="F343" s="6" t="str">
        <f>_xll.QS.TRADE.CREATE("trade.341",E343,A343,"Receive")</f>
        <v>QSObject:SwapTrade:w1~trade.341:30718</v>
      </c>
      <c r="G343" s="3">
        <f>_xll.QS.EVALUATE(C343,F343)</f>
        <v>33727.271321494438</v>
      </c>
      <c r="H343" s="5" t="s">
        <v>727</v>
      </c>
      <c r="I343" s="7">
        <v>1034100</v>
      </c>
      <c r="J343" s="8">
        <v>3.9100000000000003E-2</v>
      </c>
    </row>
    <row r="344" spans="1:10" x14ac:dyDescent="0.25">
      <c r="A344" s="5" t="s">
        <v>715</v>
      </c>
      <c r="B344" s="5" t="s">
        <v>728</v>
      </c>
      <c r="C344" s="6" t="str">
        <f>_xll.QS.CONTEXT.CREATE("market.342",A344,"USD","SOFR")</f>
        <v>QSObject:PricingContext:w1~market.342:20696</v>
      </c>
      <c r="D344" s="6" t="str">
        <f>_xll.QS.CONTEXT.ADD.CURVE(C344,"SOFR",$K$2:$K$7,$L$2:$L$7,,,"Actual360","LogLinear",TRUE)</f>
        <v>QSObject:ContextInput:w1~input.qs_context_add_curve.2359132437744.343.3.0:39570</v>
      </c>
      <c r="E344" s="6" t="str">
        <f>_xll.QS.INSTRUMENT.SWAP("swap.342",H344,B344,"USD","SOFR",I344,J344,0,"Actual360","Simple","Annual","Annual","Annual")</f>
        <v>QSObject:Swap:w1~swap.342:20695</v>
      </c>
      <c r="F344" s="6" t="str">
        <f>_xll.QS.TRADE.CREATE("trade.342",E344,A344,"Receive")</f>
        <v>QSObject:SwapTrade:w1~trade.342:30717</v>
      </c>
      <c r="G344" s="3">
        <f>_xll.QS.EVALUATE(C344,F344)</f>
        <v>34142.548983638946</v>
      </c>
      <c r="H344" s="5" t="s">
        <v>729</v>
      </c>
      <c r="I344" s="7">
        <v>1034200</v>
      </c>
      <c r="J344" s="8">
        <v>3.9200000000000013E-2</v>
      </c>
    </row>
    <row r="345" spans="1:10" x14ac:dyDescent="0.25">
      <c r="A345" s="5" t="s">
        <v>717</v>
      </c>
      <c r="B345" s="5" t="s">
        <v>730</v>
      </c>
      <c r="C345" s="6" t="str">
        <f>_xll.QS.CONTEXT.CREATE("market.343",A345,"USD","SOFR")</f>
        <v>QSObject:PricingContext:w1~market.343:20694</v>
      </c>
      <c r="D345" s="6" t="str">
        <f>_xll.QS.CONTEXT.ADD.CURVE(C345,"SOFR",$K$2:$K$7,$L$2:$L$7,,,"Actual360","LogLinear",TRUE)</f>
        <v>QSObject:ContextInput:w1~input.qs_context_add_curve.2359132437744.344.3.0:39569</v>
      </c>
      <c r="E345" s="6" t="str">
        <f>_xll.QS.INSTRUMENT.SWAP("swap.343",H345,B345,"USD","SOFR",I345,J345,0,"Actual360","Simple","Annual","Annual","Annual")</f>
        <v>QSObject:Swap:w1~swap.343:20693</v>
      </c>
      <c r="F345" s="6" t="str">
        <f>_xll.QS.TRADE.CREATE("trade.343",E345,A345,"Receive")</f>
        <v>QSObject:SwapTrade:w1~trade.343:30716</v>
      </c>
      <c r="G345" s="3">
        <f>_xll.QS.EVALUATE(C345,F345)</f>
        <v>34667.896469526779</v>
      </c>
      <c r="H345" s="5" t="s">
        <v>731</v>
      </c>
      <c r="I345" s="7">
        <v>1034300</v>
      </c>
      <c r="J345" s="8">
        <v>3.9300000000000002E-2</v>
      </c>
    </row>
    <row r="346" spans="1:10" x14ac:dyDescent="0.25">
      <c r="A346" s="5" t="s">
        <v>719</v>
      </c>
      <c r="B346" s="5" t="s">
        <v>732</v>
      </c>
      <c r="C346" s="6" t="str">
        <f>_xll.QS.CONTEXT.CREATE("market.344",A346,"USD","SOFR")</f>
        <v>QSObject:PricingContext:w1~market.344:20692</v>
      </c>
      <c r="D346" s="6" t="str">
        <f>_xll.QS.CONTEXT.ADD.CURVE(C346,"SOFR",$K$2:$K$7,$L$2:$L$7,,,"Actual360","LogLinear",TRUE)</f>
        <v>QSObject:ContextInput:w1~input.qs_context_add_curve.2359132437744.345.3.0:39568</v>
      </c>
      <c r="E346" s="6" t="str">
        <f>_xll.QS.INSTRUMENT.SWAP("swap.344",H346,B346,"USD","SOFR",I346,J346,0,"Actual360","Simple","Annual","Annual","Annual")</f>
        <v>QSObject:Swap:w1~swap.344:20691</v>
      </c>
      <c r="F346" s="6" t="str">
        <f>_xll.QS.TRADE.CREATE("trade.344",E346,A346,"Receive")</f>
        <v>QSObject:SwapTrade:w1~trade.344:30715</v>
      </c>
      <c r="G346" s="3">
        <f>_xll.QS.EVALUATE(C346,F346)</f>
        <v>35170.168059041876</v>
      </c>
      <c r="H346" s="5" t="s">
        <v>733</v>
      </c>
      <c r="I346" s="7">
        <v>1034400</v>
      </c>
      <c r="J346" s="8">
        <v>3.9399999999999998E-2</v>
      </c>
    </row>
    <row r="347" spans="1:10" x14ac:dyDescent="0.25">
      <c r="A347" s="5" t="s">
        <v>721</v>
      </c>
      <c r="B347" s="5" t="s">
        <v>734</v>
      </c>
      <c r="C347" s="6" t="str">
        <f>_xll.QS.CONTEXT.CREATE("market.345",A347,"USD","SOFR")</f>
        <v>QSObject:PricingContext:w1~market.345:20690</v>
      </c>
      <c r="D347" s="6" t="str">
        <f>_xll.QS.CONTEXT.ADD.CURVE(C347,"SOFR",$K$2:$K$7,$L$2:$L$7,,,"Actual360","LogLinear",TRUE)</f>
        <v>QSObject:ContextInput:w1~input.qs_context_add_curve.2359132437744.346.3.0:39567</v>
      </c>
      <c r="E347" s="6" t="str">
        <f>_xll.QS.INSTRUMENT.SWAP("swap.345",H347,B347,"USD","SOFR",I347,J347,0,"Actual360","Simple","Annual","Annual","Annual")</f>
        <v>QSObject:Swap:w1~swap.345:20689</v>
      </c>
      <c r="F347" s="6" t="str">
        <f>_xll.QS.TRADE.CREATE("trade.345",E347,A347,"Receive")</f>
        <v>QSObject:SwapTrade:w1~trade.345:30714</v>
      </c>
      <c r="G347" s="3">
        <f>_xll.QS.EVALUATE(C347,F347)</f>
        <v>35726.361324357524</v>
      </c>
      <c r="H347" s="5" t="s">
        <v>735</v>
      </c>
      <c r="I347" s="7">
        <v>1034500</v>
      </c>
      <c r="J347" s="8">
        <v>3.9500000000000007E-2</v>
      </c>
    </row>
    <row r="348" spans="1:10" x14ac:dyDescent="0.25">
      <c r="A348" s="5" t="s">
        <v>723</v>
      </c>
      <c r="B348" s="5" t="s">
        <v>736</v>
      </c>
      <c r="C348" s="6" t="str">
        <f>_xll.QS.CONTEXT.CREATE("market.346",A348,"USD","SOFR")</f>
        <v>QSObject:PricingContext:w1~market.346:20688</v>
      </c>
      <c r="D348" s="6" t="str">
        <f>_xll.QS.CONTEXT.ADD.CURVE(C348,"SOFR",$K$2:$K$7,$L$2:$L$7,,,"Actual360","LogLinear",TRUE)</f>
        <v>QSObject:ContextInput:w1~input.qs_context_add_curve.2359132437744.347.3.0:39566</v>
      </c>
      <c r="E348" s="6" t="str">
        <f>_xll.QS.INSTRUMENT.SWAP("swap.346",H348,B348,"USD","SOFR",I348,J348,0,"Actual360","Simple","Annual","Annual","Annual")</f>
        <v>QSObject:Swap:w1~swap.346:20687</v>
      </c>
      <c r="F348" s="6" t="str">
        <f>_xll.QS.TRADE.CREATE("trade.346",E348,A348,"Receive")</f>
        <v>QSObject:SwapTrade:w1~trade.346:30713</v>
      </c>
      <c r="G348" s="3">
        <f>_xll.QS.EVALUATE(C348,F348)</f>
        <v>36252.024871372676</v>
      </c>
      <c r="H348" s="5" t="s">
        <v>737</v>
      </c>
      <c r="I348" s="7">
        <v>1034600</v>
      </c>
      <c r="J348" s="8">
        <v>3.9600000000000003E-2</v>
      </c>
    </row>
    <row r="349" spans="1:10" x14ac:dyDescent="0.25">
      <c r="A349" s="5" t="s">
        <v>725</v>
      </c>
      <c r="B349" s="5" t="s">
        <v>738</v>
      </c>
      <c r="C349" s="6" t="str">
        <f>_xll.QS.CONTEXT.CREATE("market.347",A349,"USD","SOFR")</f>
        <v>QSObject:PricingContext:w1~market.347:20686</v>
      </c>
      <c r="D349" s="6" t="str">
        <f>_xll.QS.CONTEXT.ADD.CURVE(C349,"SOFR",$K$2:$K$7,$L$2:$L$7,,,"Actual360","LogLinear",TRUE)</f>
        <v>QSObject:ContextInput:w1~input.qs_context_add_curve.2359132437744.348.3.0:39565</v>
      </c>
      <c r="E349" s="6" t="str">
        <f>_xll.QS.INSTRUMENT.SWAP("swap.347",H349,B349,"USD","SOFR",I349,J349,0,"Actual360","Simple","Annual","Annual","Annual")</f>
        <v>QSObject:Swap:w1~swap.347:20685</v>
      </c>
      <c r="F349" s="6" t="str">
        <f>_xll.QS.TRADE.CREATE("trade.347",E349,A349,"Receive")</f>
        <v>QSObject:SwapTrade:w1~trade.347:30712</v>
      </c>
      <c r="G349" s="3">
        <f>_xll.QS.EVALUATE(C349,F349)</f>
        <v>36693.295126235542</v>
      </c>
      <c r="H349" s="5" t="s">
        <v>739</v>
      </c>
      <c r="I349" s="7">
        <v>1034700</v>
      </c>
      <c r="J349" s="8">
        <v>3.9700000000000013E-2</v>
      </c>
    </row>
    <row r="350" spans="1:10" x14ac:dyDescent="0.25">
      <c r="A350" s="5" t="s">
        <v>727</v>
      </c>
      <c r="B350" s="5" t="s">
        <v>740</v>
      </c>
      <c r="C350" s="6" t="str">
        <f>_xll.QS.CONTEXT.CREATE("market.348",A350,"USD","SOFR")</f>
        <v>QSObject:PricingContext:w1~market.348:20684</v>
      </c>
      <c r="D350" s="6" t="str">
        <f>_xll.QS.CONTEXT.ADD.CURVE(C350,"SOFR",$K$2:$K$7,$L$2:$L$7,,,"Actual360","LogLinear",TRUE)</f>
        <v>QSObject:ContextInput:w1~input.qs_context_add_curve.2359132437744.349.3.0:39564</v>
      </c>
      <c r="E350" s="6" t="str">
        <f>_xll.QS.INSTRUMENT.SWAP("swap.348",H350,B350,"USD","SOFR",I350,J350,0,"Actual360","Simple","Annual","Annual","Annual")</f>
        <v>QSObject:Swap:w1~swap.348:20683</v>
      </c>
      <c r="F350" s="6" t="str">
        <f>_xll.QS.TRADE.CREATE("trade.348",E350,A350,"Receive")</f>
        <v>QSObject:SwapTrade:w1~trade.348:30711</v>
      </c>
      <c r="G350" s="3">
        <f>_xll.QS.EVALUATE(C350,F350)</f>
        <v>37086.476591369661</v>
      </c>
      <c r="H350" s="5" t="s">
        <v>741</v>
      </c>
      <c r="I350" s="7">
        <v>1034800</v>
      </c>
      <c r="J350" s="8">
        <v>3.9800000000000002E-2</v>
      </c>
    </row>
    <row r="351" spans="1:10" x14ac:dyDescent="0.25">
      <c r="A351" s="5" t="s">
        <v>729</v>
      </c>
      <c r="B351" s="5" t="s">
        <v>742</v>
      </c>
      <c r="C351" s="6" t="str">
        <f>_xll.QS.CONTEXT.CREATE("market.349",A351,"USD","SOFR")</f>
        <v>QSObject:PricingContext:w1~market.349:20682</v>
      </c>
      <c r="D351" s="6" t="str">
        <f>_xll.QS.CONTEXT.ADD.CURVE(C351,"SOFR",$K$2:$K$7,$L$2:$L$7,,,"Actual360","LogLinear",TRUE)</f>
        <v>QSObject:ContextInput:w1~input.qs_context_add_curve.2359132437744.350.3.0:39563</v>
      </c>
      <c r="E351" s="6" t="str">
        <f>_xll.QS.INSTRUMENT.SWAP("swap.349",H351,B351,"USD","SOFR",I351,J351,0,"Actual360","Simple","Annual","Annual","Annual")</f>
        <v>QSObject:Swap:w1~swap.349:20681</v>
      </c>
      <c r="F351" s="6" t="str">
        <f>_xll.QS.TRADE.CREATE("trade.349",E351,A351,"Receive")</f>
        <v>QSObject:SwapTrade:w1~trade.349:30710</v>
      </c>
      <c r="G351" s="3">
        <f>_xll.QS.EVALUATE(C351,F351)</f>
        <v>37486.773284130497</v>
      </c>
      <c r="H351" s="5" t="s">
        <v>743</v>
      </c>
      <c r="I351" s="7">
        <v>1034900</v>
      </c>
      <c r="J351" s="8">
        <v>3.9899999999999998E-2</v>
      </c>
    </row>
    <row r="352" spans="1:10" x14ac:dyDescent="0.25">
      <c r="A352" s="5" t="s">
        <v>731</v>
      </c>
      <c r="B352" s="5" t="s">
        <v>744</v>
      </c>
      <c r="C352" s="6" t="str">
        <f>_xll.QS.CONTEXT.CREATE("market.350",A352,"USD","SOFR")</f>
        <v>QSObject:PricingContext:w1~market.350:20680</v>
      </c>
      <c r="D352" s="6" t="str">
        <f>_xll.QS.CONTEXT.ADD.CURVE(C352,"SOFR",$K$2:$K$7,$L$2:$L$7,,,"Actual360","LogLinear",TRUE)</f>
        <v>QSObject:ContextInput:w1~input.qs_context_add_curve.2359132437744.351.3.0:39562</v>
      </c>
      <c r="E352" s="6" t="str">
        <f>_xll.QS.INSTRUMENT.SWAP("swap.350",H352,B352,"USD","SOFR",I352,J352,0,"Actual360","Simple","Annual","Annual","Annual")</f>
        <v>QSObject:Swap:w1~swap.350:20679</v>
      </c>
      <c r="F352" s="6" t="str">
        <f>_xll.QS.TRADE.CREATE("trade.350",E352,A352,"Receive")</f>
        <v>QSObject:SwapTrade:w1~trade.350:30709</v>
      </c>
      <c r="G352" s="3">
        <f>_xll.QS.EVALUATE(C352,F352)</f>
        <v>14126.299379033146</v>
      </c>
      <c r="H352" s="5" t="s">
        <v>745</v>
      </c>
      <c r="I352" s="7">
        <v>1035000</v>
      </c>
      <c r="J352" s="8">
        <v>3.5000000000000003E-2</v>
      </c>
    </row>
    <row r="353" spans="1:10" x14ac:dyDescent="0.25">
      <c r="A353" s="5" t="s">
        <v>733</v>
      </c>
      <c r="B353" s="5" t="s">
        <v>746</v>
      </c>
      <c r="C353" s="6" t="str">
        <f>_xll.QS.CONTEXT.CREATE("market.351",A353,"USD","SOFR")</f>
        <v>QSObject:PricingContext:w1~market.351:20678</v>
      </c>
      <c r="D353" s="6" t="str">
        <f>_xll.QS.CONTEXT.ADD.CURVE(C353,"SOFR",$K$2:$K$7,$L$2:$L$7,,,"Actual360","LogLinear",TRUE)</f>
        <v>QSObject:ContextInput:w1~input.qs_context_add_curve.2359132437744.352.3.0:39561</v>
      </c>
      <c r="E353" s="6" t="str">
        <f>_xll.QS.INSTRUMENT.SWAP("swap.351",H353,B353,"USD","SOFR",I353,J353,0,"Actual360","Simple","Annual","Annual","Annual")</f>
        <v>QSObject:Swap:w1~swap.351:20677</v>
      </c>
      <c r="F353" s="6" t="str">
        <f>_xll.QS.TRADE.CREATE("trade.351",E353,A353,"Receive")</f>
        <v>QSObject:SwapTrade:w1~trade.351:30708</v>
      </c>
      <c r="G353" s="3">
        <f>_xll.QS.EVALUATE(C353,F353)</f>
        <v>14627.06939995983</v>
      </c>
      <c r="H353" s="5" t="s">
        <v>747</v>
      </c>
      <c r="I353" s="7">
        <v>1035100</v>
      </c>
      <c r="J353" s="8">
        <v>3.5100000000000013E-2</v>
      </c>
    </row>
    <row r="354" spans="1:10" x14ac:dyDescent="0.25">
      <c r="A354" s="5" t="s">
        <v>735</v>
      </c>
      <c r="B354" s="5" t="s">
        <v>748</v>
      </c>
      <c r="C354" s="6" t="str">
        <f>_xll.QS.CONTEXT.CREATE("market.352",A354,"USD","SOFR")</f>
        <v>QSObject:PricingContext:w1~market.352:20676</v>
      </c>
      <c r="D354" s="6" t="str">
        <f>_xll.QS.CONTEXT.ADD.CURVE(C354,"SOFR",$K$2:$K$7,$L$2:$L$7,,,"Actual360","LogLinear",TRUE)</f>
        <v>QSObject:ContextInput:w1~input.qs_context_add_curve.2359132437744.353.3.0:39560</v>
      </c>
      <c r="E354" s="6" t="str">
        <f>_xll.QS.INSTRUMENT.SWAP("swap.352",H354,B354,"USD","SOFR",I354,J354,0,"Actual360","Simple","Annual","Annual","Annual")</f>
        <v>QSObject:Swap:w1~swap.352:20675</v>
      </c>
      <c r="F354" s="6" t="str">
        <f>_xll.QS.TRADE.CREATE("trade.352",E354,A354,"Receive")</f>
        <v>QSObject:SwapTrade:w1~trade.352:30707</v>
      </c>
      <c r="G354" s="3">
        <f>_xll.QS.EVALUATE(C354,F354)</f>
        <v>15261.937092335058</v>
      </c>
      <c r="H354" s="5" t="s">
        <v>749</v>
      </c>
      <c r="I354" s="7">
        <v>1035200</v>
      </c>
      <c r="J354" s="8">
        <v>3.5200000000000002E-2</v>
      </c>
    </row>
    <row r="355" spans="1:10" x14ac:dyDescent="0.25">
      <c r="A355" s="5" t="s">
        <v>737</v>
      </c>
      <c r="B355" s="5" t="s">
        <v>750</v>
      </c>
      <c r="C355" s="6" t="str">
        <f>_xll.QS.CONTEXT.CREATE("market.353",A355,"USD","SOFR")</f>
        <v>QSObject:PricingContext:w1~market.353:20674</v>
      </c>
      <c r="D355" s="6" t="str">
        <f>_xll.QS.CONTEXT.ADD.CURVE(C355,"SOFR",$K$2:$K$7,$L$2:$L$7,,,"Actual360","LogLinear",TRUE)</f>
        <v>QSObject:ContextInput:w1~input.qs_context_add_curve.2359132437744.354.3.0:39559</v>
      </c>
      <c r="E355" s="6" t="str">
        <f>_xll.QS.INSTRUMENT.SWAP("swap.353",H355,B355,"USD","SOFR",I355,J355,0,"Actual360","Simple","Annual","Annual","Annual")</f>
        <v>QSObject:Swap:w1~swap.353:20673</v>
      </c>
      <c r="F355" s="6" t="str">
        <f>_xll.QS.TRADE.CREATE("trade.353",E355,A355,"Receive")</f>
        <v>QSObject:SwapTrade:w1~trade.353:30706</v>
      </c>
      <c r="G355" s="3">
        <f>_xll.QS.EVALUATE(C355,F355)</f>
        <v>15749.047305010241</v>
      </c>
      <c r="H355" s="5" t="s">
        <v>751</v>
      </c>
      <c r="I355" s="7">
        <v>1035300</v>
      </c>
      <c r="J355" s="8">
        <v>3.5299999999999998E-2</v>
      </c>
    </row>
    <row r="356" spans="1:10" x14ac:dyDescent="0.25">
      <c r="A356" s="5" t="s">
        <v>739</v>
      </c>
      <c r="B356" s="5" t="s">
        <v>752</v>
      </c>
      <c r="C356" s="6" t="str">
        <f>_xll.QS.CONTEXT.CREATE("market.354",A356,"USD","SOFR")</f>
        <v>QSObject:PricingContext:w1~market.354:20672</v>
      </c>
      <c r="D356" s="6" t="str">
        <f>_xll.QS.CONTEXT.ADD.CURVE(C356,"SOFR",$K$2:$K$7,$L$2:$L$7,,,"Actual360","LogLinear",TRUE)</f>
        <v>QSObject:ContextInput:w1~input.qs_context_add_curve.2359132437744.355.3.0:39558</v>
      </c>
      <c r="E356" s="6" t="str">
        <f>_xll.QS.INSTRUMENT.SWAP("swap.354",H356,B356,"USD","SOFR",I356,J356,0,"Actual360","Simple","Annual","Annual","Annual")</f>
        <v>QSObject:Swap:w1~swap.354:20671</v>
      </c>
      <c r="F356" s="6" t="str">
        <f>_xll.QS.TRADE.CREATE("trade.354",E356,A356,"Receive")</f>
        <v>QSObject:SwapTrade:w1~trade.354:30705</v>
      </c>
      <c r="G356" s="3">
        <f>_xll.QS.EVALUATE(C356,F356)</f>
        <v>16229.284171165687</v>
      </c>
      <c r="H356" s="5" t="s">
        <v>753</v>
      </c>
      <c r="I356" s="7">
        <v>1035400</v>
      </c>
      <c r="J356" s="8">
        <v>3.5400000000000001E-2</v>
      </c>
    </row>
    <row r="357" spans="1:10" x14ac:dyDescent="0.25">
      <c r="A357" s="5" t="s">
        <v>741</v>
      </c>
      <c r="B357" s="5" t="s">
        <v>754</v>
      </c>
      <c r="C357" s="6" t="str">
        <f>_xll.QS.CONTEXT.CREATE("market.355",A357,"USD","SOFR")</f>
        <v>QSObject:PricingContext:w1~market.355:20670</v>
      </c>
      <c r="D357" s="6" t="str">
        <f>_xll.QS.CONTEXT.ADD.CURVE(C357,"SOFR",$K$2:$K$7,$L$2:$L$7,,,"Actual360","LogLinear",TRUE)</f>
        <v>QSObject:ContextInput:w1~input.qs_context_add_curve.2359132437744.356.3.0:39557</v>
      </c>
      <c r="E357" s="6" t="str">
        <f>_xll.QS.INSTRUMENT.SWAP("swap.355",H357,B357,"USD","SOFR",I357,J357,0,"Actual360","Simple","Annual","Annual","Annual")</f>
        <v>QSObject:Swap:w1~swap.355:20669</v>
      </c>
      <c r="F357" s="6" t="str">
        <f>_xll.QS.TRADE.CREATE("trade.355",E357,A357,"Receive")</f>
        <v>QSObject:SwapTrade:w1~trade.355:30704</v>
      </c>
      <c r="G357" s="3">
        <f>_xll.QS.EVALUATE(C357,F357)</f>
        <v>16644.950032079709</v>
      </c>
      <c r="H357" s="5" t="s">
        <v>755</v>
      </c>
      <c r="I357" s="7">
        <v>1035500</v>
      </c>
      <c r="J357" s="8">
        <v>3.5499999999999997E-2</v>
      </c>
    </row>
    <row r="358" spans="1:10" x14ac:dyDescent="0.25">
      <c r="A358" s="5" t="s">
        <v>743</v>
      </c>
      <c r="B358" s="5" t="s">
        <v>756</v>
      </c>
      <c r="C358" s="6" t="str">
        <f>_xll.QS.CONTEXT.CREATE("market.356",A358,"USD","SOFR")</f>
        <v>QSObject:PricingContext:w1~market.356:20668</v>
      </c>
      <c r="D358" s="6" t="str">
        <f>_xll.QS.CONTEXT.ADD.CURVE(C358,"SOFR",$K$2:$K$7,$L$2:$L$7,,,"Actual360","LogLinear",TRUE)</f>
        <v>QSObject:ContextInput:w1~input.qs_context_add_curve.2359132437744.357.3.0:39556</v>
      </c>
      <c r="E358" s="6" t="str">
        <f>_xll.QS.INSTRUMENT.SWAP("swap.356",H358,B358,"USD","SOFR",I358,J358,0,"Actual360","Simple","Annual","Annual","Annual")</f>
        <v>QSObject:Swap:w1~swap.356:20667</v>
      </c>
      <c r="F358" s="6" t="str">
        <f>_xll.QS.TRADE.CREATE("trade.356",E358,A358,"Receive")</f>
        <v>QSObject:SwapTrade:w1~trade.356:30703</v>
      </c>
      <c r="G358" s="3">
        <f>_xll.QS.EVALUATE(C358,F358)</f>
        <v>17124.767660296035</v>
      </c>
      <c r="H358" s="5" t="s">
        <v>757</v>
      </c>
      <c r="I358" s="7">
        <v>1035600</v>
      </c>
      <c r="J358" s="8">
        <v>3.5600000000000007E-2</v>
      </c>
    </row>
    <row r="359" spans="1:10" x14ac:dyDescent="0.25">
      <c r="A359" s="5" t="s">
        <v>745</v>
      </c>
      <c r="B359" s="5" t="s">
        <v>758</v>
      </c>
      <c r="C359" s="6" t="str">
        <f>_xll.QS.CONTEXT.CREATE("market.357",A359,"USD","SOFR")</f>
        <v>QSObject:PricingContext:w1~market.357:20666</v>
      </c>
      <c r="D359" s="6" t="str">
        <f>_xll.QS.CONTEXT.ADD.CURVE(C359,"SOFR",$K$2:$K$7,$L$2:$L$7,,,"Actual360","LogLinear",TRUE)</f>
        <v>QSObject:ContextInput:w1~input.qs_context_add_curve.2359132437744.358.3.0:39555</v>
      </c>
      <c r="E359" s="6" t="str">
        <f>_xll.QS.INSTRUMENT.SWAP("swap.357",H359,B359,"USD","SOFR",I359,J359,0,"Actual360","Simple","Annual","Annual","Annual")</f>
        <v>QSObject:Swap:w1~swap.357:20665</v>
      </c>
      <c r="F359" s="6" t="str">
        <f>_xll.QS.TRADE.CREATE("trade.357",E359,A359,"Receive")</f>
        <v>QSObject:SwapTrade:w1~trade.357:30702</v>
      </c>
      <c r="G359" s="3">
        <f>_xll.QS.EVALUATE(C359,F359)</f>
        <v>17645.715664361192</v>
      </c>
      <c r="H359" s="5" t="s">
        <v>759</v>
      </c>
      <c r="I359" s="7">
        <v>1035700</v>
      </c>
      <c r="J359" s="8">
        <v>3.5700000000000003E-2</v>
      </c>
    </row>
    <row r="360" spans="1:10" x14ac:dyDescent="0.25">
      <c r="A360" s="5" t="s">
        <v>747</v>
      </c>
      <c r="B360" s="5" t="s">
        <v>760</v>
      </c>
      <c r="C360" s="6" t="str">
        <f>_xll.QS.CONTEXT.CREATE("market.358",A360,"USD","SOFR")</f>
        <v>QSObject:PricingContext:w1~market.358:20664</v>
      </c>
      <c r="D360" s="6" t="str">
        <f>_xll.QS.CONTEXT.ADD.CURVE(C360,"SOFR",$K$2:$K$7,$L$2:$L$7,,,"Actual360","LogLinear",TRUE)</f>
        <v>QSObject:ContextInput:w1~input.qs_context_add_curve.2359132437744.359.3.0:39554</v>
      </c>
      <c r="E360" s="6" t="str">
        <f>_xll.QS.INSTRUMENT.SWAP("swap.358",H360,B360,"USD","SOFR",I360,J360,0,"Actual360","Simple","Annual","Annual","Annual")</f>
        <v>QSObject:Swap:w1~swap.358:20663</v>
      </c>
      <c r="F360" s="6" t="str">
        <f>_xll.QS.TRADE.CREATE("trade.358",E360,A360,"Receive")</f>
        <v>QSObject:SwapTrade:w1~trade.358:30701</v>
      </c>
      <c r="G360" s="3">
        <f>_xll.QS.EVALUATE(C360,F360)</f>
        <v>17980.119522167748</v>
      </c>
      <c r="H360" s="5" t="s">
        <v>761</v>
      </c>
      <c r="I360" s="7">
        <v>1035800</v>
      </c>
      <c r="J360" s="8">
        <v>3.5800000000000012E-2</v>
      </c>
    </row>
    <row r="361" spans="1:10" x14ac:dyDescent="0.25">
      <c r="A361" s="5" t="s">
        <v>749</v>
      </c>
      <c r="B361" s="5" t="s">
        <v>762</v>
      </c>
      <c r="C361" s="6" t="str">
        <f>_xll.QS.CONTEXT.CREATE("market.359",A361,"USD","SOFR")</f>
        <v>QSObject:PricingContext:w1~market.359:20662</v>
      </c>
      <c r="D361" s="6" t="str">
        <f>_xll.QS.CONTEXT.ADD.CURVE(C361,"SOFR",$K$2:$K$7,$L$2:$L$7,,,"Actual360","LogLinear",TRUE)</f>
        <v>QSObject:ContextInput:w1~input.qs_context_add_curve.2359132437744.360.3.0:39553</v>
      </c>
      <c r="E361" s="6" t="str">
        <f>_xll.QS.INSTRUMENT.SWAP("swap.359",H361,B361,"USD","SOFR",I361,J361,0,"Actual360","Simple","Annual","Annual","Annual")</f>
        <v>QSObject:Swap:w1~swap.359:20661</v>
      </c>
      <c r="F361" s="6" t="str">
        <f>_xll.QS.TRADE.CREATE("trade.359",E361,A361,"Receive")</f>
        <v>QSObject:SwapTrade:w1~trade.359:30700</v>
      </c>
      <c r="G361" s="3">
        <f>_xll.QS.EVALUATE(C361,F361)</f>
        <v>18616.139680744614</v>
      </c>
      <c r="H361" s="5" t="s">
        <v>763</v>
      </c>
      <c r="I361" s="7">
        <v>1035900</v>
      </c>
      <c r="J361" s="8">
        <v>3.5900000000000001E-2</v>
      </c>
    </row>
    <row r="362" spans="1:10" x14ac:dyDescent="0.25">
      <c r="A362" s="5" t="s">
        <v>751</v>
      </c>
      <c r="B362" s="5" t="s">
        <v>764</v>
      </c>
      <c r="C362" s="6" t="str">
        <f>_xll.QS.CONTEXT.CREATE("market.360",A362,"USD","SOFR")</f>
        <v>QSObject:PricingContext:w1~market.360:20660</v>
      </c>
      <c r="D362" s="6" t="str">
        <f>_xll.QS.CONTEXT.ADD.CURVE(C362,"SOFR",$K$2:$K$7,$L$2:$L$7,,,"Actual360","LogLinear",TRUE)</f>
        <v>QSObject:ContextInput:w1~input.qs_context_add_curve.2359132437744.361.3.0:39552</v>
      </c>
      <c r="E362" s="6" t="str">
        <f>_xll.QS.INSTRUMENT.SWAP("swap.360",H362,B362,"USD","SOFR",I362,J362,0,"Actual360","Simple","Annual","Annual","Annual")</f>
        <v>QSObject:Swap:w1~swap.360:20659</v>
      </c>
      <c r="F362" s="6" t="str">
        <f>_xll.QS.TRADE.CREATE("trade.360",E362,A362,"Receive")</f>
        <v>QSObject:SwapTrade:w1~trade.360:30699</v>
      </c>
      <c r="G362" s="3">
        <f>_xll.QS.EVALUATE(C362,F362)</f>
        <v>19098.549959036241</v>
      </c>
      <c r="H362" s="5" t="s">
        <v>765</v>
      </c>
      <c r="I362" s="7">
        <v>1036000</v>
      </c>
      <c r="J362" s="8">
        <v>3.5999999999999997E-2</v>
      </c>
    </row>
    <row r="363" spans="1:10" x14ac:dyDescent="0.25">
      <c r="A363" s="5" t="s">
        <v>753</v>
      </c>
      <c r="B363" s="5" t="s">
        <v>766</v>
      </c>
      <c r="C363" s="6" t="str">
        <f>_xll.QS.CONTEXT.CREATE("market.361",A363,"USD","SOFR")</f>
        <v>QSObject:PricingContext:w1~market.361:20658</v>
      </c>
      <c r="D363" s="6" t="str">
        <f>_xll.QS.CONTEXT.ADD.CURVE(C363,"SOFR",$K$2:$K$7,$L$2:$L$7,,,"Actual360","LogLinear",TRUE)</f>
        <v>QSObject:ContextInput:w1~input.qs_context_add_curve.2359132437744.362.3.0:39551</v>
      </c>
      <c r="E363" s="6" t="str">
        <f>_xll.QS.INSTRUMENT.SWAP("swap.361",H363,B363,"USD","SOFR",I363,J363,0,"Actual360","Simple","Annual","Annual","Annual")</f>
        <v>QSObject:Swap:w1~swap.361:20657</v>
      </c>
      <c r="F363" s="6" t="str">
        <f>_xll.QS.TRADE.CREATE("trade.361",E363,A363,"Receive")</f>
        <v>QSObject:SwapTrade:w1~trade.361:30698</v>
      </c>
      <c r="G363" s="3">
        <f>_xll.QS.EVALUATE(C363,F363)</f>
        <v>19584.822496834775</v>
      </c>
      <c r="H363" s="5" t="s">
        <v>767</v>
      </c>
      <c r="I363" s="7">
        <v>1036100</v>
      </c>
      <c r="J363" s="8">
        <v>3.61E-2</v>
      </c>
    </row>
    <row r="364" spans="1:10" x14ac:dyDescent="0.25">
      <c r="A364" s="5" t="s">
        <v>755</v>
      </c>
      <c r="B364" s="5" t="s">
        <v>768</v>
      </c>
      <c r="C364" s="6" t="str">
        <f>_xll.QS.CONTEXT.CREATE("market.362",A364,"USD","SOFR")</f>
        <v>QSObject:PricingContext:w1~market.362:20656</v>
      </c>
      <c r="D364" s="6" t="str">
        <f>_xll.QS.CONTEXT.ADD.CURVE(C364,"SOFR",$K$2:$K$7,$L$2:$L$7,,,"Actual360","LogLinear",TRUE)</f>
        <v>QSObject:ContextInput:w1~input.qs_context_add_curve.2359132437744.363.3.0:39550</v>
      </c>
      <c r="E364" s="6" t="str">
        <f>_xll.QS.INSTRUMENT.SWAP("swap.362",H364,B364,"USD","SOFR",I364,J364,0,"Actual360","Simple","Annual","Annual","Annual")</f>
        <v>QSObject:Swap:w1~swap.362:20655</v>
      </c>
      <c r="F364" s="6" t="str">
        <f>_xll.QS.TRADE.CREATE("trade.362",E364,A364,"Receive")</f>
        <v>QSObject:SwapTrade:w1~trade.362:30697</v>
      </c>
      <c r="G364" s="3">
        <f>_xll.QS.EVALUATE(C364,F364)</f>
        <v>19997.149234642318</v>
      </c>
      <c r="H364" s="5" t="s">
        <v>769</v>
      </c>
      <c r="I364" s="7">
        <v>1036200</v>
      </c>
      <c r="J364" s="8">
        <v>3.6200000000000003E-2</v>
      </c>
    </row>
    <row r="365" spans="1:10" x14ac:dyDescent="0.25">
      <c r="A365" s="5" t="s">
        <v>757</v>
      </c>
      <c r="B365" s="5" t="s">
        <v>770</v>
      </c>
      <c r="C365" s="6" t="str">
        <f>_xll.QS.CONTEXT.CREATE("market.363",A365,"USD","SOFR")</f>
        <v>QSObject:PricingContext:w1~market.363:20654</v>
      </c>
      <c r="D365" s="6" t="str">
        <f>_xll.QS.CONTEXT.ADD.CURVE(C365,"SOFR",$K$2:$K$7,$L$2:$L$7,,,"Actual360","LogLinear",TRUE)</f>
        <v>QSObject:ContextInput:w1~input.qs_context_add_curve.2359132437744.364.3.0:39549</v>
      </c>
      <c r="E365" s="6" t="str">
        <f>_xll.QS.INSTRUMENT.SWAP("swap.363",H365,B365,"USD","SOFR",I365,J365,0,"Actual360","Simple","Annual","Annual","Annual")</f>
        <v>QSObject:Swap:w1~swap.363:20653</v>
      </c>
      <c r="F365" s="6" t="str">
        <f>_xll.QS.TRADE.CREATE("trade.363",E365,A365,"Receive")</f>
        <v>QSObject:SwapTrade:w1~trade.363:30696</v>
      </c>
      <c r="G365" s="3">
        <f>_xll.QS.EVALUATE(C365,F365)</f>
        <v>20390.351028596349</v>
      </c>
      <c r="H365" s="5" t="s">
        <v>771</v>
      </c>
      <c r="I365" s="7">
        <v>1036300</v>
      </c>
      <c r="J365" s="8">
        <v>3.6300000000000013E-2</v>
      </c>
    </row>
    <row r="366" spans="1:10" x14ac:dyDescent="0.25">
      <c r="A366" s="5" t="s">
        <v>759</v>
      </c>
      <c r="B366" s="5" t="s">
        <v>772</v>
      </c>
      <c r="C366" s="6" t="str">
        <f>_xll.QS.CONTEXT.CREATE("market.364",A366,"USD","SOFR")</f>
        <v>QSObject:PricingContext:w1~market.364:20652</v>
      </c>
      <c r="D366" s="6" t="str">
        <f>_xll.QS.CONTEXT.ADD.CURVE(C366,"SOFR",$K$2:$K$7,$L$2:$L$7,,,"Actual360","LogLinear",TRUE)</f>
        <v>QSObject:ContextInput:w1~input.qs_context_add_curve.2359132437744.365.3.0:39548</v>
      </c>
      <c r="E366" s="6" t="str">
        <f>_xll.QS.INSTRUMENT.SWAP("swap.364",H366,B366,"USD","SOFR",I366,J366,0,"Actual360","Simple","Annual","Annual","Annual")</f>
        <v>QSObject:Swap:w1~swap.364:20651</v>
      </c>
      <c r="F366" s="6" t="str">
        <f>_xll.QS.TRADE.CREATE("trade.364",E366,A366,"Receive")</f>
        <v>QSObject:SwapTrade:w1~trade.364:30695</v>
      </c>
      <c r="G366" s="3">
        <f>_xll.QS.EVALUATE(C366,F366)</f>
        <v>20912.866279264239</v>
      </c>
      <c r="H366" s="5" t="s">
        <v>773</v>
      </c>
      <c r="I366" s="7">
        <v>1036400</v>
      </c>
      <c r="J366" s="8">
        <v>3.6400000000000002E-2</v>
      </c>
    </row>
    <row r="367" spans="1:10" x14ac:dyDescent="0.25">
      <c r="A367" s="5" t="s">
        <v>761</v>
      </c>
      <c r="B367" s="5" t="s">
        <v>774</v>
      </c>
      <c r="C367" s="6" t="str">
        <f>_xll.QS.CONTEXT.CREATE("market.365",A367,"USD","SOFR")</f>
        <v>QSObject:PricingContext:w1~market.365:20650</v>
      </c>
      <c r="D367" s="6" t="str">
        <f>_xll.QS.CONTEXT.ADD.CURVE(C367,"SOFR",$K$2:$K$7,$L$2:$L$7,,,"Actual360","LogLinear",TRUE)</f>
        <v>QSObject:ContextInput:w1~input.qs_context_add_curve.2359132437744.366.3.0:39547</v>
      </c>
      <c r="E367" s="6" t="str">
        <f>_xll.QS.INSTRUMENT.SWAP("swap.365",H367,B367,"USD","SOFR",I367,J367,0,"Actual360","Simple","Annual","Annual","Annual")</f>
        <v>QSObject:Swap:w1~swap.365:20649</v>
      </c>
      <c r="F367" s="6" t="str">
        <f>_xll.QS.TRADE.CREATE("trade.365",E367,A367,"Receive")</f>
        <v>QSObject:SwapTrade:w1~trade.365:30694</v>
      </c>
      <c r="G367" s="3">
        <f>_xll.QS.EVALUATE(C367,F367)</f>
        <v>21380.647536168479</v>
      </c>
      <c r="H367" s="5" t="s">
        <v>775</v>
      </c>
      <c r="I367" s="7">
        <v>1036500</v>
      </c>
      <c r="J367" s="8">
        <v>3.6499999999999998E-2</v>
      </c>
    </row>
    <row r="368" spans="1:10" x14ac:dyDescent="0.25">
      <c r="A368" s="5" t="s">
        <v>763</v>
      </c>
      <c r="B368" s="5" t="s">
        <v>776</v>
      </c>
      <c r="C368" s="6" t="str">
        <f>_xll.QS.CONTEXT.CREATE("market.366",A368,"USD","SOFR")</f>
        <v>QSObject:PricingContext:w1~market.366:20648</v>
      </c>
      <c r="D368" s="6" t="str">
        <f>_xll.QS.CONTEXT.ADD.CURVE(C368,"SOFR",$K$2:$K$7,$L$2:$L$7,,,"Actual360","LogLinear",TRUE)</f>
        <v>QSObject:ContextInput:w1~input.qs_context_add_curve.2359132437744.367.3.0:39546</v>
      </c>
      <c r="E368" s="6" t="str">
        <f>_xll.QS.INSTRUMENT.SWAP("swap.366",H368,B368,"USD","SOFR",I368,J368,0,"Actual360","Simple","Annual","Annual","Annual")</f>
        <v>QSObject:Swap:w1~swap.366:20647</v>
      </c>
      <c r="F368" s="6" t="str">
        <f>_xll.QS.TRADE.CREATE("trade.366",E368,A368,"Receive")</f>
        <v>QSObject:SwapTrade:w1~trade.366:30693</v>
      </c>
      <c r="G368" s="3">
        <f>_xll.QS.EVALUATE(C368,F368)</f>
        <v>21936.417664433822</v>
      </c>
      <c r="H368" s="5" t="s">
        <v>777</v>
      </c>
      <c r="I368" s="7">
        <v>1036600</v>
      </c>
      <c r="J368" s="8">
        <v>3.6600000000000001E-2</v>
      </c>
    </row>
    <row r="369" spans="1:10" x14ac:dyDescent="0.25">
      <c r="A369" s="5" t="s">
        <v>765</v>
      </c>
      <c r="B369" s="5" t="s">
        <v>778</v>
      </c>
      <c r="C369" s="6" t="str">
        <f>_xll.QS.CONTEXT.CREATE("market.367",A369,"USD","SOFR")</f>
        <v>QSObject:PricingContext:w1~market.367:20646</v>
      </c>
      <c r="D369" s="6" t="str">
        <f>_xll.QS.CONTEXT.ADD.CURVE(C369,"SOFR",$K$2:$K$7,$L$2:$L$7,,,"Actual360","LogLinear",TRUE)</f>
        <v>QSObject:ContextInput:w1~input.qs_context_add_curve.2359132437744.368.3.0:39545</v>
      </c>
      <c r="E369" s="6" t="str">
        <f>_xll.QS.INSTRUMENT.SWAP("swap.367",H369,B369,"USD","SOFR",I369,J369,0,"Actual360","Simple","Annual","Annual","Annual")</f>
        <v>QSObject:Swap:w1~swap.367:20645</v>
      </c>
      <c r="F369" s="6" t="str">
        <f>_xll.QS.TRADE.CREATE("trade.367",E369,A369,"Receive")</f>
        <v>QSObject:SwapTrade:w1~trade.367:30692</v>
      </c>
      <c r="G369" s="3">
        <f>_xll.QS.EVALUATE(C369,F369)</f>
        <v>22461.655679384126</v>
      </c>
      <c r="H369" s="5" t="s">
        <v>779</v>
      </c>
      <c r="I369" s="7">
        <v>1036700</v>
      </c>
      <c r="J369" s="8">
        <v>3.6700000000000003E-2</v>
      </c>
    </row>
    <row r="370" spans="1:10" x14ac:dyDescent="0.25">
      <c r="A370" s="5" t="s">
        <v>767</v>
      </c>
      <c r="B370" s="5" t="s">
        <v>780</v>
      </c>
      <c r="C370" s="6" t="str">
        <f>_xll.QS.CONTEXT.CREATE("market.368",A370,"USD","SOFR")</f>
        <v>QSObject:PricingContext:w1~market.368:20644</v>
      </c>
      <c r="D370" s="6" t="str">
        <f>_xll.QS.CONTEXT.ADD.CURVE(C370,"SOFR",$K$2:$K$7,$L$2:$L$7,,,"Actual360","LogLinear",TRUE)</f>
        <v>QSObject:ContextInput:w1~input.qs_context_add_curve.2359132437744.369.3.0:39544</v>
      </c>
      <c r="E370" s="6" t="str">
        <f>_xll.QS.INSTRUMENT.SWAP("swap.368",H370,B370,"USD","SOFR",I370,J370,0,"Actual360","Simple","Annual","Annual","Annual")</f>
        <v>QSObject:Swap:w1~swap.368:20643</v>
      </c>
      <c r="F370" s="6" t="str">
        <f>_xll.QS.TRADE.CREATE("trade.368",E370,A370,"Receive")</f>
        <v>QSObject:SwapTrade:w1~trade.368:30691</v>
      </c>
      <c r="G370" s="3">
        <f>_xll.QS.EVALUATE(C370,F370)</f>
        <v>22902.588870263618</v>
      </c>
      <c r="H370" s="5" t="s">
        <v>781</v>
      </c>
      <c r="I370" s="7">
        <v>1036800</v>
      </c>
      <c r="J370" s="8">
        <v>3.6800000000000013E-2</v>
      </c>
    </row>
    <row r="371" spans="1:10" x14ac:dyDescent="0.25">
      <c r="A371" s="5" t="s">
        <v>769</v>
      </c>
      <c r="B371" s="5" t="s">
        <v>782</v>
      </c>
      <c r="C371" s="6" t="str">
        <f>_xll.QS.CONTEXT.CREATE("market.369",A371,"USD","SOFR")</f>
        <v>QSObject:PricingContext:w1~market.369:20642</v>
      </c>
      <c r="D371" s="6" t="str">
        <f>_xll.QS.CONTEXT.ADD.CURVE(C371,"SOFR",$K$2:$K$7,$L$2:$L$7,,,"Actual360","LogLinear",TRUE)</f>
        <v>QSObject:ContextInput:w1~input.qs_context_add_curve.2359132437744.370.3.0:39543</v>
      </c>
      <c r="E371" s="6" t="str">
        <f>_xll.QS.INSTRUMENT.SWAP("swap.369",H371,B371,"USD","SOFR",I371,J371,0,"Actual360","Simple","Annual","Annual","Annual")</f>
        <v>QSObject:Swap:w1~swap.369:20641</v>
      </c>
      <c r="F371" s="6" t="str">
        <f>_xll.QS.TRADE.CREATE("trade.369",E371,A371,"Receive")</f>
        <v>QSObject:SwapTrade:w1~trade.369:30690</v>
      </c>
      <c r="G371" s="3">
        <f>_xll.QS.EVALUATE(C371,F371)</f>
        <v>23311.564982519474</v>
      </c>
      <c r="H371" s="5" t="s">
        <v>783</v>
      </c>
      <c r="I371" s="7">
        <v>1036900</v>
      </c>
      <c r="J371" s="8">
        <v>3.6900000000000002E-2</v>
      </c>
    </row>
    <row r="372" spans="1:10" x14ac:dyDescent="0.25">
      <c r="A372" s="5" t="s">
        <v>771</v>
      </c>
      <c r="B372" s="5" t="s">
        <v>784</v>
      </c>
      <c r="C372" s="6" t="str">
        <f>_xll.QS.CONTEXT.CREATE("market.370",A372,"USD","SOFR")</f>
        <v>QSObject:PricingContext:w1~market.370:20640</v>
      </c>
      <c r="D372" s="6" t="str">
        <f>_xll.QS.CONTEXT.ADD.CURVE(C372,"SOFR",$K$2:$K$7,$L$2:$L$7,,,"Actual360","LogLinear",TRUE)</f>
        <v>QSObject:ContextInput:w1~input.qs_context_add_curve.2359132437744.371.3.0:39542</v>
      </c>
      <c r="E372" s="6" t="str">
        <f>_xll.QS.INSTRUMENT.SWAP("swap.370",H372,B372,"USD","SOFR",I372,J372,0,"Actual360","Simple","Annual","Annual","Annual")</f>
        <v>QSObject:Swap:w1~swap.370:20639</v>
      </c>
      <c r="F372" s="6" t="str">
        <f>_xll.QS.TRADE.CREATE("trade.370",E372,A372,"Receive")</f>
        <v>QSObject:SwapTrade:w1~trade.370:30689</v>
      </c>
      <c r="G372" s="3">
        <f>_xll.QS.EVALUATE(C372,F372)</f>
        <v>23683.056832940878</v>
      </c>
      <c r="H372" s="5" t="s">
        <v>785</v>
      </c>
      <c r="I372" s="7">
        <v>1037000</v>
      </c>
      <c r="J372" s="8">
        <v>3.7000000000000012E-2</v>
      </c>
    </row>
    <row r="373" spans="1:10" x14ac:dyDescent="0.25">
      <c r="A373" s="5" t="s">
        <v>773</v>
      </c>
      <c r="B373" s="5" t="s">
        <v>786</v>
      </c>
      <c r="C373" s="6" t="str">
        <f>_xll.QS.CONTEXT.CREATE("market.371",A373,"USD","SOFR")</f>
        <v>QSObject:PricingContext:w1~market.371:20638</v>
      </c>
      <c r="D373" s="6" t="str">
        <f>_xll.QS.CONTEXT.ADD.CURVE(C373,"SOFR",$K$2:$K$7,$L$2:$L$7,,,"Actual360","LogLinear",TRUE)</f>
        <v>QSObject:ContextInput:w1~input.qs_context_add_curve.2359132437744.372.3.0:39541</v>
      </c>
      <c r="E373" s="6" t="str">
        <f>_xll.QS.INSTRUMENT.SWAP("swap.371",H373,B373,"USD","SOFR",I373,J373,0,"Actual360","Simple","Annual","Annual","Annual")</f>
        <v>QSObject:Swap:w1~swap.371:20637</v>
      </c>
      <c r="F373" s="6" t="str">
        <f>_xll.QS.TRADE.CREATE("trade.371",E373,A373,"Receive")</f>
        <v>QSObject:SwapTrade:w1~trade.371:30688</v>
      </c>
      <c r="G373" s="3">
        <f>_xll.QS.EVALUATE(C373,F373)</f>
        <v>24207.956129283149</v>
      </c>
      <c r="H373" s="5" t="s">
        <v>787</v>
      </c>
      <c r="I373" s="7">
        <v>1037100</v>
      </c>
      <c r="J373" s="8">
        <v>3.7100000000000001E-2</v>
      </c>
    </row>
    <row r="374" spans="1:10" x14ac:dyDescent="0.25">
      <c r="A374" s="5" t="s">
        <v>775</v>
      </c>
      <c r="B374" s="5" t="s">
        <v>788</v>
      </c>
      <c r="C374" s="6" t="str">
        <f>_xll.QS.CONTEXT.CREATE("market.372",A374,"USD","SOFR")</f>
        <v>QSObject:PricingContext:w1~market.372:20636</v>
      </c>
      <c r="D374" s="6" t="str">
        <f>_xll.QS.CONTEXT.ADD.CURVE(C374,"SOFR",$K$2:$K$7,$L$2:$L$7,,,"Actual360","LogLinear",TRUE)</f>
        <v>QSObject:ContextInput:w1~input.qs_context_add_curve.2359132437744.373.3.0:39540</v>
      </c>
      <c r="E374" s="6" t="str">
        <f>_xll.QS.INSTRUMENT.SWAP("swap.372",H374,B374,"USD","SOFR",I374,J374,0,"Actual360","Simple","Annual","Annual","Annual")</f>
        <v>QSObject:Swap:w1~swap.372:20635</v>
      </c>
      <c r="F374" s="6" t="str">
        <f>_xll.QS.TRADE.CREATE("trade.372",E374,A374,"Receive")</f>
        <v>QSObject:SwapTrade:w1~trade.372:30687</v>
      </c>
      <c r="G374" s="3">
        <f>_xll.QS.EVALUATE(C374,F374)</f>
        <v>24715.892594612109</v>
      </c>
      <c r="H374" s="5" t="s">
        <v>789</v>
      </c>
      <c r="I374" s="7">
        <v>1037200</v>
      </c>
      <c r="J374" s="8">
        <v>3.7199999999999997E-2</v>
      </c>
    </row>
    <row r="375" spans="1:10" x14ac:dyDescent="0.25">
      <c r="A375" s="5" t="s">
        <v>777</v>
      </c>
      <c r="B375" s="5" t="s">
        <v>790</v>
      </c>
      <c r="C375" s="6" t="str">
        <f>_xll.QS.CONTEXT.CREATE("market.373",A375,"USD","SOFR")</f>
        <v>QSObject:PricingContext:w1~market.373:20634</v>
      </c>
      <c r="D375" s="6" t="str">
        <f>_xll.QS.CONTEXT.ADD.CURVE(C375,"SOFR",$K$2:$K$7,$L$2:$L$7,,,"Actual360","LogLinear",TRUE)</f>
        <v>QSObject:ContextInput:w1~input.qs_context_add_curve.2359132437744.374.3.0:39539</v>
      </c>
      <c r="E375" s="6" t="str">
        <f>_xll.QS.INSTRUMENT.SWAP("swap.373",H375,B375,"USD","SOFR",I375,J375,0,"Actual360","Simple","Annual","Annual","Annual")</f>
        <v>QSObject:Swap:w1~swap.373:20633</v>
      </c>
      <c r="F375" s="6" t="str">
        <f>_xll.QS.TRADE.CREATE("trade.373",E375,A375,"Receive")</f>
        <v>QSObject:SwapTrade:w1~trade.373:30686</v>
      </c>
      <c r="G375" s="3">
        <f>_xll.QS.EVALUATE(C375,F375)</f>
        <v>25337.669621464171</v>
      </c>
      <c r="H375" s="5" t="s">
        <v>791</v>
      </c>
      <c r="I375" s="7">
        <v>1037300</v>
      </c>
      <c r="J375" s="8">
        <v>3.73E-2</v>
      </c>
    </row>
    <row r="376" spans="1:10" x14ac:dyDescent="0.25">
      <c r="A376" s="5" t="s">
        <v>779</v>
      </c>
      <c r="B376" s="5" t="s">
        <v>792</v>
      </c>
      <c r="C376" s="6" t="str">
        <f>_xll.QS.CONTEXT.CREATE("market.374",A376,"USD","SOFR")</f>
        <v>QSObject:PricingContext:w1~market.374:20632</v>
      </c>
      <c r="D376" s="6" t="str">
        <f>_xll.QS.CONTEXT.ADD.CURVE(C376,"SOFR",$K$2:$K$7,$L$2:$L$7,,,"Actual360","LogLinear",TRUE)</f>
        <v>QSObject:ContextInput:w1~input.qs_context_add_curve.2359132437744.375.3.0:39538</v>
      </c>
      <c r="E376" s="6" t="str">
        <f>_xll.QS.INSTRUMENT.SWAP("swap.374",H376,B376,"USD","SOFR",I376,J376,0,"Actual360","Simple","Annual","Annual","Annual")</f>
        <v>QSObject:Swap:w1~swap.374:20631</v>
      </c>
      <c r="F376" s="6" t="str">
        <f>_xll.QS.TRADE.CREATE("trade.374",E376,A376,"Receive")</f>
        <v>QSObject:SwapTrade:w1~trade.374:30685</v>
      </c>
      <c r="G376" s="3">
        <f>_xll.QS.EVALUATE(C376,F376)</f>
        <v>25826.540365659584</v>
      </c>
      <c r="H376" s="5" t="s">
        <v>793</v>
      </c>
      <c r="I376" s="7">
        <v>1037400</v>
      </c>
      <c r="J376" s="8">
        <v>3.7400000000000003E-2</v>
      </c>
    </row>
    <row r="377" spans="1:10" x14ac:dyDescent="0.25">
      <c r="A377" s="5" t="s">
        <v>781</v>
      </c>
      <c r="B377" s="5" t="s">
        <v>794</v>
      </c>
      <c r="C377" s="6" t="str">
        <f>_xll.QS.CONTEXT.CREATE("market.375",A377,"USD","SOFR")</f>
        <v>QSObject:PricingContext:w1~market.375:20630</v>
      </c>
      <c r="D377" s="6" t="str">
        <f>_xll.QS.CONTEXT.ADD.CURVE(C377,"SOFR",$K$2:$K$7,$L$2:$L$7,,,"Actual360","LogLinear",TRUE)</f>
        <v>QSObject:ContextInput:w1~input.qs_context_add_curve.2359132437744.376.3.0:39537</v>
      </c>
      <c r="E377" s="6" t="str">
        <f>_xll.QS.INSTRUMENT.SWAP("swap.375",H377,B377,"USD","SOFR",I377,J377,0,"Actual360","Simple","Annual","Annual","Annual")</f>
        <v>QSObject:Swap:w1~swap.375:20629</v>
      </c>
      <c r="F377" s="6" t="str">
        <f>_xll.QS.TRADE.CREATE("trade.375",E377,A377,"Receive")</f>
        <v>QSObject:SwapTrade:w1~trade.375:30684</v>
      </c>
      <c r="G377" s="3">
        <f>_xll.QS.EVALUATE(C377,F377)</f>
        <v>26306.331201430581</v>
      </c>
      <c r="H377" s="5" t="s">
        <v>795</v>
      </c>
      <c r="I377" s="7">
        <v>1037500</v>
      </c>
      <c r="J377" s="8">
        <v>3.7500000000000012E-2</v>
      </c>
    </row>
    <row r="378" spans="1:10" x14ac:dyDescent="0.25">
      <c r="A378" s="5" t="s">
        <v>783</v>
      </c>
      <c r="B378" s="5" t="s">
        <v>796</v>
      </c>
      <c r="C378" s="6" t="str">
        <f>_xll.QS.CONTEXT.CREATE("market.376",A378,"USD","SOFR")</f>
        <v>QSObject:PricingContext:w1~market.376:20628</v>
      </c>
      <c r="D378" s="6" t="str">
        <f>_xll.QS.CONTEXT.ADD.CURVE(C378,"SOFR",$K$2:$K$7,$L$2:$L$7,,,"Actual360","LogLinear",TRUE)</f>
        <v>QSObject:ContextInput:w1~input.qs_context_add_curve.2359132437744.377.3.0:39536</v>
      </c>
      <c r="E378" s="6" t="str">
        <f>_xll.QS.INSTRUMENT.SWAP("swap.376",H378,B378,"USD","SOFR",I378,J378,0,"Actual360","Simple","Annual","Annual","Annual")</f>
        <v>QSObject:Swap:w1~swap.376:20627</v>
      </c>
      <c r="F378" s="6" t="str">
        <f>_xll.QS.TRADE.CREATE("trade.376",E378,A378,"Receive")</f>
        <v>QSObject:SwapTrade:w1~trade.376:30683</v>
      </c>
      <c r="G378" s="3">
        <f>_xll.QS.EVALUATE(C378,F378)</f>
        <v>26695.048816250921</v>
      </c>
      <c r="H378" s="5" t="s">
        <v>797</v>
      </c>
      <c r="I378" s="7">
        <v>1037600</v>
      </c>
      <c r="J378" s="8">
        <v>3.7600000000000001E-2</v>
      </c>
    </row>
    <row r="379" spans="1:10" x14ac:dyDescent="0.25">
      <c r="A379" s="5" t="s">
        <v>785</v>
      </c>
      <c r="B379" s="5" t="s">
        <v>798</v>
      </c>
      <c r="C379" s="6" t="str">
        <f>_xll.QS.CONTEXT.CREATE("market.377",A379,"USD","SOFR")</f>
        <v>QSObject:PricingContext:w1~market.377:20626</v>
      </c>
      <c r="D379" s="6" t="str">
        <f>_xll.QS.CONTEXT.ADD.CURVE(C379,"SOFR",$K$2:$K$7,$L$2:$L$7,,,"Actual360","LogLinear",TRUE)</f>
        <v>QSObject:ContextInput:w1~input.qs_context_add_curve.2359132437744.378.3.0:39535</v>
      </c>
      <c r="E379" s="6" t="str">
        <f>_xll.QS.INSTRUMENT.SWAP("swap.377",H379,B379,"USD","SOFR",I379,J379,0,"Actual360","Simple","Annual","Annual","Annual")</f>
        <v>QSObject:Swap:w1~swap.377:20625</v>
      </c>
      <c r="F379" s="6" t="str">
        <f>_xll.QS.TRADE.CREATE("trade.377",E379,A379,"Receive")</f>
        <v>QSObject:SwapTrade:w1~trade.377:30682</v>
      </c>
      <c r="G379" s="3">
        <f>_xll.QS.EVALUATE(C379,F379)</f>
        <v>27099.487875018494</v>
      </c>
      <c r="H379" s="5" t="s">
        <v>799</v>
      </c>
      <c r="I379" s="7">
        <v>1037700</v>
      </c>
      <c r="J379" s="8">
        <v>3.7699999999999997E-2</v>
      </c>
    </row>
    <row r="380" spans="1:10" x14ac:dyDescent="0.25">
      <c r="A380" s="5" t="s">
        <v>787</v>
      </c>
      <c r="B380" s="5" t="s">
        <v>800</v>
      </c>
      <c r="C380" s="6" t="str">
        <f>_xll.QS.CONTEXT.CREATE("market.378",A380,"USD","SOFR")</f>
        <v>QSObject:PricingContext:w1~market.378:20624</v>
      </c>
      <c r="D380" s="6" t="str">
        <f>_xll.QS.CONTEXT.ADD.CURVE(C380,"SOFR",$K$2:$K$7,$L$2:$L$7,,,"Actual360","LogLinear",TRUE)</f>
        <v>QSObject:ContextInput:w1~input.qs_context_add_curve.2359132437744.379.3.0:39534</v>
      </c>
      <c r="E380" s="6" t="str">
        <f>_xll.QS.INSTRUMENT.SWAP("swap.378",H380,B380,"USD","SOFR",I380,J380,0,"Actual360","Simple","Annual","Annual","Annual")</f>
        <v>QSObject:Swap:w1~swap.378:20623</v>
      </c>
      <c r="F380" s="6" t="str">
        <f>_xll.QS.TRADE.CREATE("trade.378",E380,A380,"Receive")</f>
        <v>QSObject:SwapTrade:w1~trade.378:30681</v>
      </c>
      <c r="G380" s="3">
        <f>_xll.QS.EVALUATE(C380,F380)</f>
        <v>27586.075669308855</v>
      </c>
      <c r="H380" s="5" t="s">
        <v>801</v>
      </c>
      <c r="I380" s="7">
        <v>1037800</v>
      </c>
      <c r="J380" s="8">
        <v>3.78E-2</v>
      </c>
    </row>
    <row r="381" spans="1:10" x14ac:dyDescent="0.25">
      <c r="A381" s="5" t="s">
        <v>789</v>
      </c>
      <c r="B381" s="5" t="s">
        <v>802</v>
      </c>
      <c r="C381" s="6" t="str">
        <f>_xll.QS.CONTEXT.CREATE("market.379",A381,"USD","SOFR")</f>
        <v>QSObject:PricingContext:w1~market.379:20622</v>
      </c>
      <c r="D381" s="6" t="str">
        <f>_xll.QS.CONTEXT.ADD.CURVE(C381,"SOFR",$K$2:$K$7,$L$2:$L$7,,,"Actual360","LogLinear",TRUE)</f>
        <v>QSObject:ContextInput:w1~input.qs_context_add_curve.2359132437744.380.3.0:39533</v>
      </c>
      <c r="E381" s="6" t="str">
        <f>_xll.QS.INSTRUMENT.SWAP("swap.379",H381,B381,"USD","SOFR",I381,J381,0,"Actual360","Simple","Annual","Annual","Annual")</f>
        <v>QSObject:Swap:w1~swap.379:20621</v>
      </c>
      <c r="F381" s="6" t="str">
        <f>_xll.QS.TRADE.CREATE("trade.379",E381,A381,"Receive")</f>
        <v>QSObject:SwapTrade:w1~trade.379:30680</v>
      </c>
      <c r="G381" s="3">
        <f>_xll.QS.EVALUATE(C381,F381)</f>
        <v>28110.465974041865</v>
      </c>
      <c r="H381" s="5" t="s">
        <v>803</v>
      </c>
      <c r="I381" s="7">
        <v>1037900</v>
      </c>
      <c r="J381" s="8">
        <v>3.7900000000000003E-2</v>
      </c>
    </row>
    <row r="382" spans="1:10" x14ac:dyDescent="0.25">
      <c r="A382" s="5" t="s">
        <v>791</v>
      </c>
      <c r="B382" s="5" t="s">
        <v>804</v>
      </c>
      <c r="C382" s="6" t="str">
        <f>_xll.QS.CONTEXT.CREATE("market.380",A382,"USD","SOFR")</f>
        <v>QSObject:PricingContext:w1~market.380:20620</v>
      </c>
      <c r="D382" s="6" t="str">
        <f>_xll.QS.CONTEXT.ADD.CURVE(C382,"SOFR",$K$2:$K$7,$L$2:$L$7,,,"Actual360","LogLinear",TRUE)</f>
        <v>QSObject:ContextInput:w1~input.qs_context_add_curve.2359132437744.381.3.0:39532</v>
      </c>
      <c r="E382" s="6" t="str">
        <f>_xll.QS.INSTRUMENT.SWAP("swap.380",H382,B382,"USD","SOFR",I382,J382,0,"Actual360","Simple","Annual","Annual","Annual")</f>
        <v>QSObject:Swap:w1~swap.380:20619</v>
      </c>
      <c r="F382" s="6" t="str">
        <f>_xll.QS.TRADE.CREATE("trade.380",E382,A382,"Receive")</f>
        <v>QSObject:SwapTrade:w1~trade.380:30679</v>
      </c>
      <c r="G382" s="3">
        <f>_xll.QS.EVALUATE(C382,F382)</f>
        <v>28667.452898951073</v>
      </c>
      <c r="H382" s="5" t="s">
        <v>805</v>
      </c>
      <c r="I382" s="7">
        <v>1038000</v>
      </c>
      <c r="J382" s="8">
        <v>3.8000000000000013E-2</v>
      </c>
    </row>
    <row r="383" spans="1:10" x14ac:dyDescent="0.25">
      <c r="A383" s="5" t="s">
        <v>793</v>
      </c>
      <c r="B383" s="5" t="s">
        <v>806</v>
      </c>
      <c r="C383" s="6" t="str">
        <f>_xll.QS.CONTEXT.CREATE("market.381",A383,"USD","SOFR")</f>
        <v>QSObject:PricingContext:w1~market.381:20618</v>
      </c>
      <c r="D383" s="6" t="str">
        <f>_xll.QS.CONTEXT.ADD.CURVE(C383,"SOFR",$K$2:$K$7,$L$2:$L$7,,,"Actual360","LogLinear",TRUE)</f>
        <v>QSObject:ContextInput:w1~input.qs_context_add_curve.2359132437744.382.3.0:39531</v>
      </c>
      <c r="E383" s="6" t="str">
        <f>_xll.QS.INSTRUMENT.SWAP("swap.381",H383,B383,"USD","SOFR",I383,J383,0,"Actual360","Simple","Annual","Annual","Annual")</f>
        <v>QSObject:Swap:w1~swap.381:20617</v>
      </c>
      <c r="F383" s="6" t="str">
        <f>_xll.QS.TRADE.CREATE("trade.381",E383,A383,"Receive")</f>
        <v>QSObject:SwapTrade:w1~trade.381:30678</v>
      </c>
      <c r="G383" s="3">
        <f>_xll.QS.EVALUATE(C383,F383)</f>
        <v>29195.825394260108</v>
      </c>
      <c r="H383" s="5" t="s">
        <v>807</v>
      </c>
      <c r="I383" s="7">
        <v>1038100</v>
      </c>
      <c r="J383" s="8">
        <v>3.8100000000000002E-2</v>
      </c>
    </row>
    <row r="384" spans="1:10" x14ac:dyDescent="0.25">
      <c r="A384" s="5" t="s">
        <v>795</v>
      </c>
      <c r="B384" s="5" t="s">
        <v>808</v>
      </c>
      <c r="C384" s="6" t="str">
        <f>_xll.QS.CONTEXT.CREATE("market.382",A384,"USD","SOFR")</f>
        <v>QSObject:PricingContext:w1~market.382:20616</v>
      </c>
      <c r="D384" s="6" t="str">
        <f>_xll.QS.CONTEXT.ADD.CURVE(C384,"SOFR",$K$2:$K$7,$L$2:$L$7,,,"Actual360","LogLinear",TRUE)</f>
        <v>QSObject:ContextInput:w1~input.qs_context_add_curve.2359132437744.383.3.0:39530</v>
      </c>
      <c r="E384" s="6" t="str">
        <f>_xll.QS.INSTRUMENT.SWAP("swap.382",H384,B384,"USD","SOFR",I384,J384,0,"Actual360","Simple","Annual","Annual","Annual")</f>
        <v>QSObject:Swap:w1~swap.382:20615</v>
      </c>
      <c r="F384" s="6" t="str">
        <f>_xll.QS.TRADE.CREATE("trade.382",E384,A384,"Receive")</f>
        <v>QSObject:SwapTrade:w1~trade.382:30677</v>
      </c>
      <c r="G384" s="3">
        <f>_xll.QS.EVALUATE(C384,F384)</f>
        <v>29678.51157088844</v>
      </c>
      <c r="H384" s="5" t="s">
        <v>809</v>
      </c>
      <c r="I384" s="7">
        <v>1038200</v>
      </c>
      <c r="J384" s="8">
        <v>3.8199999999999998E-2</v>
      </c>
    </row>
    <row r="385" spans="1:10" x14ac:dyDescent="0.25">
      <c r="A385" s="5" t="s">
        <v>797</v>
      </c>
      <c r="B385" s="5" t="s">
        <v>810</v>
      </c>
      <c r="C385" s="6" t="str">
        <f>_xll.QS.CONTEXT.CREATE("market.383",A385,"USD","SOFR")</f>
        <v>QSObject:PricingContext:w1~market.383:20614</v>
      </c>
      <c r="D385" s="6" t="str">
        <f>_xll.QS.CONTEXT.ADD.CURVE(C385,"SOFR",$K$2:$K$7,$L$2:$L$7,,,"Actual360","LogLinear",TRUE)</f>
        <v>QSObject:ContextInput:w1~input.qs_context_add_curve.2359132437744.384.3.0:39529</v>
      </c>
      <c r="E385" s="6" t="str">
        <f>_xll.QS.INSTRUMENT.SWAP("swap.383",H385,B385,"USD","SOFR",I385,J385,0,"Actual360","Simple","Annual","Annual","Annual")</f>
        <v>QSObject:Swap:w1~swap.383:20613</v>
      </c>
      <c r="F385" s="6" t="str">
        <f>_xll.QS.TRADE.CREATE("trade.383",E385,A385,"Receive")</f>
        <v>QSObject:SwapTrade:w1~trade.383:30676</v>
      </c>
      <c r="G385" s="3">
        <f>_xll.QS.EVALUATE(C385,F385)</f>
        <v>30080.78896527749</v>
      </c>
      <c r="H385" s="5" t="s">
        <v>811</v>
      </c>
      <c r="I385" s="7">
        <v>1038300</v>
      </c>
      <c r="J385" s="8">
        <v>3.8300000000000001E-2</v>
      </c>
    </row>
    <row r="386" spans="1:10" x14ac:dyDescent="0.25">
      <c r="A386" s="5" t="s">
        <v>799</v>
      </c>
      <c r="B386" s="5" t="s">
        <v>812</v>
      </c>
      <c r="C386" s="6" t="str">
        <f>_xll.QS.CONTEXT.CREATE("market.384",A386,"USD","SOFR")</f>
        <v>QSObject:PricingContext:w1~market.384:20612</v>
      </c>
      <c r="D386" s="6" t="str">
        <f>_xll.QS.CONTEXT.ADD.CURVE(C386,"SOFR",$K$2:$K$7,$L$2:$L$7,,,"Actual360","LogLinear",TRUE)</f>
        <v>QSObject:ContextInput:w1~input.qs_context_add_curve.2359132437744.385.3.0:39528</v>
      </c>
      <c r="E386" s="6" t="str">
        <f>_xll.QS.INSTRUMENT.SWAP("swap.384",H386,B386,"USD","SOFR",I386,J386,0,"Actual360","Simple","Annual","Annual","Annual")</f>
        <v>QSObject:Swap:w1~swap.384:20611</v>
      </c>
      <c r="F386" s="6" t="str">
        <f>_xll.QS.TRADE.CREATE("trade.384",E386,A386,"Receive")</f>
        <v>QSObject:SwapTrade:w1~trade.384:30675</v>
      </c>
      <c r="G386" s="3">
        <f>_xll.QS.EVALUATE(C386,F386)</f>
        <v>30491.334785433472</v>
      </c>
      <c r="H386" s="5" t="s">
        <v>813</v>
      </c>
      <c r="I386" s="7">
        <v>1038400</v>
      </c>
      <c r="J386" s="8">
        <v>3.8399999999999997E-2</v>
      </c>
    </row>
    <row r="387" spans="1:10" x14ac:dyDescent="0.25">
      <c r="A387" s="5" t="s">
        <v>801</v>
      </c>
      <c r="B387" s="5" t="s">
        <v>814</v>
      </c>
      <c r="C387" s="6" t="str">
        <f>_xll.QS.CONTEXT.CREATE("market.385",A387,"USD","SOFR")</f>
        <v>QSObject:PricingContext:w1~market.385:20610</v>
      </c>
      <c r="D387" s="6" t="str">
        <f>_xll.QS.CONTEXT.ADD.CURVE(C387,"SOFR",$K$2:$K$7,$L$2:$L$7,,,"Actual360","LogLinear",TRUE)</f>
        <v>QSObject:ContextInput:w1~input.qs_context_add_curve.2359132437744.386.3.0:39527</v>
      </c>
      <c r="E387" s="6" t="str">
        <f>_xll.QS.INSTRUMENT.SWAP("swap.385",H387,B387,"USD","SOFR",I387,J387,0,"Actual360","Simple","Annual","Annual","Annual")</f>
        <v>QSObject:Swap:w1~swap.385:20609</v>
      </c>
      <c r="F387" s="6" t="str">
        <f>_xll.QS.TRADE.CREATE("trade.385",E387,A387,"Receive")</f>
        <v>QSObject:SwapTrade:w1~trade.385:30674</v>
      </c>
      <c r="G387" s="3">
        <f>_xll.QS.EVALUATE(C387,F387)</f>
        <v>30975.715760459294</v>
      </c>
      <c r="H387" s="5" t="s">
        <v>815</v>
      </c>
      <c r="I387" s="7">
        <v>1038500</v>
      </c>
      <c r="J387" s="8">
        <v>3.8500000000000013E-2</v>
      </c>
    </row>
    <row r="388" spans="1:10" x14ac:dyDescent="0.25">
      <c r="A388" s="5" t="s">
        <v>803</v>
      </c>
      <c r="B388" s="5" t="s">
        <v>816</v>
      </c>
      <c r="C388" s="6" t="str">
        <f>_xll.QS.CONTEXT.CREATE("market.386",A388,"USD","SOFR")</f>
        <v>QSObject:PricingContext:w1~market.386:20608</v>
      </c>
      <c r="D388" s="6" t="str">
        <f>_xll.QS.CONTEXT.ADD.CURVE(C388,"SOFR",$K$2:$K$7,$L$2:$L$7,,,"Actual360","LogLinear",TRUE)</f>
        <v>QSObject:ContextInput:w1~input.qs_context_add_curve.2359132437744.387.3.0:39526</v>
      </c>
      <c r="E388" s="6" t="str">
        <f>_xll.QS.INSTRUMENT.SWAP("swap.386",H388,B388,"USD","SOFR",I388,J388,0,"Actual360","Simple","Annual","Annual","Annual")</f>
        <v>QSObject:Swap:w1~swap.386:20607</v>
      </c>
      <c r="F388" s="6" t="str">
        <f>_xll.QS.TRADE.CREATE("trade.386",E388,A388,"Receive")</f>
        <v>QSObject:SwapTrade:w1~trade.386:30673</v>
      </c>
      <c r="G388" s="3">
        <f>_xll.QS.EVALUATE(C388,F388)</f>
        <v>31481.520824731077</v>
      </c>
      <c r="H388" s="5" t="s">
        <v>817</v>
      </c>
      <c r="I388" s="7">
        <v>1038600</v>
      </c>
      <c r="J388" s="8">
        <v>3.8600000000000002E-2</v>
      </c>
    </row>
    <row r="389" spans="1:10" x14ac:dyDescent="0.25">
      <c r="A389" s="5" t="s">
        <v>805</v>
      </c>
      <c r="B389" s="5" t="s">
        <v>818</v>
      </c>
      <c r="C389" s="6" t="str">
        <f>_xll.QS.CONTEXT.CREATE("market.387",A389,"USD","SOFR")</f>
        <v>QSObject:PricingContext:w1~market.387:20606</v>
      </c>
      <c r="D389" s="6" t="str">
        <f>_xll.QS.CONTEXT.ADD.CURVE(C389,"SOFR",$K$2:$K$7,$L$2:$L$7,,,"Actual360","LogLinear",TRUE)</f>
        <v>QSObject:ContextInput:w1~input.qs_context_add_curve.2359132437744.388.3.0:39525</v>
      </c>
      <c r="E389" s="6" t="str">
        <f>_xll.QS.INSTRUMENT.SWAP("swap.387",H389,B389,"USD","SOFR",I389,J389,0,"Actual360","Simple","Annual","Annual","Annual")</f>
        <v>QSObject:Swap:w1~swap.387:20605</v>
      </c>
      <c r="F389" s="6" t="str">
        <f>_xll.QS.TRADE.CREATE("trade.387",E389,A389,"Receive")</f>
        <v>QSObject:SwapTrade:w1~trade.387:30672</v>
      </c>
      <c r="G389" s="3">
        <f>_xll.QS.EVALUATE(C389,F389)</f>
        <v>32039.718242920564</v>
      </c>
      <c r="H389" s="5" t="s">
        <v>819</v>
      </c>
      <c r="I389" s="7">
        <v>1038700</v>
      </c>
      <c r="J389" s="8">
        <v>3.8700000000000012E-2</v>
      </c>
    </row>
    <row r="390" spans="1:10" x14ac:dyDescent="0.25">
      <c r="A390" s="5" t="s">
        <v>807</v>
      </c>
      <c r="B390" s="5" t="s">
        <v>820</v>
      </c>
      <c r="C390" s="6" t="str">
        <f>_xll.QS.CONTEXT.CREATE("market.388",A390,"USD","SOFR")</f>
        <v>QSObject:PricingContext:w1~market.388:20604</v>
      </c>
      <c r="D390" s="6" t="str">
        <f>_xll.QS.CONTEXT.ADD.CURVE(C390,"SOFR",$K$2:$K$7,$L$2:$L$7,,,"Actual360","LogLinear",TRUE)</f>
        <v>QSObject:ContextInput:w1~input.qs_context_add_curve.2359132437744.389.3.0:39524</v>
      </c>
      <c r="E390" s="6" t="str">
        <f>_xll.QS.INSTRUMENT.SWAP("swap.388",H390,B390,"USD","SOFR",I390,J390,0,"Actual360","Simple","Annual","Annual","Annual")</f>
        <v>QSObject:Swap:w1~swap.388:20603</v>
      </c>
      <c r="F390" s="6" t="str">
        <f>_xll.QS.TRADE.CREATE("trade.388",E390,A390,"Receive")</f>
        <v>QSObject:SwapTrade:w1~trade.388:30671</v>
      </c>
      <c r="G390" s="3">
        <f>_xll.QS.EVALUATE(C390,F390)</f>
        <v>32567.386942664543</v>
      </c>
      <c r="H390" s="5" t="s">
        <v>821</v>
      </c>
      <c r="I390" s="7">
        <v>1038800</v>
      </c>
      <c r="J390" s="8">
        <v>3.8800000000000001E-2</v>
      </c>
    </row>
    <row r="391" spans="1:10" x14ac:dyDescent="0.25">
      <c r="A391" s="5" t="s">
        <v>809</v>
      </c>
      <c r="B391" s="5" t="s">
        <v>822</v>
      </c>
      <c r="C391" s="6" t="str">
        <f>_xll.QS.CONTEXT.CREATE("market.389",A391,"USD","SOFR")</f>
        <v>QSObject:PricingContext:w1~market.389:20602</v>
      </c>
      <c r="D391" s="6" t="str">
        <f>_xll.QS.CONTEXT.ADD.CURVE(C391,"SOFR",$K$2:$K$7,$L$2:$L$7,,,"Actual360","LogLinear",TRUE)</f>
        <v>QSObject:ContextInput:w1~input.qs_context_add_curve.2359132437744.390.3.0:39523</v>
      </c>
      <c r="E391" s="6" t="str">
        <f>_xll.QS.INSTRUMENT.SWAP("swap.389",H391,B391,"USD","SOFR",I391,J391,0,"Actual360","Simple","Annual","Annual","Annual")</f>
        <v>QSObject:Swap:w1~swap.389:20601</v>
      </c>
      <c r="F391" s="6" t="str">
        <f>_xll.QS.TRADE.CREATE("trade.389",E391,A391,"Receive")</f>
        <v>QSObject:SwapTrade:w1~trade.389:30670</v>
      </c>
      <c r="G391" s="3">
        <f>_xll.QS.EVALUATE(C391,F391)</f>
        <v>33009.614788923413</v>
      </c>
      <c r="H391" s="5" t="s">
        <v>823</v>
      </c>
      <c r="I391" s="7">
        <v>1038900</v>
      </c>
      <c r="J391" s="8">
        <v>3.8899999999999997E-2</v>
      </c>
    </row>
    <row r="392" spans="1:10" x14ac:dyDescent="0.25">
      <c r="A392" s="5" t="s">
        <v>811</v>
      </c>
      <c r="B392" s="5" t="s">
        <v>824</v>
      </c>
      <c r="C392" s="6" t="str">
        <f>_xll.QS.CONTEXT.CREATE("market.390",A392,"USD","SOFR")</f>
        <v>QSObject:PricingContext:w1~market.390:20600</v>
      </c>
      <c r="D392" s="6" t="str">
        <f>_xll.QS.CONTEXT.ADD.CURVE(C392,"SOFR",$K$2:$K$7,$L$2:$L$7,,,"Actual360","LogLinear",TRUE)</f>
        <v>QSObject:ContextInput:w1~input.qs_context_add_curve.2359132437744.391.3.0:39522</v>
      </c>
      <c r="E392" s="6" t="str">
        <f>_xll.QS.INSTRUMENT.SWAP("swap.390",H392,B392,"USD","SOFR",I392,J392,0,"Actual360","Simple","Annual","Annual","Annual")</f>
        <v>QSObject:Swap:w1~swap.390:20599</v>
      </c>
      <c r="F392" s="6" t="str">
        <f>_xll.QS.TRADE.CREATE("trade.390",E392,A392,"Receive")</f>
        <v>QSObject:SwapTrade:w1~trade.390:30669</v>
      </c>
      <c r="G392" s="3">
        <f>_xll.QS.EVALUATE(C392,F392)</f>
        <v>33408.52583293918</v>
      </c>
      <c r="H392" s="5" t="s">
        <v>825</v>
      </c>
      <c r="I392" s="7">
        <v>1039000</v>
      </c>
      <c r="J392" s="8">
        <v>3.9000000000000007E-2</v>
      </c>
    </row>
    <row r="393" spans="1:10" x14ac:dyDescent="0.25">
      <c r="A393" s="5" t="s">
        <v>813</v>
      </c>
      <c r="B393" s="5" t="s">
        <v>826</v>
      </c>
      <c r="C393" s="6" t="str">
        <f>_xll.QS.CONTEXT.CREATE("market.391",A393,"USD","SOFR")</f>
        <v>QSObject:PricingContext:w1~market.391:20598</v>
      </c>
      <c r="D393" s="6" t="str">
        <f>_xll.QS.CONTEXT.ADD.CURVE(C393,"SOFR",$K$2:$K$7,$L$2:$L$7,,,"Actual360","LogLinear",TRUE)</f>
        <v>QSObject:ContextInput:w1~input.qs_context_add_curve.2359132437744.392.3.0:39521</v>
      </c>
      <c r="E393" s="6" t="str">
        <f>_xll.QS.INSTRUMENT.SWAP("swap.391",H393,B393,"USD","SOFR",I393,J393,0,"Actual360","Simple","Annual","Annual","Annual")</f>
        <v>QSObject:Swap:w1~swap.391:20597</v>
      </c>
      <c r="F393" s="6" t="str">
        <f>_xll.QS.TRADE.CREATE("trade.391",E393,A393,"Receive")</f>
        <v>QSObject:SwapTrade:w1~trade.391:30668</v>
      </c>
      <c r="G393" s="3">
        <f>_xll.QS.EVALUATE(C393,F393)</f>
        <v>33824.966705868072</v>
      </c>
      <c r="H393" s="5" t="s">
        <v>827</v>
      </c>
      <c r="I393" s="7">
        <v>1039100</v>
      </c>
      <c r="J393" s="8">
        <v>3.9100000000000003E-2</v>
      </c>
    </row>
    <row r="394" spans="1:10" x14ac:dyDescent="0.25">
      <c r="A394" s="5" t="s">
        <v>815</v>
      </c>
      <c r="B394" s="5" t="s">
        <v>828</v>
      </c>
      <c r="C394" s="6" t="str">
        <f>_xll.QS.CONTEXT.CREATE("market.392",A394,"USD","SOFR")</f>
        <v>QSObject:PricingContext:w1~market.392:20596</v>
      </c>
      <c r="D394" s="6" t="str">
        <f>_xll.QS.CONTEXT.ADD.CURVE(C394,"SOFR",$K$2:$K$7,$L$2:$L$7,,,"Actual360","LogLinear",TRUE)</f>
        <v>QSObject:ContextInput:w1~input.qs_context_add_curve.2359132437744.393.3.0:39520</v>
      </c>
      <c r="E394" s="6" t="str">
        <f>_xll.QS.INSTRUMENT.SWAP("swap.392",H394,B394,"USD","SOFR",I394,J394,0,"Actual360","Simple","Annual","Annual","Annual")</f>
        <v>QSObject:Swap:w1~swap.392:20595</v>
      </c>
      <c r="F394" s="6" t="str">
        <f>_xll.QS.TRADE.CREATE("trade.392",E394,A394,"Receive")</f>
        <v>QSObject:SwapTrade:w1~trade.392:30667</v>
      </c>
      <c r="G394" s="3">
        <f>_xll.QS.EVALUATE(C394,F394)</f>
        <v>34352.052298630937</v>
      </c>
      <c r="H394" s="5" t="s">
        <v>829</v>
      </c>
      <c r="I394" s="7">
        <v>1039200</v>
      </c>
      <c r="J394" s="8">
        <v>3.9200000000000013E-2</v>
      </c>
    </row>
    <row r="395" spans="1:10" x14ac:dyDescent="0.25">
      <c r="A395" s="5" t="s">
        <v>817</v>
      </c>
      <c r="B395" s="5" t="s">
        <v>830</v>
      </c>
      <c r="C395" s="6" t="str">
        <f>_xll.QS.CONTEXT.CREATE("market.393",A395,"USD","SOFR")</f>
        <v>QSObject:PricingContext:w1~market.393:20594</v>
      </c>
      <c r="D395" s="6" t="str">
        <f>_xll.QS.CONTEXT.ADD.CURVE(C395,"SOFR",$K$2:$K$7,$L$2:$L$7,,,"Actual360","LogLinear",TRUE)</f>
        <v>QSObject:ContextInput:w1~input.qs_context_add_curve.2359132437744.394.3.0:39519</v>
      </c>
      <c r="E395" s="6" t="str">
        <f>_xll.QS.INSTRUMENT.SWAP("swap.393",H395,B395,"USD","SOFR",I395,J395,0,"Actual360","Simple","Annual","Annual","Annual")</f>
        <v>QSObject:Swap:w1~swap.393:20593</v>
      </c>
      <c r="F395" s="6" t="str">
        <f>_xll.QS.TRADE.CREATE("trade.393",E395,A395,"Receive")</f>
        <v>QSObject:SwapTrade:w1~trade.393:30666</v>
      </c>
      <c r="G395" s="3">
        <f>_xll.QS.EVALUATE(C395,F395)</f>
        <v>34856.893196193552</v>
      </c>
      <c r="H395" s="5" t="s">
        <v>831</v>
      </c>
      <c r="I395" s="7">
        <v>1039300</v>
      </c>
      <c r="J395" s="8">
        <v>3.9300000000000002E-2</v>
      </c>
    </row>
    <row r="396" spans="1:10" x14ac:dyDescent="0.25">
      <c r="A396" s="5" t="s">
        <v>819</v>
      </c>
      <c r="B396" s="5" t="s">
        <v>832</v>
      </c>
      <c r="C396" s="6" t="str">
        <f>_xll.QS.CONTEXT.CREATE("market.394",A396,"USD","SOFR")</f>
        <v>QSObject:PricingContext:w1~market.394:20592</v>
      </c>
      <c r="D396" s="6" t="str">
        <f>_xll.QS.CONTEXT.ADD.CURVE(C396,"SOFR",$K$2:$K$7,$L$2:$L$7,,,"Actual360","LogLinear",TRUE)</f>
        <v>QSObject:ContextInput:w1~input.qs_context_add_curve.2359132437744.395.3.0:39518</v>
      </c>
      <c r="E396" s="6" t="str">
        <f>_xll.QS.INSTRUMENT.SWAP("swap.394",H396,B396,"USD","SOFR",I396,J396,0,"Actual360","Simple","Annual","Annual","Annual")</f>
        <v>QSObject:Swap:w1~swap.394:20591</v>
      </c>
      <c r="F396" s="6" t="str">
        <f>_xll.QS.TRADE.CREATE("trade.394",E396,A396,"Receive")</f>
        <v>QSObject:SwapTrade:w1~trade.394:30665</v>
      </c>
      <c r="G396" s="3">
        <f>_xll.QS.EVALUATE(C396,F396)</f>
        <v>35416.275078962979</v>
      </c>
      <c r="H396" s="5" t="s">
        <v>833</v>
      </c>
      <c r="I396" s="7">
        <v>1039400</v>
      </c>
      <c r="J396" s="8">
        <v>3.9399999999999998E-2</v>
      </c>
    </row>
    <row r="397" spans="1:10" x14ac:dyDescent="0.25">
      <c r="A397" s="5" t="s">
        <v>821</v>
      </c>
      <c r="B397" s="5" t="s">
        <v>834</v>
      </c>
      <c r="C397" s="6" t="str">
        <f>_xll.QS.CONTEXT.CREATE("market.395",A397,"USD","SOFR")</f>
        <v>QSObject:PricingContext:w1~market.395:20590</v>
      </c>
      <c r="D397" s="6" t="str">
        <f>_xll.QS.CONTEXT.ADD.CURVE(C397,"SOFR",$K$2:$K$7,$L$2:$L$7,,,"Actual360","LogLinear",TRUE)</f>
        <v>QSObject:ContextInput:w1~input.qs_context_add_curve.2359132437744.396.3.0:39517</v>
      </c>
      <c r="E397" s="6" t="str">
        <f>_xll.QS.INSTRUMENT.SWAP("swap.395",H397,B397,"USD","SOFR",I397,J397,0,"Actual360","Simple","Annual","Annual","Annual")</f>
        <v>QSObject:Swap:w1~swap.395:20589</v>
      </c>
      <c r="F397" s="6" t="str">
        <f>_xll.QS.TRADE.CREATE("trade.395",E397,A397,"Receive")</f>
        <v>QSObject:SwapTrade:w1~trade.395:30664</v>
      </c>
      <c r="G397" s="3">
        <f>_xll.QS.EVALUATE(C397,F397)</f>
        <v>35944.360642759624</v>
      </c>
      <c r="H397" s="5" t="s">
        <v>835</v>
      </c>
      <c r="I397" s="7">
        <v>1039500</v>
      </c>
      <c r="J397" s="8">
        <v>3.9500000000000007E-2</v>
      </c>
    </row>
    <row r="398" spans="1:10" x14ac:dyDescent="0.25">
      <c r="A398" s="5" t="s">
        <v>823</v>
      </c>
      <c r="B398" s="5" t="s">
        <v>836</v>
      </c>
      <c r="C398" s="6" t="str">
        <f>_xll.QS.CONTEXT.CREATE("market.396",A398,"USD","SOFR")</f>
        <v>QSObject:PricingContext:w1~market.396:20588</v>
      </c>
      <c r="D398" s="6" t="str">
        <f>_xll.QS.CONTEXT.ADD.CURVE(C398,"SOFR",$K$2:$K$7,$L$2:$L$7,,,"Actual360","LogLinear",TRUE)</f>
        <v>QSObject:ContextInput:w1~input.qs_context_add_curve.2359132437744.397.3.0:39516</v>
      </c>
      <c r="E398" s="6" t="str">
        <f>_xll.QS.INSTRUMENT.SWAP("swap.396",H398,B398,"USD","SOFR",I398,J398,0,"Actual360","Simple","Annual","Annual","Annual")</f>
        <v>QSObject:Swap:w1~swap.396:20587</v>
      </c>
      <c r="F398" s="6" t="str">
        <f>_xll.QS.TRADE.CREATE("trade.396",E398,A398,"Receive")</f>
        <v>QSObject:SwapTrade:w1~trade.396:30663</v>
      </c>
      <c r="G398" s="3">
        <f>_xll.QS.EVALUATE(C398,F398)</f>
        <v>36387.661765565834</v>
      </c>
      <c r="H398" s="5" t="s">
        <v>837</v>
      </c>
      <c r="I398" s="7">
        <v>1039600</v>
      </c>
      <c r="J398" s="8">
        <v>3.9600000000000003E-2</v>
      </c>
    </row>
    <row r="399" spans="1:10" x14ac:dyDescent="0.25">
      <c r="A399" s="5" t="s">
        <v>825</v>
      </c>
      <c r="B399" s="5" t="s">
        <v>838</v>
      </c>
      <c r="C399" s="6" t="str">
        <f>_xll.QS.CONTEXT.CREATE("market.397",A399,"USD","SOFR")</f>
        <v>QSObject:PricingContext:w1~market.397:20586</v>
      </c>
      <c r="D399" s="6" t="str">
        <f>_xll.QS.CONTEXT.ADD.CURVE(C399,"SOFR",$K$2:$K$7,$L$2:$L$7,,,"Actual360","LogLinear",TRUE)</f>
        <v>QSObject:ContextInput:w1~input.qs_context_add_curve.2359132437744.398.3.0:39515</v>
      </c>
      <c r="E399" s="6" t="str">
        <f>_xll.QS.INSTRUMENT.SWAP("swap.397",H399,B399,"USD","SOFR",I399,J399,0,"Actual360","Simple","Annual","Annual","Annual")</f>
        <v>QSObject:Swap:w1~swap.397:20585</v>
      </c>
      <c r="F399" s="6" t="str">
        <f>_xll.QS.TRADE.CREATE("trade.397",E399,A399,"Receive")</f>
        <v>QSObject:SwapTrade:w1~trade.397:30662</v>
      </c>
      <c r="G399" s="3">
        <f>_xll.QS.EVALUATE(C399,F399)</f>
        <v>36783.207135449615</v>
      </c>
      <c r="H399" s="5" t="s">
        <v>839</v>
      </c>
      <c r="I399" s="7">
        <v>1039700</v>
      </c>
      <c r="J399" s="8">
        <v>3.9700000000000013E-2</v>
      </c>
    </row>
    <row r="400" spans="1:10" x14ac:dyDescent="0.25">
      <c r="A400" s="5" t="s">
        <v>827</v>
      </c>
      <c r="B400" s="5" t="s">
        <v>840</v>
      </c>
      <c r="C400" s="6" t="str">
        <f>_xll.QS.CONTEXT.CREATE("market.398",A400,"USD","SOFR")</f>
        <v>QSObject:PricingContext:w1~market.398:20584</v>
      </c>
      <c r="D400" s="6" t="str">
        <f>_xll.QS.CONTEXT.ADD.CURVE(C400,"SOFR",$K$2:$K$7,$L$2:$L$7,,,"Actual360","LogLinear",TRUE)</f>
        <v>QSObject:ContextInput:w1~input.qs_context_add_curve.2359132437744.399.3.0:39514</v>
      </c>
      <c r="E400" s="6" t="str">
        <f>_xll.QS.INSTRUMENT.SWAP("swap.398",H400,B400,"USD","SOFR",I400,J400,0,"Actual360","Simple","Annual","Annual","Annual")</f>
        <v>QSObject:Swap:w1~swap.398:20583</v>
      </c>
      <c r="F400" s="6" t="str">
        <f>_xll.QS.TRADE.CREATE("trade.398",E400,A400,"Receive")</f>
        <v>QSObject:SwapTrade:w1~trade.398:30661</v>
      </c>
      <c r="G400" s="3">
        <f>_xll.QS.EVALUATE(C400,F400)</f>
        <v>37205.452226545094</v>
      </c>
      <c r="H400" s="5" t="s">
        <v>841</v>
      </c>
      <c r="I400" s="7">
        <v>1039800</v>
      </c>
      <c r="J400" s="8">
        <v>3.9800000000000002E-2</v>
      </c>
    </row>
    <row r="401" spans="1:10" x14ac:dyDescent="0.25">
      <c r="A401" s="5" t="s">
        <v>829</v>
      </c>
      <c r="B401" s="5" t="s">
        <v>842</v>
      </c>
      <c r="C401" s="6" t="str">
        <f>_xll.QS.CONTEXT.CREATE("market.399",A401,"USD","SOFR")</f>
        <v>QSObject:PricingContext:w1~market.399:20582</v>
      </c>
      <c r="D401" s="6" t="str">
        <f>_xll.QS.CONTEXT.ADD.CURVE(C401,"SOFR",$K$2:$K$7,$L$2:$L$7,,,"Actual360","LogLinear",TRUE)</f>
        <v>QSObject:ContextInput:w1~input.qs_context_add_curve.2359132437744.400.3.0:39513</v>
      </c>
      <c r="E401" s="6" t="str">
        <f>_xll.QS.INSTRUMENT.SWAP("swap.399",H401,B401,"USD","SOFR",I401,J401,0,"Actual360","Simple","Annual","Annual","Annual")</f>
        <v>QSObject:Swap:w1~swap.399:20581</v>
      </c>
      <c r="F401" s="6" t="str">
        <f>_xll.QS.TRADE.CREATE("trade.399",E401,A401,"Receive")</f>
        <v>QSObject:SwapTrade:w1~trade.399:30660</v>
      </c>
      <c r="G401" s="3">
        <f>_xll.QS.EVALUATE(C401,F401)</f>
        <v>37734.191841335749</v>
      </c>
      <c r="H401" s="5" t="s">
        <v>843</v>
      </c>
      <c r="I401" s="7">
        <v>1039900</v>
      </c>
      <c r="J401" s="8">
        <v>3.9899999999999998E-2</v>
      </c>
    </row>
    <row r="402" spans="1:10" x14ac:dyDescent="0.25">
      <c r="A402" s="5" t="s">
        <v>831</v>
      </c>
      <c r="B402" s="5" t="s">
        <v>844</v>
      </c>
      <c r="C402" s="6" t="str">
        <f>_xll.QS.CONTEXT.CREATE("market.400",A402,"USD","SOFR")</f>
        <v>QSObject:PricingContext:w1~market.400:20580</v>
      </c>
      <c r="D402" s="6" t="str">
        <f>_xll.QS.CONTEXT.ADD.CURVE(C402,"SOFR",$K$2:$K$7,$L$2:$L$7,,,"Actual360","LogLinear",TRUE)</f>
        <v>QSObject:ContextInput:w1~input.qs_context_add_curve.2359132437744.401.3.0:39512</v>
      </c>
      <c r="E402" s="6" t="str">
        <f>_xll.QS.INSTRUMENT.SWAP("swap.400",H402,B402,"USD","SOFR",I402,J402,0,"Actual360","Simple","Annual","Annual","Annual")</f>
        <v>QSObject:Swap:w1~swap.400:20579</v>
      </c>
      <c r="F402" s="6" t="str">
        <f>_xll.QS.TRADE.CREATE("trade.400",E402,A402,"Receive")</f>
        <v>QSObject:SwapTrade:w1~trade.400:30659</v>
      </c>
      <c r="G402" s="3">
        <f>_xll.QS.EVALUATE(C402,F402)</f>
        <v>14259.19295850689</v>
      </c>
      <c r="H402" s="5" t="s">
        <v>845</v>
      </c>
      <c r="I402" s="7">
        <v>1040000</v>
      </c>
      <c r="J402" s="8">
        <v>3.5000000000000003E-2</v>
      </c>
    </row>
    <row r="403" spans="1:10" x14ac:dyDescent="0.25">
      <c r="A403" s="5" t="s">
        <v>833</v>
      </c>
      <c r="B403" s="5" t="s">
        <v>846</v>
      </c>
      <c r="C403" s="6" t="str">
        <f>_xll.QS.CONTEXT.CREATE("market.401",A403,"USD","SOFR")</f>
        <v>QSObject:PricingContext:w1~market.401:20578</v>
      </c>
      <c r="D403" s="6" t="str">
        <f>_xll.QS.CONTEXT.ADD.CURVE(C403,"SOFR",$K$2:$K$7,$L$2:$L$7,,,"Actual360","LogLinear",TRUE)</f>
        <v>QSObject:ContextInput:w1~input.qs_context_add_curve.2359132437744.402.3.0:39511</v>
      </c>
      <c r="E403" s="6" t="str">
        <f>_xll.QS.INSTRUMENT.SWAP("swap.401",H403,B403,"USD","SOFR",I403,J403,0,"Actual360","Simple","Annual","Annual","Annual")</f>
        <v>QSObject:Swap:w1~swap.401:20577</v>
      </c>
      <c r="F403" s="6" t="str">
        <f>_xll.QS.TRADE.CREATE("trade.401",E403,A403,"Receive")</f>
        <v>QSObject:SwapTrade:w1~trade.401:30658</v>
      </c>
      <c r="G403" s="3">
        <f>_xll.QS.EVALUATE(C403,F403)</f>
        <v>14815.943877167647</v>
      </c>
      <c r="H403" s="5" t="s">
        <v>847</v>
      </c>
      <c r="I403" s="7">
        <v>1040100</v>
      </c>
      <c r="J403" s="8">
        <v>3.5100000000000013E-2</v>
      </c>
    </row>
    <row r="404" spans="1:10" x14ac:dyDescent="0.25">
      <c r="A404" s="5" t="s">
        <v>835</v>
      </c>
      <c r="B404" s="5" t="s">
        <v>848</v>
      </c>
      <c r="C404" s="6" t="str">
        <f>_xll.QS.CONTEXT.CREATE("market.402",A404,"USD","SOFR")</f>
        <v>QSObject:PricingContext:w1~market.402:20576</v>
      </c>
      <c r="D404" s="6" t="str">
        <f>_xll.QS.CONTEXT.ADD.CURVE(C404,"SOFR",$K$2:$K$7,$L$2:$L$7,,,"Actual360","LogLinear",TRUE)</f>
        <v>QSObject:ContextInput:w1~input.qs_context_add_curve.2359132437744.403.3.0:39510</v>
      </c>
      <c r="E404" s="6" t="str">
        <f>_xll.QS.INSTRUMENT.SWAP("swap.402",H404,B404,"USD","SOFR",I404,J404,0,"Actual360","Simple","Annual","Annual","Annual")</f>
        <v>QSObject:Swap:w1~swap.402:20575</v>
      </c>
      <c r="F404" s="6" t="str">
        <f>_xll.QS.TRADE.CREATE("trade.402",E404,A404,"Receive")</f>
        <v>QSObject:SwapTrade:w1~trade.402:30657</v>
      </c>
      <c r="G404" s="3">
        <f>_xll.QS.EVALUATE(C404,F404)</f>
        <v>15341.992826003174</v>
      </c>
      <c r="H404" s="5" t="s">
        <v>849</v>
      </c>
      <c r="I404" s="7">
        <v>1040200</v>
      </c>
      <c r="J404" s="8">
        <v>3.5200000000000002E-2</v>
      </c>
    </row>
    <row r="405" spans="1:10" x14ac:dyDescent="0.25">
      <c r="A405" s="5" t="s">
        <v>837</v>
      </c>
      <c r="B405" s="5" t="s">
        <v>850</v>
      </c>
      <c r="C405" s="6" t="str">
        <f>_xll.QS.CONTEXT.CREATE("market.403",A405,"USD","SOFR")</f>
        <v>QSObject:PricingContext:w1~market.403:20574</v>
      </c>
      <c r="D405" s="6" t="str">
        <f>_xll.QS.CONTEXT.ADD.CURVE(C405,"SOFR",$K$2:$K$7,$L$2:$L$7,,,"Actual360","LogLinear",TRUE)</f>
        <v>QSObject:ContextInput:w1~input.qs_context_add_curve.2359132437744.404.3.0:39509</v>
      </c>
      <c r="E405" s="6" t="str">
        <f>_xll.QS.INSTRUMENT.SWAP("swap.403",H405,B405,"USD","SOFR",I405,J405,0,"Actual360","Simple","Annual","Annual","Annual")</f>
        <v>QSObject:Swap:w1~swap.403:20573</v>
      </c>
      <c r="F405" s="6" t="str">
        <f>_xll.QS.TRADE.CREATE("trade.403",E405,A405,"Receive")</f>
        <v>QSObject:SwapTrade:w1~trade.403:30656</v>
      </c>
      <c r="G405" s="3">
        <f>_xll.QS.EVALUATE(C405,F405)</f>
        <v>15783.726713915385</v>
      </c>
      <c r="H405" s="5" t="s">
        <v>851</v>
      </c>
      <c r="I405" s="7">
        <v>1040300</v>
      </c>
      <c r="J405" s="8">
        <v>3.5299999999999998E-2</v>
      </c>
    </row>
    <row r="406" spans="1:10" x14ac:dyDescent="0.25">
      <c r="A406" s="5" t="s">
        <v>839</v>
      </c>
      <c r="B406" s="5" t="s">
        <v>852</v>
      </c>
      <c r="C406" s="6" t="str">
        <f>_xll.QS.CONTEXT.CREATE("market.404",A406,"USD","SOFR")</f>
        <v>QSObject:PricingContext:w1~market.404:20572</v>
      </c>
      <c r="D406" s="6" t="str">
        <f>_xll.QS.CONTEXT.ADD.CURVE(C406,"SOFR",$K$2:$K$7,$L$2:$L$7,,,"Actual360","LogLinear",TRUE)</f>
        <v>QSObject:ContextInput:w1~input.qs_context_add_curve.2359132437744.405.3.0:39508</v>
      </c>
      <c r="E406" s="6" t="str">
        <f>_xll.QS.INSTRUMENT.SWAP("swap.404",H406,B406,"USD","SOFR",I406,J406,0,"Actual360","Simple","Annual","Annual","Annual")</f>
        <v>QSObject:Swap:w1~swap.404:20571</v>
      </c>
      <c r="F406" s="6" t="str">
        <f>_xll.QS.TRADE.CREATE("trade.404",E406,A406,"Receive")</f>
        <v>QSObject:SwapTrade:w1~trade.404:30655</v>
      </c>
      <c r="G406" s="3">
        <f>_xll.QS.EVALUATE(C406,F406)</f>
        <v>16191.065732457602</v>
      </c>
      <c r="H406" s="5" t="s">
        <v>853</v>
      </c>
      <c r="I406" s="7">
        <v>1040400</v>
      </c>
      <c r="J406" s="8">
        <v>3.5400000000000001E-2</v>
      </c>
    </row>
    <row r="407" spans="1:10" x14ac:dyDescent="0.25">
      <c r="A407" s="5" t="s">
        <v>841</v>
      </c>
      <c r="B407" s="5" t="s">
        <v>854</v>
      </c>
      <c r="C407" s="6" t="str">
        <f>_xll.QS.CONTEXT.CREATE("market.405",A407,"USD","SOFR")</f>
        <v>QSObject:PricingContext:w1~market.405:20570</v>
      </c>
      <c r="D407" s="6" t="str">
        <f>_xll.QS.CONTEXT.ADD.CURVE(C407,"SOFR",$K$2:$K$7,$L$2:$L$7,,,"Actual360","LogLinear",TRUE)</f>
        <v>QSObject:ContextInput:w1~input.qs_context_add_curve.2359132437744.406.3.0:39507</v>
      </c>
      <c r="E407" s="6" t="str">
        <f>_xll.QS.INSTRUMENT.SWAP("swap.405",H407,B407,"USD","SOFR",I407,J407,0,"Actual360","Simple","Annual","Annual","Annual")</f>
        <v>QSObject:Swap:w1~swap.405:20569</v>
      </c>
      <c r="F407" s="6" t="str">
        <f>_xll.QS.TRADE.CREATE("trade.405",E407,A407,"Receive")</f>
        <v>QSObject:SwapTrade:w1~trade.405:30654</v>
      </c>
      <c r="G407" s="3">
        <f>_xll.QS.EVALUATE(C407,F407)</f>
        <v>16548.063630272474</v>
      </c>
      <c r="H407" s="5" t="s">
        <v>855</v>
      </c>
      <c r="I407" s="7">
        <v>1040500</v>
      </c>
      <c r="J407" s="8">
        <v>3.5499999999999997E-2</v>
      </c>
    </row>
    <row r="408" spans="1:10" x14ac:dyDescent="0.25">
      <c r="A408" s="5" t="s">
        <v>843</v>
      </c>
      <c r="B408" s="5" t="s">
        <v>856</v>
      </c>
      <c r="C408" s="6" t="str">
        <f>_xll.QS.CONTEXT.CREATE("market.406",A408,"USD","SOFR")</f>
        <v>QSObject:PricingContext:w1~market.406:20568</v>
      </c>
      <c r="D408" s="6" t="str">
        <f>_xll.QS.CONTEXT.ADD.CURVE(C408,"SOFR",$K$2:$K$7,$L$2:$L$7,,,"Actual360","LogLinear",TRUE)</f>
        <v>QSObject:ContextInput:w1~input.qs_context_add_curve.2359132437744.407.3.0:39506</v>
      </c>
      <c r="E408" s="6" t="str">
        <f>_xll.QS.INSTRUMENT.SWAP("swap.406",H408,B408,"USD","SOFR",I408,J408,0,"Actual360","Simple","Annual","Annual","Annual")</f>
        <v>QSObject:Swap:w1~swap.406:20567</v>
      </c>
      <c r="F408" s="6" t="str">
        <f>_xll.QS.TRADE.CREATE("trade.406",E408,A408,"Receive")</f>
        <v>QSObject:SwapTrade:w1~trade.406:30653</v>
      </c>
      <c r="G408" s="3">
        <f>_xll.QS.EVALUATE(C408,F408)</f>
        <v>17073.643824606956</v>
      </c>
      <c r="H408" s="5" t="s">
        <v>857</v>
      </c>
      <c r="I408" s="7">
        <v>1040600</v>
      </c>
      <c r="J408" s="8">
        <v>3.5600000000000007E-2</v>
      </c>
    </row>
    <row r="409" spans="1:10" x14ac:dyDescent="0.25">
      <c r="A409" s="5" t="s">
        <v>845</v>
      </c>
      <c r="B409" s="5" t="s">
        <v>858</v>
      </c>
      <c r="C409" s="6" t="str">
        <f>_xll.QS.CONTEXT.CREATE("market.407",A409,"USD","SOFR")</f>
        <v>QSObject:PricingContext:w1~market.407:20566</v>
      </c>
      <c r="D409" s="6" t="str">
        <f>_xll.QS.CONTEXT.ADD.CURVE(C409,"SOFR",$K$2:$K$7,$L$2:$L$7,,,"Actual360","LogLinear",TRUE)</f>
        <v>QSObject:ContextInput:w1~input.qs_context_add_curve.2359132437744.408.3.0:39505</v>
      </c>
      <c r="E409" s="6" t="str">
        <f>_xll.QS.INSTRUMENT.SWAP("swap.407",H409,B409,"USD","SOFR",I409,J409,0,"Actual360","Simple","Annual","Annual","Annual")</f>
        <v>QSObject:Swap:w1~swap.407:20565</v>
      </c>
      <c r="F409" s="6" t="str">
        <f>_xll.QS.TRADE.CREATE("trade.407",E409,A409,"Receive")</f>
        <v>QSObject:SwapTrade:w1~trade.407:30652</v>
      </c>
      <c r="G409" s="3">
        <f>_xll.QS.EVALUATE(C409,F409)</f>
        <v>17597.65579761747</v>
      </c>
      <c r="H409" s="5" t="s">
        <v>859</v>
      </c>
      <c r="I409" s="7">
        <v>1040700</v>
      </c>
      <c r="J409" s="8">
        <v>3.5700000000000003E-2</v>
      </c>
    </row>
    <row r="410" spans="1:10" x14ac:dyDescent="0.25">
      <c r="A410" s="5" t="s">
        <v>847</v>
      </c>
      <c r="B410" s="5" t="s">
        <v>860</v>
      </c>
      <c r="C410" s="6" t="str">
        <f>_xll.QS.CONTEXT.CREATE("market.408",A410,"USD","SOFR")</f>
        <v>QSObject:PricingContext:w1~market.408:20564</v>
      </c>
      <c r="D410" s="6" t="str">
        <f>_xll.QS.CONTEXT.ADD.CURVE(C410,"SOFR",$K$2:$K$7,$L$2:$L$7,,,"Actual360","LogLinear",TRUE)</f>
        <v>QSObject:ContextInput:w1~input.qs_context_add_curve.2359132437744.409.3.0:39504</v>
      </c>
      <c r="E410" s="6" t="str">
        <f>_xll.QS.INSTRUMENT.SWAP("swap.408",H410,B410,"USD","SOFR",I410,J410,0,"Actual360","Simple","Annual","Annual","Annual")</f>
        <v>QSObject:Swap:w1~swap.408:20563</v>
      </c>
      <c r="F410" s="6" t="str">
        <f>_xll.QS.TRADE.CREATE("trade.408",E410,A410,"Receive")</f>
        <v>QSObject:SwapTrade:w1~trade.408:30651</v>
      </c>
      <c r="G410" s="3">
        <f>_xll.QS.EVALUATE(C410,F410)</f>
        <v>18224.027216827177</v>
      </c>
      <c r="H410" s="5" t="s">
        <v>861</v>
      </c>
      <c r="I410" s="7">
        <v>1040800</v>
      </c>
      <c r="J410" s="8">
        <v>3.5800000000000012E-2</v>
      </c>
    </row>
    <row r="411" spans="1:10" x14ac:dyDescent="0.25">
      <c r="A411" s="5" t="s">
        <v>849</v>
      </c>
      <c r="B411" s="5" t="s">
        <v>862</v>
      </c>
      <c r="C411" s="6" t="str">
        <f>_xll.QS.CONTEXT.CREATE("market.409",A411,"USD","SOFR")</f>
        <v>QSObject:PricingContext:w1~market.409:20562</v>
      </c>
      <c r="D411" s="6" t="str">
        <f>_xll.QS.CONTEXT.ADD.CURVE(C411,"SOFR",$K$2:$K$7,$L$2:$L$7,,,"Actual360","LogLinear",TRUE)</f>
        <v>QSObject:ContextInput:w1~input.qs_context_add_curve.2359132437744.410.3.0:39503</v>
      </c>
      <c r="E411" s="6" t="str">
        <f>_xll.QS.INSTRUMENT.SWAP("swap.409",H411,B411,"USD","SOFR",I411,J411,0,"Actual360","Simple","Annual","Annual","Annual")</f>
        <v>QSObject:Swap:w1~swap.409:20561</v>
      </c>
      <c r="F411" s="6" t="str">
        <f>_xll.QS.TRADE.CREATE("trade.409",E411,A411,"Receive")</f>
        <v>QSObject:SwapTrade:w1~trade.409:30650</v>
      </c>
      <c r="G411" s="3">
        <f>_xll.QS.EVALUATE(C411,F411)</f>
        <v>18715.767985973092</v>
      </c>
      <c r="H411" s="5" t="s">
        <v>863</v>
      </c>
      <c r="I411" s="7">
        <v>1040900</v>
      </c>
      <c r="J411" s="8">
        <v>3.5900000000000001E-2</v>
      </c>
    </row>
    <row r="412" spans="1:10" x14ac:dyDescent="0.25">
      <c r="A412" s="5" t="s">
        <v>851</v>
      </c>
      <c r="B412" s="5" t="s">
        <v>864</v>
      </c>
      <c r="C412" s="6" t="str">
        <f>_xll.QS.CONTEXT.CREATE("market.410",A412,"USD","SOFR")</f>
        <v>QSObject:PricingContext:w1~market.410:20560</v>
      </c>
      <c r="D412" s="6" t="str">
        <f>_xll.QS.CONTEXT.ADD.CURVE(C412,"SOFR",$K$2:$K$7,$L$2:$L$7,,,"Actual360","LogLinear",TRUE)</f>
        <v>QSObject:ContextInput:w1~input.qs_context_add_curve.2359132437744.411.3.0:39502</v>
      </c>
      <c r="E412" s="6" t="str">
        <f>_xll.QS.INSTRUMENT.SWAP("swap.410",H412,B412,"USD","SOFR",I412,J412,0,"Actual360","Simple","Annual","Annual","Annual")</f>
        <v>QSObject:Swap:w1~swap.410:20559</v>
      </c>
      <c r="F412" s="6" t="str">
        <f>_xll.QS.TRADE.CREATE("trade.410",E412,A412,"Receive")</f>
        <v>QSObject:SwapTrade:w1~trade.410:30649</v>
      </c>
      <c r="G412" s="3">
        <f>_xll.QS.EVALUATE(C412,F412)</f>
        <v>19197.432336526821</v>
      </c>
      <c r="H412" s="5" t="s">
        <v>865</v>
      </c>
      <c r="I412" s="7">
        <v>1041000</v>
      </c>
      <c r="J412" s="8">
        <v>3.5999999999999997E-2</v>
      </c>
    </row>
    <row r="413" spans="1:10" x14ac:dyDescent="0.25">
      <c r="A413" s="5" t="s">
        <v>853</v>
      </c>
      <c r="B413" s="5" t="s">
        <v>866</v>
      </c>
      <c r="C413" s="6" t="str">
        <f>_xll.QS.CONTEXT.CREATE("market.411",A413,"USD","SOFR")</f>
        <v>QSObject:PricingContext:w1~market.411:20558</v>
      </c>
      <c r="D413" s="6" t="str">
        <f>_xll.QS.CONTEXT.ADD.CURVE(C413,"SOFR",$K$2:$K$7,$L$2:$L$7,,,"Actual360","LogLinear",TRUE)</f>
        <v>QSObject:ContextInput:w1~input.qs_context_add_curve.2359132437744.412.3.0:39501</v>
      </c>
      <c r="E413" s="6" t="str">
        <f>_xll.QS.INSTRUMENT.SWAP("swap.411",H413,B413,"USD","SOFR",I413,J413,0,"Actual360","Simple","Annual","Annual","Annual")</f>
        <v>QSObject:Swap:w1~swap.411:20557</v>
      </c>
      <c r="F413" s="6" t="str">
        <f>_xll.QS.TRADE.CREATE("trade.411",E413,A413,"Receive")</f>
        <v>QSObject:SwapTrade:w1~trade.411:30648</v>
      </c>
      <c r="G413" s="3">
        <f>_xll.QS.EVALUATE(C413,F413)</f>
        <v>19612.219699120731</v>
      </c>
      <c r="H413" s="5" t="s">
        <v>867</v>
      </c>
      <c r="I413" s="7">
        <v>1041100</v>
      </c>
      <c r="J413" s="8">
        <v>3.61E-2</v>
      </c>
    </row>
    <row r="414" spans="1:10" x14ac:dyDescent="0.25">
      <c r="A414" s="5" t="s">
        <v>855</v>
      </c>
      <c r="B414" s="5" t="s">
        <v>868</v>
      </c>
      <c r="C414" s="6" t="str">
        <f>_xll.QS.CONTEXT.CREATE("market.412",A414,"USD","SOFR")</f>
        <v>QSObject:PricingContext:w1~market.412:20556</v>
      </c>
      <c r="D414" s="6" t="str">
        <f>_xll.QS.CONTEXT.ADD.CURVE(C414,"SOFR",$K$2:$K$7,$L$2:$L$7,,,"Actual360","LogLinear",TRUE)</f>
        <v>QSObject:ContextInput:w1~input.qs_context_add_curve.2359132437744.413.3.0:39500</v>
      </c>
      <c r="E414" s="6" t="str">
        <f>_xll.QS.INSTRUMENT.SWAP("swap.412",H414,B414,"USD","SOFR",I414,J414,0,"Actual360","Simple","Annual","Annual","Annual")</f>
        <v>QSObject:Swap:w1~swap.412:20555</v>
      </c>
      <c r="F414" s="6" t="str">
        <f>_xll.QS.TRADE.CREATE("trade.412",E414,A414,"Receive")</f>
        <v>QSObject:SwapTrade:w1~trade.412:30647</v>
      </c>
      <c r="G414" s="3">
        <f>_xll.QS.EVALUATE(C414,F414)</f>
        <v>20006.481612213789</v>
      </c>
      <c r="H414" s="5" t="s">
        <v>869</v>
      </c>
      <c r="I414" s="7">
        <v>1041200</v>
      </c>
      <c r="J414" s="8">
        <v>3.6200000000000003E-2</v>
      </c>
    </row>
    <row r="415" spans="1:10" x14ac:dyDescent="0.25">
      <c r="A415" s="5" t="s">
        <v>857</v>
      </c>
      <c r="B415" s="5" t="s">
        <v>870</v>
      </c>
      <c r="C415" s="6" t="str">
        <f>_xll.QS.CONTEXT.CREATE("market.413",A415,"USD","SOFR")</f>
        <v>QSObject:PricingContext:w1~market.413:20554</v>
      </c>
      <c r="D415" s="6" t="str">
        <f>_xll.QS.CONTEXT.ADD.CURVE(C415,"SOFR",$K$2:$K$7,$L$2:$L$7,,,"Actual360","LogLinear",TRUE)</f>
        <v>QSObject:ContextInput:w1~input.qs_context_add_curve.2359132437744.414.3.0:39499</v>
      </c>
      <c r="E415" s="6" t="str">
        <f>_xll.QS.INSTRUMENT.SWAP("swap.413",H415,B415,"USD","SOFR",I415,J415,0,"Actual360","Simple","Annual","Annual","Annual")</f>
        <v>QSObject:Swap:w1~swap.413:20553</v>
      </c>
      <c r="F415" s="6" t="str">
        <f>_xll.QS.TRADE.CREATE("trade.413",E415,A415,"Receive")</f>
        <v>QSObject:SwapTrade:w1~trade.413:30646</v>
      </c>
      <c r="G415" s="3">
        <f>_xll.QS.EVALUATE(C415,F415)</f>
        <v>20490.264693299661</v>
      </c>
      <c r="H415" s="5" t="s">
        <v>871</v>
      </c>
      <c r="I415" s="7">
        <v>1041300</v>
      </c>
      <c r="J415" s="8">
        <v>3.6300000000000013E-2</v>
      </c>
    </row>
    <row r="416" spans="1:10" x14ac:dyDescent="0.25">
      <c r="A416" s="5" t="s">
        <v>859</v>
      </c>
      <c r="B416" s="5" t="s">
        <v>872</v>
      </c>
      <c r="C416" s="6" t="str">
        <f>_xll.QS.CONTEXT.CREATE("market.414",A416,"USD","SOFR")</f>
        <v>QSObject:PricingContext:w1~market.414:20552</v>
      </c>
      <c r="D416" s="6" t="str">
        <f>_xll.QS.CONTEXT.ADD.CURVE(C416,"SOFR",$K$2:$K$7,$L$2:$L$7,,,"Actual360","LogLinear",TRUE)</f>
        <v>QSObject:ContextInput:w1~input.qs_context_add_curve.2359132437744.415.3.0:39498</v>
      </c>
      <c r="E416" s="6" t="str">
        <f>_xll.QS.INSTRUMENT.SWAP("swap.414",H416,B416,"USD","SOFR",I416,J416,0,"Actual360","Simple","Annual","Annual","Annual")</f>
        <v>QSObject:Swap:w1~swap.414:20551</v>
      </c>
      <c r="F416" s="6" t="str">
        <f>_xll.QS.TRADE.CREATE("trade.414",E416,A416,"Receive")</f>
        <v>QSObject:SwapTrade:w1~trade.414:30645</v>
      </c>
      <c r="G416" s="3">
        <f>_xll.QS.EVALUATE(C416,F416)</f>
        <v>21001.543965040153</v>
      </c>
      <c r="H416" s="5" t="s">
        <v>873</v>
      </c>
      <c r="I416" s="7">
        <v>1041400</v>
      </c>
      <c r="J416" s="8">
        <v>3.6400000000000002E-2</v>
      </c>
    </row>
    <row r="417" spans="1:10" x14ac:dyDescent="0.25">
      <c r="A417" s="5" t="s">
        <v>861</v>
      </c>
      <c r="B417" s="5" t="s">
        <v>874</v>
      </c>
      <c r="C417" s="6" t="str">
        <f>_xll.QS.CONTEXT.CREATE("market.415",A417,"USD","SOFR")</f>
        <v>QSObject:PricingContext:w1~market.415:20550</v>
      </c>
      <c r="D417" s="6" t="str">
        <f>_xll.QS.CONTEXT.ADD.CURVE(C417,"SOFR",$K$2:$K$7,$L$2:$L$7,,,"Actual360","LogLinear",TRUE)</f>
        <v>QSObject:ContextInput:w1~input.qs_context_add_curve.2359132437744.416.3.0:39497</v>
      </c>
      <c r="E417" s="6" t="str">
        <f>_xll.QS.INSTRUMENT.SWAP("swap.415",H417,B417,"USD","SOFR",I417,J417,0,"Actual360","Simple","Annual","Annual","Annual")</f>
        <v>QSObject:Swap:w1~swap.415:20549</v>
      </c>
      <c r="F417" s="6" t="str">
        <f>_xll.QS.TRADE.CREATE("trade.415",E417,A417,"Receive")</f>
        <v>QSObject:SwapTrade:w1~trade.415:30644</v>
      </c>
      <c r="G417" s="3">
        <f>_xll.QS.EVALUATE(C417,F417)</f>
        <v>21560.011394765406</v>
      </c>
      <c r="H417" s="5" t="s">
        <v>875</v>
      </c>
      <c r="I417" s="7">
        <v>1041500</v>
      </c>
      <c r="J417" s="8">
        <v>3.6499999999999998E-2</v>
      </c>
    </row>
    <row r="418" spans="1:10" x14ac:dyDescent="0.25">
      <c r="A418" s="5" t="s">
        <v>863</v>
      </c>
      <c r="B418" s="5" t="s">
        <v>876</v>
      </c>
      <c r="C418" s="6" t="str">
        <f>_xll.QS.CONTEXT.CREATE("market.416",A418,"USD","SOFR")</f>
        <v>QSObject:PricingContext:w1~market.416:20548</v>
      </c>
      <c r="D418" s="6" t="str">
        <f>_xll.QS.CONTEXT.ADD.CURVE(C418,"SOFR",$K$2:$K$7,$L$2:$L$7,,,"Actual360","LogLinear",TRUE)</f>
        <v>QSObject:ContextInput:w1~input.qs_context_add_curve.2359132437744.417.3.0:39496</v>
      </c>
      <c r="E418" s="6" t="str">
        <f>_xll.QS.INSTRUMENT.SWAP("swap.416",H418,B418,"USD","SOFR",I418,J418,0,"Actual360","Simple","Annual","Annual","Annual")</f>
        <v>QSObject:Swap:w1~swap.416:20547</v>
      </c>
      <c r="F418" s="6" t="str">
        <f>_xll.QS.TRADE.CREATE("trade.416",E418,A418,"Receive")</f>
        <v>QSObject:SwapTrade:w1~trade.416:30643</v>
      </c>
      <c r="G418" s="3">
        <f>_xll.QS.EVALUATE(C418,F418)</f>
        <v>22087.949856704083</v>
      </c>
      <c r="H418" s="5" t="s">
        <v>877</v>
      </c>
      <c r="I418" s="7">
        <v>1041600</v>
      </c>
      <c r="J418" s="8">
        <v>3.6600000000000001E-2</v>
      </c>
    </row>
    <row r="419" spans="1:10" x14ac:dyDescent="0.25">
      <c r="A419" s="5" t="s">
        <v>865</v>
      </c>
      <c r="B419" s="5" t="s">
        <v>878</v>
      </c>
      <c r="C419" s="6" t="str">
        <f>_xll.QS.CONTEXT.CREATE("market.417",A419,"USD","SOFR")</f>
        <v>QSObject:PricingContext:w1~market.417:20546</v>
      </c>
      <c r="D419" s="6" t="str">
        <f>_xll.QS.CONTEXT.ADD.CURVE(C419,"SOFR",$K$2:$K$7,$L$2:$L$7,,,"Actual360","LogLinear",TRUE)</f>
        <v>QSObject:ContextInput:w1~input.qs_context_add_curve.2359132437744.418.3.0:39495</v>
      </c>
      <c r="E419" s="6" t="str">
        <f>_xll.QS.INSTRUMENT.SWAP("swap.417",H419,B419,"USD","SOFR",I419,J419,0,"Actual360","Simple","Annual","Annual","Annual")</f>
        <v>QSObject:Swap:w1~swap.417:20545</v>
      </c>
      <c r="F419" s="6" t="str">
        <f>_xll.QS.TRADE.CREATE("trade.417",E419,A419,"Receive")</f>
        <v>QSObject:SwapTrade:w1~trade.417:30642</v>
      </c>
      <c r="G419" s="3">
        <f>_xll.QS.EVALUATE(C419,F419)</f>
        <v>22502.06522766898</v>
      </c>
      <c r="H419" s="5" t="s">
        <v>879</v>
      </c>
      <c r="I419" s="7">
        <v>1041700</v>
      </c>
      <c r="J419" s="8">
        <v>3.6700000000000003E-2</v>
      </c>
    </row>
    <row r="420" spans="1:10" x14ac:dyDescent="0.25">
      <c r="A420" s="5" t="s">
        <v>867</v>
      </c>
      <c r="B420" s="5" t="s">
        <v>880</v>
      </c>
      <c r="C420" s="6" t="str">
        <f>_xll.QS.CONTEXT.CREATE("market.418",A420,"USD","SOFR")</f>
        <v>QSObject:PricingContext:w1~market.418:20544</v>
      </c>
      <c r="D420" s="6" t="str">
        <f>_xll.QS.CONTEXT.ADD.CURVE(C420,"SOFR",$K$2:$K$7,$L$2:$L$7,,,"Actual360","LogLinear",TRUE)</f>
        <v>QSObject:ContextInput:w1~input.qs_context_add_curve.2359132437744.419.3.0:39494</v>
      </c>
      <c r="E420" s="6" t="str">
        <f>_xll.QS.INSTRUMENT.SWAP("swap.418",H420,B420,"USD","SOFR",I420,J420,0,"Actual360","Simple","Annual","Annual","Annual")</f>
        <v>QSObject:Swap:w1~swap.418:20543</v>
      </c>
      <c r="F420" s="6" t="str">
        <f>_xll.QS.TRADE.CREATE("trade.418",E420,A420,"Receive")</f>
        <v>QSObject:SwapTrade:w1~trade.418:30641</v>
      </c>
      <c r="G420" s="3">
        <f>_xll.QS.EVALUATE(C420,F420)</f>
        <v>22857.371618704772</v>
      </c>
      <c r="H420" s="5" t="s">
        <v>881</v>
      </c>
      <c r="I420" s="7">
        <v>1041800</v>
      </c>
      <c r="J420" s="8">
        <v>3.6800000000000013E-2</v>
      </c>
    </row>
    <row r="421" spans="1:10" x14ac:dyDescent="0.25">
      <c r="A421" s="5" t="s">
        <v>869</v>
      </c>
      <c r="B421" s="5" t="s">
        <v>882</v>
      </c>
      <c r="C421" s="6" t="str">
        <f>_xll.QS.CONTEXT.CREATE("market.419",A421,"USD","SOFR")</f>
        <v>QSObject:PricingContext:w1~market.419:20542</v>
      </c>
      <c r="D421" s="6" t="str">
        <f>_xll.QS.CONTEXT.ADD.CURVE(C421,"SOFR",$K$2:$K$7,$L$2:$L$7,,,"Actual360","LogLinear",TRUE)</f>
        <v>QSObject:ContextInput:w1~input.qs_context_add_curve.2359132437744.420.3.0:39493</v>
      </c>
      <c r="E421" s="6" t="str">
        <f>_xll.QS.INSTRUMENT.SWAP("swap.419",H421,B421,"USD","SOFR",I421,J421,0,"Actual360","Simple","Annual","Annual","Annual")</f>
        <v>QSObject:Swap:w1~swap.419:20541</v>
      </c>
      <c r="F421" s="6" t="str">
        <f>_xll.QS.TRADE.CREATE("trade.419",E421,A421,"Receive")</f>
        <v>QSObject:SwapTrade:w1~trade.419:30640</v>
      </c>
      <c r="G421" s="3">
        <f>_xll.QS.EVALUATE(C421,F421)</f>
        <v>23341.985298888285</v>
      </c>
      <c r="H421" s="5" t="s">
        <v>883</v>
      </c>
      <c r="I421" s="7">
        <v>1041900</v>
      </c>
      <c r="J421" s="8">
        <v>3.6900000000000002E-2</v>
      </c>
    </row>
    <row r="422" spans="1:10" x14ac:dyDescent="0.25">
      <c r="A422" s="5" t="s">
        <v>871</v>
      </c>
      <c r="B422" s="5" t="s">
        <v>884</v>
      </c>
      <c r="C422" s="6" t="str">
        <f>_xll.QS.CONTEXT.CREATE("market.420",A422,"USD","SOFR")</f>
        <v>QSObject:PricingContext:w1~market.420:20540</v>
      </c>
      <c r="D422" s="6" t="str">
        <f>_xll.QS.CONTEXT.ADD.CURVE(C422,"SOFR",$K$2:$K$7,$L$2:$L$7,,,"Actual360","LogLinear",TRUE)</f>
        <v>QSObject:ContextInput:w1~input.qs_context_add_curve.2359132437744.421.3.0:39492</v>
      </c>
      <c r="E422" s="6" t="str">
        <f>_xll.QS.INSTRUMENT.SWAP("swap.420",H422,B422,"USD","SOFR",I422,J422,0,"Actual360","Simple","Annual","Annual","Annual")</f>
        <v>QSObject:Swap:w1~swap.420:20539</v>
      </c>
      <c r="F422" s="6" t="str">
        <f>_xll.QS.TRADE.CREATE("trade.420",E422,A422,"Receive")</f>
        <v>QSObject:SwapTrade:w1~trade.420:30639</v>
      </c>
      <c r="G422" s="3">
        <f>_xll.QS.EVALUATE(C422,F422)</f>
        <v>23868.438975989509</v>
      </c>
      <c r="H422" s="5" t="s">
        <v>885</v>
      </c>
      <c r="I422" s="7">
        <v>1042000</v>
      </c>
      <c r="J422" s="8">
        <v>3.7000000000000012E-2</v>
      </c>
    </row>
    <row r="423" spans="1:10" x14ac:dyDescent="0.25">
      <c r="A423" s="5" t="s">
        <v>873</v>
      </c>
      <c r="B423" s="5" t="s">
        <v>886</v>
      </c>
      <c r="C423" s="6" t="str">
        <f>_xll.QS.CONTEXT.CREATE("market.421",A423,"USD","SOFR")</f>
        <v>QSObject:PricingContext:w1~market.421:20538</v>
      </c>
      <c r="D423" s="6" t="str">
        <f>_xll.QS.CONTEXT.ADD.CURVE(C423,"SOFR",$K$2:$K$7,$L$2:$L$7,,,"Actual360","LogLinear",TRUE)</f>
        <v>QSObject:ContextInput:w1~input.qs_context_add_curve.2359132437744.422.3.0:39491</v>
      </c>
      <c r="E423" s="6" t="str">
        <f>_xll.QS.INSTRUMENT.SWAP("swap.421",H423,B423,"USD","SOFR",I423,J423,0,"Actual360","Simple","Annual","Annual","Annual")</f>
        <v>QSObject:Swap:w1~swap.421:20537</v>
      </c>
      <c r="F423" s="6" t="str">
        <f>_xll.QS.TRADE.CREATE("trade.421",E423,A423,"Receive")</f>
        <v>QSObject:SwapTrade:w1~trade.421:30638</v>
      </c>
      <c r="G423" s="3">
        <f>_xll.QS.EVALUATE(C423,F423)</f>
        <v>24467.675001341049</v>
      </c>
      <c r="H423" s="5" t="s">
        <v>887</v>
      </c>
      <c r="I423" s="7">
        <v>1042100</v>
      </c>
      <c r="J423" s="8">
        <v>3.7100000000000001E-2</v>
      </c>
    </row>
    <row r="424" spans="1:10" x14ac:dyDescent="0.25">
      <c r="A424" s="5" t="s">
        <v>875</v>
      </c>
      <c r="B424" s="5" t="s">
        <v>888</v>
      </c>
      <c r="C424" s="6" t="str">
        <f>_xll.QS.CONTEXT.CREATE("market.422",A424,"USD","SOFR")</f>
        <v>QSObject:PricingContext:w1~market.422:20536</v>
      </c>
      <c r="D424" s="6" t="str">
        <f>_xll.QS.CONTEXT.ADD.CURVE(C424,"SOFR",$K$2:$K$7,$L$2:$L$7,,,"Actual360","LogLinear",TRUE)</f>
        <v>QSObject:ContextInput:w1~input.qs_context_add_curve.2359132437744.423.3.0:39490</v>
      </c>
      <c r="E424" s="6" t="str">
        <f>_xll.QS.INSTRUMENT.SWAP("swap.422",H424,B424,"USD","SOFR",I424,J424,0,"Actual360","Simple","Annual","Annual","Annual")</f>
        <v>QSObject:Swap:w1~swap.422:20535</v>
      </c>
      <c r="F424" s="6" t="str">
        <f>_xll.QS.TRADE.CREATE("trade.422",E424,A424,"Receive")</f>
        <v>QSObject:SwapTrade:w1~trade.422:30637</v>
      </c>
      <c r="G424" s="3">
        <f>_xll.QS.EVALUATE(C424,F424)</f>
        <v>24950.88135659074</v>
      </c>
      <c r="H424" s="5" t="s">
        <v>889</v>
      </c>
      <c r="I424" s="7">
        <v>1042200</v>
      </c>
      <c r="J424" s="8">
        <v>3.7199999999999997E-2</v>
      </c>
    </row>
    <row r="425" spans="1:10" x14ac:dyDescent="0.25">
      <c r="A425" s="5" t="s">
        <v>877</v>
      </c>
      <c r="B425" s="5" t="s">
        <v>890</v>
      </c>
      <c r="C425" s="6" t="str">
        <f>_xll.QS.CONTEXT.CREATE("market.423",A425,"USD","SOFR")</f>
        <v>QSObject:PricingContext:w1~market.423:20534</v>
      </c>
      <c r="D425" s="6" t="str">
        <f>_xll.QS.CONTEXT.ADD.CURVE(C425,"SOFR",$K$2:$K$7,$L$2:$L$7,,,"Actual360","LogLinear",TRUE)</f>
        <v>QSObject:ContextInput:w1~input.qs_context_add_curve.2359132437744.424.3.0:39489</v>
      </c>
      <c r="E425" s="6" t="str">
        <f>_xll.QS.INSTRUMENT.SWAP("swap.423",H425,B425,"USD","SOFR",I425,J425,0,"Actual360","Simple","Annual","Annual","Annual")</f>
        <v>QSObject:Swap:w1~swap.423:20533</v>
      </c>
      <c r="F425" s="6" t="str">
        <f>_xll.QS.TRADE.CREATE("trade.423",E425,A425,"Receive")</f>
        <v>QSObject:SwapTrade:w1~trade.423:30636</v>
      </c>
      <c r="G425" s="3">
        <f>_xll.QS.EVALUATE(C425,F425)</f>
        <v>25439.744328596189</v>
      </c>
      <c r="H425" s="5" t="s">
        <v>891</v>
      </c>
      <c r="I425" s="7">
        <v>1042300</v>
      </c>
      <c r="J425" s="8">
        <v>3.73E-2</v>
      </c>
    </row>
    <row r="426" spans="1:10" x14ac:dyDescent="0.25">
      <c r="A426" s="5" t="s">
        <v>879</v>
      </c>
      <c r="B426" s="5" t="s">
        <v>892</v>
      </c>
      <c r="C426" s="6" t="str">
        <f>_xll.QS.CONTEXT.CREATE("market.424",A426,"USD","SOFR")</f>
        <v>QSObject:PricingContext:w1~market.424:20532</v>
      </c>
      <c r="D426" s="6" t="str">
        <f>_xll.QS.CONTEXT.ADD.CURVE(C426,"SOFR",$K$2:$K$7,$L$2:$L$7,,,"Actual360","LogLinear",TRUE)</f>
        <v>QSObject:ContextInput:w1~input.qs_context_add_curve.2359132437744.425.3.0:39488</v>
      </c>
      <c r="E426" s="6" t="str">
        <f>_xll.QS.INSTRUMENT.SWAP("swap.424",H426,B426,"USD","SOFR",I426,J426,0,"Actual360","Simple","Annual","Annual","Annual")</f>
        <v>QSObject:Swap:w1~swap.424:20531</v>
      </c>
      <c r="F426" s="6" t="str">
        <f>_xll.QS.TRADE.CREATE("trade.424",E426,A426,"Receive")</f>
        <v>QSObject:SwapTrade:w1~trade.424:30635</v>
      </c>
      <c r="G426" s="3">
        <f>_xll.QS.EVALUATE(C426,F426)</f>
        <v>25923.987816318011</v>
      </c>
      <c r="H426" s="5" t="s">
        <v>893</v>
      </c>
      <c r="I426" s="7">
        <v>1042400</v>
      </c>
      <c r="J426" s="8">
        <v>3.7400000000000003E-2</v>
      </c>
    </row>
    <row r="427" spans="1:10" x14ac:dyDescent="0.25">
      <c r="A427" s="5" t="s">
        <v>881</v>
      </c>
      <c r="B427" s="5" t="s">
        <v>894</v>
      </c>
      <c r="C427" s="6" t="str">
        <f>_xll.QS.CONTEXT.CREATE("market.425",A427,"USD","SOFR")</f>
        <v>QSObject:PricingContext:w1~market.425:20530</v>
      </c>
      <c r="D427" s="6" t="str">
        <f>_xll.QS.CONTEXT.ADD.CURVE(C427,"SOFR",$K$2:$K$7,$L$2:$L$7,,,"Actual360","LogLinear",TRUE)</f>
        <v>QSObject:ContextInput:w1~input.qs_context_add_curve.2359132437744.426.3.0:39487</v>
      </c>
      <c r="E427" s="6" t="str">
        <f>_xll.QS.INSTRUMENT.SWAP("swap.425",H427,B427,"USD","SOFR",I427,J427,0,"Actual360","Simple","Annual","Annual","Annual")</f>
        <v>QSObject:Swap:w1~swap.425:20529</v>
      </c>
      <c r="F427" s="6" t="str">
        <f>_xll.QS.TRADE.CREATE("trade.425",E427,A427,"Receive")</f>
        <v>QSObject:SwapTrade:w1~trade.425:30634</v>
      </c>
      <c r="G427" s="3">
        <f>_xll.QS.EVALUATE(C427,F427)</f>
        <v>26279.093419494511</v>
      </c>
      <c r="H427" s="5" t="s">
        <v>895</v>
      </c>
      <c r="I427" s="7">
        <v>1042500</v>
      </c>
      <c r="J427" s="8">
        <v>3.7500000000000012E-2</v>
      </c>
    </row>
    <row r="428" spans="1:10" x14ac:dyDescent="0.25">
      <c r="A428" s="5" t="s">
        <v>883</v>
      </c>
      <c r="B428" s="5" t="s">
        <v>896</v>
      </c>
      <c r="C428" s="6" t="str">
        <f>_xll.QS.CONTEXT.CREATE("market.426",A428,"USD","SOFR")</f>
        <v>QSObject:PricingContext:w1~market.426:20528</v>
      </c>
      <c r="D428" s="6" t="str">
        <f>_xll.QS.CONTEXT.ADD.CURVE(C428,"SOFR",$K$2:$K$7,$L$2:$L$7,,,"Actual360","LogLinear",TRUE)</f>
        <v>QSObject:ContextInput:w1~input.qs_context_add_curve.2359132437744.427.3.0:39486</v>
      </c>
      <c r="E428" s="6" t="str">
        <f>_xll.QS.INSTRUMENT.SWAP("swap.426",H428,B428,"USD","SOFR",I428,J428,0,"Actual360","Simple","Annual","Annual","Annual")</f>
        <v>QSObject:Swap:w1~swap.426:20527</v>
      </c>
      <c r="F428" s="6" t="str">
        <f>_xll.QS.TRADE.CREATE("trade.426",E428,A428,"Receive")</f>
        <v>QSObject:SwapTrade:w1~trade.426:30633</v>
      </c>
      <c r="G428" s="3">
        <f>_xll.QS.EVALUATE(C428,F428)</f>
        <v>26764.645589484797</v>
      </c>
      <c r="H428" s="5" t="s">
        <v>897</v>
      </c>
      <c r="I428" s="7">
        <v>1042600</v>
      </c>
      <c r="J428" s="8">
        <v>3.7600000000000001E-2</v>
      </c>
    </row>
    <row r="429" spans="1:10" x14ac:dyDescent="0.25">
      <c r="A429" s="5" t="s">
        <v>885</v>
      </c>
      <c r="B429" s="5" t="s">
        <v>898</v>
      </c>
      <c r="C429" s="6" t="str">
        <f>_xll.QS.CONTEXT.CREATE("market.427",A429,"USD","SOFR")</f>
        <v>QSObject:PricingContext:w1~market.427:20526</v>
      </c>
      <c r="D429" s="6" t="str">
        <f>_xll.QS.CONTEXT.ADD.CURVE(C429,"SOFR",$K$2:$K$7,$L$2:$L$7,,,"Actual360","LogLinear",TRUE)</f>
        <v>QSObject:ContextInput:w1~input.qs_context_add_curve.2359132437744.428.3.0:39485</v>
      </c>
      <c r="E429" s="6" t="str">
        <f>_xll.QS.INSTRUMENT.SWAP("swap.427",H429,B429,"USD","SOFR",I429,J429,0,"Actual360","Simple","Annual","Annual","Annual")</f>
        <v>QSObject:Swap:w1~swap.427:20525</v>
      </c>
      <c r="F429" s="6" t="str">
        <f>_xll.QS.TRADE.CREATE("trade.427",E429,A429,"Receive")</f>
        <v>QSObject:SwapTrade:w1~trade.427:30632</v>
      </c>
      <c r="G429" s="3">
        <f>_xll.QS.EVALUATE(C429,F429)</f>
        <v>27292.140608330486</v>
      </c>
      <c r="H429" s="5" t="s">
        <v>899</v>
      </c>
      <c r="I429" s="7">
        <v>1042700</v>
      </c>
      <c r="J429" s="8">
        <v>3.7699999999999997E-2</v>
      </c>
    </row>
    <row r="430" spans="1:10" x14ac:dyDescent="0.25">
      <c r="A430" s="5" t="s">
        <v>887</v>
      </c>
      <c r="B430" s="5" t="s">
        <v>900</v>
      </c>
      <c r="C430" s="6" t="str">
        <f>_xll.QS.CONTEXT.CREATE("market.428",A430,"USD","SOFR")</f>
        <v>QSObject:PricingContext:w1~market.428:20524</v>
      </c>
      <c r="D430" s="6" t="str">
        <f>_xll.QS.CONTEXT.ADD.CURVE(C430,"SOFR",$K$2:$K$7,$L$2:$L$7,,,"Actual360","LogLinear",TRUE)</f>
        <v>QSObject:ContextInput:w1~input.qs_context_add_curve.2359132437744.429.3.0:39484</v>
      </c>
      <c r="E430" s="6" t="str">
        <f>_xll.QS.INSTRUMENT.SWAP("swap.428",H430,B430,"USD","SOFR",I430,J430,0,"Actual360","Simple","Annual","Annual","Annual")</f>
        <v>QSObject:Swap:w1~swap.428:20523</v>
      </c>
      <c r="F430" s="6" t="str">
        <f>_xll.QS.TRADE.CREATE("trade.428",E430,A430,"Receive")</f>
        <v>QSObject:SwapTrade:w1~trade.428:30631</v>
      </c>
      <c r="G430" s="3">
        <f>_xll.QS.EVALUATE(C430,F430)</f>
        <v>27852.091814717187</v>
      </c>
      <c r="H430" s="5" t="s">
        <v>901</v>
      </c>
      <c r="I430" s="7">
        <v>1042800</v>
      </c>
      <c r="J430" s="8">
        <v>3.78E-2</v>
      </c>
    </row>
    <row r="431" spans="1:10" x14ac:dyDescent="0.25">
      <c r="A431" s="5" t="s">
        <v>889</v>
      </c>
      <c r="B431" s="5" t="s">
        <v>902</v>
      </c>
      <c r="C431" s="6" t="str">
        <f>_xll.QS.CONTEXT.CREATE("market.429",A431,"USD","SOFR")</f>
        <v>QSObject:PricingContext:w1~market.429:20522</v>
      </c>
      <c r="D431" s="6" t="str">
        <f>_xll.QS.CONTEXT.ADD.CURVE(C431,"SOFR",$K$2:$K$7,$L$2:$L$7,,,"Actual360","LogLinear",TRUE)</f>
        <v>QSObject:ContextInput:w1~input.qs_context_add_curve.2359132437744.430.3.0:39483</v>
      </c>
      <c r="E431" s="6" t="str">
        <f>_xll.QS.INSTRUMENT.SWAP("swap.429",H431,B431,"USD","SOFR",I431,J431,0,"Actual360","Simple","Annual","Annual","Annual")</f>
        <v>QSObject:Swap:w1~swap.429:20521</v>
      </c>
      <c r="F431" s="6" t="str">
        <f>_xll.QS.TRADE.CREATE("trade.429",E431,A431,"Receive")</f>
        <v>QSObject:SwapTrade:w1~trade.429:30630</v>
      </c>
      <c r="G431" s="3">
        <f>_xll.QS.EVALUATE(C431,F431)</f>
        <v>28335.761684048077</v>
      </c>
      <c r="H431" s="5" t="s">
        <v>903</v>
      </c>
      <c r="I431" s="7">
        <v>1042900</v>
      </c>
      <c r="J431" s="8">
        <v>3.7900000000000003E-2</v>
      </c>
    </row>
    <row r="432" spans="1:10" x14ac:dyDescent="0.25">
      <c r="A432" s="5" t="s">
        <v>891</v>
      </c>
      <c r="B432" s="5" t="s">
        <v>904</v>
      </c>
      <c r="C432" s="6" t="str">
        <f>_xll.QS.CONTEXT.CREATE("market.430",A432,"USD","SOFR")</f>
        <v>QSObject:PricingContext:w1~market.430:20520</v>
      </c>
      <c r="D432" s="6" t="str">
        <f>_xll.QS.CONTEXT.ADD.CURVE(C432,"SOFR",$K$2:$K$7,$L$2:$L$7,,,"Actual360","LogLinear",TRUE)</f>
        <v>QSObject:ContextInput:w1~input.qs_context_add_curve.2359132437744.431.3.0:39482</v>
      </c>
      <c r="E432" s="6" t="str">
        <f>_xll.QS.INSTRUMENT.SWAP("swap.430",H432,B432,"USD","SOFR",I432,J432,0,"Actual360","Simple","Annual","Annual","Annual")</f>
        <v>QSObject:Swap:w1~swap.430:20519</v>
      </c>
      <c r="F432" s="6" t="str">
        <f>_xll.QS.TRADE.CREATE("trade.430",E432,A432,"Receive")</f>
        <v>QSObject:SwapTrade:w1~trade.430:30629</v>
      </c>
      <c r="G432" s="3">
        <f>_xll.QS.EVALUATE(C432,F432)</f>
        <v>28825.283714631463</v>
      </c>
      <c r="H432" s="5" t="s">
        <v>905</v>
      </c>
      <c r="I432" s="7">
        <v>1043000</v>
      </c>
      <c r="J432" s="8">
        <v>3.8000000000000013E-2</v>
      </c>
    </row>
    <row r="433" spans="1:10" x14ac:dyDescent="0.25">
      <c r="A433" s="5" t="s">
        <v>893</v>
      </c>
      <c r="B433" s="5" t="s">
        <v>906</v>
      </c>
      <c r="C433" s="6" t="str">
        <f>_xll.QS.CONTEXT.CREATE("market.431",A433,"USD","SOFR")</f>
        <v>QSObject:PricingContext:w1~market.431:20518</v>
      </c>
      <c r="D433" s="6" t="str">
        <f>_xll.QS.CONTEXT.ADD.CURVE(C433,"SOFR",$K$2:$K$7,$L$2:$L$7,,,"Actual360","LogLinear",TRUE)</f>
        <v>QSObject:ContextInput:w1~input.qs_context_add_curve.2359132437744.432.3.0:39481</v>
      </c>
      <c r="E433" s="6" t="str">
        <f>_xll.QS.INSTRUMENT.SWAP("swap.431",H433,B433,"USD","SOFR",I433,J433,0,"Actual360","Simple","Annual","Annual","Annual")</f>
        <v>QSObject:Swap:w1~swap.431:20517</v>
      </c>
      <c r="F433" s="6" t="str">
        <f>_xll.QS.TRADE.CREATE("trade.431",E433,A433,"Receive")</f>
        <v>QSObject:SwapTrade:w1~trade.431:30628</v>
      </c>
      <c r="G433" s="3">
        <f>_xll.QS.EVALUATE(C433,F433)</f>
        <v>29310.186527307014</v>
      </c>
      <c r="H433" s="5" t="s">
        <v>907</v>
      </c>
      <c r="I433" s="7">
        <v>1043100</v>
      </c>
      <c r="J433" s="8">
        <v>3.8100000000000002E-2</v>
      </c>
    </row>
    <row r="434" spans="1:10" x14ac:dyDescent="0.25">
      <c r="A434" s="5" t="s">
        <v>895</v>
      </c>
      <c r="B434" s="5" t="s">
        <v>908</v>
      </c>
      <c r="C434" s="6" t="str">
        <f>_xll.QS.CONTEXT.CREATE("market.432",A434,"USD","SOFR")</f>
        <v>QSObject:PricingContext:w1~market.432:20516</v>
      </c>
      <c r="D434" s="6" t="str">
        <f>_xll.QS.CONTEXT.ADD.CURVE(C434,"SOFR",$K$2:$K$7,$L$2:$L$7,,,"Actual360","LogLinear",TRUE)</f>
        <v>QSObject:ContextInput:w1~input.qs_context_add_curve.2359132437744.433.3.0:39480</v>
      </c>
      <c r="E434" s="6" t="str">
        <f>_xll.QS.INSTRUMENT.SWAP("swap.432",H434,B434,"USD","SOFR",I434,J434,0,"Actual360","Simple","Annual","Annual","Annual")</f>
        <v>QSObject:Swap:w1~swap.432:20515</v>
      </c>
      <c r="F434" s="6" t="str">
        <f>_xll.QS.TRADE.CREATE("trade.432",E434,A434,"Receive")</f>
        <v>QSObject:SwapTrade:w1~trade.432:30627</v>
      </c>
      <c r="G434" s="3">
        <f>_xll.QS.EVALUATE(C434,F434)</f>
        <v>29665.174206970525</v>
      </c>
      <c r="H434" s="5" t="s">
        <v>909</v>
      </c>
      <c r="I434" s="7">
        <v>1043200</v>
      </c>
      <c r="J434" s="8">
        <v>3.8199999999999998E-2</v>
      </c>
    </row>
    <row r="435" spans="1:10" x14ac:dyDescent="0.25">
      <c r="A435" s="5" t="s">
        <v>897</v>
      </c>
      <c r="B435" s="5" t="s">
        <v>910</v>
      </c>
      <c r="C435" s="6" t="str">
        <f>_xll.QS.CONTEXT.CREATE("market.433",A435,"USD","SOFR")</f>
        <v>QSObject:PricingContext:w1~market.433:20514</v>
      </c>
      <c r="D435" s="6" t="str">
        <f>_xll.QS.CONTEXT.ADD.CURVE(C435,"SOFR",$K$2:$K$7,$L$2:$L$7,,,"Actual360","LogLinear",TRUE)</f>
        <v>QSObject:ContextInput:w1~input.qs_context_add_curve.2359132437744.434.3.0:39479</v>
      </c>
      <c r="E435" s="6" t="str">
        <f>_xll.QS.INSTRUMENT.SWAP("swap.433",H435,B435,"USD","SOFR",I435,J435,0,"Actual360","Simple","Annual","Annual","Annual")</f>
        <v>QSObject:Swap:w1~swap.433:20513</v>
      </c>
      <c r="F435" s="6" t="str">
        <f>_xll.QS.TRADE.CREATE("trade.433",E435,A435,"Receive")</f>
        <v>QSObject:SwapTrade:w1~trade.433:30626</v>
      </c>
      <c r="G435" s="3">
        <f>_xll.QS.EVALUATE(C435,F435)</f>
        <v>30151.656108227238</v>
      </c>
      <c r="H435" s="5" t="s">
        <v>911</v>
      </c>
      <c r="I435" s="7">
        <v>1043300</v>
      </c>
      <c r="J435" s="8">
        <v>3.8300000000000001E-2</v>
      </c>
    </row>
    <row r="436" spans="1:10" x14ac:dyDescent="0.25">
      <c r="A436" s="5" t="s">
        <v>899</v>
      </c>
      <c r="B436" s="5" t="s">
        <v>912</v>
      </c>
      <c r="C436" s="6" t="str">
        <f>_xll.QS.CONTEXT.CREATE("market.434",A436,"USD","SOFR")</f>
        <v>QSObject:PricingContext:w1~market.434:20512</v>
      </c>
      <c r="D436" s="6" t="str">
        <f>_xll.QS.CONTEXT.ADD.CURVE(C436,"SOFR",$K$2:$K$7,$L$2:$L$7,,,"Actual360","LogLinear",TRUE)</f>
        <v>QSObject:ContextInput:w1~input.qs_context_add_curve.2359132437744.435.3.0:39478</v>
      </c>
      <c r="E436" s="6" t="str">
        <f>_xll.QS.INSTRUMENT.SWAP("swap.434",H436,B436,"USD","SOFR",I436,J436,0,"Actual360","Simple","Annual","Annual","Annual")</f>
        <v>QSObject:Swap:w1~swap.434:20511</v>
      </c>
      <c r="F436" s="6" t="str">
        <f>_xll.QS.TRADE.CREATE("trade.434",E436,A436,"Receive")</f>
        <v>QSObject:SwapTrade:w1~trade.434:30625</v>
      </c>
      <c r="G436" s="3">
        <f>_xll.QS.EVALUATE(C436,F436)</f>
        <v>30680.156069978944</v>
      </c>
      <c r="H436" s="5" t="s">
        <v>913</v>
      </c>
      <c r="I436" s="7">
        <v>1043400</v>
      </c>
      <c r="J436" s="8">
        <v>3.8399999999999997E-2</v>
      </c>
    </row>
    <row r="437" spans="1:10" x14ac:dyDescent="0.25">
      <c r="A437" s="5" t="s">
        <v>901</v>
      </c>
      <c r="B437" s="5" t="s">
        <v>914</v>
      </c>
      <c r="C437" s="6" t="str">
        <f>_xll.QS.CONTEXT.CREATE("market.435",A437,"USD","SOFR")</f>
        <v>QSObject:PricingContext:w1~market.435:20510</v>
      </c>
      <c r="D437" s="6" t="str">
        <f>_xll.QS.CONTEXT.ADD.CURVE(C437,"SOFR",$K$2:$K$7,$L$2:$L$7,,,"Actual360","LogLinear",TRUE)</f>
        <v>QSObject:ContextInput:w1~input.qs_context_add_curve.2359132437744.436.3.0:39477</v>
      </c>
      <c r="E437" s="6" t="str">
        <f>_xll.QS.INSTRUMENT.SWAP("swap.435",H437,B437,"USD","SOFR",I437,J437,0,"Actual360","Simple","Annual","Annual","Annual")</f>
        <v>QSObject:Swap:w1~swap.435:20509</v>
      </c>
      <c r="F437" s="6" t="str">
        <f>_xll.QS.TRADE.CREATE("trade.435",E437,A437,"Receive")</f>
        <v>QSObject:SwapTrade:w1~trade.435:30624</v>
      </c>
      <c r="G437" s="3">
        <f>_xll.QS.EVALUATE(C437,F437)</f>
        <v>31240.85437882103</v>
      </c>
      <c r="H437" s="5" t="s">
        <v>915</v>
      </c>
      <c r="I437" s="7">
        <v>1043500</v>
      </c>
      <c r="J437" s="8">
        <v>3.8500000000000013E-2</v>
      </c>
    </row>
    <row r="438" spans="1:10" x14ac:dyDescent="0.25">
      <c r="A438" s="5" t="s">
        <v>903</v>
      </c>
      <c r="B438" s="5" t="s">
        <v>916</v>
      </c>
      <c r="C438" s="6" t="str">
        <f>_xll.QS.CONTEXT.CREATE("market.436",A438,"USD","SOFR")</f>
        <v>QSObject:PricingContext:w1~market.436:20508</v>
      </c>
      <c r="D438" s="6" t="str">
        <f>_xll.QS.CONTEXT.ADD.CURVE(C438,"SOFR",$K$2:$K$7,$L$2:$L$7,,,"Actual360","LogLinear",TRUE)</f>
        <v>QSObject:ContextInput:w1~input.qs_context_add_curve.2359132437744.437.3.0:39476</v>
      </c>
      <c r="E438" s="6" t="str">
        <f>_xll.QS.INSTRUMENT.SWAP("swap.436",H438,B438,"USD","SOFR",I438,J438,0,"Actual360","Simple","Annual","Annual","Annual")</f>
        <v>QSObject:Swap:w1~swap.436:20507</v>
      </c>
      <c r="F438" s="6" t="str">
        <f>_xll.QS.TRADE.CREATE("trade.436",E438,A438,"Receive")</f>
        <v>QSObject:SwapTrade:w1~trade.436:30623</v>
      </c>
      <c r="G438" s="3">
        <f>_xll.QS.EVALUATE(C438,F438)</f>
        <v>31725.163414019458</v>
      </c>
      <c r="H438" s="5" t="s">
        <v>917</v>
      </c>
      <c r="I438" s="7">
        <v>1043600</v>
      </c>
      <c r="J438" s="8">
        <v>3.8600000000000002E-2</v>
      </c>
    </row>
    <row r="439" spans="1:10" x14ac:dyDescent="0.25">
      <c r="A439" s="5" t="s">
        <v>905</v>
      </c>
      <c r="B439" s="5" t="s">
        <v>918</v>
      </c>
      <c r="C439" s="6" t="str">
        <f>_xll.QS.CONTEXT.CREATE("market.437",A439,"USD","SOFR")</f>
        <v>QSObject:PricingContext:w1~market.437:20506</v>
      </c>
      <c r="D439" s="6" t="str">
        <f>_xll.QS.CONTEXT.ADD.CURVE(C439,"SOFR",$K$2:$K$7,$L$2:$L$7,,,"Actual360","LogLinear",TRUE)</f>
        <v>QSObject:ContextInput:w1~input.qs_context_add_curve.2359132437744.438.3.0:39475</v>
      </c>
      <c r="E439" s="6" t="str">
        <f>_xll.QS.INSTRUMENT.SWAP("swap.437",H439,B439,"USD","SOFR",I439,J439,0,"Actual360","Simple","Annual","Annual","Annual")</f>
        <v>QSObject:Swap:w1~swap.437:20505</v>
      </c>
      <c r="F439" s="6" t="str">
        <f>_xll.QS.TRADE.CREATE("trade.437",E439,A439,"Receive")</f>
        <v>QSObject:SwapTrade:w1~trade.437:30622</v>
      </c>
      <c r="G439" s="3">
        <f>_xll.QS.EVALUATE(C439,F439)</f>
        <v>32215.344515788271</v>
      </c>
      <c r="H439" s="5" t="s">
        <v>919</v>
      </c>
      <c r="I439" s="7">
        <v>1043700</v>
      </c>
      <c r="J439" s="8">
        <v>3.8700000000000012E-2</v>
      </c>
    </row>
    <row r="440" spans="1:10" x14ac:dyDescent="0.25">
      <c r="A440" s="5" t="s">
        <v>907</v>
      </c>
      <c r="B440" s="5" t="s">
        <v>920</v>
      </c>
      <c r="C440" s="6" t="str">
        <f>_xll.QS.CONTEXT.CREATE("market.438",A440,"USD","SOFR")</f>
        <v>QSObject:PricingContext:w1~market.438:20504</v>
      </c>
      <c r="D440" s="6" t="str">
        <f>_xll.QS.CONTEXT.ADD.CURVE(C440,"SOFR",$K$2:$K$7,$L$2:$L$7,,,"Actual360","LogLinear",TRUE)</f>
        <v>QSObject:ContextInput:w1~input.qs_context_add_curve.2359132437744.439.3.0:39474</v>
      </c>
      <c r="E440" s="6" t="str">
        <f>_xll.QS.INSTRUMENT.SWAP("swap.438",H440,B440,"USD","SOFR",I440,J440,0,"Actual360","Simple","Annual","Annual","Annual")</f>
        <v>QSObject:Swap:w1~swap.438:20503</v>
      </c>
      <c r="F440" s="6" t="str">
        <f>_xll.QS.TRADE.CREATE("trade.438",E440,A440,"Receive")</f>
        <v>QSObject:SwapTrade:w1~trade.438:30621</v>
      </c>
      <c r="G440" s="3">
        <f>_xll.QS.EVALUATE(C440,F440)</f>
        <v>32700.90667062813</v>
      </c>
      <c r="H440" s="5" t="s">
        <v>921</v>
      </c>
      <c r="I440" s="7">
        <v>1043800</v>
      </c>
      <c r="J440" s="8">
        <v>3.8800000000000001E-2</v>
      </c>
    </row>
    <row r="441" spans="1:10" x14ac:dyDescent="0.25">
      <c r="A441" s="5" t="s">
        <v>909</v>
      </c>
      <c r="B441" s="5" t="s">
        <v>922</v>
      </c>
      <c r="C441" s="6" t="str">
        <f>_xll.QS.CONTEXT.CREATE("market.439",A441,"USD","SOFR")</f>
        <v>QSObject:PricingContext:w1~market.439:20502</v>
      </c>
      <c r="D441" s="6" t="str">
        <f>_xll.QS.CONTEXT.ADD.CURVE(C441,"SOFR",$K$2:$K$7,$L$2:$L$7,,,"Actual360","LogLinear",TRUE)</f>
        <v>QSObject:ContextInput:w1~input.qs_context_add_curve.2359132437744.440.3.0:39473</v>
      </c>
      <c r="E441" s="6" t="str">
        <f>_xll.QS.INSTRUMENT.SWAP("swap.439",H441,B441,"USD","SOFR",I441,J441,0,"Actual360","Simple","Annual","Annual","Annual")</f>
        <v>QSObject:Swap:w1~swap.439:20501</v>
      </c>
      <c r="F441" s="6" t="str">
        <f>_xll.QS.TRADE.CREATE("trade.439",E441,A441,"Receive")</f>
        <v>QSObject:SwapTrade:w1~trade.439:30620</v>
      </c>
      <c r="G441" s="3">
        <f>_xll.QS.EVALUATE(C441,F441)</f>
        <v>33055.775517351474</v>
      </c>
      <c r="H441" s="5" t="s">
        <v>923</v>
      </c>
      <c r="I441" s="7">
        <v>1043900</v>
      </c>
      <c r="J441" s="8">
        <v>3.8899999999999997E-2</v>
      </c>
    </row>
    <row r="442" spans="1:10" x14ac:dyDescent="0.25">
      <c r="A442" s="5" t="s">
        <v>911</v>
      </c>
      <c r="B442" s="5" t="s">
        <v>924</v>
      </c>
      <c r="C442" s="6" t="str">
        <f>_xll.QS.CONTEXT.CREATE("market.440",A442,"USD","SOFR")</f>
        <v>QSObject:PricingContext:w1~market.440:20500</v>
      </c>
      <c r="D442" s="6" t="str">
        <f>_xll.QS.CONTEXT.ADD.CURVE(C442,"SOFR",$K$2:$K$7,$L$2:$L$7,,,"Actual360","LogLinear",TRUE)</f>
        <v>QSObject:ContextInput:w1~input.qs_context_add_curve.2359132437744.441.3.0:39472</v>
      </c>
      <c r="E442" s="6" t="str">
        <f>_xll.QS.INSTRUMENT.SWAP("swap.440",H442,B442,"USD","SOFR",I442,J442,0,"Actual360","Simple","Annual","Annual","Annual")</f>
        <v>QSObject:Swap:w1~swap.440:20499</v>
      </c>
      <c r="F442" s="6" t="str">
        <f>_xll.QS.TRADE.CREATE("trade.440",E442,A442,"Receive")</f>
        <v>QSObject:SwapTrade:w1~trade.440:30619</v>
      </c>
      <c r="G442" s="3">
        <f>_xll.QS.EVALUATE(C442,F442)</f>
        <v>33543.187529000788</v>
      </c>
      <c r="H442" s="5" t="s">
        <v>925</v>
      </c>
      <c r="I442" s="7">
        <v>1044000</v>
      </c>
      <c r="J442" s="8">
        <v>3.9000000000000007E-2</v>
      </c>
    </row>
    <row r="443" spans="1:10" x14ac:dyDescent="0.25">
      <c r="A443" s="5" t="s">
        <v>913</v>
      </c>
      <c r="B443" s="5" t="s">
        <v>926</v>
      </c>
      <c r="C443" s="6" t="str">
        <f>_xll.QS.CONTEXT.CREATE("market.441",A443,"USD","SOFR")</f>
        <v>QSObject:PricingContext:w1~market.441:20498</v>
      </c>
      <c r="D443" s="6" t="str">
        <f>_xll.QS.CONTEXT.ADD.CURVE(C443,"SOFR",$K$2:$K$7,$L$2:$L$7,,,"Actual360","LogLinear",TRUE)</f>
        <v>QSObject:ContextInput:w1~input.qs_context_add_curve.2359132437744.442.3.0:39471</v>
      </c>
      <c r="E443" s="6" t="str">
        <f>_xll.QS.INSTRUMENT.SWAP("swap.441",H443,B443,"USD","SOFR",I443,J443,0,"Actual360","Simple","Annual","Annual","Annual")</f>
        <v>QSObject:Swap:w1~swap.441:20497</v>
      </c>
      <c r="F443" s="6" t="str">
        <f>_xll.QS.TRADE.CREATE("trade.441",E443,A443,"Receive")</f>
        <v>QSObject:SwapTrade:w1~trade.441:30618</v>
      </c>
      <c r="G443" s="3">
        <f>_xll.QS.EVALUATE(C443,F443)</f>
        <v>34072.692875930996</v>
      </c>
      <c r="H443" s="5" t="s">
        <v>927</v>
      </c>
      <c r="I443" s="7">
        <v>1044100</v>
      </c>
      <c r="J443" s="8">
        <v>3.9100000000000003E-2</v>
      </c>
    </row>
    <row r="444" spans="1:10" x14ac:dyDescent="0.25">
      <c r="A444" s="5" t="s">
        <v>915</v>
      </c>
      <c r="B444" s="5" t="s">
        <v>928</v>
      </c>
      <c r="C444" s="6" t="str">
        <f>_xll.QS.CONTEXT.CREATE("market.442",A444,"USD","SOFR")</f>
        <v>QSObject:PricingContext:w1~market.442:20496</v>
      </c>
      <c r="D444" s="6" t="str">
        <f>_xll.QS.CONTEXT.ADD.CURVE(C444,"SOFR",$K$2:$K$7,$L$2:$L$7,,,"Actual360","LogLinear",TRUE)</f>
        <v>QSObject:ContextInput:w1~input.qs_context_add_curve.2359132437744.443.3.0:39470</v>
      </c>
      <c r="E444" s="6" t="str">
        <f>_xll.QS.INSTRUMENT.SWAP("swap.442",H444,B444,"USD","SOFR",I444,J444,0,"Actual360","Simple","Annual","Annual","Annual")</f>
        <v>QSObject:Swap:w1~swap.442:20495</v>
      </c>
      <c r="F444" s="6" t="str">
        <f>_xll.QS.TRADE.CREATE("trade.442",E444,A444,"Receive")</f>
        <v>QSObject:SwapTrade:w1~trade.442:30617</v>
      </c>
      <c r="G444" s="3">
        <f>_xll.QS.EVALUATE(C444,F444)</f>
        <v>34634.138354347902</v>
      </c>
      <c r="H444" s="5" t="s">
        <v>929</v>
      </c>
      <c r="I444" s="7">
        <v>1044200</v>
      </c>
      <c r="J444" s="8">
        <v>3.9200000000000013E-2</v>
      </c>
    </row>
    <row r="445" spans="1:10" x14ac:dyDescent="0.25">
      <c r="A445" s="5" t="s">
        <v>917</v>
      </c>
      <c r="B445" s="5" t="s">
        <v>930</v>
      </c>
      <c r="C445" s="6" t="str">
        <f>_xll.QS.CONTEXT.CREATE("market.443",A445,"USD","SOFR")</f>
        <v>QSObject:PricingContext:w1~market.443:20494</v>
      </c>
      <c r="D445" s="6" t="str">
        <f>_xll.QS.CONTEXT.ADD.CURVE(C445,"SOFR",$K$2:$K$7,$L$2:$L$7,,,"Actual360","LogLinear",TRUE)</f>
        <v>QSObject:ContextInput:w1~input.qs_context_add_curve.2359132437744.444.3.0:39469</v>
      </c>
      <c r="E445" s="6" t="str">
        <f>_xll.QS.INSTRUMENT.SWAP("swap.443",H445,B445,"USD","SOFR",I445,J445,0,"Actual360","Simple","Annual","Annual","Annual")</f>
        <v>QSObject:Swap:w1~swap.443:20493</v>
      </c>
      <c r="F445" s="6" t="str">
        <f>_xll.QS.TRADE.CREATE("trade.443",E445,A445,"Receive")</f>
        <v>QSObject:SwapTrade:w1~trade.443:30616</v>
      </c>
      <c r="G445" s="3">
        <f>_xll.QS.EVALUATE(C445,F445)</f>
        <v>35119.086546504324</v>
      </c>
      <c r="H445" s="5" t="s">
        <v>931</v>
      </c>
      <c r="I445" s="7">
        <v>1044300</v>
      </c>
      <c r="J445" s="8">
        <v>3.9300000000000002E-2</v>
      </c>
    </row>
    <row r="446" spans="1:10" x14ac:dyDescent="0.25">
      <c r="A446" s="5" t="s">
        <v>919</v>
      </c>
      <c r="B446" s="5" t="s">
        <v>932</v>
      </c>
      <c r="C446" s="6" t="str">
        <f>_xll.QS.CONTEXT.CREATE("market.444",A446,"USD","SOFR")</f>
        <v>QSObject:PricingContext:w1~market.444:20492</v>
      </c>
      <c r="D446" s="6" t="str">
        <f>_xll.QS.CONTEXT.ADD.CURVE(C446,"SOFR",$K$2:$K$7,$L$2:$L$7,,,"Actual360","LogLinear",TRUE)</f>
        <v>QSObject:ContextInput:w1~input.qs_context_add_curve.2359132437744.445.3.0:39468</v>
      </c>
      <c r="E446" s="6" t="str">
        <f>_xll.QS.INSTRUMENT.SWAP("swap.444",H446,B446,"USD","SOFR",I446,J446,0,"Actual360","Simple","Annual","Annual","Annual")</f>
        <v>QSObject:Swap:w1~swap.444:20491</v>
      </c>
      <c r="F446" s="6" t="str">
        <f>_xll.QS.TRADE.CREATE("trade.444",E446,A446,"Receive")</f>
        <v>QSObject:SwapTrade:w1~trade.444:30615</v>
      </c>
      <c r="G446" s="3">
        <f>_xll.QS.EVALUATE(C446,F446)</f>
        <v>35609.926732066786</v>
      </c>
      <c r="H446" s="5" t="s">
        <v>933</v>
      </c>
      <c r="I446" s="7">
        <v>1044400</v>
      </c>
      <c r="J446" s="8">
        <v>3.9399999999999998E-2</v>
      </c>
    </row>
    <row r="447" spans="1:10" x14ac:dyDescent="0.25">
      <c r="A447" s="5" t="s">
        <v>921</v>
      </c>
      <c r="B447" s="5" t="s">
        <v>934</v>
      </c>
      <c r="C447" s="6" t="str">
        <f>_xll.QS.CONTEXT.CREATE("market.445",A447,"USD","SOFR")</f>
        <v>QSObject:PricingContext:w1~market.445:20490</v>
      </c>
      <c r="D447" s="6" t="str">
        <f>_xll.QS.CONTEXT.ADD.CURVE(C447,"SOFR",$K$2:$K$7,$L$2:$L$7,,,"Actual360","LogLinear",TRUE)</f>
        <v>QSObject:ContextInput:w1~input.qs_context_add_curve.2359132437744.446.3.0:39467</v>
      </c>
      <c r="E447" s="6" t="str">
        <f>_xll.QS.INSTRUMENT.SWAP("swap.445",H447,B447,"USD","SOFR",I447,J447,0,"Actual360","Simple","Annual","Annual","Annual")</f>
        <v>QSObject:Swap:w1~swap.445:20489</v>
      </c>
      <c r="F447" s="6" t="str">
        <f>_xll.QS.TRADE.CREATE("trade.445",E447,A447,"Receive")</f>
        <v>QSObject:SwapTrade:w1~trade.445:30614</v>
      </c>
      <c r="G447" s="3">
        <f>_xll.QS.EVALUATE(C447,F447)</f>
        <v>36118.66834310237</v>
      </c>
      <c r="H447" s="5" t="s">
        <v>935</v>
      </c>
      <c r="I447" s="7">
        <v>1044500</v>
      </c>
      <c r="J447" s="8">
        <v>3.9500000000000007E-2</v>
      </c>
    </row>
    <row r="448" spans="1:10" x14ac:dyDescent="0.25">
      <c r="A448" s="5" t="s">
        <v>923</v>
      </c>
      <c r="B448" s="5" t="s">
        <v>936</v>
      </c>
      <c r="C448" s="6" t="str">
        <f>_xll.QS.CONTEXT.CREATE("market.446",A448,"USD","SOFR")</f>
        <v>QSObject:PricingContext:w1~market.446:20488</v>
      </c>
      <c r="D448" s="6" t="str">
        <f>_xll.QS.CONTEXT.ADD.CURVE(C448,"SOFR",$K$2:$K$7,$L$2:$L$7,,,"Actual360","LogLinear",TRUE)</f>
        <v>QSObject:ContextInput:w1~input.qs_context_add_curve.2359132437744.447.3.0:39466</v>
      </c>
      <c r="E448" s="6" t="str">
        <f>_xll.QS.INSTRUMENT.SWAP("swap.446",H448,B448,"USD","SOFR",I448,J448,0,"Actual360","Simple","Annual","Annual","Annual")</f>
        <v>QSObject:Swap:w1~swap.446:20487</v>
      </c>
      <c r="F448" s="6" t="str">
        <f>_xll.QS.TRADE.CREATE("trade.446",E448,A448,"Receive")</f>
        <v>QSObject:SwapTrade:w1~trade.446:30613</v>
      </c>
      <c r="G448" s="3">
        <f>_xll.QS.EVALUATE(C448,F448)</f>
        <v>36607.201790859654</v>
      </c>
      <c r="H448" s="5" t="s">
        <v>937</v>
      </c>
      <c r="I448" s="7">
        <v>1044600</v>
      </c>
      <c r="J448" s="8">
        <v>3.9600000000000003E-2</v>
      </c>
    </row>
    <row r="449" spans="1:10" x14ac:dyDescent="0.25">
      <c r="A449" s="5" t="s">
        <v>925</v>
      </c>
      <c r="B449" s="5" t="s">
        <v>938</v>
      </c>
      <c r="C449" s="6" t="str">
        <f>_xll.QS.CONTEXT.CREATE("market.447",A449,"USD","SOFR")</f>
        <v>QSObject:PricingContext:w1~market.447:20486</v>
      </c>
      <c r="D449" s="6" t="str">
        <f>_xll.QS.CONTEXT.ADD.CURVE(C449,"SOFR",$K$2:$K$7,$L$2:$L$7,,,"Actual360","LogLinear",TRUE)</f>
        <v>QSObject:ContextInput:w1~input.qs_context_add_curve.2359132437744.448.3.0:39465</v>
      </c>
      <c r="E449" s="6" t="str">
        <f>_xll.QS.INSTRUMENT.SWAP("swap.447",H449,B449,"USD","SOFR",I449,J449,0,"Actual360","Simple","Annual","Annual","Annual")</f>
        <v>QSObject:Swap:w1~swap.447:20485</v>
      </c>
      <c r="F449" s="6" t="str">
        <f>_xll.QS.TRADE.CREATE("trade.447",E449,A449,"Receive")</f>
        <v>QSObject:SwapTrade:w1~trade.447:30612</v>
      </c>
      <c r="G449" s="3">
        <f>_xll.QS.EVALUATE(C449,F449)</f>
        <v>37095.912518534955</v>
      </c>
      <c r="H449" s="5" t="s">
        <v>939</v>
      </c>
      <c r="I449" s="7">
        <v>1044700</v>
      </c>
      <c r="J449" s="8">
        <v>3.9700000000000013E-2</v>
      </c>
    </row>
    <row r="450" spans="1:10" x14ac:dyDescent="0.25">
      <c r="A450" s="5" t="s">
        <v>927</v>
      </c>
      <c r="B450" s="5" t="s">
        <v>940</v>
      </c>
      <c r="C450" s="6" t="str">
        <f>_xll.QS.CONTEXT.CREATE("market.448",A450,"USD","SOFR")</f>
        <v>QSObject:PricingContext:w1~market.448:20484</v>
      </c>
      <c r="D450" s="6" t="str">
        <f>_xll.QS.CONTEXT.ADD.CURVE(C450,"SOFR",$K$2:$K$7,$L$2:$L$7,,,"Actual360","LogLinear",TRUE)</f>
        <v>QSObject:ContextInput:w1~input.qs_context_add_curve.2359132437744.449.3.0:39464</v>
      </c>
      <c r="E450" s="6" t="str">
        <f>_xll.QS.INSTRUMENT.SWAP("swap.448",H450,B450,"USD","SOFR",I450,J450,0,"Actual360","Simple","Annual","Annual","Annual")</f>
        <v>QSObject:Swap:w1~swap.448:20483</v>
      </c>
      <c r="F450" s="6" t="str">
        <f>_xll.QS.TRADE.CREATE("trade.448",E450,A450,"Receive")</f>
        <v>QSObject:SwapTrade:w1~trade.448:30611</v>
      </c>
      <c r="G450" s="3">
        <f>_xll.QS.EVALUATE(C450,F450)</f>
        <v>37469.562597605196</v>
      </c>
      <c r="H450" s="5" t="s">
        <v>941</v>
      </c>
      <c r="I450" s="7">
        <v>1044800</v>
      </c>
      <c r="J450" s="8">
        <v>3.9800000000000002E-2</v>
      </c>
    </row>
    <row r="451" spans="1:10" x14ac:dyDescent="0.25">
      <c r="A451" s="5" t="s">
        <v>929</v>
      </c>
      <c r="B451" s="5" t="s">
        <v>942</v>
      </c>
      <c r="C451" s="6" t="str">
        <f>_xll.QS.CONTEXT.CREATE("market.449",A451,"USD","SOFR")</f>
        <v>QSObject:PricingContext:w1~market.449:20482</v>
      </c>
      <c r="D451" s="6" t="str">
        <f>_xll.QS.CONTEXT.ADD.CURVE(C451,"SOFR",$K$2:$K$7,$L$2:$L$7,,,"Actual360","LogLinear",TRUE)</f>
        <v>QSObject:ContextInput:w1~input.qs_context_add_curve.2359132437744.450.3.0:39463</v>
      </c>
      <c r="E451" s="6" t="str">
        <f>_xll.QS.INSTRUMENT.SWAP("swap.449",H451,B451,"USD","SOFR",I451,J451,0,"Actual360","Simple","Annual","Annual","Annual")</f>
        <v>QSObject:Swap:w1~swap.449:20481</v>
      </c>
      <c r="F451" s="6" t="str">
        <f>_xll.QS.TRADE.CREATE("trade.449",E451,A451,"Receive")</f>
        <v>QSObject:SwapTrade:w1~trade.449:30610</v>
      </c>
      <c r="G451" s="3">
        <f>_xll.QS.EVALUATE(C451,F451)</f>
        <v>38072.356684697428</v>
      </c>
      <c r="H451" s="5" t="s">
        <v>943</v>
      </c>
      <c r="I451" s="7">
        <v>1044900</v>
      </c>
      <c r="J451" s="8">
        <v>3.9899999999999998E-2</v>
      </c>
    </row>
    <row r="452" spans="1:10" x14ac:dyDescent="0.25">
      <c r="A452" s="5" t="s">
        <v>931</v>
      </c>
      <c r="B452" s="5" t="s">
        <v>944</v>
      </c>
      <c r="C452" s="6" t="str">
        <f>_xll.QS.CONTEXT.CREATE("market.450",A452,"USD","SOFR")</f>
        <v>QSObject:PricingContext:w1~market.450:20480</v>
      </c>
      <c r="D452" s="6" t="str">
        <f>_xll.QS.CONTEXT.ADD.CURVE(C452,"SOFR",$K$2:$K$7,$L$2:$L$7,,,"Actual360","LogLinear",TRUE)</f>
        <v>QSObject:ContextInput:w1~input.qs_context_add_curve.2359132437744.451.3.0:39462</v>
      </c>
      <c r="E452" s="6" t="str">
        <f>_xll.QS.INSTRUMENT.SWAP("swap.450",H452,B452,"USD","SOFR",I452,J452,0,"Actual360","Simple","Annual","Annual","Annual")</f>
        <v>QSObject:Swap:w1~swap.450:20479</v>
      </c>
      <c r="F452" s="6" t="str">
        <f>_xll.QS.TRADE.CREATE("trade.450",E452,A452,"Receive")</f>
        <v>QSObject:SwapTrade:w1~trade.450:30609</v>
      </c>
      <c r="G452" s="3">
        <f>_xll.QS.EVALUATE(C452,F452)</f>
        <v>14458.187882782684</v>
      </c>
      <c r="H452" s="5" t="s">
        <v>945</v>
      </c>
      <c r="I452" s="7">
        <v>1045000</v>
      </c>
      <c r="J452" s="8">
        <v>3.5000000000000003E-2</v>
      </c>
    </row>
    <row r="453" spans="1:10" x14ac:dyDescent="0.25">
      <c r="A453" s="5" t="s">
        <v>933</v>
      </c>
      <c r="B453" s="5" t="s">
        <v>946</v>
      </c>
      <c r="C453" s="6" t="str">
        <f>_xll.QS.CONTEXT.CREATE("market.451",A453,"USD","SOFR")</f>
        <v>QSObject:PricingContext:w1~market.451:20478</v>
      </c>
      <c r="D453" s="6" t="str">
        <f>_xll.QS.CONTEXT.ADD.CURVE(C453,"SOFR",$K$2:$K$7,$L$2:$L$7,,,"Actual360","LogLinear",TRUE)</f>
        <v>QSObject:ContextInput:w1~input.qs_context_add_curve.2359132437744.452.3.0:39461</v>
      </c>
      <c r="E453" s="6" t="str">
        <f>_xll.QS.INSTRUMENT.SWAP("swap.451",H453,B453,"USD","SOFR",I453,J453,0,"Actual360","Simple","Annual","Annual","Annual")</f>
        <v>QSObject:Swap:w1~swap.451:20477</v>
      </c>
      <c r="F453" s="6" t="str">
        <f>_xll.QS.TRADE.CREATE("trade.451",E453,A453,"Receive")</f>
        <v>QSObject:SwapTrade:w1~trade.451:30608</v>
      </c>
      <c r="G453" s="3">
        <f>_xll.QS.EVALUATE(C453,F453)</f>
        <v>14942.289278834349</v>
      </c>
      <c r="H453" s="5" t="s">
        <v>947</v>
      </c>
      <c r="I453" s="7">
        <v>1045100</v>
      </c>
      <c r="J453" s="8">
        <v>3.5100000000000013E-2</v>
      </c>
    </row>
    <row r="454" spans="1:10" x14ac:dyDescent="0.25">
      <c r="A454" s="5" t="s">
        <v>935</v>
      </c>
      <c r="B454" s="5" t="s">
        <v>948</v>
      </c>
      <c r="C454" s="6" t="str">
        <f>_xll.QS.CONTEXT.CREATE("market.452",A454,"USD","SOFR")</f>
        <v>QSObject:PricingContext:w1~market.452:20476</v>
      </c>
      <c r="D454" s="6" t="str">
        <f>_xll.QS.CONTEXT.ADD.CURVE(C454,"SOFR",$K$2:$K$7,$L$2:$L$7,,,"Actual360","LogLinear",TRUE)</f>
        <v>QSObject:ContextInput:w1~input.qs_context_add_curve.2359132437744.453.3.0:39460</v>
      </c>
      <c r="E454" s="6" t="str">
        <f>_xll.QS.INSTRUMENT.SWAP("swap.452",H454,B454,"USD","SOFR",I454,J454,0,"Actual360","Simple","Annual","Annual","Annual")</f>
        <v>QSObject:Swap:w1~swap.452:20475</v>
      </c>
      <c r="F454" s="6" t="str">
        <f>_xll.QS.TRADE.CREATE("trade.452",E454,A454,"Receive")</f>
        <v>QSObject:SwapTrade:w1~trade.452:30607</v>
      </c>
      <c r="G454" s="3">
        <f>_xll.QS.EVALUATE(C454,F454)</f>
        <v>15288.497924277279</v>
      </c>
      <c r="H454" s="5" t="s">
        <v>949</v>
      </c>
      <c r="I454" s="7">
        <v>1045200</v>
      </c>
      <c r="J454" s="8">
        <v>3.5200000000000002E-2</v>
      </c>
    </row>
    <row r="455" spans="1:10" x14ac:dyDescent="0.25">
      <c r="A455" s="5" t="s">
        <v>937</v>
      </c>
      <c r="B455" s="5" t="s">
        <v>950</v>
      </c>
      <c r="C455" s="6" t="str">
        <f>_xll.QS.CONTEXT.CREATE("market.453",A455,"USD","SOFR")</f>
        <v>QSObject:PricingContext:w1~market.453:20474</v>
      </c>
      <c r="D455" s="6" t="str">
        <f>_xll.QS.CONTEXT.ADD.CURVE(C455,"SOFR",$K$2:$K$7,$L$2:$L$7,,,"Actual360","LogLinear",TRUE)</f>
        <v>QSObject:ContextInput:w1~input.qs_context_add_curve.2359132437744.454.3.0:39459</v>
      </c>
      <c r="E455" s="6" t="str">
        <f>_xll.QS.INSTRUMENT.SWAP("swap.453",H455,B455,"USD","SOFR",I455,J455,0,"Actual360","Simple","Annual","Annual","Annual")</f>
        <v>QSObject:Swap:w1~swap.453:20473</v>
      </c>
      <c r="F455" s="6" t="str">
        <f>_xll.QS.TRADE.CREATE("trade.453",E455,A455,"Receive")</f>
        <v>QSObject:SwapTrade:w1~trade.453:30606</v>
      </c>
      <c r="G455" s="3">
        <f>_xll.QS.EVALUATE(C455,F455)</f>
        <v>15741.858246667864</v>
      </c>
      <c r="H455" s="5" t="s">
        <v>951</v>
      </c>
      <c r="I455" s="7">
        <v>1045300</v>
      </c>
      <c r="J455" s="8">
        <v>3.5299999999999998E-2</v>
      </c>
    </row>
    <row r="456" spans="1:10" x14ac:dyDescent="0.25">
      <c r="A456" s="5" t="s">
        <v>939</v>
      </c>
      <c r="B456" s="5" t="s">
        <v>952</v>
      </c>
      <c r="C456" s="6" t="str">
        <f>_xll.QS.CONTEXT.CREATE("market.454",A456,"USD","SOFR")</f>
        <v>QSObject:PricingContext:w1~market.454:20472</v>
      </c>
      <c r="D456" s="6" t="str">
        <f>_xll.QS.CONTEXT.ADD.CURVE(C456,"SOFR",$K$2:$K$7,$L$2:$L$7,,,"Actual360","LogLinear",TRUE)</f>
        <v>QSObject:ContextInput:w1~input.qs_context_add_curve.2359132437744.455.3.0:39458</v>
      </c>
      <c r="E456" s="6" t="str">
        <f>_xll.QS.INSTRUMENT.SWAP("swap.454",H456,B456,"USD","SOFR",I456,J456,0,"Actual360","Simple","Annual","Annual","Annual")</f>
        <v>QSObject:Swap:w1~swap.454:20471</v>
      </c>
      <c r="F456" s="6" t="str">
        <f>_xll.QS.TRADE.CREATE("trade.454",E456,A456,"Receive")</f>
        <v>QSObject:SwapTrade:w1~trade.454:30605</v>
      </c>
      <c r="G456" s="3">
        <f>_xll.QS.EVALUATE(C456,F456)</f>
        <v>16226.803092889884</v>
      </c>
      <c r="H456" s="5" t="s">
        <v>953</v>
      </c>
      <c r="I456" s="7">
        <v>1045400</v>
      </c>
      <c r="J456" s="8">
        <v>3.5400000000000001E-2</v>
      </c>
    </row>
    <row r="457" spans="1:10" x14ac:dyDescent="0.25">
      <c r="A457" s="5" t="s">
        <v>941</v>
      </c>
      <c r="B457" s="5" t="s">
        <v>954</v>
      </c>
      <c r="C457" s="6" t="str">
        <f>_xll.QS.CONTEXT.CREATE("market.455",A457,"USD","SOFR")</f>
        <v>QSObject:PricingContext:w1~market.455:20470</v>
      </c>
      <c r="D457" s="6" t="str">
        <f>_xll.QS.CONTEXT.ADD.CURVE(C457,"SOFR",$K$2:$K$7,$L$2:$L$7,,,"Actual360","LogLinear",TRUE)</f>
        <v>QSObject:ContextInput:w1~input.qs_context_add_curve.2359132437744.456.3.0:39457</v>
      </c>
      <c r="E457" s="6" t="str">
        <f>_xll.QS.INSTRUMENT.SWAP("swap.455",H457,B457,"USD","SOFR",I457,J457,0,"Actual360","Simple","Annual","Annual","Annual")</f>
        <v>QSObject:Swap:w1~swap.455:20469</v>
      </c>
      <c r="F457" s="6" t="str">
        <f>_xll.QS.TRADE.CREATE("trade.455",E457,A457,"Receive")</f>
        <v>QSObject:SwapTrade:w1~trade.455:30604</v>
      </c>
      <c r="G457" s="3">
        <f>_xll.QS.EVALUATE(C457,F457)</f>
        <v>16869.010361753211</v>
      </c>
      <c r="H457" s="5" t="s">
        <v>955</v>
      </c>
      <c r="I457" s="7">
        <v>1045500</v>
      </c>
      <c r="J457" s="8">
        <v>3.5499999999999997E-2</v>
      </c>
    </row>
    <row r="458" spans="1:10" x14ac:dyDescent="0.25">
      <c r="A458" s="5" t="s">
        <v>943</v>
      </c>
      <c r="B458" s="5" t="s">
        <v>956</v>
      </c>
      <c r="C458" s="6" t="str">
        <f>_xll.QS.CONTEXT.CREATE("market.456",A458,"USD","SOFR")</f>
        <v>QSObject:PricingContext:w1~market.456:20468</v>
      </c>
      <c r="D458" s="6" t="str">
        <f>_xll.QS.CONTEXT.ADD.CURVE(C458,"SOFR",$K$2:$K$7,$L$2:$L$7,,,"Actual360","LogLinear",TRUE)</f>
        <v>QSObject:ContextInput:w1~input.qs_context_add_curve.2359132437744.457.3.0:39456</v>
      </c>
      <c r="E458" s="6" t="str">
        <f>_xll.QS.INSTRUMENT.SWAP("swap.456",H458,B458,"USD","SOFR",I458,J458,0,"Actual360","Simple","Annual","Annual","Annual")</f>
        <v>QSObject:Swap:w1~swap.456:20467</v>
      </c>
      <c r="F458" s="6" t="str">
        <f>_xll.QS.TRADE.CREATE("trade.456",E458,A458,"Receive")</f>
        <v>QSObject:SwapTrade:w1~trade.456:30603</v>
      </c>
      <c r="G458" s="3">
        <f>_xll.QS.EVALUATE(C458,F458)</f>
        <v>17352.264306505484</v>
      </c>
      <c r="H458" s="5" t="s">
        <v>957</v>
      </c>
      <c r="I458" s="7">
        <v>1045600</v>
      </c>
      <c r="J458" s="8">
        <v>3.5600000000000007E-2</v>
      </c>
    </row>
    <row r="459" spans="1:10" x14ac:dyDescent="0.25">
      <c r="A459" s="5" t="s">
        <v>945</v>
      </c>
      <c r="B459" s="5" t="s">
        <v>958</v>
      </c>
      <c r="C459" s="6" t="str">
        <f>_xll.QS.CONTEXT.CREATE("market.457",A459,"USD","SOFR")</f>
        <v>QSObject:PricingContext:w1~market.457:20466</v>
      </c>
      <c r="D459" s="6" t="str">
        <f>_xll.QS.CONTEXT.ADD.CURVE(C459,"SOFR",$K$2:$K$7,$L$2:$L$7,,,"Actual360","LogLinear",TRUE)</f>
        <v>QSObject:ContextInput:w1~input.qs_context_add_curve.2359132437744.458.3.0:39455</v>
      </c>
      <c r="E459" s="6" t="str">
        <f>_xll.QS.INSTRUMENT.SWAP("swap.457",H459,B459,"USD","SOFR",I459,J459,0,"Actual360","Simple","Annual","Annual","Annual")</f>
        <v>QSObject:Swap:w1~swap.457:20465</v>
      </c>
      <c r="F459" s="6" t="str">
        <f>_xll.QS.TRADE.CREATE("trade.457",E459,A459,"Receive")</f>
        <v>QSObject:SwapTrade:w1~trade.457:30602</v>
      </c>
      <c r="G459" s="3">
        <f>_xll.QS.EVALUATE(C459,F459)</f>
        <v>17840.297205495317</v>
      </c>
      <c r="H459" s="5" t="s">
        <v>959</v>
      </c>
      <c r="I459" s="7">
        <v>1045700</v>
      </c>
      <c r="J459" s="8">
        <v>3.5700000000000003E-2</v>
      </c>
    </row>
    <row r="460" spans="1:10" x14ac:dyDescent="0.25">
      <c r="A460" s="5" t="s">
        <v>947</v>
      </c>
      <c r="B460" s="5" t="s">
        <v>960</v>
      </c>
      <c r="C460" s="6" t="str">
        <f>_xll.QS.CONTEXT.CREATE("market.458",A460,"USD","SOFR")</f>
        <v>QSObject:PricingContext:w1~market.458:20464</v>
      </c>
      <c r="D460" s="6" t="str">
        <f>_xll.QS.CONTEXT.ADD.CURVE(C460,"SOFR",$K$2:$K$7,$L$2:$L$7,,,"Actual360","LogLinear",TRUE)</f>
        <v>QSObject:ContextInput:w1~input.qs_context_add_curve.2359132437744.459.3.0:39454</v>
      </c>
      <c r="E460" s="6" t="str">
        <f>_xll.QS.INSTRUMENT.SWAP("swap.458",H460,B460,"USD","SOFR",I460,J460,0,"Actual360","Simple","Annual","Annual","Annual")</f>
        <v>QSObject:Swap:w1~swap.458:20463</v>
      </c>
      <c r="F460" s="6" t="str">
        <f>_xll.QS.TRADE.CREATE("trade.458",E460,A460,"Receive")</f>
        <v>QSObject:SwapTrade:w1~trade.458:30601</v>
      </c>
      <c r="G460" s="3">
        <f>_xll.QS.EVALUATE(C460,F460)</f>
        <v>18287.576078726375</v>
      </c>
      <c r="H460" s="5" t="s">
        <v>961</v>
      </c>
      <c r="I460" s="7">
        <v>1045800</v>
      </c>
      <c r="J460" s="8">
        <v>3.5800000000000012E-2</v>
      </c>
    </row>
    <row r="461" spans="1:10" x14ac:dyDescent="0.25">
      <c r="A461" s="5" t="s">
        <v>949</v>
      </c>
      <c r="B461" s="5" t="s">
        <v>962</v>
      </c>
      <c r="C461" s="6" t="str">
        <f>_xll.QS.CONTEXT.CREATE("market.459",A461,"USD","SOFR")</f>
        <v>QSObject:PricingContext:w1~market.459:20462</v>
      </c>
      <c r="D461" s="6" t="str">
        <f>_xll.QS.CONTEXT.ADD.CURVE(C461,"SOFR",$K$2:$K$7,$L$2:$L$7,,,"Actual360","LogLinear",TRUE)</f>
        <v>QSObject:ContextInput:w1~input.qs_context_add_curve.2359132437744.460.3.0:39453</v>
      </c>
      <c r="E461" s="6" t="str">
        <f>_xll.QS.INSTRUMENT.SWAP("swap.459",H461,B461,"USD","SOFR",I461,J461,0,"Actual360","Simple","Annual","Annual","Annual")</f>
        <v>QSObject:Swap:w1~swap.459:20461</v>
      </c>
      <c r="F461" s="6" t="str">
        <f>_xll.QS.TRADE.CREATE("trade.459",E461,A461,"Receive")</f>
        <v>QSObject:SwapTrade:w1~trade.459:30600</v>
      </c>
      <c r="G461" s="3">
        <f>_xll.QS.EVALUATE(C461,F461)</f>
        <v>18773.494724741988</v>
      </c>
      <c r="H461" s="5" t="s">
        <v>963</v>
      </c>
      <c r="I461" s="7">
        <v>1045900</v>
      </c>
      <c r="J461" s="8">
        <v>3.5900000000000001E-2</v>
      </c>
    </row>
    <row r="462" spans="1:10" x14ac:dyDescent="0.25">
      <c r="A462" s="5" t="s">
        <v>951</v>
      </c>
      <c r="B462" s="5" t="s">
        <v>964</v>
      </c>
      <c r="C462" s="6" t="str">
        <f>_xll.QS.CONTEXT.CREATE("market.460",A462,"USD","SOFR")</f>
        <v>QSObject:PricingContext:w1~market.460:20460</v>
      </c>
      <c r="D462" s="6" t="str">
        <f>_xll.QS.CONTEXT.ADD.CURVE(C462,"SOFR",$K$2:$K$7,$L$2:$L$7,,,"Actual360","LogLinear",TRUE)</f>
        <v>QSObject:ContextInput:w1~input.qs_context_add_curve.2359132437744.461.3.0:39452</v>
      </c>
      <c r="E462" s="6" t="str">
        <f>_xll.QS.INSTRUMENT.SWAP("swap.460",H462,B462,"USD","SOFR",I462,J462,0,"Actual360","Simple","Annual","Annual","Annual")</f>
        <v>QSObject:Swap:w1~swap.460:20459</v>
      </c>
      <c r="F462" s="6" t="str">
        <f>_xll.QS.TRADE.CREATE("trade.460",E462,A462,"Receive")</f>
        <v>QSObject:SwapTrade:w1~trade.460:30599</v>
      </c>
      <c r="G462" s="3">
        <f>_xll.QS.EVALUATE(C462,F462)</f>
        <v>19130.548068068718</v>
      </c>
      <c r="H462" s="5" t="s">
        <v>965</v>
      </c>
      <c r="I462" s="7">
        <v>1046000</v>
      </c>
      <c r="J462" s="8">
        <v>3.5999999999999997E-2</v>
      </c>
    </row>
    <row r="463" spans="1:10" x14ac:dyDescent="0.25">
      <c r="A463" s="5" t="s">
        <v>953</v>
      </c>
      <c r="B463" s="5" t="s">
        <v>966</v>
      </c>
      <c r="C463" s="6" t="str">
        <f>_xll.QS.CONTEXT.CREATE("market.461",A463,"USD","SOFR")</f>
        <v>QSObject:PricingContext:w1~market.461:20458</v>
      </c>
      <c r="D463" s="6" t="str">
        <f>_xll.QS.CONTEXT.ADD.CURVE(C463,"SOFR",$K$2:$K$7,$L$2:$L$7,,,"Actual360","LogLinear",TRUE)</f>
        <v>QSObject:ContextInput:w1~input.qs_context_add_curve.2359132437744.462.3.0:39451</v>
      </c>
      <c r="E463" s="6" t="str">
        <f>_xll.QS.INSTRUMENT.SWAP("swap.461",H463,B463,"USD","SOFR",I463,J463,0,"Actual360","Simple","Annual","Annual","Annual")</f>
        <v>QSObject:Swap:w1~swap.461:20457</v>
      </c>
      <c r="F463" s="6" t="str">
        <f>_xll.QS.TRADE.CREATE("trade.461",E463,A463,"Receive")</f>
        <v>QSObject:SwapTrade:w1~trade.461:30598</v>
      </c>
      <c r="G463" s="3">
        <f>_xll.QS.EVALUATE(C463,F463)</f>
        <v>19616.204935619782</v>
      </c>
      <c r="H463" s="5" t="s">
        <v>967</v>
      </c>
      <c r="I463" s="7">
        <v>1046100</v>
      </c>
      <c r="J463" s="8">
        <v>3.61E-2</v>
      </c>
    </row>
    <row r="464" spans="1:10" x14ac:dyDescent="0.25">
      <c r="A464" s="5" t="s">
        <v>955</v>
      </c>
      <c r="B464" s="5" t="s">
        <v>968</v>
      </c>
      <c r="C464" s="6" t="str">
        <f>_xll.QS.CONTEXT.CREATE("market.462",A464,"USD","SOFR")</f>
        <v>QSObject:PricingContext:w1~market.462:20456</v>
      </c>
      <c r="D464" s="6" t="str">
        <f>_xll.QS.CONTEXT.ADD.CURVE(C464,"SOFR",$K$2:$K$7,$L$2:$L$7,,,"Actual360","LogLinear",TRUE)</f>
        <v>QSObject:ContextInput:w1~input.qs_context_add_curve.2359132437744.463.3.0:39450</v>
      </c>
      <c r="E464" s="6" t="str">
        <f>_xll.QS.INSTRUMENT.SWAP("swap.462",H464,B464,"USD","SOFR",I464,J464,0,"Actual360","Simple","Annual","Annual","Annual")</f>
        <v>QSObject:Swap:w1~swap.462:20455</v>
      </c>
      <c r="F464" s="6" t="str">
        <f>_xll.QS.TRADE.CREATE("trade.462",E464,A464,"Receive")</f>
        <v>QSObject:SwapTrade:w1~trade.462:30597</v>
      </c>
      <c r="G464" s="3">
        <f>_xll.QS.EVALUATE(C464,F464)</f>
        <v>20143.606858713851</v>
      </c>
      <c r="H464" s="5" t="s">
        <v>969</v>
      </c>
      <c r="I464" s="7">
        <v>1046200</v>
      </c>
      <c r="J464" s="8">
        <v>3.6200000000000003E-2</v>
      </c>
    </row>
    <row r="465" spans="1:10" x14ac:dyDescent="0.25">
      <c r="A465" s="5" t="s">
        <v>957</v>
      </c>
      <c r="B465" s="5" t="s">
        <v>970</v>
      </c>
      <c r="C465" s="6" t="str">
        <f>_xll.QS.CONTEXT.CREATE("market.463",A465,"USD","SOFR")</f>
        <v>QSObject:PricingContext:w1~market.463:20454</v>
      </c>
      <c r="D465" s="6" t="str">
        <f>_xll.QS.CONTEXT.ADD.CURVE(C465,"SOFR",$K$2:$K$7,$L$2:$L$7,,,"Actual360","LogLinear",TRUE)</f>
        <v>QSObject:ContextInput:w1~input.qs_context_add_curve.2359132437744.464.3.0:39449</v>
      </c>
      <c r="E465" s="6" t="str">
        <f>_xll.QS.INSTRUMENT.SWAP("swap.463",H465,B465,"USD","SOFR",I465,J465,0,"Actual360","Simple","Annual","Annual","Annual")</f>
        <v>QSObject:Swap:w1~swap.463:20453</v>
      </c>
      <c r="F465" s="6" t="str">
        <f>_xll.QS.TRADE.CREATE("trade.463",E465,A465,"Receive")</f>
        <v>QSObject:SwapTrade:w1~trade.463:30596</v>
      </c>
      <c r="G465" s="3">
        <f>_xll.QS.EVALUATE(C465,F465)</f>
        <v>20704.623488398513</v>
      </c>
      <c r="H465" s="5" t="s">
        <v>971</v>
      </c>
      <c r="I465" s="7">
        <v>1046300</v>
      </c>
      <c r="J465" s="8">
        <v>3.6300000000000013E-2</v>
      </c>
    </row>
    <row r="466" spans="1:10" x14ac:dyDescent="0.25">
      <c r="A466" s="5" t="s">
        <v>959</v>
      </c>
      <c r="B466" s="5" t="s">
        <v>972</v>
      </c>
      <c r="C466" s="6" t="str">
        <f>_xll.QS.CONTEXT.CREATE("market.464",A466,"USD","SOFR")</f>
        <v>QSObject:PricingContext:w1~market.464:20452</v>
      </c>
      <c r="D466" s="6" t="str">
        <f>_xll.QS.CONTEXT.ADD.CURVE(C466,"SOFR",$K$2:$K$7,$L$2:$L$7,,,"Actual360","LogLinear",TRUE)</f>
        <v>QSObject:ContextInput:w1~input.qs_context_add_curve.2359132437744.465.3.0:39448</v>
      </c>
      <c r="E466" s="6" t="str">
        <f>_xll.QS.INSTRUMENT.SWAP("swap.464",H466,B466,"USD","SOFR",I466,J466,0,"Actual360","Simple","Annual","Annual","Annual")</f>
        <v>QSObject:Swap:w1~swap.464:20451</v>
      </c>
      <c r="F466" s="6" t="str">
        <f>_xll.QS.TRADE.CREATE("trade.464",E466,A466,"Receive")</f>
        <v>QSObject:SwapTrade:w1~trade.464:30595</v>
      </c>
      <c r="G466" s="3">
        <f>_xll.QS.EVALUATE(C466,F466)</f>
        <v>21189.007079767744</v>
      </c>
      <c r="H466" s="5" t="s">
        <v>973</v>
      </c>
      <c r="I466" s="7">
        <v>1046400</v>
      </c>
      <c r="J466" s="8">
        <v>3.6400000000000002E-2</v>
      </c>
    </row>
    <row r="467" spans="1:10" x14ac:dyDescent="0.25">
      <c r="A467" s="5" t="s">
        <v>961</v>
      </c>
      <c r="B467" s="5" t="s">
        <v>974</v>
      </c>
      <c r="C467" s="6" t="str">
        <f>_xll.QS.CONTEXT.CREATE("market.465",A467,"USD","SOFR")</f>
        <v>QSObject:PricingContext:w1~market.465:20450</v>
      </c>
      <c r="D467" s="6" t="str">
        <f>_xll.QS.CONTEXT.ADD.CURVE(C467,"SOFR",$K$2:$K$7,$L$2:$L$7,,,"Actual360","LogLinear",TRUE)</f>
        <v>QSObject:ContextInput:w1~input.qs_context_add_curve.2359132437744.466.3.0:39447</v>
      </c>
      <c r="E467" s="6" t="str">
        <f>_xll.QS.INSTRUMENT.SWAP("swap.465",H467,B467,"USD","SOFR",I467,J467,0,"Actual360","Simple","Annual","Annual","Annual")</f>
        <v>QSObject:Swap:w1~swap.465:20449</v>
      </c>
      <c r="F467" s="6" t="str">
        <f>_xll.QS.TRADE.CREATE("trade.465",E467,A467,"Receive")</f>
        <v>QSObject:SwapTrade:w1~trade.465:30594</v>
      </c>
      <c r="G467" s="3">
        <f>_xll.QS.EVALUATE(C467,F467)</f>
        <v>21680.560873467672</v>
      </c>
      <c r="H467" s="5" t="s">
        <v>975</v>
      </c>
      <c r="I467" s="7">
        <v>1046500</v>
      </c>
      <c r="J467" s="8">
        <v>3.6499999999999998E-2</v>
      </c>
    </row>
    <row r="468" spans="1:10" x14ac:dyDescent="0.25">
      <c r="A468" s="5" t="s">
        <v>963</v>
      </c>
      <c r="B468" s="5" t="s">
        <v>976</v>
      </c>
      <c r="C468" s="6" t="str">
        <f>_xll.QS.CONTEXT.CREATE("market.466",A468,"USD","SOFR")</f>
        <v>QSObject:PricingContext:w1~market.466:20448</v>
      </c>
      <c r="D468" s="6" t="str">
        <f>_xll.QS.CONTEXT.ADD.CURVE(C468,"SOFR",$K$2:$K$7,$L$2:$L$7,,,"Actual360","LogLinear",TRUE)</f>
        <v>QSObject:ContextInput:w1~input.qs_context_add_curve.2359132437744.467.3.0:39446</v>
      </c>
      <c r="E468" s="6" t="str">
        <f>_xll.QS.INSTRUMENT.SWAP("swap.466",H468,B468,"USD","SOFR",I468,J468,0,"Actual360","Simple","Annual","Annual","Annual")</f>
        <v>QSObject:Swap:w1~swap.466:20447</v>
      </c>
      <c r="F468" s="6" t="str">
        <f>_xll.QS.TRADE.CREATE("trade.466",E468,A468,"Receive")</f>
        <v>QSObject:SwapTrade:w1~trade.466:30593</v>
      </c>
      <c r="G468" s="3">
        <f>_xll.QS.EVALUATE(C468,F468)</f>
        <v>22165.563095825964</v>
      </c>
      <c r="H468" s="5" t="s">
        <v>977</v>
      </c>
      <c r="I468" s="7">
        <v>1046600</v>
      </c>
      <c r="J468" s="8">
        <v>3.6600000000000001E-2</v>
      </c>
    </row>
    <row r="469" spans="1:10" x14ac:dyDescent="0.25">
      <c r="A469" s="5" t="s">
        <v>965</v>
      </c>
      <c r="B469" s="5" t="s">
        <v>978</v>
      </c>
      <c r="C469" s="6" t="str">
        <f>_xll.QS.CONTEXT.CREATE("market.467",A469,"USD","SOFR")</f>
        <v>QSObject:PricingContext:w1~market.467:20446</v>
      </c>
      <c r="D469" s="6" t="str">
        <f>_xll.QS.CONTEXT.ADD.CURVE(C469,"SOFR",$K$2:$K$7,$L$2:$L$7,,,"Actual360","LogLinear",TRUE)</f>
        <v>QSObject:ContextInput:w1~input.qs_context_add_curve.2359132437744.468.3.0:39445</v>
      </c>
      <c r="E469" s="6" t="str">
        <f>_xll.QS.INSTRUMENT.SWAP("swap.467",H469,B469,"USD","SOFR",I469,J469,0,"Actual360","Simple","Annual","Annual","Annual")</f>
        <v>QSObject:Swap:w1~swap.467:20445</v>
      </c>
      <c r="F469" s="6" t="str">
        <f>_xll.QS.TRADE.CREATE("trade.467",E469,A469,"Receive")</f>
        <v>QSObject:SwapTrade:w1~trade.467:30592</v>
      </c>
      <c r="G469" s="3">
        <f>_xll.QS.EVALUATE(C469,F469)</f>
        <v>22522.497936383505</v>
      </c>
      <c r="H469" s="5" t="s">
        <v>979</v>
      </c>
      <c r="I469" s="7">
        <v>1046700</v>
      </c>
      <c r="J469" s="8">
        <v>3.6700000000000003E-2</v>
      </c>
    </row>
    <row r="470" spans="1:10" x14ac:dyDescent="0.25">
      <c r="A470" s="5" t="s">
        <v>967</v>
      </c>
      <c r="B470" s="5" t="s">
        <v>980</v>
      </c>
      <c r="C470" s="6" t="str">
        <f>_xll.QS.CONTEXT.CREATE("market.468",A470,"USD","SOFR")</f>
        <v>QSObject:PricingContext:w1~market.468:20444</v>
      </c>
      <c r="D470" s="6" t="str">
        <f>_xll.QS.CONTEXT.ADD.CURVE(C470,"SOFR",$K$2:$K$7,$L$2:$L$7,,,"Actual360","LogLinear",TRUE)</f>
        <v>QSObject:ContextInput:w1~input.qs_context_add_curve.2359132437744.469.3.0:39444</v>
      </c>
      <c r="E470" s="6" t="str">
        <f>_xll.QS.INSTRUMENT.SWAP("swap.468",H470,B470,"USD","SOFR",I470,J470,0,"Actual360","Simple","Annual","Annual","Annual")</f>
        <v>QSObject:Swap:w1~swap.468:20443</v>
      </c>
      <c r="F470" s="6" t="str">
        <f>_xll.QS.TRADE.CREATE("trade.468",E470,A470,"Receive")</f>
        <v>QSObject:SwapTrade:w1~trade.468:30591</v>
      </c>
      <c r="G470" s="3">
        <f>_xll.QS.EVALUATE(C470,F470)</f>
        <v>23009.512736945842</v>
      </c>
      <c r="H470" s="5" t="s">
        <v>981</v>
      </c>
      <c r="I470" s="7">
        <v>1046800</v>
      </c>
      <c r="J470" s="8">
        <v>3.6800000000000013E-2</v>
      </c>
    </row>
    <row r="471" spans="1:10" x14ac:dyDescent="0.25">
      <c r="A471" s="5" t="s">
        <v>969</v>
      </c>
      <c r="B471" s="5" t="s">
        <v>982</v>
      </c>
      <c r="C471" s="6" t="str">
        <f>_xll.QS.CONTEXT.CREATE("market.469",A471,"USD","SOFR")</f>
        <v>QSObject:PricingContext:w1~market.469:20442</v>
      </c>
      <c r="D471" s="6" t="str">
        <f>_xll.QS.CONTEXT.ADD.CURVE(C471,"SOFR",$K$2:$K$7,$L$2:$L$7,,,"Actual360","LogLinear",TRUE)</f>
        <v>QSObject:ContextInput:w1~input.qs_context_add_curve.2359132437744.470.3.0:39443</v>
      </c>
      <c r="E471" s="6" t="str">
        <f>_xll.QS.INSTRUMENT.SWAP("swap.469",H471,B471,"USD","SOFR",I471,J471,0,"Actual360","Simple","Annual","Annual","Annual")</f>
        <v>QSObject:Swap:w1~swap.469:20441</v>
      </c>
      <c r="F471" s="6" t="str">
        <f>_xll.QS.TRADE.CREATE("trade.469",E471,A471,"Receive")</f>
        <v>QSObject:SwapTrade:w1~trade.469:30590</v>
      </c>
      <c r="G471" s="3">
        <f>_xll.QS.EVALUATE(C471,F471)</f>
        <v>23537.70907809088</v>
      </c>
      <c r="H471" s="5" t="s">
        <v>983</v>
      </c>
      <c r="I471" s="7">
        <v>1046900</v>
      </c>
      <c r="J471" s="8">
        <v>3.6900000000000002E-2</v>
      </c>
    </row>
    <row r="472" spans="1:10" x14ac:dyDescent="0.25">
      <c r="A472" s="5" t="s">
        <v>971</v>
      </c>
      <c r="B472" s="5" t="s">
        <v>984</v>
      </c>
      <c r="C472" s="6" t="str">
        <f>_xll.QS.CONTEXT.CREATE("market.470",A472,"USD","SOFR")</f>
        <v>QSObject:PricingContext:w1~market.470:20440</v>
      </c>
      <c r="D472" s="6" t="str">
        <f>_xll.QS.CONTEXT.ADD.CURVE(C472,"SOFR",$K$2:$K$7,$L$2:$L$7,,,"Actual360","LogLinear",TRUE)</f>
        <v>QSObject:ContextInput:w1~input.qs_context_add_curve.2359132437744.471.3.0:39442</v>
      </c>
      <c r="E472" s="6" t="str">
        <f>_xll.QS.INSTRUMENT.SWAP("swap.470",H472,B472,"USD","SOFR",I472,J472,0,"Actual360","Simple","Annual","Annual","Annual")</f>
        <v>QSObject:Swap:w1~swap.470:20439</v>
      </c>
      <c r="F472" s="6" t="str">
        <f>_xll.QS.TRADE.CREATE("trade.470",E472,A472,"Receive")</f>
        <v>QSObject:SwapTrade:w1~trade.470:30589</v>
      </c>
      <c r="G472" s="3">
        <f>_xll.QS.EVALUATE(C472,F472)</f>
        <v>24099.846738561908</v>
      </c>
      <c r="H472" s="5" t="s">
        <v>985</v>
      </c>
      <c r="I472" s="7">
        <v>1047000</v>
      </c>
      <c r="J472" s="8">
        <v>3.7000000000000012E-2</v>
      </c>
    </row>
    <row r="473" spans="1:10" x14ac:dyDescent="0.25">
      <c r="A473" s="5" t="s">
        <v>973</v>
      </c>
      <c r="B473" s="5" t="s">
        <v>986</v>
      </c>
      <c r="C473" s="6" t="str">
        <f>_xll.QS.CONTEXT.CREATE("market.471",A473,"USD","SOFR")</f>
        <v>QSObject:PricingContext:w1~market.471:20438</v>
      </c>
      <c r="D473" s="6" t="str">
        <f>_xll.QS.CONTEXT.ADD.CURVE(C473,"SOFR",$K$2:$K$7,$L$2:$L$7,,,"Actual360","LogLinear",TRUE)</f>
        <v>QSObject:ContextInput:w1~input.qs_context_add_curve.2359132437744.472.3.0:39441</v>
      </c>
      <c r="E473" s="6" t="str">
        <f>_xll.QS.INSTRUMENT.SWAP("swap.471",H473,B473,"USD","SOFR",I473,J473,0,"Actual360","Simple","Annual","Annual","Annual")</f>
        <v>QSObject:Swap:w1~swap.471:20437</v>
      </c>
      <c r="F473" s="6" t="str">
        <f>_xll.QS.TRADE.CREATE("trade.471",E473,A473,"Receive")</f>
        <v>QSObject:SwapTrade:w1~trade.471:30588</v>
      </c>
      <c r="G473" s="3">
        <f>_xll.QS.EVALUATE(C473,F473)</f>
        <v>24585.090614574445</v>
      </c>
      <c r="H473" s="5" t="s">
        <v>987</v>
      </c>
      <c r="I473" s="7">
        <v>1047100</v>
      </c>
      <c r="J473" s="8">
        <v>3.7100000000000001E-2</v>
      </c>
    </row>
    <row r="474" spans="1:10" x14ac:dyDescent="0.25">
      <c r="A474" s="5" t="s">
        <v>975</v>
      </c>
      <c r="B474" s="5" t="s">
        <v>988</v>
      </c>
      <c r="C474" s="6" t="str">
        <f>_xll.QS.CONTEXT.CREATE("market.472",A474,"USD","SOFR")</f>
        <v>QSObject:PricingContext:w1~market.472:20436</v>
      </c>
      <c r="D474" s="6" t="str">
        <f>_xll.QS.CONTEXT.ADD.CURVE(C474,"SOFR",$K$2:$K$7,$L$2:$L$7,,,"Actual360","LogLinear",TRUE)</f>
        <v>QSObject:ContextInput:w1~input.qs_context_add_curve.2359132437744.473.3.0:39440</v>
      </c>
      <c r="E474" s="6" t="str">
        <f>_xll.QS.INSTRUMENT.SWAP("swap.472",H474,B474,"USD","SOFR",I474,J474,0,"Actual360","Simple","Annual","Annual","Annual")</f>
        <v>QSObject:Swap:w1~swap.472:20435</v>
      </c>
      <c r="F474" s="6" t="str">
        <f>_xll.QS.TRADE.CREATE("trade.472",E474,A474,"Receive")</f>
        <v>QSObject:SwapTrade:w1~trade.472:30587</v>
      </c>
      <c r="G474" s="3">
        <f>_xll.QS.EVALUATE(C474,F474)</f>
        <v>25076.194670078905</v>
      </c>
      <c r="H474" s="5" t="s">
        <v>989</v>
      </c>
      <c r="I474" s="7">
        <v>1047200</v>
      </c>
      <c r="J474" s="8">
        <v>3.7199999999999997E-2</v>
      </c>
    </row>
    <row r="475" spans="1:10" x14ac:dyDescent="0.25">
      <c r="A475" s="5" t="s">
        <v>977</v>
      </c>
      <c r="B475" s="5" t="s">
        <v>990</v>
      </c>
      <c r="C475" s="6" t="str">
        <f>_xll.QS.CONTEXT.CREATE("market.473",A475,"USD","SOFR")</f>
        <v>QSObject:PricingContext:w1~market.473:20434</v>
      </c>
      <c r="D475" s="6" t="str">
        <f>_xll.QS.CONTEXT.ADD.CURVE(C475,"SOFR",$K$2:$K$7,$L$2:$L$7,,,"Actual360","LogLinear",TRUE)</f>
        <v>QSObject:ContextInput:w1~input.qs_context_add_curve.2359132437744.474.3.0:39439</v>
      </c>
      <c r="E475" s="6" t="str">
        <f>_xll.QS.INSTRUMENT.SWAP("swap.473",H475,B475,"USD","SOFR",I475,J475,0,"Actual360","Simple","Annual","Annual","Annual")</f>
        <v>QSObject:Swap:w1~swap.473:20433</v>
      </c>
      <c r="F475" s="6" t="str">
        <f>_xll.QS.TRADE.CREATE("trade.473",E475,A475,"Receive")</f>
        <v>QSObject:SwapTrade:w1~trade.473:30586</v>
      </c>
      <c r="G475" s="3">
        <f>_xll.QS.EVALUATE(C475,F475)</f>
        <v>25562.654987413323</v>
      </c>
      <c r="H475" s="5" t="s">
        <v>991</v>
      </c>
      <c r="I475" s="7">
        <v>1047300</v>
      </c>
      <c r="J475" s="8">
        <v>3.73E-2</v>
      </c>
    </row>
    <row r="476" spans="1:10" x14ac:dyDescent="0.25">
      <c r="A476" s="5" t="s">
        <v>979</v>
      </c>
      <c r="B476" s="5" t="s">
        <v>992</v>
      </c>
      <c r="C476" s="6" t="str">
        <f>_xll.QS.CONTEXT.CREATE("market.474",A476,"USD","SOFR")</f>
        <v>QSObject:PricingContext:w1~market.474:20432</v>
      </c>
      <c r="D476" s="6" t="str">
        <f>_xll.QS.CONTEXT.ADD.CURVE(C476,"SOFR",$K$2:$K$7,$L$2:$L$7,,,"Actual360","LogLinear",TRUE)</f>
        <v>QSObject:ContextInput:w1~input.qs_context_add_curve.2359132437744.475.3.0:39438</v>
      </c>
      <c r="E476" s="6" t="str">
        <f>_xll.QS.INSTRUMENT.SWAP("swap.474",H476,B476,"USD","SOFR",I476,J476,0,"Actual360","Simple","Annual","Annual","Annual")</f>
        <v>QSObject:Swap:w1~swap.474:20431</v>
      </c>
      <c r="F476" s="6" t="str">
        <f>_xll.QS.TRADE.CREATE("trade.474",E476,A476,"Receive")</f>
        <v>QSObject:SwapTrade:w1~trade.474:30585</v>
      </c>
      <c r="G476" s="3">
        <f>_xll.QS.EVALUATE(C476,F476)</f>
        <v>25919.469043112687</v>
      </c>
      <c r="H476" s="5" t="s">
        <v>993</v>
      </c>
      <c r="I476" s="7">
        <v>1047400</v>
      </c>
      <c r="J476" s="8">
        <v>3.7400000000000003E-2</v>
      </c>
    </row>
    <row r="477" spans="1:10" x14ac:dyDescent="0.25">
      <c r="A477" s="5" t="s">
        <v>981</v>
      </c>
      <c r="B477" s="5" t="s">
        <v>994</v>
      </c>
      <c r="C477" s="6" t="str">
        <f>_xll.QS.CONTEXT.CREATE("market.475",A477,"USD","SOFR")</f>
        <v>QSObject:PricingContext:w1~market.475:20430</v>
      </c>
      <c r="D477" s="6" t="str">
        <f>_xll.QS.CONTEXT.ADD.CURVE(C477,"SOFR",$K$2:$K$7,$L$2:$L$7,,,"Actual360","LogLinear",TRUE)</f>
        <v>QSObject:ContextInput:w1~input.qs_context_add_curve.2359132437744.476.3.0:39437</v>
      </c>
      <c r="E477" s="6" t="str">
        <f>_xll.QS.INSTRUMENT.SWAP("swap.475",H477,B477,"USD","SOFR",I477,J477,0,"Actual360","Simple","Annual","Annual","Annual")</f>
        <v>QSObject:Swap:w1~swap.475:20429</v>
      </c>
      <c r="F477" s="6" t="str">
        <f>_xll.QS.TRADE.CREATE("trade.475",E477,A477,"Receive")</f>
        <v>QSObject:SwapTrade:w1~trade.475:30584</v>
      </c>
      <c r="G477" s="3">
        <f>_xll.QS.EVALUATE(C477,F477)</f>
        <v>26407.204706995773</v>
      </c>
      <c r="H477" s="5" t="s">
        <v>995</v>
      </c>
      <c r="I477" s="7">
        <v>1047500</v>
      </c>
      <c r="J477" s="8">
        <v>3.7500000000000012E-2</v>
      </c>
    </row>
    <row r="478" spans="1:10" x14ac:dyDescent="0.25">
      <c r="A478" s="5" t="s">
        <v>983</v>
      </c>
      <c r="B478" s="5" t="s">
        <v>996</v>
      </c>
      <c r="C478" s="6" t="str">
        <f>_xll.QS.CONTEXT.CREATE("market.476",A478,"USD","SOFR")</f>
        <v>QSObject:PricingContext:w1~market.476:20428</v>
      </c>
      <c r="D478" s="6" t="str">
        <f>_xll.QS.CONTEXT.ADD.CURVE(C478,"SOFR",$K$2:$K$7,$L$2:$L$7,,,"Actual360","LogLinear",TRUE)</f>
        <v>QSObject:ContextInput:w1~input.qs_context_add_curve.2359132437744.477.3.0:39436</v>
      </c>
      <c r="E478" s="6" t="str">
        <f>_xll.QS.INSTRUMENT.SWAP("swap.476",H478,B478,"USD","SOFR",I478,J478,0,"Actual360","Simple","Annual","Annual","Annual")</f>
        <v>QSObject:Swap:w1~swap.476:20427</v>
      </c>
      <c r="F478" s="6" t="str">
        <f>_xll.QS.TRADE.CREATE("trade.476",E478,A478,"Receive")</f>
        <v>QSObject:SwapTrade:w1~trade.476:30583</v>
      </c>
      <c r="G478" s="3">
        <f>_xll.QS.EVALUATE(C478,F478)</f>
        <v>26937.184139703008</v>
      </c>
      <c r="H478" s="5" t="s">
        <v>997</v>
      </c>
      <c r="I478" s="7">
        <v>1047600</v>
      </c>
      <c r="J478" s="8">
        <v>3.7600000000000001E-2</v>
      </c>
    </row>
    <row r="479" spans="1:10" x14ac:dyDescent="0.25">
      <c r="A479" s="5" t="s">
        <v>985</v>
      </c>
      <c r="B479" s="5" t="s">
        <v>998</v>
      </c>
      <c r="C479" s="6" t="str">
        <f>_xll.QS.CONTEXT.CREATE("market.477",A479,"USD","SOFR")</f>
        <v>QSObject:PricingContext:w1~market.477:20426</v>
      </c>
      <c r="D479" s="6" t="str">
        <f>_xll.QS.CONTEXT.ADD.CURVE(C479,"SOFR",$K$2:$K$7,$L$2:$L$7,,,"Actual360","LogLinear",TRUE)</f>
        <v>QSObject:ContextInput:w1~input.qs_context_add_curve.2359132437744.478.3.0:39435</v>
      </c>
      <c r="E479" s="6" t="str">
        <f>_xll.QS.INSTRUMENT.SWAP("swap.477",H479,B479,"USD","SOFR",I479,J479,0,"Actual360","Simple","Annual","Annual","Annual")</f>
        <v>QSObject:Swap:w1~swap.477:20425</v>
      </c>
      <c r="F479" s="6" t="str">
        <f>_xll.QS.TRADE.CREATE("trade.477",E479,A479,"Receive")</f>
        <v>QSObject:SwapTrade:w1~trade.477:30582</v>
      </c>
      <c r="G479" s="3">
        <f>_xll.QS.EVALUATE(C479,F479)</f>
        <v>27499.85115197083</v>
      </c>
      <c r="H479" s="5" t="s">
        <v>999</v>
      </c>
      <c r="I479" s="7">
        <v>1047700</v>
      </c>
      <c r="J479" s="8">
        <v>3.7699999999999997E-2</v>
      </c>
    </row>
    <row r="480" spans="1:10" x14ac:dyDescent="0.25">
      <c r="A480" s="5" t="s">
        <v>987</v>
      </c>
      <c r="B480" s="5" t="s">
        <v>1000</v>
      </c>
      <c r="C480" s="6" t="str">
        <f>_xll.QS.CONTEXT.CREATE("market.478",A480,"USD","SOFR")</f>
        <v>QSObject:PricingContext:w1~market.478:20424</v>
      </c>
      <c r="D480" s="6" t="str">
        <f>_xll.QS.CONTEXT.ADD.CURVE(C480,"SOFR",$K$2:$K$7,$L$2:$L$7,,,"Actual360","LogLinear",TRUE)</f>
        <v>QSObject:ContextInput:w1~input.qs_context_add_curve.2359132437744.479.3.0:39434</v>
      </c>
      <c r="E480" s="6" t="str">
        <f>_xll.QS.INSTRUMENT.SWAP("swap.478",H480,B480,"USD","SOFR",I480,J480,0,"Actual360","Simple","Annual","Annual","Annual")</f>
        <v>QSObject:Swap:w1~swap.478:20423</v>
      </c>
      <c r="F480" s="6" t="str">
        <f>_xll.QS.TRADE.CREATE("trade.478",E480,A480,"Receive")</f>
        <v>QSObject:SwapTrade:w1~trade.478:30581</v>
      </c>
      <c r="G480" s="3">
        <f>_xll.QS.EVALUATE(C480,F480)</f>
        <v>27985.474501700901</v>
      </c>
      <c r="H480" s="5" t="s">
        <v>1001</v>
      </c>
      <c r="I480" s="7">
        <v>1047800</v>
      </c>
      <c r="J480" s="8">
        <v>3.78E-2</v>
      </c>
    </row>
    <row r="481" spans="1:10" x14ac:dyDescent="0.25">
      <c r="A481" s="5" t="s">
        <v>989</v>
      </c>
      <c r="B481" s="5" t="s">
        <v>1002</v>
      </c>
      <c r="C481" s="6" t="str">
        <f>_xll.QS.CONTEXT.CREATE("market.479",A481,"USD","SOFR")</f>
        <v>QSObject:PricingContext:w1~market.479:20422</v>
      </c>
      <c r="D481" s="6" t="str">
        <f>_xll.QS.CONTEXT.ADD.CURVE(C481,"SOFR",$K$2:$K$7,$L$2:$L$7,,,"Actual360","LogLinear",TRUE)</f>
        <v>QSObject:ContextInput:w1~input.qs_context_add_curve.2359132437744.480.3.0:39433</v>
      </c>
      <c r="E481" s="6" t="str">
        <f>_xll.QS.INSTRUMENT.SWAP("swap.479",H481,B481,"USD","SOFR",I481,J481,0,"Actual360","Simple","Annual","Annual","Annual")</f>
        <v>QSObject:Swap:w1~swap.479:20421</v>
      </c>
      <c r="F481" s="6" t="str">
        <f>_xll.QS.TRADE.CREATE("trade.479",E481,A481,"Receive")</f>
        <v>QSObject:SwapTrade:w1~trade.479:30580</v>
      </c>
      <c r="G481" s="3">
        <f>_xll.QS.EVALUATE(C481,F481)</f>
        <v>28477.110553185037</v>
      </c>
      <c r="H481" s="5" t="s">
        <v>1003</v>
      </c>
      <c r="I481" s="7">
        <v>1047900</v>
      </c>
      <c r="J481" s="8">
        <v>3.7900000000000003E-2</v>
      </c>
    </row>
    <row r="482" spans="1:10" x14ac:dyDescent="0.25">
      <c r="A482" s="5" t="s">
        <v>991</v>
      </c>
      <c r="B482" s="5" t="s">
        <v>1004</v>
      </c>
      <c r="C482" s="6" t="str">
        <f>_xll.QS.CONTEXT.CREATE("market.480",A482,"USD","SOFR")</f>
        <v>QSObject:PricingContext:w1~market.480:20420</v>
      </c>
      <c r="D482" s="6" t="str">
        <f>_xll.QS.CONTEXT.ADD.CURVE(C482,"SOFR",$K$2:$K$7,$L$2:$L$7,,,"Actual360","LogLinear",TRUE)</f>
        <v>QSObject:ContextInput:w1~input.qs_context_add_curve.2359132437744.481.3.0:39432</v>
      </c>
      <c r="E482" s="6" t="str">
        <f>_xll.QS.INSTRUMENT.SWAP("swap.480",H482,B482,"USD","SOFR",I482,J482,0,"Actual360","Simple","Annual","Annual","Annual")</f>
        <v>QSObject:Swap:w1~swap.480:20419</v>
      </c>
      <c r="F482" s="6" t="str">
        <f>_xll.QS.TRADE.CREATE("trade.480",E482,A482,"Receive")</f>
        <v>QSObject:SwapTrade:w1~trade.480:30579</v>
      </c>
      <c r="G482" s="3">
        <f>_xll.QS.EVALUATE(C482,F482)</f>
        <v>28964.121047073731</v>
      </c>
      <c r="H482" s="5" t="s">
        <v>1005</v>
      </c>
      <c r="I482" s="7">
        <v>1048000</v>
      </c>
      <c r="J482" s="8">
        <v>3.8000000000000013E-2</v>
      </c>
    </row>
    <row r="483" spans="1:10" x14ac:dyDescent="0.25">
      <c r="A483" s="5" t="s">
        <v>993</v>
      </c>
      <c r="B483" s="5" t="s">
        <v>1006</v>
      </c>
      <c r="C483" s="6" t="str">
        <f>_xll.QS.CONTEXT.CREATE("market.481",A483,"USD","SOFR")</f>
        <v>QSObject:PricingContext:w1~market.481:20418</v>
      </c>
      <c r="D483" s="6" t="str">
        <f>_xll.QS.CONTEXT.ADD.CURVE(C483,"SOFR",$K$2:$K$7,$L$2:$L$7,,,"Actual360","LogLinear",TRUE)</f>
        <v>QSObject:ContextInput:w1~input.qs_context_add_curve.2359132437744.482.3.0:39431</v>
      </c>
      <c r="E483" s="6" t="str">
        <f>_xll.QS.INSTRUMENT.SWAP("swap.481",H483,B483,"USD","SOFR",I483,J483,0,"Actual360","Simple","Annual","Annual","Annual")</f>
        <v>QSObject:Swap:w1~swap.481:20417</v>
      </c>
      <c r="F483" s="6" t="str">
        <f>_xll.QS.TRADE.CREATE("trade.481",E483,A483,"Receive")</f>
        <v>QSObject:SwapTrade:w1~trade.481:30578</v>
      </c>
      <c r="G483" s="3">
        <f>_xll.QS.EVALUATE(C483,F483)</f>
        <v>29320.814649862983</v>
      </c>
      <c r="H483" s="5" t="s">
        <v>1007</v>
      </c>
      <c r="I483" s="7">
        <v>1048100</v>
      </c>
      <c r="J483" s="8">
        <v>3.8100000000000002E-2</v>
      </c>
    </row>
    <row r="484" spans="1:10" x14ac:dyDescent="0.25">
      <c r="A484" s="5" t="s">
        <v>995</v>
      </c>
      <c r="B484" s="5" t="s">
        <v>1008</v>
      </c>
      <c r="C484" s="6" t="str">
        <f>_xll.QS.CONTEXT.CREATE("market.482",A484,"USD","SOFR")</f>
        <v>QSObject:PricingContext:w1~market.482:20416</v>
      </c>
      <c r="D484" s="6" t="str">
        <f>_xll.QS.CONTEXT.ADD.CURVE(C484,"SOFR",$K$2:$K$7,$L$2:$L$7,,,"Actual360","LogLinear",TRUE)</f>
        <v>QSObject:ContextInput:w1~input.qs_context_add_curve.2359132437744.483.3.0:39430</v>
      </c>
      <c r="E484" s="6" t="str">
        <f>_xll.QS.INSTRUMENT.SWAP("swap.482",H484,B484,"USD","SOFR",I484,J484,0,"Actual360","Simple","Annual","Annual","Annual")</f>
        <v>QSObject:Swap:w1~swap.482:20415</v>
      </c>
      <c r="F484" s="6" t="str">
        <f>_xll.QS.TRADE.CREATE("trade.482",E484,A484,"Receive")</f>
        <v>QSObject:SwapTrade:w1~trade.482:30577</v>
      </c>
      <c r="G484" s="3">
        <f>_xll.QS.EVALUATE(C484,F484)</f>
        <v>29809.48125655884</v>
      </c>
      <c r="H484" s="5" t="s">
        <v>1009</v>
      </c>
      <c r="I484" s="7">
        <v>1048200</v>
      </c>
      <c r="J484" s="8">
        <v>3.8199999999999998E-2</v>
      </c>
    </row>
    <row r="485" spans="1:10" x14ac:dyDescent="0.25">
      <c r="A485" s="5" t="s">
        <v>997</v>
      </c>
      <c r="B485" s="5" t="s">
        <v>1010</v>
      </c>
      <c r="C485" s="6" t="str">
        <f>_xll.QS.CONTEXT.CREATE("market.483",A485,"USD","SOFR")</f>
        <v>QSObject:PricingContext:w1~market.483:20414</v>
      </c>
      <c r="D485" s="6" t="str">
        <f>_xll.QS.CONTEXT.ADD.CURVE(C485,"SOFR",$K$2:$K$7,$L$2:$L$7,,,"Actual360","LogLinear",TRUE)</f>
        <v>QSObject:ContextInput:w1~input.qs_context_add_curve.2359132437744.484.3.0:39429</v>
      </c>
      <c r="E485" s="6" t="str">
        <f>_xll.QS.INSTRUMENT.SWAP("swap.483",H485,B485,"USD","SOFR",I485,J485,0,"Actual360","Simple","Annual","Annual","Annual")</f>
        <v>QSObject:Swap:w1~swap.483:20413</v>
      </c>
      <c r="F485" s="6" t="str">
        <f>_xll.QS.TRADE.CREATE("trade.483",E485,A485,"Receive")</f>
        <v>QSObject:SwapTrade:w1~trade.483:30576</v>
      </c>
      <c r="G485" s="3">
        <f>_xll.QS.EVALUATE(C485,F485)</f>
        <v>30340.590343532622</v>
      </c>
      <c r="H485" s="5" t="s">
        <v>1011</v>
      </c>
      <c r="I485" s="7">
        <v>1048300</v>
      </c>
      <c r="J485" s="8">
        <v>3.8300000000000001E-2</v>
      </c>
    </row>
    <row r="486" spans="1:10" x14ac:dyDescent="0.25">
      <c r="A486" s="5" t="s">
        <v>999</v>
      </c>
      <c r="B486" s="5" t="s">
        <v>1012</v>
      </c>
      <c r="C486" s="6" t="str">
        <f>_xll.QS.CONTEXT.CREATE("market.484",A486,"USD","SOFR")</f>
        <v>QSObject:PricingContext:w1~market.484:20412</v>
      </c>
      <c r="D486" s="6" t="str">
        <f>_xll.QS.CONTEXT.ADD.CURVE(C486,"SOFR",$K$2:$K$7,$L$2:$L$7,,,"Actual360","LogLinear",TRUE)</f>
        <v>QSObject:ContextInput:w1~input.qs_context_add_curve.2359132437744.485.3.0:39428</v>
      </c>
      <c r="E486" s="6" t="str">
        <f>_xll.QS.INSTRUMENT.SWAP("swap.484",H486,B486,"USD","SOFR",I486,J486,0,"Actual360","Simple","Annual","Annual","Annual")</f>
        <v>QSObject:Swap:w1~swap.484:20411</v>
      </c>
      <c r="F486" s="6" t="str">
        <f>_xll.QS.TRADE.CREATE("trade.484",E486,A486,"Receive")</f>
        <v>QSObject:SwapTrade:w1~trade.484:30575</v>
      </c>
      <c r="G486" s="3">
        <f>_xll.QS.EVALUATE(C486,F486)</f>
        <v>30903.854419390118</v>
      </c>
      <c r="H486" s="5" t="s">
        <v>1013</v>
      </c>
      <c r="I486" s="7">
        <v>1048400</v>
      </c>
      <c r="J486" s="8">
        <v>3.8399999999999997E-2</v>
      </c>
    </row>
    <row r="487" spans="1:10" x14ac:dyDescent="0.25">
      <c r="A487" s="5" t="s">
        <v>1001</v>
      </c>
      <c r="B487" s="5" t="s">
        <v>1014</v>
      </c>
      <c r="C487" s="6" t="str">
        <f>_xll.QS.CONTEXT.CREATE("market.485",A487,"USD","SOFR")</f>
        <v>QSObject:PricingContext:w1~market.485:20410</v>
      </c>
      <c r="D487" s="6" t="str">
        <f>_xll.QS.CONTEXT.ADD.CURVE(C487,"SOFR",$K$2:$K$7,$L$2:$L$7,,,"Actual360","LogLinear",TRUE)</f>
        <v>QSObject:ContextInput:w1~input.qs_context_add_curve.2359132437744.486.3.0:39427</v>
      </c>
      <c r="E487" s="6" t="str">
        <f>_xll.QS.INSTRUMENT.SWAP("swap.485",H487,B487,"USD","SOFR",I487,J487,0,"Actual360","Simple","Annual","Annual","Annual")</f>
        <v>QSObject:Swap:w1~swap.485:20409</v>
      </c>
      <c r="F487" s="6" t="str">
        <f>_xll.QS.TRADE.CREATE("trade.485",E487,A487,"Receive")</f>
        <v>QSObject:SwapTrade:w1~trade.485:30574</v>
      </c>
      <c r="G487" s="3">
        <f>_xll.QS.EVALUATE(C487,F487)</f>
        <v>31390.378183148172</v>
      </c>
      <c r="H487" s="5" t="s">
        <v>1015</v>
      </c>
      <c r="I487" s="7">
        <v>1048500</v>
      </c>
      <c r="J487" s="8">
        <v>3.8500000000000013E-2</v>
      </c>
    </row>
    <row r="488" spans="1:10" x14ac:dyDescent="0.25">
      <c r="A488" s="5" t="s">
        <v>1003</v>
      </c>
      <c r="B488" s="5" t="s">
        <v>1016</v>
      </c>
      <c r="C488" s="6" t="str">
        <f>_xll.QS.CONTEXT.CREATE("market.486",A488,"USD","SOFR")</f>
        <v>QSObject:PricingContext:w1~market.486:20408</v>
      </c>
      <c r="D488" s="6" t="str">
        <f>_xll.QS.CONTEXT.ADD.CURVE(C488,"SOFR",$K$2:$K$7,$L$2:$L$7,,,"Actual360","LogLinear",TRUE)</f>
        <v>QSObject:ContextInput:w1~input.qs_context_add_curve.2359132437744.487.3.0:39426</v>
      </c>
      <c r="E488" s="6" t="str">
        <f>_xll.QS.INSTRUMENT.SWAP("swap.486",H488,B488,"USD","SOFR",I488,J488,0,"Actual360","Simple","Annual","Annual","Annual")</f>
        <v>QSObject:Swap:w1~swap.486:20407</v>
      </c>
      <c r="F488" s="6" t="str">
        <f>_xll.QS.TRADE.CREATE("trade.486",E488,A488,"Receive")</f>
        <v>QSObject:SwapTrade:w1~trade.486:30573</v>
      </c>
      <c r="G488" s="3">
        <f>_xll.QS.EVALUATE(C488,F488)</f>
        <v>31882.798846676345</v>
      </c>
      <c r="H488" s="5" t="s">
        <v>1017</v>
      </c>
      <c r="I488" s="7">
        <v>1048600</v>
      </c>
      <c r="J488" s="8">
        <v>3.8600000000000002E-2</v>
      </c>
    </row>
    <row r="489" spans="1:10" x14ac:dyDescent="0.25">
      <c r="A489" s="5" t="s">
        <v>1005</v>
      </c>
      <c r="B489" s="5" t="s">
        <v>1018</v>
      </c>
      <c r="C489" s="6" t="str">
        <f>_xll.QS.CONTEXT.CREATE("market.487",A489,"USD","SOFR")</f>
        <v>QSObject:PricingContext:w1~market.487:20406</v>
      </c>
      <c r="D489" s="6" t="str">
        <f>_xll.QS.CONTEXT.ADD.CURVE(C489,"SOFR",$K$2:$K$7,$L$2:$L$7,,,"Actual360","LogLinear",TRUE)</f>
        <v>QSObject:ContextInput:w1~input.qs_context_add_curve.2359132437744.488.3.0:39425</v>
      </c>
      <c r="E489" s="6" t="str">
        <f>_xll.QS.INSTRUMENT.SWAP("swap.487",H489,B489,"USD","SOFR",I489,J489,0,"Actual360","Simple","Annual","Annual","Annual")</f>
        <v>QSObject:Swap:w1~swap.487:20405</v>
      </c>
      <c r="F489" s="6" t="str">
        <f>_xll.QS.TRADE.CREATE("trade.487",E489,A489,"Receive")</f>
        <v>QSObject:SwapTrade:w1~trade.487:30572</v>
      </c>
      <c r="G489" s="3">
        <f>_xll.QS.EVALUATE(C489,F489)</f>
        <v>32370.577949143564</v>
      </c>
      <c r="H489" s="5" t="s">
        <v>1019</v>
      </c>
      <c r="I489" s="7">
        <v>1048700</v>
      </c>
      <c r="J489" s="8">
        <v>3.8700000000000012E-2</v>
      </c>
    </row>
    <row r="490" spans="1:10" x14ac:dyDescent="0.25">
      <c r="A490" s="5" t="s">
        <v>1007</v>
      </c>
      <c r="B490" s="5" t="s">
        <v>1020</v>
      </c>
      <c r="C490" s="6" t="str">
        <f>_xll.QS.CONTEXT.CREATE("market.488",A490,"USD","SOFR")</f>
        <v>QSObject:PricingContext:w1~market.488:20404</v>
      </c>
      <c r="D490" s="6" t="str">
        <f>_xll.QS.CONTEXT.ADD.CURVE(C490,"SOFR",$K$2:$K$7,$L$2:$L$7,,,"Actual360","LogLinear",TRUE)</f>
        <v>QSObject:ContextInput:w1~input.qs_context_add_curve.2359132437744.489.3.0:39424</v>
      </c>
      <c r="E490" s="6" t="str">
        <f>_xll.QS.INSTRUMENT.SWAP("swap.488",H490,B490,"USD","SOFR",I490,J490,0,"Actual360","Simple","Annual","Annual","Annual")</f>
        <v>QSObject:Swap:w1~swap.488:20403</v>
      </c>
      <c r="F490" s="6" t="str">
        <f>_xll.QS.TRADE.CREATE("trade.488",E490,A490,"Receive")</f>
        <v>QSObject:SwapTrade:w1~trade.488:30571</v>
      </c>
      <c r="G490" s="3">
        <f>_xll.QS.EVALUATE(C490,F490)</f>
        <v>32727.149012316691</v>
      </c>
      <c r="H490" s="5" t="s">
        <v>1021</v>
      </c>
      <c r="I490" s="7">
        <v>1048800</v>
      </c>
      <c r="J490" s="8">
        <v>3.8800000000000001E-2</v>
      </c>
    </row>
    <row r="491" spans="1:10" x14ac:dyDescent="0.25">
      <c r="A491" s="5" t="s">
        <v>1009</v>
      </c>
      <c r="B491" s="5" t="s">
        <v>1022</v>
      </c>
      <c r="C491" s="6" t="str">
        <f>_xll.QS.CONTEXT.CREATE("market.489",A491,"USD","SOFR")</f>
        <v>QSObject:PricingContext:w1~market.489:20402</v>
      </c>
      <c r="D491" s="6" t="str">
        <f>_xll.QS.CONTEXT.ADD.CURVE(C491,"SOFR",$K$2:$K$7,$L$2:$L$7,,,"Actual360","LogLinear",TRUE)</f>
        <v>QSObject:ContextInput:w1~input.qs_context_add_curve.2359132437744.490.3.0:39423</v>
      </c>
      <c r="E491" s="6" t="str">
        <f>_xll.QS.INSTRUMENT.SWAP("swap.489",H491,B491,"USD","SOFR",I491,J491,0,"Actual360","Simple","Annual","Annual","Annual")</f>
        <v>QSObject:Swap:w1~swap.489:20401</v>
      </c>
      <c r="F491" s="6" t="str">
        <f>_xll.QS.TRADE.CREATE("trade.489",E491,A491,"Receive")</f>
        <v>QSObject:SwapTrade:w1~trade.489:30570</v>
      </c>
      <c r="G491" s="3">
        <f>_xll.QS.EVALUATE(C491,F491)</f>
        <v>33216.747117581057</v>
      </c>
      <c r="H491" s="5" t="s">
        <v>1023</v>
      </c>
      <c r="I491" s="7">
        <v>1048900</v>
      </c>
      <c r="J491" s="8">
        <v>3.8899999999999997E-2</v>
      </c>
    </row>
    <row r="492" spans="1:10" x14ac:dyDescent="0.25">
      <c r="A492" s="5" t="s">
        <v>1011</v>
      </c>
      <c r="B492" s="5" t="s">
        <v>1024</v>
      </c>
      <c r="C492" s="6" t="str">
        <f>_xll.QS.CONTEXT.CREATE("market.490",A492,"USD","SOFR")</f>
        <v>QSObject:PricingContext:w1~market.490:20400</v>
      </c>
      <c r="D492" s="6" t="str">
        <f>_xll.QS.CONTEXT.ADD.CURVE(C492,"SOFR",$K$2:$K$7,$L$2:$L$7,,,"Actual360","LogLinear",TRUE)</f>
        <v>QSObject:ContextInput:w1~input.qs_context_add_curve.2359132437744.491.3.0:39422</v>
      </c>
      <c r="E492" s="6" t="str">
        <f>_xll.QS.INSTRUMENT.SWAP("swap.490",H492,B492,"USD","SOFR",I492,J492,0,"Actual360","Simple","Annual","Annual","Annual")</f>
        <v>QSObject:Swap:w1~swap.490:20399</v>
      </c>
      <c r="F492" s="6" t="str">
        <f>_xll.QS.TRADE.CREATE("trade.490",E492,A492,"Receive")</f>
        <v>QSObject:SwapTrade:w1~trade.490:30569</v>
      </c>
      <c r="G492" s="3">
        <f>_xll.QS.EVALUATE(C492,F492)</f>
        <v>33748.62890138205</v>
      </c>
      <c r="H492" s="5" t="s">
        <v>1025</v>
      </c>
      <c r="I492" s="7">
        <v>1049000</v>
      </c>
      <c r="J492" s="8">
        <v>3.9000000000000007E-2</v>
      </c>
    </row>
    <row r="493" spans="1:10" x14ac:dyDescent="0.25">
      <c r="A493" s="5" t="s">
        <v>1013</v>
      </c>
      <c r="B493" s="5" t="s">
        <v>1026</v>
      </c>
      <c r="C493" s="6" t="str">
        <f>_xll.QS.CONTEXT.CREATE("market.491",A493,"USD","SOFR")</f>
        <v>QSObject:PricingContext:w1~market.491:20398</v>
      </c>
      <c r="D493" s="6" t="str">
        <f>_xll.QS.CONTEXT.ADD.CURVE(C493,"SOFR",$K$2:$K$7,$L$2:$L$7,,,"Actual360","LogLinear",TRUE)</f>
        <v>QSObject:ContextInput:w1~input.qs_context_add_curve.2359132437744.492.3.0:39421</v>
      </c>
      <c r="E493" s="6" t="str">
        <f>_xll.QS.INSTRUMENT.SWAP("swap.491",H493,B493,"USD","SOFR",I493,J493,0,"Actual360","Simple","Annual","Annual","Annual")</f>
        <v>QSObject:Swap:w1~swap.491:20397</v>
      </c>
      <c r="F493" s="6" t="str">
        <f>_xll.QS.TRADE.CREATE("trade.491",E493,A493,"Receive")</f>
        <v>QSObject:SwapTrade:w1~trade.491:30568</v>
      </c>
      <c r="G493" s="3">
        <f>_xll.QS.EVALUATE(C493,F493)</f>
        <v>34312.640376938696</v>
      </c>
      <c r="H493" s="5" t="s">
        <v>1027</v>
      </c>
      <c r="I493" s="7">
        <v>1049100</v>
      </c>
      <c r="J493" s="8">
        <v>3.9100000000000003E-2</v>
      </c>
    </row>
    <row r="494" spans="1:10" x14ac:dyDescent="0.25">
      <c r="A494" s="5" t="s">
        <v>1015</v>
      </c>
      <c r="B494" s="5" t="s">
        <v>1028</v>
      </c>
      <c r="C494" s="6" t="str">
        <f>_xll.QS.CONTEXT.CREATE("market.492",A494,"USD","SOFR")</f>
        <v>QSObject:PricingContext:w1~market.492:20396</v>
      </c>
      <c r="D494" s="6" t="str">
        <f>_xll.QS.CONTEXT.ADD.CURVE(C494,"SOFR",$K$2:$K$7,$L$2:$L$7,,,"Actual360","LogLinear",TRUE)</f>
        <v>QSObject:ContextInput:w1~input.qs_context_add_curve.2359132437744.493.3.0:39420</v>
      </c>
      <c r="E494" s="6" t="str">
        <f>_xll.QS.INSTRUMENT.SWAP("swap.492",H494,B494,"USD","SOFR",I494,J494,0,"Actual360","Simple","Annual","Annual","Annual")</f>
        <v>QSObject:Swap:w1~swap.492:20395</v>
      </c>
      <c r="F494" s="6" t="str">
        <f>_xll.QS.TRADE.CREATE("trade.492",E494,A494,"Receive")</f>
        <v>QSObject:SwapTrade:w1~trade.492:30567</v>
      </c>
      <c r="G494" s="3">
        <f>_xll.QS.EVALUATE(C494,F494)</f>
        <v>34799.803267109135</v>
      </c>
      <c r="H494" s="5" t="s">
        <v>1029</v>
      </c>
      <c r="I494" s="7">
        <v>1049200</v>
      </c>
      <c r="J494" s="8">
        <v>3.9200000000000013E-2</v>
      </c>
    </row>
    <row r="495" spans="1:10" x14ac:dyDescent="0.25">
      <c r="A495" s="5" t="s">
        <v>1017</v>
      </c>
      <c r="B495" s="5" t="s">
        <v>1030</v>
      </c>
      <c r="C495" s="6" t="str">
        <f>_xll.QS.CONTEXT.CREATE("market.493",A495,"USD","SOFR")</f>
        <v>QSObject:PricingContext:w1~market.493:20394</v>
      </c>
      <c r="D495" s="6" t="str">
        <f>_xll.QS.CONTEXT.ADD.CURVE(C495,"SOFR",$K$2:$K$7,$L$2:$L$7,,,"Actual360","LogLinear",TRUE)</f>
        <v>QSObject:ContextInput:w1~input.qs_context_add_curve.2359132437744.494.3.0:39419</v>
      </c>
      <c r="E495" s="6" t="str">
        <f>_xll.QS.INSTRUMENT.SWAP("swap.493",H495,B495,"USD","SOFR",I495,J495,0,"Actual360","Simple","Annual","Annual","Annual")</f>
        <v>QSObject:Swap:w1~swap.493:20393</v>
      </c>
      <c r="F495" s="6" t="str">
        <f>_xll.QS.TRADE.CREATE("trade.493",E495,A495,"Receive")</f>
        <v>QSObject:SwapTrade:w1~trade.493:30566</v>
      </c>
      <c r="G495" s="3">
        <f>_xll.QS.EVALUATE(C495,F495)</f>
        <v>35292.883057657484</v>
      </c>
      <c r="H495" s="5" t="s">
        <v>1031</v>
      </c>
      <c r="I495" s="7">
        <v>1049300</v>
      </c>
      <c r="J495" s="8">
        <v>3.9300000000000002E-2</v>
      </c>
    </row>
    <row r="496" spans="1:10" x14ac:dyDescent="0.25">
      <c r="A496" s="5" t="s">
        <v>1019</v>
      </c>
      <c r="B496" s="5" t="s">
        <v>1032</v>
      </c>
      <c r="C496" s="6" t="str">
        <f>_xll.QS.CONTEXT.CREATE("market.494",A496,"USD","SOFR")</f>
        <v>QSObject:PricingContext:w1~market.494:20392</v>
      </c>
      <c r="D496" s="6" t="str">
        <f>_xll.QS.CONTEXT.ADD.CURVE(C496,"SOFR",$K$2:$K$7,$L$2:$L$7,,,"Actual360","LogLinear",TRUE)</f>
        <v>QSObject:ContextInput:w1~input.qs_context_add_curve.2359132437744.495.3.0:39418</v>
      </c>
      <c r="E496" s="6" t="str">
        <f>_xll.QS.INSTRUMENT.SWAP("swap.494",H496,B496,"USD","SOFR",I496,J496,0,"Actual360","Simple","Annual","Annual","Annual")</f>
        <v>QSObject:Swap:w1~swap.494:20391</v>
      </c>
      <c r="F496" s="6" t="str">
        <f>_xll.QS.TRADE.CREATE("trade.494",E496,A496,"Receive")</f>
        <v>QSObject:SwapTrade:w1~trade.494:30565</v>
      </c>
      <c r="G496" s="3">
        <f>_xll.QS.EVALUATE(C496,F496)</f>
        <v>35781.321578506722</v>
      </c>
      <c r="H496" s="5" t="s">
        <v>1033</v>
      </c>
      <c r="I496" s="7">
        <v>1049400</v>
      </c>
      <c r="J496" s="8">
        <v>3.9399999999999998E-2</v>
      </c>
    </row>
    <row r="497" spans="1:10" x14ac:dyDescent="0.25">
      <c r="A497" s="5" t="s">
        <v>1021</v>
      </c>
      <c r="B497" s="5" t="s">
        <v>1034</v>
      </c>
      <c r="C497" s="6" t="str">
        <f>_xll.QS.CONTEXT.CREATE("market.495",A497,"USD","SOFR")</f>
        <v>QSObject:PricingContext:w1~market.495:20390</v>
      </c>
      <c r="D497" s="6" t="str">
        <f>_xll.QS.CONTEXT.ADD.CURVE(C497,"SOFR",$K$2:$K$7,$L$2:$L$7,,,"Actual360","LogLinear",TRUE)</f>
        <v>QSObject:ContextInput:w1~input.qs_context_add_curve.2359132437744.496.3.0:39417</v>
      </c>
      <c r="E497" s="6" t="str">
        <f>_xll.QS.INSTRUMENT.SWAP("swap.495",H497,B497,"USD","SOFR",I497,J497,0,"Actual360","Simple","Annual","Annual","Annual")</f>
        <v>QSObject:Swap:w1~swap.495:20389</v>
      </c>
      <c r="F497" s="6" t="str">
        <f>_xll.QS.TRADE.CREATE("trade.495",E497,A497,"Receive")</f>
        <v>QSObject:SwapTrade:w1~trade.495:30564</v>
      </c>
      <c r="G497" s="3">
        <f>_xll.QS.EVALUATE(C497,F497)</f>
        <v>36137.769781276002</v>
      </c>
      <c r="H497" s="5" t="s">
        <v>1035</v>
      </c>
      <c r="I497" s="7">
        <v>1049500</v>
      </c>
      <c r="J497" s="8">
        <v>3.9500000000000007E-2</v>
      </c>
    </row>
    <row r="498" spans="1:10" x14ac:dyDescent="0.25">
      <c r="A498" s="5" t="s">
        <v>1023</v>
      </c>
      <c r="B498" s="5" t="s">
        <v>1036</v>
      </c>
      <c r="C498" s="6" t="str">
        <f>_xll.QS.CONTEXT.CREATE("market.496",A498,"USD","SOFR")</f>
        <v>QSObject:PricingContext:w1~market.496:20388</v>
      </c>
      <c r="D498" s="6" t="str">
        <f>_xll.QS.CONTEXT.ADD.CURVE(C498,"SOFR",$K$2:$K$7,$L$2:$L$7,,,"Actual360","LogLinear",TRUE)</f>
        <v>QSObject:ContextInput:w1~input.qs_context_add_curve.2359132437744.497.3.0:39416</v>
      </c>
      <c r="E498" s="6" t="str">
        <f>_xll.QS.INSTRUMENT.SWAP("swap.496",H498,B498,"USD","SOFR",I498,J498,0,"Actual360","Simple","Annual","Annual","Annual")</f>
        <v>QSObject:Swap:w1~swap.496:20387</v>
      </c>
      <c r="F498" s="6" t="str">
        <f>_xll.QS.TRADE.CREATE("trade.496",E498,A498,"Receive")</f>
        <v>QSObject:SwapTrade:w1~trade.496:30563</v>
      </c>
      <c r="G498" s="3">
        <f>_xll.QS.EVALUATE(C498,F498)</f>
        <v>36628.29967592044</v>
      </c>
      <c r="H498" s="5" t="s">
        <v>1037</v>
      </c>
      <c r="I498" s="7">
        <v>1049600</v>
      </c>
      <c r="J498" s="8">
        <v>3.9600000000000003E-2</v>
      </c>
    </row>
    <row r="499" spans="1:10" x14ac:dyDescent="0.25">
      <c r="A499" s="5" t="s">
        <v>1025</v>
      </c>
      <c r="B499" s="5" t="s">
        <v>1038</v>
      </c>
      <c r="C499" s="6" t="str">
        <f>_xll.QS.CONTEXT.CREATE("market.497",A499,"USD","SOFR")</f>
        <v>QSObject:PricingContext:w1~market.497:20386</v>
      </c>
      <c r="D499" s="6" t="str">
        <f>_xll.QS.CONTEXT.ADD.CURVE(C499,"SOFR",$K$2:$K$7,$L$2:$L$7,,,"Actual360","LogLinear",TRUE)</f>
        <v>QSObject:ContextInput:w1~input.qs_context_add_curve.2359132437744.498.3.0:39415</v>
      </c>
      <c r="E499" s="6" t="str">
        <f>_xll.QS.INSTRUMENT.SWAP("swap.497",H499,B499,"USD","SOFR",I499,J499,0,"Actual360","Simple","Annual","Annual","Annual")</f>
        <v>QSObject:Swap:w1~swap.497:20385</v>
      </c>
      <c r="F499" s="6" t="str">
        <f>_xll.QS.TRADE.CREATE("trade.497",E499,A499,"Receive")</f>
        <v>QSObject:SwapTrade:w1~trade.497:30562</v>
      </c>
      <c r="G499" s="3">
        <f>_xll.QS.EVALUATE(C499,F499)</f>
        <v>37161.188803534911</v>
      </c>
      <c r="H499" s="5" t="s">
        <v>1039</v>
      </c>
      <c r="I499" s="7">
        <v>1049700</v>
      </c>
      <c r="J499" s="8">
        <v>3.9700000000000013E-2</v>
      </c>
    </row>
    <row r="500" spans="1:10" x14ac:dyDescent="0.25">
      <c r="A500" s="5" t="s">
        <v>1027</v>
      </c>
      <c r="B500" s="5" t="s">
        <v>1040</v>
      </c>
      <c r="C500" s="6" t="str">
        <f>_xll.QS.CONTEXT.CREATE("market.498",A500,"USD","SOFR")</f>
        <v>QSObject:PricingContext:w1~market.498:20384</v>
      </c>
      <c r="D500" s="6" t="str">
        <f>_xll.QS.CONTEXT.ADD.CURVE(C500,"SOFR",$K$2:$K$7,$L$2:$L$7,,,"Actual360","LogLinear",TRUE)</f>
        <v>QSObject:ContextInput:w1~input.qs_context_add_curve.2359132437744.499.3.0:39414</v>
      </c>
      <c r="E500" s="6" t="str">
        <f>_xll.QS.INSTRUMENT.SWAP("swap.498",H500,B500,"USD","SOFR",I500,J500,0,"Actual360","Simple","Annual","Annual","Annual")</f>
        <v>QSObject:Swap:w1~swap.498:20383</v>
      </c>
      <c r="F500" s="6" t="str">
        <f>_xll.QS.TRADE.CREATE("trade.498",E500,A500,"Receive")</f>
        <v>QSObject:SwapTrade:w1~trade.498:30561</v>
      </c>
      <c r="G500" s="3">
        <f>_xll.QS.EVALUATE(C500,F500)</f>
        <v>37725.947745910227</v>
      </c>
      <c r="H500" s="5" t="s">
        <v>1041</v>
      </c>
      <c r="I500" s="7">
        <v>1049800</v>
      </c>
      <c r="J500" s="8">
        <v>3.9800000000000002E-2</v>
      </c>
    </row>
    <row r="501" spans="1:10" x14ac:dyDescent="0.25">
      <c r="A501" s="5" t="s">
        <v>1029</v>
      </c>
      <c r="B501" s="5" t="s">
        <v>1042</v>
      </c>
      <c r="C501" s="6" t="str">
        <f>_xll.QS.CONTEXT.CREATE("market.499",A501,"USD","SOFR")</f>
        <v>QSObject:PricingContext:w1~market.499:20382</v>
      </c>
      <c r="D501" s="6" t="str">
        <f>_xll.QS.CONTEXT.ADD.CURVE(C501,"SOFR",$K$2:$K$7,$L$2:$L$7,,,"Actual360","LogLinear",TRUE)</f>
        <v>QSObject:ContextInput:w1~input.qs_context_add_curve.2359132437744.500.3.0:39413</v>
      </c>
      <c r="E501" s="6" t="str">
        <f>_xll.QS.INSTRUMENT.SWAP("swap.499",H501,B501,"USD","SOFR",I501,J501,0,"Actual360","Simple","Annual","Annual","Annual")</f>
        <v>QSObject:Swap:w1~swap.499:20381</v>
      </c>
      <c r="F501" s="6" t="str">
        <f>_xll.QS.TRADE.CREATE("trade.499",E501,A501,"Receive")</f>
        <v>QSObject:SwapTrade:w1~trade.499:30560</v>
      </c>
      <c r="G501" s="3">
        <f>_xll.QS.EVALUATE(C501,F501)</f>
        <v>38213.749753584088</v>
      </c>
      <c r="H501" s="5" t="s">
        <v>1043</v>
      </c>
      <c r="I501" s="7">
        <v>1049900</v>
      </c>
      <c r="J501" s="8">
        <v>3.9899999999999998E-2</v>
      </c>
    </row>
    <row r="502" spans="1:10" x14ac:dyDescent="0.25">
      <c r="A502" s="5" t="s">
        <v>1031</v>
      </c>
      <c r="B502" s="5" t="s">
        <v>1044</v>
      </c>
      <c r="C502" s="6" t="str">
        <f>_xll.QS.CONTEXT.CREATE("market.500",A502,"USD","SOFR")</f>
        <v>QSObject:PricingContext:w1~market.500:20380</v>
      </c>
      <c r="D502" s="6" t="str">
        <f>_xll.QS.CONTEXT.ADD.CURVE(C502,"SOFR",$K$2:$K$7,$L$2:$L$7,,,"Actual360","LogLinear",TRUE)</f>
        <v>QSObject:ContextInput:w1~input.qs_context_add_curve.2359132437744.501.3.0:39412</v>
      </c>
      <c r="E502" s="6" t="str">
        <f>_xll.QS.INSTRUMENT.SWAP("swap.500",H502,B502,"USD","SOFR",I502,J502,0,"Actual360","Simple","Annual","Annual","Annual")</f>
        <v>QSObject:Swap:w1~swap.500:20379</v>
      </c>
      <c r="F502" s="6" t="str">
        <f>_xll.QS.TRADE.CREATE("trade.500",E502,A502,"Receive")</f>
        <v>QSObject:SwapTrade:w1~trade.500:30559</v>
      </c>
      <c r="G502" s="3">
        <f>_xll.QS.EVALUATE(C502,F502)</f>
        <v>14485.524632873239</v>
      </c>
      <c r="H502" s="5" t="s">
        <v>1045</v>
      </c>
      <c r="I502" s="7">
        <v>1050000</v>
      </c>
      <c r="J502" s="8">
        <v>3.5000000000000003E-2</v>
      </c>
    </row>
    <row r="503" spans="1:10" x14ac:dyDescent="0.25">
      <c r="A503" s="5" t="s">
        <v>1033</v>
      </c>
      <c r="B503" s="5" t="s">
        <v>1046</v>
      </c>
      <c r="C503" s="6" t="str">
        <f>_xll.QS.CONTEXT.CREATE("market.501",A503,"USD","SOFR")</f>
        <v>QSObject:PricingContext:w1~market.501:20378</v>
      </c>
      <c r="D503" s="6" t="str">
        <f>_xll.QS.CONTEXT.ADD.CURVE(C503,"SOFR",$K$2:$K$7,$L$2:$L$7,,,"Actual360","LogLinear",TRUE)</f>
        <v>QSObject:ContextInput:w1~input.qs_context_add_curve.2359132437744.502.3.0:39411</v>
      </c>
      <c r="E503" s="6" t="str">
        <f>_xll.QS.INSTRUMENT.SWAP("swap.501",H503,B503,"USD","SOFR",I503,J503,0,"Actual360","Simple","Annual","Annual","Annual")</f>
        <v>QSObject:Swap:w1~swap.501:20377</v>
      </c>
      <c r="F503" s="6" t="str">
        <f>_xll.QS.TRADE.CREATE("trade.501",E503,A503,"Receive")</f>
        <v>QSObject:SwapTrade:w1~trade.501:30558</v>
      </c>
      <c r="G503" s="3">
        <f>_xll.QS.EVALUATE(C503,F503)</f>
        <v>14972.521258544868</v>
      </c>
      <c r="H503" s="5" t="s">
        <v>1047</v>
      </c>
      <c r="I503" s="7">
        <v>1050100</v>
      </c>
      <c r="J503" s="8">
        <v>3.5100000000000013E-2</v>
      </c>
    </row>
    <row r="504" spans="1:10" x14ac:dyDescent="0.25">
      <c r="A504" s="5" t="s">
        <v>1035</v>
      </c>
      <c r="B504" s="5" t="s">
        <v>1048</v>
      </c>
      <c r="C504" s="6" t="str">
        <f>_xll.QS.CONTEXT.CREATE("market.502",A504,"USD","SOFR")</f>
        <v>QSObject:PricingContext:w1~market.502:20376</v>
      </c>
      <c r="D504" s="6" t="str">
        <f>_xll.QS.CONTEXT.ADD.CURVE(C504,"SOFR",$K$2:$K$7,$L$2:$L$7,,,"Actual360","LogLinear",TRUE)</f>
        <v>QSObject:ContextInput:w1~input.qs_context_add_curve.2359132437744.503.3.0:39410</v>
      </c>
      <c r="E504" s="6" t="str">
        <f>_xll.QS.INSTRUMENT.SWAP("swap.502",H504,B504,"USD","SOFR",I504,J504,0,"Actual360","Simple","Annual","Annual","Annual")</f>
        <v>QSObject:Swap:w1~swap.502:20375</v>
      </c>
      <c r="F504" s="6" t="str">
        <f>_xll.QS.TRADE.CREATE("trade.502",E504,A504,"Receive")</f>
        <v>QSObject:SwapTrade:w1~trade.502:30557</v>
      </c>
      <c r="G504" s="3">
        <f>_xll.QS.EVALUATE(C504,F504)</f>
        <v>15288.707903254191</v>
      </c>
      <c r="H504" s="5" t="s">
        <v>1049</v>
      </c>
      <c r="I504" s="7">
        <v>1050200</v>
      </c>
      <c r="J504" s="8">
        <v>3.5200000000000002E-2</v>
      </c>
    </row>
    <row r="505" spans="1:10" x14ac:dyDescent="0.25">
      <c r="A505" s="5" t="s">
        <v>1037</v>
      </c>
      <c r="B505" s="5" t="s">
        <v>1050</v>
      </c>
      <c r="C505" s="6" t="str">
        <f>_xll.QS.CONTEXT.CREATE("market.503",A505,"USD","SOFR")</f>
        <v>QSObject:PricingContext:w1~market.503:20374</v>
      </c>
      <c r="D505" s="6" t="str">
        <f>_xll.QS.CONTEXT.ADD.CURVE(C505,"SOFR",$K$2:$K$7,$L$2:$L$7,,,"Actual360","LogLinear",TRUE)</f>
        <v>QSObject:ContextInput:w1~input.qs_context_add_curve.2359132437744.504.3.0:39409</v>
      </c>
      <c r="E505" s="6" t="str">
        <f>_xll.QS.INSTRUMENT.SWAP("swap.503",H505,B505,"USD","SOFR",I505,J505,0,"Actual360","Simple","Annual","Annual","Annual")</f>
        <v>QSObject:Swap:w1~swap.503:20373</v>
      </c>
      <c r="F505" s="6" t="str">
        <f>_xll.QS.TRADE.CREATE("trade.503",E505,A505,"Receive")</f>
        <v>QSObject:SwapTrade:w1~trade.503:30556</v>
      </c>
      <c r="G505" s="3">
        <f>_xll.QS.EVALUATE(C505,F505)</f>
        <v>15775.843502022843</v>
      </c>
      <c r="H505" s="5" t="s">
        <v>1051</v>
      </c>
      <c r="I505" s="7">
        <v>1050300</v>
      </c>
      <c r="J505" s="8">
        <v>3.5299999999999998E-2</v>
      </c>
    </row>
    <row r="506" spans="1:10" x14ac:dyDescent="0.25">
      <c r="A506" s="5" t="s">
        <v>1039</v>
      </c>
      <c r="B506" s="5" t="s">
        <v>1052</v>
      </c>
      <c r="C506" s="6" t="str">
        <f>_xll.QS.CONTEXT.CREATE("market.504",A506,"USD","SOFR")</f>
        <v>QSObject:PricingContext:w1~market.504:20372</v>
      </c>
      <c r="D506" s="6" t="str">
        <f>_xll.QS.CONTEXT.ADD.CURVE(C506,"SOFR",$K$2:$K$7,$L$2:$L$7,,,"Actual360","LogLinear",TRUE)</f>
        <v>QSObject:ContextInput:w1~input.qs_context_add_curve.2359132437744.505.3.0:39408</v>
      </c>
      <c r="E506" s="6" t="str">
        <f>_xll.QS.INSTRUMENT.SWAP("swap.504",H506,B506,"USD","SOFR",I506,J506,0,"Actual360","Simple","Annual","Annual","Annual")</f>
        <v>QSObject:Swap:w1~swap.504:20371</v>
      </c>
      <c r="F506" s="6" t="str">
        <f>_xll.QS.TRADE.CREATE("trade.504",E506,A506,"Receive")</f>
        <v>QSObject:SwapTrade:w1~trade.504:30555</v>
      </c>
      <c r="G506" s="3">
        <f>_xll.QS.EVALUATE(C506,F506)</f>
        <v>16304.994494659124</v>
      </c>
      <c r="H506" s="5" t="s">
        <v>1053</v>
      </c>
      <c r="I506" s="7">
        <v>1050400</v>
      </c>
      <c r="J506" s="8">
        <v>3.5400000000000001E-2</v>
      </c>
    </row>
    <row r="507" spans="1:10" x14ac:dyDescent="0.25">
      <c r="A507" s="5" t="s">
        <v>1041</v>
      </c>
      <c r="B507" s="5" t="s">
        <v>1054</v>
      </c>
      <c r="C507" s="6" t="str">
        <f>_xll.QS.CONTEXT.CREATE("market.505",A507,"USD","SOFR")</f>
        <v>QSObject:PricingContext:w1~market.505:20370</v>
      </c>
      <c r="D507" s="6" t="str">
        <f>_xll.QS.CONTEXT.ADD.CURVE(C507,"SOFR",$K$2:$K$7,$L$2:$L$7,,,"Actual360","LogLinear",TRUE)</f>
        <v>QSObject:ContextInput:w1~input.qs_context_add_curve.2359132437744.506.3.0:39407</v>
      </c>
      <c r="E507" s="6" t="str">
        <f>_xll.QS.INSTRUMENT.SWAP("swap.505",H507,B507,"USD","SOFR",I507,J507,0,"Actual360","Simple","Annual","Annual","Annual")</f>
        <v>QSObject:Swap:w1~swap.505:20369</v>
      </c>
      <c r="F507" s="6" t="str">
        <f>_xll.QS.TRADE.CREATE("trade.505",E507,A507,"Receive")</f>
        <v>QSObject:SwapTrade:w1~trade.505:30554</v>
      </c>
      <c r="G507" s="3">
        <f>_xll.QS.EVALUATE(C507,F507)</f>
        <v>16949.057857005726</v>
      </c>
      <c r="H507" s="5" t="s">
        <v>1055</v>
      </c>
      <c r="I507" s="7">
        <v>1050500</v>
      </c>
      <c r="J507" s="8">
        <v>3.5499999999999997E-2</v>
      </c>
    </row>
    <row r="508" spans="1:10" x14ac:dyDescent="0.25">
      <c r="A508" s="5" t="s">
        <v>1043</v>
      </c>
      <c r="B508" s="5" t="s">
        <v>1056</v>
      </c>
      <c r="C508" s="6" t="str">
        <f>_xll.QS.CONTEXT.CREATE("market.506",A508,"USD","SOFR")</f>
        <v>QSObject:PricingContext:w1~market.506:20368</v>
      </c>
      <c r="D508" s="6" t="str">
        <f>_xll.QS.CONTEXT.ADD.CURVE(C508,"SOFR",$K$2:$K$7,$L$2:$L$7,,,"Actual360","LogLinear",TRUE)</f>
        <v>QSObject:ContextInput:w1~input.qs_context_add_curve.2359132437744.507.3.0:39406</v>
      </c>
      <c r="E508" s="6" t="str">
        <f>_xll.QS.INSTRUMENT.SWAP("swap.506",H508,B508,"USD","SOFR",I508,J508,0,"Actual360","Simple","Annual","Annual","Annual")</f>
        <v>QSObject:Swap:w1~swap.506:20367</v>
      </c>
      <c r="F508" s="6" t="str">
        <f>_xll.QS.TRADE.CREATE("trade.506",E508,A508,"Receive")</f>
        <v>QSObject:SwapTrade:w1~trade.506:30553</v>
      </c>
      <c r="G508" s="3">
        <f>_xll.QS.EVALUATE(C508,F508)</f>
        <v>17435.399415052085</v>
      </c>
      <c r="H508" s="5" t="s">
        <v>1057</v>
      </c>
      <c r="I508" s="7">
        <v>1050600</v>
      </c>
      <c r="J508" s="8">
        <v>3.5600000000000007E-2</v>
      </c>
    </row>
    <row r="509" spans="1:10" x14ac:dyDescent="0.25">
      <c r="A509" s="5" t="s">
        <v>1045</v>
      </c>
      <c r="B509" s="5" t="s">
        <v>1058</v>
      </c>
      <c r="C509" s="6" t="str">
        <f>_xll.QS.CONTEXT.CREATE("market.507",A509,"USD","SOFR")</f>
        <v>QSObject:PricingContext:w1~market.507:20366</v>
      </c>
      <c r="D509" s="6" t="str">
        <f>_xll.QS.CONTEXT.ADD.CURVE(C509,"SOFR",$K$2:$K$7,$L$2:$L$7,,,"Actual360","LogLinear",TRUE)</f>
        <v>QSObject:ContextInput:w1~input.qs_context_add_curve.2359132437744.508.3.0:39405</v>
      </c>
      <c r="E509" s="6" t="str">
        <f>_xll.QS.INSTRUMENT.SWAP("swap.507",H509,B509,"USD","SOFR",I509,J509,0,"Actual360","Simple","Annual","Annual","Annual")</f>
        <v>QSObject:Swap:w1~swap.507:20365</v>
      </c>
      <c r="F509" s="6" t="str">
        <f>_xll.QS.TRADE.CREATE("trade.507",E509,A509,"Receive")</f>
        <v>QSObject:SwapTrade:w1~trade.507:30552</v>
      </c>
      <c r="G509" s="3">
        <f>_xll.QS.EVALUATE(C509,F509)</f>
        <v>17930.923774479881</v>
      </c>
      <c r="H509" s="5" t="s">
        <v>1059</v>
      </c>
      <c r="I509" s="7">
        <v>1050700</v>
      </c>
      <c r="J509" s="8">
        <v>3.5700000000000003E-2</v>
      </c>
    </row>
    <row r="510" spans="1:10" x14ac:dyDescent="0.25">
      <c r="A510" s="5" t="s">
        <v>1047</v>
      </c>
      <c r="B510" s="5" t="s">
        <v>1060</v>
      </c>
      <c r="C510" s="6" t="str">
        <f>_xll.QS.CONTEXT.CREATE("market.508",A510,"USD","SOFR")</f>
        <v>QSObject:PricingContext:w1~market.508:20364</v>
      </c>
      <c r="D510" s="6" t="str">
        <f>_xll.QS.CONTEXT.ADD.CURVE(C510,"SOFR",$K$2:$K$7,$L$2:$L$7,,,"Actual360","LogLinear",TRUE)</f>
        <v>QSObject:ContextInput:w1~input.qs_context_add_curve.2359132437744.509.3.0:39404</v>
      </c>
      <c r="E510" s="6" t="str">
        <f>_xll.QS.INSTRUMENT.SWAP("swap.508",H510,B510,"USD","SOFR",I510,J510,0,"Actual360","Simple","Annual","Annual","Annual")</f>
        <v>QSObject:Swap:w1~swap.508:20363</v>
      </c>
      <c r="F510" s="6" t="str">
        <f>_xll.QS.TRADE.CREATE("trade.508",E510,A510,"Receive")</f>
        <v>QSObject:SwapTrade:w1~trade.508:30551</v>
      </c>
      <c r="G510" s="3">
        <f>_xll.QS.EVALUATE(C510,F510)</f>
        <v>18417.255317698644</v>
      </c>
      <c r="H510" s="5" t="s">
        <v>1061</v>
      </c>
      <c r="I510" s="7">
        <v>1050800</v>
      </c>
      <c r="J510" s="8">
        <v>3.5800000000000012E-2</v>
      </c>
    </row>
    <row r="511" spans="1:10" x14ac:dyDescent="0.25">
      <c r="A511" s="5" t="s">
        <v>1049</v>
      </c>
      <c r="B511" s="5" t="s">
        <v>1062</v>
      </c>
      <c r="C511" s="6" t="str">
        <f>_xll.QS.CONTEXT.CREATE("market.509",A511,"USD","SOFR")</f>
        <v>QSObject:PricingContext:w1~market.509:20362</v>
      </c>
      <c r="D511" s="6" t="str">
        <f>_xll.QS.CONTEXT.ADD.CURVE(C511,"SOFR",$K$2:$K$7,$L$2:$L$7,,,"Actual360","LogLinear",TRUE)</f>
        <v>QSObject:ContextInput:w1~input.qs_context_add_curve.2359132437744.510.3.0:39403</v>
      </c>
      <c r="E511" s="6" t="str">
        <f>_xll.QS.INSTRUMENT.SWAP("swap.509",H511,B511,"USD","SOFR",I511,J511,0,"Actual360","Simple","Annual","Annual","Annual")</f>
        <v>QSObject:Swap:w1~swap.509:20361</v>
      </c>
      <c r="F511" s="6" t="str">
        <f>_xll.QS.TRADE.CREATE("trade.509",E511,A511,"Receive")</f>
        <v>QSObject:SwapTrade:w1~trade.509:30550</v>
      </c>
      <c r="G511" s="3">
        <f>_xll.QS.EVALUATE(C511,F511)</f>
        <v>18776.042851777005</v>
      </c>
      <c r="H511" s="5" t="s">
        <v>1063</v>
      </c>
      <c r="I511" s="7">
        <v>1050900</v>
      </c>
      <c r="J511" s="8">
        <v>3.5900000000000001E-2</v>
      </c>
    </row>
    <row r="512" spans="1:10" x14ac:dyDescent="0.25">
      <c r="A512" s="5" t="s">
        <v>1051</v>
      </c>
      <c r="B512" s="5" t="s">
        <v>1064</v>
      </c>
      <c r="C512" s="6" t="str">
        <f>_xll.QS.CONTEXT.CREATE("market.510",A512,"USD","SOFR")</f>
        <v>QSObject:PricingContext:w1~market.510:20360</v>
      </c>
      <c r="D512" s="6" t="str">
        <f>_xll.QS.CONTEXT.ADD.CURVE(C512,"SOFR",$K$2:$K$7,$L$2:$L$7,,,"Actual360","LogLinear",TRUE)</f>
        <v>QSObject:ContextInput:w1~input.qs_context_add_curve.2359132437744.511.3.0:39402</v>
      </c>
      <c r="E512" s="6" t="str">
        <f>_xll.QS.INSTRUMENT.SWAP("swap.510",H512,B512,"USD","SOFR",I512,J512,0,"Actual360","Simple","Annual","Annual","Annual")</f>
        <v>QSObject:Swap:w1~swap.510:20359</v>
      </c>
      <c r="F512" s="6" t="str">
        <f>_xll.QS.TRADE.CREATE("trade.510",E512,A512,"Receive")</f>
        <v>QSObject:SwapTrade:w1~trade.510:30549</v>
      </c>
      <c r="G512" s="3">
        <f>_xll.QS.EVALUATE(C512,F512)</f>
        <v>19264.20886205012</v>
      </c>
      <c r="H512" s="5" t="s">
        <v>1065</v>
      </c>
      <c r="I512" s="7">
        <v>1051000</v>
      </c>
      <c r="J512" s="8">
        <v>3.5999999999999997E-2</v>
      </c>
    </row>
    <row r="513" spans="1:10" x14ac:dyDescent="0.25">
      <c r="A513" s="5" t="s">
        <v>1053</v>
      </c>
      <c r="B513" s="5" t="s">
        <v>1066</v>
      </c>
      <c r="C513" s="6" t="str">
        <f>_xll.QS.CONTEXT.CREATE("market.511",A513,"USD","SOFR")</f>
        <v>QSObject:PricingContext:w1~market.511:20358</v>
      </c>
      <c r="D513" s="6" t="str">
        <f>_xll.QS.CONTEXT.ADD.CURVE(C513,"SOFR",$K$2:$K$7,$L$2:$L$7,,,"Actual360","LogLinear",TRUE)</f>
        <v>QSObject:ContextInput:w1~input.qs_context_add_curve.2359132437744.512.3.0:39401</v>
      </c>
      <c r="E513" s="6" t="str">
        <f>_xll.QS.INSTRUMENT.SWAP("swap.511",H513,B513,"USD","SOFR",I513,J513,0,"Actual360","Simple","Annual","Annual","Annual")</f>
        <v>QSObject:Swap:w1~swap.511:20357</v>
      </c>
      <c r="F513" s="6" t="str">
        <f>_xll.QS.TRADE.CREATE("trade.511",E513,A513,"Receive")</f>
        <v>QSObject:SwapTrade:w1~trade.511:30548</v>
      </c>
      <c r="G513" s="3">
        <f>_xll.QS.EVALUATE(C513,F513)</f>
        <v>19752.342086887576</v>
      </c>
      <c r="H513" s="5" t="s">
        <v>1067</v>
      </c>
      <c r="I513" s="7">
        <v>1051100</v>
      </c>
      <c r="J513" s="8">
        <v>3.61E-2</v>
      </c>
    </row>
    <row r="514" spans="1:10" x14ac:dyDescent="0.25">
      <c r="A514" s="5" t="s">
        <v>1055</v>
      </c>
      <c r="B514" s="5" t="s">
        <v>1068</v>
      </c>
      <c r="C514" s="6" t="str">
        <f>_xll.QS.CONTEXT.CREATE("market.512",A514,"USD","SOFR")</f>
        <v>QSObject:PricingContext:w1~market.512:20356</v>
      </c>
      <c r="D514" s="6" t="str">
        <f>_xll.QS.CONTEXT.ADD.CURVE(C514,"SOFR",$K$2:$K$7,$L$2:$L$7,,,"Actual360","LogLinear",TRUE)</f>
        <v>QSObject:ContextInput:w1~input.qs_context_add_curve.2359132437744.513.3.0:39400</v>
      </c>
      <c r="E514" s="6" t="str">
        <f>_xll.QS.INSTRUMENT.SWAP("swap.512",H514,B514,"USD","SOFR",I514,J514,0,"Actual360","Simple","Annual","Annual","Annual")</f>
        <v>QSObject:Swap:w1~swap.512:20355</v>
      </c>
      <c r="F514" s="6" t="str">
        <f>_xll.QS.TRADE.CREATE("trade.512",E514,A514,"Receive")</f>
        <v>QSObject:SwapTrade:w1~trade.512:30547</v>
      </c>
      <c r="G514" s="3">
        <f>_xll.QS.EVALUATE(C514,F514)</f>
        <v>20316.312374880174</v>
      </c>
      <c r="H514" s="5" t="s">
        <v>1069</v>
      </c>
      <c r="I514" s="7">
        <v>1051200</v>
      </c>
      <c r="J514" s="8">
        <v>3.6200000000000003E-2</v>
      </c>
    </row>
    <row r="515" spans="1:10" x14ac:dyDescent="0.25">
      <c r="A515" s="5" t="s">
        <v>1057</v>
      </c>
      <c r="B515" s="5" t="s">
        <v>1070</v>
      </c>
      <c r="C515" s="6" t="str">
        <f>_xll.QS.CONTEXT.CREATE("market.513",A515,"USD","SOFR")</f>
        <v>QSObject:PricingContext:w1~market.513:20354</v>
      </c>
      <c r="D515" s="6" t="str">
        <f>_xll.QS.CONTEXT.ADD.CURVE(C515,"SOFR",$K$2:$K$7,$L$2:$L$7,,,"Actual360","LogLinear",TRUE)</f>
        <v>QSObject:ContextInput:w1~input.qs_context_add_curve.2359132437744.514.3.0:39399</v>
      </c>
      <c r="E515" s="6" t="str">
        <f>_xll.QS.INSTRUMENT.SWAP("swap.513",H515,B515,"USD","SOFR",I515,J515,0,"Actual360","Simple","Annual","Annual","Annual")</f>
        <v>QSObject:Swap:w1~swap.513:20353</v>
      </c>
      <c r="F515" s="6" t="str">
        <f>_xll.QS.TRADE.CREATE("trade.513",E515,A515,"Receive")</f>
        <v>QSObject:SwapTrade:w1~trade.513:30546</v>
      </c>
      <c r="G515" s="3">
        <f>_xll.QS.EVALUATE(C515,F515)</f>
        <v>20803.110034180569</v>
      </c>
      <c r="H515" s="5" t="s">
        <v>1071</v>
      </c>
      <c r="I515" s="7">
        <v>1051300</v>
      </c>
      <c r="J515" s="8">
        <v>3.6300000000000013E-2</v>
      </c>
    </row>
    <row r="516" spans="1:10" x14ac:dyDescent="0.25">
      <c r="A516" s="5" t="s">
        <v>1059</v>
      </c>
      <c r="B516" s="5" t="s">
        <v>1072</v>
      </c>
      <c r="C516" s="6" t="str">
        <f>_xll.QS.CONTEXT.CREATE("market.514",A516,"USD","SOFR")</f>
        <v>QSObject:PricingContext:w1~market.514:20352</v>
      </c>
      <c r="D516" s="6" t="str">
        <f>_xll.QS.CONTEXT.ADD.CURVE(C516,"SOFR",$K$2:$K$7,$L$2:$L$7,,,"Actual360","LogLinear",TRUE)</f>
        <v>QSObject:ContextInput:w1~input.qs_context_add_curve.2359132437744.515.3.0:39398</v>
      </c>
      <c r="E516" s="6" t="str">
        <f>_xll.QS.INSTRUMENT.SWAP("swap.514",H516,B516,"USD","SOFR",I516,J516,0,"Actual360","Simple","Annual","Annual","Annual")</f>
        <v>QSObject:Swap:w1~swap.514:20351</v>
      </c>
      <c r="F516" s="6" t="str">
        <f>_xll.QS.TRADE.CREATE("trade.514",E516,A516,"Receive")</f>
        <v>QSObject:SwapTrade:w1~trade.514:30545</v>
      </c>
      <c r="G516" s="3">
        <f>_xll.QS.EVALUATE(C516,F516)</f>
        <v>21296.101636121242</v>
      </c>
      <c r="H516" s="5" t="s">
        <v>1073</v>
      </c>
      <c r="I516" s="7">
        <v>1051400</v>
      </c>
      <c r="J516" s="8">
        <v>3.6400000000000002E-2</v>
      </c>
    </row>
    <row r="517" spans="1:10" x14ac:dyDescent="0.25">
      <c r="A517" s="5" t="s">
        <v>1061</v>
      </c>
      <c r="B517" s="5" t="s">
        <v>1074</v>
      </c>
      <c r="C517" s="6" t="str">
        <f>_xll.QS.CONTEXT.CREATE("market.515",A517,"USD","SOFR")</f>
        <v>QSObject:PricingContext:w1~market.515:20350</v>
      </c>
      <c r="D517" s="6" t="str">
        <f>_xll.QS.CONTEXT.ADD.CURVE(C517,"SOFR",$K$2:$K$7,$L$2:$L$7,,,"Actual360","LogLinear",TRUE)</f>
        <v>QSObject:ContextInput:w1~input.qs_context_add_curve.2359132437744.516.3.0:39397</v>
      </c>
      <c r="E517" s="6" t="str">
        <f>_xll.QS.INSTRUMENT.SWAP("swap.515",H517,B517,"USD","SOFR",I517,J517,0,"Actual360","Simple","Annual","Annual","Annual")</f>
        <v>QSObject:Swap:w1~swap.515:20349</v>
      </c>
      <c r="F517" s="6" t="str">
        <f>_xll.QS.TRADE.CREATE("trade.515",E517,A517,"Receive")</f>
        <v>QSObject:SwapTrade:w1~trade.515:30544</v>
      </c>
      <c r="G517" s="3">
        <f>_xll.QS.EVALUATE(C517,F517)</f>
        <v>21784.119340099318</v>
      </c>
      <c r="H517" s="5" t="s">
        <v>1075</v>
      </c>
      <c r="I517" s="7">
        <v>1051500</v>
      </c>
      <c r="J517" s="8">
        <v>3.6499999999999998E-2</v>
      </c>
    </row>
    <row r="518" spans="1:10" x14ac:dyDescent="0.25">
      <c r="A518" s="5" t="s">
        <v>1063</v>
      </c>
      <c r="B518" s="5" t="s">
        <v>1076</v>
      </c>
      <c r="C518" s="6" t="str">
        <f>_xll.QS.CONTEXT.CREATE("market.516",A518,"USD","SOFR")</f>
        <v>QSObject:PricingContext:w1~market.516:20348</v>
      </c>
      <c r="D518" s="6" t="str">
        <f>_xll.QS.CONTEXT.ADD.CURVE(C518,"SOFR",$K$2:$K$7,$L$2:$L$7,,,"Actual360","LogLinear",TRUE)</f>
        <v>QSObject:ContextInput:w1~input.qs_context_add_curve.2359132437744.517.3.0:39396</v>
      </c>
      <c r="E518" s="6" t="str">
        <f>_xll.QS.INSTRUMENT.SWAP("swap.516",H518,B518,"USD","SOFR",I518,J518,0,"Actual360","Simple","Annual","Annual","Annual")</f>
        <v>QSObject:Swap:w1~swap.516:20347</v>
      </c>
      <c r="F518" s="6" t="str">
        <f>_xll.QS.TRADE.CREATE("trade.516",E518,A518,"Receive")</f>
        <v>QSObject:SwapTrade:w1~trade.516:30543</v>
      </c>
      <c r="G518" s="3">
        <f>_xll.QS.EVALUATE(C518,F518)</f>
        <v>22142.766007907656</v>
      </c>
      <c r="H518" s="5" t="s">
        <v>1077</v>
      </c>
      <c r="I518" s="7">
        <v>1051600</v>
      </c>
      <c r="J518" s="8">
        <v>3.6600000000000001E-2</v>
      </c>
    </row>
    <row r="519" spans="1:10" x14ac:dyDescent="0.25">
      <c r="A519" s="5" t="s">
        <v>1065</v>
      </c>
      <c r="B519" s="5" t="s">
        <v>1078</v>
      </c>
      <c r="C519" s="6" t="str">
        <f>_xll.QS.CONTEXT.CREATE("market.517",A519,"USD","SOFR")</f>
        <v>QSObject:PricingContext:w1~market.517:20346</v>
      </c>
      <c r="D519" s="6" t="str">
        <f>_xll.QS.CONTEXT.ADD.CURVE(C519,"SOFR",$K$2:$K$7,$L$2:$L$7,,,"Actual360","LogLinear",TRUE)</f>
        <v>QSObject:ContextInput:w1~input.qs_context_add_curve.2359132437744.518.3.0:39395</v>
      </c>
      <c r="E519" s="6" t="str">
        <f>_xll.QS.INSTRUMENT.SWAP("swap.517",H519,B519,"USD","SOFR",I519,J519,0,"Actual360","Simple","Annual","Annual","Annual")</f>
        <v>QSObject:Swap:w1~swap.517:20345</v>
      </c>
      <c r="F519" s="6" t="str">
        <f>_xll.QS.TRADE.CREATE("trade.517",E519,A519,"Receive")</f>
        <v>QSObject:SwapTrade:w1~trade.517:30542</v>
      </c>
      <c r="G519" s="3">
        <f>_xll.QS.EVALUATE(C519,F519)</f>
        <v>22631.752834694733</v>
      </c>
      <c r="H519" s="5" t="s">
        <v>1079</v>
      </c>
      <c r="I519" s="7">
        <v>1051700</v>
      </c>
      <c r="J519" s="8">
        <v>3.6700000000000003E-2</v>
      </c>
    </row>
    <row r="520" spans="1:10" x14ac:dyDescent="0.25">
      <c r="A520" s="5" t="s">
        <v>1067</v>
      </c>
      <c r="B520" s="5" t="s">
        <v>1080</v>
      </c>
      <c r="C520" s="6" t="str">
        <f>_xll.QS.CONTEXT.CREATE("market.518",A520,"USD","SOFR")</f>
        <v>QSObject:PricingContext:w1~market.518:20344</v>
      </c>
      <c r="D520" s="6" t="str">
        <f>_xll.QS.CONTEXT.ADD.CURVE(C520,"SOFR",$K$2:$K$7,$L$2:$L$7,,,"Actual360","LogLinear",TRUE)</f>
        <v>QSObject:ContextInput:w1~input.qs_context_add_curve.2359132437744.519.3.0:39394</v>
      </c>
      <c r="E520" s="6" t="str">
        <f>_xll.QS.INSTRUMENT.SWAP("swap.518",H520,B520,"USD","SOFR",I520,J520,0,"Actual360","Simple","Annual","Annual","Annual")</f>
        <v>QSObject:Swap:w1~swap.518:20343</v>
      </c>
      <c r="F520" s="6" t="str">
        <f>_xll.QS.TRADE.CREATE("trade.518",E520,A520,"Receive")</f>
        <v>QSObject:SwapTrade:w1~trade.518:30541</v>
      </c>
      <c r="G520" s="3">
        <f>_xll.QS.EVALUATE(C520,F520)</f>
        <v>23162.986686199063</v>
      </c>
      <c r="H520" s="5" t="s">
        <v>1081</v>
      </c>
      <c r="I520" s="7">
        <v>1051800</v>
      </c>
      <c r="J520" s="8">
        <v>3.6800000000000013E-2</v>
      </c>
    </row>
    <row r="521" spans="1:10" x14ac:dyDescent="0.25">
      <c r="A521" s="5" t="s">
        <v>1069</v>
      </c>
      <c r="B521" s="5" t="s">
        <v>1082</v>
      </c>
      <c r="C521" s="6" t="str">
        <f>_xll.QS.CONTEXT.CREATE("market.519",A521,"USD","SOFR")</f>
        <v>QSObject:PricingContext:w1~market.519:20342</v>
      </c>
      <c r="D521" s="6" t="str">
        <f>_xll.QS.CONTEXT.ADD.CURVE(C521,"SOFR",$K$2:$K$7,$L$2:$L$7,,,"Actual360","LogLinear",TRUE)</f>
        <v>QSObject:ContextInput:w1~input.qs_context_add_curve.2359132437744.520.3.0:39393</v>
      </c>
      <c r="E521" s="6" t="str">
        <f>_xll.QS.INSTRUMENT.SWAP("swap.519",H521,B521,"USD","SOFR",I521,J521,0,"Actual360","Simple","Annual","Annual","Annual")</f>
        <v>QSObject:Swap:w1~swap.519:20341</v>
      </c>
      <c r="F521" s="6" t="str">
        <f>_xll.QS.TRADE.CREATE("trade.519",E521,A521,"Receive")</f>
        <v>QSObject:SwapTrade:w1~trade.519:30540</v>
      </c>
      <c r="G521" s="3">
        <f>_xll.QS.EVALUATE(C521,F521)</f>
        <v>23727.321403664504</v>
      </c>
      <c r="H521" s="5" t="s">
        <v>1083</v>
      </c>
      <c r="I521" s="7">
        <v>1051900</v>
      </c>
      <c r="J521" s="8">
        <v>3.6900000000000002E-2</v>
      </c>
    </row>
    <row r="522" spans="1:10" x14ac:dyDescent="0.25">
      <c r="A522" s="5" t="s">
        <v>1071</v>
      </c>
      <c r="B522" s="5" t="s">
        <v>1084</v>
      </c>
      <c r="C522" s="6" t="str">
        <f>_xll.QS.CONTEXT.CREATE("market.520",A522,"USD","SOFR")</f>
        <v>QSObject:PricingContext:w1~market.520:20340</v>
      </c>
      <c r="D522" s="6" t="str">
        <f>_xll.QS.CONTEXT.ADD.CURVE(C522,"SOFR",$K$2:$K$7,$L$2:$L$7,,,"Actual360","LogLinear",TRUE)</f>
        <v>QSObject:ContextInput:w1~input.qs_context_add_curve.2359132437744.521.3.0:39392</v>
      </c>
      <c r="E522" s="6" t="str">
        <f>_xll.QS.INSTRUMENT.SWAP("swap.520",H522,B522,"USD","SOFR",I522,J522,0,"Actual360","Simple","Annual","Annual","Annual")</f>
        <v>QSObject:Swap:w1~swap.520:20339</v>
      </c>
      <c r="F522" s="6" t="str">
        <f>_xll.QS.TRADE.CREATE("trade.520",E522,A522,"Receive")</f>
        <v>QSObject:SwapTrade:w1~trade.520:30539</v>
      </c>
      <c r="G522" s="3">
        <f>_xll.QS.EVALUATE(C522,F522)</f>
        <v>24214.781686430139</v>
      </c>
      <c r="H522" s="5" t="s">
        <v>1085</v>
      </c>
      <c r="I522" s="7">
        <v>1052000</v>
      </c>
      <c r="J522" s="8">
        <v>3.7000000000000012E-2</v>
      </c>
    </row>
    <row r="523" spans="1:10" x14ac:dyDescent="0.25">
      <c r="A523" s="5" t="s">
        <v>1073</v>
      </c>
      <c r="B523" s="5" t="s">
        <v>1086</v>
      </c>
      <c r="C523" s="6" t="str">
        <f>_xll.QS.CONTEXT.CREATE("market.521",A523,"USD","SOFR")</f>
        <v>QSObject:PricingContext:w1~market.521:20338</v>
      </c>
      <c r="D523" s="6" t="str">
        <f>_xll.QS.CONTEXT.ADD.CURVE(C523,"SOFR",$K$2:$K$7,$L$2:$L$7,,,"Actual360","LogLinear",TRUE)</f>
        <v>QSObject:ContextInput:w1~input.qs_context_add_curve.2359132437744.522.3.0:39391</v>
      </c>
      <c r="E523" s="6" t="str">
        <f>_xll.QS.INSTRUMENT.SWAP("swap.521",H523,B523,"USD","SOFR",I523,J523,0,"Actual360","Simple","Annual","Annual","Annual")</f>
        <v>QSObject:Swap:w1~swap.521:20337</v>
      </c>
      <c r="F523" s="6" t="str">
        <f>_xll.QS.TRADE.CREATE("trade.521",E523,A523,"Receive")</f>
        <v>QSObject:SwapTrade:w1~trade.521:30538</v>
      </c>
      <c r="G523" s="3">
        <f>_xll.QS.EVALUATE(C523,F523)</f>
        <v>24708.123596440244</v>
      </c>
      <c r="H523" s="5" t="s">
        <v>1087</v>
      </c>
      <c r="I523" s="7">
        <v>1052100</v>
      </c>
      <c r="J523" s="8">
        <v>3.7100000000000001E-2</v>
      </c>
    </row>
    <row r="524" spans="1:10" x14ac:dyDescent="0.25">
      <c r="A524" s="5" t="s">
        <v>1075</v>
      </c>
      <c r="B524" s="5" t="s">
        <v>1088</v>
      </c>
      <c r="C524" s="6" t="str">
        <f>_xll.QS.CONTEXT.CREATE("market.522",A524,"USD","SOFR")</f>
        <v>QSObject:PricingContext:w1~market.522:20336</v>
      </c>
      <c r="D524" s="6" t="str">
        <f>_xll.QS.CONTEXT.ADD.CURVE(C524,"SOFR",$K$2:$K$7,$L$2:$L$7,,,"Actual360","LogLinear",TRUE)</f>
        <v>QSObject:ContextInput:w1~input.qs_context_add_curve.2359132437744.523.3.0:39390</v>
      </c>
      <c r="E524" s="6" t="str">
        <f>_xll.QS.INSTRUMENT.SWAP("swap.522",H524,B524,"USD","SOFR",I524,J524,0,"Actual360","Simple","Annual","Annual","Annual")</f>
        <v>QSObject:Swap:w1~swap.522:20335</v>
      </c>
      <c r="F524" s="6" t="str">
        <f>_xll.QS.TRADE.CREATE("trade.522",E524,A524,"Receive")</f>
        <v>QSObject:SwapTrade:w1~trade.522:30537</v>
      </c>
      <c r="G524" s="3">
        <f>_xll.QS.EVALUATE(C524,F524)</f>
        <v>25196.800726176316</v>
      </c>
      <c r="H524" s="5" t="s">
        <v>1089</v>
      </c>
      <c r="I524" s="7">
        <v>1052200</v>
      </c>
      <c r="J524" s="8">
        <v>3.7199999999999997E-2</v>
      </c>
    </row>
    <row r="525" spans="1:10" x14ac:dyDescent="0.25">
      <c r="A525" s="5" t="s">
        <v>1077</v>
      </c>
      <c r="B525" s="5" t="s">
        <v>1090</v>
      </c>
      <c r="C525" s="6" t="str">
        <f>_xll.QS.CONTEXT.CREATE("market.523",A525,"USD","SOFR")</f>
        <v>QSObject:PricingContext:w1~market.523:20334</v>
      </c>
      <c r="D525" s="6" t="str">
        <f>_xll.QS.CONTEXT.ADD.CURVE(C525,"SOFR",$K$2:$K$7,$L$2:$L$7,,,"Actual360","LogLinear",TRUE)</f>
        <v>QSObject:ContextInput:w1~input.qs_context_add_curve.2359132437744.524.3.0:39389</v>
      </c>
      <c r="E525" s="6" t="str">
        <f>_xll.QS.INSTRUMENT.SWAP("swap.523",H525,B525,"USD","SOFR",I525,J525,0,"Actual360","Simple","Annual","Annual","Annual")</f>
        <v>QSObject:Swap:w1~swap.523:20333</v>
      </c>
      <c r="F525" s="6" t="str">
        <f>_xll.QS.TRADE.CREATE("trade.523",E525,A525,"Receive")</f>
        <v>QSObject:SwapTrade:w1~trade.523:30536</v>
      </c>
      <c r="G525" s="3">
        <f>_xll.QS.EVALUATE(C525,F525)</f>
        <v>25555.324143826114</v>
      </c>
      <c r="H525" s="5" t="s">
        <v>1091</v>
      </c>
      <c r="I525" s="7">
        <v>1052300</v>
      </c>
      <c r="J525" s="8">
        <v>3.73E-2</v>
      </c>
    </row>
    <row r="526" spans="1:10" x14ac:dyDescent="0.25">
      <c r="A526" s="5" t="s">
        <v>1079</v>
      </c>
      <c r="B526" s="5" t="s">
        <v>1092</v>
      </c>
      <c r="C526" s="6" t="str">
        <f>_xll.QS.CONTEXT.CREATE("market.524",A526,"USD","SOFR")</f>
        <v>QSObject:PricingContext:w1~market.524:20332</v>
      </c>
      <c r="D526" s="6" t="str">
        <f>_xll.QS.CONTEXT.ADD.CURVE(C526,"SOFR",$K$2:$K$7,$L$2:$L$7,,,"Actual360","LogLinear",TRUE)</f>
        <v>QSObject:ContextInput:w1~input.qs_context_add_curve.2359132437744.525.3.0:39388</v>
      </c>
      <c r="E526" s="6" t="str">
        <f>_xll.QS.INSTRUMENT.SWAP("swap.524",H526,B526,"USD","SOFR",I526,J526,0,"Actual360","Simple","Annual","Annual","Annual")</f>
        <v>QSObject:Swap:w1~swap.524:20331</v>
      </c>
      <c r="F526" s="6" t="str">
        <f>_xll.QS.TRADE.CREATE("trade.524",E526,A526,"Receive")</f>
        <v>QSObject:SwapTrade:w1~trade.524:30535</v>
      </c>
      <c r="G526" s="3">
        <f>_xll.QS.EVALUATE(C526,F526)</f>
        <v>26045.242922475802</v>
      </c>
      <c r="H526" s="5" t="s">
        <v>1093</v>
      </c>
      <c r="I526" s="7">
        <v>1052400</v>
      </c>
      <c r="J526" s="8">
        <v>3.7400000000000003E-2</v>
      </c>
    </row>
    <row r="527" spans="1:10" x14ac:dyDescent="0.25">
      <c r="A527" s="5" t="s">
        <v>1081</v>
      </c>
      <c r="B527" s="5" t="s">
        <v>1094</v>
      </c>
      <c r="C527" s="6" t="str">
        <f>_xll.QS.CONTEXT.CREATE("market.525",A527,"USD","SOFR")</f>
        <v>QSObject:PricingContext:w1~market.525:20330</v>
      </c>
      <c r="D527" s="6" t="str">
        <f>_xll.QS.CONTEXT.ADD.CURVE(C527,"SOFR",$K$2:$K$7,$L$2:$L$7,,,"Actual360","LogLinear",TRUE)</f>
        <v>QSObject:ContextInput:w1~input.qs_context_add_curve.2359132437744.526.3.0:39387</v>
      </c>
      <c r="E527" s="6" t="str">
        <f>_xll.QS.INSTRUMENT.SWAP("swap.525",H527,B527,"USD","SOFR",I527,J527,0,"Actual360","Simple","Annual","Annual","Annual")</f>
        <v>QSObject:Swap:w1~swap.525:20329</v>
      </c>
      <c r="F527" s="6" t="str">
        <f>_xll.QS.TRADE.CREATE("trade.525",E527,A527,"Receive")</f>
        <v>QSObject:SwapTrade:w1~trade.525:30534</v>
      </c>
      <c r="G527" s="3">
        <f>_xll.QS.EVALUATE(C527,F527)</f>
        <v>26577.484307339131</v>
      </c>
      <c r="H527" s="5" t="s">
        <v>1095</v>
      </c>
      <c r="I527" s="7">
        <v>1052500</v>
      </c>
      <c r="J527" s="8">
        <v>3.7500000000000012E-2</v>
      </c>
    </row>
    <row r="528" spans="1:10" x14ac:dyDescent="0.25">
      <c r="A528" s="5" t="s">
        <v>1083</v>
      </c>
      <c r="B528" s="5" t="s">
        <v>1096</v>
      </c>
      <c r="C528" s="6" t="str">
        <f>_xll.QS.CONTEXT.CREATE("market.526",A528,"USD","SOFR")</f>
        <v>QSObject:PricingContext:w1~market.526:20328</v>
      </c>
      <c r="D528" s="6" t="str">
        <f>_xll.QS.CONTEXT.ADD.CURVE(C528,"SOFR",$K$2:$K$7,$L$2:$L$7,,,"Actual360","LogLinear",TRUE)</f>
        <v>QSObject:ContextInput:w1~input.qs_context_add_curve.2359132437744.527.3.0:39386</v>
      </c>
      <c r="E528" s="6" t="str">
        <f>_xll.QS.INSTRUMENT.SWAP("swap.526",H528,B528,"USD","SOFR",I528,J528,0,"Actual360","Simple","Annual","Annual","Annual")</f>
        <v>QSObject:Swap:w1~swap.526:20327</v>
      </c>
      <c r="F528" s="6" t="str">
        <f>_xll.QS.TRADE.CREATE("trade.526",E528,A528,"Receive")</f>
        <v>QSObject:SwapTrade:w1~trade.526:30533</v>
      </c>
      <c r="G528" s="3">
        <f>_xll.QS.EVALUATE(C528,F528)</f>
        <v>27142.566520388842</v>
      </c>
      <c r="H528" s="5" t="s">
        <v>1097</v>
      </c>
      <c r="I528" s="7">
        <v>1052600</v>
      </c>
      <c r="J528" s="8">
        <v>3.7600000000000001E-2</v>
      </c>
    </row>
    <row r="529" spans="1:10" x14ac:dyDescent="0.25">
      <c r="A529" s="5" t="s">
        <v>1085</v>
      </c>
      <c r="B529" s="5" t="s">
        <v>1098</v>
      </c>
      <c r="C529" s="6" t="str">
        <f>_xll.QS.CONTEXT.CREATE("market.527",A529,"USD","SOFR")</f>
        <v>QSObject:PricingContext:w1~market.527:20326</v>
      </c>
      <c r="D529" s="6" t="str">
        <f>_xll.QS.CONTEXT.ADD.CURVE(C529,"SOFR",$K$2:$K$7,$L$2:$L$7,,,"Actual360","LogLinear",TRUE)</f>
        <v>QSObject:ContextInput:w1~input.qs_context_add_curve.2359132437744.528.3.0:39385</v>
      </c>
      <c r="E529" s="6" t="str">
        <f>_xll.QS.INSTRUMENT.SWAP("swap.527",H529,B529,"USD","SOFR",I529,J529,0,"Actual360","Simple","Annual","Annual","Annual")</f>
        <v>QSObject:Swap:w1~swap.527:20325</v>
      </c>
      <c r="F529" s="6" t="str">
        <f>_xll.QS.TRADE.CREATE("trade.527",E529,A529,"Receive")</f>
        <v>QSObject:SwapTrade:w1~trade.527:30532</v>
      </c>
      <c r="G529" s="3">
        <f>_xll.QS.EVALUATE(C529,F529)</f>
        <v>27630.665916839647</v>
      </c>
      <c r="H529" s="5" t="s">
        <v>1099</v>
      </c>
      <c r="I529" s="7">
        <v>1052700</v>
      </c>
      <c r="J529" s="8">
        <v>3.7699999999999997E-2</v>
      </c>
    </row>
    <row r="530" spans="1:10" x14ac:dyDescent="0.25">
      <c r="A530" s="5" t="s">
        <v>1087</v>
      </c>
      <c r="B530" s="5" t="s">
        <v>1100</v>
      </c>
      <c r="C530" s="6" t="str">
        <f>_xll.QS.CONTEXT.CREATE("market.528",A530,"USD","SOFR")</f>
        <v>QSObject:PricingContext:w1~market.528:20324</v>
      </c>
      <c r="D530" s="6" t="str">
        <f>_xll.QS.CONTEXT.ADD.CURVE(C530,"SOFR",$K$2:$K$7,$L$2:$L$7,,,"Actual360","LogLinear",TRUE)</f>
        <v>QSObject:ContextInput:w1~input.qs_context_add_curve.2359132437744.529.3.0:39384</v>
      </c>
      <c r="E530" s="6" t="str">
        <f>_xll.QS.INSTRUMENT.SWAP("swap.528",H530,B530,"USD","SOFR",I530,J530,0,"Actual360","Simple","Annual","Annual","Annual")</f>
        <v>QSObject:Swap:w1~swap.528:20323</v>
      </c>
      <c r="F530" s="6" t="str">
        <f>_xll.QS.TRADE.CREATE("trade.528",E530,A530,"Receive")</f>
        <v>QSObject:SwapTrade:w1~trade.528:30531</v>
      </c>
      <c r="G530" s="3">
        <f>_xll.QS.EVALUATE(C530,F530)</f>
        <v>28124.66697188075</v>
      </c>
      <c r="H530" s="5" t="s">
        <v>1101</v>
      </c>
      <c r="I530" s="7">
        <v>1052800</v>
      </c>
      <c r="J530" s="8">
        <v>3.78E-2</v>
      </c>
    </row>
    <row r="531" spans="1:10" x14ac:dyDescent="0.25">
      <c r="A531" s="5" t="s">
        <v>1089</v>
      </c>
      <c r="B531" s="5" t="s">
        <v>1102</v>
      </c>
      <c r="C531" s="6" t="str">
        <f>_xll.QS.CONTEXT.CREATE("market.529",A531,"USD","SOFR")</f>
        <v>QSObject:PricingContext:w1~market.529:20322</v>
      </c>
      <c r="D531" s="6" t="str">
        <f>_xll.QS.CONTEXT.ADD.CURVE(C531,"SOFR",$K$2:$K$7,$L$2:$L$7,,,"Actual360","LogLinear",TRUE)</f>
        <v>QSObject:ContextInput:w1~input.qs_context_add_curve.2359132437744.530.3.0:39383</v>
      </c>
      <c r="E531" s="6" t="str">
        <f>_xll.QS.INSTRUMENT.SWAP("swap.529",H531,B531,"USD","SOFR",I531,J531,0,"Actual360","Simple","Annual","Annual","Annual")</f>
        <v>QSObject:Swap:w1~swap.529:20321</v>
      </c>
      <c r="F531" s="6" t="str">
        <f>_xll.QS.TRADE.CREATE("trade.529",E531,A531,"Receive")</f>
        <v>QSObject:SwapTrade:w1~trade.529:30530</v>
      </c>
      <c r="G531" s="3">
        <f>_xll.QS.EVALUATE(C531,F531)</f>
        <v>28614.003544585416</v>
      </c>
      <c r="H531" s="5" t="s">
        <v>1103</v>
      </c>
      <c r="I531" s="7">
        <v>1052900</v>
      </c>
      <c r="J531" s="8">
        <v>3.7900000000000003E-2</v>
      </c>
    </row>
    <row r="532" spans="1:10" x14ac:dyDescent="0.25">
      <c r="A532" s="5" t="s">
        <v>1091</v>
      </c>
      <c r="B532" s="5" t="s">
        <v>1104</v>
      </c>
      <c r="C532" s="6" t="str">
        <f>_xll.QS.CONTEXT.CREATE("market.530",A532,"USD","SOFR")</f>
        <v>QSObject:PricingContext:w1~market.530:20320</v>
      </c>
      <c r="D532" s="6" t="str">
        <f>_xll.QS.CONTEXT.ADD.CURVE(C532,"SOFR",$K$2:$K$7,$L$2:$L$7,,,"Actual360","LogLinear",TRUE)</f>
        <v>QSObject:ContextInput:w1~input.qs_context_add_curve.2359132437744.531.3.0:39382</v>
      </c>
      <c r="E532" s="6" t="str">
        <f>_xll.QS.INSTRUMENT.SWAP("swap.530",H532,B532,"USD","SOFR",I532,J532,0,"Actual360","Simple","Annual","Annual","Annual")</f>
        <v>QSObject:Swap:w1~swap.530:20319</v>
      </c>
      <c r="F532" s="6" t="str">
        <f>_xll.QS.TRADE.CREATE("trade.530",E532,A532,"Receive")</f>
        <v>QSObject:SwapTrade:w1~trade.530:30529</v>
      </c>
      <c r="G532" s="3">
        <f>_xll.QS.EVALUATE(C532,F532)</f>
        <v>28972.402802649223</v>
      </c>
      <c r="H532" s="5" t="s">
        <v>1105</v>
      </c>
      <c r="I532" s="7">
        <v>1053000</v>
      </c>
      <c r="J532" s="8">
        <v>3.8000000000000013E-2</v>
      </c>
    </row>
    <row r="533" spans="1:10" x14ac:dyDescent="0.25">
      <c r="A533" s="5" t="s">
        <v>1093</v>
      </c>
      <c r="B533" s="5" t="s">
        <v>1106</v>
      </c>
      <c r="C533" s="6" t="str">
        <f>_xll.QS.CONTEXT.CREATE("market.531",A533,"USD","SOFR")</f>
        <v>QSObject:PricingContext:w1~market.531:20318</v>
      </c>
      <c r="D533" s="6" t="str">
        <f>_xll.QS.CONTEXT.ADD.CURVE(C533,"SOFR",$K$2:$K$7,$L$2:$L$7,,,"Actual360","LogLinear",TRUE)</f>
        <v>QSObject:ContextInput:w1~input.qs_context_add_curve.2359132437744.532.3.0:39381</v>
      </c>
      <c r="E533" s="6" t="str">
        <f>_xll.QS.INSTRUMENT.SWAP("swap.531",H533,B533,"USD","SOFR",I533,J533,0,"Actual360","Simple","Annual","Annual","Annual")</f>
        <v>QSObject:Swap:w1~swap.531:20317</v>
      </c>
      <c r="F533" s="6" t="str">
        <f>_xll.QS.TRADE.CREATE("trade.531",E533,A533,"Receive")</f>
        <v>QSObject:SwapTrade:w1~trade.531:30528</v>
      </c>
      <c r="G533" s="3">
        <f>_xll.QS.EVALUATE(C533,F533)</f>
        <v>29463.253912287637</v>
      </c>
      <c r="H533" s="5" t="s">
        <v>1107</v>
      </c>
      <c r="I533" s="7">
        <v>1053100</v>
      </c>
      <c r="J533" s="8">
        <v>3.8100000000000002E-2</v>
      </c>
    </row>
    <row r="534" spans="1:10" x14ac:dyDescent="0.25">
      <c r="A534" s="5" t="s">
        <v>1095</v>
      </c>
      <c r="B534" s="5" t="s">
        <v>1108</v>
      </c>
      <c r="C534" s="6" t="str">
        <f>_xll.QS.CONTEXT.CREATE("market.532",A534,"USD","SOFR")</f>
        <v>QSObject:PricingContext:w1~market.532:20316</v>
      </c>
      <c r="D534" s="6" t="str">
        <f>_xll.QS.CONTEXT.ADD.CURVE(C534,"SOFR",$K$2:$K$7,$L$2:$L$7,,,"Actual360","LogLinear",TRUE)</f>
        <v>QSObject:ContextInput:w1~input.qs_context_add_curve.2359132437744.533.3.0:39380</v>
      </c>
      <c r="E534" s="6" t="str">
        <f>_xll.QS.INSTRUMENT.SWAP("swap.532",H534,B534,"USD","SOFR",I534,J534,0,"Actual360","Simple","Annual","Annual","Annual")</f>
        <v>QSObject:Swap:w1~swap.532:20315</v>
      </c>
      <c r="F534" s="6" t="str">
        <f>_xll.QS.TRADE.CREATE("trade.532",E534,A534,"Receive")</f>
        <v>QSObject:SwapTrade:w1~trade.532:30527</v>
      </c>
      <c r="G534" s="3">
        <f>_xll.QS.EVALUATE(C534,F534)</f>
        <v>29996.503272782582</v>
      </c>
      <c r="H534" s="5" t="s">
        <v>1109</v>
      </c>
      <c r="I534" s="7">
        <v>1053200</v>
      </c>
      <c r="J534" s="8">
        <v>3.8199999999999998E-2</v>
      </c>
    </row>
    <row r="535" spans="1:10" x14ac:dyDescent="0.25">
      <c r="A535" s="5" t="s">
        <v>1097</v>
      </c>
      <c r="B535" s="5" t="s">
        <v>1110</v>
      </c>
      <c r="C535" s="6" t="str">
        <f>_xll.QS.CONTEXT.CREATE("market.533",A535,"USD","SOFR")</f>
        <v>QSObject:PricingContext:w1~market.533:20314</v>
      </c>
      <c r="D535" s="6" t="str">
        <f>_xll.QS.CONTEXT.ADD.CURVE(C535,"SOFR",$K$2:$K$7,$L$2:$L$7,,,"Actual360","LogLinear",TRUE)</f>
        <v>QSObject:ContextInput:w1~input.qs_context_add_curve.2359132437744.534.3.0:39379</v>
      </c>
      <c r="E535" s="6" t="str">
        <f>_xll.QS.INSTRUMENT.SWAP("swap.533",H535,B535,"USD","SOFR",I535,J535,0,"Actual360","Simple","Annual","Annual","Annual")</f>
        <v>QSObject:Swap:w1~swap.533:20313</v>
      </c>
      <c r="F535" s="6" t="str">
        <f>_xll.QS.TRADE.CREATE("trade.533",E535,A535,"Receive")</f>
        <v>QSObject:SwapTrade:w1~trade.533:30526</v>
      </c>
      <c r="G535" s="3">
        <f>_xll.QS.EVALUATE(C535,F535)</f>
        <v>30562.333048536162</v>
      </c>
      <c r="H535" s="5" t="s">
        <v>1111</v>
      </c>
      <c r="I535" s="7">
        <v>1053300</v>
      </c>
      <c r="J535" s="8">
        <v>3.8300000000000001E-2</v>
      </c>
    </row>
    <row r="536" spans="1:10" x14ac:dyDescent="0.25">
      <c r="A536" s="5" t="s">
        <v>1099</v>
      </c>
      <c r="B536" s="5" t="s">
        <v>1112</v>
      </c>
      <c r="C536" s="6" t="str">
        <f>_xll.QS.CONTEXT.CREATE("market.534",A536,"USD","SOFR")</f>
        <v>QSObject:PricingContext:w1~market.534:20312</v>
      </c>
      <c r="D536" s="6" t="str">
        <f>_xll.QS.CONTEXT.ADD.CURVE(C536,"SOFR",$K$2:$K$7,$L$2:$L$7,,,"Actual360","LogLinear",TRUE)</f>
        <v>QSObject:ContextInput:w1~input.qs_context_add_curve.2359132437744.535.3.0:39378</v>
      </c>
      <c r="E536" s="6" t="str">
        <f>_xll.QS.INSTRUMENT.SWAP("swap.534",H536,B536,"USD","SOFR",I536,J536,0,"Actual360","Simple","Annual","Annual","Annual")</f>
        <v>QSObject:Swap:w1~swap.534:20311</v>
      </c>
      <c r="F536" s="6" t="str">
        <f>_xll.QS.TRADE.CREATE("trade.534",E536,A536,"Receive")</f>
        <v>QSObject:SwapTrade:w1~trade.534:30525</v>
      </c>
      <c r="G536" s="3">
        <f>_xll.QS.EVALUATE(C536,F536)</f>
        <v>31051.071549762772</v>
      </c>
      <c r="H536" s="5" t="s">
        <v>1113</v>
      </c>
      <c r="I536" s="7">
        <v>1053400</v>
      </c>
      <c r="J536" s="8">
        <v>3.8399999999999997E-2</v>
      </c>
    </row>
    <row r="537" spans="1:10" x14ac:dyDescent="0.25">
      <c r="A537" s="5" t="s">
        <v>1101</v>
      </c>
      <c r="B537" s="5" t="s">
        <v>1114</v>
      </c>
      <c r="C537" s="6" t="str">
        <f>_xll.QS.CONTEXT.CREATE("market.535",A537,"USD","SOFR")</f>
        <v>QSObject:PricingContext:w1~market.535:20310</v>
      </c>
      <c r="D537" s="6" t="str">
        <f>_xll.QS.CONTEXT.ADD.CURVE(C537,"SOFR",$K$2:$K$7,$L$2:$L$7,,,"Actual360","LogLinear",TRUE)</f>
        <v>QSObject:ContextInput:w1~input.qs_context_add_curve.2359132437744.536.3.0:39377</v>
      </c>
      <c r="E537" s="6" t="str">
        <f>_xll.QS.INSTRUMENT.SWAP("swap.535",H537,B537,"USD","SOFR",I537,J537,0,"Actual360","Simple","Annual","Annual","Annual")</f>
        <v>QSObject:Swap:w1~swap.535:20309</v>
      </c>
      <c r="F537" s="6" t="str">
        <f>_xll.QS.TRADE.CREATE("trade.535",E537,A537,"Receive")</f>
        <v>QSObject:SwapTrade:w1~trade.535:30524</v>
      </c>
      <c r="G537" s="3">
        <f>_xll.QS.EVALUATE(C537,F537)</f>
        <v>31545.731762442883</v>
      </c>
      <c r="H537" s="5" t="s">
        <v>1115</v>
      </c>
      <c r="I537" s="7">
        <v>1053500</v>
      </c>
      <c r="J537" s="8">
        <v>3.8500000000000013E-2</v>
      </c>
    </row>
    <row r="538" spans="1:10" x14ac:dyDescent="0.25">
      <c r="A538" s="5" t="s">
        <v>1103</v>
      </c>
      <c r="B538" s="5" t="s">
        <v>1116</v>
      </c>
      <c r="C538" s="6" t="str">
        <f>_xll.QS.CONTEXT.CREATE("market.536",A538,"USD","SOFR")</f>
        <v>QSObject:PricingContext:w1~market.536:20308</v>
      </c>
      <c r="D538" s="6" t="str">
        <f>_xll.QS.CONTEXT.ADD.CURVE(C538,"SOFR",$K$2:$K$7,$L$2:$L$7,,,"Actual360","LogLinear",TRUE)</f>
        <v>QSObject:ContextInput:w1~input.qs_context_add_curve.2359132437744.537.3.0:39376</v>
      </c>
      <c r="E538" s="6" t="str">
        <f>_xll.QS.INSTRUMENT.SWAP("swap.536",H538,B538,"USD","SOFR",I538,J538,0,"Actual360","Simple","Annual","Annual","Annual")</f>
        <v>QSObject:Swap:w1~swap.536:20307</v>
      </c>
      <c r="F538" s="6" t="str">
        <f>_xll.QS.TRADE.CREATE("trade.536",E538,A538,"Receive")</f>
        <v>QSObject:SwapTrade:w1~trade.536:30523</v>
      </c>
      <c r="G538" s="3">
        <f>_xll.QS.EVALUATE(C538,F538)</f>
        <v>32035.727795326791</v>
      </c>
      <c r="H538" s="5" t="s">
        <v>1117</v>
      </c>
      <c r="I538" s="7">
        <v>1053600</v>
      </c>
      <c r="J538" s="8">
        <v>3.8600000000000002E-2</v>
      </c>
    </row>
    <row r="539" spans="1:10" x14ac:dyDescent="0.25">
      <c r="A539" s="5" t="s">
        <v>1105</v>
      </c>
      <c r="B539" s="5" t="s">
        <v>1118</v>
      </c>
      <c r="C539" s="6" t="str">
        <f>_xll.QS.CONTEXT.CREATE("market.537",A539,"USD","SOFR")</f>
        <v>QSObject:PricingContext:w1~market.537:20306</v>
      </c>
      <c r="D539" s="6" t="str">
        <f>_xll.QS.CONTEXT.ADD.CURVE(C539,"SOFR",$K$2:$K$7,$L$2:$L$7,,,"Actual360","LogLinear",TRUE)</f>
        <v>QSObject:ContextInput:w1~input.qs_context_add_curve.2359132437744.538.3.0:39375</v>
      </c>
      <c r="E539" s="6" t="str">
        <f>_xll.QS.INSTRUMENT.SWAP("swap.537",H539,B539,"USD","SOFR",I539,J539,0,"Actual360","Simple","Annual","Annual","Annual")</f>
        <v>QSObject:Swap:w1~swap.537:20305</v>
      </c>
      <c r="F539" s="6" t="str">
        <f>_xll.QS.TRADE.CREATE("trade.537",E539,A539,"Receive")</f>
        <v>QSObject:SwapTrade:w1~trade.537:30522</v>
      </c>
      <c r="G539" s="3">
        <f>_xll.QS.EVALUATE(C539,F539)</f>
        <v>32527.418990437644</v>
      </c>
      <c r="H539" s="5" t="s">
        <v>1119</v>
      </c>
      <c r="I539" s="7">
        <v>1053700</v>
      </c>
      <c r="J539" s="8">
        <v>3.8700000000000012E-2</v>
      </c>
    </row>
    <row r="540" spans="1:10" x14ac:dyDescent="0.25">
      <c r="A540" s="5" t="s">
        <v>1107</v>
      </c>
      <c r="B540" s="5" t="s">
        <v>1120</v>
      </c>
      <c r="C540" s="6" t="str">
        <f>_xll.QS.CONTEXT.CREATE("market.538",A540,"USD","SOFR")</f>
        <v>QSObject:PricingContext:w1~market.538:20304</v>
      </c>
      <c r="D540" s="6" t="str">
        <f>_xll.QS.CONTEXT.ADD.CURVE(C540,"SOFR",$K$2:$K$7,$L$2:$L$7,,,"Actual360","LogLinear",TRUE)</f>
        <v>QSObject:ContextInput:w1~input.qs_context_add_curve.2359132437744.539.3.0:39374</v>
      </c>
      <c r="E540" s="6" t="str">
        <f>_xll.QS.INSTRUMENT.SWAP("swap.538",H540,B540,"USD","SOFR",I540,J540,0,"Actual360","Simple","Annual","Annual","Annual")</f>
        <v>QSObject:Swap:w1~swap.538:20303</v>
      </c>
      <c r="F540" s="6" t="str">
        <f>_xll.QS.TRADE.CREATE("trade.538",E540,A540,"Receive")</f>
        <v>QSObject:SwapTrade:w1~trade.538:30521</v>
      </c>
      <c r="G540" s="3">
        <f>_xll.QS.EVALUATE(C540,F540)</f>
        <v>33019.29785367343</v>
      </c>
      <c r="H540" s="5" t="s">
        <v>1121</v>
      </c>
      <c r="I540" s="7">
        <v>1053800</v>
      </c>
      <c r="J540" s="8">
        <v>3.8800000000000001E-2</v>
      </c>
    </row>
    <row r="541" spans="1:10" x14ac:dyDescent="0.25">
      <c r="A541" s="5" t="s">
        <v>1109</v>
      </c>
      <c r="B541" s="5" t="s">
        <v>1122</v>
      </c>
      <c r="C541" s="6" t="str">
        <f>_xll.QS.CONTEXT.CREATE("market.539",A541,"USD","SOFR")</f>
        <v>QSObject:PricingContext:w1~market.539:20302</v>
      </c>
      <c r="D541" s="6" t="str">
        <f>_xll.QS.CONTEXT.ADD.CURVE(C541,"SOFR",$K$2:$K$7,$L$2:$L$7,,,"Actual360","LogLinear",TRUE)</f>
        <v>QSObject:ContextInput:w1~input.qs_context_add_curve.2359132437744.540.3.0:39373</v>
      </c>
      <c r="E541" s="6" t="str">
        <f>_xll.QS.INSTRUMENT.SWAP("swap.539",H541,B541,"USD","SOFR",I541,J541,0,"Actual360","Simple","Annual","Annual","Annual")</f>
        <v>QSObject:Swap:w1~swap.539:20301</v>
      </c>
      <c r="F541" s="6" t="str">
        <f>_xll.QS.TRADE.CREATE("trade.539",E541,A541,"Receive")</f>
        <v>QSObject:SwapTrade:w1~trade.539:30520</v>
      </c>
      <c r="G541" s="3">
        <f>_xll.QS.EVALUATE(C541,F541)</f>
        <v>33420.043582529644</v>
      </c>
      <c r="H541" s="5" t="s">
        <v>1123</v>
      </c>
      <c r="I541" s="7">
        <v>1053900</v>
      </c>
      <c r="J541" s="8">
        <v>3.8899999999999997E-2</v>
      </c>
    </row>
    <row r="542" spans="1:10" x14ac:dyDescent="0.25">
      <c r="A542" s="5" t="s">
        <v>1111</v>
      </c>
      <c r="B542" s="5" t="s">
        <v>1124</v>
      </c>
      <c r="C542" s="6" t="str">
        <f>_xll.QS.CONTEXT.CREATE("market.540",A542,"USD","SOFR")</f>
        <v>QSObject:PricingContext:w1~market.540:20300</v>
      </c>
      <c r="D542" s="6" t="str">
        <f>_xll.QS.CONTEXT.ADD.CURVE(C542,"SOFR",$K$2:$K$7,$L$2:$L$7,,,"Actual360","LogLinear",TRUE)</f>
        <v>QSObject:ContextInput:w1~input.qs_context_add_curve.2359132437744.541.3.0:39372</v>
      </c>
      <c r="E542" s="6" t="str">
        <f>_xll.QS.INSTRUMENT.SWAP("swap.540",H542,B542,"USD","SOFR",I542,J542,0,"Actual360","Simple","Annual","Annual","Annual")</f>
        <v>QSObject:Swap:w1~swap.540:20299</v>
      </c>
      <c r="F542" s="6" t="str">
        <f>_xll.QS.TRADE.CREATE("trade.540",E542,A542,"Receive")</f>
        <v>QSObject:SwapTrade:w1~trade.540:30519</v>
      </c>
      <c r="G542" s="3">
        <f>_xll.QS.EVALUATE(C542,F542)</f>
        <v>33986.532874041652</v>
      </c>
      <c r="H542" s="5" t="s">
        <v>1125</v>
      </c>
      <c r="I542" s="7">
        <v>1054000</v>
      </c>
      <c r="J542" s="8">
        <v>3.9000000000000007E-2</v>
      </c>
    </row>
    <row r="543" spans="1:10" x14ac:dyDescent="0.25">
      <c r="A543" s="5" t="s">
        <v>1113</v>
      </c>
      <c r="B543" s="5" t="s">
        <v>1126</v>
      </c>
      <c r="C543" s="6" t="str">
        <f>_xll.QS.CONTEXT.CREATE("market.541",A543,"USD","SOFR")</f>
        <v>QSObject:PricingContext:w1~market.541:20298</v>
      </c>
      <c r="D543" s="6" t="str">
        <f>_xll.QS.CONTEXT.ADD.CURVE(C543,"SOFR",$K$2:$K$7,$L$2:$L$7,,,"Actual360","LogLinear",TRUE)</f>
        <v>QSObject:ContextInput:w1~input.qs_context_add_curve.2359132437744.542.3.0:39371</v>
      </c>
      <c r="E543" s="6" t="str">
        <f>_xll.QS.INSTRUMENT.SWAP("swap.541",H543,B543,"USD","SOFR",I543,J543,0,"Actual360","Simple","Annual","Annual","Annual")</f>
        <v>QSObject:Swap:w1~swap.541:20297</v>
      </c>
      <c r="F543" s="6" t="str">
        <f>_xll.QS.TRADE.CREATE("trade.541",E543,A543,"Receive")</f>
        <v>QSObject:SwapTrade:w1~trade.541:30518</v>
      </c>
      <c r="G543" s="3">
        <f>_xll.QS.EVALUATE(C543,F543)</f>
        <v>34476.033871337975</v>
      </c>
      <c r="H543" s="5" t="s">
        <v>1127</v>
      </c>
      <c r="I543" s="7">
        <v>1054100</v>
      </c>
      <c r="J543" s="8">
        <v>3.9100000000000003E-2</v>
      </c>
    </row>
    <row r="544" spans="1:10" x14ac:dyDescent="0.25">
      <c r="A544" s="5" t="s">
        <v>1115</v>
      </c>
      <c r="B544" s="5" t="s">
        <v>1128</v>
      </c>
      <c r="C544" s="6" t="str">
        <f>_xll.QS.CONTEXT.CREATE("market.542",A544,"USD","SOFR")</f>
        <v>QSObject:PricingContext:w1~market.542:20296</v>
      </c>
      <c r="D544" s="6" t="str">
        <f>_xll.QS.CONTEXT.ADD.CURVE(C544,"SOFR",$K$2:$K$7,$L$2:$L$7,,,"Actual360","LogLinear",TRUE)</f>
        <v>QSObject:ContextInput:w1~input.qs_context_add_curve.2359132437744.543.3.0:39370</v>
      </c>
      <c r="E544" s="6" t="str">
        <f>_xll.QS.INSTRUMENT.SWAP("swap.542",H544,B544,"USD","SOFR",I544,J544,0,"Actual360","Simple","Annual","Annual","Annual")</f>
        <v>QSObject:Swap:w1~swap.542:20295</v>
      </c>
      <c r="F544" s="6" t="str">
        <f>_xll.QS.TRADE.CREATE("trade.542",E544,A544,"Receive")</f>
        <v>QSObject:SwapTrade:w1~trade.542:30517</v>
      </c>
      <c r="G544" s="3">
        <f>_xll.QS.EVALUATE(C544,F544)</f>
        <v>34927.20763110336</v>
      </c>
      <c r="H544" s="5" t="s">
        <v>1129</v>
      </c>
      <c r="I544" s="7">
        <v>1054200</v>
      </c>
      <c r="J544" s="8">
        <v>3.9200000000000013E-2</v>
      </c>
    </row>
    <row r="545" spans="1:10" x14ac:dyDescent="0.25">
      <c r="A545" s="5" t="s">
        <v>1117</v>
      </c>
      <c r="B545" s="5" t="s">
        <v>1130</v>
      </c>
      <c r="C545" s="6" t="str">
        <f>_xll.QS.CONTEXT.CREATE("market.543",A545,"USD","SOFR")</f>
        <v>QSObject:PricingContext:w1~market.543:20294</v>
      </c>
      <c r="D545" s="6" t="str">
        <f>_xll.QS.CONTEXT.ADD.CURVE(C545,"SOFR",$K$2:$K$7,$L$2:$L$7,,,"Actual360","LogLinear",TRUE)</f>
        <v>QSObject:ContextInput:w1~input.qs_context_add_curve.2359132437744.544.3.0:39369</v>
      </c>
      <c r="E545" s="6" t="str">
        <f>_xll.QS.INSTRUMENT.SWAP("swap.543",H545,B545,"USD","SOFR",I545,J545,0,"Actual360","Simple","Annual","Annual","Annual")</f>
        <v>QSObject:Swap:w1~swap.543:20293</v>
      </c>
      <c r="F545" s="6" t="str">
        <f>_xll.QS.TRADE.CREATE("trade.543",E545,A545,"Receive")</f>
        <v>QSObject:SwapTrade:w1~trade.543:30516</v>
      </c>
      <c r="G545" s="3">
        <f>_xll.QS.EVALUATE(C545,F545)</f>
        <v>35500.80016336574</v>
      </c>
      <c r="H545" s="5" t="s">
        <v>1131</v>
      </c>
      <c r="I545" s="7">
        <v>1054300</v>
      </c>
      <c r="J545" s="8">
        <v>3.9300000000000002E-2</v>
      </c>
    </row>
    <row r="546" spans="1:10" x14ac:dyDescent="0.25">
      <c r="A546" s="5" t="s">
        <v>1119</v>
      </c>
      <c r="B546" s="5" t="s">
        <v>1132</v>
      </c>
      <c r="C546" s="6" t="str">
        <f>_xll.QS.CONTEXT.CREATE("market.544",A546,"USD","SOFR")</f>
        <v>QSObject:PricingContext:w1~market.544:20292</v>
      </c>
      <c r="D546" s="6" t="str">
        <f>_xll.QS.CONTEXT.ADD.CURVE(C546,"SOFR",$K$2:$K$7,$L$2:$L$7,,,"Actual360","LogLinear",TRUE)</f>
        <v>QSObject:ContextInput:w1~input.qs_context_add_curve.2359132437744.545.3.0:39368</v>
      </c>
      <c r="E546" s="6" t="str">
        <f>_xll.QS.INSTRUMENT.SWAP("swap.544",H546,B546,"USD","SOFR",I546,J546,0,"Actual360","Simple","Annual","Annual","Annual")</f>
        <v>QSObject:Swap:w1~swap.544:20291</v>
      </c>
      <c r="F546" s="6" t="str">
        <f>_xll.QS.TRADE.CREATE("trade.544",E546,A546,"Receive")</f>
        <v>QSObject:SwapTrade:w1~trade.544:30515</v>
      </c>
      <c r="G546" s="3">
        <f>_xll.QS.EVALUATE(C546,F546)</f>
        <v>35859.041808318318</v>
      </c>
      <c r="H546" s="5" t="s">
        <v>1133</v>
      </c>
      <c r="I546" s="7">
        <v>1054400</v>
      </c>
      <c r="J546" s="8">
        <v>3.9399999999999998E-2</v>
      </c>
    </row>
    <row r="547" spans="1:10" x14ac:dyDescent="0.25">
      <c r="A547" s="5" t="s">
        <v>1121</v>
      </c>
      <c r="B547" s="5" t="s">
        <v>1134</v>
      </c>
      <c r="C547" s="6" t="str">
        <f>_xll.QS.CONTEXT.CREATE("market.545",A547,"USD","SOFR")</f>
        <v>QSObject:PricingContext:w1~market.545:20290</v>
      </c>
      <c r="D547" s="6" t="str">
        <f>_xll.QS.CONTEXT.ADD.CURVE(C547,"SOFR",$K$2:$K$7,$L$2:$L$7,,,"Actual360","LogLinear",TRUE)</f>
        <v>QSObject:ContextInput:w1~input.qs_context_add_curve.2359132437744.546.3.0:38747</v>
      </c>
      <c r="E547" s="6" t="str">
        <f>_xll.QS.INSTRUMENT.SWAP("swap.545",H547,B547,"USD","SOFR",I547,J547,0,"Actual360","Simple","Annual","Annual","Annual")</f>
        <v>QSObject:Swap:w1~swap.545:20289</v>
      </c>
      <c r="F547" s="6" t="str">
        <f>_xll.QS.TRADE.CREATE("trade.545",E547,A547,"Receive")</f>
        <v>QSObject:SwapTrade:w1~trade.545:30514</v>
      </c>
      <c r="G547" s="3">
        <f>_xll.QS.EVALUATE(C547,F547)</f>
        <v>36351.878352013198</v>
      </c>
      <c r="H547" s="5" t="s">
        <v>1135</v>
      </c>
      <c r="I547" s="7">
        <v>1054500</v>
      </c>
      <c r="J547" s="8">
        <v>3.9500000000000007E-2</v>
      </c>
    </row>
    <row r="548" spans="1:10" x14ac:dyDescent="0.25">
      <c r="A548" s="5" t="s">
        <v>1123</v>
      </c>
      <c r="B548" s="5" t="s">
        <v>1136</v>
      </c>
      <c r="C548" s="6" t="str">
        <f>_xll.QS.CONTEXT.CREATE("market.546",A548,"USD","SOFR")</f>
        <v>QSObject:PricingContext:w1~market.546:20288</v>
      </c>
      <c r="D548" s="6" t="str">
        <f>_xll.QS.CONTEXT.ADD.CURVE(C548,"SOFR",$K$2:$K$7,$L$2:$L$7,,,"Actual360","LogLinear",TRUE)</f>
        <v>QSObject:ContextInput:w1~input.qs_context_add_curve.2359132437744.547.3.0:38746</v>
      </c>
      <c r="E548" s="6" t="str">
        <f>_xll.QS.INSTRUMENT.SWAP("swap.546",H548,B548,"USD","SOFR",I548,J548,0,"Actual360","Simple","Annual","Annual","Annual")</f>
        <v>QSObject:Swap:w1~swap.546:20287</v>
      </c>
      <c r="F548" s="6" t="str">
        <f>_xll.QS.TRADE.CREATE("trade.546",E548,A548,"Receive")</f>
        <v>QSObject:SwapTrade:w1~trade.546:30513</v>
      </c>
      <c r="G548" s="3">
        <f>_xll.QS.EVALUATE(C548,F548)</f>
        <v>36964.696838276795</v>
      </c>
      <c r="H548" s="5" t="s">
        <v>1137</v>
      </c>
      <c r="I548" s="7">
        <v>1054600</v>
      </c>
      <c r="J548" s="8">
        <v>3.9600000000000003E-2</v>
      </c>
    </row>
    <row r="549" spans="1:10" x14ac:dyDescent="0.25">
      <c r="A549" s="5" t="s">
        <v>1125</v>
      </c>
      <c r="B549" s="5" t="s">
        <v>1138</v>
      </c>
      <c r="C549" s="6" t="str">
        <f>_xll.QS.CONTEXT.CREATE("market.547",A549,"USD","SOFR")</f>
        <v>QSObject:PricingContext:w1~market.547:20286</v>
      </c>
      <c r="D549" s="6" t="str">
        <f>_xll.QS.CONTEXT.ADD.CURVE(C549,"SOFR",$K$2:$K$7,$L$2:$L$7,,,"Actual360","LogLinear",TRUE)</f>
        <v>QSObject:ContextInput:w1~input.qs_context_add_curve.2359132437744.548.3.0:38745</v>
      </c>
      <c r="E549" s="6" t="str">
        <f>_xll.QS.INSTRUMENT.SWAP("swap.547",H549,B549,"USD","SOFR",I549,J549,0,"Actual360","Simple","Annual","Annual","Annual")</f>
        <v>QSObject:Swap:w1~swap.547:20285</v>
      </c>
      <c r="F549" s="6" t="str">
        <f>_xll.QS.TRADE.CREATE("trade.547",E549,A549,"Receive")</f>
        <v>QSObject:SwapTrade:w1~trade.547:30512</v>
      </c>
      <c r="G549" s="3">
        <f>_xll.QS.EVALUATE(C549,F549)</f>
        <v>37457.387919224828</v>
      </c>
      <c r="H549" s="5" t="s">
        <v>1139</v>
      </c>
      <c r="I549" s="7">
        <v>1054700</v>
      </c>
      <c r="J549" s="8">
        <v>3.9700000000000013E-2</v>
      </c>
    </row>
    <row r="550" spans="1:10" x14ac:dyDescent="0.25">
      <c r="A550" s="5" t="s">
        <v>1127</v>
      </c>
      <c r="B550" s="5" t="s">
        <v>1140</v>
      </c>
      <c r="C550" s="6" t="str">
        <f>_xll.QS.CONTEXT.CREATE("market.548",A550,"USD","SOFR")</f>
        <v>QSObject:PricingContext:w1~market.548:20284</v>
      </c>
      <c r="D550" s="6" t="str">
        <f>_xll.QS.CONTEXT.ADD.CURVE(C550,"SOFR",$K$2:$K$7,$L$2:$L$7,,,"Actual360","LogLinear",TRUE)</f>
        <v>QSObject:ContextInput:w1~input.qs_context_add_curve.2359132437744.549.3.0:38744</v>
      </c>
      <c r="E550" s="6" t="str">
        <f>_xll.QS.INSTRUMENT.SWAP("swap.548",H550,B550,"USD","SOFR",I550,J550,0,"Actual360","Simple","Annual","Annual","Annual")</f>
        <v>QSObject:Swap:w1~swap.548:20283</v>
      </c>
      <c r="F550" s="6" t="str">
        <f>_xll.QS.TRADE.CREATE("trade.548",E550,A550,"Receive")</f>
        <v>QSObject:SwapTrade:w1~trade.548:30511</v>
      </c>
      <c r="G550" s="3">
        <f>_xll.QS.EVALUATE(C550,F550)</f>
        <v>37953.177997140134</v>
      </c>
      <c r="H550" s="5" t="s">
        <v>1141</v>
      </c>
      <c r="I550" s="7">
        <v>1054800</v>
      </c>
      <c r="J550" s="8">
        <v>3.9800000000000002E-2</v>
      </c>
    </row>
    <row r="551" spans="1:10" x14ac:dyDescent="0.25">
      <c r="A551" s="5" t="s">
        <v>1129</v>
      </c>
      <c r="B551" s="5" t="s">
        <v>1142</v>
      </c>
      <c r="C551" s="6" t="str">
        <f>_xll.QS.CONTEXT.CREATE("market.549",A551,"USD","SOFR")</f>
        <v>QSObject:PricingContext:w1~market.549:20282</v>
      </c>
      <c r="D551" s="6" t="str">
        <f>_xll.QS.CONTEXT.ADD.CURVE(C551,"SOFR",$K$2:$K$7,$L$2:$L$7,,,"Actual360","LogLinear",TRUE)</f>
        <v>QSObject:ContextInput:w1~input.qs_context_add_curve.2359132437744.550.3.0:38743</v>
      </c>
      <c r="E551" s="6" t="str">
        <f>_xll.QS.INSTRUMENT.SWAP("swap.549",H551,B551,"USD","SOFR",I551,J551,0,"Actual360","Simple","Annual","Annual","Annual")</f>
        <v>QSObject:Swap:w1~swap.549:20281</v>
      </c>
      <c r="F551" s="6" t="str">
        <f>_xll.QS.TRADE.CREATE("trade.549",E551,A551,"Receive")</f>
        <v>QSObject:SwapTrade:w1~trade.549:30510</v>
      </c>
      <c r="G551" s="3">
        <f>_xll.QS.EVALUATE(C551,F551)</f>
        <v>38401.425588932143</v>
      </c>
      <c r="H551" s="5" t="s">
        <v>1143</v>
      </c>
      <c r="I551" s="7">
        <v>1054900</v>
      </c>
      <c r="J551" s="8">
        <v>3.9899999999999998E-2</v>
      </c>
    </row>
    <row r="552" spans="1:10" x14ac:dyDescent="0.25">
      <c r="A552" s="5" t="s">
        <v>1131</v>
      </c>
      <c r="B552" s="5" t="s">
        <v>1144</v>
      </c>
      <c r="C552" s="6" t="str">
        <f>_xll.QS.CONTEXT.CREATE("market.550",A552,"USD","SOFR")</f>
        <v>QSObject:PricingContext:w1~market.550:20280</v>
      </c>
      <c r="D552" s="6" t="str">
        <f>_xll.QS.CONTEXT.ADD.CURVE(C552,"SOFR",$K$2:$K$7,$L$2:$L$7,,,"Actual360","LogLinear",TRUE)</f>
        <v>QSObject:ContextInput:w1~input.qs_context_add_curve.2359132437744.551.3.0:38742</v>
      </c>
      <c r="E552" s="6" t="str">
        <f>_xll.QS.INSTRUMENT.SWAP("swap.550",H552,B552,"USD","SOFR",I552,J552,0,"Actual360","Simple","Annual","Annual","Annual")</f>
        <v>QSObject:Swap:w1~swap.550:20279</v>
      </c>
      <c r="F552" s="6" t="str">
        <f>_xll.QS.TRADE.CREATE("trade.550",E552,A552,"Receive")</f>
        <v>QSObject:SwapTrade:w1~trade.550:30509</v>
      </c>
      <c r="G552" s="3">
        <f>_xll.QS.EVALUATE(C552,F552)</f>
        <v>14555.439010242346</v>
      </c>
      <c r="H552" s="5" t="s">
        <v>1145</v>
      </c>
      <c r="I552" s="7">
        <v>1055000</v>
      </c>
      <c r="J552" s="8">
        <v>3.5000000000000003E-2</v>
      </c>
    </row>
    <row r="553" spans="1:10" x14ac:dyDescent="0.25">
      <c r="A553" s="5" t="s">
        <v>1133</v>
      </c>
      <c r="B553" s="5" t="s">
        <v>1146</v>
      </c>
      <c r="C553" s="6" t="str">
        <f>_xll.QS.CONTEXT.CREATE("market.551",A553,"USD","SOFR")</f>
        <v>QSObject:PricingContext:w1~market.551:20278</v>
      </c>
      <c r="D553" s="6" t="str">
        <f>_xll.QS.CONTEXT.ADD.CURVE(C553,"SOFR",$K$2:$K$7,$L$2:$L$7,,,"Actual360","LogLinear",TRUE)</f>
        <v>QSObject:ContextInput:w1~input.qs_context_add_curve.2359132437744.552.3.0:38741</v>
      </c>
      <c r="E553" s="6" t="str">
        <f>_xll.QS.INSTRUMENT.SWAP("swap.551",H553,B553,"USD","SOFR",I553,J553,0,"Actual360","Simple","Annual","Annual","Annual")</f>
        <v>QSObject:Swap:w1~swap.551:20277</v>
      </c>
      <c r="F553" s="6" t="str">
        <f>_xll.QS.TRADE.CREATE("trade.551",E553,A553,"Receive")</f>
        <v>QSObject:SwapTrade:w1~trade.551:30508</v>
      </c>
      <c r="G553" s="3">
        <f>_xll.QS.EVALUATE(C553,F553)</f>
        <v>14916.049075573381</v>
      </c>
      <c r="H553" s="5" t="s">
        <v>1147</v>
      </c>
      <c r="I553" s="7">
        <v>1055100</v>
      </c>
      <c r="J553" s="8">
        <v>3.5100000000000013E-2</v>
      </c>
    </row>
    <row r="554" spans="1:10" x14ac:dyDescent="0.25">
      <c r="A554" s="5" t="s">
        <v>1135</v>
      </c>
      <c r="B554" s="5" t="s">
        <v>1148</v>
      </c>
      <c r="C554" s="6" t="str">
        <f>_xll.QS.CONTEXT.CREATE("market.552",A554,"USD","SOFR")</f>
        <v>QSObject:PricingContext:w1~market.552:20276</v>
      </c>
      <c r="D554" s="6" t="str">
        <f>_xll.QS.CONTEXT.ADD.CURVE(C554,"SOFR",$K$2:$K$7,$L$2:$L$7,,,"Actual360","LogLinear",TRUE)</f>
        <v>QSObject:ContextInput:w1~input.qs_context_add_curve.2359132437744.553.3.0:38740</v>
      </c>
      <c r="E554" s="6" t="str">
        <f>_xll.QS.INSTRUMENT.SWAP("swap.552",H554,B554,"USD","SOFR",I554,J554,0,"Actual360","Simple","Annual","Annual","Annual")</f>
        <v>QSObject:Swap:w1~swap.552:20275</v>
      </c>
      <c r="F554" s="6" t="str">
        <f>_xll.QS.TRADE.CREATE("trade.552",E554,A554,"Receive")</f>
        <v>QSObject:SwapTrade:w1~trade.552:30507</v>
      </c>
      <c r="G554" s="3">
        <f>_xll.QS.EVALUATE(C554,F554)</f>
        <v>15405.351972070504</v>
      </c>
      <c r="H554" s="5" t="s">
        <v>1149</v>
      </c>
      <c r="I554" s="7">
        <v>1055200</v>
      </c>
      <c r="J554" s="8">
        <v>3.5200000000000002E-2</v>
      </c>
    </row>
    <row r="555" spans="1:10" x14ac:dyDescent="0.25">
      <c r="A555" s="5" t="s">
        <v>1137</v>
      </c>
      <c r="B555" s="5" t="s">
        <v>1150</v>
      </c>
      <c r="C555" s="6" t="str">
        <f>_xll.QS.CONTEXT.CREATE("market.553",A555,"USD","SOFR")</f>
        <v>QSObject:PricingContext:w1~market.553:20274</v>
      </c>
      <c r="D555" s="6" t="str">
        <f>_xll.QS.CONTEXT.ADD.CURVE(C555,"SOFR",$K$2:$K$7,$L$2:$L$7,,,"Actual360","LogLinear",TRUE)</f>
        <v>QSObject:ContextInput:w1~input.qs_context_add_curve.2359132437744.554.3.0:38739</v>
      </c>
      <c r="E555" s="6" t="str">
        <f>_xll.QS.INSTRUMENT.SWAP("swap.553",H555,B555,"USD","SOFR",I555,J555,0,"Actual360","Simple","Annual","Annual","Annual")</f>
        <v>QSObject:Swap:w1~swap.553:20273</v>
      </c>
      <c r="F555" s="6" t="str">
        <f>_xll.QS.TRADE.CREATE("trade.553",E555,A555,"Receive")</f>
        <v>QSObject:SwapTrade:w1~trade.553:30506</v>
      </c>
      <c r="G555" s="3">
        <f>_xll.QS.EVALUATE(C555,F555)</f>
        <v>15936.940054185747</v>
      </c>
      <c r="H555" s="5" t="s">
        <v>1151</v>
      </c>
      <c r="I555" s="7">
        <v>1055300</v>
      </c>
      <c r="J555" s="8">
        <v>3.5299999999999998E-2</v>
      </c>
    </row>
    <row r="556" spans="1:10" x14ac:dyDescent="0.25">
      <c r="A556" s="5" t="s">
        <v>1139</v>
      </c>
      <c r="B556" s="5" t="s">
        <v>1152</v>
      </c>
      <c r="C556" s="6" t="str">
        <f>_xll.QS.CONTEXT.CREATE("market.554",A556,"USD","SOFR")</f>
        <v>QSObject:PricingContext:w1~market.554:20272</v>
      </c>
      <c r="D556" s="6" t="str">
        <f>_xll.QS.CONTEXT.ADD.CURVE(C556,"SOFR",$K$2:$K$7,$L$2:$L$7,,,"Actual360","LogLinear",TRUE)</f>
        <v>QSObject:ContextInput:w1~input.qs_context_add_curve.2359132437744.555.3.0:38738</v>
      </c>
      <c r="E556" s="6" t="str">
        <f>_xll.QS.INSTRUMENT.SWAP("swap.554",H556,B556,"USD","SOFR",I556,J556,0,"Actual360","Simple","Annual","Annual","Annual")</f>
        <v>QSObject:Swap:w1~swap.554:20271</v>
      </c>
      <c r="F556" s="6" t="str">
        <f>_xll.QS.TRADE.CREATE("trade.554",E556,A556,"Receive")</f>
        <v>QSObject:SwapTrade:w1~trade.554:30505</v>
      </c>
      <c r="G556" s="3">
        <f>_xll.QS.EVALUATE(C556,F556)</f>
        <v>16502.344694120915</v>
      </c>
      <c r="H556" s="5" t="s">
        <v>1153</v>
      </c>
      <c r="I556" s="7">
        <v>1055400</v>
      </c>
      <c r="J556" s="8">
        <v>3.5400000000000001E-2</v>
      </c>
    </row>
    <row r="557" spans="1:10" x14ac:dyDescent="0.25">
      <c r="A557" s="5" t="s">
        <v>1141</v>
      </c>
      <c r="B557" s="5" t="s">
        <v>1154</v>
      </c>
      <c r="C557" s="6" t="str">
        <f>_xll.QS.CONTEXT.CREATE("market.555",A557,"USD","SOFR")</f>
        <v>QSObject:PricingContext:w1~market.555:20270</v>
      </c>
      <c r="D557" s="6" t="str">
        <f>_xll.QS.CONTEXT.ADD.CURVE(C557,"SOFR",$K$2:$K$7,$L$2:$L$7,,,"Actual360","LogLinear",TRUE)</f>
        <v>QSObject:ContextInput:w1~input.qs_context_add_curve.2359132437744.556.3.0:38737</v>
      </c>
      <c r="E557" s="6" t="str">
        <f>_xll.QS.INSTRUMENT.SWAP("swap.555",H557,B557,"USD","SOFR",I557,J557,0,"Actual360","Simple","Annual","Annual","Annual")</f>
        <v>QSObject:Swap:w1~swap.555:20269</v>
      </c>
      <c r="F557" s="6" t="str">
        <f>_xll.QS.TRADE.CREATE("trade.555",E557,A557,"Receive")</f>
        <v>QSObject:SwapTrade:w1~trade.555:30504</v>
      </c>
      <c r="G557" s="3">
        <f>_xll.QS.EVALUATE(C557,F557)</f>
        <v>16990.741591349597</v>
      </c>
      <c r="H557" s="5" t="s">
        <v>1155</v>
      </c>
      <c r="I557" s="7">
        <v>1055500</v>
      </c>
      <c r="J557" s="8">
        <v>3.5499999999999997E-2</v>
      </c>
    </row>
    <row r="558" spans="1:10" x14ac:dyDescent="0.25">
      <c r="A558" s="5" t="s">
        <v>1143</v>
      </c>
      <c r="B558" s="5" t="s">
        <v>1156</v>
      </c>
      <c r="C558" s="6" t="str">
        <f>_xll.QS.CONTEXT.CREATE("market.556",A558,"USD","SOFR")</f>
        <v>QSObject:PricingContext:w1~market.556:20268</v>
      </c>
      <c r="D558" s="6" t="str">
        <f>_xll.QS.CONTEXT.ADD.CURVE(C558,"SOFR",$K$2:$K$7,$L$2:$L$7,,,"Actual360","LogLinear",TRUE)</f>
        <v>QSObject:ContextInput:w1~input.qs_context_add_curve.2359132437744.557.3.0:38736</v>
      </c>
      <c r="E558" s="6" t="str">
        <f>_xll.QS.INSTRUMENT.SWAP("swap.556",H558,B558,"USD","SOFR",I558,J558,0,"Actual360","Simple","Annual","Annual","Annual")</f>
        <v>QSObject:Swap:w1~swap.556:20267</v>
      </c>
      <c r="F558" s="6" t="str">
        <f>_xll.QS.TRADE.CREATE("trade.556",E558,A558,"Receive")</f>
        <v>QSObject:SwapTrade:w1~trade.556:30503</v>
      </c>
      <c r="G558" s="3">
        <f>_xll.QS.EVALUATE(C558,F558)</f>
        <v>17485.004612757974</v>
      </c>
      <c r="H558" s="5" t="s">
        <v>1157</v>
      </c>
      <c r="I558" s="7">
        <v>1055600</v>
      </c>
      <c r="J558" s="8">
        <v>3.5600000000000007E-2</v>
      </c>
    </row>
    <row r="559" spans="1:10" x14ac:dyDescent="0.25">
      <c r="A559" s="5" t="s">
        <v>1145</v>
      </c>
      <c r="B559" s="5" t="s">
        <v>1158</v>
      </c>
      <c r="C559" s="6" t="str">
        <f>_xll.QS.CONTEXT.CREATE("market.557",A559,"USD","SOFR")</f>
        <v>QSObject:PricingContext:w1~market.557:20266</v>
      </c>
      <c r="D559" s="6" t="str">
        <f>_xll.QS.CONTEXT.ADD.CURVE(C559,"SOFR",$K$2:$K$7,$L$2:$L$7,,,"Actual360","LogLinear",TRUE)</f>
        <v>QSObject:ContextInput:w1~input.qs_context_add_curve.2359132437744.558.3.0:38735</v>
      </c>
      <c r="E559" s="6" t="str">
        <f>_xll.QS.INSTRUMENT.SWAP("swap.557",H559,B559,"USD","SOFR",I559,J559,0,"Actual360","Simple","Annual","Annual","Annual")</f>
        <v>QSObject:Swap:w1~swap.557:20265</v>
      </c>
      <c r="F559" s="6" t="str">
        <f>_xll.QS.TRADE.CREATE("trade.557",E559,A559,"Receive")</f>
        <v>QSObject:SwapTrade:w1~trade.557:30502</v>
      </c>
      <c r="G559" s="3">
        <f>_xll.QS.EVALUATE(C559,F559)</f>
        <v>17974.579585365165</v>
      </c>
      <c r="H559" s="5" t="s">
        <v>1159</v>
      </c>
      <c r="I559" s="7">
        <v>1055700</v>
      </c>
      <c r="J559" s="8">
        <v>3.5700000000000003E-2</v>
      </c>
    </row>
    <row r="560" spans="1:10" x14ac:dyDescent="0.25">
      <c r="A560" s="5" t="s">
        <v>1147</v>
      </c>
      <c r="B560" s="5" t="s">
        <v>1160</v>
      </c>
      <c r="C560" s="6" t="str">
        <f>_xll.QS.CONTEXT.CREATE("market.558",A560,"USD","SOFR")</f>
        <v>QSObject:PricingContext:w1~market.558:20264</v>
      </c>
      <c r="D560" s="6" t="str">
        <f>_xll.QS.CONTEXT.ADD.CURVE(C560,"SOFR",$K$2:$K$7,$L$2:$L$7,,,"Actual360","LogLinear",TRUE)</f>
        <v>QSObject:ContextInput:w1~input.qs_context_add_curve.2359132437744.559.3.0:38734</v>
      </c>
      <c r="E560" s="6" t="str">
        <f>_xll.QS.INSTRUMENT.SWAP("swap.558",H560,B560,"USD","SOFR",I560,J560,0,"Actual360","Simple","Annual","Annual","Annual")</f>
        <v>QSObject:Swap:w1~swap.558:20263</v>
      </c>
      <c r="F560" s="6" t="str">
        <f>_xll.QS.TRADE.CREATE("trade.558",E560,A560,"Receive")</f>
        <v>QSObject:SwapTrade:w1~trade.558:30501</v>
      </c>
      <c r="G560" s="3">
        <f>_xll.QS.EVALUATE(C560,F560)</f>
        <v>18335.065101355845</v>
      </c>
      <c r="H560" s="5" t="s">
        <v>1161</v>
      </c>
      <c r="I560" s="7">
        <v>1055800</v>
      </c>
      <c r="J560" s="8">
        <v>3.5800000000000012E-2</v>
      </c>
    </row>
    <row r="561" spans="1:10" x14ac:dyDescent="0.25">
      <c r="A561" s="5" t="s">
        <v>1149</v>
      </c>
      <c r="B561" s="5" t="s">
        <v>1162</v>
      </c>
      <c r="C561" s="6" t="str">
        <f>_xll.QS.CONTEXT.CREATE("market.559",A561,"USD","SOFR")</f>
        <v>QSObject:PricingContext:w1~market.559:20262</v>
      </c>
      <c r="D561" s="6" t="str">
        <f>_xll.QS.CONTEXT.ADD.CURVE(C561,"SOFR",$K$2:$K$7,$L$2:$L$7,,,"Actual360","LogLinear",TRUE)</f>
        <v>QSObject:ContextInput:w1~input.qs_context_add_curve.2359132437744.560.3.0:38733</v>
      </c>
      <c r="E561" s="6" t="str">
        <f>_xll.QS.INSTRUMENT.SWAP("swap.559",H561,B561,"USD","SOFR",I561,J561,0,"Actual360","Simple","Annual","Annual","Annual")</f>
        <v>QSObject:Swap:w1~swap.559:20261</v>
      </c>
      <c r="F561" s="6" t="str">
        <f>_xll.QS.TRADE.CREATE("trade.559",E561,A561,"Receive")</f>
        <v>QSObject:SwapTrade:w1~trade.559:30500</v>
      </c>
      <c r="G561" s="3">
        <f>_xll.QS.EVALUATE(C561,F561)</f>
        <v>18825.300491324371</v>
      </c>
      <c r="H561" s="5" t="s">
        <v>1163</v>
      </c>
      <c r="I561" s="7">
        <v>1055900</v>
      </c>
      <c r="J561" s="8">
        <v>3.5900000000000001E-2</v>
      </c>
    </row>
    <row r="562" spans="1:10" x14ac:dyDescent="0.25">
      <c r="A562" s="5" t="s">
        <v>1151</v>
      </c>
      <c r="B562" s="5" t="s">
        <v>1164</v>
      </c>
      <c r="C562" s="6" t="str">
        <f>_xll.QS.CONTEXT.CREATE("market.560",A562,"USD","SOFR")</f>
        <v>QSObject:PricingContext:w1~market.560:20260</v>
      </c>
      <c r="D562" s="6" t="str">
        <f>_xll.QS.CONTEXT.ADD.CURVE(C562,"SOFR",$K$2:$K$7,$L$2:$L$7,,,"Actual360","LogLinear",TRUE)</f>
        <v>QSObject:ContextInput:w1~input.qs_context_add_curve.2359132437744.561.3.0:38732</v>
      </c>
      <c r="E562" s="6" t="str">
        <f>_xll.QS.INSTRUMENT.SWAP("swap.560",H562,B562,"USD","SOFR",I562,J562,0,"Actual360","Simple","Annual","Annual","Annual")</f>
        <v>QSObject:Swap:w1~swap.560:20259</v>
      </c>
      <c r="F562" s="6" t="str">
        <f>_xll.QS.TRADE.CREATE("trade.560",E562,A562,"Receive")</f>
        <v>QSObject:SwapTrade:w1~trade.560:30499</v>
      </c>
      <c r="G562" s="3">
        <f>_xll.QS.EVALUATE(C562,F562)</f>
        <v>19357.896738616451</v>
      </c>
      <c r="H562" s="5" t="s">
        <v>1165</v>
      </c>
      <c r="I562" s="7">
        <v>1056000</v>
      </c>
      <c r="J562" s="8">
        <v>3.5999999999999997E-2</v>
      </c>
    </row>
    <row r="563" spans="1:10" x14ac:dyDescent="0.25">
      <c r="A563" s="5" t="s">
        <v>1153</v>
      </c>
      <c r="B563" s="5" t="s">
        <v>1166</v>
      </c>
      <c r="C563" s="6" t="str">
        <f>_xll.QS.CONTEXT.CREATE("market.561",A563,"USD","SOFR")</f>
        <v>QSObject:PricingContext:w1~market.561:20258</v>
      </c>
      <c r="D563" s="6" t="str">
        <f>_xll.QS.CONTEXT.ADD.CURVE(C563,"SOFR",$K$2:$K$7,$L$2:$L$7,,,"Actual360","LogLinear",TRUE)</f>
        <v>QSObject:ContextInput:w1~input.qs_context_add_curve.2359132437744.562.3.0:38731</v>
      </c>
      <c r="E563" s="6" t="str">
        <f>_xll.QS.INSTRUMENT.SWAP("swap.561",H563,B563,"USD","SOFR",I563,J563,0,"Actual360","Simple","Annual","Annual","Annual")</f>
        <v>QSObject:Swap:w1~swap.561:20257</v>
      </c>
      <c r="F563" s="6" t="str">
        <f>_xll.QS.TRADE.CREATE("trade.561",E563,A563,"Receive")</f>
        <v>QSObject:SwapTrade:w1~trade.561:30498</v>
      </c>
      <c r="G563" s="3">
        <f>_xll.QS.EVALUATE(C563,F563)</f>
        <v>19924.048970020849</v>
      </c>
      <c r="H563" s="5" t="s">
        <v>1167</v>
      </c>
      <c r="I563" s="7">
        <v>1056100</v>
      </c>
      <c r="J563" s="8">
        <v>3.61E-2</v>
      </c>
    </row>
    <row r="564" spans="1:10" x14ac:dyDescent="0.25">
      <c r="A564" s="5" t="s">
        <v>1155</v>
      </c>
      <c r="B564" s="5" t="s">
        <v>1168</v>
      </c>
      <c r="C564" s="6" t="str">
        <f>_xll.QS.CONTEXT.CREATE("market.562",A564,"USD","SOFR")</f>
        <v>QSObject:PricingContext:w1~market.562:20256</v>
      </c>
      <c r="D564" s="6" t="str">
        <f>_xll.QS.CONTEXT.ADD.CURVE(C564,"SOFR",$K$2:$K$7,$L$2:$L$7,,,"Actual360","LogLinear",TRUE)</f>
        <v>QSObject:ContextInput:w1~input.qs_context_add_curve.2359132437744.563.3.0:38730</v>
      </c>
      <c r="E564" s="6" t="str">
        <f>_xll.QS.INSTRUMENT.SWAP("swap.562",H564,B564,"USD","SOFR",I564,J564,0,"Actual360","Simple","Annual","Annual","Annual")</f>
        <v>QSObject:Swap:w1~swap.562:20255</v>
      </c>
      <c r="F564" s="6" t="str">
        <f>_xll.QS.TRADE.CREATE("trade.562",E564,A564,"Receive")</f>
        <v>QSObject:SwapTrade:w1~trade.562:30497</v>
      </c>
      <c r="G564" s="3">
        <f>_xll.QS.EVALUATE(C564,F564)</f>
        <v>20413.084968207299</v>
      </c>
      <c r="H564" s="5" t="s">
        <v>1169</v>
      </c>
      <c r="I564" s="7">
        <v>1056200</v>
      </c>
      <c r="J564" s="8">
        <v>3.6200000000000003E-2</v>
      </c>
    </row>
    <row r="565" spans="1:10" x14ac:dyDescent="0.25">
      <c r="A565" s="5" t="s">
        <v>1157</v>
      </c>
      <c r="B565" s="5" t="s">
        <v>1170</v>
      </c>
      <c r="C565" s="6" t="str">
        <f>_xll.QS.CONTEXT.CREATE("market.563",A565,"USD","SOFR")</f>
        <v>QSObject:PricingContext:w1~market.563:20254</v>
      </c>
      <c r="D565" s="6" t="str">
        <f>_xll.QS.CONTEXT.ADD.CURVE(C565,"SOFR",$K$2:$K$7,$L$2:$L$7,,,"Actual360","LogLinear",TRUE)</f>
        <v>QSObject:ContextInput:w1~input.qs_context_add_curve.2359132437744.564.3.0:38729</v>
      </c>
      <c r="E565" s="6" t="str">
        <f>_xll.QS.INSTRUMENT.SWAP("swap.563",H565,B565,"USD","SOFR",I565,J565,0,"Actual360","Simple","Annual","Annual","Annual")</f>
        <v>QSObject:Swap:w1~swap.563:20253</v>
      </c>
      <c r="F565" s="6" t="str">
        <f>_xll.QS.TRADE.CREATE("trade.563",E565,A565,"Receive")</f>
        <v>QSObject:SwapTrade:w1~trade.563:30496</v>
      </c>
      <c r="G565" s="3">
        <f>_xll.QS.EVALUATE(C565,F565)</f>
        <v>20908.00715265797</v>
      </c>
      <c r="H565" s="5" t="s">
        <v>1171</v>
      </c>
      <c r="I565" s="7">
        <v>1056300</v>
      </c>
      <c r="J565" s="8">
        <v>3.6300000000000013E-2</v>
      </c>
    </row>
    <row r="566" spans="1:10" x14ac:dyDescent="0.25">
      <c r="A566" s="5" t="s">
        <v>1159</v>
      </c>
      <c r="B566" s="5" t="s">
        <v>1172</v>
      </c>
      <c r="C566" s="6" t="str">
        <f>_xll.QS.CONTEXT.CREATE("market.564",A566,"USD","SOFR")</f>
        <v>QSObject:PricingContext:w1~market.564:20252</v>
      </c>
      <c r="D566" s="6" t="str">
        <f>_xll.QS.CONTEXT.ADD.CURVE(C566,"SOFR",$K$2:$K$7,$L$2:$L$7,,,"Actual360","LogLinear",TRUE)</f>
        <v>QSObject:ContextInput:w1~input.qs_context_add_curve.2359132437744.565.3.0:38728</v>
      </c>
      <c r="E566" s="6" t="str">
        <f>_xll.QS.INSTRUMENT.SWAP("swap.564",H566,B566,"USD","SOFR",I566,J566,0,"Actual360","Simple","Annual","Annual","Annual")</f>
        <v>QSObject:Swap:w1~swap.564:20251</v>
      </c>
      <c r="F566" s="6" t="str">
        <f>_xll.QS.TRADE.CREATE("trade.564",E566,A566,"Receive")</f>
        <v>QSObject:SwapTrade:w1~trade.564:30495</v>
      </c>
      <c r="G566" s="3">
        <f>_xll.QS.EVALUATE(C566,F566)</f>
        <v>21398.241592820097</v>
      </c>
      <c r="H566" s="5" t="s">
        <v>1173</v>
      </c>
      <c r="I566" s="7">
        <v>1056400</v>
      </c>
      <c r="J566" s="8">
        <v>3.6400000000000002E-2</v>
      </c>
    </row>
    <row r="567" spans="1:10" x14ac:dyDescent="0.25">
      <c r="A567" s="5" t="s">
        <v>1161</v>
      </c>
      <c r="B567" s="5" t="s">
        <v>1174</v>
      </c>
      <c r="C567" s="6" t="str">
        <f>_xll.QS.CONTEXT.CREATE("market.565",A567,"USD","SOFR")</f>
        <v>QSObject:PricingContext:w1~market.565:20250</v>
      </c>
      <c r="D567" s="6" t="str">
        <f>_xll.QS.CONTEXT.ADD.CURVE(C567,"SOFR",$K$2:$K$7,$L$2:$L$7,,,"Actual360","LogLinear",TRUE)</f>
        <v>QSObject:ContextInput:w1~input.qs_context_add_curve.2359132437744.566.3.0:38727</v>
      </c>
      <c r="E567" s="6" t="str">
        <f>_xll.QS.INSTRUMENT.SWAP("swap.565",H567,B567,"USD","SOFR",I567,J567,0,"Actual360","Simple","Annual","Annual","Annual")</f>
        <v>QSObject:Swap:w1~swap.565:20249</v>
      </c>
      <c r="F567" s="6" t="str">
        <f>_xll.QS.TRADE.CREATE("trade.565",E567,A567,"Receive")</f>
        <v>QSObject:SwapTrade:w1~trade.565:30494</v>
      </c>
      <c r="G567" s="3">
        <f>_xll.QS.EVALUATE(C567,F567)</f>
        <v>21758.60165004286</v>
      </c>
      <c r="H567" s="5" t="s">
        <v>1175</v>
      </c>
      <c r="I567" s="7">
        <v>1056500</v>
      </c>
      <c r="J567" s="8">
        <v>3.6499999999999998E-2</v>
      </c>
    </row>
    <row r="568" spans="1:10" x14ac:dyDescent="0.25">
      <c r="A568" s="5" t="s">
        <v>1163</v>
      </c>
      <c r="B568" s="5" t="s">
        <v>1176</v>
      </c>
      <c r="C568" s="6" t="str">
        <f>_xll.QS.CONTEXT.CREATE("market.566",A568,"USD","SOFR")</f>
        <v>QSObject:PricingContext:w1~market.566:20248</v>
      </c>
      <c r="D568" s="6" t="str">
        <f>_xll.QS.CONTEXT.ADD.CURVE(C568,"SOFR",$K$2:$K$7,$L$2:$L$7,,,"Actual360","LogLinear",TRUE)</f>
        <v>QSObject:ContextInput:w1~input.qs_context_add_curve.2359132437744.567.3.0:38726</v>
      </c>
      <c r="E568" s="6" t="str">
        <f>_xll.QS.INSTRUMENT.SWAP("swap.566",H568,B568,"USD","SOFR",I568,J568,0,"Actual360","Simple","Annual","Annual","Annual")</f>
        <v>QSObject:Swap:w1~swap.566:20247</v>
      </c>
      <c r="F568" s="6" t="str">
        <f>_xll.QS.TRADE.CREATE("trade.566",E568,A568,"Receive")</f>
        <v>QSObject:SwapTrade:w1~trade.566:30493</v>
      </c>
      <c r="G568" s="3">
        <f>_xll.QS.EVALUATE(C568,F568)</f>
        <v>22249.769912609056</v>
      </c>
      <c r="H568" s="5" t="s">
        <v>1177</v>
      </c>
      <c r="I568" s="7">
        <v>1056600</v>
      </c>
      <c r="J568" s="8">
        <v>3.6600000000000001E-2</v>
      </c>
    </row>
    <row r="569" spans="1:10" x14ac:dyDescent="0.25">
      <c r="A569" s="5" t="s">
        <v>1165</v>
      </c>
      <c r="B569" s="5" t="s">
        <v>1178</v>
      </c>
      <c r="C569" s="6" t="str">
        <f>_xll.QS.CONTEXT.CREATE("market.567",A569,"USD","SOFR")</f>
        <v>QSObject:PricingContext:w1~market.567:20246</v>
      </c>
      <c r="D569" s="6" t="str">
        <f>_xll.QS.CONTEXT.ADD.CURVE(C569,"SOFR",$K$2:$K$7,$L$2:$L$7,,,"Actual360","LogLinear",TRUE)</f>
        <v>QSObject:ContextInput:w1~input.qs_context_add_curve.2359132437744.568.3.0:38725</v>
      </c>
      <c r="E569" s="6" t="str">
        <f>_xll.QS.INSTRUMENT.SWAP("swap.567",H569,B569,"USD","SOFR",I569,J569,0,"Actual360","Simple","Annual","Annual","Annual")</f>
        <v>QSObject:Swap:w1~swap.567:20245</v>
      </c>
      <c r="F569" s="6" t="str">
        <f>_xll.QS.TRADE.CREATE("trade.567",E569,A569,"Receive")</f>
        <v>QSObject:SwapTrade:w1~trade.567:30492</v>
      </c>
      <c r="G569" s="3">
        <f>_xll.QS.EVALUATE(C569,F569)</f>
        <v>22783.37476735075</v>
      </c>
      <c r="H569" s="5" t="s">
        <v>1179</v>
      </c>
      <c r="I569" s="7">
        <v>1056700</v>
      </c>
      <c r="J569" s="8">
        <v>3.6700000000000003E-2</v>
      </c>
    </row>
    <row r="570" spans="1:10" x14ac:dyDescent="0.25">
      <c r="A570" s="5" t="s">
        <v>1167</v>
      </c>
      <c r="B570" s="5" t="s">
        <v>1180</v>
      </c>
      <c r="C570" s="6" t="str">
        <f>_xll.QS.CONTEXT.CREATE("market.568",A570,"USD","SOFR")</f>
        <v>QSObject:PricingContext:w1~market.568:20244</v>
      </c>
      <c r="D570" s="6" t="str">
        <f>_xll.QS.CONTEXT.ADD.CURVE(C570,"SOFR",$K$2:$K$7,$L$2:$L$7,,,"Actual360","LogLinear",TRUE)</f>
        <v>QSObject:ContextInput:w1~input.qs_context_add_curve.2359132437744.569.3.0:39343</v>
      </c>
      <c r="E570" s="6" t="str">
        <f>_xll.QS.INSTRUMENT.SWAP("swap.568",H570,B570,"USD","SOFR",I570,J570,0,"Actual360","Simple","Annual","Annual","Annual")</f>
        <v>QSObject:Swap:w1~swap.568:20243</v>
      </c>
      <c r="F570" s="6" t="str">
        <f>_xll.QS.TRADE.CREATE("trade.568",E570,A570,"Receive")</f>
        <v>QSObject:SwapTrade:w1~trade.568:30491</v>
      </c>
      <c r="G570" s="3">
        <f>_xll.QS.EVALUATE(C570,F570)</f>
        <v>23350.423451032304</v>
      </c>
      <c r="H570" s="5" t="s">
        <v>1181</v>
      </c>
      <c r="I570" s="7">
        <v>1056800</v>
      </c>
      <c r="J570" s="8">
        <v>3.6800000000000013E-2</v>
      </c>
    </row>
    <row r="571" spans="1:10" x14ac:dyDescent="0.25">
      <c r="A571" s="5" t="s">
        <v>1169</v>
      </c>
      <c r="B571" s="5" t="s">
        <v>1182</v>
      </c>
      <c r="C571" s="6" t="str">
        <f>_xll.QS.CONTEXT.CREATE("market.569",A571,"USD","SOFR")</f>
        <v>QSObject:PricingContext:w1~market.569:20242</v>
      </c>
      <c r="D571" s="6" t="str">
        <f>_xll.QS.CONTEXT.ADD.CURVE(C571,"SOFR",$K$2:$K$7,$L$2:$L$7,,,"Actual360","LogLinear",TRUE)</f>
        <v>QSObject:ContextInput:w1~input.qs_context_add_curve.2359132437744.570.3.0:38724</v>
      </c>
      <c r="E571" s="6" t="str">
        <f>_xll.QS.INSTRUMENT.SWAP("swap.569",H571,B571,"USD","SOFR",I571,J571,0,"Actual360","Simple","Annual","Annual","Annual")</f>
        <v>QSObject:Swap:w1~swap.569:20241</v>
      </c>
      <c r="F571" s="6" t="str">
        <f>_xll.QS.TRADE.CREATE("trade.569",E571,A571,"Receive")</f>
        <v>QSObject:SwapTrade:w1~trade.569:30490</v>
      </c>
      <c r="G571" s="3">
        <f>_xll.QS.EVALUATE(C571,F571)</f>
        <v>23840.253016580889</v>
      </c>
      <c r="H571" s="5" t="s">
        <v>1183</v>
      </c>
      <c r="I571" s="7">
        <v>1056900</v>
      </c>
      <c r="J571" s="8">
        <v>3.6900000000000002E-2</v>
      </c>
    </row>
    <row r="572" spans="1:10" x14ac:dyDescent="0.25">
      <c r="A572" s="5" t="s">
        <v>1171</v>
      </c>
      <c r="B572" s="5" t="s">
        <v>1184</v>
      </c>
      <c r="C572" s="6" t="str">
        <f>_xll.QS.CONTEXT.CREATE("market.570",A572,"USD","SOFR")</f>
        <v>QSObject:PricingContext:w1~market.570:20240</v>
      </c>
      <c r="D572" s="6" t="str">
        <f>_xll.QS.CONTEXT.ADD.CURVE(C572,"SOFR",$K$2:$K$7,$L$2:$L$7,,,"Actual360","LogLinear",TRUE)</f>
        <v>QSObject:ContextInput:w1~input.qs_context_add_curve.2359132437744.571.3.0:38723</v>
      </c>
      <c r="E572" s="6" t="str">
        <f>_xll.QS.INSTRUMENT.SWAP("swap.570",H572,B572,"USD","SOFR",I572,J572,0,"Actual360","Simple","Annual","Annual","Annual")</f>
        <v>QSObject:Swap:w1~swap.570:20239</v>
      </c>
      <c r="F572" s="6" t="str">
        <f>_xll.QS.TRADE.CREATE("trade.570",E572,A572,"Receive")</f>
        <v>QSObject:SwapTrade:w1~trade.570:30489</v>
      </c>
      <c r="G572" s="3">
        <f>_xll.QS.EVALUATE(C572,F572)</f>
        <v>24335.531107679813</v>
      </c>
      <c r="H572" s="5" t="s">
        <v>1185</v>
      </c>
      <c r="I572" s="7">
        <v>1057000</v>
      </c>
      <c r="J572" s="8">
        <v>3.7000000000000012E-2</v>
      </c>
    </row>
    <row r="573" spans="1:10" x14ac:dyDescent="0.25">
      <c r="A573" s="5" t="s">
        <v>1173</v>
      </c>
      <c r="B573" s="5" t="s">
        <v>1186</v>
      </c>
      <c r="C573" s="6" t="str">
        <f>_xll.QS.CONTEXT.CREATE("market.571",A573,"USD","SOFR")</f>
        <v>QSObject:PricingContext:w1~market.571:20238</v>
      </c>
      <c r="D573" s="6" t="str">
        <f>_xll.QS.CONTEXT.ADD.CURVE(C573,"SOFR",$K$2:$K$7,$L$2:$L$7,,,"Actual360","LogLinear",TRUE)</f>
        <v>QSObject:ContextInput:w1~input.qs_context_add_curve.2359132437744.572.3.0:38722</v>
      </c>
      <c r="E573" s="6" t="str">
        <f>_xll.QS.INSTRUMENT.SWAP("swap.571",H573,B573,"USD","SOFR",I573,J573,0,"Actual360","Simple","Annual","Annual","Annual")</f>
        <v>QSObject:Swap:w1~swap.571:20237</v>
      </c>
      <c r="F573" s="6" t="str">
        <f>_xll.QS.TRADE.CREATE("trade.571",E573,A573,"Receive")</f>
        <v>QSObject:SwapTrade:w1~trade.571:30488</v>
      </c>
      <c r="G573" s="3">
        <f>_xll.QS.EVALUATE(C573,F573)</f>
        <v>24826.293839319027</v>
      </c>
      <c r="H573" s="5" t="s">
        <v>1187</v>
      </c>
      <c r="I573" s="7">
        <v>1057100</v>
      </c>
      <c r="J573" s="8">
        <v>3.7100000000000001E-2</v>
      </c>
    </row>
    <row r="574" spans="1:10" x14ac:dyDescent="0.25">
      <c r="A574" s="5" t="s">
        <v>1175</v>
      </c>
      <c r="B574" s="5" t="s">
        <v>1188</v>
      </c>
      <c r="C574" s="6" t="str">
        <f>_xll.QS.CONTEXT.CREATE("market.572",A574,"USD","SOFR")</f>
        <v>QSObject:PricingContext:w1~market.572:20236</v>
      </c>
      <c r="D574" s="6" t="str">
        <f>_xll.QS.CONTEXT.ADD.CURVE(C574,"SOFR",$K$2:$K$7,$L$2:$L$7,,,"Actual360","LogLinear",TRUE)</f>
        <v>QSObject:ContextInput:w1~input.qs_context_add_curve.2359132437744.573.3.0:38721</v>
      </c>
      <c r="E574" s="6" t="str">
        <f>_xll.QS.INSTRUMENT.SWAP("swap.572",H574,B574,"USD","SOFR",I574,J574,0,"Actual360","Simple","Annual","Annual","Annual")</f>
        <v>QSObject:Swap:w1~swap.572:20235</v>
      </c>
      <c r="F574" s="6" t="str">
        <f>_xll.QS.TRADE.CREATE("trade.572",E574,A574,"Receive")</f>
        <v>QSObject:SwapTrade:w1~trade.572:30487</v>
      </c>
      <c r="G574" s="3">
        <f>_xll.QS.EVALUATE(C574,F574)</f>
        <v>25186.529715403707</v>
      </c>
      <c r="H574" s="5" t="s">
        <v>1189</v>
      </c>
      <c r="I574" s="7">
        <v>1057200</v>
      </c>
      <c r="J574" s="8">
        <v>3.7199999999999997E-2</v>
      </c>
    </row>
    <row r="575" spans="1:10" x14ac:dyDescent="0.25">
      <c r="A575" s="5" t="s">
        <v>1177</v>
      </c>
      <c r="B575" s="5" t="s">
        <v>1190</v>
      </c>
      <c r="C575" s="6" t="str">
        <f>_xll.QS.CONTEXT.CREATE("market.573",A575,"USD","SOFR")</f>
        <v>QSObject:PricingContext:w1~market.573:20234</v>
      </c>
      <c r="D575" s="6" t="str">
        <f>_xll.QS.CONTEXT.ADD.CURVE(C575,"SOFR",$K$2:$K$7,$L$2:$L$7,,,"Actual360","LogLinear",TRUE)</f>
        <v>QSObject:ContextInput:w1~input.qs_context_add_curve.2359132437744.574.3.0:39342</v>
      </c>
      <c r="E575" s="6" t="str">
        <f>_xll.QS.INSTRUMENT.SWAP("swap.573",H575,B575,"USD","SOFR",I575,J575,0,"Actual360","Simple","Annual","Annual","Annual")</f>
        <v>QSObject:Swap:w1~swap.573:20233</v>
      </c>
      <c r="F575" s="6" t="str">
        <f>_xll.QS.TRADE.CREATE("trade.573",E575,A575,"Receive")</f>
        <v>QSObject:SwapTrade:w1~trade.573:30486</v>
      </c>
      <c r="G575" s="3">
        <f>_xll.QS.EVALUATE(C575,F575)</f>
        <v>25678.631180611832</v>
      </c>
      <c r="H575" s="5" t="s">
        <v>1191</v>
      </c>
      <c r="I575" s="7">
        <v>1057300</v>
      </c>
      <c r="J575" s="8">
        <v>3.73E-2</v>
      </c>
    </row>
    <row r="576" spans="1:10" x14ac:dyDescent="0.25">
      <c r="A576" s="5" t="s">
        <v>1179</v>
      </c>
      <c r="B576" s="5" t="s">
        <v>1192</v>
      </c>
      <c r="C576" s="6" t="str">
        <f>_xll.QS.CONTEXT.CREATE("market.574",A576,"USD","SOFR")</f>
        <v>QSObject:PricingContext:w1~market.574:20232</v>
      </c>
      <c r="D576" s="6" t="str">
        <f>_xll.QS.CONTEXT.ADD.CURVE(C576,"SOFR",$K$2:$K$7,$L$2:$L$7,,,"Actual360","LogLinear",TRUE)</f>
        <v>QSObject:ContextInput:w1~input.qs_context_add_curve.2359132437744.575.3.0:38720</v>
      </c>
      <c r="E576" s="6" t="str">
        <f>_xll.QS.INSTRUMENT.SWAP("swap.574",H576,B576,"USD","SOFR",I576,J576,0,"Actual360","Simple","Annual","Annual","Annual")</f>
        <v>QSObject:Swap:w1~swap.574:20231</v>
      </c>
      <c r="F576" s="6" t="str">
        <f>_xll.QS.TRADE.CREATE("trade.574",E576,A576,"Receive")</f>
        <v>QSObject:SwapTrade:w1~trade.574:30485</v>
      </c>
      <c r="G576" s="3">
        <f>_xll.QS.EVALUATE(C576,F576)</f>
        <v>26212.650089232233</v>
      </c>
      <c r="H576" s="5" t="s">
        <v>1193</v>
      </c>
      <c r="I576" s="7">
        <v>1057400</v>
      </c>
      <c r="J576" s="8">
        <v>3.7400000000000003E-2</v>
      </c>
    </row>
    <row r="577" spans="1:10" x14ac:dyDescent="0.25">
      <c r="A577" s="5" t="s">
        <v>1181</v>
      </c>
      <c r="B577" s="5" t="s">
        <v>1194</v>
      </c>
      <c r="C577" s="6" t="str">
        <f>_xll.QS.CONTEXT.CREATE("market.575",A577,"USD","SOFR")</f>
        <v>QSObject:PricingContext:w1~market.575:20230</v>
      </c>
      <c r="D577" s="6" t="str">
        <f>_xll.QS.CONTEXT.ADD.CURVE(C577,"SOFR",$K$2:$K$7,$L$2:$L$7,,,"Actual360","LogLinear",TRUE)</f>
        <v>QSObject:ContextInput:w1~input.qs_context_add_curve.2359132437744.576.3.0:38719</v>
      </c>
      <c r="E577" s="6" t="str">
        <f>_xll.QS.INSTRUMENT.SWAP("swap.575",H577,B577,"USD","SOFR",I577,J577,0,"Actual360","Simple","Annual","Annual","Annual")</f>
        <v>QSObject:Swap:w1~swap.575:20229</v>
      </c>
      <c r="F577" s="6" t="str">
        <f>_xll.QS.TRADE.CREATE("trade.575",E577,A577,"Receive")</f>
        <v>QSObject:SwapTrade:w1~trade.575:30484</v>
      </c>
      <c r="G577" s="3">
        <f>_xll.QS.EVALUATE(C577,F577)</f>
        <v>26781.021756090195</v>
      </c>
      <c r="H577" s="5" t="s">
        <v>1195</v>
      </c>
      <c r="I577" s="7">
        <v>1057500</v>
      </c>
      <c r="J577" s="8">
        <v>3.7500000000000012E-2</v>
      </c>
    </row>
    <row r="578" spans="1:10" x14ac:dyDescent="0.25">
      <c r="A578" s="5" t="s">
        <v>1183</v>
      </c>
      <c r="B578" s="5" t="s">
        <v>1196</v>
      </c>
      <c r="C578" s="6" t="str">
        <f>_xll.QS.CONTEXT.CREATE("market.576",A578,"USD","SOFR")</f>
        <v>QSObject:PricingContext:w1~market.576:20228</v>
      </c>
      <c r="D578" s="6" t="str">
        <f>_xll.QS.CONTEXT.ADD.CURVE(C578,"SOFR",$K$2:$K$7,$L$2:$L$7,,,"Actual360","LogLinear",TRUE)</f>
        <v>QSObject:ContextInput:w1~input.qs_context_add_curve.2359132437744.577.3.0:39341</v>
      </c>
      <c r="E578" s="6" t="str">
        <f>_xll.QS.INSTRUMENT.SWAP("swap.576",H578,B578,"USD","SOFR",I578,J578,0,"Actual360","Simple","Annual","Annual","Annual")</f>
        <v>QSObject:Swap:w1~swap.576:20227</v>
      </c>
      <c r="F578" s="6" t="str">
        <f>_xll.QS.TRADE.CREATE("trade.576",E578,A578,"Receive")</f>
        <v>QSObject:SwapTrade:w1~trade.576:30483</v>
      </c>
      <c r="G578" s="3">
        <f>_xll.QS.EVALUATE(C578,F578)</f>
        <v>27271.335929464556</v>
      </c>
      <c r="H578" s="5" t="s">
        <v>1197</v>
      </c>
      <c r="I578" s="7">
        <v>1057600</v>
      </c>
      <c r="J578" s="8">
        <v>3.7600000000000001E-2</v>
      </c>
    </row>
    <row r="579" spans="1:10" x14ac:dyDescent="0.25">
      <c r="A579" s="5" t="s">
        <v>1185</v>
      </c>
      <c r="B579" s="5" t="s">
        <v>1198</v>
      </c>
      <c r="C579" s="6" t="str">
        <f>_xll.QS.CONTEXT.CREATE("market.577",A579,"USD","SOFR")</f>
        <v>QSObject:PricingContext:w1~market.577:20226</v>
      </c>
      <c r="D579" s="6" t="str">
        <f>_xll.QS.CONTEXT.ADD.CURVE(C579,"SOFR",$K$2:$K$7,$L$2:$L$7,,,"Actual360","LogLinear",TRUE)</f>
        <v>QSObject:ContextInput:w1~input.qs_context_add_curve.2359132437744.578.3.0:38718</v>
      </c>
      <c r="E579" s="6" t="str">
        <f>_xll.QS.INSTRUMENT.SWAP("swap.577",H579,B579,"USD","SOFR",I579,J579,0,"Actual360","Simple","Annual","Annual","Annual")</f>
        <v>QSObject:Swap:w1~swap.577:20225</v>
      </c>
      <c r="F579" s="6" t="str">
        <f>_xll.QS.TRADE.CREATE("trade.577",E579,A579,"Receive")</f>
        <v>QSObject:SwapTrade:w1~trade.577:30482</v>
      </c>
      <c r="G579" s="3">
        <f>_xll.QS.EVALUATE(C579,F579)</f>
        <v>27767.576477822957</v>
      </c>
      <c r="H579" s="5" t="s">
        <v>1199</v>
      </c>
      <c r="I579" s="7">
        <v>1057700</v>
      </c>
      <c r="J579" s="8">
        <v>3.7699999999999997E-2</v>
      </c>
    </row>
    <row r="580" spans="1:10" x14ac:dyDescent="0.25">
      <c r="A580" s="5" t="s">
        <v>1187</v>
      </c>
      <c r="B580" s="5" t="s">
        <v>1200</v>
      </c>
      <c r="C580" s="6" t="str">
        <f>_xll.QS.CONTEXT.CREATE("market.578",A580,"USD","SOFR")</f>
        <v>QSObject:PricingContext:w1~market.578:20224</v>
      </c>
      <c r="D580" s="6" t="str">
        <f>_xll.QS.CONTEXT.ADD.CURVE(C580,"SOFR",$K$2:$K$7,$L$2:$L$7,,,"Actual360","LogLinear",TRUE)</f>
        <v>QSObject:ContextInput:w1~input.qs_context_add_curve.2359132437744.579.3.0:38717</v>
      </c>
      <c r="E580" s="6" t="str">
        <f>_xll.QS.INSTRUMENT.SWAP("swap.578",H580,B580,"USD","SOFR",I580,J580,0,"Actual360","Simple","Annual","Annual","Annual")</f>
        <v>QSObject:Swap:w1~swap.578:20223</v>
      </c>
      <c r="F580" s="6" t="str">
        <f>_xll.QS.TRADE.CREATE("trade.578",E580,A580,"Receive")</f>
        <v>QSObject:SwapTrade:w1~trade.578:30481</v>
      </c>
      <c r="G580" s="3">
        <f>_xll.QS.EVALUATE(C580,F580)</f>
        <v>28259.12990472648</v>
      </c>
      <c r="H580" s="5" t="s">
        <v>1201</v>
      </c>
      <c r="I580" s="7">
        <v>1057800</v>
      </c>
      <c r="J580" s="8">
        <v>3.78E-2</v>
      </c>
    </row>
    <row r="581" spans="1:10" x14ac:dyDescent="0.25">
      <c r="A581" s="5" t="s">
        <v>1189</v>
      </c>
      <c r="B581" s="5" t="s">
        <v>1202</v>
      </c>
      <c r="C581" s="6" t="str">
        <f>_xll.QS.CONTEXT.CREATE("market.579",A581,"USD","SOFR")</f>
        <v>QSObject:PricingContext:w1~market.579:20222</v>
      </c>
      <c r="D581" s="6" t="str">
        <f>_xll.QS.CONTEXT.ADD.CURVE(C581,"SOFR",$K$2:$K$7,$L$2:$L$7,,,"Actual360","LogLinear",TRUE)</f>
        <v>QSObject:ContextInput:w1~input.qs_context_add_curve.2359132437744.580.3.0:39340</v>
      </c>
      <c r="E581" s="6" t="str">
        <f>_xll.QS.INSTRUMENT.SWAP("swap.579",H581,B581,"USD","SOFR",I581,J581,0,"Actual360","Simple","Annual","Annual","Annual")</f>
        <v>QSObject:Swap:w1~swap.579:20221</v>
      </c>
      <c r="F581" s="6" t="str">
        <f>_xll.QS.TRADE.CREATE("trade.579",E581,A581,"Receive")</f>
        <v>QSObject:SwapTrade:w1~trade.579:30480</v>
      </c>
      <c r="G581" s="3">
        <f>_xll.QS.EVALUATE(C581,F581)</f>
        <v>28619.236316131461</v>
      </c>
      <c r="H581" s="5" t="s">
        <v>1203</v>
      </c>
      <c r="I581" s="7">
        <v>1057900</v>
      </c>
      <c r="J581" s="8">
        <v>3.7900000000000003E-2</v>
      </c>
    </row>
    <row r="582" spans="1:10" x14ac:dyDescent="0.25">
      <c r="A582" s="5" t="s">
        <v>1191</v>
      </c>
      <c r="B582" s="5" t="s">
        <v>1204</v>
      </c>
      <c r="C582" s="6" t="str">
        <f>_xll.QS.CONTEXT.CREATE("market.580",A582,"USD","SOFR")</f>
        <v>QSObject:PricingContext:w1~market.580:20220</v>
      </c>
      <c r="D582" s="6" t="str">
        <f>_xll.QS.CONTEXT.ADD.CURVE(C582,"SOFR",$K$2:$K$7,$L$2:$L$7,,,"Actual360","LogLinear",TRUE)</f>
        <v>QSObject:ContextInput:w1~input.qs_context_add_curve.2359132437744.581.3.0:38716</v>
      </c>
      <c r="E582" s="6" t="str">
        <f>_xll.QS.INSTRUMENT.SWAP("swap.580",H582,B582,"USD","SOFR",I582,J582,0,"Actual360","Simple","Annual","Annual","Annual")</f>
        <v>QSObject:Swap:w1~swap.580:20219</v>
      </c>
      <c r="F582" s="6" t="str">
        <f>_xll.QS.TRADE.CREATE("trade.580",E582,A582,"Receive")</f>
        <v>QSObject:SwapTrade:w1~trade.580:30479</v>
      </c>
      <c r="G582" s="3">
        <f>_xll.QS.EVALUATE(C582,F582)</f>
        <v>29112.271461271528</v>
      </c>
      <c r="H582" s="5" t="s">
        <v>1205</v>
      </c>
      <c r="I582" s="7">
        <v>1058000</v>
      </c>
      <c r="J582" s="8">
        <v>3.8000000000000013E-2</v>
      </c>
    </row>
    <row r="583" spans="1:10" x14ac:dyDescent="0.25">
      <c r="A583" s="5" t="s">
        <v>1193</v>
      </c>
      <c r="B583" s="5" t="s">
        <v>1206</v>
      </c>
      <c r="C583" s="6" t="str">
        <f>_xll.QS.CONTEXT.CREATE("market.581",A583,"USD","SOFR")</f>
        <v>QSObject:PricingContext:w1~market.581:20218</v>
      </c>
      <c r="D583" s="6" t="str">
        <f>_xll.QS.CONTEXT.ADD.CURVE(C583,"SOFR",$K$2:$K$7,$L$2:$L$7,,,"Actual360","LogLinear",TRUE)</f>
        <v>QSObject:ContextInput:w1~input.qs_context_add_curve.2359132437744.582.3.0:38715</v>
      </c>
      <c r="E583" s="6" t="str">
        <f>_xll.QS.INSTRUMENT.SWAP("swap.581",H583,B583,"USD","SOFR",I583,J583,0,"Actual360","Simple","Annual","Annual","Annual")</f>
        <v>QSObject:Swap:w1~swap.581:20217</v>
      </c>
      <c r="F583" s="6" t="str">
        <f>_xll.QS.TRADE.CREATE("trade.581",E583,A583,"Receive")</f>
        <v>QSObject:SwapTrade:w1~trade.581:30478</v>
      </c>
      <c r="G583" s="3">
        <f>_xll.QS.EVALUATE(C583,F583)</f>
        <v>29647.894857729269</v>
      </c>
      <c r="H583" s="5" t="s">
        <v>1207</v>
      </c>
      <c r="I583" s="7">
        <v>1058100</v>
      </c>
      <c r="J583" s="8">
        <v>3.8100000000000002E-2</v>
      </c>
    </row>
    <row r="584" spans="1:10" x14ac:dyDescent="0.25">
      <c r="A584" s="5" t="s">
        <v>1195</v>
      </c>
      <c r="B584" s="5" t="s">
        <v>1208</v>
      </c>
      <c r="C584" s="6" t="str">
        <f>_xll.QS.CONTEXT.CREATE("market.582",A584,"USD","SOFR")</f>
        <v>QSObject:PricingContext:w1~market.582:20216</v>
      </c>
      <c r="D584" s="6" t="str">
        <f>_xll.QS.CONTEXT.ADD.CURVE(C584,"SOFR",$K$2:$K$7,$L$2:$L$7,,,"Actual360","LogLinear",TRUE)</f>
        <v>QSObject:ContextInput:w1~input.qs_context_add_curve.2359132437744.583.3.0:38714</v>
      </c>
      <c r="E584" s="6" t="str">
        <f>_xll.QS.INSTRUMENT.SWAP("swap.582",H584,B584,"USD","SOFR",I584,J584,0,"Actual360","Simple","Annual","Annual","Annual")</f>
        <v>QSObject:Swap:w1~swap.582:20215</v>
      </c>
      <c r="F584" s="6" t="str">
        <f>_xll.QS.TRADE.CREATE("trade.582",E584,A584,"Receive")</f>
        <v>QSObject:SwapTrade:w1~trade.582:30477</v>
      </c>
      <c r="G584" s="3">
        <f>_xll.QS.EVALUATE(C584,F584)</f>
        <v>30216.290266259221</v>
      </c>
      <c r="H584" s="5" t="s">
        <v>1209</v>
      </c>
      <c r="I584" s="7">
        <v>1058200</v>
      </c>
      <c r="J584" s="8">
        <v>3.8199999999999998E-2</v>
      </c>
    </row>
    <row r="585" spans="1:10" x14ac:dyDescent="0.25">
      <c r="A585" s="5" t="s">
        <v>1197</v>
      </c>
      <c r="B585" s="5" t="s">
        <v>1210</v>
      </c>
      <c r="C585" s="6" t="str">
        <f>_xll.QS.CONTEXT.CREATE("market.583",A585,"USD","SOFR")</f>
        <v>QSObject:PricingContext:w1~market.583:20214</v>
      </c>
      <c r="D585" s="6" t="str">
        <f>_xll.QS.CONTEXT.ADD.CURVE(C585,"SOFR",$K$2:$K$7,$L$2:$L$7,,,"Actual360","LogLinear",TRUE)</f>
        <v>QSObject:ContextInput:w1~input.qs_context_add_curve.2359132437744.584.3.0:38713</v>
      </c>
      <c r="E585" s="6" t="str">
        <f>_xll.QS.INSTRUMENT.SWAP("swap.583",H585,B585,"USD","SOFR",I585,J585,0,"Actual360","Simple","Annual","Annual","Annual")</f>
        <v>QSObject:Swap:w1~swap.583:20213</v>
      </c>
      <c r="F585" s="6" t="str">
        <f>_xll.QS.TRADE.CREATE("trade.583",E585,A585,"Receive")</f>
        <v>QSObject:SwapTrade:w1~trade.583:30476</v>
      </c>
      <c r="G585" s="3">
        <f>_xll.QS.EVALUATE(C585,F585)</f>
        <v>30707.243513863985</v>
      </c>
      <c r="H585" s="5" t="s">
        <v>1211</v>
      </c>
      <c r="I585" s="7">
        <v>1058300</v>
      </c>
      <c r="J585" s="8">
        <v>3.8300000000000001E-2</v>
      </c>
    </row>
    <row r="586" spans="1:10" x14ac:dyDescent="0.25">
      <c r="A586" s="5" t="s">
        <v>1199</v>
      </c>
      <c r="B586" s="5" t="s">
        <v>1212</v>
      </c>
      <c r="C586" s="6" t="str">
        <f>_xll.QS.CONTEXT.CREATE("market.584",A586,"USD","SOFR")</f>
        <v>QSObject:PricingContext:w1~market.584:20212</v>
      </c>
      <c r="D586" s="6" t="str">
        <f>_xll.QS.CONTEXT.ADD.CURVE(C586,"SOFR",$K$2:$K$7,$L$2:$L$7,,,"Actual360","LogLinear",TRUE)</f>
        <v>QSObject:ContextInput:w1~input.qs_context_add_curve.2359132437744.585.3.0:39339</v>
      </c>
      <c r="E586" s="6" t="str">
        <f>_xll.QS.INSTRUMENT.SWAP("swap.584",H586,B586,"USD","SOFR",I586,J586,0,"Actual360","Simple","Annual","Annual","Annual")</f>
        <v>QSObject:Swap:w1~swap.584:20211</v>
      </c>
      <c r="F586" s="6" t="str">
        <f>_xll.QS.TRADE.CREATE("trade.584",E586,A586,"Receive")</f>
        <v>QSObject:SwapTrade:w1~trade.584:30475</v>
      </c>
      <c r="G586" s="3">
        <f>_xll.QS.EVALUATE(C586,F586)</f>
        <v>31204.143263087812</v>
      </c>
      <c r="H586" s="5" t="s">
        <v>1213</v>
      </c>
      <c r="I586" s="7">
        <v>1058400</v>
      </c>
      <c r="J586" s="8">
        <v>3.8399999999999997E-2</v>
      </c>
    </row>
    <row r="587" spans="1:10" x14ac:dyDescent="0.25">
      <c r="A587" s="5" t="s">
        <v>1201</v>
      </c>
      <c r="B587" s="5" t="s">
        <v>1214</v>
      </c>
      <c r="C587" s="6" t="str">
        <f>_xll.QS.CONTEXT.CREATE("market.585",A587,"USD","SOFR")</f>
        <v>QSObject:PricingContext:w1~market.585:20210</v>
      </c>
      <c r="D587" s="6" t="str">
        <f>_xll.QS.CONTEXT.ADD.CURVE(C587,"SOFR",$K$2:$K$7,$L$2:$L$7,,,"Actual360","LogLinear",TRUE)</f>
        <v>QSObject:ContextInput:w1~input.qs_context_add_curve.2359132437744.586.3.0:39338</v>
      </c>
      <c r="E587" s="6" t="str">
        <f>_xll.QS.INSTRUMENT.SWAP("swap.585",H587,B587,"USD","SOFR",I587,J587,0,"Actual360","Simple","Annual","Annual","Annual")</f>
        <v>QSObject:Swap:w1~swap.585:20209</v>
      </c>
      <c r="F587" s="6" t="str">
        <f>_xll.QS.TRADE.CREATE("trade.585",E587,A587,"Receive")</f>
        <v>QSObject:SwapTrade:w1~trade.585:30474</v>
      </c>
      <c r="G587" s="3">
        <f>_xll.QS.EVALUATE(C587,F587)</f>
        <v>31696.356209177866</v>
      </c>
      <c r="H587" s="5" t="s">
        <v>1215</v>
      </c>
      <c r="I587" s="7">
        <v>1058500</v>
      </c>
      <c r="J587" s="8">
        <v>3.8500000000000013E-2</v>
      </c>
    </row>
    <row r="588" spans="1:10" x14ac:dyDescent="0.25">
      <c r="A588" s="5" t="s">
        <v>1203</v>
      </c>
      <c r="B588" s="5" t="s">
        <v>1216</v>
      </c>
      <c r="C588" s="6" t="str">
        <f>_xll.QS.CONTEXT.CREATE("market.586",A588,"USD","SOFR")</f>
        <v>QSObject:PricingContext:w1~market.586:20208</v>
      </c>
      <c r="D588" s="6" t="str">
        <f>_xll.QS.CONTEXT.ADD.CURVE(C588,"SOFR",$K$2:$K$7,$L$2:$L$7,,,"Actual360","LogLinear",TRUE)</f>
        <v>QSObject:ContextInput:w1~input.qs_context_add_curve.2359132437744.587.3.0:39337</v>
      </c>
      <c r="E588" s="6" t="str">
        <f>_xll.QS.INSTRUMENT.SWAP("swap.586",H588,B588,"USD","SOFR",I588,J588,0,"Actual360","Simple","Annual","Annual","Annual")</f>
        <v>QSObject:Swap:w1~swap.586:20207</v>
      </c>
      <c r="F588" s="6" t="str">
        <f>_xll.QS.TRADE.CREATE("trade.586",E588,A588,"Receive")</f>
        <v>QSObject:SwapTrade:w1~trade.586:30473</v>
      </c>
      <c r="G588" s="3">
        <f>_xll.QS.EVALUATE(C588,F588)</f>
        <v>32056.334433532938</v>
      </c>
      <c r="H588" s="5" t="s">
        <v>1217</v>
      </c>
      <c r="I588" s="7">
        <v>1058600</v>
      </c>
      <c r="J588" s="8">
        <v>3.8600000000000002E-2</v>
      </c>
    </row>
    <row r="589" spans="1:10" x14ac:dyDescent="0.25">
      <c r="A589" s="5" t="s">
        <v>1205</v>
      </c>
      <c r="B589" s="5" t="s">
        <v>1218</v>
      </c>
      <c r="C589" s="6" t="str">
        <f>_xll.QS.CONTEXT.CREATE("market.587",A589,"USD","SOFR")</f>
        <v>QSObject:PricingContext:w1~market.587:20206</v>
      </c>
      <c r="D589" s="6" t="str">
        <f>_xll.QS.CONTEXT.ADD.CURVE(C589,"SOFR",$K$2:$K$7,$L$2:$L$7,,,"Actual360","LogLinear",TRUE)</f>
        <v>QSObject:ContextInput:w1~input.qs_context_add_curve.2359132437744.588.3.0:38712</v>
      </c>
      <c r="E589" s="6" t="str">
        <f>_xll.QS.INSTRUMENT.SWAP("swap.587",H589,B589,"USD","SOFR",I589,J589,0,"Actual360","Simple","Annual","Annual","Annual")</f>
        <v>QSObject:Swap:w1~swap.587:20205</v>
      </c>
      <c r="F589" s="6" t="str">
        <f>_xll.QS.TRADE.CREATE("trade.587",E589,A589,"Receive")</f>
        <v>QSObject:SwapTrade:w1~trade.587:30472</v>
      </c>
      <c r="G589" s="3">
        <f>_xll.QS.EVALUATE(C589,F589)</f>
        <v>32550.30358864932</v>
      </c>
      <c r="H589" s="5" t="s">
        <v>1219</v>
      </c>
      <c r="I589" s="7">
        <v>1058700</v>
      </c>
      <c r="J589" s="8">
        <v>3.8700000000000012E-2</v>
      </c>
    </row>
    <row r="590" spans="1:10" x14ac:dyDescent="0.25">
      <c r="A590" s="5" t="s">
        <v>1207</v>
      </c>
      <c r="B590" s="5" t="s">
        <v>1220</v>
      </c>
      <c r="C590" s="6" t="str">
        <f>_xll.QS.CONTEXT.CREATE("market.588",A590,"USD","SOFR")</f>
        <v>QSObject:PricingContext:w1~market.588:20204</v>
      </c>
      <c r="D590" s="6" t="str">
        <f>_xll.QS.CONTEXT.ADD.CURVE(C590,"SOFR",$K$2:$K$7,$L$2:$L$7,,,"Actual360","LogLinear",TRUE)</f>
        <v>QSObject:ContextInput:w1~input.qs_context_add_curve.2359132437744.589.3.0:39336</v>
      </c>
      <c r="E590" s="6" t="str">
        <f>_xll.QS.INSTRUMENT.SWAP("swap.588",H590,B590,"USD","SOFR",I590,J590,0,"Actual360","Simple","Annual","Annual","Annual")</f>
        <v>QSObject:Swap:w1~swap.588:20203</v>
      </c>
      <c r="F590" s="6" t="str">
        <f>_xll.QS.TRADE.CREATE("trade.588",E590,A590,"Receive")</f>
        <v>QSObject:SwapTrade:w1~trade.588:30471</v>
      </c>
      <c r="G590" s="3">
        <f>_xll.QS.EVALUATE(C590,F590)</f>
        <v>33086.936919373722</v>
      </c>
      <c r="H590" s="5" t="s">
        <v>1221</v>
      </c>
      <c r="I590" s="7">
        <v>1058800</v>
      </c>
      <c r="J590" s="8">
        <v>3.8800000000000001E-2</v>
      </c>
    </row>
    <row r="591" spans="1:10" x14ac:dyDescent="0.25">
      <c r="A591" s="5" t="s">
        <v>1209</v>
      </c>
      <c r="B591" s="5" t="s">
        <v>1222</v>
      </c>
      <c r="C591" s="6" t="str">
        <f>_xll.QS.CONTEXT.CREATE("market.589",A591,"USD","SOFR")</f>
        <v>QSObject:PricingContext:w1~market.589:20202</v>
      </c>
      <c r="D591" s="6" t="str">
        <f>_xll.QS.CONTEXT.ADD.CURVE(C591,"SOFR",$K$2:$K$7,$L$2:$L$7,,,"Actual360","LogLinear",TRUE)</f>
        <v>QSObject:ContextInput:w1~input.qs_context_add_curve.2359132437744.590.3.0:39335</v>
      </c>
      <c r="E591" s="6" t="str">
        <f>_xll.QS.INSTRUMENT.SWAP("swap.589",H591,B591,"USD","SOFR",I591,J591,0,"Actual360","Simple","Annual","Annual","Annual")</f>
        <v>QSObject:Swap:w1~swap.589:20201</v>
      </c>
      <c r="F591" s="6" t="str">
        <f>_xll.QS.TRADE.CREATE("trade.589",E591,A591,"Receive")</f>
        <v>QSObject:SwapTrade:w1~trade.589:30470</v>
      </c>
      <c r="G591" s="3">
        <f>_xll.QS.EVALUATE(C591,F591)</f>
        <v>33656.080187851272</v>
      </c>
      <c r="H591" s="5" t="s">
        <v>1223</v>
      </c>
      <c r="I591" s="7">
        <v>1058900</v>
      </c>
      <c r="J591" s="8">
        <v>3.8899999999999997E-2</v>
      </c>
    </row>
    <row r="592" spans="1:10" x14ac:dyDescent="0.25">
      <c r="A592" s="5" t="s">
        <v>1211</v>
      </c>
      <c r="B592" s="5" t="s">
        <v>1224</v>
      </c>
      <c r="C592" s="6" t="str">
        <f>_xll.QS.CONTEXT.CREATE("market.590",A592,"USD","SOFR")</f>
        <v>QSObject:PricingContext:w1~market.590:20200</v>
      </c>
      <c r="D592" s="6" t="str">
        <f>_xll.QS.CONTEXT.ADD.CURVE(C592,"SOFR",$K$2:$K$7,$L$2:$L$7,,,"Actual360","LogLinear",TRUE)</f>
        <v>QSObject:ContextInput:w1~input.qs_context_add_curve.2359132437744.591.3.0:38711</v>
      </c>
      <c r="E592" s="6" t="str">
        <f>_xll.QS.INSTRUMENT.SWAP("swap.590",H592,B592,"USD","SOFR",I592,J592,0,"Actual360","Simple","Annual","Annual","Annual")</f>
        <v>QSObject:Swap:w1~swap.590:20199</v>
      </c>
      <c r="F592" s="6" t="str">
        <f>_xll.QS.TRADE.CREATE("trade.590",E592,A592,"Receive")</f>
        <v>QSObject:SwapTrade:w1~trade.590:30469</v>
      </c>
      <c r="G592" s="3">
        <f>_xll.QS.EVALUATE(C592,F592)</f>
        <v>34147.672500777182</v>
      </c>
      <c r="H592" s="5" t="s">
        <v>1225</v>
      </c>
      <c r="I592" s="7">
        <v>1059000</v>
      </c>
      <c r="J592" s="8">
        <v>3.9000000000000007E-2</v>
      </c>
    </row>
    <row r="593" spans="1:10" x14ac:dyDescent="0.25">
      <c r="A593" s="5" t="s">
        <v>1213</v>
      </c>
      <c r="B593" s="5" t="s">
        <v>1226</v>
      </c>
      <c r="C593" s="6" t="str">
        <f>_xll.QS.CONTEXT.CREATE("market.591",A593,"USD","SOFR")</f>
        <v>QSObject:PricingContext:w1~market.591:20198</v>
      </c>
      <c r="D593" s="6" t="str">
        <f>_xll.QS.CONTEXT.ADD.CURVE(C593,"SOFR",$K$2:$K$7,$L$2:$L$7,,,"Actual360","LogLinear",TRUE)</f>
        <v>QSObject:ContextInput:w1~input.qs_context_add_curve.2359132437744.592.3.0:39334</v>
      </c>
      <c r="E593" s="6" t="str">
        <f>_xll.QS.INSTRUMENT.SWAP("swap.591",H593,B593,"USD","SOFR",I593,J593,0,"Actual360","Simple","Annual","Annual","Annual")</f>
        <v>QSObject:Swap:w1~swap.591:20197</v>
      </c>
      <c r="F593" s="6" t="str">
        <f>_xll.QS.TRADE.CREATE("trade.591",E593,A593,"Receive")</f>
        <v>QSObject:SwapTrade:w1~trade.591:30468</v>
      </c>
      <c r="G593" s="3">
        <f>_xll.QS.EVALUATE(C593,F593)</f>
        <v>34645.231463474338</v>
      </c>
      <c r="H593" s="5" t="s">
        <v>1227</v>
      </c>
      <c r="I593" s="7">
        <v>1059100</v>
      </c>
      <c r="J593" s="8">
        <v>3.9100000000000003E-2</v>
      </c>
    </row>
    <row r="594" spans="1:10" x14ac:dyDescent="0.25">
      <c r="A594" s="5" t="s">
        <v>1215</v>
      </c>
      <c r="B594" s="5" t="s">
        <v>1228</v>
      </c>
      <c r="C594" s="6" t="str">
        <f>_xll.QS.CONTEXT.CREATE("market.592",A594,"USD","SOFR")</f>
        <v>QSObject:PricingContext:w1~market.592:20196</v>
      </c>
      <c r="D594" s="6" t="str">
        <f>_xll.QS.CONTEXT.ADD.CURVE(C594,"SOFR",$K$2:$K$7,$L$2:$L$7,,,"Actual360","LogLinear",TRUE)</f>
        <v>QSObject:ContextInput:w1~input.qs_context_add_curve.2359132437744.593.3.0:39333</v>
      </c>
      <c r="E594" s="6" t="str">
        <f>_xll.QS.INSTRUMENT.SWAP("swap.592",H594,B594,"USD","SOFR",I594,J594,0,"Actual360","Simple","Annual","Annual","Annual")</f>
        <v>QSObject:Swap:w1~swap.592:20195</v>
      </c>
      <c r="F594" s="6" t="str">
        <f>_xll.QS.TRADE.CREATE("trade.592",E594,A594,"Receive")</f>
        <v>QSObject:SwapTrade:w1~trade.592:30467</v>
      </c>
      <c r="G594" s="3">
        <f>_xll.QS.EVALUATE(C594,F594)</f>
        <v>35138.103945961368</v>
      </c>
      <c r="H594" s="5" t="s">
        <v>1229</v>
      </c>
      <c r="I594" s="7">
        <v>1059200</v>
      </c>
      <c r="J594" s="8">
        <v>3.9200000000000013E-2</v>
      </c>
    </row>
    <row r="595" spans="1:10" x14ac:dyDescent="0.25">
      <c r="A595" s="5" t="s">
        <v>1217</v>
      </c>
      <c r="B595" s="5" t="s">
        <v>1230</v>
      </c>
      <c r="C595" s="6" t="str">
        <f>_xll.QS.CONTEXT.CREATE("market.593",A595,"USD","SOFR")</f>
        <v>QSObject:PricingContext:w1~market.593:20194</v>
      </c>
      <c r="D595" s="6" t="str">
        <f>_xll.QS.CONTEXT.ADD.CURVE(C595,"SOFR",$K$2:$K$7,$L$2:$L$7,,,"Actual360","LogLinear",TRUE)</f>
        <v>QSObject:ContextInput:w1~input.qs_context_add_curve.2359132437744.594.3.0:38710</v>
      </c>
      <c r="E595" s="6" t="str">
        <f>_xll.QS.INSTRUMENT.SWAP("swap.593",H595,B595,"USD","SOFR",I595,J595,0,"Actual360","Simple","Annual","Annual","Annual")</f>
        <v>QSObject:Swap:w1~swap.593:20193</v>
      </c>
      <c r="F595" s="6" t="str">
        <f>_xll.QS.TRADE.CREATE("trade.593",E595,A595,"Receive")</f>
        <v>QSObject:SwapTrade:w1~trade.593:30466</v>
      </c>
      <c r="G595" s="3">
        <f>_xll.QS.EVALUATE(C595,F595)</f>
        <v>35497.953073839184</v>
      </c>
      <c r="H595" s="5" t="s">
        <v>1231</v>
      </c>
      <c r="I595" s="7">
        <v>1059300</v>
      </c>
      <c r="J595" s="8">
        <v>3.9300000000000002E-2</v>
      </c>
    </row>
    <row r="596" spans="1:10" x14ac:dyDescent="0.25">
      <c r="A596" s="5" t="s">
        <v>1219</v>
      </c>
      <c r="B596" s="5" t="s">
        <v>1232</v>
      </c>
      <c r="C596" s="6" t="str">
        <f>_xll.QS.CONTEXT.CREATE("market.594",A596,"USD","SOFR")</f>
        <v>QSObject:PricingContext:w1~market.594:20192</v>
      </c>
      <c r="D596" s="6" t="str">
        <f>_xll.QS.CONTEXT.ADD.CURVE(C596,"SOFR",$K$2:$K$7,$L$2:$L$7,,,"Actual360","LogLinear",TRUE)</f>
        <v>QSObject:ContextInput:w1~input.qs_context_add_curve.2359132437744.595.3.0:39332</v>
      </c>
      <c r="E596" s="6" t="str">
        <f>_xll.QS.INSTRUMENT.SWAP("swap.594",H596,B596,"USD","SOFR",I596,J596,0,"Actual360","Simple","Annual","Annual","Annual")</f>
        <v>QSObject:Swap:w1~swap.594:20191</v>
      </c>
      <c r="F596" s="6" t="str">
        <f>_xll.QS.TRADE.CREATE("trade.594",E596,A596,"Receive")</f>
        <v>QSObject:SwapTrade:w1~trade.594:30465</v>
      </c>
      <c r="G596" s="3">
        <f>_xll.QS.EVALUATE(C596,F596)</f>
        <v>35992.856618057958</v>
      </c>
      <c r="H596" s="5" t="s">
        <v>1233</v>
      </c>
      <c r="I596" s="7">
        <v>1059400</v>
      </c>
      <c r="J596" s="8">
        <v>3.9399999999999998E-2</v>
      </c>
    </row>
    <row r="597" spans="1:10" x14ac:dyDescent="0.25">
      <c r="A597" s="5" t="s">
        <v>1221</v>
      </c>
      <c r="B597" s="5" t="s">
        <v>1234</v>
      </c>
      <c r="C597" s="6" t="str">
        <f>_xll.QS.CONTEXT.CREATE("market.595",A597,"USD","SOFR")</f>
        <v>QSObject:PricingContext:w1~market.595:20190</v>
      </c>
      <c r="D597" s="6" t="str">
        <f>_xll.QS.CONTEXT.ADD.CURVE(C597,"SOFR",$K$2:$K$7,$L$2:$L$7,,,"Actual360","LogLinear",TRUE)</f>
        <v>QSObject:ContextInput:w1~input.qs_context_add_curve.2359132437744.596.3.0:39331</v>
      </c>
      <c r="E597" s="6" t="str">
        <f>_xll.QS.INSTRUMENT.SWAP("swap.595",H597,B597,"USD","SOFR",I597,J597,0,"Actual360","Simple","Annual","Annual","Annual")</f>
        <v>QSObject:Swap:w1~swap.595:20189</v>
      </c>
      <c r="F597" s="6" t="str">
        <f>_xll.QS.TRADE.CREATE("trade.595",E597,A597,"Receive")</f>
        <v>QSObject:SwapTrade:w1~trade.595:30464</v>
      </c>
      <c r="G597" s="3">
        <f>_xll.QS.EVALUATE(C597,F597)</f>
        <v>36530.500325321787</v>
      </c>
      <c r="H597" s="5" t="s">
        <v>1235</v>
      </c>
      <c r="I597" s="7">
        <v>1059500</v>
      </c>
      <c r="J597" s="8">
        <v>3.9500000000000007E-2</v>
      </c>
    </row>
    <row r="598" spans="1:10" x14ac:dyDescent="0.25">
      <c r="A598" s="5" t="s">
        <v>1223</v>
      </c>
      <c r="B598" s="5" t="s">
        <v>1236</v>
      </c>
      <c r="C598" s="6" t="str">
        <f>_xll.QS.CONTEXT.CREATE("market.596",A598,"USD","SOFR")</f>
        <v>QSObject:PricingContext:w1~market.596:20188</v>
      </c>
      <c r="D598" s="6" t="str">
        <f>_xll.QS.CONTEXT.ADD.CURVE(C598,"SOFR",$K$2:$K$7,$L$2:$L$7,,,"Actual360","LogLinear",TRUE)</f>
        <v>QSObject:ContextInput:w1~input.qs_context_add_curve.2359132437744.597.3.0:39330</v>
      </c>
      <c r="E598" s="6" t="str">
        <f>_xll.QS.INSTRUMENT.SWAP("swap.596",H598,B598,"USD","SOFR",I598,J598,0,"Actual360","Simple","Annual","Annual","Annual")</f>
        <v>QSObject:Swap:w1~swap.596:20187</v>
      </c>
      <c r="F598" s="6" t="str">
        <f>_xll.QS.TRADE.CREATE("trade.596",E598,A598,"Receive")</f>
        <v>QSObject:SwapTrade:w1~trade.596:30463</v>
      </c>
      <c r="G598" s="3">
        <f>_xll.QS.EVALUATE(C598,F598)</f>
        <v>37100.391520866528</v>
      </c>
      <c r="H598" s="5" t="s">
        <v>1237</v>
      </c>
      <c r="I598" s="7">
        <v>1059600</v>
      </c>
      <c r="J598" s="8">
        <v>3.9600000000000003E-2</v>
      </c>
    </row>
    <row r="599" spans="1:10" x14ac:dyDescent="0.25">
      <c r="A599" s="5" t="s">
        <v>1225</v>
      </c>
      <c r="B599" s="5" t="s">
        <v>1238</v>
      </c>
      <c r="C599" s="6" t="str">
        <f>_xll.QS.CONTEXT.CREATE("market.597",A599,"USD","SOFR")</f>
        <v>QSObject:PricingContext:w1~market.597:20186</v>
      </c>
      <c r="D599" s="6" t="str">
        <f>_xll.QS.CONTEXT.ADD.CURVE(C599,"SOFR",$K$2:$K$7,$L$2:$L$7,,,"Actual360","LogLinear",TRUE)</f>
        <v>QSObject:ContextInput:w1~input.qs_context_add_curve.2359132437744.598.3.0:39329</v>
      </c>
      <c r="E599" s="6" t="str">
        <f>_xll.QS.INSTRUMENT.SWAP("swap.597",H599,B599,"USD","SOFR",I599,J599,0,"Actual360","Simple","Annual","Annual","Annual")</f>
        <v>QSObject:Swap:w1~swap.597:20185</v>
      </c>
      <c r="F599" s="6" t="str">
        <f>_xll.QS.TRADE.CREATE("trade.597",E599,A599,"Receive")</f>
        <v>QSObject:SwapTrade:w1~trade.597:30462</v>
      </c>
      <c r="G599" s="3">
        <f>_xll.QS.EVALUATE(C599,F599)</f>
        <v>37592.622890204329</v>
      </c>
      <c r="H599" s="5" t="s">
        <v>1239</v>
      </c>
      <c r="I599" s="7">
        <v>1059700</v>
      </c>
      <c r="J599" s="8">
        <v>3.9700000000000013E-2</v>
      </c>
    </row>
    <row r="600" spans="1:10" x14ac:dyDescent="0.25">
      <c r="A600" s="5" t="s">
        <v>1227</v>
      </c>
      <c r="B600" s="5" t="s">
        <v>1240</v>
      </c>
      <c r="C600" s="6" t="str">
        <f>_xll.QS.CONTEXT.CREATE("market.598",A600,"USD","SOFR")</f>
        <v>QSObject:PricingContext:w1~market.598:20184</v>
      </c>
      <c r="D600" s="6" t="str">
        <f>_xll.QS.CONTEXT.ADD.CURVE(C600,"SOFR",$K$2:$K$7,$L$2:$L$7,,,"Actual360","LogLinear",TRUE)</f>
        <v>QSObject:ContextInput:w1~input.qs_context_add_curve.2359132437744.599.3.0:39328</v>
      </c>
      <c r="E600" s="6" t="str">
        <f>_xll.QS.INSTRUMENT.SWAP("swap.598",H600,B600,"USD","SOFR",I600,J600,0,"Actual360","Simple","Annual","Annual","Annual")</f>
        <v>QSObject:Swap:w1~swap.598:20183</v>
      </c>
      <c r="F600" s="6" t="str">
        <f>_xll.QS.TRADE.CREATE("trade.598",E600,A600,"Receive")</f>
        <v>QSObject:SwapTrade:w1~trade.598:30461</v>
      </c>
      <c r="G600" s="3">
        <f>_xll.QS.EVALUATE(C600,F600)</f>
        <v>38090.841078982448</v>
      </c>
      <c r="H600" s="5" t="s">
        <v>1241</v>
      </c>
      <c r="I600" s="7">
        <v>1059800</v>
      </c>
      <c r="J600" s="8">
        <v>3.9800000000000002E-2</v>
      </c>
    </row>
    <row r="601" spans="1:10" x14ac:dyDescent="0.25">
      <c r="A601" s="5" t="s">
        <v>1229</v>
      </c>
      <c r="B601" s="5" t="s">
        <v>1242</v>
      </c>
      <c r="C601" s="6" t="str">
        <f>_xll.QS.CONTEXT.CREATE("market.599",A601,"USD","SOFR")</f>
        <v>QSObject:PricingContext:w1~market.599:20182</v>
      </c>
      <c r="D601" s="6" t="str">
        <f>_xll.QS.CONTEXT.ADD.CURVE(C601,"SOFR",$K$2:$K$7,$L$2:$L$7,,,"Actual360","LogLinear",TRUE)</f>
        <v>QSObject:ContextInput:w1~input.qs_context_add_curve.2359132437744.600.3.0:39327</v>
      </c>
      <c r="E601" s="6" t="str">
        <f>_xll.QS.INSTRUMENT.SWAP("swap.599",H601,B601,"USD","SOFR",I601,J601,0,"Actual360","Simple","Annual","Annual","Annual")</f>
        <v>QSObject:Swap:w1~swap.599:20181</v>
      </c>
      <c r="F601" s="6" t="str">
        <f>_xll.QS.TRADE.CREATE("trade.599",E601,A601,"Receive")</f>
        <v>QSObject:SwapTrade:w1~trade.599:30460</v>
      </c>
      <c r="G601" s="3">
        <f>_xll.QS.EVALUATE(C601,F601)</f>
        <v>38584.37311507688</v>
      </c>
      <c r="H601" s="5" t="s">
        <v>1243</v>
      </c>
      <c r="I601" s="7">
        <v>1059900</v>
      </c>
      <c r="J601" s="8">
        <v>3.9899999999999998E-2</v>
      </c>
    </row>
    <row r="602" spans="1:10" x14ac:dyDescent="0.25">
      <c r="A602" s="5" t="s">
        <v>1231</v>
      </c>
      <c r="B602" s="5" t="s">
        <v>1244</v>
      </c>
      <c r="C602" s="6" t="str">
        <f>_xll.QS.CONTEXT.CREATE("market.600",A602,"USD","SOFR")</f>
        <v>QSObject:PricingContext:w1~market.600:20180</v>
      </c>
      <c r="D602" s="6" t="str">
        <f>_xll.QS.CONTEXT.ADD.CURVE(C602,"SOFR",$K$2:$K$7,$L$2:$L$7,,,"Actual360","LogLinear",TRUE)</f>
        <v>QSObject:ContextInput:w1~input.qs_context_add_curve.2359132437744.601.3.0:39326</v>
      </c>
      <c r="E602" s="6" t="str">
        <f>_xll.QS.INSTRUMENT.SWAP("swap.600",H602,B602,"USD","SOFR",I602,J602,0,"Actual360","Simple","Annual","Annual","Annual")</f>
        <v>QSObject:Swap:w1~swap.600:20179</v>
      </c>
      <c r="F602" s="6" t="str">
        <f>_xll.QS.TRADE.CREATE("trade.600",E602,A602,"Receive")</f>
        <v>QSObject:SwapTrade:w1~trade.600:30459</v>
      </c>
      <c r="G602" s="3">
        <f>_xll.QS.EVALUATE(C602,F602)</f>
        <v>14625.431625403715</v>
      </c>
      <c r="H602" s="5" t="s">
        <v>1245</v>
      </c>
      <c r="I602" s="7">
        <v>1060000</v>
      </c>
      <c r="J602" s="8">
        <v>3.5000000000000003E-2</v>
      </c>
    </row>
    <row r="603" spans="1:10" x14ac:dyDescent="0.25">
      <c r="A603" s="5" t="s">
        <v>1233</v>
      </c>
      <c r="B603" s="5" t="s">
        <v>1246</v>
      </c>
      <c r="C603" s="6" t="str">
        <f>_xll.QS.CONTEXT.CREATE("market.601",A603,"USD","SOFR")</f>
        <v>QSObject:PricingContext:w1~market.601:20178</v>
      </c>
      <c r="D603" s="6" t="str">
        <f>_xll.QS.CONTEXT.ADD.CURVE(C603,"SOFR",$K$2:$K$7,$L$2:$L$7,,,"Actual360","LogLinear",TRUE)</f>
        <v>QSObject:ContextInput:w1~input.qs_context_add_curve.2359132437744.602.3.0:39325</v>
      </c>
      <c r="E603" s="6" t="str">
        <f>_xll.QS.INSTRUMENT.SWAP("swap.601",H603,B603,"USD","SOFR",I603,J603,0,"Actual360","Simple","Annual","Annual","Annual")</f>
        <v>QSObject:Swap:w1~swap.601:20177</v>
      </c>
      <c r="F603" s="6" t="str">
        <f>_xll.QS.TRADE.CREATE("trade.601",E603,A603,"Receive")</f>
        <v>QSObject:SwapTrade:w1~trade.601:30458</v>
      </c>
      <c r="G603" s="3">
        <f>_xll.QS.EVALUATE(C603,F603)</f>
        <v>14944.762710493236</v>
      </c>
      <c r="H603" s="5" t="s">
        <v>1247</v>
      </c>
      <c r="I603" s="7">
        <v>1060100</v>
      </c>
      <c r="J603" s="8">
        <v>3.5100000000000013E-2</v>
      </c>
    </row>
    <row r="604" spans="1:10" x14ac:dyDescent="0.25">
      <c r="A604" s="5" t="s">
        <v>1235</v>
      </c>
      <c r="B604" s="5" t="s">
        <v>1248</v>
      </c>
      <c r="C604" s="6" t="str">
        <f>_xll.QS.CONTEXT.CREATE("market.602",A604,"USD","SOFR")</f>
        <v>QSObject:PricingContext:w1~market.602:20176</v>
      </c>
      <c r="D604" s="6" t="str">
        <f>_xll.QS.CONTEXT.ADD.CURVE(C604,"SOFR",$K$2:$K$7,$L$2:$L$7,,,"Actual360","LogLinear",TRUE)</f>
        <v>QSObject:ContextInput:w1~input.qs_context_add_curve.2359132437744.603.3.0:39324</v>
      </c>
      <c r="E604" s="6" t="str">
        <f>_xll.QS.INSTRUMENT.SWAP("swap.602",H604,B604,"USD","SOFR",I604,J604,0,"Actual360","Simple","Annual","Annual","Annual")</f>
        <v>QSObject:Swap:w1~swap.602:20175</v>
      </c>
      <c r="F604" s="6" t="str">
        <f>_xll.QS.TRADE.CREATE("trade.602",E604,A604,"Receive")</f>
        <v>QSObject:SwapTrade:w1~trade.602:30457</v>
      </c>
      <c r="G604" s="3">
        <f>_xll.QS.EVALUATE(C604,F604)</f>
        <v>15478.647024101632</v>
      </c>
      <c r="H604" s="5" t="s">
        <v>1249</v>
      </c>
      <c r="I604" s="7">
        <v>1060200</v>
      </c>
      <c r="J604" s="8">
        <v>3.5200000000000002E-2</v>
      </c>
    </row>
    <row r="605" spans="1:10" x14ac:dyDescent="0.25">
      <c r="A605" s="5" t="s">
        <v>1237</v>
      </c>
      <c r="B605" s="5" t="s">
        <v>1250</v>
      </c>
      <c r="C605" s="6" t="str">
        <f>_xll.QS.CONTEXT.CREATE("market.603",A605,"USD","SOFR")</f>
        <v>QSObject:PricingContext:w1~market.603:20174</v>
      </c>
      <c r="D605" s="6" t="str">
        <f>_xll.QS.CONTEXT.ADD.CURVE(C605,"SOFR",$K$2:$K$7,$L$2:$L$7,,,"Actual360","LogLinear",TRUE)</f>
        <v>QSObject:ContextInput:w1~input.qs_context_add_curve.2359132437744.604.3.0:39323</v>
      </c>
      <c r="E605" s="6" t="str">
        <f>_xll.QS.INSTRUMENT.SWAP("swap.603",H605,B605,"USD","SOFR",I605,J605,0,"Actual360","Simple","Annual","Annual","Annual")</f>
        <v>QSObject:Swap:w1~swap.603:20173</v>
      </c>
      <c r="F605" s="6" t="str">
        <f>_xll.QS.TRADE.CREATE("trade.603",E605,A605,"Receive")</f>
        <v>QSObject:SwapTrade:w1~trade.603:30456</v>
      </c>
      <c r="G605" s="3">
        <f>_xll.QS.EVALUATE(C605,F605)</f>
        <v>16128.696391408801</v>
      </c>
      <c r="H605" s="5" t="s">
        <v>1251</v>
      </c>
      <c r="I605" s="7">
        <v>1060300</v>
      </c>
      <c r="J605" s="8">
        <v>3.5299999999999998E-2</v>
      </c>
    </row>
    <row r="606" spans="1:10" x14ac:dyDescent="0.25">
      <c r="A606" s="5" t="s">
        <v>1239</v>
      </c>
      <c r="B606" s="5" t="s">
        <v>1252</v>
      </c>
      <c r="C606" s="6" t="str">
        <f>_xll.QS.CONTEXT.CREATE("market.604",A606,"USD","SOFR")</f>
        <v>QSObject:PricingContext:w1~market.604:20172</v>
      </c>
      <c r="D606" s="6" t="str">
        <f>_xll.QS.CONTEXT.ADD.CURVE(C606,"SOFR",$K$2:$K$7,$L$2:$L$7,,,"Actual360","LogLinear",TRUE)</f>
        <v>QSObject:ContextInput:w1~input.qs_context_add_curve.2359132437744.605.3.0:39322</v>
      </c>
      <c r="E606" s="6" t="str">
        <f>_xll.QS.INSTRUMENT.SWAP("swap.604",H606,B606,"USD","SOFR",I606,J606,0,"Actual360","Simple","Annual","Annual","Annual")</f>
        <v>QSObject:Swap:w1~swap.604:20171</v>
      </c>
      <c r="F606" s="6" t="str">
        <f>_xll.QS.TRADE.CREATE("trade.604",E606,A606,"Receive")</f>
        <v>QSObject:SwapTrade:w1~trade.604:30455</v>
      </c>
      <c r="G606" s="3">
        <f>_xll.QS.EVALUATE(C606,F606)</f>
        <v>16619.405216947307</v>
      </c>
      <c r="H606" s="5" t="s">
        <v>1253</v>
      </c>
      <c r="I606" s="7">
        <v>1060400</v>
      </c>
      <c r="J606" s="8">
        <v>3.5400000000000001E-2</v>
      </c>
    </row>
    <row r="607" spans="1:10" x14ac:dyDescent="0.25">
      <c r="A607" s="5" t="s">
        <v>1241</v>
      </c>
      <c r="B607" s="5" t="s">
        <v>1254</v>
      </c>
      <c r="C607" s="6" t="str">
        <f>_xll.QS.CONTEXT.CREATE("market.605",A607,"USD","SOFR")</f>
        <v>QSObject:PricingContext:w1~market.605:20170</v>
      </c>
      <c r="D607" s="6" t="str">
        <f>_xll.QS.CONTEXT.ADD.CURVE(C607,"SOFR",$K$2:$K$7,$L$2:$L$7,,,"Actual360","LogLinear",TRUE)</f>
        <v>QSObject:ContextInput:w1~input.qs_context_add_curve.2359132437744.606.3.0:39321</v>
      </c>
      <c r="E607" s="6" t="str">
        <f>_xll.QS.INSTRUMENT.SWAP("swap.605",H607,B607,"USD","SOFR",I607,J607,0,"Actual360","Simple","Annual","Annual","Annual")</f>
        <v>QSObject:Swap:w1~swap.605:20169</v>
      </c>
      <c r="F607" s="6" t="str">
        <f>_xll.QS.TRADE.CREATE("trade.605",E607,A607,"Receive")</f>
        <v>QSObject:SwapTrade:w1~trade.605:30454</v>
      </c>
      <c r="G607" s="3">
        <f>_xll.QS.EVALUATE(C607,F607)</f>
        <v>17119.638660705943</v>
      </c>
      <c r="H607" s="5" t="s">
        <v>1255</v>
      </c>
      <c r="I607" s="7">
        <v>1060500</v>
      </c>
      <c r="J607" s="8">
        <v>3.5499999999999997E-2</v>
      </c>
    </row>
    <row r="608" spans="1:10" x14ac:dyDescent="0.25">
      <c r="A608" s="5" t="s">
        <v>1243</v>
      </c>
      <c r="B608" s="5" t="s">
        <v>1256</v>
      </c>
      <c r="C608" s="6" t="str">
        <f>_xll.QS.CONTEXT.CREATE("market.606",A608,"USD","SOFR")</f>
        <v>QSObject:PricingContext:w1~market.606:20168</v>
      </c>
      <c r="D608" s="6" t="str">
        <f>_xll.QS.CONTEXT.ADD.CURVE(C608,"SOFR",$K$2:$K$7,$L$2:$L$7,,,"Actual360","LogLinear",TRUE)</f>
        <v>QSObject:ContextInput:w1~input.qs_context_add_curve.2359132437744.607.3.0:39320</v>
      </c>
      <c r="E608" s="6" t="str">
        <f>_xll.QS.INSTRUMENT.SWAP("swap.606",H608,B608,"USD","SOFR",I608,J608,0,"Actual360","Simple","Annual","Annual","Annual")</f>
        <v>QSObject:Swap:w1~swap.606:20167</v>
      </c>
      <c r="F608" s="6" t="str">
        <f>_xll.QS.TRADE.CREATE("trade.606",E608,A608,"Receive")</f>
        <v>QSObject:SwapTrade:w1~trade.606:30453</v>
      </c>
      <c r="G608" s="3">
        <f>_xll.QS.EVALUATE(C608,F608)</f>
        <v>17611.34480029732</v>
      </c>
      <c r="H608" s="5" t="s">
        <v>1257</v>
      </c>
      <c r="I608" s="7">
        <v>1060600</v>
      </c>
      <c r="J608" s="8">
        <v>3.5600000000000007E-2</v>
      </c>
    </row>
    <row r="609" spans="1:10" x14ac:dyDescent="0.25">
      <c r="A609" s="5" t="s">
        <v>1245</v>
      </c>
      <c r="B609" s="5" t="s">
        <v>1258</v>
      </c>
      <c r="C609" s="6" t="str">
        <f>_xll.QS.CONTEXT.CREATE("market.607",A609,"USD","SOFR")</f>
        <v>QSObject:PricingContext:w1~market.607:20166</v>
      </c>
      <c r="D609" s="6" t="str">
        <f>_xll.QS.CONTEXT.ADD.CURVE(C609,"SOFR",$K$2:$K$7,$L$2:$L$7,,,"Actual360","LogLinear",TRUE)</f>
        <v>QSObject:ContextInput:w1~input.qs_context_add_curve.2359132437744.608.3.0:39319</v>
      </c>
      <c r="E609" s="6" t="str">
        <f>_xll.QS.INSTRUMENT.SWAP("swap.607",H609,B609,"USD","SOFR",I609,J609,0,"Actual360","Simple","Annual","Annual","Annual")</f>
        <v>QSObject:Swap:w1~swap.607:20165</v>
      </c>
      <c r="F609" s="6" t="str">
        <f>_xll.QS.TRADE.CREATE("trade.607",E609,A609,"Receive")</f>
        <v>QSObject:SwapTrade:w1~trade.607:30452</v>
      </c>
      <c r="G609" s="3">
        <f>_xll.QS.EVALUATE(C609,F609)</f>
        <v>17973.730140779884</v>
      </c>
      <c r="H609" s="5" t="s">
        <v>1259</v>
      </c>
      <c r="I609" s="7">
        <v>1060700</v>
      </c>
      <c r="J609" s="8">
        <v>3.5700000000000003E-2</v>
      </c>
    </row>
    <row r="610" spans="1:10" x14ac:dyDescent="0.25">
      <c r="A610" s="5" t="s">
        <v>1247</v>
      </c>
      <c r="B610" s="5" t="s">
        <v>1260</v>
      </c>
      <c r="C610" s="6" t="str">
        <f>_xll.QS.CONTEXT.CREATE("market.608",A610,"USD","SOFR")</f>
        <v>QSObject:PricingContext:w1~market.608:20164</v>
      </c>
      <c r="D610" s="6" t="str">
        <f>_xll.QS.CONTEXT.ADD.CURVE(C610,"SOFR",$K$2:$K$7,$L$2:$L$7,,,"Actual360","LogLinear",TRUE)</f>
        <v>QSObject:ContextInput:w1~input.qs_context_add_curve.2359132437744.609.3.0:39318</v>
      </c>
      <c r="E610" s="6" t="str">
        <f>_xll.QS.INSTRUMENT.SWAP("swap.608",H610,B610,"USD","SOFR",I610,J610,0,"Actual360","Simple","Annual","Annual","Annual")</f>
        <v>QSObject:Swap:w1~swap.608:20163</v>
      </c>
      <c r="F610" s="6" t="str">
        <f>_xll.QS.TRADE.CREATE("trade.608",E610,A610,"Receive")</f>
        <v>QSObject:SwapTrade:w1~trade.608:30451</v>
      </c>
      <c r="G610" s="3">
        <f>_xll.QS.EVALUATE(C610,F610)</f>
        <v>18466.110248621604</v>
      </c>
      <c r="H610" s="5" t="s">
        <v>1261</v>
      </c>
      <c r="I610" s="7">
        <v>1060800</v>
      </c>
      <c r="J610" s="8">
        <v>3.5800000000000012E-2</v>
      </c>
    </row>
    <row r="611" spans="1:10" x14ac:dyDescent="0.25">
      <c r="A611" s="5" t="s">
        <v>1249</v>
      </c>
      <c r="B611" s="5" t="s">
        <v>1262</v>
      </c>
      <c r="C611" s="6" t="str">
        <f>_xll.QS.CONTEXT.CREATE("market.609",A611,"USD","SOFR")</f>
        <v>QSObject:PricingContext:w1~market.609:20162</v>
      </c>
      <c r="D611" s="6" t="str">
        <f>_xll.QS.CONTEXT.ADD.CURVE(C611,"SOFR",$K$2:$K$7,$L$2:$L$7,,,"Actual360","LogLinear",TRUE)</f>
        <v>QSObject:ContextInput:w1~input.qs_context_add_curve.2359132437744.610.3.0:39317</v>
      </c>
      <c r="E611" s="6" t="str">
        <f>_xll.QS.INSTRUMENT.SWAP("swap.609",H611,B611,"USD","SOFR",I611,J611,0,"Actual360","Simple","Annual","Annual","Annual")</f>
        <v>QSObject:Swap:w1~swap.609:20161</v>
      </c>
      <c r="F611" s="6" t="str">
        <f>_xll.QS.TRADE.CREATE("trade.609",E611,A611,"Receive")</f>
        <v>QSObject:SwapTrade:w1~trade.609:30450</v>
      </c>
      <c r="G611" s="3">
        <f>_xll.QS.EVALUATE(C611,F611)</f>
        <v>18958.711508093758</v>
      </c>
      <c r="H611" s="5" t="s">
        <v>1263</v>
      </c>
      <c r="I611" s="7">
        <v>1060900</v>
      </c>
      <c r="J611" s="8">
        <v>3.5900000000000001E-2</v>
      </c>
    </row>
    <row r="612" spans="1:10" x14ac:dyDescent="0.25">
      <c r="A612" s="5" t="s">
        <v>1251</v>
      </c>
      <c r="B612" s="5" t="s">
        <v>1264</v>
      </c>
      <c r="C612" s="6" t="str">
        <f>_xll.QS.CONTEXT.CREATE("market.610",A612,"USD","SOFR")</f>
        <v>QSObject:PricingContext:w1~market.610:20160</v>
      </c>
      <c r="D612" s="6" t="str">
        <f>_xll.QS.CONTEXT.ADD.CURVE(C612,"SOFR",$K$2:$K$7,$L$2:$L$7,,,"Actual360","LogLinear",TRUE)</f>
        <v>QSObject:ContextInput:w1~input.qs_context_add_curve.2359132437744.611.3.0:39316</v>
      </c>
      <c r="E612" s="6" t="str">
        <f>_xll.QS.INSTRUMENT.SWAP("swap.610",H612,B612,"USD","SOFR",I612,J612,0,"Actual360","Simple","Annual","Annual","Annual")</f>
        <v>QSObject:Swap:w1~swap.610:20159</v>
      </c>
      <c r="F612" s="6" t="str">
        <f>_xll.QS.TRADE.CREATE("trade.610",E612,A612,"Receive")</f>
        <v>QSObject:SwapTrade:w1~trade.610:30449</v>
      </c>
      <c r="G612" s="3">
        <f>_xll.QS.EVALUATE(C612,F612)</f>
        <v>19527.160561342516</v>
      </c>
      <c r="H612" s="5" t="s">
        <v>1265</v>
      </c>
      <c r="I612" s="7">
        <v>1061000</v>
      </c>
      <c r="J612" s="8">
        <v>3.5999999999999997E-2</v>
      </c>
    </row>
    <row r="613" spans="1:10" x14ac:dyDescent="0.25">
      <c r="A613" s="5" t="s">
        <v>1253</v>
      </c>
      <c r="B613" s="5" t="s">
        <v>1266</v>
      </c>
      <c r="C613" s="6" t="str">
        <f>_xll.QS.CONTEXT.CREATE("market.611",A613,"USD","SOFR")</f>
        <v>QSObject:PricingContext:w1~market.611:20158</v>
      </c>
      <c r="D613" s="6" t="str">
        <f>_xll.QS.CONTEXT.ADD.CURVE(C613,"SOFR",$K$2:$K$7,$L$2:$L$7,,,"Actual360","LogLinear",TRUE)</f>
        <v>QSObject:ContextInput:w1~input.qs_context_add_curve.2359132437744.612.3.0:39315</v>
      </c>
      <c r="E613" s="6" t="str">
        <f>_xll.QS.INSTRUMENT.SWAP("swap.611",H613,B613,"USD","SOFR",I613,J613,0,"Actual360","Simple","Annual","Annual","Annual")</f>
        <v>QSObject:Swap:w1~swap.611:20157</v>
      </c>
      <c r="F613" s="6" t="str">
        <f>_xll.QS.TRADE.CREATE("trade.611",E613,A613,"Receive")</f>
        <v>QSObject:SwapTrade:w1~trade.611:30448</v>
      </c>
      <c r="G613" s="3">
        <f>_xll.QS.EVALUATE(C613,F613)</f>
        <v>20018.360499213919</v>
      </c>
      <c r="H613" s="5" t="s">
        <v>1267</v>
      </c>
      <c r="I613" s="7">
        <v>1061100</v>
      </c>
      <c r="J613" s="8">
        <v>3.61E-2</v>
      </c>
    </row>
    <row r="614" spans="1:10" x14ac:dyDescent="0.25">
      <c r="A614" s="5" t="s">
        <v>1255</v>
      </c>
      <c r="B614" s="5" t="s">
        <v>1268</v>
      </c>
      <c r="C614" s="6" t="str">
        <f>_xll.QS.CONTEXT.CREATE("market.612",A614,"USD","SOFR")</f>
        <v>QSObject:PricingContext:w1~market.612:20156</v>
      </c>
      <c r="D614" s="6" t="str">
        <f>_xll.QS.CONTEXT.ADD.CURVE(C614,"SOFR",$K$2:$K$7,$L$2:$L$7,,,"Actual360","LogLinear",TRUE)</f>
        <v>QSObject:ContextInput:w1~input.qs_context_add_curve.2359132437744.613.3.0:39314</v>
      </c>
      <c r="E614" s="6" t="str">
        <f>_xll.QS.INSTRUMENT.SWAP("swap.612",H614,B614,"USD","SOFR",I614,J614,0,"Actual360","Simple","Annual","Annual","Annual")</f>
        <v>QSObject:Swap:w1~swap.612:20155</v>
      </c>
      <c r="F614" s="6" t="str">
        <f>_xll.QS.TRADE.CREATE("trade.612",E614,A614,"Receive")</f>
        <v>QSObject:SwapTrade:w1~trade.612:30447</v>
      </c>
      <c r="G614" s="3">
        <f>_xll.QS.EVALUATE(C614,F614)</f>
        <v>20515.391254073329</v>
      </c>
      <c r="H614" s="5" t="s">
        <v>1269</v>
      </c>
      <c r="I614" s="7">
        <v>1061200</v>
      </c>
      <c r="J614" s="8">
        <v>3.6200000000000003E-2</v>
      </c>
    </row>
    <row r="615" spans="1:10" x14ac:dyDescent="0.25">
      <c r="A615" s="5" t="s">
        <v>1257</v>
      </c>
      <c r="B615" s="5" t="s">
        <v>1270</v>
      </c>
      <c r="C615" s="6" t="str">
        <f>_xll.QS.CONTEXT.CREATE("market.613",A615,"USD","SOFR")</f>
        <v>QSObject:PricingContext:w1~market.613:20154</v>
      </c>
      <c r="D615" s="6" t="str">
        <f>_xll.QS.CONTEXT.ADD.CURVE(C615,"SOFR",$K$2:$K$7,$L$2:$L$7,,,"Actual360","LogLinear",TRUE)</f>
        <v>QSObject:ContextInput:w1~input.qs_context_add_curve.2359132437744.614.3.0:39313</v>
      </c>
      <c r="E615" s="6" t="str">
        <f>_xll.QS.INSTRUMENT.SWAP("swap.613",H615,B615,"USD","SOFR",I615,J615,0,"Actual360","Simple","Annual","Annual","Annual")</f>
        <v>QSObject:Swap:w1~swap.613:20153</v>
      </c>
      <c r="F615" s="6" t="str">
        <f>_xll.QS.TRADE.CREATE("trade.613",E615,A615,"Receive")</f>
        <v>QSObject:SwapTrade:w1~trade.613:30446</v>
      </c>
      <c r="G615" s="3">
        <f>_xll.QS.EVALUATE(C615,F615)</f>
        <v>21007.842413209055</v>
      </c>
      <c r="H615" s="5" t="s">
        <v>1271</v>
      </c>
      <c r="I615" s="7">
        <v>1061300</v>
      </c>
      <c r="J615" s="8">
        <v>3.6300000000000013E-2</v>
      </c>
    </row>
    <row r="616" spans="1:10" x14ac:dyDescent="0.25">
      <c r="A616" s="5" t="s">
        <v>1259</v>
      </c>
      <c r="B616" s="5" t="s">
        <v>1272</v>
      </c>
      <c r="C616" s="6" t="str">
        <f>_xll.QS.CONTEXT.CREATE("market.614",A616,"USD","SOFR")</f>
        <v>QSObject:PricingContext:w1~market.614:20152</v>
      </c>
      <c r="D616" s="6" t="str">
        <f>_xll.QS.CONTEXT.ADD.CURVE(C616,"SOFR",$K$2:$K$7,$L$2:$L$7,,,"Actual360","LogLinear",TRUE)</f>
        <v>QSObject:ContextInput:w1~input.qs_context_add_curve.2359132437744.615.3.0:39312</v>
      </c>
      <c r="E616" s="6" t="str">
        <f>_xll.QS.INSTRUMENT.SWAP("swap.614",H616,B616,"USD","SOFR",I616,J616,0,"Actual360","Simple","Annual","Annual","Annual")</f>
        <v>QSObject:Swap:w1~swap.614:20151</v>
      </c>
      <c r="F616" s="6" t="str">
        <f>_xll.QS.TRADE.CREATE("trade.614",E616,A616,"Receive")</f>
        <v>QSObject:SwapTrade:w1~trade.614:30445</v>
      </c>
      <c r="G616" s="3">
        <f>_xll.QS.EVALUATE(C616,F616)</f>
        <v>21369.916769273219</v>
      </c>
      <c r="H616" s="5" t="s">
        <v>1273</v>
      </c>
      <c r="I616" s="7">
        <v>1061400</v>
      </c>
      <c r="J616" s="8">
        <v>3.6400000000000002E-2</v>
      </c>
    </row>
    <row r="617" spans="1:10" x14ac:dyDescent="0.25">
      <c r="A617" s="5" t="s">
        <v>1261</v>
      </c>
      <c r="B617" s="5" t="s">
        <v>1274</v>
      </c>
      <c r="C617" s="6" t="str">
        <f>_xll.QS.CONTEXT.CREATE("market.615",A617,"USD","SOFR")</f>
        <v>QSObject:PricingContext:w1~market.615:20150</v>
      </c>
      <c r="D617" s="6" t="str">
        <f>_xll.QS.CONTEXT.ADD.CURVE(C617,"SOFR",$K$2:$K$7,$L$2:$L$7,,,"Actual360","LogLinear",TRUE)</f>
        <v>QSObject:ContextInput:w1~input.qs_context_add_curve.2359132437744.616.3.0:39311</v>
      </c>
      <c r="E617" s="6" t="str">
        <f>_xll.QS.INSTRUMENT.SWAP("swap.615",H617,B617,"USD","SOFR",I617,J617,0,"Actual360","Simple","Annual","Annual","Annual")</f>
        <v>QSObject:Swap:w1~swap.615:20149</v>
      </c>
      <c r="F617" s="6" t="str">
        <f>_xll.QS.TRADE.CREATE("trade.615",E617,A617,"Receive")</f>
        <v>QSObject:SwapTrade:w1~trade.615:30444</v>
      </c>
      <c r="G617" s="3">
        <f>_xll.QS.EVALUATE(C617,F617)</f>
        <v>21863.266088492339</v>
      </c>
      <c r="H617" s="5" t="s">
        <v>1275</v>
      </c>
      <c r="I617" s="7">
        <v>1061500</v>
      </c>
      <c r="J617" s="8">
        <v>3.6499999999999998E-2</v>
      </c>
    </row>
    <row r="618" spans="1:10" x14ac:dyDescent="0.25">
      <c r="A618" s="5" t="s">
        <v>1263</v>
      </c>
      <c r="B618" s="5" t="s">
        <v>1276</v>
      </c>
      <c r="C618" s="6" t="str">
        <f>_xll.QS.CONTEXT.CREATE("market.616",A618,"USD","SOFR")</f>
        <v>QSObject:PricingContext:w1~market.616:20148</v>
      </c>
      <c r="D618" s="6" t="str">
        <f>_xll.QS.CONTEXT.ADD.CURVE(C618,"SOFR",$K$2:$K$7,$L$2:$L$7,,,"Actual360","LogLinear",TRUE)</f>
        <v>QSObject:ContextInput:w1~input.qs_context_add_curve.2359132437744.617.3.0:39310</v>
      </c>
      <c r="E618" s="6" t="str">
        <f>_xll.QS.INSTRUMENT.SWAP("swap.616",H618,B618,"USD","SOFR",I618,J618,0,"Actual360","Simple","Annual","Annual","Annual")</f>
        <v>QSObject:Swap:w1~swap.616:20147</v>
      </c>
      <c r="F618" s="6" t="str">
        <f>_xll.QS.TRADE.CREATE("trade.616",E618,A618,"Receive")</f>
        <v>QSObject:SwapTrade:w1~trade.616:30443</v>
      </c>
      <c r="G618" s="3">
        <f>_xll.QS.EVALUATE(C618,F618)</f>
        <v>22399.241504198792</v>
      </c>
      <c r="H618" s="5" t="s">
        <v>1277</v>
      </c>
      <c r="I618" s="7">
        <v>1061600</v>
      </c>
      <c r="J618" s="8">
        <v>3.6600000000000001E-2</v>
      </c>
    </row>
    <row r="619" spans="1:10" x14ac:dyDescent="0.25">
      <c r="A619" s="5" t="s">
        <v>1265</v>
      </c>
      <c r="B619" s="5" t="s">
        <v>1278</v>
      </c>
      <c r="C619" s="6" t="str">
        <f>_xll.QS.CONTEXT.CREATE("market.617",A619,"USD","SOFR")</f>
        <v>QSObject:PricingContext:w1~market.617:20146</v>
      </c>
      <c r="D619" s="6" t="str">
        <f>_xll.QS.CONTEXT.ADD.CURVE(C619,"SOFR",$K$2:$K$7,$L$2:$L$7,,,"Actual360","LogLinear",TRUE)</f>
        <v>QSObject:ContextInput:w1~input.qs_context_add_curve.2359132437744.618.3.0:39309</v>
      </c>
      <c r="E619" s="6" t="str">
        <f>_xll.QS.INSTRUMENT.SWAP("swap.617",H619,B619,"USD","SOFR",I619,J619,0,"Actual360","Simple","Annual","Annual","Annual")</f>
        <v>QSObject:Swap:w1~swap.617:20145</v>
      </c>
      <c r="F619" s="6" t="str">
        <f>_xll.QS.TRADE.CREATE("trade.617",E619,A619,"Receive")</f>
        <v>QSObject:SwapTrade:w1~trade.617:30442</v>
      </c>
      <c r="G619" s="3">
        <f>_xll.QS.EVALUATE(C619,F619)</f>
        <v>22968.706499600536</v>
      </c>
      <c r="H619" s="5" t="s">
        <v>1279</v>
      </c>
      <c r="I619" s="7">
        <v>1061700</v>
      </c>
      <c r="J619" s="8">
        <v>3.6700000000000003E-2</v>
      </c>
    </row>
    <row r="620" spans="1:10" x14ac:dyDescent="0.25">
      <c r="A620" s="5" t="s">
        <v>1267</v>
      </c>
      <c r="B620" s="5" t="s">
        <v>1280</v>
      </c>
      <c r="C620" s="6" t="str">
        <f>_xll.QS.CONTEXT.CREATE("market.618",A620,"USD","SOFR")</f>
        <v>QSObject:PricingContext:w1~market.618:20144</v>
      </c>
      <c r="D620" s="6" t="str">
        <f>_xll.QS.CONTEXT.ADD.CURVE(C620,"SOFR",$K$2:$K$7,$L$2:$L$7,,,"Actual360","LogLinear",TRUE)</f>
        <v>QSObject:ContextInput:w1~input.qs_context_add_curve.2359132437744.619.3.0:39308</v>
      </c>
      <c r="E620" s="6" t="str">
        <f>_xll.QS.INSTRUMENT.SWAP("swap.618",H620,B620,"USD","SOFR",I620,J620,0,"Actual360","Simple","Annual","Annual","Annual")</f>
        <v>QSObject:Swap:w1~swap.618:20143</v>
      </c>
      <c r="F620" s="6" t="str">
        <f>_xll.QS.TRADE.CREATE("trade.618",E620,A620,"Receive")</f>
        <v>QSObject:SwapTrade:w1~trade.618:30441</v>
      </c>
      <c r="G620" s="3">
        <f>_xll.QS.EVALUATE(C620,F620)</f>
        <v>23460.596406214154</v>
      </c>
      <c r="H620" s="5" t="s">
        <v>1281</v>
      </c>
      <c r="I620" s="7">
        <v>1061800</v>
      </c>
      <c r="J620" s="8">
        <v>3.6800000000000013E-2</v>
      </c>
    </row>
    <row r="621" spans="1:10" x14ac:dyDescent="0.25">
      <c r="A621" s="5" t="s">
        <v>1269</v>
      </c>
      <c r="B621" s="5" t="s">
        <v>1282</v>
      </c>
      <c r="C621" s="6" t="str">
        <f>_xll.QS.CONTEXT.CREATE("market.619",A621,"USD","SOFR")</f>
        <v>QSObject:PricingContext:w1~market.619:20142</v>
      </c>
      <c r="D621" s="6" t="str">
        <f>_xll.QS.CONTEXT.ADD.CURVE(C621,"SOFR",$K$2:$K$7,$L$2:$L$7,,,"Actual360","LogLinear",TRUE)</f>
        <v>QSObject:ContextInput:w1~input.qs_context_add_curve.2359132437744.620.3.0:39307</v>
      </c>
      <c r="E621" s="6" t="str">
        <f>_xll.QS.INSTRUMENT.SWAP("swap.619",H621,B621,"USD","SOFR",I621,J621,0,"Actual360","Simple","Annual","Annual","Annual")</f>
        <v>QSObject:Swap:w1~swap.619:20141</v>
      </c>
      <c r="F621" s="6" t="str">
        <f>_xll.QS.TRADE.CREATE("trade.619",E621,A621,"Receive")</f>
        <v>QSObject:SwapTrade:w1~trade.619:30440</v>
      </c>
      <c r="G621" s="3">
        <f>_xll.QS.EVALUATE(C621,F621)</f>
        <v>23958.417203797679</v>
      </c>
      <c r="H621" s="5" t="s">
        <v>1283</v>
      </c>
      <c r="I621" s="7">
        <v>1061900</v>
      </c>
      <c r="J621" s="8">
        <v>3.6900000000000002E-2</v>
      </c>
    </row>
    <row r="622" spans="1:10" x14ac:dyDescent="0.25">
      <c r="A622" s="5" t="s">
        <v>1271</v>
      </c>
      <c r="B622" s="5" t="s">
        <v>1284</v>
      </c>
      <c r="C622" s="6" t="str">
        <f>_xll.QS.CONTEXT.CREATE("market.620",A622,"USD","SOFR")</f>
        <v>QSObject:PricingContext:w1~market.620:20140</v>
      </c>
      <c r="D622" s="6" t="str">
        <f>_xll.QS.CONTEXT.ADD.CURVE(C622,"SOFR",$K$2:$K$7,$L$2:$L$7,,,"Actual360","LogLinear",TRUE)</f>
        <v>QSObject:ContextInput:w1~input.qs_context_add_curve.2359132437744.621.3.0:39306</v>
      </c>
      <c r="E622" s="6" t="str">
        <f>_xll.QS.INSTRUMENT.SWAP("swap.620",H622,B622,"USD","SOFR",I622,J622,0,"Actual360","Simple","Annual","Annual","Annual")</f>
        <v>QSObject:Swap:w1~swap.620:20139</v>
      </c>
      <c r="F622" s="6" t="str">
        <f>_xll.QS.TRADE.CREATE("trade.620",E622,A622,"Receive")</f>
        <v>QSObject:SwapTrade:w1~trade.620:30439</v>
      </c>
      <c r="G622" s="3">
        <f>_xll.QS.EVALUATE(C622,F622)</f>
        <v>24451.527906706277</v>
      </c>
      <c r="H622" s="5" t="s">
        <v>1285</v>
      </c>
      <c r="I622" s="7">
        <v>1062000</v>
      </c>
      <c r="J622" s="8">
        <v>3.7000000000000012E-2</v>
      </c>
    </row>
    <row r="623" spans="1:10" x14ac:dyDescent="0.25">
      <c r="A623" s="5" t="s">
        <v>1273</v>
      </c>
      <c r="B623" s="5" t="s">
        <v>1286</v>
      </c>
      <c r="C623" s="6" t="str">
        <f>_xll.QS.CONTEXT.CREATE("market.621",A623,"USD","SOFR")</f>
        <v>QSObject:PricingContext:w1~market.621:20138</v>
      </c>
      <c r="D623" s="6" t="str">
        <f>_xll.QS.CONTEXT.ADD.CURVE(C623,"SOFR",$K$2:$K$7,$L$2:$L$7,,,"Actual360","LogLinear",TRUE)</f>
        <v>QSObject:ContextInput:w1~input.qs_context_add_curve.2359132437744.622.3.0:39305</v>
      </c>
      <c r="E623" s="6" t="str">
        <f>_xll.QS.INSTRUMENT.SWAP("swap.621",H623,B623,"USD","SOFR",I623,J623,0,"Actual360","Simple","Annual","Annual","Annual")</f>
        <v>QSObject:Swap:w1~swap.621:20137</v>
      </c>
      <c r="F623" s="6" t="str">
        <f>_xll.QS.TRADE.CREATE("trade.621",E623,A623,"Receive")</f>
        <v>QSObject:SwapTrade:w1~trade.621:30438</v>
      </c>
      <c r="G623" s="3">
        <f>_xll.QS.EVALUATE(C623,F623)</f>
        <v>24813.472776538583</v>
      </c>
      <c r="H623" s="5" t="s">
        <v>1287</v>
      </c>
      <c r="I623" s="7">
        <v>1062100</v>
      </c>
      <c r="J623" s="8">
        <v>3.7100000000000001E-2</v>
      </c>
    </row>
    <row r="624" spans="1:10" x14ac:dyDescent="0.25">
      <c r="A624" s="5" t="s">
        <v>1275</v>
      </c>
      <c r="B624" s="5" t="s">
        <v>1288</v>
      </c>
      <c r="C624" s="6" t="str">
        <f>_xll.QS.CONTEXT.CREATE("market.622",A624,"USD","SOFR")</f>
        <v>QSObject:PricingContext:w1~market.622:20136</v>
      </c>
      <c r="D624" s="6" t="str">
        <f>_xll.QS.CONTEXT.ADD.CURVE(C624,"SOFR",$K$2:$K$7,$L$2:$L$7,,,"Actual360","LogLinear",TRUE)</f>
        <v>QSObject:ContextInput:w1~input.qs_context_add_curve.2359132437744.623.3.0:39304</v>
      </c>
      <c r="E624" s="6" t="str">
        <f>_xll.QS.INSTRUMENT.SWAP("swap.622",H624,B624,"USD","SOFR",I624,J624,0,"Actual360","Simple","Annual","Annual","Annual")</f>
        <v>QSObject:Swap:w1~swap.622:20135</v>
      </c>
      <c r="F624" s="6" t="str">
        <f>_xll.QS.TRADE.CREATE("trade.622",E624,A624,"Receive")</f>
        <v>QSObject:SwapTrade:w1~trade.622:30437</v>
      </c>
      <c r="G624" s="3">
        <f>_xll.QS.EVALUATE(C624,F624)</f>
        <v>25307.756647342816</v>
      </c>
      <c r="H624" s="5" t="s">
        <v>1289</v>
      </c>
      <c r="I624" s="7">
        <v>1062200</v>
      </c>
      <c r="J624" s="8">
        <v>3.7199999999999997E-2</v>
      </c>
    </row>
    <row r="625" spans="1:10" x14ac:dyDescent="0.25">
      <c r="A625" s="5" t="s">
        <v>1277</v>
      </c>
      <c r="B625" s="5" t="s">
        <v>1290</v>
      </c>
      <c r="C625" s="6" t="str">
        <f>_xll.QS.CONTEXT.CREATE("market.623",A625,"USD","SOFR")</f>
        <v>QSObject:PricingContext:w1~market.623:20134</v>
      </c>
      <c r="D625" s="6" t="str">
        <f>_xll.QS.CONTEXT.ADD.CURVE(C625,"SOFR",$K$2:$K$7,$L$2:$L$7,,,"Actual360","LogLinear",TRUE)</f>
        <v>QSObject:ContextInput:w1~input.qs_context_add_curve.2359132437744.624.3.0:39303</v>
      </c>
      <c r="E625" s="6" t="str">
        <f>_xll.QS.INSTRUMENT.SWAP("swap.623",H625,B625,"USD","SOFR",I625,J625,0,"Actual360","Simple","Annual","Annual","Annual")</f>
        <v>QSObject:Swap:w1~swap.623:20133</v>
      </c>
      <c r="F625" s="6" t="str">
        <f>_xll.QS.TRADE.CREATE("trade.623",E625,A625,"Receive")</f>
        <v>QSObject:SwapTrade:w1~trade.623:30436</v>
      </c>
      <c r="G625" s="3">
        <f>_xll.QS.EVALUATE(C625,F625)</f>
        <v>25844.742629133867</v>
      </c>
      <c r="H625" s="5" t="s">
        <v>1291</v>
      </c>
      <c r="I625" s="7">
        <v>1062300</v>
      </c>
      <c r="J625" s="8">
        <v>3.73E-2</v>
      </c>
    </row>
    <row r="626" spans="1:10" x14ac:dyDescent="0.25">
      <c r="A626" s="5" t="s">
        <v>1279</v>
      </c>
      <c r="B626" s="5" t="s">
        <v>1292</v>
      </c>
      <c r="C626" s="6" t="str">
        <f>_xll.QS.CONTEXT.CREATE("market.624",A626,"USD","SOFR")</f>
        <v>QSObject:PricingContext:w1~market.624:20132</v>
      </c>
      <c r="D626" s="6" t="str">
        <f>_xll.QS.CONTEXT.ADD.CURVE(C626,"SOFR",$K$2:$K$7,$L$2:$L$7,,,"Actual360","LogLinear",TRUE)</f>
        <v>QSObject:ContextInput:w1~input.qs_context_add_curve.2359132437744.625.3.0:39302</v>
      </c>
      <c r="E626" s="6" t="str">
        <f>_xll.QS.INSTRUMENT.SWAP("swap.624",H626,B626,"USD","SOFR",I626,J626,0,"Actual360","Simple","Annual","Annual","Annual")</f>
        <v>QSObject:Swap:w1~swap.624:20131</v>
      </c>
      <c r="F626" s="6" t="str">
        <f>_xll.QS.TRADE.CREATE("trade.624",E626,A626,"Receive")</f>
        <v>QSObject:SwapTrade:w1~trade.624:30435</v>
      </c>
      <c r="G626" s="3">
        <f>_xll.QS.EVALUATE(C626,F626)</f>
        <v>26414.955580368402</v>
      </c>
      <c r="H626" s="5" t="s">
        <v>1293</v>
      </c>
      <c r="I626" s="7">
        <v>1062400</v>
      </c>
      <c r="J626" s="8">
        <v>3.7400000000000003E-2</v>
      </c>
    </row>
    <row r="627" spans="1:10" x14ac:dyDescent="0.25">
      <c r="A627" s="5" t="s">
        <v>1281</v>
      </c>
      <c r="B627" s="5" t="s">
        <v>1294</v>
      </c>
      <c r="C627" s="6" t="str">
        <f>_xll.QS.CONTEXT.CREATE("market.625",A627,"USD","SOFR")</f>
        <v>QSObject:PricingContext:w1~market.625:14676</v>
      </c>
      <c r="D627" s="6" t="str">
        <f>_xll.QS.CONTEXT.ADD.CURVE(C627,"SOFR",$K$2:$K$7,$L$2:$L$7,,,"Actual360","LogLinear",TRUE)</f>
        <v>QSObject:ContextInput:w1~input.qs_context_add_curve.2359132437744.626.3.0:17388</v>
      </c>
      <c r="E627" s="6" t="str">
        <f>_xll.QS.INSTRUMENT.SWAP("swap.625",H627,B627,"USD","SOFR",I627,J627,0,"Actual360","Simple","Annual","Annual","Annual")</f>
        <v>QSObject:Swap:w1~swap.625:9843</v>
      </c>
      <c r="F627" s="6" t="str">
        <f>_xll.QS.TRADE.CREATE("trade.625",E627,A627,"Receive")</f>
        <v>QSObject:SwapTrade:w1~trade.625:30434</v>
      </c>
      <c r="G627" s="3">
        <f>_xll.QS.EVALUATE(C627,F627)</f>
        <v>26907.484539575595</v>
      </c>
      <c r="H627" s="5" t="s">
        <v>1295</v>
      </c>
      <c r="I627" s="7">
        <v>1062500</v>
      </c>
      <c r="J627" s="8">
        <v>3.7500000000000012E-2</v>
      </c>
    </row>
    <row r="628" spans="1:10" x14ac:dyDescent="0.25">
      <c r="A628" s="5" t="s">
        <v>1283</v>
      </c>
      <c r="B628" s="5" t="s">
        <v>1296</v>
      </c>
      <c r="C628" s="6" t="str">
        <f>_xll.QS.CONTEXT.CREATE("market.626",A628,"USD","SOFR")</f>
        <v>QSObject:PricingContext:w1~market.626:5029</v>
      </c>
      <c r="D628" s="6" t="str">
        <f>_xll.QS.CONTEXT.ADD.CURVE(C628,"SOFR",$K$2:$K$7,$L$2:$L$7,,,"Actual360","LogLinear",TRUE)</f>
        <v>QSObject:ContextInput:w1~input.qs_context_add_curve.2359132437744.627.3.0:8241</v>
      </c>
      <c r="E628" s="6" t="str">
        <f>_xll.QS.INSTRUMENT.SWAP("swap.626",H628,B628,"USD","SOFR",I628,J628,0,"Actual360","Simple","Annual","Annual","Annual")</f>
        <v>QSObject:Swap:w1~swap.626:20044</v>
      </c>
      <c r="F628" s="6" t="str">
        <f>_xll.QS.TRADE.CREATE("trade.626",E628,A628,"Receive")</f>
        <v>QSObject:SwapTrade:w1~trade.626:30433</v>
      </c>
      <c r="G628" s="3">
        <f>_xll.QS.EVALUATE(C628,F628)</f>
        <v>27405.964568643452</v>
      </c>
      <c r="H628" s="5" t="s">
        <v>1297</v>
      </c>
      <c r="I628" s="7">
        <v>1062600</v>
      </c>
      <c r="J628" s="8">
        <v>3.7600000000000001E-2</v>
      </c>
    </row>
    <row r="629" spans="1:10" x14ac:dyDescent="0.25">
      <c r="A629" s="5" t="s">
        <v>1285</v>
      </c>
      <c r="B629" s="5" t="s">
        <v>1298</v>
      </c>
      <c r="C629" s="6" t="str">
        <f>_xll.QS.CONTEXT.CREATE("market.627",A629,"USD","SOFR")</f>
        <v>QSObject:PricingContext:w1~market.627:1922</v>
      </c>
      <c r="D629" s="6" t="str">
        <f>_xll.QS.CONTEXT.ADD.CURVE(C629,"SOFR",$K$2:$K$7,$L$2:$L$7,,,"Actual360","LogLinear",TRUE)</f>
        <v>QSObject:ContextInput:w1~input.qs_context_add_curve.2359132437744.628.3.0:3464</v>
      </c>
      <c r="E629" s="6" t="str">
        <f>_xll.QS.INSTRUMENT.SWAP("swap.627",H629,B629,"USD","SOFR",I629,J629,0,"Actual360","Simple","Annual","Annual","Annual")</f>
        <v>QSObject:Swap:w1~swap.627:11502</v>
      </c>
      <c r="F629" s="6" t="str">
        <f>_xll.QS.TRADE.CREATE("trade.627",E629,A629,"Receive")</f>
        <v>QSObject:SwapTrade:w1~trade.627:14675</v>
      </c>
      <c r="G629" s="3">
        <f>_xll.QS.EVALUATE(C629,F629)</f>
        <v>27899.734832535392</v>
      </c>
      <c r="H629" s="5" t="s">
        <v>1299</v>
      </c>
      <c r="I629" s="7">
        <v>1062700</v>
      </c>
      <c r="J629" s="8">
        <v>3.7699999999999997E-2</v>
      </c>
    </row>
    <row r="630" spans="1:10" x14ac:dyDescent="0.25">
      <c r="A630" s="5" t="s">
        <v>1287</v>
      </c>
      <c r="B630" s="5" t="s">
        <v>1300</v>
      </c>
      <c r="C630" s="6" t="str">
        <f>_xll.QS.CONTEXT.CREATE("market.628",A630,"USD","SOFR")</f>
        <v>QSObject:PricingContext:w1~market.628:17387</v>
      </c>
      <c r="D630" s="6" t="str">
        <f>_xll.QS.CONTEXT.ADD.CURVE(C630,"SOFR",$K$2:$K$7,$L$2:$L$7,,,"Actual360","LogLinear",TRUE)</f>
        <v>QSObject:ContextInput:w1~input.qs_context_add_curve.2359132437744.629.3.0:39301</v>
      </c>
      <c r="E630" s="6" t="str">
        <f>_xll.QS.INSTRUMENT.SWAP("swap.628",H630,B630,"USD","SOFR",I630,J630,0,"Actual360","Simple","Annual","Annual","Annual")</f>
        <v>QSObject:Swap:w1~swap.628:9842</v>
      </c>
      <c r="F630" s="6" t="str">
        <f>_xll.QS.TRADE.CREATE("trade.628",E630,A630,"Receive")</f>
        <v>QSObject:SwapTrade:w1~trade.628:13029</v>
      </c>
      <c r="G630" s="3">
        <f>_xll.QS.EVALUATE(C630,F630)</f>
        <v>28261.549306708839</v>
      </c>
      <c r="H630" s="5" t="s">
        <v>1301</v>
      </c>
      <c r="I630" s="7">
        <v>1062800</v>
      </c>
      <c r="J630" s="8">
        <v>3.78E-2</v>
      </c>
    </row>
    <row r="631" spans="1:10" x14ac:dyDescent="0.25">
      <c r="A631" s="5" t="s">
        <v>1289</v>
      </c>
      <c r="B631" s="5" t="s">
        <v>1302</v>
      </c>
      <c r="C631" s="6" t="str">
        <f>_xll.QS.CONTEXT.CREATE("market.629",A631,"USD","SOFR")</f>
        <v>QSObject:PricingContext:w1~market.629:8240</v>
      </c>
      <c r="D631" s="6" t="str">
        <f>_xll.QS.CONTEXT.ADD.CURVE(C631,"SOFR",$K$2:$K$7,$L$2:$L$7,,,"Actual360","LogLinear",TRUE)</f>
        <v>QSObject:ContextInput:w1~input.qs_context_add_curve.2359132437744.630.3.0:39300</v>
      </c>
      <c r="E631" s="6" t="str">
        <f>_xll.QS.INSTRUMENT.SWAP("swap.629",H631,B631,"USD","SOFR",I631,J631,0,"Actual360","Simple","Annual","Annual","Annual")</f>
        <v>QSObject:Swap:w1~swap.629:6633</v>
      </c>
      <c r="F631" s="6" t="str">
        <f>_xll.QS.TRADE.CREATE("trade.629",E631,A631,"Receive")</f>
        <v>QSObject:SwapTrade:w1~trade.629:18352</v>
      </c>
      <c r="G631" s="3">
        <f>_xll.QS.EVALUATE(C631,F631)</f>
        <v>28756.768108224434</v>
      </c>
      <c r="H631" s="5" t="s">
        <v>1303</v>
      </c>
      <c r="I631" s="7">
        <v>1062900</v>
      </c>
      <c r="J631" s="8">
        <v>3.7900000000000003E-2</v>
      </c>
    </row>
    <row r="632" spans="1:10" x14ac:dyDescent="0.25">
      <c r="A632" s="5" t="s">
        <v>1291</v>
      </c>
      <c r="B632" s="5" t="s">
        <v>1304</v>
      </c>
      <c r="C632" s="6" t="str">
        <f>_xll.QS.CONTEXT.CREATE("market.630",A632,"USD","SOFR")</f>
        <v>QSObject:PricingContext:w1~market.630:3463</v>
      </c>
      <c r="D632" s="6" t="str">
        <f>_xll.QS.CONTEXT.ADD.CURVE(C632,"SOFR",$K$2:$K$7,$L$2:$L$7,,,"Actual360","LogLinear",TRUE)</f>
        <v>QSObject:ContextInput:w1~input.qs_context_add_curve.2359132437744.631.3.0:20043</v>
      </c>
      <c r="E632" s="6" t="str">
        <f>_xll.QS.INSTRUMENT.SWAP("swap.630",H632,B632,"USD","SOFR",I632,J632,0,"Actual360","Simple","Annual","Annual","Annual")</f>
        <v>QSObject:Swap:w1~swap.630:1921</v>
      </c>
      <c r="F632" s="6" t="str">
        <f>_xll.QS.TRADE.CREATE("trade.630",E632,A632,"Receive")</f>
        <v>QSObject:SwapTrade:w1~trade.630:11501</v>
      </c>
      <c r="G632" s="3">
        <f>_xll.QS.EVALUATE(C632,F632)</f>
        <v>29294.878938276353</v>
      </c>
      <c r="H632" s="5" t="s">
        <v>1305</v>
      </c>
      <c r="I632" s="7">
        <v>1063000</v>
      </c>
      <c r="J632" s="8">
        <v>3.8000000000000013E-2</v>
      </c>
    </row>
    <row r="633" spans="1:10" x14ac:dyDescent="0.25">
      <c r="A633" s="5" t="s">
        <v>1293</v>
      </c>
      <c r="B633" s="5" t="s">
        <v>1306</v>
      </c>
      <c r="C633" s="6" t="str">
        <f>_xll.QS.CONTEXT.CREATE("market.631",A633,"USD","SOFR")</f>
        <v>QSObject:PricingContext:w1~market.631:16353</v>
      </c>
      <c r="D633" s="6" t="str">
        <f>_xll.QS.CONTEXT.ADD.CURVE(C633,"SOFR",$K$2:$K$7,$L$2:$L$7,,,"Actual360","LogLinear",TRUE)</f>
        <v>QSObject:ContextInput:w1~input.qs_context_add_curve.2359132437744.632.3.0:39299</v>
      </c>
      <c r="E633" s="6" t="str">
        <f>_xll.QS.INSTRUMENT.SWAP("swap.631",H633,B633,"USD","SOFR",I633,J633,0,"Actual360","Simple","Annual","Annual","Annual")</f>
        <v>QSObject:Swap:w1~swap.631:17386</v>
      </c>
      <c r="F633" s="6" t="str">
        <f>_xll.QS.TRADE.CREATE("trade.631",E633,A633,"Receive")</f>
        <v>QSObject:SwapTrade:w1~trade.631:30432</v>
      </c>
      <c r="G633" s="3">
        <f>_xll.QS.EVALUATE(C633,F633)</f>
        <v>29865.726072559304</v>
      </c>
      <c r="H633" s="5" t="s">
        <v>1307</v>
      </c>
      <c r="I633" s="7">
        <v>1063100</v>
      </c>
      <c r="J633" s="8">
        <v>3.8100000000000002E-2</v>
      </c>
    </row>
    <row r="634" spans="1:10" x14ac:dyDescent="0.25">
      <c r="A634" s="5" t="s">
        <v>1295</v>
      </c>
      <c r="B634" s="5" t="s">
        <v>1308</v>
      </c>
      <c r="C634" s="6" t="str">
        <f>_xll.QS.CONTEXT.CREATE("market.632",A634,"USD","SOFR")</f>
        <v>QSObject:PricingContext:w1~market.632:8239</v>
      </c>
      <c r="D634" s="6" t="str">
        <f>_xll.QS.CONTEXT.ADD.CURVE(C634,"SOFR",$K$2:$K$7,$L$2:$L$7,,,"Actual360","LogLinear",TRUE)</f>
        <v>QSObject:ContextInput:w1~input.qs_context_add_curve.2359132437744.633.3.0:30431</v>
      </c>
      <c r="E634" s="6" t="str">
        <f>_xll.QS.INSTRUMENT.SWAP("swap.632",H634,B634,"USD","SOFR",I634,J634,0,"Actual360","Simple","Annual","Annual","Annual")</f>
        <v>QSObject:Swap:w1~swap.632:13028</v>
      </c>
      <c r="F634" s="6" t="str">
        <f>_xll.QS.TRADE.CREATE("trade.632",E634,A634,"Receive")</f>
        <v>QSObject:SwapTrade:w1~trade.632:30430</v>
      </c>
      <c r="G634" s="3">
        <f>_xll.QS.EVALUATE(C634,F634)</f>
        <v>30358.894075450928</v>
      </c>
      <c r="H634" s="5" t="s">
        <v>1309</v>
      </c>
      <c r="I634" s="7">
        <v>1063200</v>
      </c>
      <c r="J634" s="8">
        <v>3.8199999999999998E-2</v>
      </c>
    </row>
    <row r="635" spans="1:10" x14ac:dyDescent="0.25">
      <c r="A635" s="5" t="s">
        <v>1297</v>
      </c>
      <c r="B635" s="5" t="s">
        <v>1310</v>
      </c>
      <c r="C635" s="6" t="str">
        <f>_xll.QS.CONTEXT.CREATE("market.633",A635,"USD","SOFR")</f>
        <v>QSObject:PricingContext:w1~market.633:18351</v>
      </c>
      <c r="D635" s="6" t="str">
        <f>_xll.QS.CONTEXT.ADD.CURVE(C635,"SOFR",$K$2:$K$7,$L$2:$L$7,,,"Actual360","LogLinear",TRUE)</f>
        <v>QSObject:ContextInput:w1~input.qs_context_add_curve.2359132437744.634.3.0:20042</v>
      </c>
      <c r="E635" s="6" t="str">
        <f>_xll.QS.INSTRUMENT.SWAP("swap.633",H635,B635,"USD","SOFR",I635,J635,0,"Actual360","Simple","Annual","Annual","Annual")</f>
        <v>QSObject:Swap:w1~swap.633:6632</v>
      </c>
      <c r="F635" s="6" t="str">
        <f>_xll.QS.TRADE.CREATE("trade.633",E635,A635,"Receive")</f>
        <v>QSObject:SwapTrade:w1~trade.633:30429</v>
      </c>
      <c r="G635" s="3">
        <f>_xll.QS.EVALUATE(C635,F635)</f>
        <v>30857.869215518211</v>
      </c>
      <c r="H635" s="5" t="s">
        <v>1311</v>
      </c>
      <c r="I635" s="7">
        <v>1063300</v>
      </c>
      <c r="J635" s="8">
        <v>3.8300000000000001E-2</v>
      </c>
    </row>
    <row r="636" spans="1:10" x14ac:dyDescent="0.25">
      <c r="A636" s="5" t="s">
        <v>1299</v>
      </c>
      <c r="B636" s="5" t="s">
        <v>1312</v>
      </c>
      <c r="C636" s="6" t="str">
        <f>_xll.QS.CONTEXT.CREATE("market.634",A636,"USD","SOFR")</f>
        <v>QSObject:PricingContext:w1~market.634:16352</v>
      </c>
      <c r="D636" s="6" t="str">
        <f>_xll.QS.CONTEXT.ADD.CURVE(C636,"SOFR",$K$2:$K$7,$L$2:$L$7,,,"Actual360","LogLinear",TRUE)</f>
        <v>QSObject:ContextInput:w1~input.qs_context_add_curve.2359132437744.635.3.0:17385</v>
      </c>
      <c r="E636" s="6" t="str">
        <f>_xll.QS.INSTRUMENT.SWAP("swap.634",H636,B636,"USD","SOFR",I636,J636,0,"Actual360","Simple","Annual","Annual","Annual")</f>
        <v>QSObject:Swap:w1~swap.634:11500</v>
      </c>
      <c r="F636" s="6" t="str">
        <f>_xll.QS.TRADE.CREATE("trade.634",E636,A636,"Receive")</f>
        <v>QSObject:SwapTrade:w1~trade.634:30428</v>
      </c>
      <c r="G636" s="3">
        <f>_xll.QS.EVALUATE(C636,F636)</f>
        <v>31352.463190696843</v>
      </c>
      <c r="H636" s="5" t="s">
        <v>1313</v>
      </c>
      <c r="I636" s="7">
        <v>1063400</v>
      </c>
      <c r="J636" s="8">
        <v>3.8399999999999997E-2</v>
      </c>
    </row>
    <row r="637" spans="1:10" x14ac:dyDescent="0.25">
      <c r="A637" s="5" t="s">
        <v>1301</v>
      </c>
      <c r="B637" s="5" t="s">
        <v>1314</v>
      </c>
      <c r="C637" s="6" t="str">
        <f>_xll.QS.CONTEXT.CREATE("market.635",A637,"USD","SOFR")</f>
        <v>QSObject:PricingContext:w1~market.635:5028</v>
      </c>
      <c r="D637" s="6" t="str">
        <f>_xll.QS.CONTEXT.ADD.CURVE(C637,"SOFR",$K$2:$K$7,$L$2:$L$7,,,"Actual360","LogLinear",TRUE)</f>
        <v>QSObject:ContextInput:w1~input.qs_context_add_curve.2359132437744.636.3.0:9841</v>
      </c>
      <c r="E637" s="6" t="str">
        <f>_xll.QS.INSTRUMENT.SWAP("swap.635",H637,B637,"USD","SOFR",I637,J637,0,"Actual360","Simple","Annual","Annual","Annual")</f>
        <v>QSObject:Swap:w1~swap.635:14674</v>
      </c>
      <c r="F637" s="6" t="str">
        <f>_xll.QS.TRADE.CREATE("trade.635",E637,A637,"Receive")</f>
        <v>QSObject:SwapTrade:w1~trade.635:18350</v>
      </c>
      <c r="G637" s="3">
        <f>_xll.QS.EVALUATE(C637,F637)</f>
        <v>31714.146359783928</v>
      </c>
      <c r="H637" s="5" t="s">
        <v>1315</v>
      </c>
      <c r="I637" s="7">
        <v>1063500</v>
      </c>
      <c r="J637" s="8">
        <v>3.8500000000000013E-2</v>
      </c>
    </row>
    <row r="638" spans="1:10" x14ac:dyDescent="0.25">
      <c r="A638" s="5" t="s">
        <v>1303</v>
      </c>
      <c r="B638" s="5" t="s">
        <v>1316</v>
      </c>
      <c r="C638" s="6" t="str">
        <f>_xll.QS.CONTEXT.CREATE("market.636",A638,"USD","SOFR")</f>
        <v>QSObject:PricingContext:w1~market.636:13027</v>
      </c>
      <c r="D638" s="6" t="str">
        <f>_xll.QS.CONTEXT.ADD.CURVE(C638,"SOFR",$K$2:$K$7,$L$2:$L$7,,,"Actual360","LogLinear",TRUE)</f>
        <v>QSObject:ContextInput:w1~input.qs_context_add_curve.2359132437744.637.3.0:39298</v>
      </c>
      <c r="E638" s="6" t="str">
        <f>_xll.QS.INSTRUMENT.SWAP("swap.636",H638,B638,"USD","SOFR",I638,J638,0,"Actual360","Simple","Annual","Annual","Annual")</f>
        <v>QSObject:Swap:w1~swap.636:20041</v>
      </c>
      <c r="F638" s="6" t="str">
        <f>_xll.QS.TRADE.CREATE("trade.636",E638,A638,"Receive")</f>
        <v>QSObject:SwapTrade:w1~trade.636:30427</v>
      </c>
      <c r="G638" s="3">
        <f>_xll.QS.EVALUATE(C638,F638)</f>
        <v>32210.300471136696</v>
      </c>
      <c r="H638" s="5" t="s">
        <v>1317</v>
      </c>
      <c r="I638" s="7">
        <v>1063600</v>
      </c>
      <c r="J638" s="8">
        <v>3.8600000000000002E-2</v>
      </c>
    </row>
    <row r="639" spans="1:10" x14ac:dyDescent="0.25">
      <c r="A639" s="5" t="s">
        <v>1305</v>
      </c>
      <c r="B639" s="5" t="s">
        <v>1318</v>
      </c>
      <c r="C639" s="6" t="str">
        <f>_xll.QS.CONTEXT.CREATE("market.637",A639,"USD","SOFR")</f>
        <v>QSObject:PricingContext:w1~market.637:1920</v>
      </c>
      <c r="D639" s="6" t="str">
        <f>_xll.QS.CONTEXT.ADD.CURVE(C639,"SOFR",$K$2:$K$7,$L$2:$L$7,,,"Actual360","LogLinear",TRUE)</f>
        <v>QSObject:ContextInput:w1~input.qs_context_add_curve.2359132437744.638.3.0:16351</v>
      </c>
      <c r="E639" s="6" t="str">
        <f>_xll.QS.INSTRUMENT.SWAP("swap.637",H639,B639,"USD","SOFR",I639,J639,0,"Actual360","Simple","Annual","Annual","Annual")</f>
        <v>QSObject:Swap:w1~swap.637:17384</v>
      </c>
      <c r="F639" s="6" t="str">
        <f>_xll.QS.TRADE.CREATE("trade.637",E639,A639,"Receive")</f>
        <v>QSObject:SwapTrade:w1~trade.637:30426</v>
      </c>
      <c r="G639" s="3">
        <f>_xll.QS.EVALUATE(C639,F639)</f>
        <v>32749.235621654421</v>
      </c>
      <c r="H639" s="5" t="s">
        <v>1319</v>
      </c>
      <c r="I639" s="7">
        <v>1063700</v>
      </c>
      <c r="J639" s="8">
        <v>3.8700000000000012E-2</v>
      </c>
    </row>
    <row r="640" spans="1:10" x14ac:dyDescent="0.25">
      <c r="A640" s="5" t="s">
        <v>1307</v>
      </c>
      <c r="B640" s="5" t="s">
        <v>1320</v>
      </c>
      <c r="C640" s="6" t="str">
        <f>_xll.QS.CONTEXT.CREATE("market.638",A640,"USD","SOFR")</f>
        <v>QSObject:PricingContext:w1~market.638:14673</v>
      </c>
      <c r="D640" s="6" t="str">
        <f>_xll.QS.CONTEXT.ADD.CURVE(C640,"SOFR",$K$2:$K$7,$L$2:$L$7,,,"Actual360","LogLinear",TRUE)</f>
        <v>QSObject:ContextInput:w1~input.qs_context_add_curve.2359132437744.639.3.0:39297</v>
      </c>
      <c r="E640" s="6" t="str">
        <f>_xll.QS.INSTRUMENT.SWAP("swap.638",H640,B640,"USD","SOFR",I640,J640,0,"Actual360","Simple","Annual","Annual","Annual")</f>
        <v>QSObject:Swap:w1~swap.638:11499</v>
      </c>
      <c r="F640" s="6" t="str">
        <f>_xll.QS.TRADE.CREATE("trade.638",E640,A640,"Receive")</f>
        <v>QSObject:SwapTrade:w1~trade.638:30425</v>
      </c>
      <c r="G640" s="3">
        <f>_xll.QS.EVALUATE(C640,F640)</f>
        <v>33320.891688881296</v>
      </c>
      <c r="H640" s="5" t="s">
        <v>1321</v>
      </c>
      <c r="I640" s="7">
        <v>1063800</v>
      </c>
      <c r="J640" s="8">
        <v>3.8800000000000001E-2</v>
      </c>
    </row>
    <row r="641" spans="1:10" x14ac:dyDescent="0.25">
      <c r="A641" s="5" t="s">
        <v>1309</v>
      </c>
      <c r="B641" s="5" t="s">
        <v>1322</v>
      </c>
      <c r="C641" s="6" t="str">
        <f>_xll.QS.CONTEXT.CREATE("market.639",A641,"USD","SOFR")</f>
        <v>QSObject:PricingContext:w1~market.639:20040</v>
      </c>
      <c r="D641" s="6" t="str">
        <f>_xll.QS.CONTEXT.ADD.CURVE(C641,"SOFR",$K$2:$K$7,$L$2:$L$7,,,"Actual360","LogLinear",TRUE)</f>
        <v>QSObject:ContextInput:w1~input.qs_context_add_curve.2359132437744.640.3.0:39296</v>
      </c>
      <c r="E641" s="6" t="str">
        <f>_xll.QS.INSTRUMENT.SWAP("swap.639",H641,B641,"USD","SOFR",I641,J641,0,"Actual360","Simple","Annual","Annual","Annual")</f>
        <v>QSObject:Swap:w1~swap.639:18349</v>
      </c>
      <c r="F641" s="6" t="str">
        <f>_xll.QS.TRADE.CREATE("trade.639",E641,A641,"Receive")</f>
        <v>QSObject:SwapTrade:w1~trade.639:30424</v>
      </c>
      <c r="G641" s="3">
        <f>_xll.QS.EVALUATE(C641,F641)</f>
        <v>33814.651355619222</v>
      </c>
      <c r="H641" s="5" t="s">
        <v>1323</v>
      </c>
      <c r="I641" s="7">
        <v>1063900</v>
      </c>
      <c r="J641" s="8">
        <v>3.8899999999999997E-2</v>
      </c>
    </row>
    <row r="642" spans="1:10" x14ac:dyDescent="0.25">
      <c r="A642" s="5" t="s">
        <v>1311</v>
      </c>
      <c r="B642" s="5" t="s">
        <v>1324</v>
      </c>
      <c r="C642" s="6" t="str">
        <f>_xll.QS.CONTEXT.CREATE("market.640",A642,"USD","SOFR")</f>
        <v>QSObject:PricingContext:w1~market.640:16350</v>
      </c>
      <c r="D642" s="6" t="str">
        <f>_xll.QS.CONTEXT.ADD.CURVE(C642,"SOFR",$K$2:$K$7,$L$2:$L$7,,,"Actual360","LogLinear",TRUE)</f>
        <v>QSObject:ContextInput:w1~input.qs_context_add_curve.2359132437744.641.3.0:39295</v>
      </c>
      <c r="E642" s="6" t="str">
        <f>_xll.QS.INSTRUMENT.SWAP("swap.640",H642,B642,"USD","SOFR",I642,J642,0,"Actual360","Simple","Annual","Annual","Annual")</f>
        <v>QSObject:Swap:w1~swap.640:6631</v>
      </c>
      <c r="F642" s="6" t="str">
        <f>_xll.QS.TRADE.CREATE("trade.640",E642,A642,"Receive")</f>
        <v>QSObject:SwapTrade:w1~trade.640:17383</v>
      </c>
      <c r="G642" s="3">
        <f>_xll.QS.EVALUATE(C642,F642)</f>
        <v>34314.278457149281</v>
      </c>
      <c r="H642" s="5" t="s">
        <v>1325</v>
      </c>
      <c r="I642" s="7">
        <v>1064000</v>
      </c>
      <c r="J642" s="8">
        <v>3.9000000000000007E-2</v>
      </c>
    </row>
    <row r="643" spans="1:10" x14ac:dyDescent="0.25">
      <c r="A643" s="5" t="s">
        <v>1313</v>
      </c>
      <c r="B643" s="5" t="s">
        <v>1326</v>
      </c>
      <c r="C643" s="6" t="str">
        <f>_xll.QS.CONTEXT.CREATE("market.641",A643,"USD","SOFR")</f>
        <v>QSObject:PricingContext:w1~market.641:9840</v>
      </c>
      <c r="D643" s="6" t="str">
        <f>_xll.QS.CONTEXT.ADD.CURVE(C643,"SOFR",$K$2:$K$7,$L$2:$L$7,,,"Actual360","LogLinear",TRUE)</f>
        <v>QSObject:ContextInput:w1~input.qs_context_add_curve.2359132437744.642.3.0:14672</v>
      </c>
      <c r="E643" s="6" t="str">
        <f>_xll.QS.INSTRUMENT.SWAP("swap.641",H643,B643,"USD","SOFR",I643,J643,0,"Actual360","Simple","Annual","Annual","Annual")</f>
        <v>QSObject:Swap:w1~swap.641:5027</v>
      </c>
      <c r="F643" s="6" t="str">
        <f>_xll.QS.TRADE.CREATE("trade.641",E643,A643,"Receive")</f>
        <v>QSObject:SwapTrade:w1~trade.641:20039</v>
      </c>
      <c r="G643" s="3">
        <f>_xll.QS.EVALUATE(C643,F643)</f>
        <v>34809.783099910172</v>
      </c>
      <c r="H643" s="5" t="s">
        <v>1327</v>
      </c>
      <c r="I643" s="7">
        <v>1064100</v>
      </c>
      <c r="J643" s="8">
        <v>3.9100000000000003E-2</v>
      </c>
    </row>
    <row r="644" spans="1:10" x14ac:dyDescent="0.25">
      <c r="A644" s="5" t="s">
        <v>1315</v>
      </c>
      <c r="B644" s="5" t="s">
        <v>1328</v>
      </c>
      <c r="C644" s="6" t="str">
        <f>_xll.QS.CONTEXT.CREATE("market.642",A644,"USD","SOFR")</f>
        <v>QSObject:PricingContext:w1~market.642:13026</v>
      </c>
      <c r="D644" s="6" t="str">
        <f>_xll.QS.CONTEXT.ADD.CURVE(C644,"SOFR",$K$2:$K$7,$L$2:$L$7,,,"Actual360","LogLinear",TRUE)</f>
        <v>QSObject:ContextInput:w1~input.qs_context_add_curve.2359132437744.643.3.0:39294</v>
      </c>
      <c r="E644" s="6" t="str">
        <f>_xll.QS.INSTRUMENT.SWAP("swap.642",H644,B644,"USD","SOFR",I644,J644,0,"Actual360","Simple","Annual","Annual","Annual")</f>
        <v>QSObject:Swap:w1~swap.642:8238</v>
      </c>
      <c r="F644" s="6" t="str">
        <f>_xll.QS.TRADE.CREATE("trade.642",E644,A644,"Receive")</f>
        <v>QSObject:SwapTrade:w1~trade.642:18348</v>
      </c>
      <c r="G644" s="3">
        <f>_xll.QS.EVALUATE(C644,F644)</f>
        <v>35126.402866757839</v>
      </c>
      <c r="H644" s="5" t="s">
        <v>1329</v>
      </c>
      <c r="I644" s="7">
        <v>1064200</v>
      </c>
      <c r="J644" s="8">
        <v>3.9200000000000013E-2</v>
      </c>
    </row>
    <row r="645" spans="1:10" x14ac:dyDescent="0.25">
      <c r="A645" s="5" t="s">
        <v>1317</v>
      </c>
      <c r="B645" s="5" t="s">
        <v>1330</v>
      </c>
      <c r="C645" s="6" t="str">
        <f>_xll.QS.CONTEXT.CREATE("market.643",A645,"USD","SOFR")</f>
        <v>QSObject:PricingContext:w1~market.643:3462</v>
      </c>
      <c r="D645" s="6" t="str">
        <f>_xll.QS.CONTEXT.ADD.CURVE(C645,"SOFR",$K$2:$K$7,$L$2:$L$7,,,"Actual360","LogLinear",TRUE)</f>
        <v>QSObject:ContextInput:w1~input.qs_context_add_curve.2359132437744.644.3.0:16349</v>
      </c>
      <c r="E645" s="6" t="str">
        <f>_xll.QS.INSTRUMENT.SWAP("swap.643",H645,B645,"USD","SOFR",I645,J645,0,"Actual360","Simple","Annual","Annual","Annual")</f>
        <v>QSObject:Swap:w1~swap.643:1919</v>
      </c>
      <c r="F645" s="6" t="str">
        <f>_xll.QS.TRADE.CREATE("trade.643",E645,A645,"Receive")</f>
        <v>QSObject:SwapTrade:w1~trade.643:9839</v>
      </c>
      <c r="G645" s="3">
        <f>_xll.QS.EVALUATE(C645,F645)</f>
        <v>35623.39715812591</v>
      </c>
      <c r="H645" s="5" t="s">
        <v>1331</v>
      </c>
      <c r="I645" s="7">
        <v>1064300</v>
      </c>
      <c r="J645" s="8">
        <v>3.9300000000000002E-2</v>
      </c>
    </row>
    <row r="646" spans="1:10" x14ac:dyDescent="0.25">
      <c r="A646" s="5" t="s">
        <v>1319</v>
      </c>
      <c r="B646" s="5" t="s">
        <v>1332</v>
      </c>
      <c r="C646" s="6" t="str">
        <f>_xll.QS.CONTEXT.CREATE("market.644",A646,"USD","SOFR")</f>
        <v>QSObject:PricingContext:w1~market.644:17382</v>
      </c>
      <c r="D646" s="6" t="str">
        <f>_xll.QS.CONTEXT.ADD.CURVE(C646,"SOFR",$K$2:$K$7,$L$2:$L$7,,,"Actual360","LogLinear",TRUE)</f>
        <v>QSObject:ContextInput:w1~input.qs_context_add_curve.2359132437744.645.3.0:39293</v>
      </c>
      <c r="E646" s="6" t="str">
        <f>_xll.QS.INSTRUMENT.SWAP("swap.644",H646,B646,"USD","SOFR",I646,J646,0,"Actual360","Simple","Annual","Annual","Annual")</f>
        <v>QSObject:Swap:w1~swap.644:6630</v>
      </c>
      <c r="F646" s="6" t="str">
        <f>_xll.QS.TRADE.CREATE("trade.644",E646,A646,"Receive")</f>
        <v>QSObject:SwapTrade:w1~trade.644:20038</v>
      </c>
      <c r="G646" s="3">
        <f>_xll.QS.EVALUATE(C646,F646)</f>
        <v>36163.62993793108</v>
      </c>
      <c r="H646" s="5" t="s">
        <v>1333</v>
      </c>
      <c r="I646" s="7">
        <v>1064400</v>
      </c>
      <c r="J646" s="8">
        <v>3.9399999999999998E-2</v>
      </c>
    </row>
    <row r="647" spans="1:10" x14ac:dyDescent="0.25">
      <c r="A647" s="5" t="s">
        <v>1321</v>
      </c>
      <c r="B647" s="5" t="s">
        <v>1334</v>
      </c>
      <c r="C647" s="6" t="str">
        <f>_xll.QS.CONTEXT.CREATE("market.645",A647,"USD","SOFR")</f>
        <v>QSObject:PricingContext:w1~market.645:13025</v>
      </c>
      <c r="D647" s="6" t="str">
        <f>_xll.QS.CONTEXT.ADD.CURVE(C647,"SOFR",$K$2:$K$7,$L$2:$L$7,,,"Actual360","LogLinear",TRUE)</f>
        <v>QSObject:ContextInput:w1~input.qs_context_add_curve.2359132437744.646.3.0:39292</v>
      </c>
      <c r="E647" s="6" t="str">
        <f>_xll.QS.INSTRUMENT.SWAP("swap.645",H647,B647,"USD","SOFR",I647,J647,0,"Actual360","Simple","Annual","Annual","Annual")</f>
        <v>QSObject:Swap:w1~swap.645:5026</v>
      </c>
      <c r="F647" s="6" t="str">
        <f>_xll.QS.TRADE.CREATE("trade.645",E647,A647,"Receive")</f>
        <v>QSObject:SwapTrade:w1~trade.645:18347</v>
      </c>
      <c r="G647" s="3">
        <f>_xll.QS.EVALUATE(C647,F647)</f>
        <v>36820.40279670764</v>
      </c>
      <c r="H647" s="5" t="s">
        <v>1335</v>
      </c>
      <c r="I647" s="7">
        <v>1064500</v>
      </c>
      <c r="J647" s="8">
        <v>3.9500000000000007E-2</v>
      </c>
    </row>
    <row r="648" spans="1:10" x14ac:dyDescent="0.25">
      <c r="A648" s="5" t="s">
        <v>1323</v>
      </c>
      <c r="B648" s="5" t="s">
        <v>1336</v>
      </c>
      <c r="C648" s="6" t="str">
        <f>_xll.QS.CONTEXT.CREATE("market.646",A648,"USD","SOFR")</f>
        <v>QSObject:PricingContext:w1~market.646:16348</v>
      </c>
      <c r="D648" s="6" t="str">
        <f>_xll.QS.CONTEXT.ADD.CURVE(C648,"SOFR",$K$2:$K$7,$L$2:$L$7,,,"Actual360","LogLinear",TRUE)</f>
        <v>QSObject:ContextInput:w1~input.qs_context_add_curve.2359132437744.647.3.0:39291</v>
      </c>
      <c r="E648" s="6" t="str">
        <f>_xll.QS.INSTRUMENT.SWAP("swap.646",H648,B648,"USD","SOFR",I648,J648,0,"Actual360","Simple","Annual","Annual","Annual")</f>
        <v>QSObject:Swap:w1~swap.646:8237</v>
      </c>
      <c r="F648" s="6" t="str">
        <f>_xll.QS.TRADE.CREATE("trade.646",E648,A648,"Receive")</f>
        <v>QSObject:SwapTrade:w1~trade.646:9838</v>
      </c>
      <c r="G648" s="3">
        <f>_xll.QS.EVALUATE(C648,F648)</f>
        <v>37314.810014008297</v>
      </c>
      <c r="H648" s="5" t="s">
        <v>1337</v>
      </c>
      <c r="I648" s="7">
        <v>1064600</v>
      </c>
      <c r="J648" s="8">
        <v>3.9600000000000003E-2</v>
      </c>
    </row>
    <row r="649" spans="1:10" x14ac:dyDescent="0.25">
      <c r="A649" s="5" t="s">
        <v>1325</v>
      </c>
      <c r="B649" s="5" t="s">
        <v>1338</v>
      </c>
      <c r="C649" s="6" t="str">
        <f>_xll.QS.CONTEXT.CREATE("market.647",A649,"USD","SOFR")</f>
        <v>QSObject:PricingContext:w1~market.647:6629</v>
      </c>
      <c r="D649" s="6" t="str">
        <f>_xll.QS.CONTEXT.ADD.CURVE(C649,"SOFR",$K$2:$K$7,$L$2:$L$7,,,"Actual360","LogLinear",TRUE)</f>
        <v>QSObject:ContextInput:w1~input.qs_context_add_curve.2359132437744.648.3.0:14671</v>
      </c>
      <c r="E649" s="6" t="str">
        <f>_xll.QS.INSTRUMENT.SWAP("swap.647",H649,B649,"USD","SOFR",I649,J649,0,"Actual360","Simple","Annual","Annual","Annual")</f>
        <v>QSObject:Swap:w1~swap.647:17381</v>
      </c>
      <c r="F649" s="6" t="str">
        <f>_xll.QS.TRADE.CREATE("trade.647",E649,A649,"Receive")</f>
        <v>QSObject:SwapTrade:w1~trade.647:20037</v>
      </c>
      <c r="G649" s="3">
        <f>_xll.QS.EVALUATE(C649,F649)</f>
        <v>37818.935073796587</v>
      </c>
      <c r="H649" s="5" t="s">
        <v>1339</v>
      </c>
      <c r="I649" s="7">
        <v>1064700</v>
      </c>
      <c r="J649" s="8">
        <v>3.9700000000000013E-2</v>
      </c>
    </row>
    <row r="650" spans="1:10" x14ac:dyDescent="0.25">
      <c r="A650" s="5" t="s">
        <v>1327</v>
      </c>
      <c r="B650" s="5" t="s">
        <v>1340</v>
      </c>
      <c r="C650" s="6" t="str">
        <f>_xll.QS.CONTEXT.CREATE("market.648",A650,"USD","SOFR")</f>
        <v>QSObject:PricingContext:w1~market.648:11498</v>
      </c>
      <c r="D650" s="6" t="str">
        <f>_xll.QS.CONTEXT.ADD.CURVE(C650,"SOFR",$K$2:$K$7,$L$2:$L$7,,,"Actual360","LogLinear",TRUE)</f>
        <v>QSObject:ContextInput:w1~input.qs_context_add_curve.2359132437744.649.3.0:13024</v>
      </c>
      <c r="E650" s="6" t="str">
        <f>_xll.QS.INSTRUMENT.SWAP("swap.648",H650,B650,"USD","SOFR",I650,J650,0,"Actual360","Simple","Annual","Annual","Annual")</f>
        <v>QSObject:Swap:w1~swap.648:1918</v>
      </c>
      <c r="F650" s="6" t="str">
        <f>_xll.QS.TRADE.CREATE("trade.648",E650,A650,"Receive")</f>
        <v>QSObject:SwapTrade:w1~trade.648:18346</v>
      </c>
      <c r="G650" s="3">
        <f>_xll.QS.EVALUATE(C650,F650)</f>
        <v>38314.289459440115</v>
      </c>
      <c r="H650" s="5" t="s">
        <v>1341</v>
      </c>
      <c r="I650" s="7">
        <v>1064800</v>
      </c>
      <c r="J650" s="8">
        <v>3.9800000000000002E-2</v>
      </c>
    </row>
    <row r="651" spans="1:10" x14ac:dyDescent="0.25">
      <c r="A651" s="5" t="s">
        <v>1329</v>
      </c>
      <c r="B651" s="5" t="s">
        <v>1342</v>
      </c>
      <c r="C651" s="6" t="str">
        <f>_xll.QS.CONTEXT.CREATE("market.649",A651,"USD","SOFR")</f>
        <v>QSObject:PricingContext:w1~market.649:5025</v>
      </c>
      <c r="D651" s="6" t="str">
        <f>_xll.QS.CONTEXT.ADD.CURVE(C651,"SOFR",$K$2:$K$7,$L$2:$L$7,,,"Actual360","LogLinear",TRUE)</f>
        <v>QSObject:ContextInput:w1~input.qs_context_add_curve.2359132437744.650.3.0:16347</v>
      </c>
      <c r="E651" s="6" t="str">
        <f>_xll.QS.INSTRUMENT.SWAP("swap.649",H651,B651,"USD","SOFR",I651,J651,0,"Actual360","Simple","Annual","Annual","Annual")</f>
        <v>QSObject:Swap:w1~swap.649:8236</v>
      </c>
      <c r="F651" s="6" t="str">
        <f>_xll.QS.TRADE.CREATE("trade.649",E651,A651,"Receive")</f>
        <v>QSObject:SwapTrade:w1~trade.649:9837</v>
      </c>
      <c r="G651" s="3">
        <f>_xll.QS.EVALUATE(C651,F651)</f>
        <v>38675.713627041507</v>
      </c>
      <c r="H651" s="5" t="s">
        <v>1343</v>
      </c>
      <c r="I651" s="7">
        <v>1064900</v>
      </c>
      <c r="J651" s="8">
        <v>3.9899999999999998E-2</v>
      </c>
    </row>
    <row r="652" spans="1:10" x14ac:dyDescent="0.25">
      <c r="A652" s="5" t="s">
        <v>1331</v>
      </c>
      <c r="B652" s="5" t="s">
        <v>1344</v>
      </c>
      <c r="C652" s="6" t="str">
        <f>_xll.QS.CONTEXT.CREATE("market.650",A652,"USD","SOFR")</f>
        <v>QSObject:PricingContext:w1~market.650:14670</v>
      </c>
      <c r="D652" s="6" t="str">
        <f>_xll.QS.CONTEXT.ADD.CURVE(C652,"SOFR",$K$2:$K$7,$L$2:$L$7,,,"Actual360","LogLinear",TRUE)</f>
        <v>QSObject:ContextInput:w1~input.qs_context_add_curve.2359132437744.651.3.0:17380</v>
      </c>
      <c r="E652" s="6" t="str">
        <f>_xll.QS.INSTRUMENT.SWAP("swap.650",H652,B652,"USD","SOFR",I652,J652,0,"Actual360","Simple","Annual","Annual","Annual")</f>
        <v>QSObject:Swap:w1~swap.650:20036</v>
      </c>
      <c r="F652" s="6" t="str">
        <f>_xll.QS.TRADE.CREATE("trade.650",E652,A652,"Receive")</f>
        <v>QSObject:SwapTrade:w1~trade.650:30423</v>
      </c>
      <c r="G652" s="3">
        <f>_xll.QS.EVALUATE(C652,F652)</f>
        <v>14608.402480656696</v>
      </c>
      <c r="H652" s="5" t="s">
        <v>1345</v>
      </c>
      <c r="I652" s="7">
        <v>1065000</v>
      </c>
      <c r="J652" s="8">
        <v>3.5000000000000003E-2</v>
      </c>
    </row>
    <row r="653" spans="1:10" x14ac:dyDescent="0.25">
      <c r="A653" s="5" t="s">
        <v>1333</v>
      </c>
      <c r="B653" s="5" t="s">
        <v>1346</v>
      </c>
      <c r="C653" s="6" t="str">
        <f>_xll.QS.CONTEXT.CREATE("market.651",A653,"USD","SOFR")</f>
        <v>QSObject:PricingContext:w1~market.651:5024</v>
      </c>
      <c r="D653" s="6" t="str">
        <f>_xll.QS.CONTEXT.ADD.CURVE(C653,"SOFR",$K$2:$K$7,$L$2:$L$7,,,"Actual360","LogLinear",TRUE)</f>
        <v>QSObject:ContextInput:w1~input.qs_context_add_curve.2359132437744.652.3.0:6628</v>
      </c>
      <c r="E653" s="6" t="str">
        <f>_xll.QS.INSTRUMENT.SWAP("swap.651",H653,B653,"USD","SOFR",I653,J653,0,"Actual360","Simple","Annual","Annual","Annual")</f>
        <v>QSObject:Swap:w1~swap.651:18345</v>
      </c>
      <c r="F653" s="6" t="str">
        <f>_xll.QS.TRADE.CREATE("trade.651",E653,A653,"Receive")</f>
        <v>QSObject:SwapTrade:w1~trade.651:30422</v>
      </c>
      <c r="G653" s="3">
        <f>_xll.QS.EVALUATE(C653,F653)</f>
        <v>15102.145175988542</v>
      </c>
      <c r="H653" s="5" t="s">
        <v>1347</v>
      </c>
      <c r="I653" s="7">
        <v>1065100</v>
      </c>
      <c r="J653" s="8">
        <v>3.5100000000000013E-2</v>
      </c>
    </row>
    <row r="654" spans="1:10" x14ac:dyDescent="0.25">
      <c r="A654" s="5" t="s">
        <v>1335</v>
      </c>
      <c r="B654" s="5" t="s">
        <v>1348</v>
      </c>
      <c r="C654" s="6" t="str">
        <f>_xll.QS.CONTEXT.CREATE("market.652",A654,"USD","SOFR")</f>
        <v>QSObject:PricingContext:w1~market.652:16346</v>
      </c>
      <c r="D654" s="6" t="str">
        <f>_xll.QS.CONTEXT.ADD.CURVE(C654,"SOFR",$K$2:$K$7,$L$2:$L$7,,,"Actual360","LogLinear",TRUE)</f>
        <v>QSObject:ContextInput:w1~input.qs_context_add_curve.2359132437744.653.3.0:39290</v>
      </c>
      <c r="E654" s="6" t="str">
        <f>_xll.QS.INSTRUMENT.SWAP("swap.652",H654,B654,"USD","SOFR",I654,J654,0,"Actual360","Simple","Annual","Annual","Annual")</f>
        <v>QSObject:Swap:w1~swap.652:11497</v>
      </c>
      <c r="F654" s="6" t="str">
        <f>_xll.QS.TRADE.CREATE("trade.652",E654,A654,"Receive")</f>
        <v>QSObject:SwapTrade:w1~trade.652:14669</v>
      </c>
      <c r="G654" s="3">
        <f>_xll.QS.EVALUATE(C654,F654)</f>
        <v>15672.679039123788</v>
      </c>
      <c r="H654" s="5" t="s">
        <v>1349</v>
      </c>
      <c r="I654" s="7">
        <v>1065200</v>
      </c>
      <c r="J654" s="8">
        <v>3.5200000000000002E-2</v>
      </c>
    </row>
    <row r="655" spans="1:10" x14ac:dyDescent="0.25">
      <c r="A655" s="5" t="s">
        <v>1337</v>
      </c>
      <c r="B655" s="5" t="s">
        <v>1350</v>
      </c>
      <c r="C655" s="6" t="str">
        <f>_xll.QS.CONTEXT.CREATE("market.653",A655,"USD","SOFR")</f>
        <v>QSObject:PricingContext:w1~market.653:20035</v>
      </c>
      <c r="D655" s="6" t="str">
        <f>_xll.QS.CONTEXT.ADD.CURVE(C655,"SOFR",$K$2:$K$7,$L$2:$L$7,,,"Actual360","LogLinear",TRUE)</f>
        <v>QSObject:ContextInput:w1~input.qs_context_add_curve.2359132437744.654.3.0:39289</v>
      </c>
      <c r="E655" s="6" t="str">
        <f>_xll.QS.INSTRUMENT.SWAP("swap.653",H655,B655,"USD","SOFR",I655,J655,0,"Actual360","Simple","Annual","Annual","Annual")</f>
        <v>QSObject:Swap:w1~swap.653:17379</v>
      </c>
      <c r="F655" s="6" t="str">
        <f>_xll.QS.TRADE.CREATE("trade.653",E655,A655,"Receive")</f>
        <v>QSObject:SwapTrade:w1~trade.653:30421</v>
      </c>
      <c r="G655" s="3">
        <f>_xll.QS.EVALUATE(C655,F655)</f>
        <v>16165.505700201571</v>
      </c>
      <c r="H655" s="5" t="s">
        <v>1351</v>
      </c>
      <c r="I655" s="7">
        <v>1065300</v>
      </c>
      <c r="J655" s="8">
        <v>3.5299999999999998E-2</v>
      </c>
    </row>
    <row r="656" spans="1:10" x14ac:dyDescent="0.25">
      <c r="A656" s="5" t="s">
        <v>1339</v>
      </c>
      <c r="B656" s="5" t="s">
        <v>1352</v>
      </c>
      <c r="C656" s="6" t="str">
        <f>_xll.QS.CONTEXT.CREATE("market.654",A656,"USD","SOFR")</f>
        <v>QSObject:PricingContext:w1~market.654:13023</v>
      </c>
      <c r="D656" s="6" t="str">
        <f>_xll.QS.CONTEXT.ADD.CURVE(C656,"SOFR",$K$2:$K$7,$L$2:$L$7,,,"Actual360","LogLinear",TRUE)</f>
        <v>QSObject:ContextInput:w1~input.qs_context_add_curve.2359132437744.655.3.0:30420</v>
      </c>
      <c r="E656" s="6" t="str">
        <f>_xll.QS.INSTRUMENT.SWAP("swap.654",H656,B656,"USD","SOFR",I656,J656,0,"Actual360","Simple","Annual","Annual","Annual")</f>
        <v>QSObject:Swap:w1~swap.654:18344</v>
      </c>
      <c r="F656" s="6" t="str">
        <f>_xll.QS.TRADE.CREATE("trade.654",E656,A656,"Receive")</f>
        <v>QSObject:SwapTrade:w1~trade.654:30419</v>
      </c>
      <c r="G656" s="3">
        <f>_xll.QS.EVALUATE(C656,F656)</f>
        <v>16664.247411061693</v>
      </c>
      <c r="H656" s="5" t="s">
        <v>1353</v>
      </c>
      <c r="I656" s="7">
        <v>1065400</v>
      </c>
      <c r="J656" s="8">
        <v>3.5400000000000001E-2</v>
      </c>
    </row>
    <row r="657" spans="1:10" x14ac:dyDescent="0.25">
      <c r="A657" s="5" t="s">
        <v>1341</v>
      </c>
      <c r="B657" s="5" t="s">
        <v>1354</v>
      </c>
      <c r="C657" s="6" t="str">
        <f>_xll.QS.CONTEXT.CREATE("market.655",A657,"USD","SOFR")</f>
        <v>QSObject:PricingContext:w1~market.655:11496</v>
      </c>
      <c r="D657" s="6" t="str">
        <f>_xll.QS.CONTEXT.ADD.CURVE(C657,"SOFR",$K$2:$K$7,$L$2:$L$7,,,"Actual360","LogLinear",TRUE)</f>
        <v>QSObject:ContextInput:w1~input.qs_context_add_curve.2359132437744.656.3.0:20034</v>
      </c>
      <c r="E657" s="6" t="str">
        <f>_xll.QS.INSTRUMENT.SWAP("swap.655",H657,B657,"USD","SOFR",I657,J657,0,"Actual360","Simple","Annual","Annual","Annual")</f>
        <v>QSObject:Swap:w1~swap.655:14668</v>
      </c>
      <c r="F657" s="6" t="str">
        <f>_xll.QS.TRADE.CREATE("trade.655",E657,A657,"Receive")</f>
        <v>QSObject:SwapTrade:w1~trade.655:17378</v>
      </c>
      <c r="G657" s="3">
        <f>_xll.QS.EVALUATE(C657,F657)</f>
        <v>17158.255686390406</v>
      </c>
      <c r="H657" s="5" t="s">
        <v>1355</v>
      </c>
      <c r="I657" s="7">
        <v>1065500</v>
      </c>
      <c r="J657" s="8">
        <v>3.5499999999999997E-2</v>
      </c>
    </row>
    <row r="658" spans="1:10" x14ac:dyDescent="0.25">
      <c r="A658" s="5" t="s">
        <v>1343</v>
      </c>
      <c r="B658" s="5" t="s">
        <v>1356</v>
      </c>
      <c r="C658" s="6" t="str">
        <f>_xll.QS.CONTEXT.CREATE("market.656",A658,"USD","SOFR")</f>
        <v>QSObject:PricingContext:w1~market.656:6627</v>
      </c>
      <c r="D658" s="6" t="str">
        <f>_xll.QS.CONTEXT.ADD.CURVE(C658,"SOFR",$K$2:$K$7,$L$2:$L$7,,,"Actual360","LogLinear",TRUE)</f>
        <v>QSObject:ContextInput:w1~input.qs_context_add_curve.2359132437744.657.3.0:39288</v>
      </c>
      <c r="E658" s="6" t="str">
        <f>_xll.QS.INSTRUMENT.SWAP("swap.656",H658,B658,"USD","SOFR",I658,J658,0,"Actual360","Simple","Annual","Annual","Annual")</f>
        <v>QSObject:Swap:w1~swap.656:5023</v>
      </c>
      <c r="F658" s="6" t="str">
        <f>_xll.QS.TRADE.CREATE("trade.656",E658,A658,"Receive")</f>
        <v>QSObject:SwapTrade:w1~trade.656:13022</v>
      </c>
      <c r="G658" s="3">
        <f>_xll.QS.EVALUATE(C658,F658)</f>
        <v>17522.176945564519</v>
      </c>
      <c r="H658" s="5" t="s">
        <v>1357</v>
      </c>
      <c r="I658" s="7">
        <v>1065600</v>
      </c>
      <c r="J658" s="8">
        <v>3.5600000000000007E-2</v>
      </c>
    </row>
    <row r="659" spans="1:10" x14ac:dyDescent="0.25">
      <c r="A659" s="5" t="s">
        <v>1345</v>
      </c>
      <c r="B659" s="5" t="s">
        <v>1358</v>
      </c>
      <c r="C659" s="6" t="str">
        <f>_xll.QS.CONTEXT.CREATE("market.657",A659,"USD","SOFR")</f>
        <v>QSObject:PricingContext:w1~market.657:8235</v>
      </c>
      <c r="D659" s="6" t="str">
        <f>_xll.QS.CONTEXT.ADD.CURVE(C659,"SOFR",$K$2:$K$7,$L$2:$L$7,,,"Actual360","LogLinear",TRUE)</f>
        <v>QSObject:ContextInput:w1~input.qs_context_add_curve.2359132437744.658.3.0:30418</v>
      </c>
      <c r="E659" s="6" t="str">
        <f>_xll.QS.INSTRUMENT.SWAP("swap.657",H659,B659,"USD","SOFR",I659,J659,0,"Actual360","Simple","Annual","Annual","Annual")</f>
        <v>QSObject:Swap:w1~swap.657:9836</v>
      </c>
      <c r="F659" s="6" t="str">
        <f>_xll.QS.TRADE.CREATE("trade.657",E659,A659,"Receive")</f>
        <v>QSObject:SwapTrade:w1~trade.657:16345</v>
      </c>
      <c r="G659" s="3">
        <f>_xll.QS.EVALUATE(C659,F659)</f>
        <v>18016.771469990286</v>
      </c>
      <c r="H659" s="5" t="s">
        <v>1359</v>
      </c>
      <c r="I659" s="7">
        <v>1065700</v>
      </c>
      <c r="J659" s="8">
        <v>3.5700000000000003E-2</v>
      </c>
    </row>
    <row r="660" spans="1:10" x14ac:dyDescent="0.25">
      <c r="A660" s="5" t="s">
        <v>1347</v>
      </c>
      <c r="B660" s="5" t="s">
        <v>1360</v>
      </c>
      <c r="C660" s="6" t="str">
        <f>_xll.QS.CONTEXT.CREATE("market.658",A660,"USD","SOFR")</f>
        <v>QSObject:PricingContext:w1~market.658:11495</v>
      </c>
      <c r="D660" s="6" t="str">
        <f>_xll.QS.CONTEXT.ADD.CURVE(C660,"SOFR",$K$2:$K$7,$L$2:$L$7,,,"Actual360","LogLinear",TRUE)</f>
        <v>QSObject:ContextInput:w1~input.qs_context_add_curve.2359132437744.659.3.0:20033</v>
      </c>
      <c r="E660" s="6" t="str">
        <f>_xll.QS.INSTRUMENT.SWAP("swap.658",H660,B660,"USD","SOFR",I660,J660,0,"Actual360","Simple","Annual","Annual","Annual")</f>
        <v>QSObject:Swap:w1~swap.658:18343</v>
      </c>
      <c r="F660" s="6" t="str">
        <f>_xll.QS.TRADE.CREATE("trade.658",E660,A660,"Receive")</f>
        <v>QSObject:SwapTrade:w1~trade.658:30417</v>
      </c>
      <c r="G660" s="3">
        <f>_xll.QS.EVALUATE(C660,F660)</f>
        <v>18554.105364214254</v>
      </c>
      <c r="H660" s="5" t="s">
        <v>1361</v>
      </c>
      <c r="I660" s="7">
        <v>1065800</v>
      </c>
      <c r="J660" s="8">
        <v>3.5800000000000012E-2</v>
      </c>
    </row>
    <row r="661" spans="1:10" x14ac:dyDescent="0.25">
      <c r="A661" s="5" t="s">
        <v>1349</v>
      </c>
      <c r="B661" s="5" t="s">
        <v>1362</v>
      </c>
      <c r="C661" s="6" t="str">
        <f>_xll.QS.CONTEXT.CREATE("market.659",A661,"USD","SOFR")</f>
        <v>QSObject:PricingContext:w1~market.659:3461</v>
      </c>
      <c r="D661" s="6" t="str">
        <f>_xll.QS.CONTEXT.ADD.CURVE(C661,"SOFR",$K$2:$K$7,$L$2:$L$7,,,"Actual360","LogLinear",TRUE)</f>
        <v>QSObject:ContextInput:w1~input.qs_context_add_curve.2359132437744.660.3.0:6626</v>
      </c>
      <c r="E661" s="6" t="str">
        <f>_xll.QS.INSTRUMENT.SWAP("swap.659",H661,B661,"USD","SOFR",I661,J661,0,"Actual360","Simple","Annual","Annual","Annual")</f>
        <v>QSObject:Swap:w1~swap.659:14667</v>
      </c>
      <c r="F661" s="6" t="str">
        <f>_xll.QS.TRADE.CREATE("trade.659",E661,A661,"Receive")</f>
        <v>QSObject:SwapTrade:w1~trade.659:23491</v>
      </c>
      <c r="G661" s="3">
        <f>_xll.QS.EVALUATE(C661,F661)</f>
        <v>19125.387279067447</v>
      </c>
      <c r="H661" s="5" t="s">
        <v>1363</v>
      </c>
      <c r="I661" s="7">
        <v>1065900</v>
      </c>
      <c r="J661" s="8">
        <v>3.5900000000000001E-2</v>
      </c>
    </row>
    <row r="662" spans="1:10" x14ac:dyDescent="0.25">
      <c r="A662" s="5" t="s">
        <v>1351</v>
      </c>
      <c r="B662" s="5" t="s">
        <v>1364</v>
      </c>
      <c r="C662" s="6" t="str">
        <f>_xll.QS.CONTEXT.CREATE("market.660",A662,"USD","SOFR")</f>
        <v>QSObject:PricingContext:w1~market.660:1917</v>
      </c>
      <c r="D662" s="6" t="str">
        <f>_xll.QS.CONTEXT.ADD.CURVE(C662,"SOFR",$K$2:$K$7,$L$2:$L$7,,,"Actual360","LogLinear",TRUE)</f>
        <v>QSObject:ContextInput:w1~input.qs_context_add_curve.2359132437744.661.3.0:8234</v>
      </c>
      <c r="E662" s="6" t="str">
        <f>_xll.QS.INSTRUMENT.SWAP("swap.660",H662,B662,"USD","SOFR",I662,J662,0,"Actual360","Simple","Annual","Annual","Annual")</f>
        <v>QSObject:Swap:w1~swap.660:13021</v>
      </c>
      <c r="F662" s="6" t="str">
        <f>_xll.QS.TRADE.CREATE("trade.660",E662,A662,"Receive")</f>
        <v>QSObject:SwapTrade:w1~trade.660:27016</v>
      </c>
      <c r="G662" s="3">
        <f>_xll.QS.EVALUATE(C662,F662)</f>
        <v>19619.004565025338</v>
      </c>
      <c r="H662" s="5" t="s">
        <v>1365</v>
      </c>
      <c r="I662" s="7">
        <v>1066000</v>
      </c>
      <c r="J662" s="8">
        <v>3.5999999999999997E-2</v>
      </c>
    </row>
    <row r="663" spans="1:10" x14ac:dyDescent="0.25">
      <c r="A663" s="5" t="s">
        <v>1353</v>
      </c>
      <c r="B663" s="5" t="s">
        <v>1366</v>
      </c>
      <c r="C663" s="6" t="str">
        <f>_xll.QS.CONTEXT.CREATE("market.661",A663,"USD","SOFR")</f>
        <v>QSObject:PricingContext:w1~market.661:17377</v>
      </c>
      <c r="D663" s="6" t="str">
        <f>_xll.QS.CONTEXT.ADD.CURVE(C663,"SOFR",$K$2:$K$7,$L$2:$L$7,,,"Actual360","LogLinear",TRUE)</f>
        <v>QSObject:ContextInput:w1~input.qs_context_add_curve.2359132437744.662.3.0:39287</v>
      </c>
      <c r="E663" s="6" t="str">
        <f>_xll.QS.INSTRUMENT.SWAP("swap.661",H663,B663,"USD","SOFR",I663,J663,0,"Actual360","Simple","Annual","Annual","Annual")</f>
        <v>QSObject:Swap:w1~swap.661:9835</v>
      </c>
      <c r="F663" s="6" t="str">
        <f>_xll.QS.TRADE.CREATE("trade.661",E663,A663,"Receive")</f>
        <v>QSObject:SwapTrade:w1~trade.661:18342</v>
      </c>
      <c r="G663" s="3">
        <f>_xll.QS.EVALUATE(C663,F663)</f>
        <v>20118.911094808867</v>
      </c>
      <c r="H663" s="5" t="s">
        <v>1367</v>
      </c>
      <c r="I663" s="7">
        <v>1066100</v>
      </c>
      <c r="J663" s="8">
        <v>3.61E-2</v>
      </c>
    </row>
    <row r="664" spans="1:10" x14ac:dyDescent="0.25">
      <c r="A664" s="5" t="s">
        <v>1355</v>
      </c>
      <c r="B664" s="5" t="s">
        <v>1368</v>
      </c>
      <c r="C664" s="6" t="str">
        <f>_xll.QS.CONTEXT.CREATE("market.662",A664,"USD","SOFR")</f>
        <v>QSObject:PricingContext:w1~market.662:3460</v>
      </c>
      <c r="D664" s="6" t="str">
        <f>_xll.QS.CONTEXT.ADD.CURVE(C664,"SOFR",$K$2:$K$7,$L$2:$L$7,,,"Actual360","LogLinear",TRUE)</f>
        <v>QSObject:ContextInput:w1~input.qs_context_add_curve.2359132437744.663.3.0:20032</v>
      </c>
      <c r="E664" s="6" t="str">
        <f>_xll.QS.INSTRUMENT.SWAP("swap.662",H664,B664,"USD","SOFR",I664,J664,0,"Actual360","Simple","Annual","Annual","Annual")</f>
        <v>QSObject:Swap:w1~swap.662:14666</v>
      </c>
      <c r="F664" s="6" t="str">
        <f>_xll.QS.TRADE.CREATE("trade.662",E664,A664,"Receive")</f>
        <v>QSObject:SwapTrade:w1~trade.662:23490</v>
      </c>
      <c r="G664" s="3">
        <f>_xll.QS.EVALUATE(C664,F664)</f>
        <v>20612.921801265547</v>
      </c>
      <c r="H664" s="5" t="s">
        <v>1369</v>
      </c>
      <c r="I664" s="7">
        <v>1066200</v>
      </c>
      <c r="J664" s="8">
        <v>3.6200000000000003E-2</v>
      </c>
    </row>
    <row r="665" spans="1:10" x14ac:dyDescent="0.25">
      <c r="A665" s="5" t="s">
        <v>1357</v>
      </c>
      <c r="B665" s="5" t="s">
        <v>1370</v>
      </c>
      <c r="C665" s="6" t="str">
        <f>_xll.QS.CONTEXT.CREATE("market.663",A665,"USD","SOFR")</f>
        <v>QSObject:PricingContext:w1~market.663:13020</v>
      </c>
      <c r="D665" s="6" t="str">
        <f>_xll.QS.CONTEXT.ADD.CURVE(C665,"SOFR",$K$2:$K$7,$L$2:$L$7,,,"Actual360","LogLinear",TRUE)</f>
        <v>QSObject:ContextInput:w1~input.qs_context_add_curve.2359132437744.664.3.0:39286</v>
      </c>
      <c r="E665" s="6" t="str">
        <f>_xll.QS.INSTRUMENT.SWAP("swap.663",H665,B665,"USD","SOFR",I665,J665,0,"Actual360","Simple","Annual","Annual","Annual")</f>
        <v>QSObject:Swap:w1~swap.663:8233</v>
      </c>
      <c r="F665" s="6" t="str">
        <f>_xll.QS.TRADE.CREATE("trade.663",E665,A665,"Receive")</f>
        <v>QSObject:SwapTrade:w1~trade.663:17376</v>
      </c>
      <c r="G665" s="3">
        <f>_xll.QS.EVALUATE(C665,F665)</f>
        <v>20976.711365598898</v>
      </c>
      <c r="H665" s="5" t="s">
        <v>1371</v>
      </c>
      <c r="I665" s="7">
        <v>1066300</v>
      </c>
      <c r="J665" s="8">
        <v>3.6300000000000013E-2</v>
      </c>
    </row>
    <row r="666" spans="1:10" x14ac:dyDescent="0.25">
      <c r="A666" s="5" t="s">
        <v>1359</v>
      </c>
      <c r="B666" s="5" t="s">
        <v>1372</v>
      </c>
      <c r="C666" s="6" t="str">
        <f>_xll.QS.CONTEXT.CREATE("market.664",A666,"USD","SOFR")</f>
        <v>QSObject:PricingContext:w1~market.664:9834</v>
      </c>
      <c r="D666" s="6" t="str">
        <f>_xll.QS.CONTEXT.ADD.CURVE(C666,"SOFR",$K$2:$K$7,$L$2:$L$7,,,"Actual360","LogLinear",TRUE)</f>
        <v>QSObject:ContextInput:w1~input.qs_context_add_curve.2359132437744.665.3.0:22993</v>
      </c>
      <c r="E666" s="6" t="str">
        <f>_xll.QS.INSTRUMENT.SWAP("swap.664",H666,B666,"USD","SOFR",I666,J666,0,"Actual360","Simple","Annual","Annual","Annual")</f>
        <v>QSObject:Swap:w1~swap.664:16344</v>
      </c>
      <c r="F666" s="6" t="str">
        <f>_xll.QS.TRADE.CREATE("trade.664",E666,A666,"Receive")</f>
        <v>QSObject:SwapTrade:w1~trade.664:18341</v>
      </c>
      <c r="G666" s="3">
        <f>_xll.QS.EVALUATE(C666,F666)</f>
        <v>21472.241362344688</v>
      </c>
      <c r="H666" s="5" t="s">
        <v>1373</v>
      </c>
      <c r="I666" s="7">
        <v>1066400</v>
      </c>
      <c r="J666" s="8">
        <v>3.6400000000000002E-2</v>
      </c>
    </row>
    <row r="667" spans="1:10" x14ac:dyDescent="0.25">
      <c r="A667" s="5" t="s">
        <v>1361</v>
      </c>
      <c r="B667" s="5" t="s">
        <v>1374</v>
      </c>
      <c r="C667" s="6" t="str">
        <f>_xll.QS.CONTEXT.CREATE("market.665",A667,"USD","SOFR")</f>
        <v>QSObject:PricingContext:w1~market.665:20031</v>
      </c>
      <c r="D667" s="6" t="str">
        <f>_xll.QS.CONTEXT.ADD.CURVE(C667,"SOFR",$K$2:$K$7,$L$2:$L$7,,,"Actual360","LogLinear",TRUE)</f>
        <v>QSObject:ContextInput:w1~input.qs_context_add_curve.2359132437744.666.3.0:39285</v>
      </c>
      <c r="E667" s="6" t="str">
        <f>_xll.QS.INSTRUMENT.SWAP("swap.665",H667,B667,"USD","SOFR",I667,J667,0,"Actual360","Simple","Annual","Annual","Annual")</f>
        <v>QSObject:Swap:w1~swap.665:3459</v>
      </c>
      <c r="F667" s="6" t="str">
        <f>_xll.QS.TRADE.CREATE("trade.665",E667,A667,"Receive")</f>
        <v>QSObject:SwapTrade:w1~trade.665:13019</v>
      </c>
      <c r="G667" s="3">
        <f>_xll.QS.EVALUATE(C667,F667)</f>
        <v>22010.005317716557</v>
      </c>
      <c r="H667" s="5" t="s">
        <v>1375</v>
      </c>
      <c r="I667" s="7">
        <v>1066500</v>
      </c>
      <c r="J667" s="8">
        <v>3.6499999999999998E-2</v>
      </c>
    </row>
    <row r="668" spans="1:10" x14ac:dyDescent="0.25">
      <c r="A668" s="5" t="s">
        <v>1363</v>
      </c>
      <c r="B668" s="5" t="s">
        <v>1376</v>
      </c>
      <c r="C668" s="6" t="str">
        <f>_xll.QS.CONTEXT.CREATE("market.666",A668,"USD","SOFR")</f>
        <v>QSObject:PricingContext:w1~market.666:17375</v>
      </c>
      <c r="D668" s="6" t="str">
        <f>_xll.QS.CONTEXT.ADD.CURVE(C668,"SOFR",$K$2:$K$7,$L$2:$L$7,,,"Actual360","LogLinear",TRUE)</f>
        <v>QSObject:ContextInput:w1~input.qs_context_add_curve.2359132437744.667.3.0:39284</v>
      </c>
      <c r="E668" s="6" t="str">
        <f>_xll.QS.INSTRUMENT.SWAP("swap.666",H668,B668,"USD","SOFR",I668,J668,0,"Actual360","Simple","Annual","Annual","Annual")</f>
        <v>QSObject:Swap:w1~swap.666:5022</v>
      </c>
      <c r="F668" s="6" t="str">
        <f>_xll.QS.TRADE.CREATE("trade.666",E668,A668,"Receive")</f>
        <v>QSObject:SwapTrade:w1~trade.666:11494</v>
      </c>
      <c r="G668" s="3">
        <f>_xll.QS.EVALUATE(C668,F668)</f>
        <v>22582.450650707586</v>
      </c>
      <c r="H668" s="5" t="s">
        <v>1377</v>
      </c>
      <c r="I668" s="7">
        <v>1066600</v>
      </c>
      <c r="J668" s="8">
        <v>3.6600000000000001E-2</v>
      </c>
    </row>
    <row r="669" spans="1:10" x14ac:dyDescent="0.25">
      <c r="A669" s="5" t="s">
        <v>1365</v>
      </c>
      <c r="B669" s="5" t="s">
        <v>1378</v>
      </c>
      <c r="C669" s="6" t="str">
        <f>_xll.QS.CONTEXT.CREATE("market.667",A669,"USD","SOFR")</f>
        <v>QSObject:PricingContext:w1~market.667:6625</v>
      </c>
      <c r="D669" s="6" t="str">
        <f>_xll.QS.CONTEXT.ADD.CURVE(C669,"SOFR",$K$2:$K$7,$L$2:$L$7,,,"Actual360","LogLinear",TRUE)</f>
        <v>QSObject:ContextInput:w1~input.qs_context_add_curve.2359132437744.668.3.0:8232</v>
      </c>
      <c r="E669" s="6" t="str">
        <f>_xll.QS.INSTRUMENT.SWAP("swap.667",H669,B669,"USD","SOFR",I669,J669,0,"Actual360","Simple","Annual","Annual","Annual")</f>
        <v>QSObject:Swap:w1~swap.667:9833</v>
      </c>
      <c r="F669" s="6" t="str">
        <f>_xll.QS.TRADE.CREATE("trade.667",E669,A669,"Receive")</f>
        <v>QSObject:SwapTrade:w1~trade.667:18340</v>
      </c>
      <c r="G669" s="3">
        <f>_xll.QS.EVALUATE(C669,F669)</f>
        <v>23076.721662335302</v>
      </c>
      <c r="H669" s="5" t="s">
        <v>1379</v>
      </c>
      <c r="I669" s="7">
        <v>1066700</v>
      </c>
      <c r="J669" s="8">
        <v>3.6700000000000003E-2</v>
      </c>
    </row>
    <row r="670" spans="1:10" x14ac:dyDescent="0.25">
      <c r="A670" s="5" t="s">
        <v>1367</v>
      </c>
      <c r="B670" s="5" t="s">
        <v>1380</v>
      </c>
      <c r="C670" s="6" t="str">
        <f>_xll.QS.CONTEXT.CREATE("market.668",A670,"USD","SOFR")</f>
        <v>QSObject:PricingContext:w1~market.668:1916</v>
      </c>
      <c r="D670" s="6" t="str">
        <f>_xll.QS.CONTEXT.ADD.CURVE(C670,"SOFR",$K$2:$K$7,$L$2:$L$7,,,"Actual360","LogLinear",TRUE)</f>
        <v>QSObject:ContextInput:w1~input.qs_context_add_curve.2359132437744.669.3.0:20030</v>
      </c>
      <c r="E670" s="6" t="str">
        <f>_xll.QS.INSTRUMENT.SWAP("swap.668",H670,B670,"USD","SOFR",I670,J670,0,"Actual360","Simple","Annual","Annual","Annual")</f>
        <v>QSObject:Swap:w1~swap.668:16343</v>
      </c>
      <c r="F670" s="6" t="str">
        <f>_xll.QS.TRADE.CREATE("trade.668",E670,A670,"Receive")</f>
        <v>QSObject:SwapTrade:w1~trade.668:27015</v>
      </c>
      <c r="G670" s="3">
        <f>_xll.QS.EVALUATE(C670,F670)</f>
        <v>23576.781884793942</v>
      </c>
      <c r="H670" s="5" t="s">
        <v>1381</v>
      </c>
      <c r="I670" s="7">
        <v>1066800</v>
      </c>
      <c r="J670" s="8">
        <v>3.6800000000000013E-2</v>
      </c>
    </row>
    <row r="671" spans="1:10" x14ac:dyDescent="0.25">
      <c r="A671" s="5" t="s">
        <v>1369</v>
      </c>
      <c r="B671" s="5" t="s">
        <v>1382</v>
      </c>
      <c r="C671" s="6" t="str">
        <f>_xll.QS.CONTEXT.CREATE("market.669",A671,"USD","SOFR")</f>
        <v>QSObject:PricingContext:w1~market.669:14665</v>
      </c>
      <c r="D671" s="6" t="str">
        <f>_xll.QS.CONTEXT.ADD.CURVE(C671,"SOFR",$K$2:$K$7,$L$2:$L$7,,,"Actual360","LogLinear",TRUE)</f>
        <v>QSObject:ContextInput:w1~input.qs_context_add_curve.2359132437744.670.3.0:22992</v>
      </c>
      <c r="E671" s="6" t="str">
        <f>_xll.QS.INSTRUMENT.SWAP("swap.669",H671,B671,"USD","SOFR",I671,J671,0,"Actual360","Simple","Annual","Annual","Annual")</f>
        <v>QSObject:Swap:w1~swap.669:17374</v>
      </c>
      <c r="F671" s="6" t="str">
        <f>_xll.QS.TRADE.CREATE("trade.669",E671,A671,"Receive")</f>
        <v>QSObject:SwapTrade:w1~trade.669:22991</v>
      </c>
      <c r="G671" s="3">
        <f>_xll.QS.EVALUATE(C671,F671)</f>
        <v>24072.109348472815</v>
      </c>
      <c r="H671" s="5" t="s">
        <v>1383</v>
      </c>
      <c r="I671" s="7">
        <v>1066900</v>
      </c>
      <c r="J671" s="8">
        <v>3.6900000000000002E-2</v>
      </c>
    </row>
    <row r="672" spans="1:10" x14ac:dyDescent="0.25">
      <c r="A672" s="5" t="s">
        <v>1371</v>
      </c>
      <c r="B672" s="5" t="s">
        <v>1384</v>
      </c>
      <c r="C672" s="6" t="str">
        <f>_xll.QS.CONTEXT.CREATE("market.670",A672,"USD","SOFR")</f>
        <v>QSObject:PricingContext:w1~market.670:11493</v>
      </c>
      <c r="D672" s="6" t="str">
        <f>_xll.QS.CONTEXT.ADD.CURVE(C672,"SOFR",$K$2:$K$7,$L$2:$L$7,,,"Actual360","LogLinear",TRUE)</f>
        <v>QSObject:ContextInput:w1~input.qs_context_add_curve.2359132437744.671.3.0:39283</v>
      </c>
      <c r="E672" s="6" t="str">
        <f>_xll.QS.INSTRUMENT.SWAP("swap.670",H672,B672,"USD","SOFR",I672,J672,0,"Actual360","Simple","Annual","Annual","Annual")</f>
        <v>QSObject:Swap:w1~swap.670:5021</v>
      </c>
      <c r="F672" s="6" t="str">
        <f>_xll.QS.TRADE.CREATE("trade.670",E672,A672,"Receive")</f>
        <v>QSObject:SwapTrade:w1~trade.670:18339</v>
      </c>
      <c r="G672" s="3">
        <f>_xll.QS.EVALUATE(C672,F672)</f>
        <v>24391.494374729326</v>
      </c>
      <c r="H672" s="5" t="s">
        <v>1385</v>
      </c>
      <c r="I672" s="7">
        <v>1067000</v>
      </c>
      <c r="J672" s="8">
        <v>3.7000000000000012E-2</v>
      </c>
    </row>
    <row r="673" spans="1:10" x14ac:dyDescent="0.25">
      <c r="A673" s="5" t="s">
        <v>1373</v>
      </c>
      <c r="B673" s="5" t="s">
        <v>1386</v>
      </c>
      <c r="C673" s="6" t="str">
        <f>_xll.QS.CONTEXT.CREATE("market.671",A673,"USD","SOFR")</f>
        <v>QSObject:PricingContext:w1~market.671:16342</v>
      </c>
      <c r="D673" s="6" t="str">
        <f>_xll.QS.CONTEXT.ADD.CURVE(C673,"SOFR",$K$2:$K$7,$L$2:$L$7,,,"Actual360","LogLinear",TRUE)</f>
        <v>QSObject:ContextInput:w1~input.qs_context_add_curve.2359132437744.672.3.0:22990</v>
      </c>
      <c r="E673" s="6" t="str">
        <f>_xll.QS.INSTRUMENT.SWAP("swap.671",H673,B673,"USD","SOFR",I673,J673,0,"Actual360","Simple","Annual","Annual","Annual")</f>
        <v>QSObject:Swap:w1~swap.671:20029</v>
      </c>
      <c r="F673" s="6" t="str">
        <f>_xll.QS.TRADE.CREATE("trade.671",E673,A673,"Receive")</f>
        <v>QSObject:SwapTrade:w1~trade.671:31164</v>
      </c>
      <c r="G673" s="3">
        <f>_xll.QS.EVALUATE(C673,F673)</f>
        <v>24887.927205380132</v>
      </c>
      <c r="H673" s="5" t="s">
        <v>1387</v>
      </c>
      <c r="I673" s="7">
        <v>1067100</v>
      </c>
      <c r="J673" s="8">
        <v>3.7100000000000001E-2</v>
      </c>
    </row>
    <row r="674" spans="1:10" x14ac:dyDescent="0.25">
      <c r="A674" s="5" t="s">
        <v>1375</v>
      </c>
      <c r="B674" s="5" t="s">
        <v>1388</v>
      </c>
      <c r="C674" s="6" t="str">
        <f>_xll.QS.CONTEXT.CREATE("market.672",A674,"USD","SOFR")</f>
        <v>QSObject:PricingContext:w1~market.672:13018</v>
      </c>
      <c r="D674" s="6" t="str">
        <f>_xll.QS.CONTEXT.ADD.CURVE(C674,"SOFR",$K$2:$K$7,$L$2:$L$7,,,"Actual360","LogLinear",TRUE)</f>
        <v>QSObject:ContextInput:w1~input.qs_context_add_curve.2359132437744.673.3.0:23489</v>
      </c>
      <c r="E674" s="6" t="str">
        <f>_xll.QS.INSTRUMENT.SWAP("swap.672",H674,B674,"USD","SOFR",I674,J674,0,"Actual360","Simple","Annual","Annual","Annual")</f>
        <v>QSObject:Swap:w1~swap.672:14664</v>
      </c>
      <c r="F674" s="6" t="str">
        <f>_xll.QS.TRADE.CREATE("trade.672",E674,A674,"Receive")</f>
        <v>QSObject:SwapTrade:w1~trade.672:27014</v>
      </c>
      <c r="G674" s="3">
        <f>_xll.QS.EVALUATE(C674,F674)</f>
        <v>25427.002384437954</v>
      </c>
      <c r="H674" s="5" t="s">
        <v>1389</v>
      </c>
      <c r="I674" s="7">
        <v>1067200</v>
      </c>
      <c r="J674" s="8">
        <v>3.7199999999999997E-2</v>
      </c>
    </row>
    <row r="675" spans="1:10" x14ac:dyDescent="0.25">
      <c r="A675" s="5" t="s">
        <v>1377</v>
      </c>
      <c r="B675" s="5" t="s">
        <v>1390</v>
      </c>
      <c r="C675" s="6" t="str">
        <f>_xll.QS.CONTEXT.CREATE("market.673",A675,"USD","SOFR")</f>
        <v>QSObject:PricingContext:w1~market.673:8231</v>
      </c>
      <c r="D675" s="6" t="str">
        <f>_xll.QS.CONTEXT.ADD.CURVE(C675,"SOFR",$K$2:$K$7,$L$2:$L$7,,,"Actual360","LogLinear",TRUE)</f>
        <v>QSObject:ContextInput:w1~input.qs_context_add_curve.2359132437744.674.3.0:17373</v>
      </c>
      <c r="E675" s="6" t="str">
        <f>_xll.QS.INSTRUMENT.SWAP("swap.673",H675,B675,"USD","SOFR",I675,J675,0,"Actual360","Simple","Annual","Annual","Annual")</f>
        <v>QSObject:Swap:w1~swap.673:11492</v>
      </c>
      <c r="F675" s="6" t="str">
        <f>_xll.QS.TRADE.CREATE("trade.673",E675,A675,"Receive")</f>
        <v>QSObject:SwapTrade:w1~trade.673:25747</v>
      </c>
      <c r="G675" s="3">
        <f>_xll.QS.EVALUATE(C675,F675)</f>
        <v>26084.052428537598</v>
      </c>
      <c r="H675" s="5" t="s">
        <v>1391</v>
      </c>
      <c r="I675" s="7">
        <v>1067300</v>
      </c>
      <c r="J675" s="8">
        <v>3.73E-2</v>
      </c>
    </row>
    <row r="676" spans="1:10" x14ac:dyDescent="0.25">
      <c r="A676" s="5" t="s">
        <v>1379</v>
      </c>
      <c r="B676" s="5" t="s">
        <v>1392</v>
      </c>
      <c r="C676" s="6" t="str">
        <f>_xll.QS.CONTEXT.CREATE("market.674",A676,"USD","SOFR")</f>
        <v>QSObject:PricingContext:w1~market.674:9832</v>
      </c>
      <c r="D676" s="6" t="str">
        <f>_xll.QS.CONTEXT.ADD.CURVE(C676,"SOFR",$K$2:$K$7,$L$2:$L$7,,,"Actual360","LogLinear",TRUE)</f>
        <v>QSObject:ContextInput:w1~input.qs_context_add_curve.2359132437744.675.3.0:16341</v>
      </c>
      <c r="E676" s="6" t="str">
        <f>_xll.QS.INSTRUMENT.SWAP("swap.674",H676,B676,"USD","SOFR",I676,J676,0,"Actual360","Simple","Annual","Annual","Annual")</f>
        <v>QSObject:Swap:w1~swap.674:18338</v>
      </c>
      <c r="F676" s="6" t="str">
        <f>_xll.QS.TRADE.CREATE("trade.674",E676,A676,"Receive")</f>
        <v>QSObject:SwapTrade:w1~trade.674:20028</v>
      </c>
      <c r="G676" s="3">
        <f>_xll.QS.EVALUATE(C676,F676)</f>
        <v>26578.808045554782</v>
      </c>
      <c r="H676" s="5" t="s">
        <v>1393</v>
      </c>
      <c r="I676" s="7">
        <v>1067400</v>
      </c>
      <c r="J676" s="8">
        <v>3.7400000000000003E-2</v>
      </c>
    </row>
    <row r="677" spans="1:10" x14ac:dyDescent="0.25">
      <c r="A677" s="5" t="s">
        <v>1381</v>
      </c>
      <c r="B677" s="5" t="s">
        <v>1394</v>
      </c>
      <c r="C677" s="6" t="str">
        <f>_xll.QS.CONTEXT.CREATE("market.675",A677,"USD","SOFR")</f>
        <v>QSObject:PricingContext:w1~market.675:13017</v>
      </c>
      <c r="D677" s="6" t="str">
        <f>_xll.QS.CONTEXT.ADD.CURVE(C677,"SOFR",$K$2:$K$7,$L$2:$L$7,,,"Actual360","LogLinear",TRUE)</f>
        <v>QSObject:ContextInput:w1~input.qs_context_add_curve.2359132437744.676.3.0:39282</v>
      </c>
      <c r="E677" s="6" t="str">
        <f>_xll.QS.INSTRUMENT.SWAP("swap.675",H677,B677,"USD","SOFR",I677,J677,0,"Actual360","Simple","Annual","Annual","Annual")</f>
        <v>QSObject:Swap:w1~swap.675:3458</v>
      </c>
      <c r="F677" s="6" t="str">
        <f>_xll.QS.TRADE.CREATE("trade.675",E677,A677,"Receive")</f>
        <v>QSObject:SwapTrade:w1~trade.675:6624</v>
      </c>
      <c r="G677" s="3">
        <f>_xll.QS.EVALUATE(C677,F677)</f>
        <v>27082.991187952786</v>
      </c>
      <c r="H677" s="5" t="s">
        <v>1395</v>
      </c>
      <c r="I677" s="7">
        <v>1067500</v>
      </c>
      <c r="J677" s="8">
        <v>3.7500000000000012E-2</v>
      </c>
    </row>
    <row r="678" spans="1:10" x14ac:dyDescent="0.25">
      <c r="A678" s="5" t="s">
        <v>1383</v>
      </c>
      <c r="B678" s="5" t="s">
        <v>1396</v>
      </c>
      <c r="C678" s="6" t="str">
        <f>_xll.QS.CONTEXT.CREATE("market.676",A678,"USD","SOFR")</f>
        <v>QSObject:PricingContext:w1~market.676:17372</v>
      </c>
      <c r="D678" s="6" t="str">
        <f>_xll.QS.CONTEXT.ADD.CURVE(C678,"SOFR",$K$2:$K$7,$L$2:$L$7,,,"Actual360","LogLinear",TRUE)</f>
        <v>QSObject:ContextInput:w1~input.qs_context_add_curve.2359132437744.677.3.0:39281</v>
      </c>
      <c r="E678" s="6" t="str">
        <f>_xll.QS.INSTRUMENT.SWAP("swap.676",H678,B678,"USD","SOFR",I678,J678,0,"Actual360","Simple","Annual","Annual","Annual")</f>
        <v>QSObject:Swap:w1~swap.676:14663</v>
      </c>
      <c r="F678" s="6" t="str">
        <f>_xll.QS.TRADE.CREATE("trade.676",E678,A678,"Receive")</f>
        <v>QSObject:SwapTrade:w1~trade.676:25746</v>
      </c>
      <c r="G678" s="3">
        <f>_xll.QS.EVALUATE(C678,F678)</f>
        <v>27578.58495440918</v>
      </c>
      <c r="H678" s="5" t="s">
        <v>1397</v>
      </c>
      <c r="I678" s="7">
        <v>1067600</v>
      </c>
      <c r="J678" s="8">
        <v>3.7600000000000001E-2</v>
      </c>
    </row>
    <row r="679" spans="1:10" x14ac:dyDescent="0.25">
      <c r="A679" s="5" t="s">
        <v>1385</v>
      </c>
      <c r="B679" s="5" t="s">
        <v>1398</v>
      </c>
      <c r="C679" s="6" t="str">
        <f>_xll.QS.CONTEXT.CREATE("market.677",A679,"USD","SOFR")</f>
        <v>QSObject:PricingContext:w1~market.677:20027</v>
      </c>
      <c r="D679" s="6" t="str">
        <f>_xll.QS.CONTEXT.ADD.CURVE(C679,"SOFR",$K$2:$K$7,$L$2:$L$7,,,"Actual360","LogLinear",TRUE)</f>
        <v>QSObject:ContextInput:w1~input.qs_context_add_curve.2359132437744.678.3.0:39280</v>
      </c>
      <c r="E679" s="6" t="str">
        <f>_xll.QS.INSTRUMENT.SWAP("swap.677",H679,B679,"USD","SOFR",I679,J679,0,"Actual360","Simple","Annual","Annual","Annual")</f>
        <v>QSObject:Swap:w1~swap.677:11491</v>
      </c>
      <c r="F679" s="6" t="str">
        <f>_xll.QS.TRADE.CREATE("trade.677",E679,A679,"Receive")</f>
        <v>QSObject:SwapTrade:w1~trade.677:23488</v>
      </c>
      <c r="G679" s="3">
        <f>_xll.QS.EVALUATE(C679,F679)</f>
        <v>27942.11416646796</v>
      </c>
      <c r="H679" s="5" t="s">
        <v>1399</v>
      </c>
      <c r="I679" s="7">
        <v>1067700</v>
      </c>
      <c r="J679" s="8">
        <v>3.7699999999999997E-2</v>
      </c>
    </row>
    <row r="680" spans="1:10" x14ac:dyDescent="0.25">
      <c r="A680" s="5" t="s">
        <v>1387</v>
      </c>
      <c r="B680" s="5" t="s">
        <v>1400</v>
      </c>
      <c r="C680" s="6" t="str">
        <f>_xll.QS.CONTEXT.CREATE("market.678",A680,"USD","SOFR")</f>
        <v>QSObject:PricingContext:w1~market.678:1915</v>
      </c>
      <c r="D680" s="6" t="str">
        <f>_xll.QS.CONTEXT.ADD.CURVE(C680,"SOFR",$K$2:$K$7,$L$2:$L$7,,,"Actual360","LogLinear",TRUE)</f>
        <v>QSObject:ContextInput:w1~input.qs_context_add_curve.2359132437744.679.3.0:18337</v>
      </c>
      <c r="E680" s="6" t="str">
        <f>_xll.QS.INSTRUMENT.SWAP("swap.678",H680,B680,"USD","SOFR",I680,J680,0,"Actual360","Simple","Annual","Annual","Annual")</f>
        <v>QSObject:Swap:w1~swap.678:13016</v>
      </c>
      <c r="F680" s="6" t="str">
        <f>_xll.QS.TRADE.CREATE("trade.678",E680,A680,"Receive")</f>
        <v>QSObject:SwapTrade:w1~trade.678:25745</v>
      </c>
      <c r="G680" s="3">
        <f>_xll.QS.EVALUATE(C680,F680)</f>
        <v>28439.636851563471</v>
      </c>
      <c r="H680" s="5" t="s">
        <v>1401</v>
      </c>
      <c r="I680" s="7">
        <v>1067800</v>
      </c>
      <c r="J680" s="8">
        <v>3.78E-2</v>
      </c>
    </row>
    <row r="681" spans="1:10" x14ac:dyDescent="0.25">
      <c r="A681" s="5" t="s">
        <v>1389</v>
      </c>
      <c r="B681" s="5" t="s">
        <v>1402</v>
      </c>
      <c r="C681" s="6" t="str">
        <f>_xll.QS.CONTEXT.CREATE("market.679",A681,"USD","SOFR")</f>
        <v>QSObject:PricingContext:w1~market.679:14662</v>
      </c>
      <c r="D681" s="6" t="str">
        <f>_xll.QS.CONTEXT.ADD.CURVE(C681,"SOFR",$K$2:$K$7,$L$2:$L$7,,,"Actual360","LogLinear",TRUE)</f>
        <v>QSObject:ContextInput:w1~input.qs_context_add_curve.2359132437744.680.3.0:25744</v>
      </c>
      <c r="E681" s="6" t="str">
        <f>_xll.QS.INSTRUMENT.SWAP("swap.679",H681,B681,"USD","SOFR",I681,J681,0,"Actual360","Simple","Annual","Annual","Annual")</f>
        <v>QSObject:Swap:w1~swap.679:17371</v>
      </c>
      <c r="F681" s="6" t="str">
        <f>_xll.QS.TRADE.CREATE("trade.679",E681,A681,"Receive")</f>
        <v>QSObject:SwapTrade:w1~trade.679:22989</v>
      </c>
      <c r="G681" s="3">
        <f>_xll.QS.EVALUATE(C681,F681)</f>
        <v>28937.113994712356</v>
      </c>
      <c r="H681" s="5" t="s">
        <v>1403</v>
      </c>
      <c r="I681" s="7">
        <v>1067900</v>
      </c>
      <c r="J681" s="8">
        <v>3.7900000000000003E-2</v>
      </c>
    </row>
    <row r="682" spans="1:10" x14ac:dyDescent="0.25">
      <c r="A682" s="5" t="s">
        <v>1391</v>
      </c>
      <c r="B682" s="5" t="s">
        <v>1404</v>
      </c>
      <c r="C682" s="6" t="str">
        <f>_xll.QS.CONTEXT.CREATE("market.680",A682,"USD","SOFR")</f>
        <v>QSObject:PricingContext:w1~market.680:11490</v>
      </c>
      <c r="D682" s="6" t="str">
        <f>_xll.QS.CONTEXT.ADD.CURVE(C682,"SOFR",$K$2:$K$7,$L$2:$L$7,,,"Actual360","LogLinear",TRUE)</f>
        <v>QSObject:ContextInput:w1~input.qs_context_add_curve.2359132437744.681.3.0:16340</v>
      </c>
      <c r="E682" s="6" t="str">
        <f>_xll.QS.INSTRUMENT.SWAP("swap.680",H682,B682,"USD","SOFR",I682,J682,0,"Actual360","Simple","Annual","Annual","Annual")</f>
        <v>QSObject:Swap:w1~swap.680:8230</v>
      </c>
      <c r="F682" s="6" t="str">
        <f>_xll.QS.TRADE.CREATE("trade.680",E682,A682,"Receive")</f>
        <v>QSObject:SwapTrade:w1~trade.680:20026</v>
      </c>
      <c r="G682" s="3">
        <f>_xll.QS.EVALUATE(C682,F682)</f>
        <v>29510.640467436315</v>
      </c>
      <c r="H682" s="5" t="s">
        <v>1405</v>
      </c>
      <c r="I682" s="7">
        <v>1068000</v>
      </c>
      <c r="J682" s="8">
        <v>3.8000000000000013E-2</v>
      </c>
    </row>
    <row r="683" spans="1:10" x14ac:dyDescent="0.25">
      <c r="A683" s="5" t="s">
        <v>1393</v>
      </c>
      <c r="B683" s="5" t="s">
        <v>1406</v>
      </c>
      <c r="C683" s="6" t="str">
        <f>_xll.QS.CONTEXT.CREATE("market.681",A683,"USD","SOFR")</f>
        <v>QSObject:PricingContext:w1~market.681:18336</v>
      </c>
      <c r="D683" s="6" t="str">
        <f>_xll.QS.CONTEXT.ADD.CURVE(C683,"SOFR",$K$2:$K$7,$L$2:$L$7,,,"Actual360","LogLinear",TRUE)</f>
        <v>QSObject:ContextInput:w1~input.qs_context_add_curve.2359132437744.682.3.0:39279</v>
      </c>
      <c r="E683" s="6" t="str">
        <f>_xll.QS.INSTRUMENT.SWAP("swap.681",H683,B683,"USD","SOFR",I683,J683,0,"Actual360","Simple","Annual","Annual","Annual")</f>
        <v>QSObject:Swap:w1~swap.681:9831</v>
      </c>
      <c r="F683" s="6" t="str">
        <f>_xll.QS.TRADE.CREATE("trade.681",E683,A683,"Receive")</f>
        <v>QSObject:SwapTrade:w1~trade.681:13015</v>
      </c>
      <c r="G683" s="3">
        <f>_xll.QS.EVALUATE(C683,F683)</f>
        <v>30006.023234524262</v>
      </c>
      <c r="H683" s="5" t="s">
        <v>1407</v>
      </c>
      <c r="I683" s="7">
        <v>1068100</v>
      </c>
      <c r="J683" s="8">
        <v>3.8100000000000002E-2</v>
      </c>
    </row>
    <row r="684" spans="1:10" x14ac:dyDescent="0.25">
      <c r="A684" s="5" t="s">
        <v>1395</v>
      </c>
      <c r="B684" s="5" t="s">
        <v>1408</v>
      </c>
      <c r="C684" s="6" t="str">
        <f>_xll.QS.CONTEXT.CREATE("market.682",A684,"USD","SOFR")</f>
        <v>QSObject:PricingContext:w1~market.682:14661</v>
      </c>
      <c r="D684" s="6" t="str">
        <f>_xll.QS.CONTEXT.ADD.CURVE(C684,"SOFR",$K$2:$K$7,$L$2:$L$7,,,"Actual360","LogLinear",TRUE)</f>
        <v>QSObject:ContextInput:w1~input.qs_context_add_curve.2359132437744.683.3.0:39278</v>
      </c>
      <c r="E684" s="6" t="str">
        <f>_xll.QS.INSTRUMENT.SWAP("swap.682",H684,B684,"USD","SOFR",I684,J684,0,"Actual360","Simple","Annual","Annual","Annual")</f>
        <v>QSObject:Swap:w1~swap.682:3457</v>
      </c>
      <c r="F684" s="6" t="str">
        <f>_xll.QS.TRADE.CREATE("trade.682",E684,A684,"Receive")</f>
        <v>QSObject:SwapTrade:w1~trade.682:17370</v>
      </c>
      <c r="G684" s="3">
        <f>_xll.QS.EVALUATE(C684,F684)</f>
        <v>30507.402019012628</v>
      </c>
      <c r="H684" s="5" t="s">
        <v>1409</v>
      </c>
      <c r="I684" s="7">
        <v>1068200</v>
      </c>
      <c r="J684" s="8">
        <v>3.8199999999999998E-2</v>
      </c>
    </row>
    <row r="685" spans="1:10" x14ac:dyDescent="0.25">
      <c r="A685" s="5" t="s">
        <v>1397</v>
      </c>
      <c r="B685" s="5" t="s">
        <v>1410</v>
      </c>
      <c r="C685" s="6" t="str">
        <f>_xll.QS.CONTEXT.CREATE("market.683",A685,"USD","SOFR")</f>
        <v>QSObject:PricingContext:w1~market.683:16339</v>
      </c>
      <c r="D685" s="6" t="str">
        <f>_xll.QS.CONTEXT.ADD.CURVE(C685,"SOFR",$K$2:$K$7,$L$2:$L$7,,,"Actual360","LogLinear",TRUE)</f>
        <v>QSObject:ContextInput:w1~input.qs_context_add_curve.2359132437744.684.3.0:39277</v>
      </c>
      <c r="E685" s="6" t="str">
        <f>_xll.QS.INSTRUMENT.SWAP("swap.683",H685,B685,"USD","SOFR",I685,J685,0,"Actual360","Simple","Annual","Annual","Annual")</f>
        <v>QSObject:Swap:w1~swap.683:5020</v>
      </c>
      <c r="F685" s="6" t="str">
        <f>_xll.QS.TRADE.CREATE("trade.683",E685,A685,"Receive")</f>
        <v>QSObject:SwapTrade:w1~trade.683:20025</v>
      </c>
      <c r="G685" s="3">
        <f>_xll.QS.EVALUATE(C685,F685)</f>
        <v>31004.04873988382</v>
      </c>
      <c r="H685" s="5" t="s">
        <v>1411</v>
      </c>
      <c r="I685" s="7">
        <v>1068300</v>
      </c>
      <c r="J685" s="8">
        <v>3.8300000000000001E-2</v>
      </c>
    </row>
    <row r="686" spans="1:10" x14ac:dyDescent="0.25">
      <c r="A686" s="5" t="s">
        <v>1399</v>
      </c>
      <c r="B686" s="5" t="s">
        <v>1412</v>
      </c>
      <c r="C686" s="6" t="str">
        <f>_xll.QS.CONTEXT.CREATE("market.684",A686,"USD","SOFR")</f>
        <v>QSObject:PricingContext:w1~market.684:18335</v>
      </c>
      <c r="D686" s="6" t="str">
        <f>_xll.QS.CONTEXT.ADD.CURVE(C686,"SOFR",$K$2:$K$7,$L$2:$L$7,,,"Actual360","LogLinear",TRUE)</f>
        <v>QSObject:ContextInput:w1~input.qs_context_add_curve.2359132437744.685.3.0:39276</v>
      </c>
      <c r="E686" s="6" t="str">
        <f>_xll.QS.INSTRUMENT.SWAP("swap.684",H686,B686,"USD","SOFR",I686,J686,0,"Actual360","Simple","Annual","Annual","Annual")</f>
        <v>QSObject:Swap:w1~swap.684:1914</v>
      </c>
      <c r="F686" s="6" t="str">
        <f>_xll.QS.TRADE.CREATE("trade.684",E686,A686,"Receive")</f>
        <v>QSObject:SwapTrade:w1~trade.684:9830</v>
      </c>
      <c r="G686" s="3">
        <f>_xll.QS.EVALUATE(C686,F686)</f>
        <v>31367.420255607416</v>
      </c>
      <c r="H686" s="5" t="s">
        <v>1413</v>
      </c>
      <c r="I686" s="7">
        <v>1068400</v>
      </c>
      <c r="J686" s="8">
        <v>3.8399999999999997E-2</v>
      </c>
    </row>
    <row r="687" spans="1:10" x14ac:dyDescent="0.25">
      <c r="A687" s="5" t="s">
        <v>1401</v>
      </c>
      <c r="B687" s="5" t="s">
        <v>1414</v>
      </c>
      <c r="C687" s="6" t="str">
        <f>_xll.QS.CONTEXT.CREATE("market.685",A687,"USD","SOFR")</f>
        <v>QSObject:PricingContext:w1~market.685:13014</v>
      </c>
      <c r="D687" s="6" t="str">
        <f>_xll.QS.CONTEXT.ADD.CURVE(C687,"SOFR",$K$2:$K$7,$L$2:$L$7,,,"Actual360","LogLinear",TRUE)</f>
        <v>QSObject:ContextInput:w1~input.qs_context_add_curve.2359132437744.686.3.0:14660</v>
      </c>
      <c r="E687" s="6" t="str">
        <f>_xll.QS.INSTRUMENT.SWAP("swap.685",H687,B687,"USD","SOFR",I687,J687,0,"Actual360","Simple","Annual","Annual","Annual")</f>
        <v>QSObject:Swap:w1~swap.685:6623</v>
      </c>
      <c r="F687" s="6" t="str">
        <f>_xll.QS.TRADE.CREATE("trade.685",E687,A687,"Receive")</f>
        <v>QSObject:SwapTrade:w1~trade.685:17369</v>
      </c>
      <c r="G687" s="3">
        <f>_xll.QS.EVALUATE(C687,F687)</f>
        <v>31865.715206065583</v>
      </c>
      <c r="H687" s="5" t="s">
        <v>1415</v>
      </c>
      <c r="I687" s="7">
        <v>1068500</v>
      </c>
      <c r="J687" s="8">
        <v>3.8500000000000013E-2</v>
      </c>
    </row>
    <row r="688" spans="1:10" x14ac:dyDescent="0.25">
      <c r="A688" s="5" t="s">
        <v>1403</v>
      </c>
      <c r="B688" s="5" t="s">
        <v>1416</v>
      </c>
      <c r="C688" s="6" t="str">
        <f>_xll.QS.CONTEXT.CREATE("market.686",A688,"USD","SOFR")</f>
        <v>QSObject:PricingContext:w1~market.686:11489</v>
      </c>
      <c r="D688" s="6" t="str">
        <f>_xll.QS.CONTEXT.ADD.CURVE(C688,"SOFR",$K$2:$K$7,$L$2:$L$7,,,"Actual360","LogLinear",TRUE)</f>
        <v>QSObject:ContextInput:w1~input.qs_context_add_curve.2359132437744.687.3.0:16338</v>
      </c>
      <c r="E688" s="6" t="str">
        <f>_xll.QS.INSTRUMENT.SWAP("swap.686",H688,B688,"USD","SOFR",I688,J688,0,"Actual360","Simple","Annual","Annual","Annual")</f>
        <v>QSObject:Swap:w1~swap.686:3456</v>
      </c>
      <c r="F688" s="6" t="str">
        <f>_xll.QS.TRADE.CREATE("trade.686",E688,A688,"Receive")</f>
        <v>QSObject:SwapTrade:w1~trade.686:20024</v>
      </c>
      <c r="G688" s="3">
        <f>_xll.QS.EVALUATE(C688,F688)</f>
        <v>32407.094589106262</v>
      </c>
      <c r="H688" s="5" t="s">
        <v>1417</v>
      </c>
      <c r="I688" s="7">
        <v>1068600</v>
      </c>
      <c r="J688" s="8">
        <v>3.8600000000000002E-2</v>
      </c>
    </row>
    <row r="689" spans="1:10" x14ac:dyDescent="0.25">
      <c r="A689" s="5" t="s">
        <v>1405</v>
      </c>
      <c r="B689" s="5" t="s">
        <v>1418</v>
      </c>
      <c r="C689" s="6" t="str">
        <f>_xll.QS.CONTEXT.CREATE("market.687",A689,"USD","SOFR")</f>
        <v>QSObject:PricingContext:w1~market.687:8229</v>
      </c>
      <c r="D689" s="6" t="str">
        <f>_xll.QS.CONTEXT.ADD.CURVE(C689,"SOFR",$K$2:$K$7,$L$2:$L$7,,,"Actual360","LogLinear",TRUE)</f>
        <v>QSObject:ContextInput:w1~input.qs_context_add_curve.2359132437744.688.3.0:39275</v>
      </c>
      <c r="E689" s="6" t="str">
        <f>_xll.QS.INSTRUMENT.SWAP("swap.687",H689,B689,"USD","SOFR",I689,J689,0,"Actual360","Simple","Annual","Annual","Annual")</f>
        <v>QSObject:Swap:w1~swap.687:18334</v>
      </c>
      <c r="F689" s="6" t="str">
        <f>_xll.QS.TRADE.CREATE("trade.687",E689,A689,"Receive")</f>
        <v>QSObject:SwapTrade:w1~trade.687:29024</v>
      </c>
      <c r="G689" s="3">
        <f>_xll.QS.EVALUATE(C689,F689)</f>
        <v>32981.352401968732</v>
      </c>
      <c r="H689" s="5" t="s">
        <v>1419</v>
      </c>
      <c r="I689" s="7">
        <v>1068700</v>
      </c>
      <c r="J689" s="8">
        <v>3.8700000000000012E-2</v>
      </c>
    </row>
    <row r="690" spans="1:10" x14ac:dyDescent="0.25">
      <c r="A690" s="5" t="s">
        <v>1407</v>
      </c>
      <c r="B690" s="5" t="s">
        <v>1420</v>
      </c>
      <c r="C690" s="6" t="str">
        <f>_xll.QS.CONTEXT.CREATE("market.688",A690,"USD","SOFR")</f>
        <v>QSObject:PricingContext:w1~market.688:14659</v>
      </c>
      <c r="D690" s="6" t="str">
        <f>_xll.QS.CONTEXT.ADD.CURVE(C690,"SOFR",$K$2:$K$7,$L$2:$L$7,,,"Actual360","LogLinear",TRUE)</f>
        <v>QSObject:ContextInput:w1~input.qs_context_add_curve.2359132437744.689.3.0:39274</v>
      </c>
      <c r="E690" s="6" t="str">
        <f>_xll.QS.INSTRUMENT.SWAP("swap.688",H690,B690,"USD","SOFR",I690,J690,0,"Actual360","Simple","Annual","Annual","Annual")</f>
        <v>QSObject:Swap:w1~swap.688:9829</v>
      </c>
      <c r="F690" s="6" t="str">
        <f>_xll.QS.TRADE.CREATE("trade.688",E690,A690,"Receive")</f>
        <v>QSObject:SwapTrade:w1~trade.688:11488</v>
      </c>
      <c r="G690" s="3">
        <f>_xll.QS.EVALUATE(C690,F690)</f>
        <v>33477.468294256265</v>
      </c>
      <c r="H690" s="5" t="s">
        <v>1421</v>
      </c>
      <c r="I690" s="7">
        <v>1068800</v>
      </c>
      <c r="J690" s="8">
        <v>3.8800000000000001E-2</v>
      </c>
    </row>
    <row r="691" spans="1:10" x14ac:dyDescent="0.25">
      <c r="A691" s="5" t="s">
        <v>1409</v>
      </c>
      <c r="B691" s="5" t="s">
        <v>1422</v>
      </c>
      <c r="C691" s="6" t="str">
        <f>_xll.QS.CONTEXT.CREATE("market.689",A691,"USD","SOFR")</f>
        <v>QSObject:PricingContext:w1~market.689:16337</v>
      </c>
      <c r="D691" s="6" t="str">
        <f>_xll.QS.CONTEXT.ADD.CURVE(C691,"SOFR",$K$2:$K$7,$L$2:$L$7,,,"Actual360","LogLinear",TRUE)</f>
        <v>QSObject:ContextInput:w1~input.qs_context_add_curve.2359132437744.690.3.0:20023</v>
      </c>
      <c r="E691" s="6" t="str">
        <f>_xll.QS.INSTRUMENT.SWAP("swap.689",H691,B691,"USD","SOFR",I691,J691,0,"Actual360","Simple","Annual","Annual","Annual")</f>
        <v>QSObject:Swap:w1~swap.689:17368</v>
      </c>
      <c r="F691" s="6" t="str">
        <f>_xll.QS.TRADE.CREATE("trade.689",E691,A691,"Receive")</f>
        <v>QSObject:SwapTrade:w1~trade.689:24233</v>
      </c>
      <c r="G691" s="3">
        <f>_xll.QS.EVALUATE(C691,F691)</f>
        <v>33935.445137842267</v>
      </c>
      <c r="H691" s="5" t="s">
        <v>1423</v>
      </c>
      <c r="I691" s="7">
        <v>1068900</v>
      </c>
      <c r="J691" s="8">
        <v>3.8899999999999997E-2</v>
      </c>
    </row>
    <row r="692" spans="1:10" x14ac:dyDescent="0.25">
      <c r="A692" s="5" t="s">
        <v>1411</v>
      </c>
      <c r="B692" s="5" t="s">
        <v>1424</v>
      </c>
      <c r="C692" s="6" t="str">
        <f>_xll.QS.CONTEXT.CREATE("market.690",A692,"USD","SOFR")</f>
        <v>QSObject:PricingContext:w1~market.690:13013</v>
      </c>
      <c r="D692" s="6" t="str">
        <f>_xll.QS.CONTEXT.ADD.CURVE(C692,"SOFR",$K$2:$K$7,$L$2:$L$7,,,"Actual360","LogLinear",TRUE)</f>
        <v>QSObject:ContextInput:w1~input.qs_context_add_curve.2359132437744.691.3.0:25743</v>
      </c>
      <c r="E692" s="6" t="str">
        <f>_xll.QS.INSTRUMENT.SWAP("swap.690",H692,B692,"USD","SOFR",I692,J692,0,"Actual360","Simple","Annual","Annual","Annual")</f>
        <v>QSObject:Swap:w1~swap.690:18333</v>
      </c>
      <c r="F692" s="6" t="str">
        <f>_xll.QS.TRADE.CREATE("trade.690",E692,A692,"Receive")</f>
        <v>QSObject:SwapTrade:w1~trade.690:24232</v>
      </c>
      <c r="G692" s="3">
        <f>_xll.QS.EVALUATE(C692,F692)</f>
        <v>34516.142795535023</v>
      </c>
      <c r="H692" s="5" t="s">
        <v>1425</v>
      </c>
      <c r="I692" s="7">
        <v>1069000</v>
      </c>
      <c r="J692" s="8">
        <v>3.9000000000000007E-2</v>
      </c>
    </row>
    <row r="693" spans="1:10" x14ac:dyDescent="0.25">
      <c r="A693" s="5" t="s">
        <v>1413</v>
      </c>
      <c r="B693" s="5" t="s">
        <v>1426</v>
      </c>
      <c r="C693" s="6" t="str">
        <f>_xll.QS.CONTEXT.CREATE("market.691",A693,"USD","SOFR")</f>
        <v>QSObject:PricingContext:w1~market.691:8228</v>
      </c>
      <c r="D693" s="6" t="str">
        <f>_xll.QS.CONTEXT.ADD.CURVE(C693,"SOFR",$K$2:$K$7,$L$2:$L$7,,,"Actual360","LogLinear",TRUE)</f>
        <v>QSObject:ContextInput:w1~input.qs_context_add_curve.2359132437744.692.3.0:14658</v>
      </c>
      <c r="E693" s="6" t="str">
        <f>_xll.QS.INSTRUMENT.SWAP("swap.691",H693,B693,"USD","SOFR",I693,J693,0,"Actual360","Simple","Annual","Annual","Annual")</f>
        <v>QSObject:Swap:w1~swap.691:3455</v>
      </c>
      <c r="F693" s="6" t="str">
        <f>_xll.QS.TRADE.CREATE("trade.691",E693,A693,"Receive")</f>
        <v>QSObject:SwapTrade:w1~trade.691:20022</v>
      </c>
      <c r="G693" s="3">
        <f>_xll.QS.EVALUATE(C693,F693)</f>
        <v>35015.330797044866</v>
      </c>
      <c r="H693" s="5" t="s">
        <v>1427</v>
      </c>
      <c r="I693" s="7">
        <v>1069100</v>
      </c>
      <c r="J693" s="8">
        <v>3.9100000000000003E-2</v>
      </c>
    </row>
    <row r="694" spans="1:10" x14ac:dyDescent="0.25">
      <c r="A694" s="5" t="s">
        <v>1415</v>
      </c>
      <c r="B694" s="5" t="s">
        <v>1428</v>
      </c>
      <c r="C694" s="6" t="str">
        <f>_xll.QS.CONTEXT.CREATE("market.692",A694,"USD","SOFR")</f>
        <v>QSObject:PricingContext:w1~market.692:17367</v>
      </c>
      <c r="D694" s="6" t="str">
        <f>_xll.QS.CONTEXT.ADD.CURVE(C694,"SOFR",$K$2:$K$7,$L$2:$L$7,,,"Actual360","LogLinear",TRUE)</f>
        <v>QSObject:ContextInput:w1~input.qs_context_add_curve.2359132437744.693.3.0:39273</v>
      </c>
      <c r="E694" s="6" t="str">
        <f>_xll.QS.INSTRUMENT.SWAP("swap.692",H694,B694,"USD","SOFR",I694,J694,0,"Actual360","Simple","Annual","Annual","Annual")</f>
        <v>QSObject:Swap:w1~swap.692:11487</v>
      </c>
      <c r="F694" s="6" t="str">
        <f>_xll.QS.TRADE.CREATE("trade.692",E694,A694,"Receive")</f>
        <v>QSObject:SwapTrade:w1~trade.692:29023</v>
      </c>
      <c r="G694" s="3">
        <f>_xll.QS.EVALUATE(C694,F694)</f>
        <v>35378.823958999186</v>
      </c>
      <c r="H694" s="5" t="s">
        <v>1429</v>
      </c>
      <c r="I694" s="7">
        <v>1069200</v>
      </c>
      <c r="J694" s="8">
        <v>3.9200000000000013E-2</v>
      </c>
    </row>
    <row r="695" spans="1:10" x14ac:dyDescent="0.25">
      <c r="A695" s="5" t="s">
        <v>1417</v>
      </c>
      <c r="B695" s="5" t="s">
        <v>1430</v>
      </c>
      <c r="C695" s="6" t="str">
        <f>_xll.QS.CONTEXT.CREATE("market.693",A695,"USD","SOFR")</f>
        <v>QSObject:PricingContext:w1~market.693:6622</v>
      </c>
      <c r="D695" s="6" t="str">
        <f>_xll.QS.CONTEXT.ADD.CURVE(C695,"SOFR",$K$2:$K$7,$L$2:$L$7,,,"Actual360","LogLinear",TRUE)</f>
        <v>QSObject:ContextInput:w1~input.qs_context_add_curve.2359132437744.694.3.0:16336</v>
      </c>
      <c r="E695" s="6" t="str">
        <f>_xll.QS.INSTRUMENT.SWAP("swap.693",H695,B695,"USD","SOFR",I695,J695,0,"Actual360","Simple","Annual","Annual","Annual")</f>
        <v>QSObject:Swap:w1~swap.693:13012</v>
      </c>
      <c r="F695" s="6" t="str">
        <f>_xll.QS.TRADE.CREATE("trade.693",E695,A695,"Receive")</f>
        <v>QSObject:SwapTrade:w1~trade.693:29022</v>
      </c>
      <c r="G695" s="3">
        <f>_xll.QS.EVALUATE(C695,F695)</f>
        <v>36000.150999868121</v>
      </c>
      <c r="H695" s="5" t="s">
        <v>1431</v>
      </c>
      <c r="I695" s="7">
        <v>1069300</v>
      </c>
      <c r="J695" s="8">
        <v>3.9300000000000002E-2</v>
      </c>
    </row>
    <row r="696" spans="1:10" x14ac:dyDescent="0.25">
      <c r="A696" s="5" t="s">
        <v>1419</v>
      </c>
      <c r="B696" s="5" t="s">
        <v>1432</v>
      </c>
      <c r="C696" s="6" t="str">
        <f>_xll.QS.CONTEXT.CREATE("market.694",A696,"USD","SOFR")</f>
        <v>QSObject:PricingContext:w1~market.694:14657</v>
      </c>
      <c r="D696" s="6" t="str">
        <f>_xll.QS.CONTEXT.ADD.CURVE(C696,"SOFR",$K$2:$K$7,$L$2:$L$7,,,"Actual360","LogLinear",TRUE)</f>
        <v>QSObject:ContextInput:w1~input.qs_context_add_curve.2359132437744.695.3.0:39272</v>
      </c>
      <c r="E696" s="6" t="str">
        <f>_xll.QS.INSTRUMENT.SWAP("swap.694",H696,B696,"USD","SOFR",I696,J696,0,"Actual360","Simple","Annual","Annual","Annual")</f>
        <v>QSObject:Swap:w1~swap.694:18332</v>
      </c>
      <c r="F696" s="6" t="str">
        <f>_xll.QS.TRADE.CREATE("trade.694",E696,A696,"Receive")</f>
        <v>QSObject:SwapTrade:w1~trade.694:29021</v>
      </c>
      <c r="G696" s="3">
        <f>_xll.QS.EVALUATE(C696,F696)</f>
        <v>36499.357909371261</v>
      </c>
      <c r="H696" s="5" t="s">
        <v>1433</v>
      </c>
      <c r="I696" s="7">
        <v>1069400</v>
      </c>
      <c r="J696" s="8">
        <v>3.9399999999999998E-2</v>
      </c>
    </row>
    <row r="697" spans="1:10" x14ac:dyDescent="0.25">
      <c r="A697" s="5" t="s">
        <v>1421</v>
      </c>
      <c r="B697" s="5" t="s">
        <v>1434</v>
      </c>
      <c r="C697" s="6" t="str">
        <f>_xll.QS.CONTEXT.CREATE("market.695",A697,"USD","SOFR")</f>
        <v>QSObject:PricingContext:w1~market.695:6621</v>
      </c>
      <c r="D697" s="6" t="str">
        <f>_xll.QS.CONTEXT.ADD.CURVE(C697,"SOFR",$K$2:$K$7,$L$2:$L$7,,,"Actual360","LogLinear",TRUE)</f>
        <v>QSObject:ContextInput:w1~input.qs_context_add_curve.2359132437744.696.3.0:20021</v>
      </c>
      <c r="E697" s="6" t="str">
        <f>_xll.QS.INSTRUMENT.SWAP("swap.695",H697,B697,"USD","SOFR",I697,J697,0,"Actual360","Simple","Annual","Annual","Annual")</f>
        <v>QSObject:Swap:w1~swap.695:9828</v>
      </c>
      <c r="F697" s="6" t="str">
        <f>_xll.QS.TRADE.CREATE("trade.695",E697,A697,"Receive")</f>
        <v>QSObject:SwapTrade:w1~trade.695:17366</v>
      </c>
      <c r="G697" s="3">
        <f>_xll.QS.EVALUATE(C697,F697)</f>
        <v>37001.785742397202</v>
      </c>
      <c r="H697" s="5" t="s">
        <v>1435</v>
      </c>
      <c r="I697" s="7">
        <v>1069500</v>
      </c>
      <c r="J697" s="8">
        <v>3.9500000000000007E-2</v>
      </c>
    </row>
    <row r="698" spans="1:10" x14ac:dyDescent="0.25">
      <c r="A698" s="5" t="s">
        <v>1423</v>
      </c>
      <c r="B698" s="5" t="s">
        <v>1436</v>
      </c>
      <c r="C698" s="6" t="str">
        <f>_xll.QS.CONTEXT.CREATE("market.696",A698,"USD","SOFR")</f>
        <v>QSObject:PricingContext:w1~market.696:11486</v>
      </c>
      <c r="D698" s="6" t="str">
        <f>_xll.QS.CONTEXT.ADD.CURVE(C698,"SOFR",$K$2:$K$7,$L$2:$L$7,,,"Actual360","LogLinear",TRUE)</f>
        <v>QSObject:ContextInput:w1~input.qs_context_add_curve.2359132437744.697.3.0:30416</v>
      </c>
      <c r="E698" s="6" t="str">
        <f>_xll.QS.INSTRUMENT.SWAP("swap.696",H698,B698,"USD","SOFR",I698,J698,0,"Actual360","Simple","Annual","Annual","Annual")</f>
        <v>QSObject:Swap:w1~swap.696:16335</v>
      </c>
      <c r="F698" s="6" t="str">
        <f>_xll.QS.TRADE.CREATE("trade.696",E698,A698,"Receive")</f>
        <v>QSObject:SwapTrade:w1~trade.696:25742</v>
      </c>
      <c r="G698" s="3">
        <f>_xll.QS.EVALUATE(C698,F698)</f>
        <v>37456.107813717899</v>
      </c>
      <c r="H698" s="5" t="s">
        <v>1437</v>
      </c>
      <c r="I698" s="7">
        <v>1069600</v>
      </c>
      <c r="J698" s="8">
        <v>3.9600000000000003E-2</v>
      </c>
    </row>
    <row r="699" spans="1:10" x14ac:dyDescent="0.25">
      <c r="A699" s="5" t="s">
        <v>1425</v>
      </c>
      <c r="B699" s="5" t="s">
        <v>1438</v>
      </c>
      <c r="C699" s="6" t="str">
        <f>_xll.QS.CONTEXT.CREATE("market.697",A699,"USD","SOFR")</f>
        <v>QSObject:PricingContext:w1~market.697:5019</v>
      </c>
      <c r="D699" s="6" t="str">
        <f>_xll.QS.CONTEXT.ADD.CURVE(C699,"SOFR",$K$2:$K$7,$L$2:$L$7,,,"Actual360","LogLinear",TRUE)</f>
        <v>QSObject:ContextInput:w1~input.qs_context_add_curve.2359132437744.698.3.0:18331</v>
      </c>
      <c r="E699" s="6" t="str">
        <f>_xll.QS.INSTRUMENT.SWAP("swap.697",H699,B699,"USD","SOFR",I699,J699,0,"Actual360","Simple","Annual","Annual","Annual")</f>
        <v>QSObject:Swap:w1~swap.697:14656</v>
      </c>
      <c r="F699" s="6" t="str">
        <f>_xll.QS.TRADE.CREATE("trade.697",E699,A699,"Receive")</f>
        <v>QSObject:SwapTrade:w1~trade.697:25741</v>
      </c>
      <c r="G699" s="3">
        <f>_xll.QS.EVALUATE(C699,F699)</f>
        <v>37954.073860623364</v>
      </c>
      <c r="H699" s="5" t="s">
        <v>1439</v>
      </c>
      <c r="I699" s="7">
        <v>1069700</v>
      </c>
      <c r="J699" s="8">
        <v>3.9700000000000013E-2</v>
      </c>
    </row>
    <row r="700" spans="1:10" x14ac:dyDescent="0.25">
      <c r="A700" s="5" t="s">
        <v>1427</v>
      </c>
      <c r="B700" s="5" t="s">
        <v>1440</v>
      </c>
      <c r="C700" s="6" t="str">
        <f>_xll.QS.CONTEXT.CREATE("market.698",A700,"USD","SOFR")</f>
        <v>QSObject:PricingContext:w1~market.698:20020</v>
      </c>
      <c r="D700" s="6" t="str">
        <f>_xll.QS.CONTEXT.ADD.CURVE(C700,"SOFR",$K$2:$K$7,$L$2:$L$7,,,"Actual360","LogLinear",TRUE)</f>
        <v>QSObject:ContextInput:w1~input.qs_context_add_curve.2359132437744.699.3.0:39271</v>
      </c>
      <c r="E700" s="6" t="str">
        <f>_xll.QS.INSTRUMENT.SWAP("swap.698",H700,B700,"USD","SOFR",I700,J700,0,"Actual360","Simple","Annual","Annual","Annual")</f>
        <v>QSObject:Swap:w1~swap.698:3454</v>
      </c>
      <c r="F700" s="6" t="str">
        <f>_xll.QS.TRADE.CREATE("trade.698",E700,A700,"Receive")</f>
        <v>QSObject:SwapTrade:w1~trade.698:17365</v>
      </c>
      <c r="G700" s="3">
        <f>_xll.QS.EVALUATE(C700,F700)</f>
        <v>38317.191309341288</v>
      </c>
      <c r="H700" s="5" t="s">
        <v>1441</v>
      </c>
      <c r="I700" s="7">
        <v>1069800</v>
      </c>
      <c r="J700" s="8">
        <v>3.9800000000000002E-2</v>
      </c>
    </row>
    <row r="701" spans="1:10" x14ac:dyDescent="0.25">
      <c r="A701" s="5" t="s">
        <v>1429</v>
      </c>
      <c r="B701" s="5" t="s">
        <v>1442</v>
      </c>
      <c r="C701" s="6" t="str">
        <f>_xll.QS.CONTEXT.CREATE("market.699",A701,"USD","SOFR")</f>
        <v>QSObject:PricingContext:w1~market.699:8227</v>
      </c>
      <c r="D701" s="6" t="str">
        <f>_xll.QS.CONTEXT.ADD.CURVE(C701,"SOFR",$K$2:$K$7,$L$2:$L$7,,,"Actual360","LogLinear",TRUE)</f>
        <v>QSObject:ContextInput:w1~input.qs_context_add_curve.2359132437744.700.3.0:9827</v>
      </c>
      <c r="E701" s="6" t="str">
        <f>_xll.QS.INSTRUMENT.SWAP("swap.699",H701,B701,"USD","SOFR",I701,J701,0,"Actual360","Simple","Annual","Annual","Annual")</f>
        <v>QSObject:Swap:w1~swap.699:11485</v>
      </c>
      <c r="F701" s="6" t="str">
        <f>_xll.QS.TRADE.CREATE("trade.699",E701,A701,"Receive")</f>
        <v>QSObject:SwapTrade:w1~trade.699:16334</v>
      </c>
      <c r="G701" s="3">
        <f>_xll.QS.EVALUATE(C701,F701)</f>
        <v>38817.404354580707</v>
      </c>
      <c r="H701" s="5" t="s">
        <v>1443</v>
      </c>
      <c r="I701" s="7">
        <v>1069900</v>
      </c>
      <c r="J701" s="8">
        <v>3.9899999999999998E-2</v>
      </c>
    </row>
    <row r="702" spans="1:10" x14ac:dyDescent="0.25">
      <c r="A702" s="5" t="s">
        <v>1431</v>
      </c>
      <c r="B702" s="5" t="s">
        <v>1444</v>
      </c>
      <c r="C702" s="6" t="str">
        <f>_xll.QS.CONTEXT.CREATE("market.700",A702,"USD","SOFR")</f>
        <v>QSObject:PricingContext:w1~market.700:5018</v>
      </c>
      <c r="D702" s="6" t="str">
        <f>_xll.QS.CONTEXT.ADD.CURVE(C702,"SOFR",$K$2:$K$7,$L$2:$L$7,,,"Actual360","LogLinear",TRUE)</f>
        <v>QSObject:ContextInput:w1~input.qs_context_add_curve.2359132437744.701.3.0:18330</v>
      </c>
      <c r="E702" s="6" t="str">
        <f>_xll.QS.INSTRUMENT.SWAP("swap.700",H702,B702,"USD","SOFR",I702,J702,0,"Actual360","Simple","Annual","Annual","Annual")</f>
        <v>QSObject:Swap:w1~swap.700:13011</v>
      </c>
      <c r="F702" s="6" t="str">
        <f>_xll.QS.TRADE.CREATE("trade.700",E702,A702,"Receive")</f>
        <v>QSObject:SwapTrade:w1~trade.700:14655</v>
      </c>
      <c r="G702" s="3">
        <f>_xll.QS.EVALUATE(C702,F702)</f>
        <v>14677.96572043484</v>
      </c>
      <c r="H702" s="5" t="s">
        <v>1445</v>
      </c>
      <c r="I702" s="7">
        <v>1070000</v>
      </c>
      <c r="J702" s="8">
        <v>3.5000000000000003E-2</v>
      </c>
    </row>
    <row r="703" spans="1:10" x14ac:dyDescent="0.25">
      <c r="A703" s="5" t="s">
        <v>1433</v>
      </c>
      <c r="B703" s="5" t="s">
        <v>1446</v>
      </c>
      <c r="C703" s="6" t="str">
        <f>_xll.QS.CONTEXT.CREATE("market.701",A703,"USD","SOFR")</f>
        <v>QSObject:PricingContext:w1~market.701:3453</v>
      </c>
      <c r="D703" s="6" t="str">
        <f>_xll.QS.CONTEXT.ADD.CURVE(C703,"SOFR",$K$2:$K$7,$L$2:$L$7,,,"Actual360","LogLinear",TRUE)</f>
        <v>QSObject:ContextInput:w1~input.qs_context_add_curve.2359132437744.702.3.0:17364</v>
      </c>
      <c r="E703" s="6" t="str">
        <f>_xll.QS.INSTRUMENT.SWAP("swap.701",H703,B703,"USD","SOFR",I703,J703,0,"Actual360","Simple","Annual","Annual","Annual")</f>
        <v>QSObject:Swap:w1~swap.701:20019</v>
      </c>
      <c r="F703" s="6" t="str">
        <f>_xll.QS.TRADE.CREATE("trade.701",E703,A703,"Receive")</f>
        <v>QSObject:SwapTrade:w1~trade.701:24231</v>
      </c>
      <c r="G703" s="3">
        <f>_xll.QS.EVALUATE(C703,F703)</f>
        <v>15251.064094490721</v>
      </c>
      <c r="H703" s="5" t="s">
        <v>1447</v>
      </c>
      <c r="I703" s="7">
        <v>1070100</v>
      </c>
      <c r="J703" s="8">
        <v>3.5100000000000013E-2</v>
      </c>
    </row>
    <row r="704" spans="1:10" x14ac:dyDescent="0.25">
      <c r="A704" s="5" t="s">
        <v>1435</v>
      </c>
      <c r="B704" s="5" t="s">
        <v>1448</v>
      </c>
      <c r="C704" s="6" t="str">
        <f>_xll.QS.CONTEXT.CREATE("market.702",A704,"USD","SOFR")</f>
        <v>QSObject:PricingContext:w1~market.702:9826</v>
      </c>
      <c r="D704" s="6" t="str">
        <f>_xll.QS.CONTEXT.ADD.CURVE(C704,"SOFR",$K$2:$K$7,$L$2:$L$7,,,"Actual360","LogLinear",TRUE)</f>
        <v>QSObject:ContextInput:w1~input.qs_context_add_curve.2359132437744.703.3.0:39270</v>
      </c>
      <c r="E704" s="6" t="str">
        <f>_xll.QS.INSTRUMENT.SWAP("swap.702",H704,B704,"USD","SOFR",I704,J704,0,"Actual360","Simple","Annual","Annual","Annual")</f>
        <v>QSObject:Swap:w1~swap.702:1913</v>
      </c>
      <c r="F704" s="6" t="str">
        <f>_xll.QS.TRADE.CREATE("trade.702",E704,A704,"Receive")</f>
        <v>QSObject:SwapTrade:w1~trade.702:16333</v>
      </c>
      <c r="G704" s="3">
        <f>_xll.QS.EVALUATE(C704,F704)</f>
        <v>15746.105650856927</v>
      </c>
      <c r="H704" s="5" t="s">
        <v>1449</v>
      </c>
      <c r="I704" s="7">
        <v>1070200</v>
      </c>
      <c r="J704" s="8">
        <v>3.5200000000000002E-2</v>
      </c>
    </row>
    <row r="705" spans="1:10" x14ac:dyDescent="0.25">
      <c r="A705" s="5" t="s">
        <v>1437</v>
      </c>
      <c r="B705" s="5" t="s">
        <v>1450</v>
      </c>
      <c r="C705" s="6" t="str">
        <f>_xll.QS.CONTEXT.CREATE("market.703",A705,"USD","SOFR")</f>
        <v>QSObject:PricingContext:w1~market.703:14654</v>
      </c>
      <c r="D705" s="6" t="str">
        <f>_xll.QS.CONTEXT.ADD.CURVE(C705,"SOFR",$K$2:$K$7,$L$2:$L$7,,,"Actual360","LogLinear",TRUE)</f>
        <v>QSObject:ContextInput:w1~input.qs_context_add_curve.2359132437744.704.3.0:39269</v>
      </c>
      <c r="E705" s="6" t="str">
        <f>_xll.QS.INSTRUMENT.SWAP("swap.703",H705,B705,"USD","SOFR",I705,J705,0,"Actual360","Simple","Annual","Annual","Annual")</f>
        <v>QSObject:Swap:w1~swap.703:11484</v>
      </c>
      <c r="F705" s="6" t="str">
        <f>_xll.QS.TRADE.CREATE("trade.703",E705,A705,"Receive")</f>
        <v>QSObject:SwapTrade:w1~trade.703:18329</v>
      </c>
      <c r="G705" s="3">
        <f>_xll.QS.EVALUATE(C705,F705)</f>
        <v>16247.086687531104</v>
      </c>
      <c r="H705" s="5" t="s">
        <v>1451</v>
      </c>
      <c r="I705" s="7">
        <v>1070300</v>
      </c>
      <c r="J705" s="8">
        <v>3.5299999999999998E-2</v>
      </c>
    </row>
    <row r="706" spans="1:10" x14ac:dyDescent="0.25">
      <c r="A706" s="5" t="s">
        <v>1439</v>
      </c>
      <c r="B706" s="5" t="s">
        <v>1452</v>
      </c>
      <c r="C706" s="6" t="str">
        <f>_xll.QS.CONTEXT.CREATE("market.704",A706,"USD","SOFR")</f>
        <v>QSObject:PricingContext:w1~market.704:17363</v>
      </c>
      <c r="D706" s="6" t="str">
        <f>_xll.QS.CONTEXT.ADD.CURVE(C706,"SOFR",$K$2:$K$7,$L$2:$L$7,,,"Actual360","LogLinear",TRUE)</f>
        <v>QSObject:ContextInput:w1~input.qs_context_add_curve.2359132437744.705.3.0:39268</v>
      </c>
      <c r="E706" s="6" t="str">
        <f>_xll.QS.INSTRUMENT.SWAP("swap.704",H706,B706,"USD","SOFR",I706,J706,0,"Actual360","Simple","Annual","Annual","Annual")</f>
        <v>QSObject:Swap:w1~swap.704:13010</v>
      </c>
      <c r="F706" s="6" t="str">
        <f>_xll.QS.TRADE.CREATE("trade.704",E706,A706,"Receive")</f>
        <v>QSObject:SwapTrade:w1~trade.704:20018</v>
      </c>
      <c r="G706" s="3">
        <f>_xll.QS.EVALUATE(C706,F706)</f>
        <v>16743.3115884047</v>
      </c>
      <c r="H706" s="5" t="s">
        <v>1453</v>
      </c>
      <c r="I706" s="7">
        <v>1070400</v>
      </c>
      <c r="J706" s="8">
        <v>3.5400000000000001E-2</v>
      </c>
    </row>
    <row r="707" spans="1:10" x14ac:dyDescent="0.25">
      <c r="A707" s="5" t="s">
        <v>1441</v>
      </c>
      <c r="B707" s="5" t="s">
        <v>1454</v>
      </c>
      <c r="C707" s="6" t="str">
        <f>_xll.QS.CONTEXT.CREATE("market.705",A707,"USD","SOFR")</f>
        <v>QSObject:PricingContext:w1~market.705:9825</v>
      </c>
      <c r="D707" s="6" t="str">
        <f>_xll.QS.CONTEXT.ADD.CURVE(C707,"SOFR",$K$2:$K$7,$L$2:$L$7,,,"Actual360","LogLinear",TRUE)</f>
        <v>QSObject:ContextInput:w1~input.qs_context_add_curve.2359132437744.706.3.0:39267</v>
      </c>
      <c r="E707" s="6" t="str">
        <f>_xll.QS.INSTRUMENT.SWAP("swap.705",H707,B707,"USD","SOFR",I707,J707,0,"Actual360","Simple","Annual","Annual","Annual")</f>
        <v>QSObject:Swap:w1~swap.705:8226</v>
      </c>
      <c r="F707" s="6" t="str">
        <f>_xll.QS.TRADE.CREATE("trade.705",E707,A707,"Receive")</f>
        <v>QSObject:SwapTrade:w1~trade.705:14653</v>
      </c>
      <c r="G707" s="3">
        <f>_xll.QS.EVALUATE(C707,F707)</f>
        <v>17108.952083311902</v>
      </c>
      <c r="H707" s="5" t="s">
        <v>1455</v>
      </c>
      <c r="I707" s="7">
        <v>1070500</v>
      </c>
      <c r="J707" s="8">
        <v>3.5499999999999997E-2</v>
      </c>
    </row>
    <row r="708" spans="1:10" x14ac:dyDescent="0.25">
      <c r="A708" s="5" t="s">
        <v>1443</v>
      </c>
      <c r="B708" s="5" t="s">
        <v>1456</v>
      </c>
      <c r="C708" s="6" t="str">
        <f>_xll.QS.CONTEXT.CREATE("market.706",A708,"USD","SOFR")</f>
        <v>QSObject:PricingContext:w1~market.706:18328</v>
      </c>
      <c r="D708" s="6" t="str">
        <f>_xll.QS.CONTEXT.ADD.CURVE(C708,"SOFR",$K$2:$K$7,$L$2:$L$7,,,"Actual360","LogLinear",TRUE)</f>
        <v>QSObject:ContextInput:w1~input.qs_context_add_curve.2359132437744.707.3.0:39266</v>
      </c>
      <c r="E708" s="6" t="str">
        <f>_xll.QS.INSTRUMENT.SWAP("swap.706",H708,B708,"USD","SOFR",I708,J708,0,"Actual360","Simple","Annual","Annual","Annual")</f>
        <v>QSObject:Swap:w1~swap.706:16332</v>
      </c>
      <c r="F708" s="6" t="str">
        <f>_xll.QS.TRADE.CREATE("trade.706",E708,A708,"Receive")</f>
        <v>QSObject:SwapTrade:w1~trade.706:24230</v>
      </c>
      <c r="G708" s="3">
        <f>_xll.QS.EVALUATE(C708,F708)</f>
        <v>17605.725606277003</v>
      </c>
      <c r="H708" s="5" t="s">
        <v>1457</v>
      </c>
      <c r="I708" s="7">
        <v>1070600</v>
      </c>
      <c r="J708" s="8">
        <v>3.5600000000000007E-2</v>
      </c>
    </row>
    <row r="709" spans="1:10" x14ac:dyDescent="0.25">
      <c r="A709" s="5" t="s">
        <v>1445</v>
      </c>
      <c r="B709" s="5" t="s">
        <v>1458</v>
      </c>
      <c r="C709" s="6" t="str">
        <f>_xll.QS.CONTEXT.CREATE("market.707",A709,"USD","SOFR")</f>
        <v>QSObject:PricingContext:w1~market.707:3452</v>
      </c>
      <c r="D709" s="6" t="str">
        <f>_xll.QS.CONTEXT.ADD.CURVE(C709,"SOFR",$K$2:$K$7,$L$2:$L$7,,,"Actual360","LogLinear",TRUE)</f>
        <v>QSObject:ContextInput:w1~input.qs_context_add_curve.2359132437744.708.3.0:11483</v>
      </c>
      <c r="E709" s="6" t="str">
        <f>_xll.QS.INSTRUMENT.SWAP("swap.707",H709,B709,"USD","SOFR",I709,J709,0,"Actual360","Simple","Annual","Annual","Annual")</f>
        <v>QSObject:Swap:w1~swap.707:17362</v>
      </c>
      <c r="F709" s="6" t="str">
        <f>_xll.QS.TRADE.CREATE("trade.707",E709,A709,"Receive")</f>
        <v>QSObject:SwapTrade:w1~trade.707:25740</v>
      </c>
      <c r="G709" s="3">
        <f>_xll.QS.EVALUATE(C709,F709)</f>
        <v>18145.427660557925</v>
      </c>
      <c r="H709" s="5" t="s">
        <v>1459</v>
      </c>
      <c r="I709" s="7">
        <v>1070700</v>
      </c>
      <c r="J709" s="8">
        <v>3.5700000000000003E-2</v>
      </c>
    </row>
    <row r="710" spans="1:10" x14ac:dyDescent="0.25">
      <c r="A710" s="5" t="s">
        <v>1447</v>
      </c>
      <c r="B710" s="5" t="s">
        <v>1460</v>
      </c>
      <c r="C710" s="6" t="str">
        <f>_xll.QS.CONTEXT.CREATE("market.708",A710,"USD","SOFR")</f>
        <v>QSObject:PricingContext:w1~market.708:8225</v>
      </c>
      <c r="D710" s="6" t="str">
        <f>_xll.QS.CONTEXT.ADD.CURVE(C710,"SOFR",$K$2:$K$7,$L$2:$L$7,,,"Actual360","LogLinear",TRUE)</f>
        <v>QSObject:ContextInput:w1~input.qs_context_add_curve.2359132437744.709.3.0:20017</v>
      </c>
      <c r="E710" s="6" t="str">
        <f>_xll.QS.INSTRUMENT.SWAP("swap.708",H710,B710,"USD","SOFR",I710,J710,0,"Actual360","Simple","Annual","Annual","Annual")</f>
        <v>QSObject:Swap:w1~swap.708:9824</v>
      </c>
      <c r="F710" s="6" t="str">
        <f>_xll.QS.TRADE.CREATE("trade.708",E710,A710,"Receive")</f>
        <v>QSObject:SwapTrade:w1~trade.708:27013</v>
      </c>
      <c r="G710" s="3">
        <f>_xll.QS.EVALUATE(C710,F710)</f>
        <v>18719.27431645598</v>
      </c>
      <c r="H710" s="5" t="s">
        <v>1461</v>
      </c>
      <c r="I710" s="7">
        <v>1070800</v>
      </c>
      <c r="J710" s="8">
        <v>3.5800000000000012E-2</v>
      </c>
    </row>
    <row r="711" spans="1:10" x14ac:dyDescent="0.25">
      <c r="A711" s="5" t="s">
        <v>1449</v>
      </c>
      <c r="B711" s="5" t="s">
        <v>1462</v>
      </c>
      <c r="C711" s="6" t="str">
        <f>_xll.QS.CONTEXT.CREATE("market.709",A711,"USD","SOFR")</f>
        <v>QSObject:PricingContext:w1~market.709:1912</v>
      </c>
      <c r="D711" s="6" t="str">
        <f>_xll.QS.CONTEXT.ADD.CURVE(C711,"SOFR",$K$2:$K$7,$L$2:$L$7,,,"Actual360","LogLinear",TRUE)</f>
        <v>QSObject:ContextInput:w1~input.qs_context_add_curve.2359132437744.710.3.0:18327</v>
      </c>
      <c r="E711" s="6" t="str">
        <f>_xll.QS.INSTRUMENT.SWAP("swap.709",H711,B711,"USD","SOFR",I711,J711,0,"Actual360","Simple","Annual","Annual","Annual")</f>
        <v>QSObject:Swap:w1~swap.709:14652</v>
      </c>
      <c r="F711" s="6" t="str">
        <f>_xll.QS.TRADE.CREATE("trade.709",E711,A711,"Receive")</f>
        <v>QSObject:SwapTrade:w1~trade.709:24229</v>
      </c>
      <c r="G711" s="3">
        <f>_xll.QS.EVALUATE(C711,F711)</f>
        <v>19214.954882142894</v>
      </c>
      <c r="H711" s="5" t="s">
        <v>1463</v>
      </c>
      <c r="I711" s="7">
        <v>1070900</v>
      </c>
      <c r="J711" s="8">
        <v>3.5900000000000001E-2</v>
      </c>
    </row>
    <row r="712" spans="1:10" x14ac:dyDescent="0.25">
      <c r="A712" s="5" t="s">
        <v>1451</v>
      </c>
      <c r="B712" s="5" t="s">
        <v>1464</v>
      </c>
      <c r="C712" s="6" t="str">
        <f>_xll.QS.CONTEXT.CREATE("market.710",A712,"USD","SOFR")</f>
        <v>QSObject:PricingContext:w1~market.710:3451</v>
      </c>
      <c r="D712" s="6" t="str">
        <f>_xll.QS.CONTEXT.ADD.CURVE(C712,"SOFR",$K$2:$K$7,$L$2:$L$7,,,"Actual360","LogLinear",TRUE)</f>
        <v>QSObject:ContextInput:w1~input.qs_context_add_curve.2359132437744.711.3.0:13009</v>
      </c>
      <c r="E712" s="6" t="str">
        <f>_xll.QS.INSTRUMENT.SWAP("swap.710",H712,B712,"USD","SOFR",I712,J712,0,"Actual360","Simple","Annual","Annual","Annual")</f>
        <v>QSObject:Swap:w1~swap.710:17361</v>
      </c>
      <c r="F712" s="6" t="str">
        <f>_xll.QS.TRADE.CREATE("trade.710",E712,A712,"Receive")</f>
        <v>QSObject:SwapTrade:w1~trade.710:30415</v>
      </c>
      <c r="G712" s="3">
        <f>_xll.QS.EVALUATE(C712,F712)</f>
        <v>19716.595211538955</v>
      </c>
      <c r="H712" s="5" t="s">
        <v>1465</v>
      </c>
      <c r="I712" s="7">
        <v>1071000</v>
      </c>
      <c r="J712" s="8">
        <v>3.5999999999999997E-2</v>
      </c>
    </row>
    <row r="713" spans="1:10" x14ac:dyDescent="0.25">
      <c r="A713" s="5" t="s">
        <v>1453</v>
      </c>
      <c r="B713" s="5" t="s">
        <v>1466</v>
      </c>
      <c r="C713" s="6" t="str">
        <f>_xll.QS.CONTEXT.CREATE("market.711",A713,"USD","SOFR")</f>
        <v>QSObject:PricingContext:w1~market.711:20016</v>
      </c>
      <c r="D713" s="6" t="str">
        <f>_xll.QS.CONTEXT.ADD.CURVE(C713,"SOFR",$K$2:$K$7,$L$2:$L$7,,,"Actual360","LogLinear",TRUE)</f>
        <v>QSObject:ContextInput:w1~input.qs_context_add_curve.2359132437744.712.3.0:39265</v>
      </c>
      <c r="E713" s="6" t="str">
        <f>_xll.QS.INSTRUMENT.SWAP("swap.711",H713,B713,"USD","SOFR",I713,J713,0,"Actual360","Simple","Annual","Annual","Annual")</f>
        <v>QSObject:Swap:w1~swap.711:11482</v>
      </c>
      <c r="F713" s="6" t="str">
        <f>_xll.QS.TRADE.CREATE("trade.711",E713,A713,"Receive")</f>
        <v>QSObject:SwapTrade:w1~trade.711:22322</v>
      </c>
      <c r="G713" s="3">
        <f>_xll.QS.EVALUATE(C713,F713)</f>
        <v>20213.479756990164</v>
      </c>
      <c r="H713" s="5" t="s">
        <v>1467</v>
      </c>
      <c r="I713" s="7">
        <v>1071100</v>
      </c>
      <c r="J713" s="8">
        <v>3.61E-2</v>
      </c>
    </row>
    <row r="714" spans="1:10" x14ac:dyDescent="0.25">
      <c r="A714" s="5" t="s">
        <v>1455</v>
      </c>
      <c r="B714" s="5" t="s">
        <v>1468</v>
      </c>
      <c r="C714" s="6" t="str">
        <f>_xll.QS.CONTEXT.CREATE("market.712",A714,"USD","SOFR")</f>
        <v>QSObject:PricingContext:w1~market.712:18326</v>
      </c>
      <c r="D714" s="6" t="str">
        <f>_xll.QS.CONTEXT.ADD.CURVE(C714,"SOFR",$K$2:$K$7,$L$2:$L$7,,,"Actual360","LogLinear",TRUE)</f>
        <v>QSObject:ContextInput:w1~input.qs_context_add_curve.2359132437744.713.3.0:39264</v>
      </c>
      <c r="E714" s="6" t="str">
        <f>_xll.QS.INSTRUMENT.SWAP("swap.712",H714,B714,"USD","SOFR",I714,J714,0,"Actual360","Simple","Annual","Annual","Annual")</f>
        <v>QSObject:Swap:w1~swap.712:6620</v>
      </c>
      <c r="F714" s="6" t="str">
        <f>_xll.QS.TRADE.CREATE("trade.712",E714,A714,"Receive")</f>
        <v>QSObject:SwapTrade:w1~trade.712:23487</v>
      </c>
      <c r="G714" s="3">
        <f>_xll.QS.EVALUATE(C714,F714)</f>
        <v>20578.985439019678</v>
      </c>
      <c r="H714" s="5" t="s">
        <v>1469</v>
      </c>
      <c r="I714" s="7">
        <v>1071200</v>
      </c>
      <c r="J714" s="8">
        <v>3.6200000000000003E-2</v>
      </c>
    </row>
    <row r="715" spans="1:10" x14ac:dyDescent="0.25">
      <c r="A715" s="5" t="s">
        <v>1457</v>
      </c>
      <c r="B715" s="5" t="s">
        <v>1470</v>
      </c>
      <c r="C715" s="6" t="str">
        <f>_xll.QS.CONTEXT.CREATE("market.713",A715,"USD","SOFR")</f>
        <v>QSObject:PricingContext:w1~market.713:8224</v>
      </c>
      <c r="D715" s="6" t="str">
        <f>_xll.QS.CONTEXT.ADD.CURVE(C715,"SOFR",$K$2:$K$7,$L$2:$L$7,,,"Actual360","LogLinear",TRUE)</f>
        <v>QSObject:ContextInput:w1~input.qs_context_add_curve.2359132437744.714.3.0:17360</v>
      </c>
      <c r="E715" s="6" t="str">
        <f>_xll.QS.INSTRUMENT.SWAP("swap.713",H715,B715,"USD","SOFR",I715,J715,0,"Actual360","Simple","Annual","Annual","Annual")</f>
        <v>QSObject:Swap:w1~swap.713:9823</v>
      </c>
      <c r="F715" s="6" t="str">
        <f>_xll.QS.TRADE.CREATE("trade.713",E715,A715,"Receive")</f>
        <v>QSObject:SwapTrade:w1~trade.713:16331</v>
      </c>
      <c r="G715" s="3">
        <f>_xll.QS.EVALUATE(C715,F715)</f>
        <v>21076.695734166176</v>
      </c>
      <c r="H715" s="5" t="s">
        <v>1471</v>
      </c>
      <c r="I715" s="7">
        <v>1071300</v>
      </c>
      <c r="J715" s="8">
        <v>3.6300000000000013E-2</v>
      </c>
    </row>
    <row r="716" spans="1:10" x14ac:dyDescent="0.25">
      <c r="A716" s="5" t="s">
        <v>1459</v>
      </c>
      <c r="B716" s="5" t="s">
        <v>1472</v>
      </c>
      <c r="C716" s="6" t="str">
        <f>_xll.QS.CONTEXT.CREATE("market.714",A716,"USD","SOFR")</f>
        <v>QSObject:PricingContext:w1~market.714:20015</v>
      </c>
      <c r="D716" s="6" t="str">
        <f>_xll.QS.CONTEXT.ADD.CURVE(C716,"SOFR",$K$2:$K$7,$L$2:$L$7,,,"Actual360","LogLinear",TRUE)</f>
        <v>QSObject:ContextInput:w1~input.qs_context_add_curve.2359132437744.715.3.0:39263</v>
      </c>
      <c r="E716" s="6" t="str">
        <f>_xll.QS.INSTRUMENT.SWAP("swap.714",H716,B716,"USD","SOFR",I716,J716,0,"Actual360","Simple","Annual","Annual","Annual")</f>
        <v>QSObject:Swap:w1~swap.714:13008</v>
      </c>
      <c r="F716" s="6" t="str">
        <f>_xll.QS.TRADE.CREATE("trade.714",E716,A716,"Receive")</f>
        <v>QSObject:SwapTrade:w1~trade.714:30331</v>
      </c>
      <c r="G716" s="3">
        <f>_xll.QS.EVALUATE(C716,F716)</f>
        <v>21617.34151146765</v>
      </c>
      <c r="H716" s="5" t="s">
        <v>1473</v>
      </c>
      <c r="I716" s="7">
        <v>1071400</v>
      </c>
      <c r="J716" s="8">
        <v>3.6400000000000002E-2</v>
      </c>
    </row>
    <row r="717" spans="1:10" x14ac:dyDescent="0.25">
      <c r="A717" s="5" t="s">
        <v>1461</v>
      </c>
      <c r="B717" s="5" t="s">
        <v>1474</v>
      </c>
      <c r="C717" s="6" t="str">
        <f>_xll.QS.CONTEXT.CREATE("market.715",A717,"USD","SOFR")</f>
        <v>QSObject:PricingContext:w1~market.715:1911</v>
      </c>
      <c r="D717" s="6" t="str">
        <f>_xll.QS.CONTEXT.ADD.CURVE(C717,"SOFR",$K$2:$K$7,$L$2:$L$7,,,"Actual360","LogLinear",TRUE)</f>
        <v>QSObject:ContextInput:w1~input.qs_context_add_curve.2359132437744.716.3.0:3450</v>
      </c>
      <c r="E717" s="6" t="str">
        <f>_xll.QS.INSTRUMENT.SWAP("swap.715",H717,B717,"USD","SOFR",I717,J717,0,"Actual360","Simple","Annual","Annual","Annual")</f>
        <v>QSObject:Swap:w1~swap.715:18325</v>
      </c>
      <c r="F717" s="6" t="str">
        <f>_xll.QS.TRADE.CREATE("trade.715",E717,A717,"Receive")</f>
        <v>QSObject:SwapTrade:w1~trade.715:30330</v>
      </c>
      <c r="G717" s="3">
        <f>_xll.QS.EVALUATE(C717,F717)</f>
        <v>22191.730972307279</v>
      </c>
      <c r="H717" s="5" t="s">
        <v>1475</v>
      </c>
      <c r="I717" s="7">
        <v>1071500</v>
      </c>
      <c r="J717" s="8">
        <v>3.6499999999999998E-2</v>
      </c>
    </row>
    <row r="718" spans="1:10" x14ac:dyDescent="0.25">
      <c r="A718" s="5" t="s">
        <v>1463</v>
      </c>
      <c r="B718" s="5" t="s">
        <v>1476</v>
      </c>
      <c r="C718" s="6" t="str">
        <f>_xll.QS.CONTEXT.CREATE("market.716",A718,"USD","SOFR")</f>
        <v>QSObject:PricingContext:w1~market.716:17359</v>
      </c>
      <c r="D718" s="6" t="str">
        <f>_xll.QS.CONTEXT.ADD.CURVE(C718,"SOFR",$K$2:$K$7,$L$2:$L$7,,,"Actual360","LogLinear",TRUE)</f>
        <v>QSObject:ContextInput:w1~input.qs_context_add_curve.2359132437744.717.3.0:39262</v>
      </c>
      <c r="E718" s="6" t="str">
        <f>_xll.QS.INSTRUMENT.SWAP("swap.716",H718,B718,"USD","SOFR",I718,J718,0,"Actual360","Simple","Annual","Annual","Annual")</f>
        <v>QSObject:Swap:w1~swap.716:5017</v>
      </c>
      <c r="F718" s="6" t="str">
        <f>_xll.QS.TRADE.CREATE("trade.716",E718,A718,"Receive")</f>
        <v>QSObject:SwapTrade:w1~trade.716:14651</v>
      </c>
      <c r="G718" s="3">
        <f>_xll.QS.EVALUATE(C718,F718)</f>
        <v>22643.754783429798</v>
      </c>
      <c r="H718" s="5" t="s">
        <v>1477</v>
      </c>
      <c r="I718" s="7">
        <v>1071600</v>
      </c>
      <c r="J718" s="8">
        <v>3.6600000000000001E-2</v>
      </c>
    </row>
    <row r="719" spans="1:10" x14ac:dyDescent="0.25">
      <c r="A719" s="5" t="s">
        <v>1465</v>
      </c>
      <c r="B719" s="5" t="s">
        <v>1478</v>
      </c>
      <c r="C719" s="6" t="str">
        <f>_xll.QS.CONTEXT.CREATE("market.717",A719,"USD","SOFR")</f>
        <v>QSObject:PricingContext:w1~market.717:11481</v>
      </c>
      <c r="D719" s="6" t="str">
        <f>_xll.QS.CONTEXT.ADD.CURVE(C719,"SOFR",$K$2:$K$7,$L$2:$L$7,,,"Actual360","LogLinear",TRUE)</f>
        <v>QSObject:ContextInput:w1~input.qs_context_add_curve.2359132437744.718.3.0:16330</v>
      </c>
      <c r="E719" s="6" t="str">
        <f>_xll.QS.INSTRUMENT.SWAP("swap.717",H719,B719,"USD","SOFR",I719,J719,0,"Actual360","Simple","Annual","Annual","Annual")</f>
        <v>QSObject:Swap:w1~swap.717:9822</v>
      </c>
      <c r="F719" s="6" t="str">
        <f>_xll.QS.TRADE.CREATE("trade.717",E719,A719,"Receive")</f>
        <v>QSObject:SwapTrade:w1~trade.717:20014</v>
      </c>
      <c r="G719" s="3">
        <f>_xll.QS.EVALUATE(C719,F719)</f>
        <v>23230.922455035812</v>
      </c>
      <c r="H719" s="5" t="s">
        <v>1479</v>
      </c>
      <c r="I719" s="7">
        <v>1071700</v>
      </c>
      <c r="J719" s="8">
        <v>3.6700000000000003E-2</v>
      </c>
    </row>
    <row r="720" spans="1:10" x14ac:dyDescent="0.25">
      <c r="A720" s="5" t="s">
        <v>1467</v>
      </c>
      <c r="B720" s="5" t="s">
        <v>1480</v>
      </c>
      <c r="C720" s="6" t="str">
        <f>_xll.QS.CONTEXT.CREATE("market.718",A720,"USD","SOFR")</f>
        <v>QSObject:PricingContext:w1~market.718:3449</v>
      </c>
      <c r="D720" s="6" t="str">
        <f>_xll.QS.CONTEXT.ADD.CURVE(C720,"SOFR",$K$2:$K$7,$L$2:$L$7,,,"Actual360","LogLinear",TRUE)</f>
        <v>QSObject:ContextInput:w1~input.qs_context_add_curve.2359132437744.719.3.0:39261</v>
      </c>
      <c r="E720" s="6" t="str">
        <f>_xll.QS.INSTRUMENT.SWAP("swap.718",H720,B720,"USD","SOFR",I720,J720,0,"Actual360","Simple","Annual","Annual","Annual")</f>
        <v>QSObject:Swap:w1~swap.718:13007</v>
      </c>
      <c r="F720" s="6" t="str">
        <f>_xll.QS.TRADE.CREATE("trade.718",E720,A720,"Receive")</f>
        <v>QSObject:SwapTrade:w1~trade.718:31163</v>
      </c>
      <c r="G720" s="3">
        <f>_xll.QS.EVALUATE(C720,F720)</f>
        <v>23728.541409153357</v>
      </c>
      <c r="H720" s="5" t="s">
        <v>1481</v>
      </c>
      <c r="I720" s="7">
        <v>1071800</v>
      </c>
      <c r="J720" s="8">
        <v>3.6800000000000013E-2</v>
      </c>
    </row>
    <row r="721" spans="1:10" x14ac:dyDescent="0.25">
      <c r="A721" s="5" t="s">
        <v>1469</v>
      </c>
      <c r="B721" s="5" t="s">
        <v>1482</v>
      </c>
      <c r="C721" s="6" t="str">
        <f>_xll.QS.CONTEXT.CREATE("market.719",A721,"USD","SOFR")</f>
        <v>QSObject:PricingContext:w1~market.719:5016</v>
      </c>
      <c r="D721" s="6" t="str">
        <f>_xll.QS.CONTEXT.ADD.CURVE(C721,"SOFR",$K$2:$K$7,$L$2:$L$7,,,"Actual360","LogLinear",TRUE)</f>
        <v>QSObject:ContextInput:w1~input.qs_context_add_curve.2359132437744.720.3.0:17358</v>
      </c>
      <c r="E721" s="6" t="str">
        <f>_xll.QS.INSTRUMENT.SWAP("swap.719",H721,B721,"USD","SOFR",I721,J721,0,"Actual360","Simple","Annual","Annual","Annual")</f>
        <v>QSObject:Swap:w1~swap.719:18324</v>
      </c>
      <c r="F721" s="6" t="str">
        <f>_xll.QS.TRADE.CREATE("trade.719",E721,A721,"Receive")</f>
        <v>QSObject:SwapTrade:w1~trade.719:22988</v>
      </c>
      <c r="G721" s="3">
        <f>_xll.QS.EVALUATE(C721,F721)</f>
        <v>24093.843414415529</v>
      </c>
      <c r="H721" s="5" t="s">
        <v>1483</v>
      </c>
      <c r="I721" s="7">
        <v>1071900</v>
      </c>
      <c r="J721" s="8">
        <v>3.6900000000000002E-2</v>
      </c>
    </row>
    <row r="722" spans="1:10" x14ac:dyDescent="0.25">
      <c r="A722" s="5" t="s">
        <v>1471</v>
      </c>
      <c r="B722" s="5" t="s">
        <v>1484</v>
      </c>
      <c r="C722" s="6" t="str">
        <f>_xll.QS.CONTEXT.CREATE("market.720",A722,"USD","SOFR")</f>
        <v>QSObject:PricingContext:w1~market.720:16329</v>
      </c>
      <c r="D722" s="6" t="str">
        <f>_xll.QS.CONTEXT.ADD.CURVE(C722,"SOFR",$K$2:$K$7,$L$2:$L$7,,,"Actual360","LogLinear",TRUE)</f>
        <v>QSObject:ContextInput:w1~input.qs_context_add_curve.2359132437744.721.3.0:39260</v>
      </c>
      <c r="E722" s="6" t="str">
        <f>_xll.QS.INSTRUMENT.SWAP("swap.720",H722,B722,"USD","SOFR",I722,J722,0,"Actual360","Simple","Annual","Annual","Annual")</f>
        <v>QSObject:Swap:w1~swap.720:8223</v>
      </c>
      <c r="F722" s="6" t="str">
        <f>_xll.QS.TRADE.CREATE("trade.720",E722,A722,"Receive")</f>
        <v>QSObject:SwapTrade:w1~trade.720:20013</v>
      </c>
      <c r="G722" s="3">
        <f>_xll.QS.EVALUATE(C722,F722)</f>
        <v>24592.608532063678</v>
      </c>
      <c r="H722" s="5" t="s">
        <v>1485</v>
      </c>
      <c r="I722" s="7">
        <v>1072000</v>
      </c>
      <c r="J722" s="8">
        <v>3.7000000000000012E-2</v>
      </c>
    </row>
    <row r="723" spans="1:10" x14ac:dyDescent="0.25">
      <c r="A723" s="5" t="s">
        <v>1473</v>
      </c>
      <c r="B723" s="5" t="s">
        <v>1486</v>
      </c>
      <c r="C723" s="6" t="str">
        <f>_xll.QS.CONTEXT.CREATE("market.721",A723,"USD","SOFR")</f>
        <v>QSObject:PricingContext:w1~market.721:13006</v>
      </c>
      <c r="D723" s="6" t="str">
        <f>_xll.QS.CONTEXT.ADD.CURVE(C723,"SOFR",$K$2:$K$7,$L$2:$L$7,,,"Actual360","LogLinear",TRUE)</f>
        <v>QSObject:ContextInput:w1~input.qs_context_add_curve.2359132437744.722.3.0:39259</v>
      </c>
      <c r="E723" s="6" t="str">
        <f>_xll.QS.INSTRUMENT.SWAP("swap.721",H723,B723,"USD","SOFR",I723,J723,0,"Actual360","Simple","Annual","Annual","Annual")</f>
        <v>QSObject:Swap:w1~swap.721:9821</v>
      </c>
      <c r="F723" s="6" t="str">
        <f>_xll.QS.TRADE.CREATE("trade.721",E723,A723,"Receive")</f>
        <v>QSObject:SwapTrade:w1~trade.721:29687</v>
      </c>
      <c r="G723" s="3">
        <f>_xll.QS.EVALUATE(C723,F723)</f>
        <v>25215.091727309355</v>
      </c>
      <c r="H723" s="5" t="s">
        <v>1487</v>
      </c>
      <c r="I723" s="7">
        <v>1072100</v>
      </c>
      <c r="J723" s="8">
        <v>3.7100000000000001E-2</v>
      </c>
    </row>
    <row r="724" spans="1:10" x14ac:dyDescent="0.25">
      <c r="A724" s="5" t="s">
        <v>1475</v>
      </c>
      <c r="B724" s="5" t="s">
        <v>1488</v>
      </c>
      <c r="C724" s="6" t="str">
        <f>_xll.QS.CONTEXT.CREATE("market.722",A724,"USD","SOFR")</f>
        <v>QSObject:PricingContext:w1~market.722:5015</v>
      </c>
      <c r="D724" s="6" t="str">
        <f>_xll.QS.CONTEXT.ADD.CURVE(C724,"SOFR",$K$2:$K$7,$L$2:$L$7,,,"Actual360","LogLinear",TRUE)</f>
        <v>QSObject:ContextInput:w1~input.qs_context_add_curve.2359132437744.723.3.0:17357</v>
      </c>
      <c r="E724" s="6" t="str">
        <f>_xll.QS.INSTRUMENT.SWAP("swap.722",H724,B724,"USD","SOFR",I724,J724,0,"Actual360","Simple","Annual","Annual","Annual")</f>
        <v>QSObject:Swap:w1~swap.722:1910</v>
      </c>
      <c r="F724" s="6" t="str">
        <f>_xll.QS.TRADE.CREATE("trade.722",E724,A724,"Receive")</f>
        <v>QSObject:SwapTrade:w1~trade.722:18323</v>
      </c>
      <c r="G724" s="3">
        <f>_xll.QS.EVALUATE(C724,F724)</f>
        <v>25712.013093915459</v>
      </c>
      <c r="H724" s="5" t="s">
        <v>1489</v>
      </c>
      <c r="I724" s="7">
        <v>1072200</v>
      </c>
      <c r="J724" s="8">
        <v>3.7199999999999997E-2</v>
      </c>
    </row>
    <row r="725" spans="1:10" x14ac:dyDescent="0.25">
      <c r="A725" s="5" t="s">
        <v>1477</v>
      </c>
      <c r="B725" s="5" t="s">
        <v>1490</v>
      </c>
      <c r="C725" s="6" t="str">
        <f>_xll.QS.CONTEXT.CREATE("market.723",A725,"USD","SOFR")</f>
        <v>QSObject:PricingContext:w1~market.723:11480</v>
      </c>
      <c r="D725" s="6" t="str">
        <f>_xll.QS.CONTEXT.ADD.CURVE(C725,"SOFR",$K$2:$K$7,$L$2:$L$7,,,"Actual360","LogLinear",TRUE)</f>
        <v>QSObject:ContextInput:w1~input.qs_context_add_curve.2359132437744.724.3.0:16328</v>
      </c>
      <c r="E725" s="6" t="str">
        <f>_xll.QS.INSTRUMENT.SWAP("swap.723",H725,B725,"USD","SOFR",I725,J725,0,"Actual360","Simple","Annual","Annual","Annual")</f>
        <v>QSObject:Swap:w1~swap.723:14650</v>
      </c>
      <c r="F725" s="6" t="str">
        <f>_xll.QS.TRADE.CREATE("trade.723",E725,A725,"Receive")</f>
        <v>QSObject:SwapTrade:w1~trade.723:30329</v>
      </c>
      <c r="G725" s="3">
        <f>_xll.QS.EVALUATE(C725,F725)</f>
        <v>26121.283941830861</v>
      </c>
      <c r="H725" s="5" t="s">
        <v>1491</v>
      </c>
      <c r="I725" s="7">
        <v>1072300</v>
      </c>
      <c r="J725" s="8">
        <v>3.73E-2</v>
      </c>
    </row>
    <row r="726" spans="1:10" x14ac:dyDescent="0.25">
      <c r="A726" s="5" t="s">
        <v>1479</v>
      </c>
      <c r="B726" s="5" t="s">
        <v>1492</v>
      </c>
      <c r="C726" s="6" t="str">
        <f>_xll.QS.CONTEXT.CREATE("market.724",A726,"USD","SOFR")</f>
        <v>QSObject:PricingContext:w1~market.724:3448</v>
      </c>
      <c r="D726" s="6" t="str">
        <f>_xll.QS.CONTEXT.ADD.CURVE(C726,"SOFR",$K$2:$K$7,$L$2:$L$7,,,"Actual360","LogLinear",TRUE)</f>
        <v>QSObject:ContextInput:w1~input.qs_context_add_curve.2359132437744.725.3.0:8222</v>
      </c>
      <c r="E726" s="6" t="str">
        <f>_xll.QS.INSTRUMENT.SWAP("swap.724",H726,B726,"USD","SOFR",I726,J726,0,"Actual360","Simple","Annual","Annual","Annual")</f>
        <v>QSObject:Swap:w1~swap.724:20012</v>
      </c>
      <c r="F726" s="6" t="str">
        <f>_xll.QS.TRADE.CREATE("trade.724",E726,A726,"Receive")</f>
        <v>QSObject:SwapTrade:w1~trade.724:25043</v>
      </c>
      <c r="G726" s="3">
        <f>_xll.QS.EVALUATE(C726,F726)</f>
        <v>26709.440604040785</v>
      </c>
      <c r="H726" s="5" t="s">
        <v>1493</v>
      </c>
      <c r="I726" s="7">
        <v>1072400</v>
      </c>
      <c r="J726" s="8">
        <v>3.7400000000000003E-2</v>
      </c>
    </row>
    <row r="727" spans="1:10" x14ac:dyDescent="0.25">
      <c r="A727" s="5" t="s">
        <v>1481</v>
      </c>
      <c r="B727" s="5" t="s">
        <v>1494</v>
      </c>
      <c r="C727" s="6" t="str">
        <f>_xll.QS.CONTEXT.CREATE("market.725",A727,"USD","SOFR")</f>
        <v>QSObject:PricingContext:w1~market.725:5014</v>
      </c>
      <c r="D727" s="6" t="str">
        <f>_xll.QS.CONTEXT.ADD.CURVE(C727,"SOFR",$K$2:$K$7,$L$2:$L$7,,,"Actual360","LogLinear",TRUE)</f>
        <v>QSObject:ContextInput:w1~input.qs_context_add_curve.2359132437744.726.3.0:9820</v>
      </c>
      <c r="E727" s="6" t="str">
        <f>_xll.QS.INSTRUMENT.SWAP("swap.725",H727,B727,"USD","SOFR",I727,J727,0,"Actual360","Simple","Annual","Annual","Annual")</f>
        <v>QSObject:Swap:w1~swap.725:17356</v>
      </c>
      <c r="F727" s="6" t="str">
        <f>_xll.QS.TRADE.CREATE("trade.725",E727,A727,"Receive")</f>
        <v>QSObject:SwapTrade:w1~trade.725:31162</v>
      </c>
      <c r="G727" s="3">
        <f>_xll.QS.EVALUATE(C727,F727)</f>
        <v>27206.769726385784</v>
      </c>
      <c r="H727" s="5" t="s">
        <v>1495</v>
      </c>
      <c r="I727" s="7">
        <v>1072500</v>
      </c>
      <c r="J727" s="8">
        <v>3.7500000000000012E-2</v>
      </c>
    </row>
    <row r="728" spans="1:10" x14ac:dyDescent="0.25">
      <c r="A728" s="5" t="s">
        <v>1483</v>
      </c>
      <c r="B728" s="5" t="s">
        <v>1496</v>
      </c>
      <c r="C728" s="6" t="str">
        <f>_xll.QS.CONTEXT.CREATE("market.726",A728,"USD","SOFR")</f>
        <v>QSObject:PricingContext:w1~market.726:16327</v>
      </c>
      <c r="D728" s="6" t="str">
        <f>_xll.QS.CONTEXT.ADD.CURVE(C728,"SOFR",$K$2:$K$7,$L$2:$L$7,,,"Actual360","LogLinear",TRUE)</f>
        <v>QSObject:ContextInput:w1~input.qs_context_add_curve.2359132437744.727.3.0:39258</v>
      </c>
      <c r="E728" s="6" t="str">
        <f>_xll.QS.INSTRUMENT.SWAP("swap.726",H728,B728,"USD","SOFR",I728,J728,0,"Actual360","Simple","Annual","Annual","Annual")</f>
        <v>QSObject:Swap:w1~swap.726:18322</v>
      </c>
      <c r="F728" s="6" t="str">
        <f>_xll.QS.TRADE.CREATE("trade.726",E728,A728,"Receive")</f>
        <v>QSObject:SwapTrade:w1~trade.726:29020</v>
      </c>
      <c r="G728" s="3">
        <f>_xll.QS.EVALUATE(C728,F728)</f>
        <v>27571.93026783079</v>
      </c>
      <c r="H728" s="5" t="s">
        <v>1497</v>
      </c>
      <c r="I728" s="7">
        <v>1072600</v>
      </c>
      <c r="J728" s="8">
        <v>3.7600000000000001E-2</v>
      </c>
    </row>
    <row r="729" spans="1:10" x14ac:dyDescent="0.25">
      <c r="A729" s="5" t="s">
        <v>1485</v>
      </c>
      <c r="B729" s="5" t="s">
        <v>1498</v>
      </c>
      <c r="C729" s="6" t="str">
        <f>_xll.QS.CONTEXT.CREATE("market.727",A729,"USD","SOFR")</f>
        <v>QSObject:PricingContext:w1~market.727:13005</v>
      </c>
      <c r="D729" s="6" t="str">
        <f>_xll.QS.CONTEXT.ADD.CURVE(C729,"SOFR",$K$2:$K$7,$L$2:$L$7,,,"Actual360","LogLinear",TRUE)</f>
        <v>QSObject:ContextInput:w1~input.qs_context_add_curve.2359132437744.728.3.0:39257</v>
      </c>
      <c r="E729" s="6" t="str">
        <f>_xll.QS.INSTRUMENT.SWAP("swap.727",H729,B729,"USD","SOFR",I729,J729,0,"Actual360","Simple","Annual","Annual","Annual")</f>
        <v>QSObject:Swap:w1~swap.727:8221</v>
      </c>
      <c r="F729" s="6" t="str">
        <f>_xll.QS.TRADE.CREATE("trade.727",E729,A729,"Receive")</f>
        <v>QSObject:SwapTrade:w1~trade.727:20011</v>
      </c>
      <c r="G729" s="3">
        <f>_xll.QS.EVALUATE(C729,F729)</f>
        <v>28071.742321537382</v>
      </c>
      <c r="H729" s="5" t="s">
        <v>1499</v>
      </c>
      <c r="I729" s="7">
        <v>1072700</v>
      </c>
      <c r="J729" s="8">
        <v>3.7699999999999997E-2</v>
      </c>
    </row>
    <row r="730" spans="1:10" x14ac:dyDescent="0.25">
      <c r="A730" s="5" t="s">
        <v>1487</v>
      </c>
      <c r="B730" s="5" t="s">
        <v>1500</v>
      </c>
      <c r="C730" s="6" t="str">
        <f>_xll.QS.CONTEXT.CREATE("market.728",A730,"USD","SOFR")</f>
        <v>QSObject:PricingContext:w1~market.728:6619</v>
      </c>
      <c r="D730" s="6" t="str">
        <f>_xll.QS.CONTEXT.ADD.CURVE(C730,"SOFR",$K$2:$K$7,$L$2:$L$7,,,"Actual360","LogLinear",TRUE)</f>
        <v>QSObject:ContextInput:w1~input.qs_context_add_curve.2359132437744.729.3.0:30328</v>
      </c>
      <c r="E730" s="6" t="str">
        <f>_xll.QS.INSTRUMENT.SWAP("swap.728",H730,B730,"USD","SOFR",I730,J730,0,"Actual360","Simple","Annual","Annual","Annual")</f>
        <v>QSObject:Swap:w1~swap.728:9819</v>
      </c>
      <c r="F730" s="6" t="str">
        <f>_xll.QS.TRADE.CREATE("trade.728",E730,A730,"Receive")</f>
        <v>QSObject:SwapTrade:w1~trade.728:11479</v>
      </c>
      <c r="G730" s="3">
        <f>_xll.QS.EVALUATE(C730,F730)</f>
        <v>28696.140336135722</v>
      </c>
      <c r="H730" s="5" t="s">
        <v>1501</v>
      </c>
      <c r="I730" s="7">
        <v>1072800</v>
      </c>
      <c r="J730" s="8">
        <v>3.78E-2</v>
      </c>
    </row>
    <row r="731" spans="1:10" x14ac:dyDescent="0.25">
      <c r="A731" s="5" t="s">
        <v>1489</v>
      </c>
      <c r="B731" s="5" t="s">
        <v>1502</v>
      </c>
      <c r="C731" s="6" t="str">
        <f>_xll.QS.CONTEXT.CREATE("market.729",A731,"USD","SOFR")</f>
        <v>QSObject:PricingContext:w1~market.729:18321</v>
      </c>
      <c r="D731" s="6" t="str">
        <f>_xll.QS.CONTEXT.ADD.CURVE(C731,"SOFR",$K$2:$K$7,$L$2:$L$7,,,"Actual360","LogLinear",TRUE)</f>
        <v>QSObject:ContextInput:w1~input.qs_context_add_curve.2359132437744.730.3.0:39256</v>
      </c>
      <c r="E731" s="6" t="str">
        <f>_xll.QS.INSTRUMENT.SWAP("swap.729",H731,B731,"USD","SOFR",I731,J731,0,"Actual360","Simple","Annual","Annual","Annual")</f>
        <v>QSObject:Swap:w1~swap.729:17355</v>
      </c>
      <c r="F731" s="6" t="str">
        <f>_xll.QS.TRADE.CREATE("trade.729",E731,A731,"Receive")</f>
        <v>QSObject:SwapTrade:w1~trade.729:29686</v>
      </c>
      <c r="G731" s="3">
        <f>_xll.QS.EVALUATE(C731,F731)</f>
        <v>29193.571644443418</v>
      </c>
      <c r="H731" s="5" t="s">
        <v>1503</v>
      </c>
      <c r="I731" s="7">
        <v>1072900</v>
      </c>
      <c r="J731" s="8">
        <v>3.7900000000000003E-2</v>
      </c>
    </row>
    <row r="732" spans="1:10" x14ac:dyDescent="0.25">
      <c r="A732" s="5" t="s">
        <v>1491</v>
      </c>
      <c r="B732" s="5" t="s">
        <v>1504</v>
      </c>
      <c r="C732" s="6" t="str">
        <f>_xll.QS.CONTEXT.CREATE("market.730",A732,"USD","SOFR")</f>
        <v>QSObject:PricingContext:w1~market.730:3447</v>
      </c>
      <c r="D732" s="6" t="str">
        <f>_xll.QS.CONTEXT.ADD.CURVE(C732,"SOFR",$K$2:$K$7,$L$2:$L$7,,,"Actual360","LogLinear",TRUE)</f>
        <v>QSObject:ContextInput:w1~input.qs_context_add_curve.2359132437744.731.3.0:14649</v>
      </c>
      <c r="E732" s="6" t="str">
        <f>_xll.QS.INSTRUMENT.SWAP("swap.730",H732,B732,"USD","SOFR",I732,J732,0,"Actual360","Simple","Annual","Annual","Annual")</f>
        <v>QSObject:Swap:w1~swap.730:1909</v>
      </c>
      <c r="F732" s="6" t="str">
        <f>_xll.QS.TRADE.CREATE("trade.730",E732,A732,"Receive")</f>
        <v>QSObject:SwapTrade:w1~trade.730:6618</v>
      </c>
      <c r="G732" s="3">
        <f>_xll.QS.EVALUATE(C732,F732)</f>
        <v>29648.630991083952</v>
      </c>
      <c r="H732" s="5" t="s">
        <v>1505</v>
      </c>
      <c r="I732" s="7">
        <v>1073000</v>
      </c>
      <c r="J732" s="8">
        <v>3.8000000000000013E-2</v>
      </c>
    </row>
    <row r="733" spans="1:10" x14ac:dyDescent="0.25">
      <c r="A733" s="5" t="s">
        <v>1493</v>
      </c>
      <c r="B733" s="5" t="s">
        <v>1506</v>
      </c>
      <c r="C733" s="6" t="str">
        <f>_xll.QS.CONTEXT.CREATE("market.731",A733,"USD","SOFR")</f>
        <v>QSObject:PricingContext:w1~market.731:5013</v>
      </c>
      <c r="D733" s="6" t="str">
        <f>_xll.QS.CONTEXT.ADD.CURVE(C733,"SOFR",$K$2:$K$7,$L$2:$L$7,,,"Actual360","LogLinear",TRUE)</f>
        <v>QSObject:ContextInput:w1~input.qs_context_add_curve.2359132437744.732.3.0:8220</v>
      </c>
      <c r="E733" s="6" t="str">
        <f>_xll.QS.INSTRUMENT.SWAP("swap.731",H733,B733,"USD","SOFR",I733,J733,0,"Actual360","Simple","Annual","Annual","Annual")</f>
        <v>QSObject:Swap:w1~swap.731:20010</v>
      </c>
      <c r="F733" s="6" t="str">
        <f>_xll.QS.TRADE.CREATE("trade.731",E733,A733,"Receive")</f>
        <v>QSObject:SwapTrade:w1~trade.731:29685</v>
      </c>
      <c r="G733" s="3">
        <f>_xll.QS.EVALUATE(C733,F733)</f>
        <v>30152.249274292823</v>
      </c>
      <c r="H733" s="5" t="s">
        <v>1507</v>
      </c>
      <c r="I733" s="7">
        <v>1073100</v>
      </c>
      <c r="J733" s="8">
        <v>3.8100000000000002E-2</v>
      </c>
    </row>
    <row r="734" spans="1:10" x14ac:dyDescent="0.25">
      <c r="A734" s="5" t="s">
        <v>1495</v>
      </c>
      <c r="B734" s="5" t="s">
        <v>1508</v>
      </c>
      <c r="C734" s="6" t="str">
        <f>_xll.QS.CONTEXT.CREATE("market.732",A734,"USD","SOFR")</f>
        <v>QSObject:PricingContext:w1~market.732:17354</v>
      </c>
      <c r="D734" s="6" t="str">
        <f>_xll.QS.CONTEXT.ADD.CURVE(C734,"SOFR",$K$2:$K$7,$L$2:$L$7,,,"Actual360","LogLinear",TRUE)</f>
        <v>QSObject:ContextInput:w1~input.qs_context_add_curve.2359132437744.733.3.0:39255</v>
      </c>
      <c r="E734" s="6" t="str">
        <f>_xll.QS.INSTRUMENT.SWAP("swap.732",H734,B734,"USD","SOFR",I734,J734,0,"Actual360","Simple","Annual","Annual","Annual")</f>
        <v>QSObject:Swap:w1~swap.732:11478</v>
      </c>
      <c r="F734" s="6" t="str">
        <f>_xll.QS.TRADE.CREATE("trade.732",E734,A734,"Receive")</f>
        <v>QSObject:SwapTrade:w1~trade.732:16326</v>
      </c>
      <c r="G734" s="3">
        <f>_xll.QS.EVALUATE(C734,F734)</f>
        <v>30651.112856738673</v>
      </c>
      <c r="H734" s="5" t="s">
        <v>1509</v>
      </c>
      <c r="I734" s="7">
        <v>1073200</v>
      </c>
      <c r="J734" s="8">
        <v>3.8199999999999998E-2</v>
      </c>
    </row>
    <row r="735" spans="1:10" x14ac:dyDescent="0.25">
      <c r="A735" s="5" t="s">
        <v>1497</v>
      </c>
      <c r="B735" s="5" t="s">
        <v>1510</v>
      </c>
      <c r="C735" s="6" t="str">
        <f>_xll.QS.CONTEXT.CREATE("market.733",A735,"USD","SOFR")</f>
        <v>QSObject:PricingContext:w1~market.733:14648</v>
      </c>
      <c r="D735" s="6" t="str">
        <f>_xll.QS.CONTEXT.ADD.CURVE(C735,"SOFR",$K$2:$K$7,$L$2:$L$7,,,"Actual360","LogLinear",TRUE)</f>
        <v>QSObject:ContextInput:w1~input.qs_context_add_curve.2359132437744.734.3.0:26541</v>
      </c>
      <c r="E735" s="6" t="str">
        <f>_xll.QS.INSTRUMENT.SWAP("swap.733",H735,B735,"USD","SOFR",I735,J735,0,"Actual360","Simple","Annual","Annual","Annual")</f>
        <v>QSObject:Swap:w1~swap.733:13004</v>
      </c>
      <c r="F735" s="6" t="str">
        <f>_xll.QS.TRADE.CREATE("trade.733",E735,A735,"Receive")</f>
        <v>QSObject:SwapTrade:w1~trade.733:25042</v>
      </c>
      <c r="G735" s="3">
        <f>_xll.QS.EVALUATE(C735,F735)</f>
        <v>31016.20864357127</v>
      </c>
      <c r="H735" s="5" t="s">
        <v>1511</v>
      </c>
      <c r="I735" s="7">
        <v>1073300</v>
      </c>
      <c r="J735" s="8">
        <v>3.8300000000000001E-2</v>
      </c>
    </row>
    <row r="736" spans="1:10" x14ac:dyDescent="0.25">
      <c r="A736" s="5" t="s">
        <v>1499</v>
      </c>
      <c r="B736" s="5" t="s">
        <v>1512</v>
      </c>
      <c r="C736" s="6" t="str">
        <f>_xll.QS.CONTEXT.CREATE("market.734",A736,"USD","SOFR")</f>
        <v>QSObject:PricingContext:w1~market.734:17353</v>
      </c>
      <c r="D736" s="6" t="str">
        <f>_xll.QS.CONTEXT.ADD.CURVE(C736,"SOFR",$K$2:$K$7,$L$2:$L$7,,,"Actual360","LogLinear",TRUE)</f>
        <v>QSObject:ContextInput:w1~input.qs_context_add_curve.2359132437744.735.3.0:26540</v>
      </c>
      <c r="E736" s="6" t="str">
        <f>_xll.QS.INSTRUMENT.SWAP("swap.734",H736,B736,"USD","SOFR",I736,J736,0,"Actual360","Simple","Annual","Annual","Annual")</f>
        <v>QSObject:Swap:w1~swap.734:20009</v>
      </c>
      <c r="F736" s="6" t="str">
        <f>_xll.QS.TRADE.CREATE("trade.734",E736,A736,"Receive")</f>
        <v>QSObject:SwapTrade:w1~trade.734:25739</v>
      </c>
      <c r="G736" s="3">
        <f>_xll.QS.EVALUATE(C736,F736)</f>
        <v>31516.731530019075</v>
      </c>
      <c r="H736" s="5" t="s">
        <v>1513</v>
      </c>
      <c r="I736" s="7">
        <v>1073400</v>
      </c>
      <c r="J736" s="8">
        <v>3.8399999999999997E-2</v>
      </c>
    </row>
    <row r="737" spans="1:10" x14ac:dyDescent="0.25">
      <c r="A737" s="5" t="s">
        <v>1501</v>
      </c>
      <c r="B737" s="5" t="s">
        <v>1514</v>
      </c>
      <c r="C737" s="6" t="str">
        <f>_xll.QS.CONTEXT.CREATE("market.735",A737,"USD","SOFR")</f>
        <v>QSObject:PricingContext:w1~market.735:9818</v>
      </c>
      <c r="D737" s="6" t="str">
        <f>_xll.QS.CONTEXT.ADD.CURVE(C737,"SOFR",$K$2:$K$7,$L$2:$L$7,,,"Actual360","LogLinear",TRUE)</f>
        <v>QSObject:ContextInput:w1~input.qs_context_add_curve.2359132437744.736.3.0:11477</v>
      </c>
      <c r="E737" s="6" t="str">
        <f>_xll.QS.INSTRUMENT.SWAP("swap.735",H737,B737,"USD","SOFR",I737,J737,0,"Actual360","Simple","Annual","Annual","Annual")</f>
        <v>QSObject:Swap:w1~swap.735:8219</v>
      </c>
      <c r="F737" s="6" t="str">
        <f>_xll.QS.TRADE.CREATE("trade.735",E737,A737,"Receive")</f>
        <v>QSObject:SwapTrade:w1~trade.735:16325</v>
      </c>
      <c r="G737" s="3">
        <f>_xll.QS.EVALUATE(C737,F737)</f>
        <v>32060.41528084403</v>
      </c>
      <c r="H737" s="5" t="s">
        <v>1515</v>
      </c>
      <c r="I737" s="7">
        <v>1073500</v>
      </c>
      <c r="J737" s="8">
        <v>3.8500000000000013E-2</v>
      </c>
    </row>
    <row r="738" spans="1:10" x14ac:dyDescent="0.25">
      <c r="A738" s="5" t="s">
        <v>1503</v>
      </c>
      <c r="B738" s="5" t="s">
        <v>1516</v>
      </c>
      <c r="C738" s="6" t="str">
        <f>_xll.QS.CONTEXT.CREATE("market.736",A738,"USD","SOFR")</f>
        <v>QSObject:PricingContext:w1~market.736:1908</v>
      </c>
      <c r="D738" s="6" t="str">
        <f>_xll.QS.CONTEXT.ADD.CURVE(C738,"SOFR",$K$2:$K$7,$L$2:$L$7,,,"Actual360","LogLinear",TRUE)</f>
        <v>QSObject:ContextInput:w1~input.qs_context_add_curve.2359132437744.737.3.0:14647</v>
      </c>
      <c r="E738" s="6" t="str">
        <f>_xll.QS.INSTRUMENT.SWAP("swap.736",H738,B738,"USD","SOFR",I738,J738,0,"Actual360","Simple","Annual","Annual","Annual")</f>
        <v>QSObject:Swap:w1~swap.736:13003</v>
      </c>
      <c r="F738" s="6" t="str">
        <f>_xll.QS.TRADE.CREATE("trade.736",E738,A738,"Receive")</f>
        <v>QSObject:SwapTrade:w1~trade.736:17352</v>
      </c>
      <c r="G738" s="3">
        <f>_xll.QS.EVALUATE(C738,F738)</f>
        <v>32637.202524827102</v>
      </c>
      <c r="H738" s="5" t="s">
        <v>1517</v>
      </c>
      <c r="I738" s="7">
        <v>1073600</v>
      </c>
      <c r="J738" s="8">
        <v>3.8600000000000002E-2</v>
      </c>
    </row>
    <row r="739" spans="1:10" x14ac:dyDescent="0.25">
      <c r="A739" s="5" t="s">
        <v>1505</v>
      </c>
      <c r="B739" s="5" t="s">
        <v>1518</v>
      </c>
      <c r="C739" s="6" t="str">
        <f>_xll.QS.CONTEXT.CREATE("market.737",A739,"USD","SOFR")</f>
        <v>QSObject:PricingContext:w1~market.737:6617</v>
      </c>
      <c r="D739" s="6" t="str">
        <f>_xll.QS.CONTEXT.ADD.CURVE(C739,"SOFR",$K$2:$K$7,$L$2:$L$7,,,"Actual360","LogLinear",TRUE)</f>
        <v>QSObject:ContextInput:w1~input.qs_context_add_curve.2359132437744.738.3.0:39254</v>
      </c>
      <c r="E739" s="6" t="str">
        <f>_xll.QS.INSTRUMENT.SWAP("swap.737",H739,B739,"USD","SOFR",I739,J739,0,"Actual360","Simple","Annual","Annual","Annual")</f>
        <v>QSObject:Swap:w1~swap.737:5012</v>
      </c>
      <c r="F739" s="6" t="str">
        <f>_xll.QS.TRADE.CREATE("trade.737",E739,A739,"Receive")</f>
        <v>QSObject:SwapTrade:w1~trade.737:18320</v>
      </c>
      <c r="G739" s="3">
        <f>_xll.QS.EVALUATE(C739,F739)</f>
        <v>33135.391996454928</v>
      </c>
      <c r="H739" s="5" t="s">
        <v>1519</v>
      </c>
      <c r="I739" s="7">
        <v>1073700</v>
      </c>
      <c r="J739" s="8">
        <v>3.8700000000000012E-2</v>
      </c>
    </row>
    <row r="740" spans="1:10" x14ac:dyDescent="0.25">
      <c r="A740" s="5" t="s">
        <v>1507</v>
      </c>
      <c r="B740" s="5" t="s">
        <v>1520</v>
      </c>
      <c r="C740" s="6" t="str">
        <f>_xll.QS.CONTEXT.CREATE("market.738",A740,"USD","SOFR")</f>
        <v>QSObject:PricingContext:w1~market.738:8218</v>
      </c>
      <c r="D740" s="6" t="str">
        <f>_xll.QS.CONTEXT.ADD.CURVE(C740,"SOFR",$K$2:$K$7,$L$2:$L$7,,,"Actual360","LogLinear",TRUE)</f>
        <v>QSObject:ContextInput:w1~input.qs_context_add_curve.2359132437744.739.3.0:9817</v>
      </c>
      <c r="E740" s="6" t="str">
        <f>_xll.QS.INSTRUMENT.SWAP("swap.738",H740,B740,"USD","SOFR",I740,J740,0,"Actual360","Simple","Annual","Annual","Annual")</f>
        <v>QSObject:Swap:w1~swap.738:20008</v>
      </c>
      <c r="F740" s="6" t="str">
        <f>_xll.QS.TRADE.CREATE("trade.738",E740,A740,"Receive")</f>
        <v>QSObject:SwapTrade:w1~trade.738:29019</v>
      </c>
      <c r="G740" s="3">
        <f>_xll.QS.EVALUATE(C740,F740)</f>
        <v>33639.485431651432</v>
      </c>
      <c r="H740" s="5" t="s">
        <v>1521</v>
      </c>
      <c r="I740" s="7">
        <v>1073800</v>
      </c>
      <c r="J740" s="8">
        <v>3.8800000000000001E-2</v>
      </c>
    </row>
    <row r="741" spans="1:10" x14ac:dyDescent="0.25">
      <c r="A741" s="5" t="s">
        <v>1509</v>
      </c>
      <c r="B741" s="5" t="s">
        <v>1522</v>
      </c>
      <c r="C741" s="6" t="str">
        <f>_xll.QS.CONTEXT.CREATE("market.739",A741,"USD","SOFR")</f>
        <v>QSObject:PricingContext:w1~market.739:1907</v>
      </c>
      <c r="D741" s="6" t="str">
        <f>_xll.QS.CONTEXT.ADD.CURVE(C741,"SOFR",$K$2:$K$7,$L$2:$L$7,,,"Actual360","LogLinear",TRUE)</f>
        <v>QSObject:ContextInput:w1~input.qs_context_add_curve.2359132437744.740.3.0:14646</v>
      </c>
      <c r="E741" s="6" t="str">
        <f>_xll.QS.INSTRUMENT.SWAP("swap.739",H741,B741,"USD","SOFR",I741,J741,0,"Actual360","Simple","Annual","Annual","Annual")</f>
        <v>QSObject:Swap:w1~swap.739:16324</v>
      </c>
      <c r="F741" s="6" t="str">
        <f>_xll.QS.TRADE.CREATE("trade.739",E741,A741,"Receive")</f>
        <v>QSObject:SwapTrade:w1~trade.739:18319</v>
      </c>
      <c r="G741" s="3">
        <f>_xll.QS.EVALUATE(C741,F741)</f>
        <v>34139.426191606122</v>
      </c>
      <c r="H741" s="5" t="s">
        <v>1523</v>
      </c>
      <c r="I741" s="7">
        <v>1073900</v>
      </c>
      <c r="J741" s="8">
        <v>3.8899999999999997E-2</v>
      </c>
    </row>
    <row r="742" spans="1:10" x14ac:dyDescent="0.25">
      <c r="A742" s="5" t="s">
        <v>1511</v>
      </c>
      <c r="B742" s="5" t="s">
        <v>1524</v>
      </c>
      <c r="C742" s="6" t="str">
        <f>_xll.QS.CONTEXT.CREATE("market.740",A742,"USD","SOFR")</f>
        <v>QSObject:PricingContext:w1~market.740:11476</v>
      </c>
      <c r="D742" s="6" t="str">
        <f>_xll.QS.CONTEXT.ADD.CURVE(C742,"SOFR",$K$2:$K$7,$L$2:$L$7,,,"Actual360","LogLinear",TRUE)</f>
        <v>QSObject:ContextInput:w1~input.qs_context_add_curve.2359132437744.741.3.0:29018</v>
      </c>
      <c r="E742" s="6" t="str">
        <f>_xll.QS.INSTRUMENT.SWAP("swap.740",H742,B742,"USD","SOFR",I742,J742,0,"Actual360","Simple","Annual","Annual","Annual")</f>
        <v>QSObject:Swap:w1~swap.740:8217</v>
      </c>
      <c r="F742" s="6" t="str">
        <f>_xll.QS.TRADE.CREATE("trade.740",E742,A742,"Receive")</f>
        <v>QSObject:SwapTrade:w1~trade.740:13002</v>
      </c>
      <c r="G742" s="3">
        <f>_xll.QS.EVALUATE(C742,F742)</f>
        <v>34459.083817904495</v>
      </c>
      <c r="H742" s="5" t="s">
        <v>1525</v>
      </c>
      <c r="I742" s="7">
        <v>1074000</v>
      </c>
      <c r="J742" s="8">
        <v>3.9000000000000007E-2</v>
      </c>
    </row>
    <row r="743" spans="1:10" x14ac:dyDescent="0.25">
      <c r="A743" s="5" t="s">
        <v>1513</v>
      </c>
      <c r="B743" s="5" t="s">
        <v>1526</v>
      </c>
      <c r="C743" s="6" t="str">
        <f>_xll.QS.CONTEXT.CREATE("market.741",A743,"USD","SOFR")</f>
        <v>QSObject:PricingContext:w1~market.741:1906</v>
      </c>
      <c r="D743" s="6" t="str">
        <f>_xll.QS.CONTEXT.ADD.CURVE(C743,"SOFR",$K$2:$K$7,$L$2:$L$7,,,"Actual360","LogLinear",TRUE)</f>
        <v>QSObject:ContextInput:w1~input.qs_context_add_curve.2359132437744.742.3.0:9816</v>
      </c>
      <c r="E743" s="6" t="str">
        <f>_xll.QS.INSTRUMENT.SWAP("swap.741",H743,B743,"USD","SOFR",I743,J743,0,"Actual360","Simple","Annual","Annual","Annual")</f>
        <v>QSObject:Swap:w1~swap.741:20007</v>
      </c>
      <c r="F743" s="6" t="str">
        <f>_xll.QS.TRADE.CREATE("trade.741",E743,A743,"Receive")</f>
        <v>QSObject:SwapTrade:w1~trade.741:29017</v>
      </c>
      <c r="G743" s="3">
        <f>_xll.QS.EVALUATE(C743,F743)</f>
        <v>34960.448860332872</v>
      </c>
      <c r="H743" s="5" t="s">
        <v>1527</v>
      </c>
      <c r="I743" s="7">
        <v>1074100</v>
      </c>
      <c r="J743" s="8">
        <v>3.9100000000000003E-2</v>
      </c>
    </row>
    <row r="744" spans="1:10" x14ac:dyDescent="0.25">
      <c r="A744" s="5" t="s">
        <v>1515</v>
      </c>
      <c r="B744" s="5" t="s">
        <v>1528</v>
      </c>
      <c r="C744" s="6" t="str">
        <f>_xll.QS.CONTEXT.CREATE("market.742",A744,"USD","SOFR")</f>
        <v>QSObject:PricingContext:w1~market.742:16323</v>
      </c>
      <c r="D744" s="6" t="str">
        <f>_xll.QS.CONTEXT.ADD.CURVE(C744,"SOFR",$K$2:$K$7,$L$2:$L$7,,,"Actual360","LogLinear",TRUE)</f>
        <v>QSObject:ContextInput:w1~input.qs_context_add_curve.2359132437744.743.3.0:39253</v>
      </c>
      <c r="E744" s="6" t="str">
        <f>_xll.QS.INSTRUMENT.SWAP("swap.742",H744,B744,"USD","SOFR",I744,J744,0,"Actual360","Simple","Annual","Annual","Annual")</f>
        <v>QSObject:Swap:w1~swap.742:18318</v>
      </c>
      <c r="F744" s="6" t="str">
        <f>_xll.QS.TRADE.CREATE("trade.742",E744,A744,"Receive")</f>
        <v>QSObject:SwapTrade:w1~trade.742:28300</v>
      </c>
      <c r="G744" s="3">
        <f>_xll.QS.EVALUATE(C744,F744)</f>
        <v>35505.493535724381</v>
      </c>
      <c r="H744" s="5" t="s">
        <v>1529</v>
      </c>
      <c r="I744" s="7">
        <v>1074200</v>
      </c>
      <c r="J744" s="8">
        <v>3.9200000000000013E-2</v>
      </c>
    </row>
    <row r="745" spans="1:10" x14ac:dyDescent="0.25">
      <c r="A745" s="5" t="s">
        <v>1517</v>
      </c>
      <c r="B745" s="5" t="s">
        <v>1530</v>
      </c>
      <c r="C745" s="6" t="str">
        <f>_xll.QS.CONTEXT.CREATE("market.743",A745,"USD","SOFR")</f>
        <v>QSObject:PricingContext:w1~market.743:3446</v>
      </c>
      <c r="D745" s="6" t="str">
        <f>_xll.QS.CONTEXT.ADD.CURVE(C745,"SOFR",$K$2:$K$7,$L$2:$L$7,,,"Actual360","LogLinear",TRUE)</f>
        <v>QSObject:ContextInput:w1~input.qs_context_add_curve.2359132437744.744.3.0:8216</v>
      </c>
      <c r="E745" s="6" t="str">
        <f>_xll.QS.INSTRUMENT.SWAP("swap.743",H745,B745,"USD","SOFR",I745,J745,0,"Actual360","Simple","Annual","Annual","Annual")</f>
        <v>QSObject:Swap:w1~swap.743:14645</v>
      </c>
      <c r="F745" s="6" t="str">
        <f>_xll.QS.TRADE.CREATE("trade.743",E745,A745,"Receive")</f>
        <v>QSObject:SwapTrade:w1~trade.743:22321</v>
      </c>
      <c r="G745" s="3">
        <f>_xll.QS.EVALUATE(C745,F745)</f>
        <v>36168.07277732317</v>
      </c>
      <c r="H745" s="5" t="s">
        <v>1531</v>
      </c>
      <c r="I745" s="7">
        <v>1074300</v>
      </c>
      <c r="J745" s="8">
        <v>3.9300000000000002E-2</v>
      </c>
    </row>
    <row r="746" spans="1:10" x14ac:dyDescent="0.25">
      <c r="A746" s="5" t="s">
        <v>1519</v>
      </c>
      <c r="B746" s="5" t="s">
        <v>1532</v>
      </c>
      <c r="C746" s="6" t="str">
        <f>_xll.QS.CONTEXT.CREATE("market.744",A746,"USD","SOFR")</f>
        <v>QSObject:PricingContext:w1~market.744:17351</v>
      </c>
      <c r="D746" s="6" t="str">
        <f>_xll.QS.CONTEXT.ADD.CURVE(C746,"SOFR",$K$2:$K$7,$L$2:$L$7,,,"Actual360","LogLinear",TRUE)</f>
        <v>QSObject:ContextInput:w1~input.qs_context_add_curve.2359132437744.745.3.0:39252</v>
      </c>
      <c r="E746" s="6" t="str">
        <f>_xll.QS.INSTRUMENT.SWAP("swap.744",H746,B746,"USD","SOFR",I746,J746,0,"Actual360","Simple","Annual","Annual","Annual")</f>
        <v>QSObject:Swap:w1~swap.744:20006</v>
      </c>
      <c r="F746" s="6" t="str">
        <f>_xll.QS.TRADE.CREATE("trade.744",E746,A746,"Receive")</f>
        <v>QSObject:SwapTrade:w1~trade.744:24228</v>
      </c>
      <c r="G746" s="3">
        <f>_xll.QS.EVALUATE(C746,F746)</f>
        <v>36666.909023843036</v>
      </c>
      <c r="H746" s="5" t="s">
        <v>1533</v>
      </c>
      <c r="I746" s="7">
        <v>1074400</v>
      </c>
      <c r="J746" s="8">
        <v>3.9399999999999998E-2</v>
      </c>
    </row>
    <row r="747" spans="1:10" x14ac:dyDescent="0.25">
      <c r="A747" s="5" t="s">
        <v>1521</v>
      </c>
      <c r="B747" s="5" t="s">
        <v>1534</v>
      </c>
      <c r="C747" s="6" t="str">
        <f>_xll.QS.CONTEXT.CREATE("market.745",A747,"USD","SOFR")</f>
        <v>QSObject:PricingContext:w1~market.745:6616</v>
      </c>
      <c r="D747" s="6" t="str">
        <f>_xll.QS.CONTEXT.ADD.CURVE(C747,"SOFR",$K$2:$K$7,$L$2:$L$7,,,"Actual360","LogLinear",TRUE)</f>
        <v>QSObject:ContextInput:w1~input.qs_context_add_curve.2359132437744.746.3.0:39251</v>
      </c>
      <c r="E747" s="6" t="str">
        <f>_xll.QS.INSTRUMENT.SWAP("swap.745",H747,B747,"USD","SOFR",I747,J747,0,"Actual360","Simple","Annual","Annual","Annual")</f>
        <v>QSObject:Swap:w1~swap.745:5011</v>
      </c>
      <c r="F747" s="6" t="str">
        <f>_xll.QS.TRADE.CREATE("trade.745",E747,A747,"Receive")</f>
        <v>QSObject:SwapTrade:w1~trade.745:16322</v>
      </c>
      <c r="G747" s="3">
        <f>_xll.QS.EVALUATE(C747,F747)</f>
        <v>37175.542556810426</v>
      </c>
      <c r="H747" s="5" t="s">
        <v>1535</v>
      </c>
      <c r="I747" s="7">
        <v>1074500</v>
      </c>
      <c r="J747" s="8">
        <v>3.9500000000000007E-2</v>
      </c>
    </row>
    <row r="748" spans="1:10" x14ac:dyDescent="0.25">
      <c r="A748" s="5" t="s">
        <v>1523</v>
      </c>
      <c r="B748" s="5" t="s">
        <v>1536</v>
      </c>
      <c r="C748" s="6" t="str">
        <f>_xll.QS.CONTEXT.CREATE("market.746",A748,"USD","SOFR")</f>
        <v>QSObject:PricingContext:w1~market.746:14644</v>
      </c>
      <c r="D748" s="6" t="str">
        <f>_xll.QS.CONTEXT.ADD.CURVE(C748,"SOFR",$K$2:$K$7,$L$2:$L$7,,,"Actual360","LogLinear",TRUE)</f>
        <v>QSObject:ContextInput:w1~input.qs_context_add_curve.2359132437744.747.3.0:17350</v>
      </c>
      <c r="E748" s="6" t="str">
        <f>_xll.QS.INSTRUMENT.SWAP("swap.746",H748,B748,"USD","SOFR",I748,J748,0,"Actual360","Simple","Annual","Annual","Annual")</f>
        <v>QSObject:Swap:w1~swap.746:13001</v>
      </c>
      <c r="F748" s="6" t="str">
        <f>_xll.QS.TRADE.CREATE("trade.746",E748,A748,"Receive")</f>
        <v>QSObject:SwapTrade:w1~trade.746:20005</v>
      </c>
      <c r="G748" s="3">
        <f>_xll.QS.EVALUATE(C748,F748)</f>
        <v>37675.327468394156</v>
      </c>
      <c r="H748" s="5" t="s">
        <v>1537</v>
      </c>
      <c r="I748" s="7">
        <v>1074600</v>
      </c>
      <c r="J748" s="8">
        <v>3.9600000000000003E-2</v>
      </c>
    </row>
    <row r="749" spans="1:10" x14ac:dyDescent="0.25">
      <c r="A749" s="5" t="s">
        <v>1525</v>
      </c>
      <c r="B749" s="5" t="s">
        <v>1538</v>
      </c>
      <c r="C749" s="6" t="str">
        <f>_xll.QS.CONTEXT.CREATE("market.747",A749,"USD","SOFR")</f>
        <v>QSObject:PricingContext:w1~market.747:18317</v>
      </c>
      <c r="D749" s="6" t="str">
        <f>_xll.QS.CONTEXT.ADD.CURVE(C749,"SOFR",$K$2:$K$7,$L$2:$L$7,,,"Actual360","LogLinear",TRUE)</f>
        <v>QSObject:ContextInput:w1~input.qs_context_add_curve.2359132437744.748.3.0:39250</v>
      </c>
      <c r="E749" s="6" t="str">
        <f>_xll.QS.INSTRUMENT.SWAP("swap.747",H749,B749,"USD","SOFR",I749,J749,0,"Actual360","Simple","Annual","Annual","Annual")</f>
        <v>QSObject:Swap:w1~swap.747:8215</v>
      </c>
      <c r="F749" s="6" t="str">
        <f>_xll.QS.TRADE.CREATE("trade.747",E749,A749,"Receive")</f>
        <v>QSObject:SwapTrade:w1~trade.747:9815</v>
      </c>
      <c r="G749" s="3">
        <f>_xll.QS.EVALUATE(C749,F749)</f>
        <v>38040.151750093035</v>
      </c>
      <c r="H749" s="5" t="s">
        <v>1539</v>
      </c>
      <c r="I749" s="7">
        <v>1074700</v>
      </c>
      <c r="J749" s="8">
        <v>3.9700000000000013E-2</v>
      </c>
    </row>
    <row r="750" spans="1:10" x14ac:dyDescent="0.25">
      <c r="A750" s="5" t="s">
        <v>1527</v>
      </c>
      <c r="B750" s="5" t="s">
        <v>1540</v>
      </c>
      <c r="C750" s="6" t="str">
        <f>_xll.QS.CONTEXT.CREATE("market.748",A750,"USD","SOFR")</f>
        <v>QSObject:PricingContext:w1~market.748:6615</v>
      </c>
      <c r="D750" s="6" t="str">
        <f>_xll.QS.CONTEXT.ADD.CURVE(C750,"SOFR",$K$2:$K$7,$L$2:$L$7,,,"Actual360","LogLinear",TRUE)</f>
        <v>QSObject:ContextInput:w1~input.qs_context_add_curve.2359132437744.749.3.0:30327</v>
      </c>
      <c r="E750" s="6" t="str">
        <f>_xll.QS.INSTRUMENT.SWAP("swap.748",H750,B750,"USD","SOFR",I750,J750,0,"Actual360","Simple","Annual","Annual","Annual")</f>
        <v>QSObject:Swap:w1~swap.748:11475</v>
      </c>
      <c r="F750" s="6" t="str">
        <f>_xll.QS.TRADE.CREATE("trade.748",E750,A750,"Receive")</f>
        <v>QSObject:SwapTrade:w1~trade.748:14643</v>
      </c>
      <c r="G750" s="3">
        <f>_xll.QS.EVALUATE(C750,F750)</f>
        <v>38542.678637604316</v>
      </c>
      <c r="H750" s="5" t="s">
        <v>1541</v>
      </c>
      <c r="I750" s="7">
        <v>1074800</v>
      </c>
      <c r="J750" s="8">
        <v>3.9800000000000002E-2</v>
      </c>
    </row>
    <row r="751" spans="1:10" x14ac:dyDescent="0.25">
      <c r="A751" s="5" t="s">
        <v>1529</v>
      </c>
      <c r="B751" s="5" t="s">
        <v>1542</v>
      </c>
      <c r="C751" s="6" t="str">
        <f>_xll.QS.CONTEXT.CREATE("market.749",A751,"USD","SOFR")</f>
        <v>QSObject:PricingContext:w1~market.749:20004</v>
      </c>
      <c r="D751" s="6" t="str">
        <f>_xll.QS.CONTEXT.ADD.CURVE(C751,"SOFR",$K$2:$K$7,$L$2:$L$7,,,"Actual360","LogLinear",TRUE)</f>
        <v>QSObject:ContextInput:w1~input.qs_context_add_curve.2359132437744.750.3.0:39249</v>
      </c>
      <c r="E751" s="6" t="str">
        <f>_xll.QS.INSTRUMENT.SWAP("swap.749",H751,B751,"USD","SOFR",I751,J751,0,"Actual360","Simple","Annual","Annual","Annual")</f>
        <v>QSObject:Swap:w1~swap.749:17349</v>
      </c>
      <c r="F751" s="6" t="str">
        <f>_xll.QS.TRADE.CREATE("trade.749",E751,A751,"Receive")</f>
        <v>QSObject:SwapTrade:w1~trade.749:31161</v>
      </c>
      <c r="G751" s="3">
        <f>_xll.QS.EVALUATE(C751,F751)</f>
        <v>39045.147531670103</v>
      </c>
      <c r="H751" s="5" t="s">
        <v>1543</v>
      </c>
      <c r="I751" s="7">
        <v>1074900</v>
      </c>
      <c r="J751" s="8">
        <v>3.9899999999999998E-2</v>
      </c>
    </row>
    <row r="752" spans="1:10" x14ac:dyDescent="0.25">
      <c r="A752" s="5" t="s">
        <v>1531</v>
      </c>
      <c r="B752" s="5" t="s">
        <v>1544</v>
      </c>
      <c r="C752" s="6" t="str">
        <f>_xll.QS.CONTEXT.CREATE("market.750",A752,"USD","SOFR")</f>
        <v>QSObject:PricingContext:w1~market.750:8214</v>
      </c>
      <c r="D752" s="6" t="str">
        <f>_xll.QS.CONTEXT.ADD.CURVE(C752,"SOFR",$K$2:$K$7,$L$2:$L$7,,,"Actual360","LogLinear",TRUE)</f>
        <v>QSObject:ContextInput:w1~input.qs_context_add_curve.2359132437744.751.3.0:18316</v>
      </c>
      <c r="E752" s="6" t="str">
        <f>_xll.QS.INSTRUMENT.SWAP("swap.750",H752,B752,"USD","SOFR",I752,J752,0,"Actual360","Simple","Annual","Annual","Annual")</f>
        <v>QSObject:Swap:w1~swap.750:13000</v>
      </c>
      <c r="F752" s="6" t="str">
        <f>_xll.QS.TRADE.CREATE("trade.750",E752,A752,"Receive")</f>
        <v>QSObject:SwapTrade:w1~trade.750:31160</v>
      </c>
      <c r="G752" s="3">
        <f>_xll.QS.EVALUATE(C752,F752)</f>
        <v>14824.927738434471</v>
      </c>
      <c r="H752" s="5" t="s">
        <v>1545</v>
      </c>
      <c r="I752" s="7">
        <v>1075000</v>
      </c>
      <c r="J752" s="8">
        <v>3.5000000000000003E-2</v>
      </c>
    </row>
    <row r="753" spans="1:10" x14ac:dyDescent="0.25">
      <c r="A753" s="5" t="s">
        <v>1533</v>
      </c>
      <c r="B753" s="5" t="s">
        <v>1546</v>
      </c>
      <c r="C753" s="6" t="str">
        <f>_xll.QS.CONTEXT.CREATE("market.751",A753,"USD","SOFR")</f>
        <v>QSObject:PricingContext:w1~market.751:6614</v>
      </c>
      <c r="D753" s="6" t="str">
        <f>_xll.QS.CONTEXT.ADD.CURVE(C753,"SOFR",$K$2:$K$7,$L$2:$L$7,,,"Actual360","LogLinear",TRUE)</f>
        <v>QSObject:ContextInput:w1~input.qs_context_add_curve.2359132437744.752.3.0:39248</v>
      </c>
      <c r="E753" s="6" t="str">
        <f>_xll.QS.INSTRUMENT.SWAP("swap.751",H753,B753,"USD","SOFR",I753,J753,0,"Actual360","Simple","Annual","Annual","Annual")</f>
        <v>QSObject:Swap:w1~swap.751:1905</v>
      </c>
      <c r="F753" s="6" t="str">
        <f>_xll.QS.TRADE.CREATE("trade.751",E753,A753,"Receive")</f>
        <v>QSObject:SwapTrade:w1~trade.751:16321</v>
      </c>
      <c r="G753" s="3">
        <f>_xll.QS.EVALUATE(C753,F753)</f>
        <v>15322.18419899841</v>
      </c>
      <c r="H753" s="5" t="s">
        <v>1547</v>
      </c>
      <c r="I753" s="7">
        <v>1075100</v>
      </c>
      <c r="J753" s="8">
        <v>3.5100000000000013E-2</v>
      </c>
    </row>
    <row r="754" spans="1:10" x14ac:dyDescent="0.25">
      <c r="A754" s="5" t="s">
        <v>1535</v>
      </c>
      <c r="B754" s="5" t="s">
        <v>1548</v>
      </c>
      <c r="C754" s="6" t="str">
        <f>_xll.QS.CONTEXT.CREATE("market.752",A754,"USD","SOFR")</f>
        <v>QSObject:PricingContext:w1~market.752:14642</v>
      </c>
      <c r="D754" s="6" t="str">
        <f>_xll.QS.CONTEXT.ADD.CURVE(C754,"SOFR",$K$2:$K$7,$L$2:$L$7,,,"Actual360","LogLinear",TRUE)</f>
        <v>QSObject:ContextInput:w1~input.qs_context_add_curve.2359132437744.753.3.0:20003</v>
      </c>
      <c r="E754" s="6" t="str">
        <f>_xll.QS.INSTRUMENT.SWAP("swap.752",H754,B754,"USD","SOFR",I754,J754,0,"Actual360","Simple","Annual","Annual","Annual")</f>
        <v>QSObject:Swap:w1~swap.752:11474</v>
      </c>
      <c r="F754" s="6" t="str">
        <f>_xll.QS.TRADE.CREATE("trade.752",E754,A754,"Receive")</f>
        <v>QSObject:SwapTrade:w1~trade.752:17348</v>
      </c>
      <c r="G754" s="3">
        <f>_xll.QS.EVALUATE(C754,F754)</f>
        <v>15825.59672576599</v>
      </c>
      <c r="H754" s="5" t="s">
        <v>1549</v>
      </c>
      <c r="I754" s="7">
        <v>1075200</v>
      </c>
      <c r="J754" s="8">
        <v>3.5200000000000002E-2</v>
      </c>
    </row>
    <row r="755" spans="1:10" x14ac:dyDescent="0.25">
      <c r="A755" s="5" t="s">
        <v>1537</v>
      </c>
      <c r="B755" s="5" t="s">
        <v>1550</v>
      </c>
      <c r="C755" s="6" t="str">
        <f>_xll.QS.CONTEXT.CREATE("market.753",A755,"USD","SOFR")</f>
        <v>QSObject:PricingContext:w1~market.753:12999</v>
      </c>
      <c r="D755" s="6" t="str">
        <f>_xll.QS.CONTEXT.ADD.CURVE(C755,"SOFR",$K$2:$K$7,$L$2:$L$7,,,"Actual360","LogLinear",TRUE)</f>
        <v>QSObject:ContextInput:w1~input.qs_context_add_curve.2359132437744.754.3.0:31159</v>
      </c>
      <c r="E755" s="6" t="str">
        <f>_xll.QS.INSTRUMENT.SWAP("swap.753",H755,B755,"USD","SOFR",I755,J755,0,"Actual360","Simple","Annual","Annual","Annual")</f>
        <v>QSObject:Swap:w1~swap.753:8213</v>
      </c>
      <c r="F755" s="6" t="str">
        <f>_xll.QS.TRADE.CREATE("trade.753",E755,A755,"Receive")</f>
        <v>QSObject:SwapTrade:w1~trade.753:18315</v>
      </c>
      <c r="G755" s="3">
        <f>_xll.QS.EVALUATE(C755,F755)</f>
        <v>16323.392794623207</v>
      </c>
      <c r="H755" s="5" t="s">
        <v>1551</v>
      </c>
      <c r="I755" s="7">
        <v>1075300</v>
      </c>
      <c r="J755" s="8">
        <v>3.5299999999999998E-2</v>
      </c>
    </row>
    <row r="756" spans="1:10" x14ac:dyDescent="0.25">
      <c r="A756" s="5" t="s">
        <v>1539</v>
      </c>
      <c r="B756" s="5" t="s">
        <v>1552</v>
      </c>
      <c r="C756" s="6" t="str">
        <f>_xll.QS.CONTEXT.CREATE("market.754",A756,"USD","SOFR")</f>
        <v>QSObject:PricingContext:w1~market.754:1904</v>
      </c>
      <c r="D756" s="6" t="str">
        <f>_xll.QS.CONTEXT.ADD.CURVE(C756,"SOFR",$K$2:$K$7,$L$2:$L$7,,,"Actual360","LogLinear",TRUE)</f>
        <v>QSObject:ContextInput:w1~input.qs_context_add_curve.2359132437744.755.3.0:6613</v>
      </c>
      <c r="E756" s="6" t="str">
        <f>_xll.QS.INSTRUMENT.SWAP("swap.754",H756,B756,"USD","SOFR",I756,J756,0,"Actual360","Simple","Annual","Annual","Annual")</f>
        <v>QSObject:Swap:w1~swap.754:9814</v>
      </c>
      <c r="F756" s="6" t="str">
        <f>_xll.QS.TRADE.CREATE("trade.754",E756,A756,"Receive")</f>
        <v>QSObject:SwapTrade:w1~trade.754:16320</v>
      </c>
      <c r="G756" s="3">
        <f>_xll.QS.EVALUATE(C756,F756)</f>
        <v>16691.20669815435</v>
      </c>
      <c r="H756" s="5" t="s">
        <v>1553</v>
      </c>
      <c r="I756" s="7">
        <v>1075400</v>
      </c>
      <c r="J756" s="8">
        <v>3.5400000000000001E-2</v>
      </c>
    </row>
    <row r="757" spans="1:10" x14ac:dyDescent="0.25">
      <c r="A757" s="5" t="s">
        <v>1541</v>
      </c>
      <c r="B757" s="5" t="s">
        <v>1554</v>
      </c>
      <c r="C757" s="6" t="str">
        <f>_xll.QS.CONTEXT.CREATE("market.755",A757,"USD","SOFR")</f>
        <v>QSObject:PricingContext:w1~market.755:20002</v>
      </c>
      <c r="D757" s="6" t="str">
        <f>_xll.QS.CONTEXT.ADD.CURVE(C757,"SOFR",$K$2:$K$7,$L$2:$L$7,,,"Actual360","LogLinear",TRUE)</f>
        <v>QSObject:ContextInput:w1~input.qs_context_add_curve.2359132437744.756.3.0:39247</v>
      </c>
      <c r="E757" s="6" t="str">
        <f>_xll.QS.INSTRUMENT.SWAP("swap.755",H757,B757,"USD","SOFR",I757,J757,0,"Actual360","Simple","Annual","Annual","Annual")</f>
        <v>QSObject:Swap:w1~swap.755:3445</v>
      </c>
      <c r="F757" s="6" t="str">
        <f>_xll.QS.TRADE.CREATE("trade.755",E757,A757,"Receive")</f>
        <v>QSObject:SwapTrade:w1~trade.755:11473</v>
      </c>
      <c r="G757" s="3">
        <f>_xll.QS.EVALUATE(C757,F757)</f>
        <v>17190.158840532491</v>
      </c>
      <c r="H757" s="5" t="s">
        <v>1555</v>
      </c>
      <c r="I757" s="7">
        <v>1075500</v>
      </c>
      <c r="J757" s="8">
        <v>3.5499999999999997E-2</v>
      </c>
    </row>
    <row r="758" spans="1:10" x14ac:dyDescent="0.25">
      <c r="A758" s="5" t="s">
        <v>1543</v>
      </c>
      <c r="B758" s="5" t="s">
        <v>1556</v>
      </c>
      <c r="C758" s="6" t="str">
        <f>_xll.QS.CONTEXT.CREATE("market.756",A758,"USD","SOFR")</f>
        <v>QSObject:PricingContext:w1~market.756:12998</v>
      </c>
      <c r="D758" s="6" t="str">
        <f>_xll.QS.CONTEXT.ADD.CURVE(C758,"SOFR",$K$2:$K$7,$L$2:$L$7,,,"Actual360","LogLinear",TRUE)</f>
        <v>QSObject:ContextInput:w1~input.qs_context_add_curve.2359132437744.757.3.0:39246</v>
      </c>
      <c r="E758" s="6" t="str">
        <f>_xll.QS.INSTRUMENT.SWAP("swap.756",H758,B758,"USD","SOFR",I758,J758,0,"Actual360","Simple","Annual","Annual","Annual")</f>
        <v>QSObject:Swap:w1~swap.756:17347</v>
      </c>
      <c r="F758" s="6" t="str">
        <f>_xll.QS.TRADE.CREATE("trade.756",E758,A758,"Receive")</f>
        <v>QSObject:SwapTrade:w1~trade.756:18314</v>
      </c>
      <c r="G758" s="3">
        <f>_xll.QS.EVALUATE(C758,F758)</f>
        <v>17732.228612598417</v>
      </c>
      <c r="H758" s="5" t="s">
        <v>1557</v>
      </c>
      <c r="I758" s="7">
        <v>1075600</v>
      </c>
      <c r="J758" s="8">
        <v>3.5600000000000007E-2</v>
      </c>
    </row>
    <row r="759" spans="1:10" x14ac:dyDescent="0.25">
      <c r="A759" s="5" t="s">
        <v>1545</v>
      </c>
      <c r="B759" s="5" t="s">
        <v>1558</v>
      </c>
      <c r="C759" s="6" t="str">
        <f>_xll.QS.CONTEXT.CREATE("market.757",A759,"USD","SOFR")</f>
        <v>QSObject:PricingContext:w1~market.757:1903</v>
      </c>
      <c r="D759" s="6" t="str">
        <f>_xll.QS.CONTEXT.ADD.CURVE(C759,"SOFR",$K$2:$K$7,$L$2:$L$7,,,"Actual360","LogLinear",TRUE)</f>
        <v>QSObject:ContextInput:w1~input.qs_context_add_curve.2359132437744.758.3.0:6612</v>
      </c>
      <c r="E759" s="6" t="str">
        <f>_xll.QS.INSTRUMENT.SWAP("swap.757",H759,B759,"USD","SOFR",I759,J759,0,"Actual360","Simple","Annual","Annual","Annual")</f>
        <v>QSObject:Swap:w1~swap.757:8212</v>
      </c>
      <c r="F759" s="6" t="str">
        <f>_xll.QS.TRADE.CREATE("trade.757",E759,A759,"Receive")</f>
        <v>QSObject:SwapTrade:w1~trade.757:16319</v>
      </c>
      <c r="G759" s="3">
        <f>_xll.QS.EVALUATE(C759,F759)</f>
        <v>18309.047430276125</v>
      </c>
      <c r="H759" s="5" t="s">
        <v>1559</v>
      </c>
      <c r="I759" s="7">
        <v>1075700</v>
      </c>
      <c r="J759" s="8">
        <v>3.5700000000000003E-2</v>
      </c>
    </row>
    <row r="760" spans="1:10" x14ac:dyDescent="0.25">
      <c r="A760" s="5" t="s">
        <v>1547</v>
      </c>
      <c r="B760" s="5" t="s">
        <v>1560</v>
      </c>
      <c r="C760" s="6" t="str">
        <f>_xll.QS.CONTEXT.CREATE("market.758",A760,"USD","SOFR")</f>
        <v>QSObject:PricingContext:w1~market.758:3444</v>
      </c>
      <c r="D760" s="6" t="str">
        <f>_xll.QS.CONTEXT.ADD.CURVE(C760,"SOFR",$K$2:$K$7,$L$2:$L$7,,,"Actual360","LogLinear",TRUE)</f>
        <v>QSObject:ContextInput:w1~input.qs_context_add_curve.2359132437744.759.3.0:9813</v>
      </c>
      <c r="E760" s="6" t="str">
        <f>_xll.QS.INSTRUMENT.SWAP("swap.758",H760,B760,"USD","SOFR",I760,J760,0,"Actual360","Simple","Annual","Annual","Annual")</f>
        <v>QSObject:Swap:w1~swap.758:20001</v>
      </c>
      <c r="F760" s="6" t="str">
        <f>_xll.QS.TRADE.CREATE("trade.758",E760,A760,"Receive")</f>
        <v>QSObject:SwapTrade:w1~trade.758:30326</v>
      </c>
      <c r="G760" s="3">
        <f>_xll.QS.EVALUATE(C760,F760)</f>
        <v>18806.964183430493</v>
      </c>
      <c r="H760" s="5" t="s">
        <v>1561</v>
      </c>
      <c r="I760" s="7">
        <v>1075800</v>
      </c>
      <c r="J760" s="8">
        <v>3.5800000000000012E-2</v>
      </c>
    </row>
    <row r="761" spans="1:10" x14ac:dyDescent="0.25">
      <c r="A761" s="5" t="s">
        <v>1549</v>
      </c>
      <c r="B761" s="5" t="s">
        <v>1562</v>
      </c>
      <c r="C761" s="6" t="str">
        <f>_xll.QS.CONTEXT.CREATE("market.759",A761,"USD","SOFR")</f>
        <v>QSObject:PricingContext:w1~market.759:5010</v>
      </c>
      <c r="D761" s="6" t="str">
        <f>_xll.QS.CONTEXT.ADD.CURVE(C761,"SOFR",$K$2:$K$7,$L$2:$L$7,,,"Actual360","LogLinear",TRUE)</f>
        <v>QSObject:ContextInput:w1~input.qs_context_add_curve.2359132437744.760.3.0:17346</v>
      </c>
      <c r="E761" s="6" t="str">
        <f>_xll.QS.INSTRUMENT.SWAP("swap.759",H761,B761,"USD","SOFR",I761,J761,0,"Actual360","Simple","Annual","Annual","Annual")</f>
        <v>QSObject:Swap:w1~swap.759:14641</v>
      </c>
      <c r="F761" s="6" t="str">
        <f>_xll.QS.TRADE.CREATE("trade.759",E761,A761,"Receive")</f>
        <v>QSObject:SwapTrade:w1~trade.759:31158</v>
      </c>
      <c r="G761" s="3">
        <f>_xll.QS.EVALUATE(C761,F761)</f>
        <v>19310.415067589554</v>
      </c>
      <c r="H761" s="5" t="s">
        <v>1563</v>
      </c>
      <c r="I761" s="7">
        <v>1075900</v>
      </c>
      <c r="J761" s="8">
        <v>3.5900000000000001E-2</v>
      </c>
    </row>
    <row r="762" spans="1:10" x14ac:dyDescent="0.25">
      <c r="A762" s="5" t="s">
        <v>1551</v>
      </c>
      <c r="B762" s="5" t="s">
        <v>1564</v>
      </c>
      <c r="C762" s="6" t="str">
        <f>_xll.QS.CONTEXT.CREATE("market.760",A762,"USD","SOFR")</f>
        <v>QSObject:PricingContext:w1~market.760:8211</v>
      </c>
      <c r="D762" s="6" t="str">
        <f>_xll.QS.CONTEXT.ADD.CURVE(C762,"SOFR",$K$2:$K$7,$L$2:$L$7,,,"Actual360","LogLinear",TRUE)</f>
        <v>QSObject:ContextInput:w1~input.qs_context_add_curve.2359132437744.761.3.0:16318</v>
      </c>
      <c r="E762" s="6" t="str">
        <f>_xll.QS.INSTRUMENT.SWAP("swap.760",H762,B762,"USD","SOFR",I762,J762,0,"Actual360","Simple","Annual","Annual","Annual")</f>
        <v>QSObject:Swap:w1~swap.760:6611</v>
      </c>
      <c r="F762" s="6" t="str">
        <f>_xll.QS.TRADE.CREATE("trade.760",E762,A762,"Receive")</f>
        <v>QSObject:SwapTrade:w1~trade.760:30325</v>
      </c>
      <c r="G762" s="3">
        <f>_xll.QS.EVALUATE(C762,F762)</f>
        <v>19809.516280382381</v>
      </c>
      <c r="H762" s="5" t="s">
        <v>1565</v>
      </c>
      <c r="I762" s="7">
        <v>1076000</v>
      </c>
      <c r="J762" s="8">
        <v>3.5999999999999997E-2</v>
      </c>
    </row>
    <row r="763" spans="1:10" x14ac:dyDescent="0.25">
      <c r="A763" s="5" t="s">
        <v>1553</v>
      </c>
      <c r="B763" s="5" t="s">
        <v>1566</v>
      </c>
      <c r="C763" s="6" t="str">
        <f>_xll.QS.CONTEXT.CREATE("market.761",A763,"USD","SOFR")</f>
        <v>QSObject:PricingContext:w1~market.761:1902</v>
      </c>
      <c r="D763" s="6" t="str">
        <f>_xll.QS.CONTEXT.ADD.CURVE(C763,"SOFR",$K$2:$K$7,$L$2:$L$7,,,"Actual360","LogLinear",TRUE)</f>
        <v>QSObject:ContextInput:w1~input.qs_context_add_curve.2359132437744.762.3.0:11472</v>
      </c>
      <c r="E763" s="6" t="str">
        <f>_xll.QS.INSTRUMENT.SWAP("swap.761",H763,B763,"USD","SOFR",I763,J763,0,"Actual360","Simple","Annual","Annual","Annual")</f>
        <v>QSObject:Swap:w1~swap.761:9812</v>
      </c>
      <c r="F763" s="6" t="str">
        <f>_xll.QS.TRADE.CREATE("trade.761",E763,A763,"Receive")</f>
        <v>QSObject:SwapTrade:w1~trade.761:18313</v>
      </c>
      <c r="G763" s="3">
        <f>_xll.QS.EVALUATE(C763,F763)</f>
        <v>20176.738989535599</v>
      </c>
      <c r="H763" s="5" t="s">
        <v>1567</v>
      </c>
      <c r="I763" s="7">
        <v>1076100</v>
      </c>
      <c r="J763" s="8">
        <v>3.61E-2</v>
      </c>
    </row>
    <row r="764" spans="1:10" x14ac:dyDescent="0.25">
      <c r="A764" s="5" t="s">
        <v>1555</v>
      </c>
      <c r="B764" s="5" t="s">
        <v>1568</v>
      </c>
      <c r="C764" s="6" t="str">
        <f>_xll.QS.CONTEXT.CREATE("market.762",A764,"USD","SOFR")</f>
        <v>QSObject:PricingContext:w1~market.762:5009</v>
      </c>
      <c r="D764" s="6" t="str">
        <f>_xll.QS.CONTEXT.ADD.CURVE(C764,"SOFR",$K$2:$K$7,$L$2:$L$7,,,"Actual360","LogLinear",TRUE)</f>
        <v>QSObject:ContextInput:w1~input.qs_context_add_curve.2359132437744.763.3.0:14640</v>
      </c>
      <c r="E764" s="6" t="str">
        <f>_xll.QS.INSTRUMENT.SWAP("swap.762",H764,B764,"USD","SOFR",I764,J764,0,"Actual360","Simple","Annual","Annual","Annual")</f>
        <v>QSObject:Swap:w1~swap.762:20000</v>
      </c>
      <c r="F764" s="6" t="str">
        <f>_xll.QS.TRADE.CREATE("trade.762",E764,A764,"Receive")</f>
        <v>QSObject:SwapTrade:w1~trade.762:31157</v>
      </c>
      <c r="G764" s="3">
        <f>_xll.QS.EVALUATE(C764,F764)</f>
        <v>20676.629203956389</v>
      </c>
      <c r="H764" s="5" t="s">
        <v>1569</v>
      </c>
      <c r="I764" s="7">
        <v>1076200</v>
      </c>
      <c r="J764" s="8">
        <v>3.6200000000000003E-2</v>
      </c>
    </row>
    <row r="765" spans="1:10" x14ac:dyDescent="0.25">
      <c r="A765" s="5" t="s">
        <v>1557</v>
      </c>
      <c r="B765" s="5" t="s">
        <v>1570</v>
      </c>
      <c r="C765" s="6" t="str">
        <f>_xll.QS.CONTEXT.CREATE("market.763",A765,"USD","SOFR")</f>
        <v>QSObject:PricingContext:w1~market.763:12997</v>
      </c>
      <c r="D765" s="6" t="str">
        <f>_xll.QS.CONTEXT.ADD.CURVE(C765,"SOFR",$K$2:$K$7,$L$2:$L$7,,,"Actual360","LogLinear",TRUE)</f>
        <v>QSObject:ContextInput:w1~input.qs_context_add_curve.2359132437744.764.3.0:16317</v>
      </c>
      <c r="E765" s="6" t="str">
        <f>_xll.QS.INSTRUMENT.SWAP("swap.763",H765,B765,"USD","SOFR",I765,J765,0,"Actual360","Simple","Annual","Annual","Annual")</f>
        <v>QSObject:Swap:w1~swap.763:17345</v>
      </c>
      <c r="F765" s="6" t="str">
        <f>_xll.QS.TRADE.CREATE("trade.763",E765,A765,"Receive")</f>
        <v>QSObject:SwapTrade:w1~trade.763:30324</v>
      </c>
      <c r="G765" s="3">
        <f>_xll.QS.EVALUATE(C765,F765)</f>
        <v>21219.713648922527</v>
      </c>
      <c r="H765" s="5" t="s">
        <v>1571</v>
      </c>
      <c r="I765" s="7">
        <v>1076300</v>
      </c>
      <c r="J765" s="8">
        <v>3.6300000000000013E-2</v>
      </c>
    </row>
    <row r="766" spans="1:10" x14ac:dyDescent="0.25">
      <c r="A766" s="5" t="s">
        <v>1559</v>
      </c>
      <c r="B766" s="5" t="s">
        <v>1572</v>
      </c>
      <c r="C766" s="6" t="str">
        <f>_xll.QS.CONTEXT.CREATE("market.764",A766,"USD","SOFR")</f>
        <v>QSObject:PricingContext:w1~market.764:11471</v>
      </c>
      <c r="D766" s="6" t="str">
        <f>_xll.QS.CONTEXT.ADD.CURVE(C766,"SOFR",$K$2:$K$7,$L$2:$L$7,,,"Actual360","LogLinear",TRUE)</f>
        <v>QSObject:ContextInput:w1~input.qs_context_add_curve.2359132437744.765.3.0:39245</v>
      </c>
      <c r="E766" s="6" t="str">
        <f>_xll.QS.INSTRUMENT.SWAP("swap.764",H766,B766,"USD","SOFR",I766,J766,0,"Actual360","Simple","Annual","Annual","Annual")</f>
        <v>QSObject:Swap:w1~swap.764:3443</v>
      </c>
      <c r="F766" s="6" t="str">
        <f>_xll.QS.TRADE.CREATE("trade.764",E766,A766,"Receive")</f>
        <v>QSObject:SwapTrade:w1~trade.764:9811</v>
      </c>
      <c r="G766" s="3">
        <f>_xll.QS.EVALUATE(C766,F766)</f>
        <v>21796.873557831892</v>
      </c>
      <c r="H766" s="5" t="s">
        <v>1573</v>
      </c>
      <c r="I766" s="7">
        <v>1076400</v>
      </c>
      <c r="J766" s="8">
        <v>3.6400000000000002E-2</v>
      </c>
    </row>
    <row r="767" spans="1:10" x14ac:dyDescent="0.25">
      <c r="A767" s="5" t="s">
        <v>1561</v>
      </c>
      <c r="B767" s="5" t="s">
        <v>1574</v>
      </c>
      <c r="C767" s="6" t="str">
        <f>_xll.QS.CONTEXT.CREATE("market.765",A767,"USD","SOFR")</f>
        <v>QSObject:PricingContext:w1~market.765:14639</v>
      </c>
      <c r="D767" s="6" t="str">
        <f>_xll.QS.CONTEXT.ADD.CURVE(C767,"SOFR",$K$2:$K$7,$L$2:$L$7,,,"Actual360","LogLinear",TRUE)</f>
        <v>QSObject:ContextInput:w1~input.qs_context_add_curve.2359132437744.766.3.0:31156</v>
      </c>
      <c r="E767" s="6" t="str">
        <f>_xll.QS.INSTRUMENT.SWAP("swap.765",H767,B767,"USD","SOFR",I767,J767,0,"Actual360","Simple","Annual","Annual","Annual")</f>
        <v>QSObject:Swap:w1~swap.765:18312</v>
      </c>
      <c r="F767" s="6" t="str">
        <f>_xll.QS.TRADE.CREATE("trade.765",E767,A767,"Receive")</f>
        <v>QSObject:SwapTrade:w1~trade.765:30323</v>
      </c>
      <c r="G767" s="3">
        <f>_xll.QS.EVALUATE(C767,F767)</f>
        <v>22295.407967036263</v>
      </c>
      <c r="H767" s="5" t="s">
        <v>1575</v>
      </c>
      <c r="I767" s="7">
        <v>1076500</v>
      </c>
      <c r="J767" s="8">
        <v>3.6499999999999998E-2</v>
      </c>
    </row>
    <row r="768" spans="1:10" x14ac:dyDescent="0.25">
      <c r="A768" s="5" t="s">
        <v>1563</v>
      </c>
      <c r="B768" s="5" t="s">
        <v>1576</v>
      </c>
      <c r="C768" s="6" t="str">
        <f>_xll.QS.CONTEXT.CREATE("market.766",A768,"USD","SOFR")</f>
        <v>QSObject:PricingContext:w1~market.766:17344</v>
      </c>
      <c r="D768" s="6" t="str">
        <f>_xll.QS.CONTEXT.ADD.CURVE(C768,"SOFR",$K$2:$K$7,$L$2:$L$7,,,"Actual360","LogLinear",TRUE)</f>
        <v>QSObject:ContextInput:w1~input.qs_context_add_curve.2359132437744.767.3.0:30322</v>
      </c>
      <c r="E768" s="6" t="str">
        <f>_xll.QS.INSTRUMENT.SWAP("swap.766",H768,B768,"USD","SOFR",I768,J768,0,"Actual360","Simple","Annual","Annual","Annual")</f>
        <v>QSObject:Swap:w1~swap.766:19999</v>
      </c>
      <c r="F768" s="6" t="str">
        <f>_xll.QS.TRADE.CREATE("trade.766",E768,A768,"Receive")</f>
        <v>QSObject:SwapTrade:w1~trade.766:30414</v>
      </c>
      <c r="G768" s="3">
        <f>_xll.QS.EVALUATE(C768,F768)</f>
        <v>22799.842645811113</v>
      </c>
      <c r="H768" s="5" t="s">
        <v>1577</v>
      </c>
      <c r="I768" s="7">
        <v>1076600</v>
      </c>
      <c r="J768" s="8">
        <v>3.6600000000000001E-2</v>
      </c>
    </row>
    <row r="769" spans="1:10" x14ac:dyDescent="0.25">
      <c r="A769" s="5" t="s">
        <v>1565</v>
      </c>
      <c r="B769" s="5" t="s">
        <v>1578</v>
      </c>
      <c r="C769" s="6" t="str">
        <f>_xll.QS.CONTEXT.CREATE("market.767",A769,"USD","SOFR")</f>
        <v>QSObject:PricingContext:w1~market.767:11470</v>
      </c>
      <c r="D769" s="6" t="str">
        <f>_xll.QS.CONTEXT.ADD.CURVE(C769,"SOFR",$K$2:$K$7,$L$2:$L$7,,,"Actual360","LogLinear",TRUE)</f>
        <v>QSObject:ContextInput:w1~input.qs_context_add_curve.2359132437744.768.3.0:39244</v>
      </c>
      <c r="E769" s="6" t="str">
        <f>_xll.QS.INSTRUMENT.SWAP("swap.767",H769,B769,"USD","SOFR",I769,J769,0,"Actual360","Simple","Annual","Annual","Annual")</f>
        <v>QSObject:Swap:w1~swap.767:16316</v>
      </c>
      <c r="F769" s="6" t="str">
        <f>_xll.QS.TRADE.CREATE("trade.767",E769,A769,"Receive")</f>
        <v>QSObject:SwapTrade:w1~trade.767:31155</v>
      </c>
      <c r="G769" s="3">
        <f>_xll.QS.EVALUATE(C769,F769)</f>
        <v>23299.91908889528</v>
      </c>
      <c r="H769" s="5" t="s">
        <v>1579</v>
      </c>
      <c r="I769" s="7">
        <v>1076700</v>
      </c>
      <c r="J769" s="8">
        <v>3.6700000000000003E-2</v>
      </c>
    </row>
    <row r="770" spans="1:10" x14ac:dyDescent="0.25">
      <c r="A770" s="5" t="s">
        <v>1567</v>
      </c>
      <c r="B770" s="5" t="s">
        <v>1580</v>
      </c>
      <c r="C770" s="6" t="str">
        <f>_xll.QS.CONTEXT.CREATE("market.768",A770,"USD","SOFR")</f>
        <v>QSObject:PricingContext:w1~market.768:14638</v>
      </c>
      <c r="D770" s="6" t="str">
        <f>_xll.QS.CONTEXT.ADD.CURVE(C770,"SOFR",$K$2:$K$7,$L$2:$L$7,,,"Actual360","LogLinear",TRUE)</f>
        <v>QSObject:ContextInput:w1~input.qs_context_add_curve.2359132437744.769.3.0:39243</v>
      </c>
      <c r="E770" s="6" t="str">
        <f>_xll.QS.INSTRUMENT.SWAP("swap.768",H770,B770,"USD","SOFR",I770,J770,0,"Actual360","Simple","Annual","Annual","Annual")</f>
        <v>QSObject:Swap:w1~swap.768:3442</v>
      </c>
      <c r="F770" s="6" t="str">
        <f>_xll.QS.TRADE.CREATE("trade.768",E770,A770,"Receive")</f>
        <v>QSObject:SwapTrade:w1~trade.768:12996</v>
      </c>
      <c r="G770" s="3">
        <f>_xll.QS.EVALUATE(C770,F770)</f>
        <v>23622.463417922063</v>
      </c>
      <c r="H770" s="5" t="s">
        <v>1581</v>
      </c>
      <c r="I770" s="7">
        <v>1076800</v>
      </c>
      <c r="J770" s="8">
        <v>3.6800000000000013E-2</v>
      </c>
    </row>
    <row r="771" spans="1:10" x14ac:dyDescent="0.25">
      <c r="A771" s="5" t="s">
        <v>1569</v>
      </c>
      <c r="B771" s="5" t="s">
        <v>1582</v>
      </c>
      <c r="C771" s="6" t="str">
        <f>_xll.QS.CONTEXT.CREATE("market.769",A771,"USD","SOFR")</f>
        <v>QSObject:PricingContext:w1~market.769:6610</v>
      </c>
      <c r="D771" s="6" t="str">
        <f>_xll.QS.CONTEXT.ADD.CURVE(C771,"SOFR",$K$2:$K$7,$L$2:$L$7,,,"Actual360","LogLinear",TRUE)</f>
        <v>QSObject:ContextInput:w1~input.qs_context_add_curve.2359132437744.770.3.0:17343</v>
      </c>
      <c r="E771" s="6" t="str">
        <f>_xll.QS.INSTRUMENT.SWAP("swap.769",H771,B771,"USD","SOFR",I771,J771,0,"Actual360","Simple","Annual","Annual","Annual")</f>
        <v>QSObject:Swap:w1~swap.769:18311</v>
      </c>
      <c r="F771" s="6" t="str">
        <f>_xll.QS.TRADE.CREATE("trade.769",E771,A771,"Receive")</f>
        <v>QSObject:SwapTrade:w1~trade.769:29016</v>
      </c>
      <c r="G771" s="3">
        <f>_xll.QS.EVALUATE(C771,F771)</f>
        <v>24123.30689599365</v>
      </c>
      <c r="H771" s="5" t="s">
        <v>1583</v>
      </c>
      <c r="I771" s="7">
        <v>1076900</v>
      </c>
      <c r="J771" s="8">
        <v>3.6900000000000002E-2</v>
      </c>
    </row>
    <row r="772" spans="1:10" x14ac:dyDescent="0.25">
      <c r="A772" s="5" t="s">
        <v>1571</v>
      </c>
      <c r="B772" s="5" t="s">
        <v>1584</v>
      </c>
      <c r="C772" s="6" t="str">
        <f>_xll.QS.CONTEXT.CREATE("market.770",A772,"USD","SOFR")</f>
        <v>QSObject:PricingContext:w1~market.770:16315</v>
      </c>
      <c r="D772" s="6" t="str">
        <f>_xll.QS.CONTEXT.ADD.CURVE(C772,"SOFR",$K$2:$K$7,$L$2:$L$7,,,"Actual360","LogLinear",TRUE)</f>
        <v>QSObject:ContextInput:w1~input.qs_context_add_curve.2359132437744.771.3.0:39242</v>
      </c>
      <c r="E772" s="6" t="str">
        <f>_xll.QS.INSTRUMENT.SWAP("swap.770",H772,B772,"USD","SOFR",I772,J772,0,"Actual360","Simple","Annual","Annual","Annual")</f>
        <v>QSObject:Swap:w1~swap.770:19998</v>
      </c>
      <c r="F772" s="6" t="str">
        <f>_xll.QS.TRADE.CREATE("trade.770",E772,A772,"Receive")</f>
        <v>QSObject:SwapTrade:w1~trade.770:29684</v>
      </c>
      <c r="G772" s="3">
        <f>_xll.QS.EVALUATE(C772,F772)</f>
        <v>24667.335233593723</v>
      </c>
      <c r="H772" s="5" t="s">
        <v>1585</v>
      </c>
      <c r="I772" s="7">
        <v>1077000</v>
      </c>
      <c r="J772" s="8">
        <v>3.7000000000000012E-2</v>
      </c>
    </row>
    <row r="773" spans="1:10" x14ac:dyDescent="0.25">
      <c r="A773" s="5" t="s">
        <v>1573</v>
      </c>
      <c r="B773" s="5" t="s">
        <v>1586</v>
      </c>
      <c r="C773" s="6" t="str">
        <f>_xll.QS.CONTEXT.CREATE("market.771",A773,"USD","SOFR")</f>
        <v>QSObject:PricingContext:w1~market.771:12995</v>
      </c>
      <c r="D773" s="6" t="str">
        <f>_xll.QS.CONTEXT.ADD.CURVE(C773,"SOFR",$K$2:$K$7,$L$2:$L$7,,,"Actual360","LogLinear",TRUE)</f>
        <v>QSObject:ContextInput:w1~input.qs_context_add_curve.2359132437744.772.3.0:39241</v>
      </c>
      <c r="E773" s="6" t="str">
        <f>_xll.QS.INSTRUMENT.SWAP("swap.771",H773,B773,"USD","SOFR",I773,J773,0,"Actual360","Simple","Annual","Annual","Annual")</f>
        <v>QSObject:Swap:w1~swap.771:8210</v>
      </c>
      <c r="F773" s="6" t="str">
        <f>_xll.QS.TRADE.CREATE("trade.771",E773,A773,"Receive")</f>
        <v>QSObject:SwapTrade:w1~trade.771:22320</v>
      </c>
      <c r="G773" s="3">
        <f>_xll.QS.EVALUATE(C773,F773)</f>
        <v>25329.337400703356</v>
      </c>
      <c r="H773" s="5" t="s">
        <v>1587</v>
      </c>
      <c r="I773" s="7">
        <v>1077100</v>
      </c>
      <c r="J773" s="8">
        <v>3.7100000000000001E-2</v>
      </c>
    </row>
    <row r="774" spans="1:10" x14ac:dyDescent="0.25">
      <c r="A774" s="5" t="s">
        <v>1575</v>
      </c>
      <c r="B774" s="5" t="s">
        <v>1588</v>
      </c>
      <c r="C774" s="6" t="str">
        <f>_xll.QS.CONTEXT.CREATE("market.772",A774,"USD","SOFR")</f>
        <v>QSObject:PricingContext:w1~market.772:11469</v>
      </c>
      <c r="D774" s="6" t="str">
        <f>_xll.QS.CONTEXT.ADD.CURVE(C774,"SOFR",$K$2:$K$7,$L$2:$L$7,,,"Actual360","LogLinear",TRUE)</f>
        <v>QSObject:ContextInput:w1~input.qs_context_add_curve.2359132437744.773.3.0:39240</v>
      </c>
      <c r="E774" s="6" t="str">
        <f>_xll.QS.INSTRUMENT.SWAP("swap.772",H774,B774,"USD","SOFR",I774,J774,0,"Actual360","Simple","Annual","Annual","Annual")</f>
        <v>QSObject:Swap:w1~swap.772:14637</v>
      </c>
      <c r="F774" s="6" t="str">
        <f>_xll.QS.TRADE.CREATE("trade.772",E774,A774,"Receive")</f>
        <v>QSObject:SwapTrade:w1~trade.772:17342</v>
      </c>
      <c r="G774" s="3">
        <f>_xll.QS.EVALUATE(C774,F774)</f>
        <v>25828.469880132187</v>
      </c>
      <c r="H774" s="5" t="s">
        <v>1589</v>
      </c>
      <c r="I774" s="7">
        <v>1077200</v>
      </c>
      <c r="J774" s="8">
        <v>3.7199999999999997E-2</v>
      </c>
    </row>
    <row r="775" spans="1:10" x14ac:dyDescent="0.25">
      <c r="A775" s="5" t="s">
        <v>1577</v>
      </c>
      <c r="B775" s="5" t="s">
        <v>1590</v>
      </c>
      <c r="C775" s="6" t="str">
        <f>_xll.QS.CONTEXT.CREATE("market.773",A775,"USD","SOFR")</f>
        <v>QSObject:PricingContext:w1~market.773:1901</v>
      </c>
      <c r="D775" s="6" t="str">
        <f>_xll.QS.CONTEXT.ADD.CURVE(C775,"SOFR",$K$2:$K$7,$L$2:$L$7,,,"Actual360","LogLinear",TRUE)</f>
        <v>QSObject:ContextInput:w1~input.qs_context_add_curve.2359132437744.774.3.0:16314</v>
      </c>
      <c r="E775" s="6" t="str">
        <f>_xll.QS.INSTRUMENT.SWAP("swap.773",H775,B775,"USD","SOFR",I775,J775,0,"Actual360","Simple","Annual","Annual","Annual")</f>
        <v>QSObject:Swap:w1~swap.773:18310</v>
      </c>
      <c r="F775" s="6" t="str">
        <f>_xll.QS.TRADE.CREATE("trade.773",E775,A775,"Receive")</f>
        <v>QSObject:SwapTrade:w1~trade.773:19997</v>
      </c>
      <c r="G775" s="3">
        <f>_xll.QS.EVALUATE(C775,F775)</f>
        <v>26337.334232040699</v>
      </c>
      <c r="H775" s="5" t="s">
        <v>1591</v>
      </c>
      <c r="I775" s="7">
        <v>1077300</v>
      </c>
      <c r="J775" s="8">
        <v>3.73E-2</v>
      </c>
    </row>
    <row r="776" spans="1:10" x14ac:dyDescent="0.25">
      <c r="A776" s="5" t="s">
        <v>1579</v>
      </c>
      <c r="B776" s="5" t="s">
        <v>1592</v>
      </c>
      <c r="C776" s="6" t="str">
        <f>_xll.QS.CONTEXT.CREATE("market.774",A776,"USD","SOFR")</f>
        <v>QSObject:PricingContext:w1~market.774:9810</v>
      </c>
      <c r="D776" s="6" t="str">
        <f>_xll.QS.CONTEXT.ADD.CURVE(C776,"SOFR",$K$2:$K$7,$L$2:$L$7,,,"Actual360","LogLinear",TRUE)</f>
        <v>QSObject:ContextInput:w1~input.qs_context_add_curve.2359132437744.775.3.0:12994</v>
      </c>
      <c r="E776" s="6" t="str">
        <f>_xll.QS.INSTRUMENT.SWAP("swap.774",H776,B776,"USD","SOFR",I776,J776,0,"Actual360","Simple","Annual","Annual","Annual")</f>
        <v>QSObject:Swap:w1~swap.774:5008</v>
      </c>
      <c r="F776" s="6" t="str">
        <f>_xll.QS.TRADE.CREATE("trade.774",E776,A776,"Receive")</f>
        <v>QSObject:SwapTrade:w1~trade.774:8209</v>
      </c>
      <c r="G776" s="3">
        <f>_xll.QS.EVALUATE(C776,F776)</f>
        <v>26837.67444712597</v>
      </c>
      <c r="H776" s="5" t="s">
        <v>1593</v>
      </c>
      <c r="I776" s="7">
        <v>1077400</v>
      </c>
      <c r="J776" s="8">
        <v>3.7400000000000003E-2</v>
      </c>
    </row>
    <row r="777" spans="1:10" x14ac:dyDescent="0.25">
      <c r="A777" s="5" t="s">
        <v>1581</v>
      </c>
      <c r="B777" s="5" t="s">
        <v>1594</v>
      </c>
      <c r="C777" s="6" t="str">
        <f>_xll.QS.CONTEXT.CREATE("market.775",A777,"USD","SOFR")</f>
        <v>QSObject:PricingContext:w1~market.775:6609</v>
      </c>
      <c r="D777" s="6" t="str">
        <f>_xll.QS.CONTEXT.ADD.CURVE(C777,"SOFR",$K$2:$K$7,$L$2:$L$7,,,"Actual360","LogLinear",TRUE)</f>
        <v>QSObject:ContextInput:w1~input.qs_context_add_curve.2359132437744.776.3.0:14636</v>
      </c>
      <c r="E777" s="6" t="str">
        <f>_xll.QS.INSTRUMENT.SWAP("swap.775",H777,B777,"USD","SOFR",I777,J777,0,"Actual360","Simple","Annual","Annual","Annual")</f>
        <v>QSObject:Swap:w1~swap.775:3441</v>
      </c>
      <c r="F777" s="6" t="str">
        <f>_xll.QS.TRADE.CREATE("trade.775",E777,A777,"Receive")</f>
        <v>QSObject:SwapTrade:w1~trade.775:17341</v>
      </c>
      <c r="G777" s="3">
        <f>_xll.QS.EVALUATE(C777,F777)</f>
        <v>27204.785854770686</v>
      </c>
      <c r="H777" s="5" t="s">
        <v>1595</v>
      </c>
      <c r="I777" s="7">
        <v>1077500</v>
      </c>
      <c r="J777" s="8">
        <v>3.7500000000000012E-2</v>
      </c>
    </row>
    <row r="778" spans="1:10" x14ac:dyDescent="0.25">
      <c r="A778" s="5" t="s">
        <v>1583</v>
      </c>
      <c r="B778" s="5" t="s">
        <v>1596</v>
      </c>
      <c r="C778" s="6" t="str">
        <f>_xll.QS.CONTEXT.CREATE("market.776",A778,"USD","SOFR")</f>
        <v>QSObject:PricingContext:w1~market.776:19996</v>
      </c>
      <c r="D778" s="6" t="str">
        <f>_xll.QS.CONTEXT.ADD.CURVE(C778,"SOFR",$K$2:$K$7,$L$2:$L$7,,,"Actual360","LogLinear",TRUE)</f>
        <v>QSObject:ContextInput:w1~input.qs_context_add_curve.2359132437744.777.3.0:39239</v>
      </c>
      <c r="E778" s="6" t="str">
        <f>_xll.QS.INSTRUMENT.SWAP("swap.776",H778,B778,"USD","SOFR",I778,J778,0,"Actual360","Simple","Annual","Annual","Annual")</f>
        <v>QSObject:Swap:w1~swap.776:11468</v>
      </c>
      <c r="F778" s="6" t="str">
        <f>_xll.QS.TRADE.CREATE("trade.776",E778,A778,"Receive")</f>
        <v>QSObject:SwapTrade:w1~trade.776:18309</v>
      </c>
      <c r="G778" s="3">
        <f>_xll.QS.EVALUATE(C778,F778)</f>
        <v>27706.675419490108</v>
      </c>
      <c r="H778" s="5" t="s">
        <v>1597</v>
      </c>
      <c r="I778" s="7">
        <v>1077600</v>
      </c>
      <c r="J778" s="8">
        <v>3.7600000000000001E-2</v>
      </c>
    </row>
    <row r="779" spans="1:10" x14ac:dyDescent="0.25">
      <c r="A779" s="5" t="s">
        <v>1585</v>
      </c>
      <c r="B779" s="5" t="s">
        <v>1598</v>
      </c>
      <c r="C779" s="6" t="str">
        <f>_xll.QS.CONTEXT.CREATE("market.777",A779,"USD","SOFR")</f>
        <v>QSObject:PricingContext:w1~market.777:12993</v>
      </c>
      <c r="D779" s="6" t="str">
        <f>_xll.QS.CONTEXT.ADD.CURVE(C779,"SOFR",$K$2:$K$7,$L$2:$L$7,,,"Actual360","LogLinear",TRUE)</f>
        <v>QSObject:ContextInput:w1~input.qs_context_add_curve.2359132437744.778.3.0:39238</v>
      </c>
      <c r="E779" s="6" t="str">
        <f>_xll.QS.INSTRUMENT.SWAP("swap.777",H779,B779,"USD","SOFR",I779,J779,0,"Actual360","Simple","Annual","Annual","Annual")</f>
        <v>QSObject:Swap:w1~swap.777:16313</v>
      </c>
      <c r="F779" s="6" t="str">
        <f>_xll.QS.TRADE.CREATE("trade.777",E779,A779,"Receive")</f>
        <v>QSObject:SwapTrade:w1~trade.777:28299</v>
      </c>
      <c r="G779" s="3">
        <f>_xll.QS.EVALUATE(C779,F779)</f>
        <v>28208.410593717414</v>
      </c>
      <c r="H779" s="5" t="s">
        <v>1599</v>
      </c>
      <c r="I779" s="7">
        <v>1077700</v>
      </c>
      <c r="J779" s="8">
        <v>3.7699999999999997E-2</v>
      </c>
    </row>
    <row r="780" spans="1:10" x14ac:dyDescent="0.25">
      <c r="A780" s="5" t="s">
        <v>1587</v>
      </c>
      <c r="B780" s="5" t="s">
        <v>1600</v>
      </c>
      <c r="C780" s="6" t="str">
        <f>_xll.QS.CONTEXT.CREATE("market.778",A780,"USD","SOFR")</f>
        <v>QSObject:PricingContext:w1~market.778:17340</v>
      </c>
      <c r="D780" s="6" t="str">
        <f>_xll.QS.CONTEXT.ADD.CURVE(C780,"SOFR",$K$2:$K$7,$L$2:$L$7,,,"Actual360","LogLinear",TRUE)</f>
        <v>QSObject:ContextInput:w1~input.qs_context_add_curve.2359132437744.779.3.0:39237</v>
      </c>
      <c r="E780" s="6" t="str">
        <f>_xll.QS.INSTRUMENT.SWAP("swap.778",H780,B780,"USD","SOFR",I780,J780,0,"Actual360","Simple","Annual","Annual","Annual")</f>
        <v>QSObject:Swap:w1~swap.778:8208</v>
      </c>
      <c r="F780" s="6" t="str">
        <f>_xll.QS.TRADE.CREATE("trade.778",E780,A780,"Receive")</f>
        <v>QSObject:SwapTrade:w1~trade.778:19995</v>
      </c>
      <c r="G780" s="3">
        <f>_xll.QS.EVALUATE(C780,F780)</f>
        <v>28787.005720450641</v>
      </c>
      <c r="H780" s="5" t="s">
        <v>1601</v>
      </c>
      <c r="I780" s="7">
        <v>1077800</v>
      </c>
      <c r="J780" s="8">
        <v>3.78E-2</v>
      </c>
    </row>
    <row r="781" spans="1:10" x14ac:dyDescent="0.25">
      <c r="A781" s="5" t="s">
        <v>1589</v>
      </c>
      <c r="B781" s="5" t="s">
        <v>1602</v>
      </c>
      <c r="C781" s="6" t="str">
        <f>_xll.QS.CONTEXT.CREATE("market.779",A781,"USD","SOFR")</f>
        <v>QSObject:PricingContext:w1~market.779:18308</v>
      </c>
      <c r="D781" s="6" t="str">
        <f>_xll.QS.CONTEXT.ADD.CURVE(C781,"SOFR",$K$2:$K$7,$L$2:$L$7,,,"Actual360","LogLinear",TRUE)</f>
        <v>QSObject:ContextInput:w1~input.qs_context_add_curve.2359132437744.780.3.0:39236</v>
      </c>
      <c r="E781" s="6" t="str">
        <f>_xll.QS.INSTRUMENT.SWAP("swap.779",H781,B781,"USD","SOFR",I781,J781,0,"Actual360","Simple","Annual","Annual","Annual")</f>
        <v>QSObject:Swap:w1~swap.779:5007</v>
      </c>
      <c r="F781" s="6" t="str">
        <f>_xll.QS.TRADE.CREATE("trade.779",E781,A781,"Receive")</f>
        <v>QSObject:SwapTrade:w1~trade.779:29683</v>
      </c>
      <c r="G781" s="3">
        <f>_xll.QS.EVALUATE(C781,F781)</f>
        <v>29286.774209275311</v>
      </c>
      <c r="H781" s="5" t="s">
        <v>1603</v>
      </c>
      <c r="I781" s="7">
        <v>1077900</v>
      </c>
      <c r="J781" s="8">
        <v>3.7900000000000003E-2</v>
      </c>
    </row>
    <row r="782" spans="1:10" x14ac:dyDescent="0.25">
      <c r="A782" s="5" t="s">
        <v>1591</v>
      </c>
      <c r="B782" s="5" t="s">
        <v>1604</v>
      </c>
      <c r="C782" s="6" t="str">
        <f>_xll.QS.CONTEXT.CREATE("market.780",A782,"USD","SOFR")</f>
        <v>QSObject:PricingContext:w1~market.780:16312</v>
      </c>
      <c r="D782" s="6" t="str">
        <f>_xll.QS.CONTEXT.ADD.CURVE(C782,"SOFR",$K$2:$K$7,$L$2:$L$7,,,"Actual360","LogLinear",TRUE)</f>
        <v>QSObject:ContextInput:w1~input.qs_context_add_curve.2359132437744.781.3.0:39235</v>
      </c>
      <c r="E782" s="6" t="str">
        <f>_xll.QS.INSTRUMENT.SWAP("swap.780",H782,B782,"USD","SOFR",I782,J782,0,"Actual360","Simple","Annual","Annual","Annual")</f>
        <v>QSObject:Swap:w1~swap.780:12992</v>
      </c>
      <c r="F782" s="6" t="str">
        <f>_xll.QS.TRADE.CREATE("trade.780",E782,A782,"Receive")</f>
        <v>QSObject:SwapTrade:w1~trade.780:22987</v>
      </c>
      <c r="G782" s="3">
        <f>_xll.QS.EVALUATE(C782,F782)</f>
        <v>29792.783118406296</v>
      </c>
      <c r="H782" s="5" t="s">
        <v>1605</v>
      </c>
      <c r="I782" s="7">
        <v>1078000</v>
      </c>
      <c r="J782" s="8">
        <v>3.8000000000000013E-2</v>
      </c>
    </row>
    <row r="783" spans="1:10" x14ac:dyDescent="0.25">
      <c r="A783" s="5" t="s">
        <v>1593</v>
      </c>
      <c r="B783" s="5" t="s">
        <v>1606</v>
      </c>
      <c r="C783" s="6" t="str">
        <f>_xll.QS.CONTEXT.CREATE("market.781",A783,"USD","SOFR")</f>
        <v>QSObject:PricingContext:w1~market.781:14635</v>
      </c>
      <c r="D783" s="6" t="str">
        <f>_xll.QS.CONTEXT.ADD.CURVE(C783,"SOFR",$K$2:$K$7,$L$2:$L$7,,,"Actual360","LogLinear",TRUE)</f>
        <v>QSObject:ContextInput:w1~input.qs_context_add_curve.2359132437744.782.3.0:28298</v>
      </c>
      <c r="E783" s="6" t="str">
        <f>_xll.QS.INSTRUMENT.SWAP("swap.781",H783,B783,"USD","SOFR",I783,J783,0,"Actual360","Simple","Annual","Annual","Annual")</f>
        <v>QSObject:Swap:w1~swap.781:17339</v>
      </c>
      <c r="F783" s="6" t="str">
        <f>_xll.QS.TRADE.CREATE("trade.781",E783,A783,"Receive")</f>
        <v>QSObject:SwapTrade:w1~trade.781:19994</v>
      </c>
      <c r="G783" s="3">
        <f>_xll.QS.EVALUATE(C783,F783)</f>
        <v>30293.165051005541</v>
      </c>
      <c r="H783" s="5" t="s">
        <v>1607</v>
      </c>
      <c r="I783" s="7">
        <v>1078100</v>
      </c>
      <c r="J783" s="8">
        <v>3.8100000000000002E-2</v>
      </c>
    </row>
    <row r="784" spans="1:10" x14ac:dyDescent="0.25">
      <c r="A784" s="5" t="s">
        <v>1595</v>
      </c>
      <c r="B784" s="5" t="s">
        <v>1606</v>
      </c>
      <c r="C784" s="6" t="str">
        <f>_xll.QS.CONTEXT.CREATE("market.782",A784,"USD","SOFR")</f>
        <v>QSObject:PricingContext:w1~market.782:3440</v>
      </c>
      <c r="D784" s="6" t="str">
        <f>_xll.QS.CONTEXT.ADD.CURVE(C784,"SOFR",$K$2:$K$7,$L$2:$L$7,,,"Actual360","LogLinear",TRUE)</f>
        <v>QSObject:ContextInput:w1~input.qs_context_add_curve.2359132437744.783.3.0:8207</v>
      </c>
      <c r="E784" s="6" t="str">
        <f>_xll.QS.INSTRUMENT.SWAP("swap.782",H784,B784,"USD","SOFR",I784,J784,0,"Actual360","Simple","Annual","Annual","Annual")</f>
        <v>QSObject:Swap:w1~swap.782:18307</v>
      </c>
      <c r="F784" s="6" t="str">
        <f>_xll.QS.TRADE.CREATE("trade.782",E784,A784,"Receive")</f>
        <v>QSObject:SwapTrade:w1~trade.782:29682</v>
      </c>
      <c r="G784" s="3">
        <f>_xll.QS.EVALUATE(C784,F784)</f>
        <v>30795.98748806044</v>
      </c>
      <c r="H784" s="5" t="s">
        <v>1608</v>
      </c>
      <c r="I784" s="7">
        <v>1078200</v>
      </c>
      <c r="J784" s="8">
        <v>3.8199999999999998E-2</v>
      </c>
    </row>
    <row r="785" spans="1:10" x14ac:dyDescent="0.25">
      <c r="A785" s="5" t="s">
        <v>1597</v>
      </c>
      <c r="B785" s="5" t="s">
        <v>1609</v>
      </c>
      <c r="C785" s="6" t="str">
        <f>_xll.QS.CONTEXT.CREATE("market.783",A785,"USD","SOFR")</f>
        <v>QSObject:PricingContext:w1~market.783:1900</v>
      </c>
      <c r="D785" s="6" t="str">
        <f>_xll.QS.CONTEXT.ADD.CURVE(C785,"SOFR",$K$2:$K$7,$L$2:$L$7,,,"Actual360","LogLinear",TRUE)</f>
        <v>QSObject:ContextInput:w1~input.qs_context_add_curve.2359132437744.784.3.0:12991</v>
      </c>
      <c r="E785" s="6" t="str">
        <f>_xll.QS.INSTRUMENT.SWAP("swap.783",H785,B785,"USD","SOFR",I785,J785,0,"Actual360","Simple","Annual","Annual","Annual")</f>
        <v>QSObject:Swap:w1~swap.783:5006</v>
      </c>
      <c r="F785" s="6" t="str">
        <f>_xll.QS.TRADE.CREATE("trade.783",E785,A785,"Receive")</f>
        <v>QSObject:SwapTrade:w1~trade.783:6608</v>
      </c>
      <c r="G785" s="3">
        <f>_xll.QS.EVALUATE(C785,F785)</f>
        <v>31163.322927862744</v>
      </c>
      <c r="H785" s="5" t="s">
        <v>1610</v>
      </c>
      <c r="I785" s="7">
        <v>1078300</v>
      </c>
      <c r="J785" s="8">
        <v>3.8300000000000001E-2</v>
      </c>
    </row>
    <row r="786" spans="1:10" x14ac:dyDescent="0.25">
      <c r="A786" s="5" t="s">
        <v>1599</v>
      </c>
      <c r="B786" s="5" t="s">
        <v>1611</v>
      </c>
      <c r="C786" s="6" t="str">
        <f>_xll.QS.CONTEXT.CREATE("market.784",A786,"USD","SOFR")</f>
        <v>QSObject:PricingContext:w1~market.784:11467</v>
      </c>
      <c r="D786" s="6" t="str">
        <f>_xll.QS.CONTEXT.ADD.CURVE(C786,"SOFR",$K$2:$K$7,$L$2:$L$7,,,"Actual360","LogLinear",TRUE)</f>
        <v>QSObject:ContextInput:w1~input.qs_context_add_curve.2359132437744.785.3.0:39234</v>
      </c>
      <c r="E786" s="6" t="str">
        <f>_xll.QS.INSTRUMENT.SWAP("swap.784",H786,B786,"USD","SOFR",I786,J786,0,"Actual360","Simple","Annual","Annual","Annual")</f>
        <v>QSObject:Swap:w1~swap.784:14634</v>
      </c>
      <c r="F786" s="6" t="str">
        <f>_xll.QS.TRADE.CREATE("trade.784",E786,A786,"Receive")</f>
        <v>QSObject:SwapTrade:w1~trade.784:19993</v>
      </c>
      <c r="G786" s="3">
        <f>_xll.QS.EVALUATE(C786,F786)</f>
        <v>31709.446826102238</v>
      </c>
      <c r="H786" s="5" t="s">
        <v>1612</v>
      </c>
      <c r="I786" s="7">
        <v>1078400</v>
      </c>
      <c r="J786" s="8">
        <v>3.8399999999999997E-2</v>
      </c>
    </row>
    <row r="787" spans="1:10" x14ac:dyDescent="0.25">
      <c r="A787" s="5" t="s">
        <v>1601</v>
      </c>
      <c r="B787" s="5" t="s">
        <v>1613</v>
      </c>
      <c r="C787" s="6" t="str">
        <f>_xll.QS.CONTEXT.CREATE("market.785",A787,"USD","SOFR")</f>
        <v>QSObject:PricingContext:w1~market.785:16311</v>
      </c>
      <c r="D787" s="6" t="str">
        <f>_xll.QS.CONTEXT.ADD.CURVE(C787,"SOFR",$K$2:$K$7,$L$2:$L$7,,,"Actual360","LogLinear",TRUE)</f>
        <v>QSObject:ContextInput:w1~input.qs_context_add_curve.2359132437744.786.3.0:39233</v>
      </c>
      <c r="E787" s="6" t="str">
        <f>_xll.QS.INSTRUMENT.SWAP("swap.785",H787,B787,"USD","SOFR",I787,J787,0,"Actual360","Simple","Annual","Annual","Annual")</f>
        <v>QSObject:Swap:w1~swap.785:18306</v>
      </c>
      <c r="F787" s="6" t="str">
        <f>_xll.QS.TRADE.CREATE("trade.785",E787,A787,"Receive")</f>
        <v>QSObject:SwapTrade:w1~trade.785:29681</v>
      </c>
      <c r="G787" s="3">
        <f>_xll.QS.EVALUATE(C787,F787)</f>
        <v>32314.455401042887</v>
      </c>
      <c r="H787" s="5" t="s">
        <v>1614</v>
      </c>
      <c r="I787" s="7">
        <v>1078500</v>
      </c>
      <c r="J787" s="8">
        <v>3.8500000000000013E-2</v>
      </c>
    </row>
    <row r="788" spans="1:10" x14ac:dyDescent="0.25">
      <c r="A788" s="5" t="s">
        <v>1603</v>
      </c>
      <c r="B788" s="5" t="s">
        <v>1615</v>
      </c>
      <c r="C788" s="6" t="str">
        <f>_xll.QS.CONTEXT.CREATE("market.786",A788,"USD","SOFR")</f>
        <v>QSObject:PricingContext:w1~market.786:8206</v>
      </c>
      <c r="D788" s="6" t="str">
        <f>_xll.QS.CONTEXT.ADD.CURVE(C788,"SOFR",$K$2:$K$7,$L$2:$L$7,,,"Actual360","LogLinear",TRUE)</f>
        <v>QSObject:ContextInput:w1~input.qs_context_add_curve.2359132437744.787.3.0:12990</v>
      </c>
      <c r="E788" s="6" t="str">
        <f>_xll.QS.INSTRUMENT.SWAP("swap.786",H788,B788,"USD","SOFR",I788,J788,0,"Actual360","Simple","Annual","Annual","Annual")</f>
        <v>QSObject:Swap:w1~swap.786:1899</v>
      </c>
      <c r="F788" s="6" t="str">
        <f>_xll.QS.TRADE.CREATE("trade.786",E788,A788,"Receive")</f>
        <v>QSObject:SwapTrade:w1~trade.786:9809</v>
      </c>
      <c r="G788" s="3">
        <f>_xll.QS.EVALUATE(C788,F788)</f>
        <v>32814.696937971683</v>
      </c>
      <c r="H788" s="5" t="s">
        <v>1616</v>
      </c>
      <c r="I788" s="7">
        <v>1078600</v>
      </c>
      <c r="J788" s="8">
        <v>3.8600000000000002E-2</v>
      </c>
    </row>
    <row r="789" spans="1:10" x14ac:dyDescent="0.25">
      <c r="A789" s="5" t="s">
        <v>1605</v>
      </c>
      <c r="B789" s="5" t="s">
        <v>1617</v>
      </c>
      <c r="C789" s="6" t="str">
        <f>_xll.QS.CONTEXT.CREATE("market.787",A789,"USD","SOFR")</f>
        <v>QSObject:PricingContext:w1~market.787:14633</v>
      </c>
      <c r="D789" s="6" t="str">
        <f>_xll.QS.CONTEXT.ADD.CURVE(C789,"SOFR",$K$2:$K$7,$L$2:$L$7,,,"Actual360","LogLinear",TRUE)</f>
        <v>QSObject:ContextInput:w1~input.qs_context_add_curve.2359132437744.788.3.0:19992</v>
      </c>
      <c r="E789" s="6" t="str">
        <f>_xll.QS.INSTRUMENT.SWAP("swap.787",H789,B789,"USD","SOFR",I789,J789,0,"Actual360","Simple","Annual","Annual","Annual")</f>
        <v>QSObject:Swap:w1~swap.787:17338</v>
      </c>
      <c r="F789" s="6" t="str">
        <f>_xll.QS.TRADE.CREATE("trade.787",E789,A789,"Receive")</f>
        <v>QSObject:SwapTrade:w1~trade.787:18305</v>
      </c>
      <c r="G789" s="3">
        <f>_xll.QS.EVALUATE(C789,F789)</f>
        <v>33320.707916611762</v>
      </c>
      <c r="H789" s="5" t="s">
        <v>1618</v>
      </c>
      <c r="I789" s="7">
        <v>1078700</v>
      </c>
      <c r="J789" s="8">
        <v>3.8700000000000012E-2</v>
      </c>
    </row>
    <row r="790" spans="1:10" x14ac:dyDescent="0.25">
      <c r="A790" s="5" t="s">
        <v>1607</v>
      </c>
      <c r="B790" s="5" t="s">
        <v>1619</v>
      </c>
      <c r="C790" s="6" t="str">
        <f>_xll.QS.CONTEXT.CREATE("market.788",A790,"USD","SOFR")</f>
        <v>QSObject:PricingContext:w1~market.788:8205</v>
      </c>
      <c r="D790" s="6" t="str">
        <f>_xll.QS.CONTEXT.ADD.CURVE(C790,"SOFR",$K$2:$K$7,$L$2:$L$7,,,"Actual360","LogLinear",TRUE)</f>
        <v>QSObject:ContextInput:w1~input.qs_context_add_curve.2359132437744.789.3.0:11466</v>
      </c>
      <c r="E790" s="6" t="str">
        <f>_xll.QS.INSTRUMENT.SWAP("swap.788",H790,B790,"USD","SOFR",I790,J790,0,"Actual360","Simple","Annual","Annual","Annual")</f>
        <v>QSObject:Swap:w1~swap.788:3439</v>
      </c>
      <c r="F790" s="6" t="str">
        <f>_xll.QS.TRADE.CREATE("trade.788",E790,A790,"Receive")</f>
        <v>QSObject:SwapTrade:w1~trade.788:9808</v>
      </c>
      <c r="G790" s="3">
        <f>_xll.QS.EVALUATE(C790,F790)</f>
        <v>33779.633118146063</v>
      </c>
      <c r="H790" s="5" t="s">
        <v>1620</v>
      </c>
      <c r="I790" s="7">
        <v>1078800</v>
      </c>
      <c r="J790" s="8">
        <v>3.8800000000000001E-2</v>
      </c>
    </row>
    <row r="791" spans="1:10" x14ac:dyDescent="0.25">
      <c r="A791" s="5" t="s">
        <v>1608</v>
      </c>
      <c r="B791" s="5" t="s">
        <v>1621</v>
      </c>
      <c r="C791" s="6" t="str">
        <f>_xll.QS.CONTEXT.CREATE("market.789",A791,"USD","SOFR")</f>
        <v>QSObject:PricingContext:w1~market.789:1898</v>
      </c>
      <c r="D791" s="6" t="str">
        <f>_xll.QS.CONTEXT.ADD.CURVE(C791,"SOFR",$K$2:$K$7,$L$2:$L$7,,,"Actual360","LogLinear",TRUE)</f>
        <v>QSObject:ContextInput:w1~input.qs_context_add_curve.2359132437744.790.3.0:14632</v>
      </c>
      <c r="E791" s="6" t="str">
        <f>_xll.QS.INSTRUMENT.SWAP("swap.789",H791,B791,"USD","SOFR",I791,J791,0,"Actual360","Simple","Annual","Annual","Annual")</f>
        <v>QSObject:Swap:w1~swap.789:6607</v>
      </c>
      <c r="F791" s="6" t="str">
        <f>_xll.QS.TRADE.CREATE("trade.789",E791,A791,"Receive")</f>
        <v>QSObject:SwapTrade:w1~trade.789:16310</v>
      </c>
      <c r="G791" s="3">
        <f>_xll.QS.EVALUATE(C791,F791)</f>
        <v>34194.44948544119</v>
      </c>
      <c r="H791" s="5" t="s">
        <v>1622</v>
      </c>
      <c r="I791" s="7">
        <v>1078900</v>
      </c>
      <c r="J791" s="8">
        <v>3.8899999999999997E-2</v>
      </c>
    </row>
    <row r="792" spans="1:10" x14ac:dyDescent="0.25">
      <c r="A792" s="5" t="s">
        <v>1610</v>
      </c>
      <c r="B792" s="5" t="s">
        <v>1623</v>
      </c>
      <c r="C792" s="6" t="str">
        <f>_xll.QS.CONTEXT.CREATE("market.790",A792,"USD","SOFR")</f>
        <v>QSObject:PricingContext:w1~market.790:19991</v>
      </c>
      <c r="D792" s="6" t="str">
        <f>_xll.QS.CONTEXT.ADD.CURVE(C792,"SOFR",$K$2:$K$7,$L$2:$L$7,,,"Actual360","LogLinear",TRUE)</f>
        <v>QSObject:ContextInput:w1~input.qs_context_add_curve.2359132437744.791.3.0:39232</v>
      </c>
      <c r="E792" s="6" t="str">
        <f>_xll.QS.INSTRUMENT.SWAP("swap.790",H792,B792,"USD","SOFR",I792,J792,0,"Actual360","Simple","Annual","Annual","Annual")</f>
        <v>QSObject:Swap:w1~swap.790:12989</v>
      </c>
      <c r="F792" s="6" t="str">
        <f>_xll.QS.TRADE.CREATE("trade.790",E792,A792,"Receive")</f>
        <v>QSObject:SwapTrade:w1~trade.790:17337</v>
      </c>
      <c r="G792" s="3">
        <f>_xll.QS.EVALUATE(C792,F792)</f>
        <v>34625.955226443504</v>
      </c>
      <c r="H792" s="5" t="s">
        <v>1624</v>
      </c>
      <c r="I792" s="7">
        <v>1079000</v>
      </c>
      <c r="J792" s="8">
        <v>3.9000000000000007E-2</v>
      </c>
    </row>
    <row r="793" spans="1:10" x14ac:dyDescent="0.25">
      <c r="A793" s="5" t="s">
        <v>1612</v>
      </c>
      <c r="B793" s="5" t="s">
        <v>1625</v>
      </c>
      <c r="C793" s="6" t="str">
        <f>_xll.QS.CONTEXT.CREATE("market.791",A793,"USD","SOFR")</f>
        <v>QSObject:PricingContext:w1~market.791:3438</v>
      </c>
      <c r="D793" s="6" t="str">
        <f>_xll.QS.CONTEXT.ADD.CURVE(C793,"SOFR",$K$2:$K$7,$L$2:$L$7,,,"Actual360","LogLinear",TRUE)</f>
        <v>QSObject:ContextInput:w1~input.qs_context_add_curve.2359132437744.792.3.0:18304</v>
      </c>
      <c r="E793" s="6" t="str">
        <f>_xll.QS.INSTRUMENT.SWAP("swap.791",H793,B793,"USD","SOFR",I793,J793,0,"Actual360","Simple","Annual","Annual","Annual")</f>
        <v>QSObject:Swap:w1~swap.791:11465</v>
      </c>
      <c r="F793" s="6" t="str">
        <f>_xll.QS.TRADE.CREATE("trade.791",E793,A793,"Receive")</f>
        <v>QSObject:SwapTrade:w1~trade.791:30413</v>
      </c>
      <c r="G793" s="3">
        <f>_xll.QS.EVALUATE(C793,F793)</f>
        <v>35173.200844657331</v>
      </c>
      <c r="H793" s="5" t="s">
        <v>1626</v>
      </c>
      <c r="I793" s="7">
        <v>1079100</v>
      </c>
      <c r="J793" s="8">
        <v>3.9100000000000003E-2</v>
      </c>
    </row>
    <row r="794" spans="1:10" x14ac:dyDescent="0.25">
      <c r="A794" s="5" t="s">
        <v>1614</v>
      </c>
      <c r="B794" s="5" t="s">
        <v>1627</v>
      </c>
      <c r="C794" s="6" t="str">
        <f>_xll.QS.CONTEXT.CREATE("market.792",A794,"USD","SOFR")</f>
        <v>QSObject:PricingContext:w1~market.792:14631</v>
      </c>
      <c r="D794" s="6" t="str">
        <f>_xll.QS.CONTEXT.ADD.CURVE(C794,"SOFR",$K$2:$K$7,$L$2:$L$7,,,"Actual360","LogLinear",TRUE)</f>
        <v>QSObject:ContextInput:w1~input.qs_context_add_curve.2359132437744.793.3.0:39231</v>
      </c>
      <c r="E794" s="6" t="str">
        <f>_xll.QS.INSTRUMENT.SWAP("swap.792",H794,B794,"USD","SOFR",I794,J794,0,"Actual360","Simple","Annual","Annual","Annual")</f>
        <v>QSObject:Swap:w1~swap.792:8204</v>
      </c>
      <c r="F794" s="6" t="str">
        <f>_xll.QS.TRADE.CREATE("trade.792",E794,A794,"Receive")</f>
        <v>QSObject:SwapTrade:w1~trade.792:29680</v>
      </c>
      <c r="G794" s="3">
        <f>_xll.QS.EVALUATE(C794,F794)</f>
        <v>35698.272739790831</v>
      </c>
      <c r="H794" s="5" t="s">
        <v>1628</v>
      </c>
      <c r="I794" s="7">
        <v>1079200</v>
      </c>
      <c r="J794" s="8">
        <v>3.9200000000000013E-2</v>
      </c>
    </row>
    <row r="795" spans="1:10" x14ac:dyDescent="0.25">
      <c r="A795" s="5" t="s">
        <v>1616</v>
      </c>
      <c r="B795" s="5" t="s">
        <v>1629</v>
      </c>
      <c r="C795" s="6" t="str">
        <f>_xll.QS.CONTEXT.CREATE("market.793",A795,"USD","SOFR")</f>
        <v>QSObject:PricingContext:w1~market.793:19990</v>
      </c>
      <c r="D795" s="6" t="str">
        <f>_xll.QS.CONTEXT.ADD.CURVE(C795,"SOFR",$K$2:$K$7,$L$2:$L$7,,,"Actual360","LogLinear",TRUE)</f>
        <v>QSObject:ContextInput:w1~input.qs_context_add_curve.2359132437744.794.3.0:39230</v>
      </c>
      <c r="E795" s="6" t="str">
        <f>_xll.QS.INSTRUMENT.SWAP("swap.793",H795,B795,"USD","SOFR",I795,J795,0,"Actual360","Simple","Annual","Annual","Annual")</f>
        <v>QSObject:Swap:w1~swap.793:5005</v>
      </c>
      <c r="F795" s="6" t="str">
        <f>_xll.QS.TRADE.CREATE("trade.793",E795,A795,"Receive")</f>
        <v>QSObject:SwapTrade:w1~trade.793:31154</v>
      </c>
      <c r="G795" s="3">
        <f>_xll.QS.EVALUATE(C795,F795)</f>
        <v>36278.258655784171</v>
      </c>
      <c r="H795" s="5" t="s">
        <v>1630</v>
      </c>
      <c r="I795" s="7">
        <v>1079300</v>
      </c>
      <c r="J795" s="8">
        <v>3.9300000000000002E-2</v>
      </c>
    </row>
    <row r="796" spans="1:10" x14ac:dyDescent="0.25">
      <c r="A796" s="5" t="s">
        <v>1618</v>
      </c>
      <c r="B796" s="5" t="s">
        <v>1631</v>
      </c>
      <c r="C796" s="6" t="str">
        <f>_xll.QS.CONTEXT.CREATE("market.794",A796,"USD","SOFR")</f>
        <v>QSObject:PricingContext:w1~market.794:16309</v>
      </c>
      <c r="D796" s="6" t="str">
        <f>_xll.QS.CONTEXT.ADD.CURVE(C796,"SOFR",$K$2:$K$7,$L$2:$L$7,,,"Actual360","LogLinear",TRUE)</f>
        <v>QSObject:ContextInput:w1~input.qs_context_add_curve.2359132437744.795.3.0:18303</v>
      </c>
      <c r="E796" s="6" t="str">
        <f>_xll.QS.INSTRUMENT.SWAP("swap.794",H796,B796,"USD","SOFR",I796,J796,0,"Actual360","Simple","Annual","Annual","Annual")</f>
        <v>QSObject:Swap:w1~swap.794:17336</v>
      </c>
      <c r="F796" s="6" t="str">
        <f>_xll.QS.TRADE.CREATE("trade.794",E796,A796,"Receive")</f>
        <v>QSObject:SwapTrade:w1~trade.794:24227</v>
      </c>
      <c r="G796" s="3">
        <f>_xll.QS.EVALUATE(C796,F796)</f>
        <v>36826.643938176494</v>
      </c>
      <c r="H796" s="5" t="s">
        <v>1632</v>
      </c>
      <c r="I796" s="7">
        <v>1079400</v>
      </c>
      <c r="J796" s="8">
        <v>3.9399999999999998E-2</v>
      </c>
    </row>
    <row r="797" spans="1:10" x14ac:dyDescent="0.25">
      <c r="A797" s="5" t="s">
        <v>1620</v>
      </c>
      <c r="B797" s="5" t="s">
        <v>1633</v>
      </c>
      <c r="C797" s="6" t="str">
        <f>_xll.QS.CONTEXT.CREATE("market.795",A797,"USD","SOFR")</f>
        <v>QSObject:PricingContext:w1~market.795:1897</v>
      </c>
      <c r="D797" s="6" t="str">
        <f>_xll.QS.CONTEXT.ADD.CURVE(C797,"SOFR",$K$2:$K$7,$L$2:$L$7,,,"Actual360","LogLinear",TRUE)</f>
        <v>QSObject:ContextInput:w1~input.qs_context_add_curve.2359132437744.796.3.0:8203</v>
      </c>
      <c r="E797" s="6" t="str">
        <f>_xll.QS.INSTRUMENT.SWAP("swap.795",H797,B797,"USD","SOFR",I797,J797,0,"Actual360","Simple","Annual","Annual","Annual")</f>
        <v>QSObject:Swap:w1~swap.795:6606</v>
      </c>
      <c r="F797" s="6" t="str">
        <f>_xll.QS.TRADE.CREATE("trade.795",E797,A797,"Receive")</f>
        <v>QSObject:SwapTrade:w1~trade.795:9807</v>
      </c>
      <c r="G797" s="3">
        <f>_xll.QS.EVALUATE(C797,F797)</f>
        <v>37286.150062940724</v>
      </c>
      <c r="H797" s="5" t="s">
        <v>1634</v>
      </c>
      <c r="I797" s="7">
        <v>1079500</v>
      </c>
      <c r="J797" s="8">
        <v>3.9500000000000007E-2</v>
      </c>
    </row>
    <row r="798" spans="1:10" x14ac:dyDescent="0.25">
      <c r="A798" s="5" t="s">
        <v>1622</v>
      </c>
      <c r="B798" s="5" t="s">
        <v>1635</v>
      </c>
      <c r="C798" s="6" t="str">
        <f>_xll.QS.CONTEXT.CREATE("market.796",A798,"USD","SOFR")</f>
        <v>QSObject:PricingContext:w1~market.796:5004</v>
      </c>
      <c r="D798" s="6" t="str">
        <f>_xll.QS.CONTEXT.ADD.CURVE(C798,"SOFR",$K$2:$K$7,$L$2:$L$7,,,"Actual360","LogLinear",TRUE)</f>
        <v>QSObject:ContextInput:w1~input.qs_context_add_curve.2359132437744.797.3.0:12988</v>
      </c>
      <c r="E798" s="6" t="str">
        <f>_xll.QS.INSTRUMENT.SWAP("swap.796",H798,B798,"USD","SOFR",I798,J798,0,"Actual360","Simple","Annual","Annual","Annual")</f>
        <v>QSObject:Swap:w1~swap.796:14630</v>
      </c>
      <c r="F798" s="6" t="str">
        <f>_xll.QS.TRADE.CREATE("trade.796",E798,A798,"Receive")</f>
        <v>QSObject:SwapTrade:w1~trade.796:16308</v>
      </c>
      <c r="G798" s="3">
        <f>_xll.QS.EVALUATE(C798,F798)</f>
        <v>37697.452466008966</v>
      </c>
      <c r="H798" s="5" t="s">
        <v>1636</v>
      </c>
      <c r="I798" s="7">
        <v>1079600</v>
      </c>
      <c r="J798" s="8">
        <v>3.9600000000000003E-2</v>
      </c>
    </row>
    <row r="799" spans="1:10" x14ac:dyDescent="0.25">
      <c r="A799" s="5" t="s">
        <v>1624</v>
      </c>
      <c r="B799" s="5" t="s">
        <v>1637</v>
      </c>
      <c r="C799" s="6" t="str">
        <f>_xll.QS.CONTEXT.CREATE("market.797",A799,"USD","SOFR")</f>
        <v>QSObject:PricingContext:w1~market.797:3437</v>
      </c>
      <c r="D799" s="6" t="str">
        <f>_xll.QS.CONTEXT.ADD.CURVE(C799,"SOFR",$K$2:$K$7,$L$2:$L$7,,,"Actual360","LogLinear",TRUE)</f>
        <v>QSObject:ContextInput:w1~input.qs_context_add_curve.2359132437744.798.3.0:18302</v>
      </c>
      <c r="E799" s="6" t="str">
        <f>_xll.QS.INSTRUMENT.SWAP("swap.797",H799,B799,"USD","SOFR",I799,J799,0,"Actual360","Simple","Annual","Annual","Annual")</f>
        <v>QSObject:Swap:w1~swap.797:19989</v>
      </c>
      <c r="F799" s="6" t="str">
        <f>_xll.QS.TRADE.CREATE("trade.797",E799,A799,"Receive")</f>
        <v>QSObject:SwapTrade:w1~trade.797:22986</v>
      </c>
      <c r="G799" s="3">
        <f>_xll.QS.EVALUATE(C799,F799)</f>
        <v>38134.961779710895</v>
      </c>
      <c r="H799" s="5" t="s">
        <v>1638</v>
      </c>
      <c r="I799" s="7">
        <v>1079700</v>
      </c>
      <c r="J799" s="8">
        <v>3.9700000000000013E-2</v>
      </c>
    </row>
    <row r="800" spans="1:10" x14ac:dyDescent="0.25">
      <c r="A800" s="5" t="s">
        <v>1626</v>
      </c>
      <c r="B800" s="5" t="s">
        <v>1639</v>
      </c>
      <c r="C800" s="6" t="str">
        <f>_xll.QS.CONTEXT.CREATE("market.798",A800,"USD","SOFR")</f>
        <v>QSObject:PricingContext:w1~market.798:1896</v>
      </c>
      <c r="D800" s="6" t="str">
        <f>_xll.QS.CONTEXT.ADD.CURVE(C800,"SOFR",$K$2:$K$7,$L$2:$L$7,,,"Actual360","LogLinear",TRUE)</f>
        <v>QSObject:ContextInput:w1~input.qs_context_add_curve.2359132437744.799.3.0:11464</v>
      </c>
      <c r="E800" s="6" t="str">
        <f>_xll.QS.INSTRUMENT.SWAP("swap.798",H800,B800,"USD","SOFR",I800,J800,0,"Actual360","Simple","Annual","Annual","Annual")</f>
        <v>QSObject:Swap:w1~swap.798:8202</v>
      </c>
      <c r="F800" s="6" t="str">
        <f>_xll.QS.TRADE.CREATE("trade.798",E800,A800,"Receive")</f>
        <v>QSObject:SwapTrade:w1~trade.798:22985</v>
      </c>
      <c r="G800" s="3">
        <f>_xll.QS.EVALUATE(C800,F800)</f>
        <v>38683.220872912083</v>
      </c>
      <c r="H800" s="5" t="s">
        <v>1640</v>
      </c>
      <c r="I800" s="7">
        <v>1079800</v>
      </c>
      <c r="J800" s="8">
        <v>3.9800000000000002E-2</v>
      </c>
    </row>
    <row r="801" spans="1:10" x14ac:dyDescent="0.25">
      <c r="A801" s="5" t="s">
        <v>1628</v>
      </c>
      <c r="B801" s="5" t="s">
        <v>1641</v>
      </c>
      <c r="C801" s="6" t="str">
        <f>_xll.QS.CONTEXT.CREATE("market.799",A801,"USD","SOFR")</f>
        <v>QSObject:PricingContext:w1~market.799:14629</v>
      </c>
      <c r="D801" s="6" t="str">
        <f>_xll.QS.CONTEXT.ADD.CURVE(C801,"SOFR",$K$2:$K$7,$L$2:$L$7,,,"Actual360","LogLinear",TRUE)</f>
        <v>QSObject:ContextInput:w1~input.qs_context_add_curve.2359132437744.800.3.0:39229</v>
      </c>
      <c r="E801" s="6" t="str">
        <f>_xll.QS.INSTRUMENT.SWAP("swap.799",H801,B801,"USD","SOFR",I801,J801,0,"Actual360","Simple","Annual","Annual","Annual")</f>
        <v>QSObject:Swap:w1~swap.799:12987</v>
      </c>
      <c r="F801" s="6" t="str">
        <f>_xll.QS.TRADE.CREATE("trade.799",E801,A801,"Receive")</f>
        <v>QSObject:SwapTrade:w1~trade.799:29679</v>
      </c>
      <c r="G801" s="3">
        <f>_xll.QS.EVALUATE(C801,F801)</f>
        <v>39207.263157350906</v>
      </c>
      <c r="H801" s="5" t="s">
        <v>1642</v>
      </c>
      <c r="I801" s="7">
        <v>1079900</v>
      </c>
      <c r="J801" s="8">
        <v>3.9899999999999998E-2</v>
      </c>
    </row>
    <row r="802" spans="1:10" x14ac:dyDescent="0.25">
      <c r="A802" s="5" t="s">
        <v>1630</v>
      </c>
      <c r="B802" s="5" t="s">
        <v>1643</v>
      </c>
      <c r="C802" s="6" t="str">
        <f>_xll.QS.CONTEXT.CREATE("market.800",A802,"USD","SOFR")</f>
        <v>QSObject:PricingContext:w1~market.800:1895</v>
      </c>
      <c r="D802" s="6" t="str">
        <f>_xll.QS.CONTEXT.ADD.CURVE(C802,"SOFR",$K$2:$K$7,$L$2:$L$7,,,"Actual360","LogLinear",TRUE)</f>
        <v>QSObject:ContextInput:w1~input.qs_context_add_curve.2359132437744.801.3.0:9806</v>
      </c>
      <c r="E802" s="6" t="str">
        <f>_xll.QS.INSTRUMENT.SWAP("swap.800",H802,B802,"USD","SOFR",I802,J802,0,"Actual360","Simple","Annual","Annual","Annual")</f>
        <v>QSObject:Swap:w1~swap.800:8201</v>
      </c>
      <c r="F802" s="6" t="str">
        <f>_xll.QS.TRADE.CREATE("trade.800",E802,A802,"Receive")</f>
        <v>QSObject:SwapTrade:w1~trade.800:14628</v>
      </c>
      <c r="G802" s="3">
        <f>_xll.QS.EVALUATE(C802,F802)</f>
        <v>14886.497489644433</v>
      </c>
      <c r="H802" s="5" t="s">
        <v>1644</v>
      </c>
      <c r="I802" s="7">
        <v>1080000</v>
      </c>
      <c r="J802" s="8">
        <v>3.5000000000000003E-2</v>
      </c>
    </row>
    <row r="803" spans="1:10" x14ac:dyDescent="0.25">
      <c r="A803" s="5" t="s">
        <v>1632</v>
      </c>
      <c r="B803" s="5" t="s">
        <v>1645</v>
      </c>
      <c r="C803" s="6" t="str">
        <f>_xll.QS.CONTEXT.CREATE("market.801",A803,"USD","SOFR")</f>
        <v>QSObject:PricingContext:w1~market.801:18301</v>
      </c>
      <c r="D803" s="6" t="str">
        <f>_xll.QS.CONTEXT.ADD.CURVE(C803,"SOFR",$K$2:$K$7,$L$2:$L$7,,,"Actual360","LogLinear",TRUE)</f>
        <v>QSObject:ContextInput:w1~input.qs_context_add_curve.2359132437744.802.3.0:39228</v>
      </c>
      <c r="E803" s="6" t="str">
        <f>_xll.QS.INSTRUMENT.SWAP("swap.801",H803,B803,"USD","SOFR",I803,J803,0,"Actual360","Simple","Annual","Annual","Annual")</f>
        <v>QSObject:Swap:w1~swap.801:5003</v>
      </c>
      <c r="F803" s="6" t="str">
        <f>_xll.QS.TRADE.CREATE("trade.801",E803,A803,"Receive")</f>
        <v>QSObject:SwapTrade:w1~trade.801:12986</v>
      </c>
      <c r="G803" s="3">
        <f>_xll.QS.EVALUATE(C803,F803)</f>
        <v>15433.007419043442</v>
      </c>
      <c r="H803" s="5" t="s">
        <v>1646</v>
      </c>
      <c r="I803" s="7">
        <v>1080100</v>
      </c>
      <c r="J803" s="8">
        <v>3.5100000000000013E-2</v>
      </c>
    </row>
    <row r="804" spans="1:10" x14ac:dyDescent="0.25">
      <c r="A804" s="5" t="s">
        <v>1634</v>
      </c>
      <c r="B804" s="5" t="s">
        <v>1647</v>
      </c>
      <c r="C804" s="6" t="str">
        <f>_xll.QS.CONTEXT.CREATE("market.802",A804,"USD","SOFR")</f>
        <v>QSObject:PricingContext:w1~market.802:6605</v>
      </c>
      <c r="D804" s="6" t="str">
        <f>_xll.QS.CONTEXT.ADD.CURVE(C804,"SOFR",$K$2:$K$7,$L$2:$L$7,,,"Actual360","LogLinear",TRUE)</f>
        <v>QSObject:ContextInput:w1~input.qs_context_add_curve.2359132437744.803.3.0:19988</v>
      </c>
      <c r="E804" s="6" t="str">
        <f>_xll.QS.INSTRUMENT.SWAP("swap.802",H804,B804,"USD","SOFR",I804,J804,0,"Actual360","Simple","Annual","Annual","Annual")</f>
        <v>QSObject:Swap:w1~swap.802:9805</v>
      </c>
      <c r="F804" s="6" t="str">
        <f>_xll.QS.TRADE.CREATE("trade.802",E804,A804,"Receive")</f>
        <v>QSObject:SwapTrade:w1~trade.802:17335</v>
      </c>
      <c r="G804" s="3">
        <f>_xll.QS.EVALUATE(C804,F804)</f>
        <v>15891.057841347825</v>
      </c>
      <c r="H804" s="5" t="s">
        <v>1648</v>
      </c>
      <c r="I804" s="7">
        <v>1080200</v>
      </c>
      <c r="J804" s="8">
        <v>3.5200000000000002E-2</v>
      </c>
    </row>
    <row r="805" spans="1:10" x14ac:dyDescent="0.25">
      <c r="A805" s="5" t="s">
        <v>1636</v>
      </c>
      <c r="B805" s="5" t="s">
        <v>1649</v>
      </c>
      <c r="C805" s="6" t="str">
        <f>_xll.QS.CONTEXT.CREATE("market.803",A805,"USD","SOFR")</f>
        <v>QSObject:PricingContext:w1~market.803:16307</v>
      </c>
      <c r="D805" s="6" t="str">
        <f>_xll.QS.CONTEXT.ADD.CURVE(C805,"SOFR",$K$2:$K$7,$L$2:$L$7,,,"Actual360","LogLinear",TRUE)</f>
        <v>QSObject:ContextInput:w1~input.qs_context_add_curve.2359132437744.804.3.0:39227</v>
      </c>
      <c r="E805" s="6" t="str">
        <f>_xll.QS.INSTRUMENT.SWAP("swap.803",H805,B805,"USD","SOFR",I805,J805,0,"Actual360","Simple","Annual","Annual","Annual")</f>
        <v>QSObject:Swap:w1~swap.803:14627</v>
      </c>
      <c r="F805" s="6" t="str">
        <f>_xll.QS.TRADE.CREATE("trade.803",E805,A805,"Receive")</f>
        <v>QSObject:SwapTrade:w1~trade.803:24226</v>
      </c>
      <c r="G805" s="3">
        <f>_xll.QS.EVALUATE(C805,F805)</f>
        <v>16325.867602256385</v>
      </c>
      <c r="H805" s="5" t="s">
        <v>1650</v>
      </c>
      <c r="I805" s="7">
        <v>1080300</v>
      </c>
      <c r="J805" s="8">
        <v>3.5299999999999998E-2</v>
      </c>
    </row>
    <row r="806" spans="1:10" x14ac:dyDescent="0.25">
      <c r="A806" s="5" t="s">
        <v>1638</v>
      </c>
      <c r="B806" s="5" t="s">
        <v>1651</v>
      </c>
      <c r="C806" s="6" t="str">
        <f>_xll.QS.CONTEXT.CREATE("market.804",A806,"USD","SOFR")</f>
        <v>QSObject:PricingContext:w1~market.804:12985</v>
      </c>
      <c r="D806" s="6" t="str">
        <f>_xll.QS.CONTEXT.ADD.CURVE(C806,"SOFR",$K$2:$K$7,$L$2:$L$7,,,"Actual360","LogLinear",TRUE)</f>
        <v>QSObject:ContextInput:w1~input.qs_context_add_curve.2359132437744.805.3.0:18300</v>
      </c>
      <c r="E806" s="6" t="str">
        <f>_xll.QS.INSTRUMENT.SWAP("swap.804",H806,B806,"USD","SOFR",I806,J806,0,"Actual360","Simple","Annual","Annual","Annual")</f>
        <v>QSObject:Swap:w1~swap.804:8200</v>
      </c>
      <c r="F806" s="6" t="str">
        <f>_xll.QS.TRADE.CREATE("trade.804",E806,A806,"Receive")</f>
        <v>QSObject:SwapTrade:w1~trade.804:30412</v>
      </c>
      <c r="G806" s="3">
        <f>_xll.QS.EVALUATE(C806,F806)</f>
        <v>16728.464687158095</v>
      </c>
      <c r="H806" s="5" t="s">
        <v>1652</v>
      </c>
      <c r="I806" s="7">
        <v>1080400</v>
      </c>
      <c r="J806" s="8">
        <v>3.5400000000000001E-2</v>
      </c>
    </row>
    <row r="807" spans="1:10" x14ac:dyDescent="0.25">
      <c r="A807" s="5" t="s">
        <v>1640</v>
      </c>
      <c r="B807" s="5" t="s">
        <v>1653</v>
      </c>
      <c r="C807" s="6" t="str">
        <f>_xll.QS.CONTEXT.CREATE("market.805",A807,"USD","SOFR")</f>
        <v>QSObject:PricingContext:w1~market.805:19987</v>
      </c>
      <c r="D807" s="6" t="str">
        <f>_xll.QS.CONTEXT.ADD.CURVE(C807,"SOFR",$K$2:$K$7,$L$2:$L$7,,,"Actual360","LogLinear",TRUE)</f>
        <v>QSObject:ContextInput:w1~input.qs_context_add_curve.2359132437744.806.3.0:39226</v>
      </c>
      <c r="E807" s="6" t="str">
        <f>_xll.QS.INSTRUMENT.SWAP("swap.805",H807,B807,"USD","SOFR",I807,J807,0,"Actual360","Simple","Annual","Annual","Annual")</f>
        <v>QSObject:Swap:w1~swap.805:11463</v>
      </c>
      <c r="F807" s="6" t="str">
        <f>_xll.QS.TRADE.CREATE("trade.805",E807,A807,"Receive")</f>
        <v>QSObject:SwapTrade:w1~trade.805:17334</v>
      </c>
      <c r="G807" s="3">
        <f>_xll.QS.EVALUATE(C807,F807)</f>
        <v>17273.017810937283</v>
      </c>
      <c r="H807" s="5" t="s">
        <v>1654</v>
      </c>
      <c r="I807" s="7">
        <v>1080500</v>
      </c>
      <c r="J807" s="8">
        <v>3.5499999999999997E-2</v>
      </c>
    </row>
    <row r="808" spans="1:10" x14ac:dyDescent="0.25">
      <c r="A808" s="5" t="s">
        <v>1642</v>
      </c>
      <c r="B808" s="5" t="s">
        <v>1655</v>
      </c>
      <c r="C808" s="6" t="str">
        <f>_xll.QS.CONTEXT.CREATE("market.806",A808,"USD","SOFR")</f>
        <v>QSObject:PricingContext:w1~market.806:14626</v>
      </c>
      <c r="D808" s="6" t="str">
        <f>_xll.QS.CONTEXT.ADD.CURVE(C808,"SOFR",$K$2:$K$7,$L$2:$L$7,,,"Actual360","LogLinear",TRUE)</f>
        <v>QSObject:ContextInput:w1~input.qs_context_add_curve.2359132437744.807.3.0:16306</v>
      </c>
      <c r="E808" s="6" t="str">
        <f>_xll.QS.INSTRUMENT.SWAP("swap.806",H808,B808,"USD","SOFR",I808,J808,0,"Actual360","Simple","Annual","Annual","Annual")</f>
        <v>QSObject:Swap:w1~swap.806:1894</v>
      </c>
      <c r="F808" s="6" t="str">
        <f>_xll.QS.TRADE.CREATE("trade.806",E808,A808,"Receive")</f>
        <v>QSObject:SwapTrade:w1~trade.806:3436</v>
      </c>
      <c r="G808" s="3">
        <f>_xll.QS.EVALUATE(C808,F808)</f>
        <v>17805.808073007433</v>
      </c>
      <c r="H808" s="5" t="s">
        <v>1656</v>
      </c>
      <c r="I808" s="7">
        <v>1080600</v>
      </c>
      <c r="J808" s="8">
        <v>3.5600000000000007E-2</v>
      </c>
    </row>
    <row r="809" spans="1:10" x14ac:dyDescent="0.25">
      <c r="A809" s="5" t="s">
        <v>1644</v>
      </c>
      <c r="B809" s="5" t="s">
        <v>1657</v>
      </c>
      <c r="C809" s="6" t="str">
        <f>_xll.QS.CONTEXT.CREATE("market.807",A809,"USD","SOFR")</f>
        <v>QSObject:PricingContext:w1~market.807:18299</v>
      </c>
      <c r="D809" s="6" t="str">
        <f>_xll.QS.CONTEXT.ADD.CURVE(C809,"SOFR",$K$2:$K$7,$L$2:$L$7,,,"Actual360","LogLinear",TRUE)</f>
        <v>QSObject:ContextInput:w1~input.qs_context_add_curve.2359132437744.808.3.0:39225</v>
      </c>
      <c r="E809" s="6" t="str">
        <f>_xll.QS.INSTRUMENT.SWAP("swap.807",H809,B809,"USD","SOFR",I809,J809,0,"Actual360","Simple","Annual","Annual","Annual")</f>
        <v>QSObject:Swap:w1~swap.807:12984</v>
      </c>
      <c r="F809" s="6" t="str">
        <f>_xll.QS.TRADE.CREATE("trade.807",E809,A809,"Receive")</f>
        <v>QSObject:SwapTrade:w1~trade.807:26539</v>
      </c>
      <c r="G809" s="3">
        <f>_xll.QS.EVALUATE(C809,F809)</f>
        <v>18384.615742684098</v>
      </c>
      <c r="H809" s="5" t="s">
        <v>1658</v>
      </c>
      <c r="I809" s="7">
        <v>1080700</v>
      </c>
      <c r="J809" s="8">
        <v>3.5700000000000003E-2</v>
      </c>
    </row>
    <row r="810" spans="1:10" x14ac:dyDescent="0.25">
      <c r="A810" s="5" t="s">
        <v>1646</v>
      </c>
      <c r="B810" s="5" t="s">
        <v>1659</v>
      </c>
      <c r="C810" s="6" t="str">
        <f>_xll.QS.CONTEXT.CREATE("market.808",A810,"USD","SOFR")</f>
        <v>QSObject:PricingContext:w1~market.808:5002</v>
      </c>
      <c r="D810" s="6" t="str">
        <f>_xll.QS.CONTEXT.ADD.CURVE(C810,"SOFR",$K$2:$K$7,$L$2:$L$7,,,"Actual360","LogLinear",TRUE)</f>
        <v>QSObject:ContextInput:w1~input.qs_context_add_curve.2359132437744.809.3.0:17333</v>
      </c>
      <c r="E810" s="6" t="str">
        <f>_xll.QS.INSTRUMENT.SWAP("swap.808",H810,B810,"USD","SOFR",I810,J810,0,"Actual360","Simple","Annual","Annual","Annual")</f>
        <v>QSObject:Swap:w1~swap.808:6604</v>
      </c>
      <c r="F810" s="6" t="str">
        <f>_xll.QS.TRADE.CREATE("trade.808",E810,A810,"Receive")</f>
        <v>QSObject:SwapTrade:w1~trade.808:14625</v>
      </c>
      <c r="G810" s="3">
        <f>_xll.QS.EVALUATE(C810,F810)</f>
        <v>18931.84182014707</v>
      </c>
      <c r="H810" s="5" t="s">
        <v>1660</v>
      </c>
      <c r="I810" s="7">
        <v>1080800</v>
      </c>
      <c r="J810" s="8">
        <v>3.5800000000000012E-2</v>
      </c>
    </row>
    <row r="811" spans="1:10" x14ac:dyDescent="0.25">
      <c r="A811" s="5" t="s">
        <v>1648</v>
      </c>
      <c r="B811" s="5" t="s">
        <v>1661</v>
      </c>
      <c r="C811" s="6" t="str">
        <f>_xll.QS.CONTEXT.CREATE("market.809",A811,"USD","SOFR")</f>
        <v>QSObject:PricingContext:w1~market.809:3435</v>
      </c>
      <c r="D811" s="6" t="str">
        <f>_xll.QS.CONTEXT.ADD.CURVE(C811,"SOFR",$K$2:$K$7,$L$2:$L$7,,,"Actual360","LogLinear",TRUE)</f>
        <v>QSObject:ContextInput:w1~input.qs_context_add_curve.2359132437744.810.3.0:11462</v>
      </c>
      <c r="E811" s="6" t="str">
        <f>_xll.QS.INSTRUMENT.SWAP("swap.809",H811,B811,"USD","SOFR",I811,J811,0,"Actual360","Simple","Annual","Annual","Annual")</f>
        <v>QSObject:Swap:w1~swap.809:19986</v>
      </c>
      <c r="F811" s="6" t="str">
        <f>_xll.QS.TRADE.CREATE("trade.809",E811,A811,"Receive")</f>
        <v>QSObject:SwapTrade:w1~trade.809:30321</v>
      </c>
      <c r="G811" s="3">
        <f>_xll.QS.EVALUATE(C811,F811)</f>
        <v>19390.473242422817</v>
      </c>
      <c r="H811" s="5" t="s">
        <v>1662</v>
      </c>
      <c r="I811" s="7">
        <v>1080900</v>
      </c>
      <c r="J811" s="8">
        <v>3.5900000000000001E-2</v>
      </c>
    </row>
    <row r="812" spans="1:10" x14ac:dyDescent="0.25">
      <c r="A812" s="5" t="s">
        <v>1650</v>
      </c>
      <c r="B812" s="5" t="s">
        <v>1663</v>
      </c>
      <c r="C812" s="6" t="str">
        <f>_xll.QS.CONTEXT.CREATE("market.810",A812,"USD","SOFR")</f>
        <v>QSObject:PricingContext:w1~market.810:16305</v>
      </c>
      <c r="D812" s="6" t="str">
        <f>_xll.QS.CONTEXT.ADD.CURVE(C812,"SOFR",$K$2:$K$7,$L$2:$L$7,,,"Actual360","LogLinear",TRUE)</f>
        <v>QSObject:ContextInput:w1~input.qs_context_add_curve.2359132437744.811.3.0:39224</v>
      </c>
      <c r="E812" s="6" t="str">
        <f>_xll.QS.INSTRUMENT.SWAP("swap.810",H812,B812,"USD","SOFR",I812,J812,0,"Actual360","Simple","Annual","Annual","Annual")</f>
        <v>QSObject:Swap:w1~swap.810:1893</v>
      </c>
      <c r="F812" s="6" t="str">
        <f>_xll.QS.TRADE.CREATE("trade.810",E812,A812,"Receive")</f>
        <v>QSObject:SwapTrade:w1~trade.810:17332</v>
      </c>
      <c r="G812" s="3">
        <f>_xll.QS.EVALUATE(C812,F812)</f>
        <v>19728.250548833978</v>
      </c>
      <c r="H812" s="5" t="s">
        <v>1664</v>
      </c>
      <c r="I812" s="7">
        <v>1081000</v>
      </c>
      <c r="J812" s="8">
        <v>3.5999999999999997E-2</v>
      </c>
    </row>
    <row r="813" spans="1:10" x14ac:dyDescent="0.25">
      <c r="A813" s="5" t="s">
        <v>1652</v>
      </c>
      <c r="B813" s="5" t="s">
        <v>1665</v>
      </c>
      <c r="C813" s="6" t="str">
        <f>_xll.QS.CONTEXT.CREATE("market.811",A813,"USD","SOFR")</f>
        <v>QSObject:PricingContext:w1~market.811:5001</v>
      </c>
      <c r="D813" s="6" t="str">
        <f>_xll.QS.CONTEXT.ADD.CURVE(C813,"SOFR",$K$2:$K$7,$L$2:$L$7,,,"Actual360","LogLinear",TRUE)</f>
        <v>QSObject:ContextInput:w1~input.qs_context_add_curve.2359132437744.812.3.0:8199</v>
      </c>
      <c r="E813" s="6" t="str">
        <f>_xll.QS.INSTRUMENT.SWAP("swap.811",H813,B813,"USD","SOFR",I813,J813,0,"Actual360","Simple","Annual","Annual","Annual")</f>
        <v>QSObject:Swap:w1~swap.811:9804</v>
      </c>
      <c r="F813" s="6" t="str">
        <f>_xll.QS.TRADE.CREATE("trade.811",E813,A813,"Receive")</f>
        <v>QSObject:SwapTrade:w1~trade.811:29678</v>
      </c>
      <c r="G813" s="3">
        <f>_xll.QS.EVALUATE(C813,F813)</f>
        <v>20230.367049806919</v>
      </c>
      <c r="H813" s="5" t="s">
        <v>1666</v>
      </c>
      <c r="I813" s="7">
        <v>1081100</v>
      </c>
      <c r="J813" s="8">
        <v>3.61E-2</v>
      </c>
    </row>
    <row r="814" spans="1:10" x14ac:dyDescent="0.25">
      <c r="A814" s="5" t="s">
        <v>1654</v>
      </c>
      <c r="B814" s="5" t="s">
        <v>1667</v>
      </c>
      <c r="C814" s="6" t="str">
        <f>_xll.QS.CONTEXT.CREATE("market.812",A814,"USD","SOFR")</f>
        <v>QSObject:PricingContext:w1~market.812:14624</v>
      </c>
      <c r="D814" s="6" t="str">
        <f>_xll.QS.CONTEXT.ADD.CURVE(C814,"SOFR",$K$2:$K$7,$L$2:$L$7,,,"Actual360","LogLinear",TRUE)</f>
        <v>QSObject:ContextInput:w1~input.qs_context_add_curve.2359132437744.813.3.0:39223</v>
      </c>
      <c r="E814" s="6" t="str">
        <f>_xll.QS.INSTRUMENT.SWAP("swap.812",H814,B814,"USD","SOFR",I814,J814,0,"Actual360","Simple","Annual","Annual","Annual")</f>
        <v>QSObject:Swap:w1~swap.812:11461</v>
      </c>
      <c r="F814" s="6" t="str">
        <f>_xll.QS.TRADE.CREATE("trade.812",E814,A814,"Receive")</f>
        <v>QSObject:SwapTrade:w1~trade.812:18298</v>
      </c>
      <c r="G814" s="3">
        <f>_xll.QS.EVALUATE(C814,F814)</f>
        <v>20776.056754857116</v>
      </c>
      <c r="H814" s="5" t="s">
        <v>1668</v>
      </c>
      <c r="I814" s="7">
        <v>1081200</v>
      </c>
      <c r="J814" s="8">
        <v>3.6200000000000003E-2</v>
      </c>
    </row>
    <row r="815" spans="1:10" x14ac:dyDescent="0.25">
      <c r="A815" s="5" t="s">
        <v>1656</v>
      </c>
      <c r="B815" s="5" t="s">
        <v>1669</v>
      </c>
      <c r="C815" s="6" t="str">
        <f>_xll.QS.CONTEXT.CREATE("market.813",A815,"USD","SOFR")</f>
        <v>QSObject:PricingContext:w1~market.813:12983</v>
      </c>
      <c r="D815" s="6" t="str">
        <f>_xll.QS.CONTEXT.ADD.CURVE(C815,"SOFR",$K$2:$K$7,$L$2:$L$7,,,"Actual360","LogLinear",TRUE)</f>
        <v>QSObject:ContextInput:w1~input.qs_context_add_curve.2359132437744.814.3.0:19985</v>
      </c>
      <c r="E815" s="6" t="str">
        <f>_xll.QS.INSTRUMENT.SWAP("swap.813",H815,B815,"USD","SOFR",I815,J815,0,"Actual360","Simple","Annual","Annual","Annual")</f>
        <v>QSObject:Swap:w1~swap.813:16304</v>
      </c>
      <c r="F815" s="6" t="str">
        <f>_xll.QS.TRADE.CREATE("trade.813",E815,A815,"Receive")</f>
        <v>QSObject:SwapTrade:w1~trade.813:31153</v>
      </c>
      <c r="G815" s="3">
        <f>_xll.QS.EVALUATE(C815,F815)</f>
        <v>21427.218305112201</v>
      </c>
      <c r="H815" s="5" t="s">
        <v>1670</v>
      </c>
      <c r="I815" s="7">
        <v>1081300</v>
      </c>
      <c r="J815" s="8">
        <v>3.6300000000000013E-2</v>
      </c>
    </row>
    <row r="816" spans="1:10" x14ac:dyDescent="0.25">
      <c r="A816" s="5" t="s">
        <v>1658</v>
      </c>
      <c r="B816" s="5" t="s">
        <v>1671</v>
      </c>
      <c r="C816" s="6" t="str">
        <f>_xll.QS.CONTEXT.CREATE("market.814",A816,"USD","SOFR")</f>
        <v>QSObject:PricingContext:w1~market.814:5000</v>
      </c>
      <c r="D816" s="6" t="str">
        <f>_xll.QS.CONTEXT.ADD.CURVE(C816,"SOFR",$K$2:$K$7,$L$2:$L$7,,,"Actual360","LogLinear",TRUE)</f>
        <v>QSObject:ContextInput:w1~input.qs_context_add_curve.2359132437744.815.3.0:6603</v>
      </c>
      <c r="E816" s="6" t="str">
        <f>_xll.QS.INSTRUMENT.SWAP("swap.814",H816,B816,"USD","SOFR",I816,J816,0,"Actual360","Simple","Annual","Annual","Annual")</f>
        <v>QSObject:Swap:w1~swap.814:1892</v>
      </c>
      <c r="F816" s="6" t="str">
        <f>_xll.QS.TRADE.CREATE("trade.814",E816,A816,"Receive")</f>
        <v>QSObject:SwapTrade:w1~trade.814:17331</v>
      </c>
      <c r="G816" s="3">
        <f>_xll.QS.EVALUATE(C816,F816)</f>
        <v>21926.923149828432</v>
      </c>
      <c r="H816" s="5" t="s">
        <v>1672</v>
      </c>
      <c r="I816" s="7">
        <v>1081400</v>
      </c>
      <c r="J816" s="8">
        <v>3.6400000000000002E-2</v>
      </c>
    </row>
    <row r="817" spans="1:10" x14ac:dyDescent="0.25">
      <c r="A817" s="5" t="s">
        <v>1660</v>
      </c>
      <c r="B817" s="5" t="s">
        <v>1673</v>
      </c>
      <c r="C817" s="6" t="str">
        <f>_xll.QS.CONTEXT.CREATE("market.815",A817,"USD","SOFR")</f>
        <v>QSObject:PricingContext:w1~market.815:14623</v>
      </c>
      <c r="D817" s="6" t="str">
        <f>_xll.QS.CONTEXT.ADD.CURVE(C817,"SOFR",$K$2:$K$7,$L$2:$L$7,,,"Actual360","LogLinear",TRUE)</f>
        <v>QSObject:ContextInput:w1~input.qs_context_add_curve.2359132437744.816.3.0:39222</v>
      </c>
      <c r="E817" s="6" t="str">
        <f>_xll.QS.INSTRUMENT.SWAP("swap.815",H817,B817,"USD","SOFR",I817,J817,0,"Actual360","Simple","Annual","Annual","Annual")</f>
        <v>QSObject:Swap:w1~swap.815:11460</v>
      </c>
      <c r="F817" s="6" t="str">
        <f>_xll.QS.TRADE.CREATE("trade.815",E817,A817,"Receive")</f>
        <v>QSObject:SwapTrade:w1~trade.815:19984</v>
      </c>
      <c r="G817" s="3">
        <f>_xll.QS.EVALUATE(C817,F817)</f>
        <v>22434.414448167485</v>
      </c>
      <c r="H817" s="5" t="s">
        <v>1674</v>
      </c>
      <c r="I817" s="7">
        <v>1081500</v>
      </c>
      <c r="J817" s="8">
        <v>3.6499999999999998E-2</v>
      </c>
    </row>
    <row r="818" spans="1:10" x14ac:dyDescent="0.25">
      <c r="A818" s="5" t="s">
        <v>1662</v>
      </c>
      <c r="B818" s="5" t="s">
        <v>1675</v>
      </c>
      <c r="C818" s="6" t="str">
        <f>_xll.QS.CONTEXT.CREATE("market.816",A818,"USD","SOFR")</f>
        <v>QSObject:PricingContext:w1~market.816:3434</v>
      </c>
      <c r="D818" s="6" t="str">
        <f>_xll.QS.CONTEXT.ADD.CURVE(C818,"SOFR",$K$2:$K$7,$L$2:$L$7,,,"Actual360","LogLinear",TRUE)</f>
        <v>QSObject:ContextInput:w1~input.qs_context_add_curve.2359132437744.817.3.0:12982</v>
      </c>
      <c r="E818" s="6" t="str">
        <f>_xll.QS.INSTRUMENT.SWAP("swap.816",H818,B818,"USD","SOFR",I818,J818,0,"Actual360","Simple","Annual","Annual","Annual")</f>
        <v>QSObject:Swap:w1~swap.816:18297</v>
      </c>
      <c r="F818" s="6" t="str">
        <f>_xll.QS.TRADE.CREATE("trade.816",E818,A818,"Receive")</f>
        <v>QSObject:SwapTrade:w1~trade.816:29677</v>
      </c>
      <c r="G818" s="3">
        <f>_xll.QS.EVALUATE(C818,F818)</f>
        <v>22894.123350174257</v>
      </c>
      <c r="H818" s="5" t="s">
        <v>1676</v>
      </c>
      <c r="I818" s="7">
        <v>1081600</v>
      </c>
      <c r="J818" s="8">
        <v>3.6600000000000001E-2</v>
      </c>
    </row>
    <row r="819" spans="1:10" x14ac:dyDescent="0.25">
      <c r="A819" s="5" t="s">
        <v>1664</v>
      </c>
      <c r="B819" s="5" t="s">
        <v>1677</v>
      </c>
      <c r="C819" s="6" t="str">
        <f>_xll.QS.CONTEXT.CREATE("market.817",A819,"USD","SOFR")</f>
        <v>QSObject:PricingContext:w1~market.817:16303</v>
      </c>
      <c r="D819" s="6" t="str">
        <f>_xll.QS.CONTEXT.ADD.CURVE(C819,"SOFR",$K$2:$K$7,$L$2:$L$7,,,"Actual360","LogLinear",TRUE)</f>
        <v>QSObject:ContextInput:w1~input.qs_context_add_curve.2359132437744.818.3.0:17330</v>
      </c>
      <c r="E819" s="6" t="str">
        <f>_xll.QS.INSTRUMENT.SWAP("swap.817",H819,B819,"USD","SOFR",I819,J819,0,"Actual360","Simple","Annual","Annual","Annual")</f>
        <v>QSObject:Swap:w1~swap.817:1891</v>
      </c>
      <c r="F819" s="6" t="str">
        <f>_xll.QS.TRADE.CREATE("trade.817",E819,A819,"Receive")</f>
        <v>QSObject:SwapTrade:w1~trade.817:9803</v>
      </c>
      <c r="G819" s="3">
        <f>_xll.QS.EVALUATE(C819,F819)</f>
        <v>23321.864451612651</v>
      </c>
      <c r="H819" s="5" t="s">
        <v>1678</v>
      </c>
      <c r="I819" s="7">
        <v>1081700</v>
      </c>
      <c r="J819" s="8">
        <v>3.6700000000000003E-2</v>
      </c>
    </row>
    <row r="820" spans="1:10" x14ac:dyDescent="0.25">
      <c r="A820" s="5" t="s">
        <v>1666</v>
      </c>
      <c r="B820" s="5" t="s">
        <v>1679</v>
      </c>
      <c r="C820" s="6" t="str">
        <f>_xll.QS.CONTEXT.CREATE("market.818",A820,"USD","SOFR")</f>
        <v>QSObject:PricingContext:w1~market.818:19983</v>
      </c>
      <c r="D820" s="6" t="str">
        <f>_xll.QS.CONTEXT.ADD.CURVE(C820,"SOFR",$K$2:$K$7,$L$2:$L$7,,,"Actual360","LogLinear",TRUE)</f>
        <v>QSObject:ContextInput:w1~input.qs_context_add_curve.2359132437744.819.3.0:39221</v>
      </c>
      <c r="E820" s="6" t="str">
        <f>_xll.QS.INSTRUMENT.SWAP("swap.818",H820,B820,"USD","SOFR",I820,J820,0,"Actual360","Simple","Annual","Annual","Annual")</f>
        <v>QSObject:Swap:w1~swap.818:4999</v>
      </c>
      <c r="F820" s="6" t="str">
        <f>_xll.QS.TRADE.CREATE("trade.818",E820,A820,"Receive")</f>
        <v>QSObject:SwapTrade:w1~trade.818:29676</v>
      </c>
      <c r="G820" s="3">
        <f>_xll.QS.EVALUATE(C820,F820)</f>
        <v>23736.05180018668</v>
      </c>
      <c r="H820" s="5" t="s">
        <v>1680</v>
      </c>
      <c r="I820" s="7">
        <v>1081800</v>
      </c>
      <c r="J820" s="8">
        <v>3.6800000000000013E-2</v>
      </c>
    </row>
    <row r="821" spans="1:10" x14ac:dyDescent="0.25">
      <c r="A821" s="5" t="s">
        <v>1668</v>
      </c>
      <c r="B821" s="5" t="s">
        <v>1681</v>
      </c>
      <c r="C821" s="6" t="str">
        <f>_xll.QS.CONTEXT.CREATE("market.819",A821,"USD","SOFR")</f>
        <v>QSObject:PricingContext:w1~market.819:18296</v>
      </c>
      <c r="D821" s="6" t="str">
        <f>_xll.QS.CONTEXT.ADD.CURVE(C821,"SOFR",$K$2:$K$7,$L$2:$L$7,,,"Actual360","LogLinear",TRUE)</f>
        <v>QSObject:ContextInput:w1~input.qs_context_add_curve.2359132437744.820.3.0:39220</v>
      </c>
      <c r="E821" s="6" t="str">
        <f>_xll.QS.INSTRUMENT.SWAP("swap.819",H821,B821,"USD","SOFR",I821,J821,0,"Actual360","Simple","Annual","Annual","Annual")</f>
        <v>QSObject:Swap:w1~swap.819:14622</v>
      </c>
      <c r="F821" s="6" t="str">
        <f>_xll.QS.TRADE.CREATE("trade.819",E821,A821,"Receive")</f>
        <v>QSObject:SwapTrade:w1~trade.819:29675</v>
      </c>
      <c r="G821" s="3">
        <f>_xll.QS.EVALUATE(C821,F821)</f>
        <v>24283.98262020007</v>
      </c>
      <c r="H821" s="5" t="s">
        <v>1682</v>
      </c>
      <c r="I821" s="7">
        <v>1081900</v>
      </c>
      <c r="J821" s="8">
        <v>3.6900000000000002E-2</v>
      </c>
    </row>
    <row r="822" spans="1:10" x14ac:dyDescent="0.25">
      <c r="A822" s="5" t="s">
        <v>1670</v>
      </c>
      <c r="B822" s="5" t="s">
        <v>1683</v>
      </c>
      <c r="C822" s="6" t="str">
        <f>_xll.QS.CONTEXT.CREATE("market.820",A822,"USD","SOFR")</f>
        <v>QSObject:PricingContext:w1~market.820:16302</v>
      </c>
      <c r="D822" s="6" t="str">
        <f>_xll.QS.CONTEXT.ADD.CURVE(C822,"SOFR",$K$2:$K$7,$L$2:$L$7,,,"Actual360","LogLinear",TRUE)</f>
        <v>QSObject:ContextInput:w1~input.qs_context_add_curve.2359132437744.821.3.0:39219</v>
      </c>
      <c r="E822" s="6" t="str">
        <f>_xll.QS.INSTRUMENT.SWAP("swap.820",H822,B822,"USD","SOFR",I822,J822,0,"Actual360","Simple","Annual","Annual","Annual")</f>
        <v>QSObject:Swap:w1~swap.820:17329</v>
      </c>
      <c r="F822" s="6" t="str">
        <f>_xll.QS.TRADE.CREATE("trade.820",E822,A822,"Receive")</f>
        <v>QSObject:SwapTrade:w1~trade.820:29674</v>
      </c>
      <c r="G822" s="3">
        <f>_xll.QS.EVALUATE(C822,F822)</f>
        <v>24814.109400050515</v>
      </c>
      <c r="H822" s="5" t="s">
        <v>1684</v>
      </c>
      <c r="I822" s="7">
        <v>1082000</v>
      </c>
      <c r="J822" s="8">
        <v>3.7000000000000012E-2</v>
      </c>
    </row>
    <row r="823" spans="1:10" x14ac:dyDescent="0.25">
      <c r="A823" s="5" t="s">
        <v>1672</v>
      </c>
      <c r="B823" s="5" t="s">
        <v>1685</v>
      </c>
      <c r="C823" s="6" t="str">
        <f>_xll.QS.CONTEXT.CREATE("market.821",A823,"USD","SOFR")</f>
        <v>QSObject:PricingContext:w1~market.821:4998</v>
      </c>
      <c r="D823" s="6" t="str">
        <f>_xll.QS.CONTEXT.ADD.CURVE(C823,"SOFR",$K$2:$K$7,$L$2:$L$7,,,"Actual360","LogLinear",TRUE)</f>
        <v>QSObject:ContextInput:w1~input.qs_context_add_curve.2359132437744.822.3.0:9802</v>
      </c>
      <c r="E823" s="6" t="str">
        <f>_xll.QS.INSTRUMENT.SWAP("swap.821",H823,B823,"USD","SOFR",I823,J823,0,"Actual360","Simple","Annual","Annual","Annual")</f>
        <v>QSObject:Swap:w1~swap.821:19982</v>
      </c>
      <c r="F823" s="6" t="str">
        <f>_xll.QS.TRADE.CREATE("trade.821",E823,A823,"Receive")</f>
        <v>QSObject:SwapTrade:w1~trade.821:22319</v>
      </c>
      <c r="G823" s="3">
        <f>_xll.QS.EVALUATE(C823,F823)</f>
        <v>25394.411016744263</v>
      </c>
      <c r="H823" s="5" t="s">
        <v>1686</v>
      </c>
      <c r="I823" s="7">
        <v>1082100</v>
      </c>
      <c r="J823" s="8">
        <v>3.7100000000000001E-2</v>
      </c>
    </row>
    <row r="824" spans="1:10" x14ac:dyDescent="0.25">
      <c r="A824" s="5" t="s">
        <v>1674</v>
      </c>
      <c r="B824" s="5" t="s">
        <v>1687</v>
      </c>
      <c r="C824" s="6" t="str">
        <f>_xll.QS.CONTEXT.CREATE("market.822",A824,"USD","SOFR")</f>
        <v>QSObject:PricingContext:w1~market.822:8198</v>
      </c>
      <c r="D824" s="6" t="str">
        <f>_xll.QS.CONTEXT.ADD.CURVE(C824,"SOFR",$K$2:$K$7,$L$2:$L$7,,,"Actual360","LogLinear",TRUE)</f>
        <v>QSObject:ContextInput:w1~input.qs_context_add_curve.2359132437744.823.3.0:18295</v>
      </c>
      <c r="E824" s="6" t="str">
        <f>_xll.QS.INSTRUMENT.SWAP("swap.822",H824,B824,"USD","SOFR",I824,J824,0,"Actual360","Simple","Annual","Annual","Annual")</f>
        <v>QSObject:Swap:w1~swap.822:14621</v>
      </c>
      <c r="F824" s="6" t="str">
        <f>_xll.QS.TRADE.CREATE("trade.822",E824,A824,"Receive")</f>
        <v>QSObject:SwapTrade:w1~trade.822:28297</v>
      </c>
      <c r="G824" s="3">
        <f>_xll.QS.EVALUATE(C824,F824)</f>
        <v>25942.861220935793</v>
      </c>
      <c r="H824" s="5" t="s">
        <v>1688</v>
      </c>
      <c r="I824" s="7">
        <v>1082200</v>
      </c>
      <c r="J824" s="8">
        <v>3.7199999999999997E-2</v>
      </c>
    </row>
    <row r="825" spans="1:10" x14ac:dyDescent="0.25">
      <c r="A825" s="5" t="s">
        <v>1676</v>
      </c>
      <c r="B825" s="5" t="s">
        <v>1689</v>
      </c>
      <c r="C825" s="6" t="str">
        <f>_xll.QS.CONTEXT.CREATE("market.823",A825,"USD","SOFR")</f>
        <v>QSObject:PricingContext:w1~market.823:12981</v>
      </c>
      <c r="D825" s="6" t="str">
        <f>_xll.QS.CONTEXT.ADD.CURVE(C825,"SOFR",$K$2:$K$7,$L$2:$L$7,,,"Actual360","LogLinear",TRUE)</f>
        <v>QSObject:ContextInput:w1~input.qs_context_add_curve.2359132437744.824.3.0:17328</v>
      </c>
      <c r="E825" s="6" t="str">
        <f>_xll.QS.INSTRUMENT.SWAP("swap.823",H825,B825,"USD","SOFR",I825,J825,0,"Actual360","Simple","Annual","Annual","Annual")</f>
        <v>QSObject:Swap:w1~swap.823:16301</v>
      </c>
      <c r="F825" s="6" t="str">
        <f>_xll.QS.TRADE.CREATE("trade.823",E825,A825,"Receive")</f>
        <v>QSObject:SwapTrade:w1~trade.823:19981</v>
      </c>
      <c r="G825" s="3">
        <f>_xll.QS.EVALUATE(C825,F825)</f>
        <v>26403.788937839112</v>
      </c>
      <c r="H825" s="5" t="s">
        <v>1690</v>
      </c>
      <c r="I825" s="7">
        <v>1082300</v>
      </c>
      <c r="J825" s="8">
        <v>3.73E-2</v>
      </c>
    </row>
    <row r="826" spans="1:10" x14ac:dyDescent="0.25">
      <c r="A826" s="5" t="s">
        <v>1678</v>
      </c>
      <c r="B826" s="5" t="s">
        <v>1691</v>
      </c>
      <c r="C826" s="6" t="str">
        <f>_xll.QS.CONTEXT.CREATE("market.824",A826,"USD","SOFR")</f>
        <v>QSObject:PricingContext:w1~market.824:9801</v>
      </c>
      <c r="D826" s="6" t="str">
        <f>_xll.QS.CONTEXT.ADD.CURVE(C826,"SOFR",$K$2:$K$7,$L$2:$L$7,,,"Actual360","LogLinear",TRUE)</f>
        <v>QSObject:ContextInput:w1~input.qs_context_add_curve.2359132437744.825.3.0:39218</v>
      </c>
      <c r="E826" s="6" t="str">
        <f>_xll.QS.INSTRUMENT.SWAP("swap.824",H826,B826,"USD","SOFR",I826,J826,0,"Actual360","Simple","Annual","Annual","Annual")</f>
        <v>QSObject:Swap:w1~swap.824:1890</v>
      </c>
      <c r="F826" s="6" t="str">
        <f>_xll.QS.TRADE.CREATE("trade.824",E826,A826,"Receive")</f>
        <v>QSObject:SwapTrade:w1~trade.824:18294</v>
      </c>
      <c r="G826" s="3">
        <f>_xll.QS.EVALUATE(C826,F826)</f>
        <v>26828.063735228956</v>
      </c>
      <c r="H826" s="5" t="s">
        <v>1692</v>
      </c>
      <c r="I826" s="7">
        <v>1082400</v>
      </c>
      <c r="J826" s="8">
        <v>3.7400000000000003E-2</v>
      </c>
    </row>
    <row r="827" spans="1:10" x14ac:dyDescent="0.25">
      <c r="A827" s="5" t="s">
        <v>1680</v>
      </c>
      <c r="B827" s="5" t="s">
        <v>1693</v>
      </c>
      <c r="C827" s="6" t="str">
        <f>_xll.QS.CONTEXT.CREATE("market.825",A827,"USD","SOFR")</f>
        <v>QSObject:PricingContext:w1~market.825:4997</v>
      </c>
      <c r="D827" s="6" t="str">
        <f>_xll.QS.CONTEXT.ADD.CURVE(C827,"SOFR",$K$2:$K$7,$L$2:$L$7,,,"Actual360","LogLinear",TRUE)</f>
        <v>QSObject:ContextInput:w1~input.qs_context_add_curve.2359132437744.826.3.0:11459</v>
      </c>
      <c r="E827" s="6" t="str">
        <f>_xll.QS.INSTRUMENT.SWAP("swap.825",H827,B827,"USD","SOFR",I827,J827,0,"Actual360","Simple","Annual","Annual","Annual")</f>
        <v>QSObject:Swap:w1~swap.825:14620</v>
      </c>
      <c r="F827" s="6" t="str">
        <f>_xll.QS.TRADE.CREATE("trade.825",E827,A827,"Receive")</f>
        <v>QSObject:SwapTrade:w1~trade.825:29015</v>
      </c>
      <c r="G827" s="3">
        <f>_xll.QS.EVALUATE(C827,F827)</f>
        <v>27248.665125096351</v>
      </c>
      <c r="H827" s="5" t="s">
        <v>1694</v>
      </c>
      <c r="I827" s="7">
        <v>1082500</v>
      </c>
      <c r="J827" s="8">
        <v>3.7500000000000012E-2</v>
      </c>
    </row>
    <row r="828" spans="1:10" x14ac:dyDescent="0.25">
      <c r="A828" s="5" t="s">
        <v>1682</v>
      </c>
      <c r="B828" s="5" t="s">
        <v>1695</v>
      </c>
      <c r="C828" s="6" t="str">
        <f>_xll.QS.CONTEXT.CREATE("market.826",A828,"USD","SOFR")</f>
        <v>QSObject:PricingContext:w1~market.826:16300</v>
      </c>
      <c r="D828" s="6" t="str">
        <f>_xll.QS.CONTEXT.ADD.CURVE(C828,"SOFR",$K$2:$K$7,$L$2:$L$7,,,"Actual360","LogLinear",TRUE)</f>
        <v>QSObject:ContextInput:w1~input.qs_context_add_curve.2359132437744.827.3.0:39217</v>
      </c>
      <c r="E828" s="6" t="str">
        <f>_xll.QS.INSTRUMENT.SWAP("swap.826",H828,B828,"USD","SOFR",I828,J828,0,"Actual360","Simple","Annual","Annual","Annual")</f>
        <v>QSObject:Swap:w1~swap.826:8197</v>
      </c>
      <c r="F828" s="6" t="str">
        <f>_xll.QS.TRADE.CREATE("trade.826",E828,A828,"Receive")</f>
        <v>QSObject:SwapTrade:w1~trade.826:17327</v>
      </c>
      <c r="G828" s="3">
        <f>_xll.QS.EVALUATE(C828,F828)</f>
        <v>27795.631879985929</v>
      </c>
      <c r="H828" s="5" t="s">
        <v>1696</v>
      </c>
      <c r="I828" s="7">
        <v>1082600</v>
      </c>
      <c r="J828" s="8">
        <v>3.7600000000000001E-2</v>
      </c>
    </row>
    <row r="829" spans="1:10" x14ac:dyDescent="0.25">
      <c r="A829" s="5" t="s">
        <v>1684</v>
      </c>
      <c r="B829" s="5" t="s">
        <v>1697</v>
      </c>
      <c r="C829" s="6" t="str">
        <f>_xll.QS.CONTEXT.CREATE("market.827",A829,"USD","SOFR")</f>
        <v>QSObject:PricingContext:w1~market.827:3433</v>
      </c>
      <c r="D829" s="6" t="str">
        <f>_xll.QS.CONTEXT.ADD.CURVE(C829,"SOFR",$K$2:$K$7,$L$2:$L$7,,,"Actual360","LogLinear",TRUE)</f>
        <v>QSObject:ContextInput:w1~input.qs_context_add_curve.2359132437744.828.3.0:9800</v>
      </c>
      <c r="E829" s="6" t="str">
        <f>_xll.QS.INSTRUMENT.SWAP("swap.827",H829,B829,"USD","SOFR",I829,J829,0,"Actual360","Simple","Annual","Annual","Annual")</f>
        <v>QSObject:Swap:w1~swap.827:19980</v>
      </c>
      <c r="F829" s="6" t="str">
        <f>_xll.QS.TRADE.CREATE("trade.827",E829,A829,"Receive")</f>
        <v>QSObject:SwapTrade:w1~trade.827:31152</v>
      </c>
      <c r="G829" s="3">
        <f>_xll.QS.EVALUATE(C829,F829)</f>
        <v>28324.448676082513</v>
      </c>
      <c r="H829" s="5" t="s">
        <v>1698</v>
      </c>
      <c r="I829" s="7">
        <v>1082700</v>
      </c>
      <c r="J829" s="8">
        <v>3.7699999999999997E-2</v>
      </c>
    </row>
    <row r="830" spans="1:10" x14ac:dyDescent="0.25">
      <c r="A830" s="5" t="s">
        <v>1686</v>
      </c>
      <c r="B830" s="5" t="s">
        <v>1699</v>
      </c>
      <c r="C830" s="6" t="str">
        <f>_xll.QS.CONTEXT.CREATE("market.828",A830,"USD","SOFR")</f>
        <v>QSObject:PricingContext:w1~market.828:11458</v>
      </c>
      <c r="D830" s="6" t="str">
        <f>_xll.QS.CONTEXT.ADD.CURVE(C830,"SOFR",$K$2:$K$7,$L$2:$L$7,,,"Actual360","LogLinear",TRUE)</f>
        <v>QSObject:ContextInput:w1~input.qs_context_add_curve.2359132437744.829.3.0:31151</v>
      </c>
      <c r="E830" s="6" t="str">
        <f>_xll.QS.INSTRUMENT.SWAP("swap.828",H830,B830,"USD","SOFR",I830,J830,0,"Actual360","Simple","Annual","Annual","Annual")</f>
        <v>QSObject:Swap:w1~swap.828:18293</v>
      </c>
      <c r="F830" s="6" t="str">
        <f>_xll.QS.TRADE.CREATE("trade.828",E830,A830,"Receive")</f>
        <v>QSObject:SwapTrade:w1~trade.828:30320</v>
      </c>
      <c r="G830" s="3">
        <f>_xll.QS.EVALUATE(C830,F830)</f>
        <v>28906.086941025471</v>
      </c>
      <c r="H830" s="5" t="s">
        <v>1700</v>
      </c>
      <c r="I830" s="7">
        <v>1082800</v>
      </c>
      <c r="J830" s="8">
        <v>3.78E-2</v>
      </c>
    </row>
    <row r="831" spans="1:10" x14ac:dyDescent="0.25">
      <c r="A831" s="5" t="s">
        <v>1688</v>
      </c>
      <c r="B831" s="5" t="s">
        <v>1701</v>
      </c>
      <c r="C831" s="6" t="str">
        <f>_xll.QS.CONTEXT.CREATE("market.829",A831,"USD","SOFR")</f>
        <v>QSObject:PricingContext:w1~market.829:8196</v>
      </c>
      <c r="D831" s="6" t="str">
        <f>_xll.QS.CONTEXT.ADD.CURVE(C831,"SOFR",$K$2:$K$7,$L$2:$L$7,,,"Actual360","LogLinear",TRUE)</f>
        <v>QSObject:ContextInput:w1~input.qs_context_add_curve.2359132437744.830.3.0:17326</v>
      </c>
      <c r="E831" s="6" t="str">
        <f>_xll.QS.INSTRUMENT.SWAP("swap.829",H831,B831,"USD","SOFR",I831,J831,0,"Actual360","Simple","Annual","Annual","Annual")</f>
        <v>QSObject:Swap:w1~swap.829:6602</v>
      </c>
      <c r="F831" s="6" t="str">
        <f>_xll.QS.TRADE.CREATE("trade.829",E831,A831,"Receive")</f>
        <v>QSObject:SwapTrade:w1~trade.829:31150</v>
      </c>
      <c r="G831" s="3">
        <f>_xll.QS.EVALUATE(C831,F831)</f>
        <v>29455.460053788742</v>
      </c>
      <c r="H831" s="5" t="s">
        <v>1702</v>
      </c>
      <c r="I831" s="7">
        <v>1082900</v>
      </c>
      <c r="J831" s="8">
        <v>3.7900000000000003E-2</v>
      </c>
    </row>
    <row r="832" spans="1:10" x14ac:dyDescent="0.25">
      <c r="A832" s="5" t="s">
        <v>1690</v>
      </c>
      <c r="B832" s="5" t="s">
        <v>1703</v>
      </c>
      <c r="C832" s="6" t="str">
        <f>_xll.QS.CONTEXT.CREATE("market.830",A832,"USD","SOFR")</f>
        <v>QSObject:PricingContext:w1~market.830:19979</v>
      </c>
      <c r="D832" s="6" t="str">
        <f>_xll.QS.CONTEXT.ADD.CURVE(C832,"SOFR",$K$2:$K$7,$L$2:$L$7,,,"Actual360","LogLinear",TRUE)</f>
        <v>QSObject:ContextInput:w1~input.qs_context_add_curve.2359132437744.831.3.0:39216</v>
      </c>
      <c r="E832" s="6" t="str">
        <f>_xll.QS.INSTRUMENT.SWAP("swap.830",H832,B832,"USD","SOFR",I832,J832,0,"Actual360","Simple","Annual","Annual","Annual")</f>
        <v>QSObject:Swap:w1~swap.830:14619</v>
      </c>
      <c r="F832" s="6" t="str">
        <f>_xll.QS.TRADE.CREATE("trade.830",E832,A832,"Receive")</f>
        <v>QSObject:SwapTrade:w1~trade.830:30319</v>
      </c>
      <c r="G832" s="3">
        <f>_xll.QS.EVALUATE(C832,F832)</f>
        <v>29859.022097203433</v>
      </c>
      <c r="H832" s="5" t="s">
        <v>1704</v>
      </c>
      <c r="I832" s="7">
        <v>1083000</v>
      </c>
      <c r="J832" s="8">
        <v>3.8000000000000013E-2</v>
      </c>
    </row>
    <row r="833" spans="1:10" x14ac:dyDescent="0.25">
      <c r="A833" s="5" t="s">
        <v>1692</v>
      </c>
      <c r="B833" s="5" t="s">
        <v>1705</v>
      </c>
      <c r="C833" s="6" t="str">
        <f>_xll.QS.CONTEXT.CREATE("market.831",A833,"USD","SOFR")</f>
        <v>QSObject:PricingContext:w1~market.831:4996</v>
      </c>
      <c r="D833" s="6" t="str">
        <f>_xll.QS.CONTEXT.ADD.CURVE(C833,"SOFR",$K$2:$K$7,$L$2:$L$7,,,"Actual360","LogLinear",TRUE)</f>
        <v>QSObject:ContextInput:w1~input.qs_context_add_curve.2359132437744.832.3.0:9799</v>
      </c>
      <c r="E833" s="6" t="str">
        <f>_xll.QS.INSTRUMENT.SWAP("swap.831",H833,B833,"USD","SOFR",I833,J833,0,"Actual360","Simple","Annual","Annual","Annual")</f>
        <v>QSObject:Swap:w1~swap.831:11457</v>
      </c>
      <c r="F833" s="6" t="str">
        <f>_xll.QS.TRADE.CREATE("trade.831",E833,A833,"Receive")</f>
        <v>QSObject:SwapTrade:w1~trade.831:18292</v>
      </c>
      <c r="G833" s="3">
        <f>_xll.QS.EVALUATE(C833,F833)</f>
        <v>30336.747260108001</v>
      </c>
      <c r="H833" s="5" t="s">
        <v>1706</v>
      </c>
      <c r="I833" s="7">
        <v>1083100</v>
      </c>
      <c r="J833" s="8">
        <v>3.8100000000000002E-2</v>
      </c>
    </row>
    <row r="834" spans="1:10" x14ac:dyDescent="0.25">
      <c r="A834" s="5" t="s">
        <v>1694</v>
      </c>
      <c r="B834" s="5" t="s">
        <v>1707</v>
      </c>
      <c r="C834" s="6" t="str">
        <f>_xll.QS.CONTEXT.CREATE("market.832",A834,"USD","SOFR")</f>
        <v>QSObject:PricingContext:w1~market.832:16299</v>
      </c>
      <c r="D834" s="6" t="str">
        <f>_xll.QS.CONTEXT.ADD.CURVE(C834,"SOFR",$K$2:$K$7,$L$2:$L$7,,,"Actual360","LogLinear",TRUE)</f>
        <v>QSObject:ContextInput:w1~input.qs_context_add_curve.2359132437744.833.3.0:24225</v>
      </c>
      <c r="E834" s="6" t="str">
        <f>_xll.QS.INSTRUMENT.SWAP("swap.832",H834,B834,"USD","SOFR",I834,J834,0,"Actual360","Simple","Annual","Annual","Annual")</f>
        <v>QSObject:Swap:w1~swap.832:17325</v>
      </c>
      <c r="F834" s="6" t="str">
        <f>_xll.QS.TRADE.CREATE("trade.832",E834,A834,"Receive")</f>
        <v>QSObject:SwapTrade:w1~trade.832:30318</v>
      </c>
      <c r="G834" s="3">
        <f>_xll.QS.EVALUATE(C834,F834)</f>
        <v>30763.354409169675</v>
      </c>
      <c r="H834" s="5" t="s">
        <v>1708</v>
      </c>
      <c r="I834" s="7">
        <v>1083200</v>
      </c>
      <c r="J834" s="8">
        <v>3.8199999999999998E-2</v>
      </c>
    </row>
    <row r="835" spans="1:10" x14ac:dyDescent="0.25">
      <c r="A835" s="5" t="s">
        <v>1696</v>
      </c>
      <c r="B835" s="5" t="s">
        <v>1709</v>
      </c>
      <c r="C835" s="6" t="str">
        <f>_xll.QS.CONTEXT.CREATE("market.833",A835,"USD","SOFR")</f>
        <v>QSObject:PricingContext:w1~market.833:12980</v>
      </c>
      <c r="D835" s="6" t="str">
        <f>_xll.QS.CONTEXT.ADD.CURVE(C835,"SOFR",$K$2:$K$7,$L$2:$L$7,,,"Actual360","LogLinear",TRUE)</f>
        <v>QSObject:ContextInput:w1~input.qs_context_add_curve.2359132437744.834.3.0:19978</v>
      </c>
      <c r="E835" s="6" t="str">
        <f>_xll.QS.INSTRUMENT.SWAP("swap.833",H835,B835,"USD","SOFR",I835,J835,0,"Actual360","Simple","Annual","Annual","Annual")</f>
        <v>QSObject:Swap:w1~swap.833:6601</v>
      </c>
      <c r="F835" s="6" t="str">
        <f>_xll.QS.TRADE.CREATE("trade.833",E835,A835,"Receive")</f>
        <v>QSObject:SwapTrade:w1~trade.833:14618</v>
      </c>
      <c r="G835" s="3">
        <f>_xll.QS.EVALUATE(C835,F835)</f>
        <v>31311.806127857217</v>
      </c>
      <c r="H835" s="5" t="s">
        <v>1710</v>
      </c>
      <c r="I835" s="7">
        <v>1083300</v>
      </c>
      <c r="J835" s="8">
        <v>3.8300000000000001E-2</v>
      </c>
    </row>
    <row r="836" spans="1:10" x14ac:dyDescent="0.25">
      <c r="A836" s="5" t="s">
        <v>1698</v>
      </c>
      <c r="B836" s="5" t="s">
        <v>1711</v>
      </c>
      <c r="C836" s="6" t="str">
        <f>_xll.QS.CONTEXT.CREATE("market.834",A836,"USD","SOFR")</f>
        <v>QSObject:PricingContext:w1~market.834:9798</v>
      </c>
      <c r="D836" s="6" t="str">
        <f>_xll.QS.CONTEXT.ADD.CURVE(C836,"SOFR",$K$2:$K$7,$L$2:$L$7,,,"Actual360","LogLinear",TRUE)</f>
        <v>QSObject:ContextInput:w1~input.qs_context_add_curve.2359132437744.835.3.0:30317</v>
      </c>
      <c r="E836" s="6" t="str">
        <f>_xll.QS.INSTRUMENT.SWAP("swap.834",H836,B836,"USD","SOFR",I836,J836,0,"Actual360","Simple","Annual","Annual","Annual")</f>
        <v>QSObject:Swap:w1~swap.834:4995</v>
      </c>
      <c r="F836" s="6" t="str">
        <f>_xll.QS.TRADE.CREATE("trade.834",E836,A836,"Receive")</f>
        <v>QSObject:SwapTrade:w1~trade.834:18291</v>
      </c>
      <c r="G836" s="3">
        <f>_xll.QS.EVALUATE(C836,F836)</f>
        <v>31840.478573511817</v>
      </c>
      <c r="H836" s="5" t="s">
        <v>1712</v>
      </c>
      <c r="I836" s="7">
        <v>1083400</v>
      </c>
      <c r="J836" s="8">
        <v>3.8399999999999997E-2</v>
      </c>
    </row>
    <row r="837" spans="1:10" x14ac:dyDescent="0.25">
      <c r="A837" s="5" t="s">
        <v>1700</v>
      </c>
      <c r="B837" s="5" t="s">
        <v>1713</v>
      </c>
      <c r="C837" s="6" t="str">
        <f>_xll.QS.CONTEXT.CREATE("market.835",A837,"USD","SOFR")</f>
        <v>QSObject:PricingContext:w1~market.835:8195</v>
      </c>
      <c r="D837" s="6" t="str">
        <f>_xll.QS.CONTEXT.ADD.CURVE(C837,"SOFR",$K$2:$K$7,$L$2:$L$7,,,"Actual360","LogLinear",TRUE)</f>
        <v>QSObject:ContextInput:w1~input.qs_context_add_curve.2359132437744.836.3.0:16298</v>
      </c>
      <c r="E837" s="6" t="str">
        <f>_xll.QS.INSTRUMENT.SWAP("swap.835",H837,B837,"USD","SOFR",I837,J837,0,"Actual360","Simple","Annual","Annual","Annual")</f>
        <v>QSObject:Swap:w1~swap.835:11456</v>
      </c>
      <c r="F837" s="6" t="str">
        <f>_xll.QS.TRADE.CREATE("trade.835",E837,A837,"Receive")</f>
        <v>QSObject:SwapTrade:w1~trade.835:25041</v>
      </c>
      <c r="G837" s="3">
        <f>_xll.QS.EVALUATE(C837,F837)</f>
        <v>32472.84511781601</v>
      </c>
      <c r="H837" s="5" t="s">
        <v>1714</v>
      </c>
      <c r="I837" s="7">
        <v>1083500</v>
      </c>
      <c r="J837" s="8">
        <v>3.8500000000000013E-2</v>
      </c>
    </row>
    <row r="838" spans="1:10" x14ac:dyDescent="0.25">
      <c r="A838" s="5" t="s">
        <v>1702</v>
      </c>
      <c r="B838" s="5" t="s">
        <v>1715</v>
      </c>
      <c r="C838" s="6" t="str">
        <f>_xll.QS.CONTEXT.CREATE("market.836",A838,"USD","SOFR")</f>
        <v>QSObject:PricingContext:w1~market.836:6600</v>
      </c>
      <c r="D838" s="6" t="str">
        <f>_xll.QS.CONTEXT.ADD.CURVE(C838,"SOFR",$K$2:$K$7,$L$2:$L$7,,,"Actual360","LogLinear",TRUE)</f>
        <v>QSObject:ContextInput:w1~input.qs_context_add_curve.2359132437744.837.3.0:12979</v>
      </c>
      <c r="E838" s="6" t="str">
        <f>_xll.QS.INSTRUMENT.SWAP("swap.836",H838,B838,"USD","SOFR",I838,J838,0,"Actual360","Simple","Annual","Annual","Annual")</f>
        <v>QSObject:Swap:w1~swap.836:17324</v>
      </c>
      <c r="F838" s="6" t="str">
        <f>_xll.QS.TRADE.CREATE("trade.836",E838,A838,"Receive")</f>
        <v>QSObject:SwapTrade:w1~trade.836:19977</v>
      </c>
      <c r="G838" s="3">
        <f>_xll.QS.EVALUATE(C838,F838)</f>
        <v>32973.645940304763</v>
      </c>
      <c r="H838" s="5" t="s">
        <v>1716</v>
      </c>
      <c r="I838" s="7">
        <v>1083600</v>
      </c>
      <c r="J838" s="8">
        <v>3.8600000000000002E-2</v>
      </c>
    </row>
    <row r="839" spans="1:10" x14ac:dyDescent="0.25">
      <c r="A839" s="5" t="s">
        <v>1704</v>
      </c>
      <c r="B839" s="5" t="s">
        <v>1717</v>
      </c>
      <c r="C839" s="6" t="str">
        <f>_xll.QS.CONTEXT.CREATE("market.837",A839,"USD","SOFR")</f>
        <v>QSObject:PricingContext:w1~market.837:4994</v>
      </c>
      <c r="D839" s="6" t="str">
        <f>_xll.QS.CONTEXT.ADD.CURVE(C839,"SOFR",$K$2:$K$7,$L$2:$L$7,,,"Actual360","LogLinear",TRUE)</f>
        <v>QSObject:ContextInput:w1~input.qs_context_add_curve.2359132437744.838.3.0:14617</v>
      </c>
      <c r="E839" s="6" t="str">
        <f>_xll.QS.INSTRUMENT.SWAP("swap.837",H839,B839,"USD","SOFR",I839,J839,0,"Actual360","Simple","Annual","Annual","Annual")</f>
        <v>QSObject:Swap:w1~swap.837:1889</v>
      </c>
      <c r="F839" s="6" t="str">
        <f>_xll.QS.TRADE.CREATE("trade.837",E839,A839,"Receive")</f>
        <v>QSObject:SwapTrade:w1~trade.837:18290</v>
      </c>
      <c r="G839" s="3">
        <f>_xll.QS.EVALUATE(C839,F839)</f>
        <v>33433.327872631693</v>
      </c>
      <c r="H839" s="5" t="s">
        <v>1718</v>
      </c>
      <c r="I839" s="7">
        <v>1083700</v>
      </c>
      <c r="J839" s="8">
        <v>3.8700000000000012E-2</v>
      </c>
    </row>
    <row r="840" spans="1:10" x14ac:dyDescent="0.25">
      <c r="A840" s="5" t="s">
        <v>1706</v>
      </c>
      <c r="B840" s="5" t="s">
        <v>1719</v>
      </c>
      <c r="C840" s="6" t="str">
        <f>_xll.QS.CONTEXT.CREATE("market.838",A840,"USD","SOFR")</f>
        <v>QSObject:PricingContext:w1~market.838:8194</v>
      </c>
      <c r="D840" s="6" t="str">
        <f>_xll.QS.CONTEXT.ADD.CURVE(C840,"SOFR",$K$2:$K$7,$L$2:$L$7,,,"Actual360","LogLinear",TRUE)</f>
        <v>QSObject:ContextInput:w1~input.qs_context_add_curve.2359132437744.839.3.0:16297</v>
      </c>
      <c r="E840" s="6" t="str">
        <f>_xll.QS.INSTRUMENT.SWAP("swap.838",H840,B840,"USD","SOFR",I840,J840,0,"Actual360","Simple","Annual","Annual","Annual")</f>
        <v>QSObject:Swap:w1~swap.838:9797</v>
      </c>
      <c r="F840" s="6" t="str">
        <f>_xll.QS.TRADE.CREATE("trade.838",E840,A840,"Receive")</f>
        <v>QSObject:SwapTrade:w1~trade.838:11455</v>
      </c>
      <c r="G840" s="3">
        <f>_xll.QS.EVALUATE(C840,F840)</f>
        <v>33850.55779301437</v>
      </c>
      <c r="H840" s="5" t="s">
        <v>1720</v>
      </c>
      <c r="I840" s="7">
        <v>1083800</v>
      </c>
      <c r="J840" s="8">
        <v>3.8800000000000001E-2</v>
      </c>
    </row>
    <row r="841" spans="1:10" x14ac:dyDescent="0.25">
      <c r="A841" s="5" t="s">
        <v>1708</v>
      </c>
      <c r="B841" s="5" t="s">
        <v>1721</v>
      </c>
      <c r="C841" s="6" t="str">
        <f>_xll.QS.CONTEXT.CREATE("market.839",A841,"USD","SOFR")</f>
        <v>QSObject:PricingContext:w1~market.839:17323</v>
      </c>
      <c r="D841" s="6" t="str">
        <f>_xll.QS.CONTEXT.ADD.CURVE(C841,"SOFR",$K$2:$K$7,$L$2:$L$7,,,"Actual360","LogLinear",TRUE)</f>
        <v>QSObject:ContextInput:w1~input.qs_context_add_curve.2359132437744.840.3.0:39215</v>
      </c>
      <c r="E841" s="6" t="str">
        <f>_xll.QS.INSTRUMENT.SWAP("swap.839",H841,B841,"USD","SOFR",I841,J841,0,"Actual360","Simple","Annual","Annual","Annual")</f>
        <v>QSObject:Swap:w1~swap.839:3432</v>
      </c>
      <c r="F841" s="6" t="str">
        <f>_xll.QS.TRADE.CREATE("trade.839",E841,A841,"Receive")</f>
        <v>QSObject:SwapTrade:w1~trade.839:12978</v>
      </c>
      <c r="G841" s="3">
        <f>_xll.QS.EVALUATE(C841,F841)</f>
        <v>34283.191908110632</v>
      </c>
      <c r="H841" s="5" t="s">
        <v>1722</v>
      </c>
      <c r="I841" s="7">
        <v>1083900</v>
      </c>
      <c r="J841" s="8">
        <v>3.8899999999999997E-2</v>
      </c>
    </row>
    <row r="842" spans="1:10" x14ac:dyDescent="0.25">
      <c r="A842" s="5" t="s">
        <v>1710</v>
      </c>
      <c r="B842" s="5" t="s">
        <v>1723</v>
      </c>
      <c r="C842" s="6" t="str">
        <f>_xll.QS.CONTEXT.CREATE("market.840",A842,"USD","SOFR")</f>
        <v>QSObject:PricingContext:w1~market.840:19976</v>
      </c>
      <c r="D842" s="6" t="str">
        <f>_xll.QS.CONTEXT.ADD.CURVE(C842,"SOFR",$K$2:$K$7,$L$2:$L$7,,,"Actual360","LogLinear",TRUE)</f>
        <v>QSObject:ContextInput:w1~input.qs_context_add_curve.2359132437744.841.3.0:39214</v>
      </c>
      <c r="E842" s="6" t="str">
        <f>_xll.QS.INSTRUMENT.SWAP("swap.840",H842,B842,"USD","SOFR",I842,J842,0,"Actual360","Simple","Annual","Annual","Annual")</f>
        <v>QSObject:Swap:w1~swap.840:14616</v>
      </c>
      <c r="F842" s="6" t="str">
        <f>_xll.QS.TRADE.CREATE("trade.840",E842,A842,"Receive")</f>
        <v>QSObject:SwapTrade:w1~trade.840:18289</v>
      </c>
      <c r="G842" s="3">
        <f>_xll.QS.EVALUATE(C842,F842)</f>
        <v>34832.806422954629</v>
      </c>
      <c r="H842" s="5" t="s">
        <v>1724</v>
      </c>
      <c r="I842" s="7">
        <v>1084000</v>
      </c>
      <c r="J842" s="8">
        <v>3.9000000000000007E-2</v>
      </c>
    </row>
    <row r="843" spans="1:10" x14ac:dyDescent="0.25">
      <c r="A843" s="5" t="s">
        <v>1712</v>
      </c>
      <c r="B843" s="5" t="s">
        <v>1725</v>
      </c>
      <c r="C843" s="6" t="str">
        <f>_xll.QS.CONTEXT.CREATE("market.841",A843,"USD","SOFR")</f>
        <v>QSObject:PricingContext:w1~market.841:9796</v>
      </c>
      <c r="D843" s="6" t="str">
        <f>_xll.QS.CONTEXT.ADD.CURVE(C843,"SOFR",$K$2:$K$7,$L$2:$L$7,,,"Actual360","LogLinear",TRUE)</f>
        <v>QSObject:ContextInput:w1~input.qs_context_add_curve.2359132437744.842.3.0:24224</v>
      </c>
      <c r="E843" s="6" t="str">
        <f>_xll.QS.INSTRUMENT.SWAP("swap.841",H843,B843,"USD","SOFR",I843,J843,0,"Actual360","Simple","Annual","Annual","Annual")</f>
        <v>QSObject:Swap:w1~swap.841:16296</v>
      </c>
      <c r="F843" s="6" t="str">
        <f>_xll.QS.TRADE.CREATE("trade.841",E843,A843,"Receive")</f>
        <v>QSObject:SwapTrade:w1~trade.841:22984</v>
      </c>
      <c r="G843" s="3">
        <f>_xll.QS.EVALUATE(C843,F843)</f>
        <v>35360.443933833136</v>
      </c>
      <c r="H843" s="5" t="s">
        <v>1726</v>
      </c>
      <c r="I843" s="7">
        <v>1084100</v>
      </c>
      <c r="J843" s="8">
        <v>3.9100000000000003E-2</v>
      </c>
    </row>
    <row r="844" spans="1:10" x14ac:dyDescent="0.25">
      <c r="A844" s="5" t="s">
        <v>1714</v>
      </c>
      <c r="B844" s="5" t="s">
        <v>1727</v>
      </c>
      <c r="C844" s="6" t="str">
        <f>_xll.QS.CONTEXT.CREATE("market.842",A844,"USD","SOFR")</f>
        <v>QSObject:PricingContext:w1~market.842:4993</v>
      </c>
      <c r="D844" s="6" t="str">
        <f>_xll.QS.CONTEXT.ADD.CURVE(C844,"SOFR",$K$2:$K$7,$L$2:$L$7,,,"Actual360","LogLinear",TRUE)</f>
        <v>QSObject:ContextInput:w1~input.qs_context_add_curve.2359132437744.843.3.0:39213</v>
      </c>
      <c r="E844" s="6" t="str">
        <f>_xll.QS.INSTRUMENT.SWAP("swap.842",H844,B844,"USD","SOFR",I844,J844,0,"Actual360","Simple","Annual","Annual","Annual")</f>
        <v>QSObject:Swap:w1~swap.842:1888</v>
      </c>
      <c r="F844" s="6" t="str">
        <f>_xll.QS.TRADE.CREATE("trade.842",E844,A844,"Receive")</f>
        <v>QSObject:SwapTrade:w1~trade.842:17322</v>
      </c>
      <c r="G844" s="3">
        <f>_xll.QS.EVALUATE(C844,F844)</f>
        <v>35943.157045852247</v>
      </c>
      <c r="H844" s="5" t="s">
        <v>1728</v>
      </c>
      <c r="I844" s="7">
        <v>1084200</v>
      </c>
      <c r="J844" s="8">
        <v>3.9200000000000013E-2</v>
      </c>
    </row>
    <row r="845" spans="1:10" x14ac:dyDescent="0.25">
      <c r="A845" s="5" t="s">
        <v>1716</v>
      </c>
      <c r="B845" s="5" t="s">
        <v>1729</v>
      </c>
      <c r="C845" s="6" t="str">
        <f>_xll.QS.CONTEXT.CREATE("market.843",A845,"USD","SOFR")</f>
        <v>QSObject:PricingContext:w1~market.843:9795</v>
      </c>
      <c r="D845" s="6" t="str">
        <f>_xll.QS.CONTEXT.ADD.CURVE(C845,"SOFR",$K$2:$K$7,$L$2:$L$7,,,"Actual360","LogLinear",TRUE)</f>
        <v>QSObject:ContextInput:w1~input.qs_context_add_curve.2359132437744.844.3.0:12977</v>
      </c>
      <c r="E845" s="6" t="str">
        <f>_xll.QS.INSTRUMENT.SWAP("swap.843",H845,B845,"USD","SOFR",I845,J845,0,"Actual360","Simple","Annual","Annual","Annual")</f>
        <v>QSObject:Swap:w1~swap.843:18288</v>
      </c>
      <c r="F845" s="6" t="str">
        <f>_xll.QS.TRADE.CREATE("trade.843",E845,A845,"Receive")</f>
        <v>QSObject:SwapTrade:w1~trade.843:19975</v>
      </c>
      <c r="G845" s="3">
        <f>_xll.QS.EVALUATE(C845,F845)</f>
        <v>36494.106090495414</v>
      </c>
      <c r="H845" s="5" t="s">
        <v>1730</v>
      </c>
      <c r="I845" s="7">
        <v>1084300</v>
      </c>
      <c r="J845" s="8">
        <v>3.9300000000000002E-2</v>
      </c>
    </row>
    <row r="846" spans="1:10" x14ac:dyDescent="0.25">
      <c r="A846" s="5" t="s">
        <v>1718</v>
      </c>
      <c r="B846" s="5" t="s">
        <v>1731</v>
      </c>
      <c r="C846" s="6" t="str">
        <f>_xll.QS.CONTEXT.CREATE("market.844",A846,"USD","SOFR")</f>
        <v>QSObject:PricingContext:w1~market.844:11454</v>
      </c>
      <c r="D846" s="6" t="str">
        <f>_xll.QS.CONTEXT.ADD.CURVE(C846,"SOFR",$K$2:$K$7,$L$2:$L$7,,,"Actual360","LogLinear",TRUE)</f>
        <v>QSObject:ContextInput:w1~input.qs_context_add_curve.2359132437744.845.3.0:39212</v>
      </c>
      <c r="E846" s="6" t="str">
        <f>_xll.QS.INSTRUMENT.SWAP("swap.844",H846,B846,"USD","SOFR",I846,J846,0,"Actual360","Simple","Annual","Annual","Annual")</f>
        <v>QSObject:Swap:w1~swap.844:6599</v>
      </c>
      <c r="F846" s="6" t="str">
        <f>_xll.QS.TRADE.CREATE("trade.844",E846,A846,"Receive")</f>
        <v>QSObject:SwapTrade:w1~trade.844:14615</v>
      </c>
      <c r="G846" s="3">
        <f>_xll.QS.EVALUATE(C846,F846)</f>
        <v>36955.33771057456</v>
      </c>
      <c r="H846" s="5" t="s">
        <v>1732</v>
      </c>
      <c r="I846" s="7">
        <v>1084400</v>
      </c>
      <c r="J846" s="8">
        <v>3.9399999999999998E-2</v>
      </c>
    </row>
    <row r="847" spans="1:10" x14ac:dyDescent="0.25">
      <c r="A847" s="5" t="s">
        <v>1720</v>
      </c>
      <c r="B847" s="5" t="s">
        <v>1733</v>
      </c>
      <c r="C847" s="6" t="str">
        <f>_xll.QS.CONTEXT.CREATE("market.845",A847,"USD","SOFR")</f>
        <v>QSObject:PricingContext:w1~market.845:16295</v>
      </c>
      <c r="D847" s="6" t="str">
        <f>_xll.QS.CONTEXT.ADD.CURVE(C847,"SOFR",$K$2:$K$7,$L$2:$L$7,,,"Actual360","LogLinear",TRUE)</f>
        <v>QSObject:ContextInput:w1~input.qs_context_add_curve.2359132437744.846.3.0:39211</v>
      </c>
      <c r="E847" s="6" t="str">
        <f>_xll.QS.INSTRUMENT.SWAP("swap.845",H847,B847,"USD","SOFR",I847,J847,0,"Actual360","Simple","Annual","Annual","Annual")</f>
        <v>QSObject:Swap:w1~swap.845:17321</v>
      </c>
      <c r="F847" s="6" t="str">
        <f>_xll.QS.TRADE.CREATE("trade.845",E847,A847,"Receive")</f>
        <v>QSObject:SwapTrade:w1~trade.845:25040</v>
      </c>
      <c r="G847" s="3">
        <f>_xll.QS.EVALUATE(C847,F847)</f>
        <v>37369.034036104516</v>
      </c>
      <c r="H847" s="5" t="s">
        <v>1734</v>
      </c>
      <c r="I847" s="7">
        <v>1084500</v>
      </c>
      <c r="J847" s="8">
        <v>3.9500000000000007E-2</v>
      </c>
    </row>
    <row r="848" spans="1:10" x14ac:dyDescent="0.25">
      <c r="A848" s="5" t="s">
        <v>1722</v>
      </c>
      <c r="B848" s="5" t="s">
        <v>1735</v>
      </c>
      <c r="C848" s="6" t="str">
        <f>_xll.QS.CONTEXT.CREATE("market.846",A848,"USD","SOFR")</f>
        <v>QSObject:PricingContext:w1~market.846:12976</v>
      </c>
      <c r="D848" s="6" t="str">
        <f>_xll.QS.CONTEXT.ADD.CURVE(C848,"SOFR",$K$2:$K$7,$L$2:$L$7,,,"Actual360","LogLinear",TRUE)</f>
        <v>QSObject:ContextInput:w1~input.qs_context_add_curve.2359132437744.847.3.0:39210</v>
      </c>
      <c r="E848" s="6" t="str">
        <f>_xll.QS.INSTRUMENT.SWAP("swap.846",H848,B848,"USD","SOFR",I848,J848,0,"Actual360","Simple","Annual","Annual","Annual")</f>
        <v>QSObject:Swap:w1~swap.846:3431</v>
      </c>
      <c r="F848" s="6" t="str">
        <f>_xll.QS.TRADE.CREATE("trade.846",E848,A848,"Receive")</f>
        <v>QSObject:SwapTrade:w1~trade.846:11453</v>
      </c>
      <c r="G848" s="3">
        <f>_xll.QS.EVALUATE(C848,F848)</f>
        <v>37807.69159168232</v>
      </c>
      <c r="H848" s="5" t="s">
        <v>1736</v>
      </c>
      <c r="I848" s="7">
        <v>1084600</v>
      </c>
      <c r="J848" s="8">
        <v>3.9600000000000003E-2</v>
      </c>
    </row>
    <row r="849" spans="1:10" x14ac:dyDescent="0.25">
      <c r="A849" s="5" t="s">
        <v>1724</v>
      </c>
      <c r="B849" s="5" t="s">
        <v>1737</v>
      </c>
      <c r="C849" s="6" t="str">
        <f>_xll.QS.CONTEXT.CREATE("market.847",A849,"USD","SOFR")</f>
        <v>QSObject:PricingContext:w1~market.847:19974</v>
      </c>
      <c r="D849" s="6" t="str">
        <f>_xll.QS.CONTEXT.ADD.CURVE(C849,"SOFR",$K$2:$K$7,$L$2:$L$7,,,"Actual360","LogLinear",TRUE)</f>
        <v>QSObject:ContextInput:w1~input.qs_context_add_curve.2359132437744.848.3.0:39209</v>
      </c>
      <c r="E849" s="6" t="str">
        <f>_xll.QS.INSTRUMENT.SWAP("swap.847",H849,B849,"USD","SOFR",I849,J849,0,"Actual360","Simple","Annual","Annual","Annual")</f>
        <v>QSObject:Swap:w1~swap.847:18287</v>
      </c>
      <c r="F849" s="6" t="str">
        <f>_xll.QS.TRADE.CREATE("trade.847",E849,A849,"Receive")</f>
        <v>QSObject:SwapTrade:w1~trade.847:26538</v>
      </c>
      <c r="G849" s="3">
        <f>_xll.QS.EVALUATE(C849,F849)</f>
        <v>38358.189522633824</v>
      </c>
      <c r="H849" s="5" t="s">
        <v>1738</v>
      </c>
      <c r="I849" s="7">
        <v>1084700</v>
      </c>
      <c r="J849" s="8">
        <v>3.9700000000000013E-2</v>
      </c>
    </row>
    <row r="850" spans="1:10" x14ac:dyDescent="0.25">
      <c r="A850" s="5" t="s">
        <v>1726</v>
      </c>
      <c r="B850" s="5" t="s">
        <v>1739</v>
      </c>
      <c r="C850" s="6" t="str">
        <f>_xll.QS.CONTEXT.CREATE("market.848",A850,"USD","SOFR")</f>
        <v>QSObject:PricingContext:w1~market.848:16294</v>
      </c>
      <c r="D850" s="6" t="str">
        <f>_xll.QS.CONTEXT.ADD.CURVE(C850,"SOFR",$K$2:$K$7,$L$2:$L$7,,,"Actual360","LogLinear",TRUE)</f>
        <v>QSObject:ContextInput:w1~input.qs_context_add_curve.2359132437744.849.3.0:17320</v>
      </c>
      <c r="E850" s="6" t="str">
        <f>_xll.QS.INSTRUMENT.SWAP("swap.848",H850,B850,"USD","SOFR",I850,J850,0,"Actual360","Simple","Annual","Annual","Annual")</f>
        <v>QSObject:Swap:w1~swap.848:14614</v>
      </c>
      <c r="F850" s="6" t="str">
        <f>_xll.QS.TRADE.CREATE("trade.848",E850,A850,"Receive")</f>
        <v>QSObject:SwapTrade:w1~trade.848:26537</v>
      </c>
      <c r="G850" s="3">
        <f>_xll.QS.EVALUATE(C850,F850)</f>
        <v>38884.160501550039</v>
      </c>
      <c r="H850" s="5" t="s">
        <v>1740</v>
      </c>
      <c r="I850" s="7">
        <v>1084800</v>
      </c>
      <c r="J850" s="8">
        <v>3.9800000000000002E-2</v>
      </c>
    </row>
    <row r="851" spans="1:10" x14ac:dyDescent="0.25">
      <c r="A851" s="5" t="s">
        <v>1728</v>
      </c>
      <c r="B851" s="5" t="s">
        <v>1741</v>
      </c>
      <c r="C851" s="6" t="str">
        <f>_xll.QS.CONTEXT.CREATE("market.849",A851,"USD","SOFR")</f>
        <v>QSObject:PricingContext:w1~market.849:4992</v>
      </c>
      <c r="D851" s="6" t="str">
        <f>_xll.QS.CONTEXT.ADD.CURVE(C851,"SOFR",$K$2:$K$7,$L$2:$L$7,,,"Actual360","LogLinear",TRUE)</f>
        <v>QSObject:ContextInput:w1~input.qs_context_add_curve.2359132437744.850.3.0:28296</v>
      </c>
      <c r="E851" s="6" t="str">
        <f>_xll.QS.INSTRUMENT.SWAP("swap.849",H851,B851,"USD","SOFR",I851,J851,0,"Actual360","Simple","Annual","Annual","Annual")</f>
        <v>QSObject:Swap:w1~swap.849:12975</v>
      </c>
      <c r="F851" s="6" t="str">
        <f>_xll.QS.TRADE.CREATE("trade.849",E851,A851,"Receive")</f>
        <v>QSObject:SwapTrade:w1~trade.849:29014</v>
      </c>
      <c r="G851" s="3">
        <f>_xll.QS.EVALUATE(C851,F851)</f>
        <v>39468.227644709339</v>
      </c>
      <c r="H851" s="5" t="s">
        <v>1742</v>
      </c>
      <c r="I851" s="7">
        <v>1084900</v>
      </c>
      <c r="J851" s="8">
        <v>3.9899999999999998E-2</v>
      </c>
    </row>
    <row r="852" spans="1:10" x14ac:dyDescent="0.25">
      <c r="A852" s="5" t="s">
        <v>1730</v>
      </c>
      <c r="B852" s="5" t="s">
        <v>1743</v>
      </c>
      <c r="C852" s="6" t="str">
        <f>_xll.QS.CONTEXT.CREATE("market.850",A852,"USD","SOFR")</f>
        <v>QSObject:PricingContext:w1~market.850:19973</v>
      </c>
      <c r="D852" s="6" t="str">
        <f>_xll.QS.CONTEXT.ADD.CURVE(C852,"SOFR",$K$2:$K$7,$L$2:$L$7,,,"Actual360","LogLinear",TRUE)</f>
        <v>QSObject:ContextInput:w1~input.qs_context_add_curve.2359132437744.851.3.0:39208</v>
      </c>
      <c r="E852" s="6" t="str">
        <f>_xll.QS.INSTRUMENT.SWAP("swap.850",H852,B852,"USD","SOFR",I852,J852,0,"Actual360","Simple","Annual","Annual","Annual")</f>
        <v>QSObject:Swap:w1~swap.850:11452</v>
      </c>
      <c r="F852" s="6" t="str">
        <f>_xll.QS.TRADE.CREATE("trade.850",E852,A852,"Receive")</f>
        <v>QSObject:SwapTrade:w1~trade.850:29673</v>
      </c>
      <c r="G852" s="3">
        <f>_xll.QS.EVALUATE(C852,F852)</f>
        <v>15002.679620966996</v>
      </c>
      <c r="H852" s="5" t="s">
        <v>1744</v>
      </c>
      <c r="I852" s="7">
        <v>1085000</v>
      </c>
      <c r="J852" s="8">
        <v>3.5000000000000003E-2</v>
      </c>
    </row>
    <row r="853" spans="1:10" x14ac:dyDescent="0.25">
      <c r="A853" s="5" t="s">
        <v>1732</v>
      </c>
      <c r="B853" s="5" t="s">
        <v>1745</v>
      </c>
      <c r="C853" s="6" t="str">
        <f>_xll.QS.CONTEXT.CREATE("market.851",A853,"USD","SOFR")</f>
        <v>QSObject:PricingContext:w1~market.851:17319</v>
      </c>
      <c r="D853" s="6" t="str">
        <f>_xll.QS.CONTEXT.ADD.CURVE(C853,"SOFR",$K$2:$K$7,$L$2:$L$7,,,"Actual360","LogLinear",TRUE)</f>
        <v>QSObject:ContextInput:w1~input.qs_context_add_curve.2359132437744.852.3.0:22983</v>
      </c>
      <c r="E853" s="6" t="str">
        <f>_xll.QS.INSTRUMENT.SWAP("swap.851",H853,B853,"USD","SOFR",I853,J853,0,"Actual360","Simple","Annual","Annual","Annual")</f>
        <v>QSObject:Swap:w1~swap.851:18286</v>
      </c>
      <c r="F853" s="6" t="str">
        <f>_xll.QS.TRADE.CREATE("trade.851",E853,A853,"Receive")</f>
        <v>QSObject:SwapTrade:w1~trade.851:22982</v>
      </c>
      <c r="G853" s="3">
        <f>_xll.QS.EVALUATE(C853,F853)</f>
        <v>15462.760661559205</v>
      </c>
      <c r="H853" s="5" t="s">
        <v>1746</v>
      </c>
      <c r="I853" s="7">
        <v>1085100</v>
      </c>
      <c r="J853" s="8">
        <v>3.5100000000000013E-2</v>
      </c>
    </row>
    <row r="854" spans="1:10" x14ac:dyDescent="0.25">
      <c r="A854" s="5" t="s">
        <v>1734</v>
      </c>
      <c r="B854" s="5" t="s">
        <v>1747</v>
      </c>
      <c r="C854" s="6" t="str">
        <f>_xll.QS.CONTEXT.CREATE("market.852",A854,"USD","SOFR")</f>
        <v>QSObject:PricingContext:w1~market.852:3430</v>
      </c>
      <c r="D854" s="6" t="str">
        <f>_xll.QS.CONTEXT.ADD.CURVE(C854,"SOFR",$K$2:$K$7,$L$2:$L$7,,,"Actual360","LogLinear",TRUE)</f>
        <v>QSObject:ContextInput:w1~input.qs_context_add_curve.2359132437744.853.3.0:22981</v>
      </c>
      <c r="E854" s="6" t="str">
        <f>_xll.QS.INSTRUMENT.SWAP("swap.852",H854,B854,"USD","SOFR",I854,J854,0,"Actual360","Simple","Annual","Annual","Annual")</f>
        <v>QSObject:Swap:w1~swap.852:14613</v>
      </c>
      <c r="F854" s="6" t="str">
        <f>_xll.QS.TRADE.CREATE("trade.852",E854,A854,"Receive")</f>
        <v>QSObject:SwapTrade:w1~trade.852:25738</v>
      </c>
      <c r="G854" s="3">
        <f>_xll.QS.EVALUATE(C854,F854)</f>
        <v>15900.079143719682</v>
      </c>
      <c r="H854" s="5" t="s">
        <v>1748</v>
      </c>
      <c r="I854" s="7">
        <v>1085200</v>
      </c>
      <c r="J854" s="8">
        <v>3.5200000000000002E-2</v>
      </c>
    </row>
    <row r="855" spans="1:10" x14ac:dyDescent="0.25">
      <c r="A855" s="5" t="s">
        <v>1736</v>
      </c>
      <c r="B855" s="5" t="s">
        <v>1749</v>
      </c>
      <c r="C855" s="6" t="str">
        <f>_xll.QS.CONTEXT.CREATE("market.853",A855,"USD","SOFR")</f>
        <v>QSObject:PricingContext:w1~market.853:6598</v>
      </c>
      <c r="D855" s="6" t="str">
        <f>_xll.QS.CONTEXT.ADD.CURVE(C855,"SOFR",$K$2:$K$7,$L$2:$L$7,,,"Actual360","LogLinear",TRUE)</f>
        <v>QSObject:ContextInput:w1~input.qs_context_add_curve.2359132437744.854.3.0:19972</v>
      </c>
      <c r="E855" s="6" t="str">
        <f>_xll.QS.INSTRUMENT.SWAP("swap.853",H855,B855,"USD","SOFR",I855,J855,0,"Actual360","Simple","Annual","Annual","Annual")</f>
        <v>QSObject:Swap:w1~swap.853:12974</v>
      </c>
      <c r="F855" s="6" t="str">
        <f>_xll.QS.TRADE.CREATE("trade.853",E855,A855,"Receive")</f>
        <v>QSObject:SwapTrade:w1~trade.853:24223</v>
      </c>
      <c r="G855" s="3">
        <f>_xll.QS.EVALUATE(C855,F855)</f>
        <v>16303.673337002383</v>
      </c>
      <c r="H855" s="5" t="s">
        <v>1750</v>
      </c>
      <c r="I855" s="7">
        <v>1085300</v>
      </c>
      <c r="J855" s="8">
        <v>3.5299999999999998E-2</v>
      </c>
    </row>
    <row r="856" spans="1:10" x14ac:dyDescent="0.25">
      <c r="A856" s="5" t="s">
        <v>1738</v>
      </c>
      <c r="B856" s="5" t="s">
        <v>1751</v>
      </c>
      <c r="C856" s="6" t="str">
        <f>_xll.QS.CONTEXT.CREATE("market.854",A856,"USD","SOFR")</f>
        <v>QSObject:PricingContext:w1~market.854:4991</v>
      </c>
      <c r="D856" s="6" t="str">
        <f>_xll.QS.CONTEXT.ADD.CURVE(C856,"SOFR",$K$2:$K$7,$L$2:$L$7,,,"Actual360","LogLinear",TRUE)</f>
        <v>QSObject:ContextInput:w1~input.qs_context_add_curve.2359132437744.855.3.0:16293</v>
      </c>
      <c r="E856" s="6" t="str">
        <f>_xll.QS.INSTRUMENT.SWAP("swap.854",H856,B856,"USD","SOFR",I856,J856,0,"Actual360","Simple","Annual","Annual","Annual")</f>
        <v>QSObject:Swap:w1~swap.854:17318</v>
      </c>
      <c r="F856" s="6" t="str">
        <f>_xll.QS.TRADE.CREATE("trade.854",E856,A856,"Receive")</f>
        <v>QSObject:SwapTrade:w1~trade.854:25737</v>
      </c>
      <c r="G856" s="3">
        <f>_xll.QS.EVALUATE(C856,F856)</f>
        <v>16850.594336940878</v>
      </c>
      <c r="H856" s="5" t="s">
        <v>1752</v>
      </c>
      <c r="I856" s="7">
        <v>1085400</v>
      </c>
      <c r="J856" s="8">
        <v>3.5400000000000001E-2</v>
      </c>
    </row>
    <row r="857" spans="1:10" x14ac:dyDescent="0.25">
      <c r="A857" s="5" t="s">
        <v>1740</v>
      </c>
      <c r="B857" s="5" t="s">
        <v>1753</v>
      </c>
      <c r="C857" s="6" t="str">
        <f>_xll.QS.CONTEXT.CREATE("market.855",A857,"USD","SOFR")</f>
        <v>QSObject:PricingContext:w1~market.855:1887</v>
      </c>
      <c r="D857" s="6" t="str">
        <f>_xll.QS.CONTEXT.ADD.CURVE(C857,"SOFR",$K$2:$K$7,$L$2:$L$7,,,"Actual360","LogLinear",TRUE)</f>
        <v>QSObject:ContextInput:w1~input.qs_context_add_curve.2359132437744.856.3.0:8193</v>
      </c>
      <c r="E857" s="6" t="str">
        <f>_xll.QS.INSTRUMENT.SWAP("swap.855",H857,B857,"USD","SOFR",I857,J857,0,"Actual360","Simple","Annual","Annual","Annual")</f>
        <v>QSObject:Swap:w1~swap.855:18285</v>
      </c>
      <c r="F857" s="6" t="str">
        <f>_xll.QS.TRADE.CREATE("trade.855",E857,A857,"Receive")</f>
        <v>QSObject:SwapTrade:w1~trade.855:29672</v>
      </c>
      <c r="G857" s="3">
        <f>_xll.QS.EVALUATE(C857,F857)</f>
        <v>17385.98998877544</v>
      </c>
      <c r="H857" s="5" t="s">
        <v>1754</v>
      </c>
      <c r="I857" s="7">
        <v>1085500</v>
      </c>
      <c r="J857" s="8">
        <v>3.5499999999999997E-2</v>
      </c>
    </row>
    <row r="858" spans="1:10" x14ac:dyDescent="0.25">
      <c r="A858" s="5" t="s">
        <v>1742</v>
      </c>
      <c r="B858" s="5" t="s">
        <v>1755</v>
      </c>
      <c r="C858" s="6" t="str">
        <f>_xll.QS.CONTEXT.CREATE("market.856",A858,"USD","SOFR")</f>
        <v>QSObject:PricingContext:w1~market.856:6597</v>
      </c>
      <c r="D858" s="6" t="str">
        <f>_xll.QS.CONTEXT.ADD.CURVE(C858,"SOFR",$K$2:$K$7,$L$2:$L$7,,,"Actual360","LogLinear",TRUE)</f>
        <v>QSObject:ContextInput:w1~input.qs_context_add_curve.2359132437744.857.3.0:19971</v>
      </c>
      <c r="E858" s="6" t="str">
        <f>_xll.QS.INSTRUMENT.SWAP("swap.856",H858,B858,"USD","SOFR",I858,J858,0,"Actual360","Simple","Annual","Annual","Annual")</f>
        <v>QSObject:Swap:w1~swap.856:14612</v>
      </c>
      <c r="F858" s="6" t="str">
        <f>_xll.QS.TRADE.CREATE("trade.856",E858,A858,"Receive")</f>
        <v>QSObject:SwapTrade:w1~trade.856:29671</v>
      </c>
      <c r="G858" s="3">
        <f>_xll.QS.EVALUATE(C858,F858)</f>
        <v>17967.361016936269</v>
      </c>
      <c r="H858" s="5" t="s">
        <v>1756</v>
      </c>
      <c r="I858" s="7">
        <v>1085600</v>
      </c>
      <c r="J858" s="8">
        <v>3.5600000000000007E-2</v>
      </c>
    </row>
    <row r="859" spans="1:10" x14ac:dyDescent="0.25">
      <c r="A859" s="5" t="s">
        <v>1744</v>
      </c>
      <c r="B859" s="5" t="s">
        <v>1757</v>
      </c>
      <c r="C859" s="6" t="str">
        <f>_xll.QS.CONTEXT.CREATE("market.857",A859,"USD","SOFR")</f>
        <v>QSObject:PricingContext:w1~market.857:17317</v>
      </c>
      <c r="D859" s="6" t="str">
        <f>_xll.QS.CONTEXT.ADD.CURVE(C859,"SOFR",$K$2:$K$7,$L$2:$L$7,,,"Actual360","LogLinear",TRUE)</f>
        <v>QSObject:ContextInput:w1~input.qs_context_add_curve.2359132437744.858.3.0:39207</v>
      </c>
      <c r="E859" s="6" t="str">
        <f>_xll.QS.INSTRUMENT.SWAP("swap.857",H859,B859,"USD","SOFR",I859,J859,0,"Actual360","Simple","Annual","Annual","Annual")</f>
        <v>QSObject:Swap:w1~swap.857:11451</v>
      </c>
      <c r="F859" s="6" t="str">
        <f>_xll.QS.TRADE.CREATE("trade.857",E859,A859,"Receive")</f>
        <v>QSObject:SwapTrade:w1~trade.857:16292</v>
      </c>
      <c r="G859" s="3">
        <f>_xll.QS.EVALUATE(C859,F859)</f>
        <v>18517.008466713309</v>
      </c>
      <c r="H859" s="5" t="s">
        <v>1758</v>
      </c>
      <c r="I859" s="7">
        <v>1085700</v>
      </c>
      <c r="J859" s="8">
        <v>3.5700000000000003E-2</v>
      </c>
    </row>
    <row r="860" spans="1:10" x14ac:dyDescent="0.25">
      <c r="A860" s="5" t="s">
        <v>1746</v>
      </c>
      <c r="B860" s="5" t="s">
        <v>1759</v>
      </c>
      <c r="C860" s="6" t="str">
        <f>_xll.QS.CONTEXT.CREATE("market.858",A860,"USD","SOFR")</f>
        <v>QSObject:PricingContext:w1~market.858:8192</v>
      </c>
      <c r="D860" s="6" t="str">
        <f>_xll.QS.CONTEXT.ADD.CURVE(C860,"SOFR",$K$2:$K$7,$L$2:$L$7,,,"Actual360","LogLinear",TRUE)</f>
        <v>QSObject:ContextInput:w1~input.qs_context_add_curve.2359132437744.859.3.0:39206</v>
      </c>
      <c r="E860" s="6" t="str">
        <f>_xll.QS.INSTRUMENT.SWAP("swap.858",H860,B860,"USD","SOFR",I860,J860,0,"Actual360","Simple","Annual","Annual","Annual")</f>
        <v>QSObject:Swap:w1~swap.858:3429</v>
      </c>
      <c r="F860" s="6" t="str">
        <f>_xll.QS.TRADE.CREATE("trade.858",E860,A860,"Receive")</f>
        <v>QSObject:SwapTrade:w1~trade.858:9794</v>
      </c>
      <c r="G860" s="3">
        <f>_xll.QS.EVALUATE(C860,F860)</f>
        <v>18977.670339840497</v>
      </c>
      <c r="H860" s="5" t="s">
        <v>1760</v>
      </c>
      <c r="I860" s="7">
        <v>1085800</v>
      </c>
      <c r="J860" s="8">
        <v>3.5800000000000012E-2</v>
      </c>
    </row>
    <row r="861" spans="1:10" x14ac:dyDescent="0.25">
      <c r="A861" s="5" t="s">
        <v>1748</v>
      </c>
      <c r="B861" s="5" t="s">
        <v>1761</v>
      </c>
      <c r="C861" s="6" t="str">
        <f>_xll.QS.CONTEXT.CREATE("market.859",A861,"USD","SOFR")</f>
        <v>QSObject:PricingContext:w1~market.859:19970</v>
      </c>
      <c r="D861" s="6" t="str">
        <f>_xll.QS.CONTEXT.ADD.CURVE(C861,"SOFR",$K$2:$K$7,$L$2:$L$7,,,"Actual360","LogLinear",TRUE)</f>
        <v>QSObject:ContextInput:w1~input.qs_context_add_curve.2359132437744.860.3.0:39205</v>
      </c>
      <c r="E861" s="6" t="str">
        <f>_xll.QS.INSTRUMENT.SWAP("swap.859",H861,B861,"USD","SOFR",I861,J861,0,"Actual360","Simple","Annual","Annual","Annual")</f>
        <v>QSObject:Swap:w1~swap.859:18284</v>
      </c>
      <c r="F861" s="6" t="str">
        <f>_xll.QS.TRADE.CREATE("trade.859",E861,A861,"Receive")</f>
        <v>QSObject:SwapTrade:w1~trade.859:29013</v>
      </c>
      <c r="G861" s="3">
        <f>_xll.QS.EVALUATE(C861,F861)</f>
        <v>19411.464974434639</v>
      </c>
      <c r="H861" s="5" t="s">
        <v>1762</v>
      </c>
      <c r="I861" s="7">
        <v>1085900</v>
      </c>
      <c r="J861" s="8">
        <v>3.5900000000000001E-2</v>
      </c>
    </row>
    <row r="862" spans="1:10" x14ac:dyDescent="0.25">
      <c r="A862" s="5" t="s">
        <v>1750</v>
      </c>
      <c r="B862" s="5" t="s">
        <v>1763</v>
      </c>
      <c r="C862" s="6" t="str">
        <f>_xll.QS.CONTEXT.CREATE("market.860",A862,"USD","SOFR")</f>
        <v>QSObject:PricingContext:w1~market.860:4990</v>
      </c>
      <c r="D862" s="6" t="str">
        <f>_xll.QS.CONTEXT.ADD.CURVE(C862,"SOFR",$K$2:$K$7,$L$2:$L$7,,,"Actual360","LogLinear",TRUE)</f>
        <v>QSObject:ContextInput:w1~input.qs_context_add_curve.2359132437744.861.3.0:17316</v>
      </c>
      <c r="E862" s="6" t="str">
        <f>_xll.QS.INSTRUMENT.SWAP("swap.860",H862,B862,"USD","SOFR",I862,J862,0,"Actual360","Simple","Annual","Annual","Annual")</f>
        <v>QSObject:Swap:w1~swap.860:12973</v>
      </c>
      <c r="F862" s="6" t="str">
        <f>_xll.QS.TRADE.CREATE("trade.860",E862,A862,"Receive")</f>
        <v>QSObject:SwapTrade:w1~trade.860:30411</v>
      </c>
      <c r="G862" s="3">
        <f>_xll.QS.EVALUATE(C862,F862)</f>
        <v>19821.075751909815</v>
      </c>
      <c r="H862" s="5" t="s">
        <v>1764</v>
      </c>
      <c r="I862" s="7">
        <v>1086000</v>
      </c>
      <c r="J862" s="8">
        <v>3.5999999999999997E-2</v>
      </c>
    </row>
    <row r="863" spans="1:10" x14ac:dyDescent="0.25">
      <c r="A863" s="5" t="s">
        <v>1752</v>
      </c>
      <c r="B863" s="5" t="s">
        <v>1765</v>
      </c>
      <c r="C863" s="6" t="str">
        <f>_xll.QS.CONTEXT.CREATE("market.861",A863,"USD","SOFR")</f>
        <v>QSObject:PricingContext:w1~market.861:3428</v>
      </c>
      <c r="D863" s="6" t="str">
        <f>_xll.QS.CONTEXT.ADD.CURVE(C863,"SOFR",$K$2:$K$7,$L$2:$L$7,,,"Actual360","LogLinear",TRUE)</f>
        <v>QSObject:ContextInput:w1~input.qs_context_add_curve.2359132437744.862.3.0:8191</v>
      </c>
      <c r="E863" s="6" t="str">
        <f>_xll.QS.INSTRUMENT.SWAP("swap.861",H863,B863,"USD","SOFR",I863,J863,0,"Actual360","Simple","Annual","Annual","Annual")</f>
        <v>QSObject:Swap:w1~swap.861:16291</v>
      </c>
      <c r="F863" s="6" t="str">
        <f>_xll.QS.TRADE.CREATE("trade.861",E863,A863,"Receive")</f>
        <v>QSObject:SwapTrade:w1~trade.861:29012</v>
      </c>
      <c r="G863" s="3">
        <f>_xll.QS.EVALUATE(C863,F863)</f>
        <v>20369.011039839832</v>
      </c>
      <c r="H863" s="5" t="s">
        <v>1766</v>
      </c>
      <c r="I863" s="7">
        <v>1086100</v>
      </c>
      <c r="J863" s="8">
        <v>3.61E-2</v>
      </c>
    </row>
    <row r="864" spans="1:10" x14ac:dyDescent="0.25">
      <c r="A864" s="5" t="s">
        <v>1754</v>
      </c>
      <c r="B864" s="5" t="s">
        <v>1767</v>
      </c>
      <c r="C864" s="6" t="str">
        <f>_xll.QS.CONTEXT.CREATE("market.862",A864,"USD","SOFR")</f>
        <v>QSObject:PricingContext:w1~market.862:6596</v>
      </c>
      <c r="D864" s="6" t="str">
        <f>_xll.QS.CONTEXT.ADD.CURVE(C864,"SOFR",$K$2:$K$7,$L$2:$L$7,,,"Actual360","LogLinear",TRUE)</f>
        <v>QSObject:ContextInput:w1~input.qs_context_add_curve.2359132437744.863.3.0:19969</v>
      </c>
      <c r="E864" s="6" t="str">
        <f>_xll.QS.INSTRUMENT.SWAP("swap.862",H864,B864,"USD","SOFR",I864,J864,0,"Actual360","Simple","Annual","Annual","Annual")</f>
        <v>QSObject:Swap:w1~swap.862:1886</v>
      </c>
      <c r="F864" s="6" t="str">
        <f>_xll.QS.TRADE.CREATE("trade.862",E864,A864,"Receive")</f>
        <v>QSObject:SwapTrade:w1~trade.862:14611</v>
      </c>
      <c r="G864" s="3">
        <f>_xll.QS.EVALUATE(C864,F864)</f>
        <v>20903.373009623683</v>
      </c>
      <c r="H864" s="5" t="s">
        <v>1768</v>
      </c>
      <c r="I864" s="7">
        <v>1086200</v>
      </c>
      <c r="J864" s="8">
        <v>3.6200000000000003E-2</v>
      </c>
    </row>
    <row r="865" spans="1:10" x14ac:dyDescent="0.25">
      <c r="A865" s="5" t="s">
        <v>1756</v>
      </c>
      <c r="B865" s="5" t="s">
        <v>1769</v>
      </c>
      <c r="C865" s="6" t="str">
        <f>_xll.QS.CONTEXT.CREATE("market.863",A865,"USD","SOFR")</f>
        <v>QSObject:PricingContext:w1~market.863:12972</v>
      </c>
      <c r="D865" s="6" t="str">
        <f>_xll.QS.CONTEXT.ADD.CURVE(C865,"SOFR",$K$2:$K$7,$L$2:$L$7,,,"Actual360","LogLinear",TRUE)</f>
        <v>QSObject:ContextInput:w1~input.qs_context_add_curve.2359132437744.864.3.0:39204</v>
      </c>
      <c r="E865" s="6" t="str">
        <f>_xll.QS.INSTRUMENT.SWAP("swap.863",H865,B865,"USD","SOFR",I865,J865,0,"Actual360","Simple","Annual","Annual","Annual")</f>
        <v>QSObject:Swap:w1~swap.863:18283</v>
      </c>
      <c r="F865" s="6" t="str">
        <f>_xll.QS.TRADE.CREATE("trade.863",E865,A865,"Receive")</f>
        <v>QSObject:SwapTrade:w1~trade.863:23486</v>
      </c>
      <c r="G865" s="3">
        <f>_xll.QS.EVALUATE(C865,F865)</f>
        <v>21485.492697849331</v>
      </c>
      <c r="H865" s="5" t="s">
        <v>1770</v>
      </c>
      <c r="I865" s="7">
        <v>1086300</v>
      </c>
      <c r="J865" s="8">
        <v>3.6300000000000013E-2</v>
      </c>
    </row>
    <row r="866" spans="1:10" x14ac:dyDescent="0.25">
      <c r="A866" s="5" t="s">
        <v>1758</v>
      </c>
      <c r="B866" s="5" t="s">
        <v>1771</v>
      </c>
      <c r="C866" s="6" t="str">
        <f>_xll.QS.CONTEXT.CREATE("market.864",A866,"USD","SOFR")</f>
        <v>QSObject:PricingContext:w1~market.864:11450</v>
      </c>
      <c r="D866" s="6" t="str">
        <f>_xll.QS.CONTEXT.ADD.CURVE(C866,"SOFR",$K$2:$K$7,$L$2:$L$7,,,"Actual360","LogLinear",TRUE)</f>
        <v>QSObject:ContextInput:w1~input.qs_context_add_curve.2359132437744.865.3.0:39203</v>
      </c>
      <c r="E866" s="6" t="str">
        <f>_xll.QS.INSTRUMENT.SWAP("swap.864",H866,B866,"USD","SOFR",I866,J866,0,"Actual360","Simple","Annual","Annual","Annual")</f>
        <v>QSObject:Swap:w1~swap.864:17315</v>
      </c>
      <c r="F866" s="6" t="str">
        <f>_xll.QS.TRADE.CREATE("trade.864",E866,A866,"Receive")</f>
        <v>QSObject:SwapTrade:w1~trade.864:29011</v>
      </c>
      <c r="G866" s="3">
        <f>_xll.QS.EVALUATE(C866,F866)</f>
        <v>22035.856525480311</v>
      </c>
      <c r="H866" s="5" t="s">
        <v>1772</v>
      </c>
      <c r="I866" s="7">
        <v>1086400</v>
      </c>
      <c r="J866" s="8">
        <v>3.6400000000000002E-2</v>
      </c>
    </row>
    <row r="867" spans="1:10" x14ac:dyDescent="0.25">
      <c r="A867" s="5" t="s">
        <v>1760</v>
      </c>
      <c r="B867" s="5" t="s">
        <v>1773</v>
      </c>
      <c r="C867" s="6" t="str">
        <f>_xll.QS.CONTEXT.CREATE("market.865",A867,"USD","SOFR")</f>
        <v>QSObject:PricingContext:w1~market.865:19968</v>
      </c>
      <c r="D867" s="6" t="str">
        <f>_xll.QS.CONTEXT.ADD.CURVE(C867,"SOFR",$K$2:$K$7,$L$2:$L$7,,,"Actual360","LogLinear",TRUE)</f>
        <v>QSObject:ContextInput:w1~input.qs_context_add_curve.2359132437744.866.3.0:39202</v>
      </c>
      <c r="E867" s="6" t="str">
        <f>_xll.QS.INSTRUMENT.SWAP("swap.865",H867,B867,"USD","SOFR",I867,J867,0,"Actual360","Simple","Annual","Annual","Annual")</f>
        <v>QSObject:Swap:w1~swap.865:16290</v>
      </c>
      <c r="F867" s="6" t="str">
        <f>_xll.QS.TRADE.CREATE("trade.865",E867,A867,"Receive")</f>
        <v>QSObject:SwapTrade:w1~trade.865:30410</v>
      </c>
      <c r="G867" s="3">
        <f>_xll.QS.EVALUATE(C867,F867)</f>
        <v>22497.099182306796</v>
      </c>
      <c r="H867" s="5" t="s">
        <v>1774</v>
      </c>
      <c r="I867" s="7">
        <v>1086500</v>
      </c>
      <c r="J867" s="8">
        <v>3.6499999999999998E-2</v>
      </c>
    </row>
    <row r="868" spans="1:10" x14ac:dyDescent="0.25">
      <c r="A868" s="5" t="s">
        <v>1762</v>
      </c>
      <c r="B868" s="5" t="s">
        <v>1775</v>
      </c>
      <c r="C868" s="6" t="str">
        <f>_xll.QS.CONTEXT.CREATE("market.866",A868,"USD","SOFR")</f>
        <v>QSObject:PricingContext:w1~market.866:4989</v>
      </c>
      <c r="D868" s="6" t="str">
        <f>_xll.QS.CONTEXT.ADD.CURVE(C868,"SOFR",$K$2:$K$7,$L$2:$L$7,,,"Actual360","LogLinear",TRUE)</f>
        <v>QSObject:ContextInput:w1~input.qs_context_add_curve.2359132437744.867.3.0:12971</v>
      </c>
      <c r="E868" s="6" t="str">
        <f>_xll.QS.INSTRUMENT.SWAP("swap.866",H868,B868,"USD","SOFR",I868,J868,0,"Actual360","Simple","Annual","Annual","Annual")</f>
        <v>QSObject:Swap:w1~swap.866:14610</v>
      </c>
      <c r="F868" s="6" t="str">
        <f>_xll.QS.TRADE.CREATE("trade.866",E868,A868,"Receive")</f>
        <v>QSObject:SwapTrade:w1~trade.866:18282</v>
      </c>
      <c r="G868" s="3">
        <f>_xll.QS.EVALUATE(C868,F868)</f>
        <v>22912.388202385086</v>
      </c>
      <c r="H868" s="5" t="s">
        <v>1776</v>
      </c>
      <c r="I868" s="7">
        <v>1086600</v>
      </c>
      <c r="J868" s="8">
        <v>3.6600000000000001E-2</v>
      </c>
    </row>
    <row r="869" spans="1:10" x14ac:dyDescent="0.25">
      <c r="A869" s="5" t="s">
        <v>1764</v>
      </c>
      <c r="B869" s="5" t="s">
        <v>1777</v>
      </c>
      <c r="C869" s="6" t="str">
        <f>_xll.QS.CONTEXT.CREATE("market.867",A869,"USD","SOFR")</f>
        <v>QSObject:PricingContext:w1~market.867:3427</v>
      </c>
      <c r="D869" s="6" t="str">
        <f>_xll.QS.CONTEXT.ADD.CURVE(C869,"SOFR",$K$2:$K$7,$L$2:$L$7,,,"Actual360","LogLinear",TRUE)</f>
        <v>QSObject:ContextInput:w1~input.qs_context_add_curve.2359132437744.868.3.0:11449</v>
      </c>
      <c r="E869" s="6" t="str">
        <f>_xll.QS.INSTRUMENT.SWAP("swap.867",H869,B869,"USD","SOFR",I869,J869,0,"Actual360","Simple","Annual","Annual","Annual")</f>
        <v>QSObject:Swap:w1~swap.867:17314</v>
      </c>
      <c r="F869" s="6" t="str">
        <f>_xll.QS.TRADE.CREATE("trade.867",E869,A869,"Receive")</f>
        <v>QSObject:SwapTrade:w1~trade.867:25039</v>
      </c>
      <c r="G869" s="3">
        <f>_xll.QS.EVALUATE(C869,F869)</f>
        <v>23298.094671817667</v>
      </c>
      <c r="H869" s="5" t="s">
        <v>1778</v>
      </c>
      <c r="I869" s="7">
        <v>1086700</v>
      </c>
      <c r="J869" s="8">
        <v>3.6700000000000003E-2</v>
      </c>
    </row>
    <row r="870" spans="1:10" x14ac:dyDescent="0.25">
      <c r="A870" s="5" t="s">
        <v>1766</v>
      </c>
      <c r="B870" s="5" t="s">
        <v>1779</v>
      </c>
      <c r="C870" s="6" t="str">
        <f>_xll.QS.CONTEXT.CREATE("market.868",A870,"USD","SOFR")</f>
        <v>QSObject:PricingContext:w1~market.868:16289</v>
      </c>
      <c r="D870" s="6" t="str">
        <f>_xll.QS.CONTEXT.ADD.CURVE(C870,"SOFR",$K$2:$K$7,$L$2:$L$7,,,"Actual360","LogLinear",TRUE)</f>
        <v>QSObject:ContextInput:w1~input.qs_context_add_curve.2359132437744.869.3.0:39201</v>
      </c>
      <c r="E870" s="6" t="str">
        <f>_xll.QS.INSTRUMENT.SWAP("swap.868",H870,B870,"USD","SOFR",I870,J870,0,"Actual360","Simple","Annual","Annual","Annual")</f>
        <v>QSObject:Swap:w1~swap.868:19967</v>
      </c>
      <c r="F870" s="6" t="str">
        <f>_xll.QS.TRADE.CREATE("trade.868",E870,A870,"Receive")</f>
        <v>QSObject:SwapTrade:w1~trade.868:26536</v>
      </c>
      <c r="G870" s="3">
        <f>_xll.QS.EVALUATE(C870,F870)</f>
        <v>23846.956745281394</v>
      </c>
      <c r="H870" s="5" t="s">
        <v>1780</v>
      </c>
      <c r="I870" s="7">
        <v>1086800</v>
      </c>
      <c r="J870" s="8">
        <v>3.6800000000000013E-2</v>
      </c>
    </row>
    <row r="871" spans="1:10" x14ac:dyDescent="0.25">
      <c r="A871" s="5" t="s">
        <v>1768</v>
      </c>
      <c r="B871" s="5" t="s">
        <v>1781</v>
      </c>
      <c r="C871" s="6" t="str">
        <f>_xll.QS.CONTEXT.CREATE("market.869",A871,"USD","SOFR")</f>
        <v>QSObject:PricingContext:w1~market.869:12970</v>
      </c>
      <c r="D871" s="6" t="str">
        <f>_xll.QS.CONTEXT.ADD.CURVE(C871,"SOFR",$K$2:$K$7,$L$2:$L$7,,,"Actual360","LogLinear",TRUE)</f>
        <v>QSObject:ContextInput:w1~input.qs_context_add_curve.2359132437744.870.3.0:39200</v>
      </c>
      <c r="E871" s="6" t="str">
        <f>_xll.QS.INSTRUMENT.SWAP("swap.869",H871,B871,"USD","SOFR",I871,J871,0,"Actual360","Simple","Annual","Annual","Annual")</f>
        <v>QSObject:Swap:w1~swap.869:4988</v>
      </c>
      <c r="F871" s="6" t="str">
        <f>_xll.QS.TRADE.CREATE("trade.869",E871,A871,"Receive")</f>
        <v>QSObject:SwapTrade:w1~trade.869:22980</v>
      </c>
      <c r="G871" s="3">
        <f>_xll.QS.EVALUATE(C871,F871)</f>
        <v>24396.07987115005</v>
      </c>
      <c r="H871" s="5" t="s">
        <v>1782</v>
      </c>
      <c r="I871" s="7">
        <v>1086900</v>
      </c>
      <c r="J871" s="8">
        <v>3.6900000000000002E-2</v>
      </c>
    </row>
    <row r="872" spans="1:10" x14ac:dyDescent="0.25">
      <c r="A872" s="5" t="s">
        <v>1770</v>
      </c>
      <c r="B872" s="5" t="s">
        <v>1783</v>
      </c>
      <c r="C872" s="6" t="str">
        <f>_xll.QS.CONTEXT.CREATE("market.870",A872,"USD","SOFR")</f>
        <v>QSObject:PricingContext:w1~market.870:8190</v>
      </c>
      <c r="D872" s="6" t="str">
        <f>_xll.QS.CONTEXT.ADD.CURVE(C872,"SOFR",$K$2:$K$7,$L$2:$L$7,,,"Actual360","LogLinear",TRUE)</f>
        <v>QSObject:ContextInput:w1~input.qs_context_add_curve.2359132437744.871.3.0:18281</v>
      </c>
      <c r="E872" s="6" t="str">
        <f>_xll.QS.INSTRUMENT.SWAP("swap.870",H872,B872,"USD","SOFR",I872,J872,0,"Actual360","Simple","Annual","Annual","Annual")</f>
        <v>QSObject:Swap:w1~swap.870:14609</v>
      </c>
      <c r="F872" s="6" t="str">
        <f>_xll.QS.TRADE.CREATE("trade.870",E872,A872,"Receive")</f>
        <v>QSObject:SwapTrade:w1~trade.870:17313</v>
      </c>
      <c r="G872" s="3">
        <f>_xll.QS.EVALUATE(C872,F872)</f>
        <v>25048.098756773401</v>
      </c>
      <c r="H872" s="5" t="s">
        <v>1784</v>
      </c>
      <c r="I872" s="7">
        <v>1087000</v>
      </c>
      <c r="J872" s="8">
        <v>3.7000000000000012E-2</v>
      </c>
    </row>
    <row r="873" spans="1:10" x14ac:dyDescent="0.25">
      <c r="A873" s="5" t="s">
        <v>1772</v>
      </c>
      <c r="B873" s="5" t="s">
        <v>1785</v>
      </c>
      <c r="C873" s="6" t="str">
        <f>_xll.QS.CONTEXT.CREATE("market.871",A873,"USD","SOFR")</f>
        <v>QSObject:PricingContext:w1~market.871:19966</v>
      </c>
      <c r="D873" s="6" t="str">
        <f>_xll.QS.CONTEXT.ADD.CURVE(C873,"SOFR",$K$2:$K$7,$L$2:$L$7,,,"Actual360","LogLinear",TRUE)</f>
        <v>QSObject:ContextInput:w1~input.qs_context_add_curve.2359132437744.872.3.0:39199</v>
      </c>
      <c r="E873" s="6" t="str">
        <f>_xll.QS.INSTRUMENT.SWAP("swap.871",H873,B873,"USD","SOFR",I873,J873,0,"Actual360","Simple","Annual","Annual","Annual")</f>
        <v>QSObject:Swap:w1~swap.871:16288</v>
      </c>
      <c r="F873" s="6" t="str">
        <f>_xll.QS.TRADE.CREATE("trade.871",E873,A873,"Receive")</f>
        <v>QSObject:SwapTrade:w1~trade.871:28295</v>
      </c>
      <c r="G873" s="3">
        <f>_xll.QS.EVALUATE(C873,F873)</f>
        <v>25561.535343759439</v>
      </c>
      <c r="H873" s="5" t="s">
        <v>1786</v>
      </c>
      <c r="I873" s="7">
        <v>1087100</v>
      </c>
      <c r="J873" s="8">
        <v>3.7100000000000001E-2</v>
      </c>
    </row>
    <row r="874" spans="1:10" x14ac:dyDescent="0.25">
      <c r="A874" s="5" t="s">
        <v>1774</v>
      </c>
      <c r="B874" s="5" t="s">
        <v>1787</v>
      </c>
      <c r="C874" s="6" t="str">
        <f>_xll.QS.CONTEXT.CREATE("market.872",A874,"USD","SOFR")</f>
        <v>QSObject:PricingContext:w1~market.872:3426</v>
      </c>
      <c r="D874" s="6" t="str">
        <f>_xll.QS.CONTEXT.ADD.CURVE(C874,"SOFR",$K$2:$K$7,$L$2:$L$7,,,"Actual360","LogLinear",TRUE)</f>
        <v>QSObject:ContextInput:w1~input.qs_context_add_curve.2359132437744.873.3.0:12969</v>
      </c>
      <c r="E874" s="6" t="str">
        <f>_xll.QS.INSTRUMENT.SWAP("swap.872",H874,B874,"USD","SOFR",I874,J874,0,"Actual360","Simple","Annual","Annual","Annual")</f>
        <v>QSObject:Swap:w1~swap.872:9793</v>
      </c>
      <c r="F874" s="6" t="str">
        <f>_xll.QS.TRADE.CREATE("trade.872",E874,A874,"Receive")</f>
        <v>QSObject:SwapTrade:w1~trade.872:28294</v>
      </c>
      <c r="G874" s="3">
        <f>_xll.QS.EVALUATE(C874,F874)</f>
        <v>26064.340670625737</v>
      </c>
      <c r="H874" s="5" t="s">
        <v>1788</v>
      </c>
      <c r="I874" s="7">
        <v>1087200</v>
      </c>
      <c r="J874" s="8">
        <v>3.7199999999999997E-2</v>
      </c>
    </row>
    <row r="875" spans="1:10" x14ac:dyDescent="0.25">
      <c r="A875" s="5" t="s">
        <v>1776</v>
      </c>
      <c r="B875" s="5" t="s">
        <v>1789</v>
      </c>
      <c r="C875" s="6" t="str">
        <f>_xll.QS.CONTEXT.CREATE("market.873",A875,"USD","SOFR")</f>
        <v>QSObject:PricingContext:w1~market.873:18280</v>
      </c>
      <c r="D875" s="6" t="str">
        <f>_xll.QS.CONTEXT.ADD.CURVE(C875,"SOFR",$K$2:$K$7,$L$2:$L$7,,,"Actual360","LogLinear",TRUE)</f>
        <v>QSObject:ContextInput:w1~input.qs_context_add_curve.2359132437744.874.3.0:39198</v>
      </c>
      <c r="E875" s="6" t="str">
        <f>_xll.QS.INSTRUMENT.SWAP("swap.873",H875,B875,"USD","SOFR",I875,J875,0,"Actual360","Simple","Annual","Annual","Annual")</f>
        <v>QSObject:Swap:w1~swap.873:4987</v>
      </c>
      <c r="F875" s="6" t="str">
        <f>_xll.QS.TRADE.CREATE("trade.873",E875,A875,"Receive")</f>
        <v>QSObject:SwapTrade:w1~trade.873:19965</v>
      </c>
      <c r="G875" s="3">
        <f>_xll.QS.EVALUATE(C875,F875)</f>
        <v>26542.178632881307</v>
      </c>
      <c r="H875" s="5" t="s">
        <v>1790</v>
      </c>
      <c r="I875" s="7">
        <v>1087300</v>
      </c>
      <c r="J875" s="8">
        <v>3.73E-2</v>
      </c>
    </row>
    <row r="876" spans="1:10" x14ac:dyDescent="0.25">
      <c r="A876" s="5" t="s">
        <v>1778</v>
      </c>
      <c r="B876" s="5" t="s">
        <v>1791</v>
      </c>
      <c r="C876" s="6" t="str">
        <f>_xll.QS.CONTEXT.CREATE("market.874",A876,"USD","SOFR")</f>
        <v>QSObject:PricingContext:w1~market.874:16287</v>
      </c>
      <c r="D876" s="6" t="str">
        <f>_xll.QS.CONTEXT.ADD.CURVE(C876,"SOFR",$K$2:$K$7,$L$2:$L$7,,,"Actual360","LogLinear",TRUE)</f>
        <v>QSObject:ContextInput:w1~input.qs_context_add_curve.2359132437744.875.3.0:39197</v>
      </c>
      <c r="E876" s="6" t="str">
        <f>_xll.QS.INSTRUMENT.SWAP("swap.874",H876,B876,"USD","SOFR",I876,J876,0,"Actual360","Simple","Annual","Annual","Annual")</f>
        <v>QSObject:Swap:w1~swap.874:17312</v>
      </c>
      <c r="F876" s="6" t="str">
        <f>_xll.QS.TRADE.CREATE("trade.874",E876,A876,"Receive")</f>
        <v>QSObject:SwapTrade:w1~trade.874:30316</v>
      </c>
      <c r="G876" s="3">
        <f>_xll.QS.EVALUATE(C876,F876)</f>
        <v>27048.550683802503</v>
      </c>
      <c r="H876" s="5" t="s">
        <v>1792</v>
      </c>
      <c r="I876" s="7">
        <v>1087400</v>
      </c>
      <c r="J876" s="8">
        <v>3.7400000000000003E-2</v>
      </c>
    </row>
    <row r="877" spans="1:10" x14ac:dyDescent="0.25">
      <c r="A877" s="5" t="s">
        <v>1780</v>
      </c>
      <c r="B877" s="5" t="s">
        <v>1793</v>
      </c>
      <c r="C877" s="6" t="str">
        <f>_xll.QS.CONTEXT.CREATE("market.875",A877,"USD","SOFR")</f>
        <v>QSObject:PricingContext:w1~market.875:6595</v>
      </c>
      <c r="D877" s="6" t="str">
        <f>_xll.QS.CONTEXT.ADD.CURVE(C877,"SOFR",$K$2:$K$7,$L$2:$L$7,,,"Actual360","LogLinear",TRUE)</f>
        <v>QSObject:ContextInput:w1~input.qs_context_add_curve.2359132437744.876.3.0:12968</v>
      </c>
      <c r="E877" s="6" t="str">
        <f>_xll.QS.INSTRUMENT.SWAP("swap.875",H877,B877,"USD","SOFR",I877,J877,0,"Actual360","Simple","Annual","Annual","Annual")</f>
        <v>QSObject:Swap:w1~swap.875:11448</v>
      </c>
      <c r="F877" s="6" t="str">
        <f>_xll.QS.TRADE.CREATE("trade.875",E877,A877,"Receive")</f>
        <v>QSObject:SwapTrade:w1~trade.875:22318</v>
      </c>
      <c r="G877" s="3">
        <f>_xll.QS.EVALUATE(C877,F877)</f>
        <v>27419.662887574945</v>
      </c>
      <c r="H877" s="5" t="s">
        <v>1794</v>
      </c>
      <c r="I877" s="7">
        <v>1087500</v>
      </c>
      <c r="J877" s="8">
        <v>3.7500000000000012E-2</v>
      </c>
    </row>
    <row r="878" spans="1:10" x14ac:dyDescent="0.25">
      <c r="A878" s="5" t="s">
        <v>1782</v>
      </c>
      <c r="B878" s="5" t="s">
        <v>1795</v>
      </c>
      <c r="C878" s="6" t="str">
        <f>_xll.QS.CONTEXT.CREATE("market.876",A878,"USD","SOFR")</f>
        <v>QSObject:PricingContext:w1~market.876:16286</v>
      </c>
      <c r="D878" s="6" t="str">
        <f>_xll.QS.CONTEXT.ADD.CURVE(C878,"SOFR",$K$2:$K$7,$L$2:$L$7,,,"Actual360","LogLinear",TRUE)</f>
        <v>QSObject:ContextInput:w1~input.qs_context_add_curve.2359132437744.877.3.0:18279</v>
      </c>
      <c r="E878" s="6" t="str">
        <f>_xll.QS.INSTRUMENT.SWAP("swap.876",H878,B878,"USD","SOFR",I878,J878,0,"Actual360","Simple","Annual","Annual","Annual")</f>
        <v>QSObject:Swap:w1~swap.876:19964</v>
      </c>
      <c r="F878" s="6" t="str">
        <f>_xll.QS.TRADE.CREATE("trade.876",E878,A878,"Receive")</f>
        <v>QSObject:SwapTrade:w1~trade.876:30315</v>
      </c>
      <c r="G878" s="3">
        <f>_xll.QS.EVALUATE(C878,F878)</f>
        <v>27952.135724962998</v>
      </c>
      <c r="H878" s="5" t="s">
        <v>1796</v>
      </c>
      <c r="I878" s="7">
        <v>1087600</v>
      </c>
      <c r="J878" s="8">
        <v>3.7600000000000001E-2</v>
      </c>
    </row>
    <row r="879" spans="1:10" x14ac:dyDescent="0.25">
      <c r="A879" s="5" t="s">
        <v>1784</v>
      </c>
      <c r="B879" s="5" t="s">
        <v>1797</v>
      </c>
      <c r="C879" s="6" t="str">
        <f>_xll.QS.CONTEXT.CREATE("market.877",A879,"USD","SOFR")</f>
        <v>QSObject:PricingContext:w1~market.877:3425</v>
      </c>
      <c r="D879" s="6" t="str">
        <f>_xll.QS.CONTEXT.ADD.CURVE(C879,"SOFR",$K$2:$K$7,$L$2:$L$7,,,"Actual360","LogLinear",TRUE)</f>
        <v>QSObject:ContextInput:w1~input.qs_context_add_curve.2359132437744.878.3.0:14608</v>
      </c>
      <c r="E879" s="6" t="str">
        <f>_xll.QS.INSTRUMENT.SWAP("swap.877",H879,B879,"USD","SOFR",I879,J879,0,"Actual360","Simple","Annual","Annual","Annual")</f>
        <v>QSObject:Swap:w1~swap.877:4986</v>
      </c>
      <c r="F879" s="6" t="str">
        <f>_xll.QS.TRADE.CREATE("trade.877",E879,A879,"Receive")</f>
        <v>QSObject:SwapTrade:w1~trade.877:9792</v>
      </c>
      <c r="G879" s="3">
        <f>_xll.QS.EVALUATE(C879,F879)</f>
        <v>28577.772502377349</v>
      </c>
      <c r="H879" s="5" t="s">
        <v>1798</v>
      </c>
      <c r="I879" s="7">
        <v>1087700</v>
      </c>
      <c r="J879" s="8">
        <v>3.7699999999999997E-2</v>
      </c>
    </row>
    <row r="880" spans="1:10" x14ac:dyDescent="0.25">
      <c r="A880" s="5" t="s">
        <v>1786</v>
      </c>
      <c r="B880" s="5" t="s">
        <v>1799</v>
      </c>
      <c r="C880" s="6" t="str">
        <f>_xll.QS.CONTEXT.CREATE("market.878",A880,"USD","SOFR")</f>
        <v>QSObject:PricingContext:w1~market.878:1885</v>
      </c>
      <c r="D880" s="6" t="str">
        <f>_xll.QS.CONTEXT.ADD.CURVE(C880,"SOFR",$K$2:$K$7,$L$2:$L$7,,,"Actual360","LogLinear",TRUE)</f>
        <v>QSObject:ContextInput:w1~input.qs_context_add_curve.2359132437744.879.3.0:12967</v>
      </c>
      <c r="E880" s="6" t="str">
        <f>_xll.QS.INSTRUMENT.SWAP("swap.878",H880,B880,"USD","SOFR",I880,J880,0,"Actual360","Simple","Annual","Annual","Annual")</f>
        <v>QSObject:Swap:w1~swap.878:8189</v>
      </c>
      <c r="F880" s="6" t="str">
        <f>_xll.QS.TRADE.CREATE("trade.878",E880,A880,"Receive")</f>
        <v>QSObject:SwapTrade:w1~trade.878:11447</v>
      </c>
      <c r="G880" s="3">
        <f>_xll.QS.EVALUATE(C880,F880)</f>
        <v>29087.110282076472</v>
      </c>
      <c r="H880" s="5" t="s">
        <v>1800</v>
      </c>
      <c r="I880" s="7">
        <v>1087800</v>
      </c>
      <c r="J880" s="8">
        <v>3.78E-2</v>
      </c>
    </row>
    <row r="881" spans="1:10" x14ac:dyDescent="0.25">
      <c r="A881" s="5" t="s">
        <v>1788</v>
      </c>
      <c r="B881" s="5" t="s">
        <v>1801</v>
      </c>
      <c r="C881" s="6" t="str">
        <f>_xll.QS.CONTEXT.CREATE("market.879",A881,"USD","SOFR")</f>
        <v>QSObject:PricingContext:w1~market.879:17311</v>
      </c>
      <c r="D881" s="6" t="str">
        <f>_xll.QS.CONTEXT.ADD.CURVE(C881,"SOFR",$K$2:$K$7,$L$2:$L$7,,,"Actual360","LogLinear",TRUE)</f>
        <v>QSObject:ContextInput:w1~input.qs_context_add_curve.2359132437744.880.3.0:18278</v>
      </c>
      <c r="E881" s="6" t="str">
        <f>_xll.QS.INSTRUMENT.SWAP("swap.879",H881,B881,"USD","SOFR",I881,J881,0,"Actual360","Simple","Annual","Annual","Annual")</f>
        <v>QSObject:Swap:w1~swap.879:6594</v>
      </c>
      <c r="F881" s="6" t="str">
        <f>_xll.QS.TRADE.CREATE("trade.879",E881,A881,"Receive")</f>
        <v>QSObject:SwapTrade:w1~trade.879:22979</v>
      </c>
      <c r="G881" s="3">
        <f>_xll.QS.EVALUATE(C881,F881)</f>
        <v>29549.514359794754</v>
      </c>
      <c r="H881" s="5" t="s">
        <v>1802</v>
      </c>
      <c r="I881" s="7">
        <v>1087900</v>
      </c>
      <c r="J881" s="8">
        <v>3.7900000000000003E-2</v>
      </c>
    </row>
    <row r="882" spans="1:10" x14ac:dyDescent="0.25">
      <c r="A882" s="5" t="s">
        <v>1790</v>
      </c>
      <c r="B882" s="5" t="s">
        <v>1803</v>
      </c>
      <c r="C882" s="6" t="str">
        <f>_xll.QS.CONTEXT.CREATE("market.880",A882,"USD","SOFR")</f>
        <v>QSObject:PricingContext:w1~market.880:14607</v>
      </c>
      <c r="D882" s="6" t="str">
        <f>_xll.QS.CONTEXT.ADD.CURVE(C882,"SOFR",$K$2:$K$7,$L$2:$L$7,,,"Actual360","LogLinear",TRUE)</f>
        <v>QSObject:ContextInput:w1~input.qs_context_add_curve.2359132437744.881.3.0:39196</v>
      </c>
      <c r="E882" s="6" t="str">
        <f>_xll.QS.INSTRUMENT.SWAP("swap.880",H882,B882,"USD","SOFR",I882,J882,0,"Actual360","Simple","Annual","Annual","Annual")</f>
        <v>QSObject:Swap:w1~swap.880:19963</v>
      </c>
      <c r="F882" s="6" t="str">
        <f>_xll.QS.TRADE.CREATE("trade.880",E882,A882,"Receive")</f>
        <v>QSObject:SwapTrade:w1~trade.880:25038</v>
      </c>
      <c r="G882" s="3">
        <f>_xll.QS.EVALUATE(C882,F882)</f>
        <v>29972.705520900992</v>
      </c>
      <c r="H882" s="5" t="s">
        <v>1804</v>
      </c>
      <c r="I882" s="7">
        <v>1088000</v>
      </c>
      <c r="J882" s="8">
        <v>3.8000000000000013E-2</v>
      </c>
    </row>
    <row r="883" spans="1:10" x14ac:dyDescent="0.25">
      <c r="A883" s="5" t="s">
        <v>1792</v>
      </c>
      <c r="B883" s="5" t="s">
        <v>1805</v>
      </c>
      <c r="C883" s="6" t="str">
        <f>_xll.QS.CONTEXT.CREATE("market.881",A883,"USD","SOFR")</f>
        <v>QSObject:PricingContext:w1~market.881:11446</v>
      </c>
      <c r="D883" s="6" t="str">
        <f>_xll.QS.CONTEXT.ADD.CURVE(C883,"SOFR",$K$2:$K$7,$L$2:$L$7,,,"Actual360","LogLinear",TRUE)</f>
        <v>QSObject:ContextInput:w1~input.qs_context_add_curve.2359132437744.882.3.0:39195</v>
      </c>
      <c r="E883" s="6" t="str">
        <f>_xll.QS.INSTRUMENT.SWAP("swap.881",H883,B883,"USD","SOFR",I883,J883,0,"Actual360","Simple","Annual","Annual","Annual")</f>
        <v>QSObject:Swap:w1~swap.881:1884</v>
      </c>
      <c r="F883" s="6" t="str">
        <f>_xll.QS.TRADE.CREATE("trade.881",E883,A883,"Receive")</f>
        <v>QSObject:SwapTrade:w1~trade.881:9791</v>
      </c>
      <c r="G883" s="3">
        <f>_xll.QS.EVALUATE(C883,F883)</f>
        <v>30400.408088084721</v>
      </c>
      <c r="H883" s="5" t="s">
        <v>1806</v>
      </c>
      <c r="I883" s="7">
        <v>1088100</v>
      </c>
      <c r="J883" s="8">
        <v>3.8100000000000002E-2</v>
      </c>
    </row>
    <row r="884" spans="1:10" x14ac:dyDescent="0.25">
      <c r="A884" s="5" t="s">
        <v>1794</v>
      </c>
      <c r="B884" s="5" t="s">
        <v>1807</v>
      </c>
      <c r="C884" s="6" t="str">
        <f>_xll.QS.CONTEXT.CREATE("market.882",A884,"USD","SOFR")</f>
        <v>QSObject:PricingContext:w1~market.882:18277</v>
      </c>
      <c r="D884" s="6" t="str">
        <f>_xll.QS.CONTEXT.ADD.CURVE(C884,"SOFR",$K$2:$K$7,$L$2:$L$7,,,"Actual360","LogLinear",TRUE)</f>
        <v>QSObject:ContextInput:w1~input.qs_context_add_curve.2359132437744.883.3.0:39194</v>
      </c>
      <c r="E884" s="6" t="str">
        <f>_xll.QS.INSTRUMENT.SWAP("swap.882",H884,B884,"USD","SOFR",I884,J884,0,"Actual360","Simple","Annual","Annual","Annual")</f>
        <v>QSObject:Swap:w1~swap.882:3424</v>
      </c>
      <c r="F884" s="6" t="str">
        <f>_xll.QS.TRADE.CREATE("trade.882",E884,A884,"Receive")</f>
        <v>QSObject:SwapTrade:w1~trade.882:14606</v>
      </c>
      <c r="G884" s="3">
        <f>_xll.QS.EVALUATE(C884,F884)</f>
        <v>30951.388866618112</v>
      </c>
      <c r="H884" s="5" t="s">
        <v>1808</v>
      </c>
      <c r="I884" s="7">
        <v>1088200</v>
      </c>
      <c r="J884" s="8">
        <v>3.8199999999999998E-2</v>
      </c>
    </row>
    <row r="885" spans="1:10" x14ac:dyDescent="0.25">
      <c r="A885" s="5" t="s">
        <v>1796</v>
      </c>
      <c r="B885" s="5" t="s">
        <v>1809</v>
      </c>
      <c r="C885" s="6" t="str">
        <f>_xll.QS.CONTEXT.CREATE("market.883",A885,"USD","SOFR")</f>
        <v>QSObject:PricingContext:w1~market.883:17310</v>
      </c>
      <c r="D885" s="6" t="str">
        <f>_xll.QS.CONTEXT.ADD.CURVE(C885,"SOFR",$K$2:$K$7,$L$2:$L$7,,,"Actual360","LogLinear",TRUE)</f>
        <v>QSObject:ContextInput:w1~input.qs_context_add_curve.2359132437744.884.3.0:39193</v>
      </c>
      <c r="E885" s="6" t="str">
        <f>_xll.QS.INSTRUMENT.SWAP("swap.883",H885,B885,"USD","SOFR",I885,J885,0,"Actual360","Simple","Annual","Annual","Annual")</f>
        <v>QSObject:Swap:w1~swap.883:19962</v>
      </c>
      <c r="F885" s="6" t="str">
        <f>_xll.QS.TRADE.CREATE("trade.883",E885,A885,"Receive")</f>
        <v>QSObject:SwapTrade:w1~trade.883:29670</v>
      </c>
      <c r="G885" s="3">
        <f>_xll.QS.EVALUATE(C885,F885)</f>
        <v>31482.636636636744</v>
      </c>
      <c r="H885" s="5" t="s">
        <v>1810</v>
      </c>
      <c r="I885" s="7">
        <v>1088300</v>
      </c>
      <c r="J885" s="8">
        <v>3.8300000000000001E-2</v>
      </c>
    </row>
    <row r="886" spans="1:10" x14ac:dyDescent="0.25">
      <c r="A886" s="5" t="s">
        <v>1798</v>
      </c>
      <c r="B886" s="5" t="s">
        <v>1811</v>
      </c>
      <c r="C886" s="6" t="str">
        <f>_xll.QS.CONTEXT.CREATE("market.884",A886,"USD","SOFR")</f>
        <v>QSObject:PricingContext:w1~market.884:4985</v>
      </c>
      <c r="D886" s="6" t="str">
        <f>_xll.QS.CONTEXT.ADD.CURVE(C886,"SOFR",$K$2:$K$7,$L$2:$L$7,,,"Actual360","LogLinear",TRUE)</f>
        <v>QSObject:ContextInput:w1~input.qs_context_add_curve.2359132437744.885.3.0:11445</v>
      </c>
      <c r="E886" s="6" t="str">
        <f>_xll.QS.INSTRUMENT.SWAP("swap.884",H886,B886,"USD","SOFR",I886,J886,0,"Actual360","Simple","Annual","Annual","Annual")</f>
        <v>QSObject:Swap:w1~swap.884:9790</v>
      </c>
      <c r="F886" s="6" t="str">
        <f>_xll.QS.TRADE.CREATE("trade.884",E886,A886,"Receive")</f>
        <v>QSObject:SwapTrade:w1~trade.884:31149</v>
      </c>
      <c r="G886" s="3">
        <f>_xll.QS.EVALUATE(C886,F886)</f>
        <v>32067.002707385462</v>
      </c>
      <c r="H886" s="5" t="s">
        <v>1812</v>
      </c>
      <c r="I886" s="7">
        <v>1088400</v>
      </c>
      <c r="J886" s="8">
        <v>3.8399999999999997E-2</v>
      </c>
    </row>
    <row r="887" spans="1:10" x14ac:dyDescent="0.25">
      <c r="A887" s="5" t="s">
        <v>1800</v>
      </c>
      <c r="B887" s="5" t="s">
        <v>1813</v>
      </c>
      <c r="C887" s="6" t="str">
        <f>_xll.QS.CONTEXT.CREATE("market.885",A887,"USD","SOFR")</f>
        <v>QSObject:PricingContext:w1~market.885:17309</v>
      </c>
      <c r="D887" s="6" t="str">
        <f>_xll.QS.CONTEXT.ADD.CURVE(C887,"SOFR",$K$2:$K$7,$L$2:$L$7,,,"Actual360","LogLinear",TRUE)</f>
        <v>QSObject:ContextInput:w1~input.qs_context_add_curve.2359132437744.886.3.0:18276</v>
      </c>
      <c r="E887" s="6" t="str">
        <f>_xll.QS.INSTRUMENT.SWAP("swap.885",H887,B887,"USD","SOFR",I887,J887,0,"Actual360","Simple","Annual","Annual","Annual")</f>
        <v>QSObject:Swap:w1~swap.885:12966</v>
      </c>
      <c r="F887" s="6" t="str">
        <f>_xll.QS.TRADE.CREATE("trade.885",E887,A887,"Receive")</f>
        <v>QSObject:SwapTrade:w1~trade.885:23485</v>
      </c>
      <c r="G887" s="3">
        <f>_xll.QS.EVALUATE(C887,F887)</f>
        <v>32619.515979905824</v>
      </c>
      <c r="H887" s="5" t="s">
        <v>1814</v>
      </c>
      <c r="I887" s="7">
        <v>1088500</v>
      </c>
      <c r="J887" s="8">
        <v>3.8500000000000013E-2</v>
      </c>
    </row>
    <row r="888" spans="1:10" x14ac:dyDescent="0.25">
      <c r="A888" s="5" t="s">
        <v>1802</v>
      </c>
      <c r="B888" s="5" t="s">
        <v>1815</v>
      </c>
      <c r="C888" s="6" t="str">
        <f>_xll.QS.CONTEXT.CREATE("market.886",A888,"USD","SOFR")</f>
        <v>QSObject:PricingContext:w1~market.886:19961</v>
      </c>
      <c r="D888" s="6" t="str">
        <f>_xll.QS.CONTEXT.ADD.CURVE(C888,"SOFR",$K$2:$K$7,$L$2:$L$7,,,"Actual360","LogLinear",TRUE)</f>
        <v>QSObject:ContextInput:w1~input.qs_context_add_curve.2359132437744.887.3.0:39192</v>
      </c>
      <c r="E888" s="6" t="str">
        <f>_xll.QS.INSTRUMENT.SWAP("swap.886",H888,B888,"USD","SOFR",I888,J888,0,"Actual360","Simple","Annual","Annual","Annual")</f>
        <v>QSObject:Swap:w1~swap.886:3423</v>
      </c>
      <c r="F888" s="6" t="str">
        <f>_xll.QS.TRADE.CREATE("trade.886",E888,A888,"Receive")</f>
        <v>QSObject:SwapTrade:w1~trade.886:4984</v>
      </c>
      <c r="G888" s="3">
        <f>_xll.QS.EVALUATE(C888,F888)</f>
        <v>33082.500694816525</v>
      </c>
      <c r="H888" s="5" t="s">
        <v>1816</v>
      </c>
      <c r="I888" s="7">
        <v>1088600</v>
      </c>
      <c r="J888" s="8">
        <v>3.8600000000000002E-2</v>
      </c>
    </row>
    <row r="889" spans="1:10" x14ac:dyDescent="0.25">
      <c r="A889" s="5" t="s">
        <v>1804</v>
      </c>
      <c r="B889" s="5" t="s">
        <v>1817</v>
      </c>
      <c r="C889" s="6" t="str">
        <f>_xll.QS.CONTEXT.CREATE("market.887",A889,"USD","SOFR")</f>
        <v>QSObject:PricingContext:w1~market.887:11444</v>
      </c>
      <c r="D889" s="6" t="str">
        <f>_xll.QS.CONTEXT.ADD.CURVE(C889,"SOFR",$K$2:$K$7,$L$2:$L$7,,,"Actual360","LogLinear",TRUE)</f>
        <v>QSObject:ContextInput:w1~input.qs_context_add_curve.2359132437744.888.3.0:39191</v>
      </c>
      <c r="E889" s="6" t="str">
        <f>_xll.QS.INSTRUMENT.SWAP("swap.887",H889,B889,"USD","SOFR",I889,J889,0,"Actual360","Simple","Annual","Annual","Annual")</f>
        <v>QSObject:Swap:w1~swap.887:16285</v>
      </c>
      <c r="F889" s="6" t="str">
        <f>_xll.QS.TRADE.CREATE("trade.887",E889,A889,"Receive")</f>
        <v>QSObject:SwapTrade:w1~trade.887:29669</v>
      </c>
      <c r="G889" s="3">
        <f>_xll.QS.EVALUATE(C889,F889)</f>
        <v>33502.146721163626</v>
      </c>
      <c r="H889" s="5" t="s">
        <v>1818</v>
      </c>
      <c r="I889" s="7">
        <v>1088700</v>
      </c>
      <c r="J889" s="8">
        <v>3.8700000000000012E-2</v>
      </c>
    </row>
    <row r="890" spans="1:10" x14ac:dyDescent="0.25">
      <c r="A890" s="5" t="s">
        <v>1806</v>
      </c>
      <c r="B890" s="5" t="s">
        <v>1819</v>
      </c>
      <c r="C890" s="6" t="str">
        <f>_xll.QS.CONTEXT.CREATE("market.888",A890,"USD","SOFR")</f>
        <v>QSObject:PricingContext:w1~market.888:18275</v>
      </c>
      <c r="D890" s="6" t="str">
        <f>_xll.QS.CONTEXT.ADD.CURVE(C890,"SOFR",$K$2:$K$7,$L$2:$L$7,,,"Actual360","LogLinear",TRUE)</f>
        <v>QSObject:ContextInput:w1~input.qs_context_add_curve.2359132437744.889.3.0:39190</v>
      </c>
      <c r="E890" s="6" t="str">
        <f>_xll.QS.INSTRUMENT.SWAP("swap.888",H890,B890,"USD","SOFR",I890,J890,0,"Actual360","Simple","Annual","Annual","Annual")</f>
        <v>QSObject:Swap:w1~swap.888:8188</v>
      </c>
      <c r="F890" s="6" t="str">
        <f>_xll.QS.TRADE.CREATE("trade.888",E890,A890,"Receive")</f>
        <v>QSObject:SwapTrade:w1~trade.888:14605</v>
      </c>
      <c r="G890" s="3">
        <f>_xll.QS.EVALUATE(C890,F890)</f>
        <v>33935.893897293936</v>
      </c>
      <c r="H890" s="5" t="s">
        <v>1820</v>
      </c>
      <c r="I890" s="7">
        <v>1088800</v>
      </c>
      <c r="J890" s="8">
        <v>3.8800000000000001E-2</v>
      </c>
    </row>
    <row r="891" spans="1:10" x14ac:dyDescent="0.25">
      <c r="A891" s="5" t="s">
        <v>1808</v>
      </c>
      <c r="B891" s="5" t="s">
        <v>1821</v>
      </c>
      <c r="C891" s="6" t="str">
        <f>_xll.QS.CONTEXT.CREATE("market.889",A891,"USD","SOFR")</f>
        <v>QSObject:PricingContext:w1~market.889:17308</v>
      </c>
      <c r="D891" s="6" t="str">
        <f>_xll.QS.CONTEXT.ADD.CURVE(C891,"SOFR",$K$2:$K$7,$L$2:$L$7,,,"Actual360","LogLinear",TRUE)</f>
        <v>QSObject:ContextInput:w1~input.qs_context_add_curve.2359132437744.890.3.0:39189</v>
      </c>
      <c r="E891" s="6" t="str">
        <f>_xll.QS.INSTRUMENT.SWAP("swap.889",H891,B891,"USD","SOFR",I891,J891,0,"Actual360","Simple","Annual","Annual","Annual")</f>
        <v>QSObject:Swap:w1~swap.889:12965</v>
      </c>
      <c r="F891" s="6" t="str">
        <f>_xll.QS.TRADE.CREATE("trade.889",E891,A891,"Receive")</f>
        <v>QSObject:SwapTrade:w1~trade.889:31148</v>
      </c>
      <c r="G891" s="3">
        <f>_xll.QS.EVALUATE(C891,F891)</f>
        <v>34487.890714904737</v>
      </c>
      <c r="H891" s="5" t="s">
        <v>1822</v>
      </c>
      <c r="I891" s="7">
        <v>1088900</v>
      </c>
      <c r="J891" s="8">
        <v>3.8899999999999997E-2</v>
      </c>
    </row>
    <row r="892" spans="1:10" x14ac:dyDescent="0.25">
      <c r="A892" s="5" t="s">
        <v>1810</v>
      </c>
      <c r="B892" s="5" t="s">
        <v>1823</v>
      </c>
      <c r="C892" s="6" t="str">
        <f>_xll.QS.CONTEXT.CREATE("market.890",A892,"USD","SOFR")</f>
        <v>QSObject:PricingContext:w1~market.890:6593</v>
      </c>
      <c r="D892" s="6" t="str">
        <f>_xll.QS.CONTEXT.ADD.CURVE(C892,"SOFR",$K$2:$K$7,$L$2:$L$7,,,"Actual360","LogLinear",TRUE)</f>
        <v>QSObject:ContextInput:w1~input.qs_context_add_curve.2359132437744.891.3.0:19960</v>
      </c>
      <c r="E892" s="6" t="str">
        <f>_xll.QS.INSTRUMENT.SWAP("swap.890",H892,B892,"USD","SOFR",I892,J892,0,"Actual360","Simple","Annual","Annual","Annual")</f>
        <v>QSObject:Swap:w1~swap.890:16284</v>
      </c>
      <c r="F892" s="6" t="str">
        <f>_xll.QS.TRADE.CREATE("trade.890",E892,A892,"Receive")</f>
        <v>QSObject:SwapTrade:w1~trade.890:31147</v>
      </c>
      <c r="G892" s="3">
        <f>_xll.QS.EVALUATE(C892,F892)</f>
        <v>35018.096033797388</v>
      </c>
      <c r="H892" s="5" t="s">
        <v>1824</v>
      </c>
      <c r="I892" s="7">
        <v>1089000</v>
      </c>
      <c r="J892" s="8">
        <v>3.9000000000000007E-2</v>
      </c>
    </row>
    <row r="893" spans="1:10" x14ac:dyDescent="0.25">
      <c r="A893" s="5" t="s">
        <v>1812</v>
      </c>
      <c r="B893" s="5" t="s">
        <v>1825</v>
      </c>
      <c r="C893" s="6" t="str">
        <f>_xll.QS.CONTEXT.CREATE("market.891",A893,"USD","SOFR")</f>
        <v>QSObject:PricingContext:w1~market.891:9789</v>
      </c>
      <c r="D893" s="6" t="str">
        <f>_xll.QS.CONTEXT.ADD.CURVE(C893,"SOFR",$K$2:$K$7,$L$2:$L$7,,,"Actual360","LogLinear",TRUE)</f>
        <v>QSObject:ContextInput:w1~input.qs_context_add_curve.2359132437744.892.3.0:39188</v>
      </c>
      <c r="E893" s="6" t="str">
        <f>_xll.QS.INSTRUMENT.SWAP("swap.891",H893,B893,"USD","SOFR",I893,J893,0,"Actual360","Simple","Annual","Annual","Annual")</f>
        <v>QSObject:Swap:w1~swap.891:18274</v>
      </c>
      <c r="F893" s="6" t="str">
        <f>_xll.QS.TRADE.CREATE("trade.891",E893,A893,"Receive")</f>
        <v>QSObject:SwapTrade:w1~trade.891:29668</v>
      </c>
      <c r="G893" s="3">
        <f>_xll.QS.EVALUATE(C893,F893)</f>
        <v>35603.211032829735</v>
      </c>
      <c r="H893" s="5" t="s">
        <v>1826</v>
      </c>
      <c r="I893" s="7">
        <v>1089100</v>
      </c>
      <c r="J893" s="8">
        <v>3.9100000000000003E-2</v>
      </c>
    </row>
    <row r="894" spans="1:10" x14ac:dyDescent="0.25">
      <c r="A894" s="5" t="s">
        <v>1814</v>
      </c>
      <c r="B894" s="5" t="s">
        <v>1827</v>
      </c>
      <c r="C894" s="6" t="str">
        <f>_xll.QS.CONTEXT.CREATE("market.892",A894,"USD","SOFR")</f>
        <v>QSObject:PricingContext:w1~market.892:3422</v>
      </c>
      <c r="D894" s="6" t="str">
        <f>_xll.QS.CONTEXT.ADD.CURVE(C894,"SOFR",$K$2:$K$7,$L$2:$L$7,,,"Actual360","LogLinear",TRUE)</f>
        <v>QSObject:ContextInput:w1~input.qs_context_add_curve.2359132437744.893.3.0:39187</v>
      </c>
      <c r="E894" s="6" t="str">
        <f>_xll.QS.INSTRUMENT.SWAP("swap.892",H894,B894,"USD","SOFR",I894,J894,0,"Actual360","Simple","Annual","Annual","Annual")</f>
        <v>QSObject:Swap:w1~swap.892:17307</v>
      </c>
      <c r="F894" s="6" t="str">
        <f>_xll.QS.TRADE.CREATE("trade.892",E894,A894,"Receive")</f>
        <v>QSObject:SwapTrade:w1~trade.892:25037</v>
      </c>
      <c r="G894" s="3">
        <f>_xll.QS.EVALUATE(C894,F894)</f>
        <v>36156.440890755897</v>
      </c>
      <c r="H894" s="5" t="s">
        <v>1828</v>
      </c>
      <c r="I894" s="7">
        <v>1089200</v>
      </c>
      <c r="J894" s="8">
        <v>3.9200000000000013E-2</v>
      </c>
    </row>
    <row r="895" spans="1:10" x14ac:dyDescent="0.25">
      <c r="A895" s="5" t="s">
        <v>1816</v>
      </c>
      <c r="B895" s="5" t="s">
        <v>1829</v>
      </c>
      <c r="C895" s="6" t="str">
        <f>_xll.QS.CONTEXT.CREATE("market.893",A895,"USD","SOFR")</f>
        <v>QSObject:PricingContext:w1~market.893:6592</v>
      </c>
      <c r="D895" s="6" t="str">
        <f>_xll.QS.CONTEXT.ADD.CURVE(C895,"SOFR",$K$2:$K$7,$L$2:$L$7,,,"Actual360","LogLinear",TRUE)</f>
        <v>QSObject:ContextInput:w1~input.qs_context_add_curve.2359132437744.894.3.0:14604</v>
      </c>
      <c r="E895" s="6" t="str">
        <f>_xll.QS.INSTRUMENT.SWAP("swap.893",H895,B895,"USD","SOFR",I895,J895,0,"Actual360","Simple","Annual","Annual","Annual")</f>
        <v>QSObject:Swap:w1~swap.893:19959</v>
      </c>
      <c r="F895" s="6" t="str">
        <f>_xll.QS.TRADE.CREATE("trade.893",E895,A895,"Receive")</f>
        <v>QSObject:SwapTrade:w1~trade.893:24222</v>
      </c>
      <c r="G895" s="3">
        <f>_xll.QS.EVALUATE(C895,F895)</f>
        <v>36620.006194023445</v>
      </c>
      <c r="H895" s="5" t="s">
        <v>1830</v>
      </c>
      <c r="I895" s="7">
        <v>1089300</v>
      </c>
      <c r="J895" s="8">
        <v>3.9300000000000002E-2</v>
      </c>
    </row>
    <row r="896" spans="1:10" x14ac:dyDescent="0.25">
      <c r="A896" s="5" t="s">
        <v>1818</v>
      </c>
      <c r="B896" s="5" t="s">
        <v>1831</v>
      </c>
      <c r="C896" s="6" t="str">
        <f>_xll.QS.CONTEXT.CREATE("market.894",A896,"USD","SOFR")</f>
        <v>QSObject:PricingContext:w1~market.894:8187</v>
      </c>
      <c r="D896" s="6" t="str">
        <f>_xll.QS.CONTEXT.ADD.CURVE(C896,"SOFR",$K$2:$K$7,$L$2:$L$7,,,"Actual360","LogLinear",TRUE)</f>
        <v>QSObject:ContextInput:w1~input.qs_context_add_curve.2359132437744.895.3.0:9788</v>
      </c>
      <c r="E896" s="6" t="str">
        <f>_xll.QS.INSTRUMENT.SWAP("swap.894",H896,B896,"USD","SOFR",I896,J896,0,"Actual360","Simple","Annual","Annual","Annual")</f>
        <v>QSObject:Swap:w1~swap.894:11443</v>
      </c>
      <c r="F896" s="6" t="str">
        <f>_xll.QS.TRADE.CREATE("trade.894",E896,A896,"Receive")</f>
        <v>QSObject:SwapTrade:w1~trade.894:27012</v>
      </c>
      <c r="G896" s="3">
        <f>_xll.QS.EVALUATE(C896,F896)</f>
        <v>37036.101763813029</v>
      </c>
      <c r="H896" s="5" t="s">
        <v>1832</v>
      </c>
      <c r="I896" s="7">
        <v>1089400</v>
      </c>
      <c r="J896" s="8">
        <v>3.9399999999999998E-2</v>
      </c>
    </row>
    <row r="897" spans="1:10" x14ac:dyDescent="0.25">
      <c r="A897" s="5" t="s">
        <v>1820</v>
      </c>
      <c r="B897" s="5" t="s">
        <v>1833</v>
      </c>
      <c r="C897" s="6" t="str">
        <f>_xll.QS.CONTEXT.CREATE("market.895",A897,"USD","SOFR")</f>
        <v>QSObject:PricingContext:w1~market.895:17306</v>
      </c>
      <c r="D897" s="6" t="str">
        <f>_xll.QS.CONTEXT.ADD.CURVE(C897,"SOFR",$K$2:$K$7,$L$2:$L$7,,,"Actual360","LogLinear",TRUE)</f>
        <v>QSObject:ContextInput:w1~input.qs_context_add_curve.2359132437744.896.3.0:26535</v>
      </c>
      <c r="E897" s="6" t="str">
        <f>_xll.QS.INSTRUMENT.SWAP("swap.895",H897,B897,"USD","SOFR",I897,J897,0,"Actual360","Simple","Annual","Annual","Annual")</f>
        <v>QSObject:Swap:w1~swap.895:18273</v>
      </c>
      <c r="F897" s="6" t="str">
        <f>_xll.QS.TRADE.CREATE("trade.895",E897,A897,"Receive")</f>
        <v>QSObject:SwapTrade:w1~trade.895:23484</v>
      </c>
      <c r="G897" s="3">
        <f>_xll.QS.EVALUATE(C897,F897)</f>
        <v>37475.900555078428</v>
      </c>
      <c r="H897" s="5" t="s">
        <v>1834</v>
      </c>
      <c r="I897" s="7">
        <v>1089500</v>
      </c>
      <c r="J897" s="8">
        <v>3.9500000000000007E-2</v>
      </c>
    </row>
    <row r="898" spans="1:10" x14ac:dyDescent="0.25">
      <c r="A898" s="5" t="s">
        <v>1822</v>
      </c>
      <c r="B898" s="5" t="s">
        <v>1835</v>
      </c>
      <c r="C898" s="6" t="str">
        <f>_xll.QS.CONTEXT.CREATE("market.896",A898,"USD","SOFR")</f>
        <v>QSObject:PricingContext:w1~market.896:6591</v>
      </c>
      <c r="D898" s="6" t="str">
        <f>_xll.QS.CONTEXT.ADD.CURVE(C898,"SOFR",$K$2:$K$7,$L$2:$L$7,,,"Actual360","LogLinear",TRUE)</f>
        <v>QSObject:ContextInput:w1~input.qs_context_add_curve.2359132437744.897.3.0:14603</v>
      </c>
      <c r="E898" s="6" t="str">
        <f>_xll.QS.INSTRUMENT.SWAP("swap.896",H898,B898,"USD","SOFR",I898,J898,0,"Actual360","Simple","Annual","Annual","Annual")</f>
        <v>QSObject:Swap:w1~swap.896:12964</v>
      </c>
      <c r="F898" s="6" t="str">
        <f>_xll.QS.TRADE.CREATE("trade.896",E898,A898,"Receive")</f>
        <v>QSObject:SwapTrade:w1~trade.896:19958</v>
      </c>
      <c r="G898" s="3">
        <f>_xll.QS.EVALUATE(C898,F898)</f>
        <v>38028.913849538003</v>
      </c>
      <c r="H898" s="5" t="s">
        <v>1836</v>
      </c>
      <c r="I898" s="7">
        <v>1089600</v>
      </c>
      <c r="J898" s="8">
        <v>3.9600000000000003E-2</v>
      </c>
    </row>
    <row r="899" spans="1:10" x14ac:dyDescent="0.25">
      <c r="A899" s="5" t="s">
        <v>1824</v>
      </c>
      <c r="B899" s="5" t="s">
        <v>1837</v>
      </c>
      <c r="C899" s="6" t="str">
        <f>_xll.QS.CONTEXT.CREATE("market.897",A899,"USD","SOFR")</f>
        <v>QSObject:PricingContext:w1~market.897:11442</v>
      </c>
      <c r="D899" s="6" t="str">
        <f>_xll.QS.CONTEXT.ADD.CURVE(C899,"SOFR",$K$2:$K$7,$L$2:$L$7,,,"Actual360","LogLinear",TRUE)</f>
        <v>QSObject:ContextInput:w1~input.qs_context_add_curve.2359132437744.898.3.0:16283</v>
      </c>
      <c r="E899" s="6" t="str">
        <f>_xll.QS.INSTRUMENT.SWAP("swap.897",H899,B899,"USD","SOFR",I899,J899,0,"Actual360","Simple","Annual","Annual","Annual")</f>
        <v>QSObject:Swap:w1~swap.897:8186</v>
      </c>
      <c r="F899" s="6" t="str">
        <f>_xll.QS.TRADE.CREATE("trade.897",E899,A899,"Receive")</f>
        <v>QSObject:SwapTrade:w1~trade.897:9787</v>
      </c>
      <c r="G899" s="3">
        <f>_xll.QS.EVALUATE(C899,F899)</f>
        <v>38558.074525036209</v>
      </c>
      <c r="H899" s="5" t="s">
        <v>1838</v>
      </c>
      <c r="I899" s="7">
        <v>1089700</v>
      </c>
      <c r="J899" s="8">
        <v>3.9700000000000013E-2</v>
      </c>
    </row>
    <row r="900" spans="1:10" x14ac:dyDescent="0.25">
      <c r="A900" s="5" t="s">
        <v>1826</v>
      </c>
      <c r="B900" s="5" t="s">
        <v>1839</v>
      </c>
      <c r="C900" s="6" t="str">
        <f>_xll.QS.CONTEXT.CREATE("market.898",A900,"USD","SOFR")</f>
        <v>QSObject:PricingContext:w1~market.898:4983</v>
      </c>
      <c r="D900" s="6" t="str">
        <f>_xll.QS.CONTEXT.ADD.CURVE(C900,"SOFR",$K$2:$K$7,$L$2:$L$7,,,"Actual360","LogLinear",TRUE)</f>
        <v>QSObject:ContextInput:w1~input.qs_context_add_curve.2359132437744.899.3.0:17305</v>
      </c>
      <c r="E900" s="6" t="str">
        <f>_xll.QS.INSTRUMENT.SWAP("swap.898",H900,B900,"USD","SOFR",I900,J900,0,"Actual360","Simple","Annual","Annual","Annual")</f>
        <v>QSObject:Swap:w1~swap.898:3421</v>
      </c>
      <c r="F900" s="6" t="str">
        <f>_xll.QS.TRADE.CREATE("trade.898",E900,A900,"Receive")</f>
        <v>QSObject:SwapTrade:w1~trade.898:18272</v>
      </c>
      <c r="G900" s="3">
        <f>_xll.QS.EVALUATE(C900,F900)</f>
        <v>39143.938519406598</v>
      </c>
      <c r="H900" s="5" t="s">
        <v>1840</v>
      </c>
      <c r="I900" s="7">
        <v>1089800</v>
      </c>
      <c r="J900" s="8">
        <v>3.9800000000000002E-2</v>
      </c>
    </row>
    <row r="901" spans="1:10" x14ac:dyDescent="0.25">
      <c r="A901" s="5" t="s">
        <v>1828</v>
      </c>
      <c r="B901" s="5" t="s">
        <v>1841</v>
      </c>
      <c r="C901" s="6" t="str">
        <f>_xll.QS.CONTEXT.CREATE("market.899",A901,"USD","SOFR")</f>
        <v>QSObject:PricingContext:w1~market.899:14602</v>
      </c>
      <c r="D901" s="6" t="str">
        <f>_xll.QS.CONTEXT.ADD.CURVE(C901,"SOFR",$K$2:$K$7,$L$2:$L$7,,,"Actual360","LogLinear",TRUE)</f>
        <v>QSObject:ContextInput:w1~input.qs_context_add_curve.2359132437744.900.3.0:39186</v>
      </c>
      <c r="E901" s="6" t="str">
        <f>_xll.QS.INSTRUMENT.SWAP("swap.899",H901,B901,"USD","SOFR",I901,J901,0,"Actual360","Simple","Annual","Annual","Annual")</f>
        <v>QSObject:Swap:w1~swap.899:1883</v>
      </c>
      <c r="F901" s="6" t="str">
        <f>_xll.QS.TRADE.CREATE("trade.899",E901,A901,"Receive")</f>
        <v>QSObject:SwapTrade:w1~trade.899:12963</v>
      </c>
      <c r="G901" s="3">
        <f>_xll.QS.EVALUATE(C901,F901)</f>
        <v>39697.885014626678</v>
      </c>
      <c r="H901" s="5" t="s">
        <v>1842</v>
      </c>
      <c r="I901" s="7">
        <v>1089900</v>
      </c>
      <c r="J901" s="8">
        <v>3.9899999999999998E-2</v>
      </c>
    </row>
    <row r="902" spans="1:10" x14ac:dyDescent="0.25">
      <c r="A902" s="5" t="s">
        <v>1830</v>
      </c>
      <c r="B902" s="5" t="s">
        <v>1843</v>
      </c>
      <c r="C902" s="6" t="str">
        <f>_xll.QS.CONTEXT.CREATE("market.900",A902,"USD","SOFR")</f>
        <v>QSObject:PricingContext:w1~market.900:16282</v>
      </c>
      <c r="D902" s="6" t="str">
        <f>_xll.QS.CONTEXT.ADD.CURVE(C902,"SOFR",$K$2:$K$7,$L$2:$L$7,,,"Actual360","LogLinear",TRUE)</f>
        <v>QSObject:ContextInput:w1~input.qs_context_add_curve.2359132437744.901.3.0:22978</v>
      </c>
      <c r="E902" s="6" t="str">
        <f>_xll.QS.INSTRUMENT.SWAP("swap.900",H902,B902,"USD","SOFR",I902,J902,0,"Actual360","Simple","Annual","Annual","Annual")</f>
        <v>QSObject:Swap:w1~swap.900:19957</v>
      </c>
      <c r="F902" s="6" t="str">
        <f>_xll.QS.TRADE.CREATE("trade.900",E902,A902,"Receive")</f>
        <v>QSObject:SwapTrade:w1~trade.900:22977</v>
      </c>
      <c r="G902" s="3">
        <f>_xll.QS.EVALUATE(C902,F902)</f>
        <v>15029.944317585821</v>
      </c>
      <c r="H902" s="5" t="s">
        <v>1844</v>
      </c>
      <c r="I902" s="7">
        <v>1090000</v>
      </c>
      <c r="J902" s="8">
        <v>3.5000000000000003E-2</v>
      </c>
    </row>
    <row r="903" spans="1:10" x14ac:dyDescent="0.25">
      <c r="A903" s="5" t="s">
        <v>1832</v>
      </c>
      <c r="B903" s="5" t="s">
        <v>1845</v>
      </c>
      <c r="C903" s="6" t="str">
        <f>_xll.QS.CONTEXT.CREATE("market.901",A903,"USD","SOFR")</f>
        <v>QSObject:PricingContext:w1~market.901:3420</v>
      </c>
      <c r="D903" s="6" t="str">
        <f>_xll.QS.CONTEXT.ADD.CURVE(C903,"SOFR",$K$2:$K$7,$L$2:$L$7,,,"Actual360","LogLinear",TRUE)</f>
        <v>QSObject:ContextInput:w1~input.qs_context_add_curve.2359132437744.902.3.0:17304</v>
      </c>
      <c r="E903" s="6" t="str">
        <f>_xll.QS.INSTRUMENT.SWAP("swap.901",H903,B903,"USD","SOFR",I903,J903,0,"Actual360","Simple","Annual","Annual","Annual")</f>
        <v>QSObject:Swap:w1~swap.901:8185</v>
      </c>
      <c r="F903" s="6" t="str">
        <f>_xll.QS.TRADE.CREATE("trade.901",E903,A903,"Receive")</f>
        <v>QSObject:SwapTrade:w1~trade.901:31146</v>
      </c>
      <c r="G903" s="3">
        <f>_xll.QS.EVALUATE(C903,F903)</f>
        <v>15469.776842795982</v>
      </c>
      <c r="H903" s="5" t="s">
        <v>1846</v>
      </c>
      <c r="I903" s="7">
        <v>1090100</v>
      </c>
      <c r="J903" s="8">
        <v>3.5100000000000013E-2</v>
      </c>
    </row>
    <row r="904" spans="1:10" x14ac:dyDescent="0.25">
      <c r="A904" s="5" t="s">
        <v>1834</v>
      </c>
      <c r="B904" s="5" t="s">
        <v>1847</v>
      </c>
      <c r="C904" s="6" t="str">
        <f>_xll.QS.CONTEXT.CREATE("market.902",A904,"USD","SOFR")</f>
        <v>QSObject:PricingContext:w1~market.902:12962</v>
      </c>
      <c r="D904" s="6" t="str">
        <f>_xll.QS.CONTEXT.ADD.CURVE(C904,"SOFR",$K$2:$K$7,$L$2:$L$7,,,"Actual360","LogLinear",TRUE)</f>
        <v>QSObject:ContextInput:w1~input.qs_context_add_curve.2359132437744.903.3.0:18271</v>
      </c>
      <c r="E904" s="6" t="str">
        <f>_xll.QS.INSTRUMENT.SWAP("swap.902",H904,B904,"USD","SOFR",I904,J904,0,"Actual360","Simple","Annual","Annual","Annual")</f>
        <v>QSObject:Swap:w1~swap.902:6590</v>
      </c>
      <c r="F904" s="6" t="str">
        <f>_xll.QS.TRADE.CREATE("trade.902",E904,A904,"Receive")</f>
        <v>QSObject:SwapTrade:w1~trade.902:14601</v>
      </c>
      <c r="G904" s="3">
        <f>_xll.QS.EVALUATE(C904,F904)</f>
        <v>15874.361138271284</v>
      </c>
      <c r="H904" s="5" t="s">
        <v>1848</v>
      </c>
      <c r="I904" s="7">
        <v>1090200</v>
      </c>
      <c r="J904" s="8">
        <v>3.5200000000000002E-2</v>
      </c>
    </row>
    <row r="905" spans="1:10" x14ac:dyDescent="0.25">
      <c r="A905" s="5" t="s">
        <v>1836</v>
      </c>
      <c r="B905" s="5" t="s">
        <v>1849</v>
      </c>
      <c r="C905" s="6" t="str">
        <f>_xll.QS.CONTEXT.CREATE("market.903",A905,"USD","SOFR")</f>
        <v>QSObject:PricingContext:w1~market.903:19956</v>
      </c>
      <c r="D905" s="6" t="str">
        <f>_xll.QS.CONTEXT.ADD.CURVE(C905,"SOFR",$K$2:$K$7,$L$2:$L$7,,,"Actual360","LogLinear",TRUE)</f>
        <v>QSObject:ContextInput:w1~input.qs_context_add_curve.2359132437744.904.3.0:39185</v>
      </c>
      <c r="E905" s="6" t="str">
        <f>_xll.QS.INSTRUMENT.SWAP("swap.903",H905,B905,"USD","SOFR",I905,J905,0,"Actual360","Simple","Annual","Annual","Annual")</f>
        <v>QSObject:Swap:w1~swap.903:16281</v>
      </c>
      <c r="F905" s="6" t="str">
        <f>_xll.QS.TRADE.CREATE("trade.903",E905,A905,"Receive")</f>
        <v>QSObject:SwapTrade:w1~trade.903:31145</v>
      </c>
      <c r="G905" s="3">
        <f>_xll.QS.EVALUATE(C905,F905)</f>
        <v>16423.77130907034</v>
      </c>
      <c r="H905" s="5" t="s">
        <v>1850</v>
      </c>
      <c r="I905" s="7">
        <v>1090300</v>
      </c>
      <c r="J905" s="8">
        <v>3.5299999999999998E-2</v>
      </c>
    </row>
    <row r="906" spans="1:10" x14ac:dyDescent="0.25">
      <c r="A906" s="5" t="s">
        <v>1838</v>
      </c>
      <c r="B906" s="5" t="s">
        <v>1851</v>
      </c>
      <c r="C906" s="6" t="str">
        <f>_xll.QS.CONTEXT.CREATE("market.904",A906,"USD","SOFR")</f>
        <v>QSObject:PricingContext:w1~market.904:4982</v>
      </c>
      <c r="D906" s="6" t="str">
        <f>_xll.QS.CONTEXT.ADD.CURVE(C906,"SOFR",$K$2:$K$7,$L$2:$L$7,,,"Actual360","LogLinear",TRUE)</f>
        <v>QSObject:ContextInput:w1~input.qs_context_add_curve.2359132437744.905.3.0:17303</v>
      </c>
      <c r="E906" s="6" t="str">
        <f>_xll.QS.INSTRUMENT.SWAP("swap.904",H906,B906,"USD","SOFR",I906,J906,0,"Actual360","Simple","Annual","Annual","Annual")</f>
        <v>QSObject:Swap:w1~swap.904:9786</v>
      </c>
      <c r="F906" s="6" t="str">
        <f>_xll.QS.TRADE.CREATE("trade.904",E906,A906,"Receive")</f>
        <v>QSObject:SwapTrade:w1~trade.904:25736</v>
      </c>
      <c r="G906" s="3">
        <f>_xll.QS.EVALUATE(C906,F906)</f>
        <v>16961.761615429688</v>
      </c>
      <c r="H906" s="5" t="s">
        <v>1852</v>
      </c>
      <c r="I906" s="7">
        <v>1090400</v>
      </c>
      <c r="J906" s="8">
        <v>3.5400000000000001E-2</v>
      </c>
    </row>
    <row r="907" spans="1:10" x14ac:dyDescent="0.25">
      <c r="A907" s="5" t="s">
        <v>1840</v>
      </c>
      <c r="B907" s="5" t="s">
        <v>1853</v>
      </c>
      <c r="C907" s="6" t="str">
        <f>_xll.QS.CONTEXT.CREATE("market.905",A907,"USD","SOFR")</f>
        <v>QSObject:PricingContext:w1~market.905:6589</v>
      </c>
      <c r="D907" s="6" t="str">
        <f>_xll.QS.CONTEXT.ADD.CURVE(C907,"SOFR",$K$2:$K$7,$L$2:$L$7,,,"Actual360","LogLinear",TRUE)</f>
        <v>QSObject:ContextInput:w1~input.qs_context_add_curve.2359132437744.906.3.0:12961</v>
      </c>
      <c r="E907" s="6" t="str">
        <f>_xll.QS.INSTRUMENT.SWAP("swap.905",H907,B907,"USD","SOFR",I907,J907,0,"Actual360","Simple","Annual","Annual","Annual")</f>
        <v>QSObject:Swap:w1~swap.905:3419</v>
      </c>
      <c r="F907" s="6" t="str">
        <f>_xll.QS.TRADE.CREATE("trade.905",E907,A907,"Receive")</f>
        <v>QSObject:SwapTrade:w1~trade.905:18270</v>
      </c>
      <c r="G907" s="3">
        <f>_xll.QS.EVALUATE(C907,F907)</f>
        <v>17545.587130055494</v>
      </c>
      <c r="H907" s="5" t="s">
        <v>1854</v>
      </c>
      <c r="I907" s="7">
        <v>1090500</v>
      </c>
      <c r="J907" s="8">
        <v>3.5499999999999997E-2</v>
      </c>
    </row>
    <row r="908" spans="1:10" x14ac:dyDescent="0.25">
      <c r="A908" s="5" t="s">
        <v>1842</v>
      </c>
      <c r="B908" s="5" t="s">
        <v>1855</v>
      </c>
      <c r="C908" s="6" t="str">
        <f>_xll.QS.CONTEXT.CREATE("market.906",A908,"USD","SOFR")</f>
        <v>QSObject:PricingContext:w1~market.906:1882</v>
      </c>
      <c r="D908" s="6" t="str">
        <f>_xll.QS.CONTEXT.ADD.CURVE(C908,"SOFR",$K$2:$K$7,$L$2:$L$7,,,"Actual360","LogLinear",TRUE)</f>
        <v>QSObject:ContextInput:w1~input.qs_context_add_curve.2359132437744.907.3.0:19955</v>
      </c>
      <c r="E908" s="6" t="str">
        <f>_xll.QS.INSTRUMENT.SWAP("swap.906",H908,B908,"USD","SOFR",I908,J908,0,"Actual360","Simple","Annual","Annual","Annual")</f>
        <v>QSObject:Swap:w1~swap.906:14600</v>
      </c>
      <c r="F908" s="6" t="str">
        <f>_xll.QS.TRADE.CREATE("trade.906",E908,A908,"Receive")</f>
        <v>QSObject:SwapTrade:w1~trade.906:16280</v>
      </c>
      <c r="G908" s="3">
        <f>_xll.QS.EVALUATE(C908,F908)</f>
        <v>18097.417398390153</v>
      </c>
      <c r="H908" s="5" t="s">
        <v>1856</v>
      </c>
      <c r="I908" s="7">
        <v>1090600</v>
      </c>
      <c r="J908" s="8">
        <v>3.5600000000000007E-2</v>
      </c>
    </row>
    <row r="909" spans="1:10" x14ac:dyDescent="0.25">
      <c r="A909" s="5" t="s">
        <v>1844</v>
      </c>
      <c r="B909" s="5" t="s">
        <v>1857</v>
      </c>
      <c r="C909" s="6" t="str">
        <f>_xll.QS.CONTEXT.CREATE("market.907",A909,"USD","SOFR")</f>
        <v>QSObject:PricingContext:w1~market.907:17302</v>
      </c>
      <c r="D909" s="6" t="str">
        <f>_xll.QS.CONTEXT.ADD.CURVE(C909,"SOFR",$K$2:$K$7,$L$2:$L$7,,,"Actual360","LogLinear",TRUE)</f>
        <v>QSObject:ContextInput:w1~input.qs_context_add_curve.2359132437744.908.3.0:39184</v>
      </c>
      <c r="E909" s="6" t="str">
        <f>_xll.QS.INSTRUMENT.SWAP("swap.907",H909,B909,"USD","SOFR",I909,J909,0,"Actual360","Simple","Annual","Annual","Annual")</f>
        <v>QSObject:Swap:w1~swap.907:11441</v>
      </c>
      <c r="F909" s="6" t="str">
        <f>_xll.QS.TRADE.CREATE("trade.907",E909,A909,"Receive")</f>
        <v>QSObject:SwapTrade:w1~trade.907:22976</v>
      </c>
      <c r="G909" s="3">
        <f>_xll.QS.EVALUATE(C909,F909)</f>
        <v>18522.734732598281</v>
      </c>
      <c r="H909" s="5" t="s">
        <v>1858</v>
      </c>
      <c r="I909" s="7">
        <v>1090700</v>
      </c>
      <c r="J909" s="8">
        <v>3.5700000000000003E-2</v>
      </c>
    </row>
    <row r="910" spans="1:10" x14ac:dyDescent="0.25">
      <c r="A910" s="5" t="s">
        <v>1846</v>
      </c>
      <c r="B910" s="5" t="s">
        <v>1859</v>
      </c>
      <c r="C910" s="6" t="str">
        <f>_xll.QS.CONTEXT.CREATE("market.908",A910,"USD","SOFR")</f>
        <v>QSObject:PricingContext:w1~market.908:12960</v>
      </c>
      <c r="D910" s="6" t="str">
        <f>_xll.QS.CONTEXT.ADD.CURVE(C910,"SOFR",$K$2:$K$7,$L$2:$L$7,,,"Actual360","LogLinear",TRUE)</f>
        <v>QSObject:ContextInput:w1~input.qs_context_add_curve.2359132437744.909.3.0:30409</v>
      </c>
      <c r="E910" s="6" t="str">
        <f>_xll.QS.INSTRUMENT.SWAP("swap.908",H910,B910,"USD","SOFR",I910,J910,0,"Actual360","Simple","Annual","Annual","Annual")</f>
        <v>QSObject:Swap:w1~swap.908:8184</v>
      </c>
      <c r="F910" s="6" t="str">
        <f>_xll.QS.TRADE.CREATE("trade.908",E910,A910,"Receive")</f>
        <v>QSObject:SwapTrade:w1~trade.908:18269</v>
      </c>
      <c r="G910" s="3">
        <f>_xll.QS.EVALUATE(C910,F910)</f>
        <v>18900.101072540772</v>
      </c>
      <c r="H910" s="5" t="s">
        <v>1860</v>
      </c>
      <c r="I910" s="7">
        <v>1090800</v>
      </c>
      <c r="J910" s="8">
        <v>3.5800000000000012E-2</v>
      </c>
    </row>
    <row r="911" spans="1:10" x14ac:dyDescent="0.25">
      <c r="A911" s="5" t="s">
        <v>1848</v>
      </c>
      <c r="B911" s="5" t="s">
        <v>1861</v>
      </c>
      <c r="C911" s="6" t="str">
        <f>_xll.QS.CONTEXT.CREATE("market.909",A911,"USD","SOFR")</f>
        <v>QSObject:PricingContext:w1~market.909:1881</v>
      </c>
      <c r="D911" s="6" t="str">
        <f>_xll.QS.CONTEXT.ADD.CURVE(C911,"SOFR",$K$2:$K$7,$L$2:$L$7,,,"Actual360","LogLinear",TRUE)</f>
        <v>QSObject:ContextInput:w1~input.qs_context_add_curve.2359132437744.910.3.0:14599</v>
      </c>
      <c r="E911" s="6" t="str">
        <f>_xll.QS.INSTRUMENT.SWAP("swap.909",H911,B911,"USD","SOFR",I911,J911,0,"Actual360","Simple","Annual","Annual","Annual")</f>
        <v>QSObject:Swap:w1~swap.909:19954</v>
      </c>
      <c r="F911" s="6" t="str">
        <f>_xll.QS.TRADE.CREATE("trade.909",E911,A911,"Receive")</f>
        <v>QSObject:SwapTrade:w1~trade.909:26534</v>
      </c>
      <c r="G911" s="3">
        <f>_xll.QS.EVALUATE(C911,F911)</f>
        <v>19406.679889987583</v>
      </c>
      <c r="H911" s="5" t="s">
        <v>1862</v>
      </c>
      <c r="I911" s="7">
        <v>1090900</v>
      </c>
      <c r="J911" s="8">
        <v>3.5900000000000001E-2</v>
      </c>
    </row>
    <row r="912" spans="1:10" x14ac:dyDescent="0.25">
      <c r="A912" s="5" t="s">
        <v>1850</v>
      </c>
      <c r="B912" s="5" t="s">
        <v>1863</v>
      </c>
      <c r="C912" s="6" t="str">
        <f>_xll.QS.CONTEXT.CREATE("market.910",A912,"USD","SOFR")</f>
        <v>QSObject:PricingContext:w1~market.910:11440</v>
      </c>
      <c r="D912" s="6" t="str">
        <f>_xll.QS.CONTEXT.ADD.CURVE(C912,"SOFR",$K$2:$K$7,$L$2:$L$7,,,"Actual360","LogLinear",TRUE)</f>
        <v>QSObject:ContextInput:w1~input.qs_context_add_curve.2359132437744.911.3.0:39183</v>
      </c>
      <c r="E912" s="6" t="str">
        <f>_xll.QS.INSTRUMENT.SWAP("swap.910",H912,B912,"USD","SOFR",I912,J912,0,"Actual360","Simple","Annual","Annual","Annual")</f>
        <v>QSObject:Swap:w1~swap.910:17301</v>
      </c>
      <c r="F912" s="6" t="str">
        <f>_xll.QS.TRADE.CREATE("trade.910",E912,A912,"Receive")</f>
        <v>QSObject:SwapTrade:w1~trade.910:29667</v>
      </c>
      <c r="G912" s="3">
        <f>_xll.QS.EVALUATE(C912,F912)</f>
        <v>19957.65046849753</v>
      </c>
      <c r="H912" s="5" t="s">
        <v>1864</v>
      </c>
      <c r="I912" s="7">
        <v>1091000</v>
      </c>
      <c r="J912" s="8">
        <v>3.5999999999999997E-2</v>
      </c>
    </row>
    <row r="913" spans="1:10" x14ac:dyDescent="0.25">
      <c r="A913" s="5" t="s">
        <v>1852</v>
      </c>
      <c r="B913" s="5" t="s">
        <v>1865</v>
      </c>
      <c r="C913" s="6" t="str">
        <f>_xll.QS.CONTEXT.CREATE("market.911",A913,"USD","SOFR")</f>
        <v>QSObject:PricingContext:w1~market.911:9785</v>
      </c>
      <c r="D913" s="6" t="str">
        <f>_xll.QS.CONTEXT.ADD.CURVE(C913,"SOFR",$K$2:$K$7,$L$2:$L$7,,,"Actual360","LogLinear",TRUE)</f>
        <v>QSObject:ContextInput:w1~input.qs_context_add_curve.2359132437744.912.3.0:29666</v>
      </c>
      <c r="E913" s="6" t="str">
        <f>_xll.QS.INSTRUMENT.SWAP("swap.911",H913,B913,"USD","SOFR",I913,J913,0,"Actual360","Simple","Annual","Annual","Annual")</f>
        <v>QSObject:Swap:w1~swap.911:3418</v>
      </c>
      <c r="F913" s="6" t="str">
        <f>_xll.QS.TRADE.CREATE("trade.911",E913,A913,"Receive")</f>
        <v>QSObject:SwapTrade:w1~trade.911:8183</v>
      </c>
      <c r="G913" s="3">
        <f>_xll.QS.EVALUATE(C913,F913)</f>
        <v>20615.350519293166</v>
      </c>
      <c r="H913" s="5" t="s">
        <v>1866</v>
      </c>
      <c r="I913" s="7">
        <v>1091100</v>
      </c>
      <c r="J913" s="8">
        <v>3.61E-2</v>
      </c>
    </row>
    <row r="914" spans="1:10" x14ac:dyDescent="0.25">
      <c r="A914" s="5" t="s">
        <v>1854</v>
      </c>
      <c r="B914" s="5" t="s">
        <v>1867</v>
      </c>
      <c r="C914" s="6" t="str">
        <f>_xll.QS.CONTEXT.CREATE("market.912",A914,"USD","SOFR")</f>
        <v>QSObject:PricingContext:w1~market.912:1880</v>
      </c>
      <c r="D914" s="6" t="str">
        <f>_xll.QS.CONTEXT.ADD.CURVE(C914,"SOFR",$K$2:$K$7,$L$2:$L$7,,,"Actual360","LogLinear",TRUE)</f>
        <v>QSObject:ContextInput:w1~input.qs_context_add_curve.2359132437744.913.3.0:14598</v>
      </c>
      <c r="E914" s="6" t="str">
        <f>_xll.QS.INSTRUMENT.SWAP("swap.912",H914,B914,"USD","SOFR",I914,J914,0,"Actual360","Simple","Annual","Annual","Annual")</f>
        <v>QSObject:Swap:w1~swap.912:18268</v>
      </c>
      <c r="F914" s="6" t="str">
        <f>_xll.QS.TRADE.CREATE("trade.912",E914,A914,"Receive")</f>
        <v>QSObject:SwapTrade:w1~trade.912:29665</v>
      </c>
      <c r="G914" s="3">
        <f>_xll.QS.EVALUATE(C914,F914)</f>
        <v>21129.962835765244</v>
      </c>
      <c r="H914" s="5" t="s">
        <v>1868</v>
      </c>
      <c r="I914" s="7">
        <v>1091200</v>
      </c>
      <c r="J914" s="8">
        <v>3.6200000000000003E-2</v>
      </c>
    </row>
    <row r="915" spans="1:10" x14ac:dyDescent="0.25">
      <c r="A915" s="5" t="s">
        <v>1856</v>
      </c>
      <c r="B915" s="5" t="s">
        <v>1869</v>
      </c>
      <c r="C915" s="6" t="str">
        <f>_xll.QS.CONTEXT.CREATE("market.913",A915,"USD","SOFR")</f>
        <v>QSObject:PricingContext:w1~market.913:19953</v>
      </c>
      <c r="D915" s="6" t="str">
        <f>_xll.QS.CONTEXT.ADD.CURVE(C915,"SOFR",$K$2:$K$7,$L$2:$L$7,,,"Actual360","LogLinear",TRUE)</f>
        <v>QSObject:ContextInput:w1~input.qs_context_add_curve.2359132437744.914.3.0:39182</v>
      </c>
      <c r="E915" s="6" t="str">
        <f>_xll.QS.INSTRUMENT.SWAP("swap.913",H915,B915,"USD","SOFR",I915,J915,0,"Actual360","Simple","Annual","Annual","Annual")</f>
        <v>QSObject:Swap:w1~swap.913:11439</v>
      </c>
      <c r="F915" s="6" t="str">
        <f>_xll.QS.TRADE.CREATE("trade.913",E915,A915,"Receive")</f>
        <v>QSObject:SwapTrade:w1~trade.913:29664</v>
      </c>
      <c r="G915" s="3">
        <f>_xll.QS.EVALUATE(C915,F915)</f>
        <v>21633.27722385756</v>
      </c>
      <c r="H915" s="5" t="s">
        <v>1870</v>
      </c>
      <c r="I915" s="7">
        <v>1091300</v>
      </c>
      <c r="J915" s="8">
        <v>3.6300000000000013E-2</v>
      </c>
    </row>
    <row r="916" spans="1:10" x14ac:dyDescent="0.25">
      <c r="A916" s="5" t="s">
        <v>1858</v>
      </c>
      <c r="B916" s="5" t="s">
        <v>1871</v>
      </c>
      <c r="C916" s="6" t="str">
        <f>_xll.QS.CONTEXT.CREATE("market.914",A916,"USD","SOFR")</f>
        <v>QSObject:PricingContext:w1~market.914:6588</v>
      </c>
      <c r="D916" s="6" t="str">
        <f>_xll.QS.CONTEXT.ADD.CURVE(C916,"SOFR",$K$2:$K$7,$L$2:$L$7,,,"Actual360","LogLinear",TRUE)</f>
        <v>QSObject:ContextInput:w1~input.qs_context_add_curve.2359132437744.915.3.0:8182</v>
      </c>
      <c r="E916" s="6" t="str">
        <f>_xll.QS.INSTRUMENT.SWAP("swap.914",H916,B916,"USD","SOFR",I916,J916,0,"Actual360","Simple","Annual","Annual","Annual")</f>
        <v>QSObject:Swap:w1~swap.914:4981</v>
      </c>
      <c r="F916" s="6" t="str">
        <f>_xll.QS.TRADE.CREATE("trade.914",E916,A916,"Receive")</f>
        <v>QSObject:SwapTrade:w1~trade.914:12959</v>
      </c>
      <c r="G916" s="3">
        <f>_xll.QS.EVALUATE(C916,F916)</f>
        <v>22095.271392745664</v>
      </c>
      <c r="H916" s="5" t="s">
        <v>1872</v>
      </c>
      <c r="I916" s="7">
        <v>1091400</v>
      </c>
      <c r="J916" s="8">
        <v>3.6400000000000002E-2</v>
      </c>
    </row>
    <row r="917" spans="1:10" x14ac:dyDescent="0.25">
      <c r="A917" s="5" t="s">
        <v>1860</v>
      </c>
      <c r="B917" s="5" t="s">
        <v>1873</v>
      </c>
      <c r="C917" s="6" t="str">
        <f>_xll.QS.CONTEXT.CREATE("market.915",A917,"USD","SOFR")</f>
        <v>QSObject:PricingContext:w1~market.915:17300</v>
      </c>
      <c r="D917" s="6" t="str">
        <f>_xll.QS.CONTEXT.ADD.CURVE(C917,"SOFR",$K$2:$K$7,$L$2:$L$7,,,"Actual360","LogLinear",TRUE)</f>
        <v>QSObject:ContextInput:w1~input.qs_context_add_curve.2359132437744.916.3.0:39181</v>
      </c>
      <c r="E917" s="6" t="str">
        <f>_xll.QS.INSTRUMENT.SWAP("swap.915",H917,B917,"USD","SOFR",I917,J917,0,"Actual360","Simple","Annual","Annual","Annual")</f>
        <v>QSObject:Swap:w1~swap.915:3417</v>
      </c>
      <c r="F917" s="6" t="str">
        <f>_xll.QS.TRADE.CREATE("trade.915",E917,A917,"Receive")</f>
        <v>QSObject:SwapTrade:w1~trade.915:18267</v>
      </c>
      <c r="G917" s="3">
        <f>_xll.QS.EVALUATE(C917,F917)</f>
        <v>22528.01440869458</v>
      </c>
      <c r="H917" s="5" t="s">
        <v>1874</v>
      </c>
      <c r="I917" s="7">
        <v>1091500</v>
      </c>
      <c r="J917" s="8">
        <v>3.6499999999999998E-2</v>
      </c>
    </row>
    <row r="918" spans="1:10" x14ac:dyDescent="0.25">
      <c r="A918" s="5" t="s">
        <v>1862</v>
      </c>
      <c r="B918" s="5" t="s">
        <v>1875</v>
      </c>
      <c r="C918" s="6" t="str">
        <f>_xll.QS.CONTEXT.CREATE("market.916",A918,"USD","SOFR")</f>
        <v>QSObject:PricingContext:w1~market.916:16279</v>
      </c>
      <c r="D918" s="6" t="str">
        <f>_xll.QS.CONTEXT.ADD.CURVE(C918,"SOFR",$K$2:$K$7,$L$2:$L$7,,,"Actual360","LogLinear",TRUE)</f>
        <v>QSObject:ContextInput:w1~input.qs_context_add_curve.2359132437744.917.3.0:19952</v>
      </c>
      <c r="E918" s="6" t="str">
        <f>_xll.QS.INSTRUMENT.SWAP("swap.916",H918,B918,"USD","SOFR",I918,J918,0,"Actual360","Simple","Annual","Annual","Annual")</f>
        <v>QSObject:Swap:w1~swap.916:14597</v>
      </c>
      <c r="F918" s="6" t="str">
        <f>_xll.QS.TRADE.CREATE("trade.916",E918,A918,"Receive")</f>
        <v>QSObject:SwapTrade:w1~trade.916:31144</v>
      </c>
      <c r="G918" s="3">
        <f>_xll.QS.EVALUATE(C918,F918)</f>
        <v>22944.686921178756</v>
      </c>
      <c r="H918" s="5" t="s">
        <v>1876</v>
      </c>
      <c r="I918" s="7">
        <v>1091600</v>
      </c>
      <c r="J918" s="8">
        <v>3.6600000000000001E-2</v>
      </c>
    </row>
    <row r="919" spans="1:10" x14ac:dyDescent="0.25">
      <c r="A919" s="5" t="s">
        <v>1864</v>
      </c>
      <c r="B919" s="5" t="s">
        <v>1877</v>
      </c>
      <c r="C919" s="6" t="str">
        <f>_xll.QS.CONTEXT.CREATE("market.917",A919,"USD","SOFR")</f>
        <v>QSObject:PricingContext:w1~market.917:4980</v>
      </c>
      <c r="D919" s="6" t="str">
        <f>_xll.QS.CONTEXT.ADD.CURVE(C919,"SOFR",$K$2:$K$7,$L$2:$L$7,,,"Actual360","LogLinear",TRUE)</f>
        <v>QSObject:ContextInput:w1~input.qs_context_add_curve.2359132437744.918.3.0:8181</v>
      </c>
      <c r="E919" s="6" t="str">
        <f>_xll.QS.INSTRUMENT.SWAP("swap.917",H919,B919,"USD","SOFR",I919,J919,0,"Actual360","Simple","Annual","Annual","Annual")</f>
        <v>QSObject:Swap:w1~swap.917:9784</v>
      </c>
      <c r="F919" s="6" t="str">
        <f>_xll.QS.TRADE.CREATE("trade.917",E919,A919,"Receive")</f>
        <v>QSObject:SwapTrade:w1~trade.917:31143</v>
      </c>
      <c r="G919" s="3">
        <f>_xll.QS.EVALUATE(C919,F919)</f>
        <v>23496.007375121066</v>
      </c>
      <c r="H919" s="5" t="s">
        <v>1878</v>
      </c>
      <c r="I919" s="7">
        <v>1091700</v>
      </c>
      <c r="J919" s="8">
        <v>3.6700000000000003E-2</v>
      </c>
    </row>
    <row r="920" spans="1:10" x14ac:dyDescent="0.25">
      <c r="A920" s="5" t="s">
        <v>1866</v>
      </c>
      <c r="B920" s="5" t="s">
        <v>1879</v>
      </c>
      <c r="C920" s="6" t="str">
        <f>_xll.QS.CONTEXT.CREATE("market.918",A920,"USD","SOFR")</f>
        <v>QSObject:PricingContext:w1~market.918:18266</v>
      </c>
      <c r="D920" s="6" t="str">
        <f>_xll.QS.CONTEXT.ADD.CURVE(C920,"SOFR",$K$2:$K$7,$L$2:$L$7,,,"Actual360","LogLinear",TRUE)</f>
        <v>QSObject:ContextInput:w1~input.qs_context_add_curve.2359132437744.919.3.0:39180</v>
      </c>
      <c r="E920" s="6" t="str">
        <f>_xll.QS.INSTRUMENT.SWAP("swap.918",H920,B920,"USD","SOFR",I920,J920,0,"Actual360","Simple","Annual","Annual","Annual")</f>
        <v>QSObject:Swap:w1~swap.918:12958</v>
      </c>
      <c r="F920" s="6" t="str">
        <f>_xll.QS.TRADE.CREATE("trade.918",E920,A920,"Receive")</f>
        <v>QSObject:SwapTrade:w1~trade.918:16278</v>
      </c>
      <c r="G920" s="3">
        <f>_xll.QS.EVALUATE(C920,F920)</f>
        <v>24031.926019918425</v>
      </c>
      <c r="H920" s="5" t="s">
        <v>1880</v>
      </c>
      <c r="I920" s="7">
        <v>1091800</v>
      </c>
      <c r="J920" s="8">
        <v>3.6800000000000013E-2</v>
      </c>
    </row>
    <row r="921" spans="1:10" x14ac:dyDescent="0.25">
      <c r="A921" s="5" t="s">
        <v>1868</v>
      </c>
      <c r="B921" s="5" t="s">
        <v>1881</v>
      </c>
      <c r="C921" s="6" t="str">
        <f>_xll.QS.CONTEXT.CREATE("market.919",A921,"USD","SOFR")</f>
        <v>QSObject:PricingContext:w1~market.919:19951</v>
      </c>
      <c r="D921" s="6" t="str">
        <f>_xll.QS.CONTEXT.ADD.CURVE(C921,"SOFR",$K$2:$K$7,$L$2:$L$7,,,"Actual360","LogLinear",TRUE)</f>
        <v>QSObject:ContextInput:w1~input.qs_context_add_curve.2359132437744.920.3.0:39179</v>
      </c>
      <c r="E921" s="6" t="str">
        <f>_xll.QS.INSTRUMENT.SWAP("swap.919",H921,B921,"USD","SOFR",I921,J921,0,"Actual360","Simple","Annual","Annual","Annual")</f>
        <v>QSObject:Swap:w1~swap.919:17299</v>
      </c>
      <c r="F921" s="6" t="str">
        <f>_xll.QS.TRADE.CREATE("trade.919",E921,A921,"Receive")</f>
        <v>QSObject:SwapTrade:w1~trade.919:30314</v>
      </c>
      <c r="G921" s="3">
        <f>_xll.QS.EVALUATE(C921,F921)</f>
        <v>24617.358186496269</v>
      </c>
      <c r="H921" s="5" t="s">
        <v>1882</v>
      </c>
      <c r="I921" s="7">
        <v>1091900</v>
      </c>
      <c r="J921" s="8">
        <v>3.6900000000000002E-2</v>
      </c>
    </row>
    <row r="922" spans="1:10" x14ac:dyDescent="0.25">
      <c r="A922" s="5" t="s">
        <v>1870</v>
      </c>
      <c r="B922" s="5" t="s">
        <v>1883</v>
      </c>
      <c r="C922" s="6" t="str">
        <f>_xll.QS.CONTEXT.CREATE("market.920",A922,"USD","SOFR")</f>
        <v>QSObject:PricingContext:w1~market.920:4979</v>
      </c>
      <c r="D922" s="6" t="str">
        <f>_xll.QS.CONTEXT.ADD.CURVE(C922,"SOFR",$K$2:$K$7,$L$2:$L$7,,,"Actual360","LogLinear",TRUE)</f>
        <v>QSObject:ContextInput:w1~input.qs_context_add_curve.2359132437744.921.3.0:9783</v>
      </c>
      <c r="E922" s="6" t="str">
        <f>_xll.QS.INSTRUMENT.SWAP("swap.920",H922,B922,"USD","SOFR",I922,J922,0,"Actual360","Simple","Annual","Annual","Annual")</f>
        <v>QSObject:Swap:w1~swap.920:11438</v>
      </c>
      <c r="F922" s="6" t="str">
        <f>_xll.QS.TRADE.CREATE("trade.920",E922,A922,"Receive")</f>
        <v>QSObject:SwapTrade:w1~trade.920:18265</v>
      </c>
      <c r="G922" s="3">
        <f>_xll.QS.EVALUATE(C922,F922)</f>
        <v>25170.860120098543</v>
      </c>
      <c r="H922" s="5" t="s">
        <v>1884</v>
      </c>
      <c r="I922" s="7">
        <v>1092000</v>
      </c>
      <c r="J922" s="8">
        <v>3.7000000000000012E-2</v>
      </c>
    </row>
    <row r="923" spans="1:10" x14ac:dyDescent="0.25">
      <c r="A923" s="5" t="s">
        <v>1872</v>
      </c>
      <c r="B923" s="5" t="s">
        <v>1885</v>
      </c>
      <c r="C923" s="6" t="str">
        <f>_xll.QS.CONTEXT.CREATE("market.921",A923,"USD","SOFR")</f>
        <v>QSObject:PricingContext:w1~market.921:16277</v>
      </c>
      <c r="D923" s="6" t="str">
        <f>_xll.QS.CONTEXT.ADD.CURVE(C923,"SOFR",$K$2:$K$7,$L$2:$L$7,,,"Actual360","LogLinear",TRUE)</f>
        <v>QSObject:ContextInput:w1~input.qs_context_add_curve.2359132437744.922.3.0:39178</v>
      </c>
      <c r="E923" s="6" t="str">
        <f>_xll.QS.INSTRUMENT.SWAP("swap.921",H923,B923,"USD","SOFR",I923,J923,0,"Actual360","Simple","Annual","Annual","Annual")</f>
        <v>QSObject:Swap:w1~swap.921:6587</v>
      </c>
      <c r="F923" s="6" t="str">
        <f>_xll.QS.TRADE.CREATE("trade.921",E923,A923,"Receive")</f>
        <v>QSObject:SwapTrade:w1~trade.921:17298</v>
      </c>
      <c r="G923" s="3">
        <f>_xll.QS.EVALUATE(C923,F923)</f>
        <v>25634.713676603242</v>
      </c>
      <c r="H923" s="5" t="s">
        <v>1886</v>
      </c>
      <c r="I923" s="7">
        <v>1092100</v>
      </c>
      <c r="J923" s="8">
        <v>3.7100000000000001E-2</v>
      </c>
    </row>
    <row r="924" spans="1:10" x14ac:dyDescent="0.25">
      <c r="A924" s="5" t="s">
        <v>1874</v>
      </c>
      <c r="B924" s="5" t="s">
        <v>1887</v>
      </c>
      <c r="C924" s="6" t="str">
        <f>_xll.QS.CONTEXT.CREATE("market.922",A924,"USD","SOFR")</f>
        <v>QSObject:PricingContext:w1~market.922:3416</v>
      </c>
      <c r="D924" s="6" t="str">
        <f>_xll.QS.CONTEXT.ADD.CURVE(C924,"SOFR",$K$2:$K$7,$L$2:$L$7,,,"Actual360","LogLinear",TRUE)</f>
        <v>QSObject:ContextInput:w1~input.qs_context_add_curve.2359132437744.923.3.0:4978</v>
      </c>
      <c r="E924" s="6" t="str">
        <f>_xll.QS.INSTRUMENT.SWAP("swap.922",H924,B924,"USD","SOFR",I924,J924,0,"Actual360","Simple","Annual","Annual","Annual")</f>
        <v>QSObject:Swap:w1~swap.922:14596</v>
      </c>
      <c r="F924" s="6" t="str">
        <f>_xll.QS.TRADE.CREATE("trade.922",E924,A924,"Receive")</f>
        <v>QSObject:SwapTrade:w1~trade.922:19950</v>
      </c>
      <c r="G924" s="3">
        <f>_xll.QS.EVALUATE(C924,F924)</f>
        <v>26063.903955224188</v>
      </c>
      <c r="H924" s="5" t="s">
        <v>1888</v>
      </c>
      <c r="I924" s="7">
        <v>1092200</v>
      </c>
      <c r="J924" s="8">
        <v>3.7199999999999997E-2</v>
      </c>
    </row>
    <row r="925" spans="1:10" x14ac:dyDescent="0.25">
      <c r="A925" s="5" t="s">
        <v>1876</v>
      </c>
      <c r="B925" s="5" t="s">
        <v>1889</v>
      </c>
      <c r="C925" s="6" t="str">
        <f>_xll.QS.CONTEXT.CREATE("market.923",A925,"USD","SOFR")</f>
        <v>QSObject:PricingContext:w1~market.923:18264</v>
      </c>
      <c r="D925" s="6" t="str">
        <f>_xll.QS.CONTEXT.ADD.CURVE(C925,"SOFR",$K$2:$K$7,$L$2:$L$7,,,"Actual360","LogLinear",TRUE)</f>
        <v>QSObject:ContextInput:w1~input.qs_context_add_curve.2359132437744.924.3.0:39177</v>
      </c>
      <c r="E925" s="6" t="str">
        <f>_xll.QS.INSTRUMENT.SWAP("swap.923",H925,B925,"USD","SOFR",I925,J925,0,"Actual360","Simple","Annual","Annual","Annual")</f>
        <v>QSObject:Swap:w1~swap.923:9782</v>
      </c>
      <c r="F925" s="6" t="str">
        <f>_xll.QS.TRADE.CREATE("trade.923",E925,A925,"Receive")</f>
        <v>QSObject:SwapTrade:w1~trade.923:30313</v>
      </c>
      <c r="G925" s="3">
        <f>_xll.QS.EVALUATE(C925,F925)</f>
        <v>26486.631085495817</v>
      </c>
      <c r="H925" s="5" t="s">
        <v>1890</v>
      </c>
      <c r="I925" s="7">
        <v>1092300</v>
      </c>
      <c r="J925" s="8">
        <v>3.73E-2</v>
      </c>
    </row>
    <row r="926" spans="1:10" x14ac:dyDescent="0.25">
      <c r="A926" s="5" t="s">
        <v>1878</v>
      </c>
      <c r="B926" s="5" t="s">
        <v>1891</v>
      </c>
      <c r="C926" s="6" t="str">
        <f>_xll.QS.CONTEXT.CREATE("market.924",A926,"USD","SOFR")</f>
        <v>QSObject:PricingContext:w1~market.924:12957</v>
      </c>
      <c r="D926" s="6" t="str">
        <f>_xll.QS.CONTEXT.ADD.CURVE(C926,"SOFR",$K$2:$K$7,$L$2:$L$7,,,"Actual360","LogLinear",TRUE)</f>
        <v>QSObject:ContextInput:w1~input.qs_context_add_curve.2359132437744.925.3.0:16276</v>
      </c>
      <c r="E926" s="6" t="str">
        <f>_xll.QS.INSTRUMENT.SWAP("swap.924",H926,B926,"USD","SOFR",I926,J926,0,"Actual360","Simple","Annual","Annual","Annual")</f>
        <v>QSObject:Swap:w1~swap.924:1879</v>
      </c>
      <c r="F926" s="6" t="str">
        <f>_xll.QS.TRADE.CREATE("trade.924",E926,A926,"Receive")</f>
        <v>QSObject:SwapTrade:w1~trade.924:17297</v>
      </c>
      <c r="G926" s="3">
        <f>_xll.QS.EVALUATE(C926,F926)</f>
        <v>27038.968203903198</v>
      </c>
      <c r="H926" s="5" t="s">
        <v>1892</v>
      </c>
      <c r="I926" s="7">
        <v>1092400</v>
      </c>
      <c r="J926" s="8">
        <v>3.7400000000000003E-2</v>
      </c>
    </row>
    <row r="927" spans="1:10" x14ac:dyDescent="0.25">
      <c r="A927" s="5" t="s">
        <v>1880</v>
      </c>
      <c r="B927" s="5" t="s">
        <v>1893</v>
      </c>
      <c r="C927" s="6" t="str">
        <f>_xll.QS.CONTEXT.CREATE("market.925",A927,"USD","SOFR")</f>
        <v>QSObject:PricingContext:w1~market.925:4977</v>
      </c>
      <c r="D927" s="6" t="str">
        <f>_xll.QS.CONTEXT.ADD.CURVE(C927,"SOFR",$K$2:$K$7,$L$2:$L$7,,,"Actual360","LogLinear",TRUE)</f>
        <v>QSObject:ContextInput:w1~input.qs_context_add_curve.2359132437744.926.3.0:11437</v>
      </c>
      <c r="E927" s="6" t="str">
        <f>_xll.QS.INSTRUMENT.SWAP("swap.925",H927,B927,"USD","SOFR",I927,J927,0,"Actual360","Simple","Annual","Annual","Annual")</f>
        <v>QSObject:Swap:w1~swap.925:3415</v>
      </c>
      <c r="F927" s="6" t="str">
        <f>_xll.QS.TRADE.CREATE("trade.925",E927,A927,"Receive")</f>
        <v>QSObject:SwapTrade:w1~trade.925:14595</v>
      </c>
      <c r="G927" s="3">
        <f>_xll.QS.EVALUATE(C927,F927)</f>
        <v>27573.841265762218</v>
      </c>
      <c r="H927" s="5" t="s">
        <v>1894</v>
      </c>
      <c r="I927" s="7">
        <v>1092500</v>
      </c>
      <c r="J927" s="8">
        <v>3.7500000000000012E-2</v>
      </c>
    </row>
    <row r="928" spans="1:10" x14ac:dyDescent="0.25">
      <c r="A928" s="5" t="s">
        <v>1882</v>
      </c>
      <c r="B928" s="5" t="s">
        <v>1895</v>
      </c>
      <c r="C928" s="6" t="str">
        <f>_xll.QS.CONTEXT.CREATE("market.926",A928,"USD","SOFR")</f>
        <v>QSObject:PricingContext:w1~market.926:6586</v>
      </c>
      <c r="D928" s="6" t="str">
        <f>_xll.QS.CONTEXT.ADD.CURVE(C928,"SOFR",$K$2:$K$7,$L$2:$L$7,,,"Actual360","LogLinear",TRUE)</f>
        <v>QSObject:ContextInput:w1~input.qs_context_add_curve.2359132437744.927.3.0:19949</v>
      </c>
      <c r="E928" s="6" t="str">
        <f>_xll.QS.INSTRUMENT.SWAP("swap.926",H928,B928,"USD","SOFR",I928,J928,0,"Actual360","Simple","Annual","Annual","Annual")</f>
        <v>QSObject:Swap:w1~swap.926:18263</v>
      </c>
      <c r="F928" s="6" t="str">
        <f>_xll.QS.TRADE.CREATE("trade.926",E928,A928,"Receive")</f>
        <v>QSObject:SwapTrade:w1~trade.926:30408</v>
      </c>
      <c r="G928" s="3">
        <f>_xll.QS.EVALUATE(C928,F928)</f>
        <v>28160.022456415765</v>
      </c>
      <c r="H928" s="5" t="s">
        <v>1896</v>
      </c>
      <c r="I928" s="7">
        <v>1092600</v>
      </c>
      <c r="J928" s="8">
        <v>3.7600000000000001E-2</v>
      </c>
    </row>
    <row r="929" spans="1:10" x14ac:dyDescent="0.25">
      <c r="A929" s="5" t="s">
        <v>1884</v>
      </c>
      <c r="B929" s="5" t="s">
        <v>1897</v>
      </c>
      <c r="C929" s="6" t="str">
        <f>_xll.QS.CONTEXT.CREATE("market.927",A929,"USD","SOFR")</f>
        <v>QSObject:PricingContext:w1~market.927:1878</v>
      </c>
      <c r="D929" s="6" t="str">
        <f>_xll.QS.CONTEXT.ADD.CURVE(C929,"SOFR",$K$2:$K$7,$L$2:$L$7,,,"Actual360","LogLinear",TRUE)</f>
        <v>QSObject:ContextInput:w1~input.qs_context_add_curve.2359132437744.928.3.0:12956</v>
      </c>
      <c r="E929" s="6" t="str">
        <f>_xll.QS.INSTRUMENT.SWAP("swap.927",H929,B929,"USD","SOFR",I929,J929,0,"Actual360","Simple","Annual","Annual","Annual")</f>
        <v>QSObject:Swap:w1~swap.927:8180</v>
      </c>
      <c r="F929" s="6" t="str">
        <f>_xll.QS.TRADE.CREATE("trade.927",E929,A929,"Receive")</f>
        <v>QSObject:SwapTrade:w1~trade.927:11436</v>
      </c>
      <c r="G929" s="3">
        <f>_xll.QS.EVALUATE(C929,F929)</f>
        <v>28714.241049549721</v>
      </c>
      <c r="H929" s="5" t="s">
        <v>1898</v>
      </c>
      <c r="I929" s="7">
        <v>1092700</v>
      </c>
      <c r="J929" s="8">
        <v>3.7699999999999997E-2</v>
      </c>
    </row>
    <row r="930" spans="1:10" x14ac:dyDescent="0.25">
      <c r="A930" s="5" t="s">
        <v>1886</v>
      </c>
      <c r="B930" s="5" t="s">
        <v>1899</v>
      </c>
      <c r="C930" s="6" t="str">
        <f>_xll.QS.CONTEXT.CREATE("market.928",A930,"USD","SOFR")</f>
        <v>QSObject:PricingContext:w1~market.928:4976</v>
      </c>
      <c r="D930" s="6" t="str">
        <f>_xll.QS.CONTEXT.ADD.CURVE(C930,"SOFR",$K$2:$K$7,$L$2:$L$7,,,"Actual360","LogLinear",TRUE)</f>
        <v>QSObject:ContextInput:w1~input.qs_context_add_curve.2359132437744.929.3.0:16275</v>
      </c>
      <c r="E930" s="6" t="str">
        <f>_xll.QS.INSTRUMENT.SWAP("swap.928",H930,B930,"USD","SOFR",I930,J930,0,"Actual360","Simple","Annual","Annual","Annual")</f>
        <v>QSObject:Swap:w1~swap.928:9781</v>
      </c>
      <c r="F930" s="6" t="str">
        <f>_xll.QS.TRADE.CREATE("trade.928",E930,A930,"Receive")</f>
        <v>QSObject:SwapTrade:w1~trade.928:14594</v>
      </c>
      <c r="G930" s="3">
        <f>_xll.QS.EVALUATE(C930,F930)</f>
        <v>29178.675124646019</v>
      </c>
      <c r="H930" s="5" t="s">
        <v>1900</v>
      </c>
      <c r="I930" s="7">
        <v>1092800</v>
      </c>
      <c r="J930" s="8">
        <v>3.78E-2</v>
      </c>
    </row>
    <row r="931" spans="1:10" x14ac:dyDescent="0.25">
      <c r="A931" s="5" t="s">
        <v>1888</v>
      </c>
      <c r="B931" s="5" t="s">
        <v>1901</v>
      </c>
      <c r="C931" s="6" t="str">
        <f>_xll.QS.CONTEXT.CREATE("market.929",A931,"USD","SOFR")</f>
        <v>QSObject:PricingContext:w1~market.929:19948</v>
      </c>
      <c r="D931" s="6" t="str">
        <f>_xll.QS.CONTEXT.ADD.CURVE(C931,"SOFR",$K$2:$K$7,$L$2:$L$7,,,"Actual360","LogLinear",TRUE)</f>
        <v>QSObject:ContextInput:w1~input.qs_context_add_curve.2359132437744.930.3.0:39176</v>
      </c>
      <c r="E931" s="6" t="str">
        <f>_xll.QS.INSTRUMENT.SWAP("swap.929",H931,B931,"USD","SOFR",I931,J931,0,"Actual360","Simple","Annual","Annual","Annual")</f>
        <v>QSObject:Swap:w1~swap.929:6585</v>
      </c>
      <c r="F931" s="6" t="str">
        <f>_xll.QS.TRADE.CREATE("trade.929",E931,A931,"Receive")</f>
        <v>QSObject:SwapTrade:w1~trade.929:17296</v>
      </c>
      <c r="G931" s="3">
        <f>_xll.QS.EVALUATE(C931,F931)</f>
        <v>29604.307344140732</v>
      </c>
      <c r="H931" s="5" t="s">
        <v>1902</v>
      </c>
      <c r="I931" s="7">
        <v>1092900</v>
      </c>
      <c r="J931" s="8">
        <v>3.7900000000000003E-2</v>
      </c>
    </row>
    <row r="932" spans="1:10" x14ac:dyDescent="0.25">
      <c r="A932" s="5" t="s">
        <v>1890</v>
      </c>
      <c r="B932" s="5" t="s">
        <v>1903</v>
      </c>
      <c r="C932" s="6" t="str">
        <f>_xll.QS.CONTEXT.CREATE("market.930",A932,"USD","SOFR")</f>
        <v>QSObject:PricingContext:w1~market.930:8179</v>
      </c>
      <c r="D932" s="6" t="str">
        <f>_xll.QS.CONTEXT.ADD.CURVE(C932,"SOFR",$K$2:$K$7,$L$2:$L$7,,,"Actual360","LogLinear",TRUE)</f>
        <v>QSObject:ContextInput:w1~input.qs_context_add_curve.2359132437744.931.3.0:12955</v>
      </c>
      <c r="E932" s="6" t="str">
        <f>_xll.QS.INSTRUMENT.SWAP("swap.930",H932,B932,"USD","SOFR",I932,J932,0,"Actual360","Simple","Annual","Annual","Annual")</f>
        <v>QSObject:Swap:w1~swap.930:18262</v>
      </c>
      <c r="F932" s="6" t="str">
        <f>_xll.QS.TRADE.CREATE("trade.930",E932,A932,"Receive")</f>
        <v>QSObject:SwapTrade:w1~trade.930:26533</v>
      </c>
      <c r="G932" s="3">
        <f>_xll.QS.EVALUATE(C932,F932)</f>
        <v>30033.09609838812</v>
      </c>
      <c r="H932" s="5" t="s">
        <v>1904</v>
      </c>
      <c r="I932" s="7">
        <v>1093000</v>
      </c>
      <c r="J932" s="8">
        <v>3.8000000000000013E-2</v>
      </c>
    </row>
    <row r="933" spans="1:10" x14ac:dyDescent="0.25">
      <c r="A933" s="5" t="s">
        <v>1892</v>
      </c>
      <c r="B933" s="5" t="s">
        <v>1905</v>
      </c>
      <c r="C933" s="6" t="str">
        <f>_xll.QS.CONTEXT.CREATE("market.931",A933,"USD","SOFR")</f>
        <v>QSObject:PricingContext:w1~market.931:9780</v>
      </c>
      <c r="D933" s="6" t="str">
        <f>_xll.QS.CONTEXT.ADD.CURVE(C933,"SOFR",$K$2:$K$7,$L$2:$L$7,,,"Actual360","LogLinear",TRUE)</f>
        <v>QSObject:ContextInput:w1~input.qs_context_add_curve.2359132437744.932.3.0:11435</v>
      </c>
      <c r="E933" s="6" t="str">
        <f>_xll.QS.INSTRUMENT.SWAP("swap.931",H933,B933,"USD","SOFR",I933,J933,0,"Actual360","Simple","Annual","Annual","Annual")</f>
        <v>QSObject:Swap:w1~swap.931:1877</v>
      </c>
      <c r="F933" s="6" t="str">
        <f>_xll.QS.TRADE.CREATE("trade.931",E933,A933,"Receive")</f>
        <v>QSObject:SwapTrade:w1~trade.931:14593</v>
      </c>
      <c r="G933" s="3">
        <f>_xll.QS.EVALUATE(C933,F933)</f>
        <v>30586.450319032021</v>
      </c>
      <c r="H933" s="5" t="s">
        <v>1906</v>
      </c>
      <c r="I933" s="7">
        <v>1093100</v>
      </c>
      <c r="J933" s="8">
        <v>3.8100000000000002E-2</v>
      </c>
    </row>
    <row r="934" spans="1:10" x14ac:dyDescent="0.25">
      <c r="A934" s="5" t="s">
        <v>1894</v>
      </c>
      <c r="B934" s="5" t="s">
        <v>1907</v>
      </c>
      <c r="C934" s="6" t="str">
        <f>_xll.QS.CONTEXT.CREATE("market.932",A934,"USD","SOFR")</f>
        <v>QSObject:PricingContext:w1~market.932:6584</v>
      </c>
      <c r="D934" s="6" t="str">
        <f>_xll.QS.CONTEXT.ADD.CURVE(C934,"SOFR",$K$2:$K$7,$L$2:$L$7,,,"Actual360","LogLinear",TRUE)</f>
        <v>QSObject:ContextInput:w1~input.qs_context_add_curve.2359132437744.933.3.0:17295</v>
      </c>
      <c r="E934" s="6" t="str">
        <f>_xll.QS.INSTRUMENT.SWAP("swap.932",H934,B934,"USD","SOFR",I934,J934,0,"Actual360","Simple","Annual","Annual","Annual")</f>
        <v>QSObject:Swap:w1~swap.932:19947</v>
      </c>
      <c r="F934" s="6" t="str">
        <f>_xll.QS.TRADE.CREATE("trade.932",E934,A934,"Receive")</f>
        <v>QSObject:SwapTrade:w1~trade.932:25036</v>
      </c>
      <c r="G934" s="3">
        <f>_xll.QS.EVALUATE(C934,F934)</f>
        <v>31120.275605683906</v>
      </c>
      <c r="H934" s="5" t="s">
        <v>1908</v>
      </c>
      <c r="I934" s="7">
        <v>1093200</v>
      </c>
      <c r="J934" s="8">
        <v>3.8199999999999998E-2</v>
      </c>
    </row>
    <row r="935" spans="1:10" x14ac:dyDescent="0.25">
      <c r="A935" s="5" t="s">
        <v>1896</v>
      </c>
      <c r="B935" s="5" t="s">
        <v>1909</v>
      </c>
      <c r="C935" s="6" t="str">
        <f>_xll.QS.CONTEXT.CREATE("market.933",A935,"USD","SOFR")</f>
        <v>QSObject:PricingContext:w1~market.933:12954</v>
      </c>
      <c r="D935" s="6" t="str">
        <f>_xll.QS.CONTEXT.ADD.CURVE(C935,"SOFR",$K$2:$K$7,$L$2:$L$7,,,"Actual360","LogLinear",TRUE)</f>
        <v>QSObject:ContextInput:w1~input.qs_context_add_curve.2359132437744.934.3.0:39175</v>
      </c>
      <c r="E935" s="6" t="str">
        <f>_xll.QS.INSTRUMENT.SWAP("swap.933",H935,B935,"USD","SOFR",I935,J935,0,"Actual360","Simple","Annual","Annual","Annual")</f>
        <v>QSObject:Swap:w1~swap.933:3414</v>
      </c>
      <c r="F935" s="6" t="str">
        <f>_xll.QS.TRADE.CREATE("trade.933",E935,A935,"Receive")</f>
        <v>QSObject:SwapTrade:w1~trade.933:4975</v>
      </c>
      <c r="G935" s="3">
        <f>_xll.QS.EVALUATE(C935,F935)</f>
        <v>31707.20588746815</v>
      </c>
      <c r="H935" s="5" t="s">
        <v>1910</v>
      </c>
      <c r="I935" s="7">
        <v>1093300</v>
      </c>
      <c r="J935" s="8">
        <v>3.8300000000000001E-2</v>
      </c>
    </row>
    <row r="936" spans="1:10" x14ac:dyDescent="0.25">
      <c r="A936" s="5" t="s">
        <v>1898</v>
      </c>
      <c r="B936" s="5" t="s">
        <v>1911</v>
      </c>
      <c r="C936" s="6" t="str">
        <f>_xll.QS.CONTEXT.CREATE("market.934",A936,"USD","SOFR")</f>
        <v>QSObject:PricingContext:w1~market.934:11434</v>
      </c>
      <c r="D936" s="6" t="str">
        <f>_xll.QS.CONTEXT.ADD.CURVE(C936,"SOFR",$K$2:$K$7,$L$2:$L$7,,,"Actual360","LogLinear",TRUE)</f>
        <v>QSObject:ContextInput:w1~input.qs_context_add_curve.2359132437744.935.3.0:26532</v>
      </c>
      <c r="E936" s="6" t="str">
        <f>_xll.QS.INSTRUMENT.SWAP("swap.934",H936,B936,"USD","SOFR",I936,J936,0,"Actual360","Simple","Annual","Annual","Annual")</f>
        <v>QSObject:Swap:w1~swap.934:18261</v>
      </c>
      <c r="F936" s="6" t="str">
        <f>_xll.QS.TRADE.CREATE("trade.934",E936,A936,"Receive")</f>
        <v>QSObject:SwapTrade:w1~trade.934:24221</v>
      </c>
      <c r="G936" s="3">
        <f>_xll.QS.EVALUATE(C936,F936)</f>
        <v>32262.307049004055</v>
      </c>
      <c r="H936" s="5" t="s">
        <v>1912</v>
      </c>
      <c r="I936" s="7">
        <v>1093400</v>
      </c>
      <c r="J936" s="8">
        <v>3.8399999999999997E-2</v>
      </c>
    </row>
    <row r="937" spans="1:10" x14ac:dyDescent="0.25">
      <c r="A937" s="5" t="s">
        <v>1900</v>
      </c>
      <c r="B937" s="5" t="s">
        <v>1913</v>
      </c>
      <c r="C937" s="6" t="str">
        <f>_xll.QS.CONTEXT.CREATE("market.935",A937,"USD","SOFR")</f>
        <v>QSObject:PricingContext:w1~market.935:19946</v>
      </c>
      <c r="D937" s="6" t="str">
        <f>_xll.QS.CONTEXT.ADD.CURVE(C937,"SOFR",$K$2:$K$7,$L$2:$L$7,,,"Actual360","LogLinear",TRUE)</f>
        <v>QSObject:ContextInput:w1~input.qs_context_add_curve.2359132437744.936.3.0:39174</v>
      </c>
      <c r="E937" s="6" t="str">
        <f>_xll.QS.INSTRUMENT.SWAP("swap.935",H937,B937,"USD","SOFR",I937,J937,0,"Actual360","Simple","Annual","Annual","Annual")</f>
        <v>QSObject:Swap:w1~swap.935:14592</v>
      </c>
      <c r="F937" s="6" t="str">
        <f>_xll.QS.TRADE.CREATE("trade.935",E937,A937,"Receive")</f>
        <v>QSObject:SwapTrade:w1~trade.935:17294</v>
      </c>
      <c r="G937" s="3">
        <f>_xll.QS.EVALUATE(C937,F937)</f>
        <v>32727.843006835388</v>
      </c>
      <c r="H937" s="5" t="s">
        <v>1914</v>
      </c>
      <c r="I937" s="7">
        <v>1093500</v>
      </c>
      <c r="J937" s="8">
        <v>3.8500000000000013E-2</v>
      </c>
    </row>
    <row r="938" spans="1:10" x14ac:dyDescent="0.25">
      <c r="A938" s="5" t="s">
        <v>1902</v>
      </c>
      <c r="B938" s="5" t="s">
        <v>1915</v>
      </c>
      <c r="C938" s="6" t="str">
        <f>_xll.QS.CONTEXT.CREATE("market.936",A938,"USD","SOFR")</f>
        <v>QSObject:PricingContext:w1~market.936:12953</v>
      </c>
      <c r="D938" s="6" t="str">
        <f>_xll.QS.CONTEXT.ADD.CURVE(C938,"SOFR",$K$2:$K$7,$L$2:$L$7,,,"Actual360","LogLinear",TRUE)</f>
        <v>QSObject:ContextInput:w1~input.qs_context_add_curve.2359132437744.937.3.0:16274</v>
      </c>
      <c r="E938" s="6" t="str">
        <f>_xll.QS.INSTRUMENT.SWAP("swap.936",H938,B938,"USD","SOFR",I938,J938,0,"Actual360","Simple","Annual","Annual","Annual")</f>
        <v>QSObject:Swap:w1~swap.936:3413</v>
      </c>
      <c r="F938" s="6" t="str">
        <f>_xll.QS.TRADE.CREATE("trade.936",E938,A938,"Receive")</f>
        <v>QSObject:SwapTrade:w1~trade.936:11433</v>
      </c>
      <c r="G938" s="3">
        <f>_xll.QS.EVALUATE(C938,F938)</f>
        <v>33149.224575444263</v>
      </c>
      <c r="H938" s="5" t="s">
        <v>1916</v>
      </c>
      <c r="I938" s="7">
        <v>1093600</v>
      </c>
      <c r="J938" s="8">
        <v>3.8600000000000002E-2</v>
      </c>
    </row>
    <row r="939" spans="1:10" x14ac:dyDescent="0.25">
      <c r="A939" s="5" t="s">
        <v>1904</v>
      </c>
      <c r="B939" s="5" t="s">
        <v>1917</v>
      </c>
      <c r="C939" s="6" t="str">
        <f>_xll.QS.CONTEXT.CREATE("market.937",A939,"USD","SOFR")</f>
        <v>QSObject:PricingContext:w1~market.937:9779</v>
      </c>
      <c r="D939" s="6" t="str">
        <f>_xll.QS.CONTEXT.ADD.CURVE(C939,"SOFR",$K$2:$K$7,$L$2:$L$7,,,"Actual360","LogLinear",TRUE)</f>
        <v>QSObject:ContextInput:w1~input.qs_context_add_curve.2359132437744.938.3.0:39173</v>
      </c>
      <c r="E939" s="6" t="str">
        <f>_xll.QS.INSTRUMENT.SWAP("swap.937",H939,B939,"USD","SOFR",I939,J939,0,"Actual360","Simple","Annual","Annual","Annual")</f>
        <v>QSObject:Swap:w1~swap.937:8178</v>
      </c>
      <c r="F939" s="6" t="str">
        <f>_xll.QS.TRADE.CREATE("trade.937",E939,A939,"Receive")</f>
        <v>QSObject:SwapTrade:w1~trade.937:19945</v>
      </c>
      <c r="G939" s="3">
        <f>_xll.QS.EVALUATE(C939,F939)</f>
        <v>33584.081959856063</v>
      </c>
      <c r="H939" s="5" t="s">
        <v>1918</v>
      </c>
      <c r="I939" s="7">
        <v>1093700</v>
      </c>
      <c r="J939" s="8">
        <v>3.8700000000000012E-2</v>
      </c>
    </row>
    <row r="940" spans="1:10" x14ac:dyDescent="0.25">
      <c r="A940" s="5" t="s">
        <v>1906</v>
      </c>
      <c r="B940" s="5" t="s">
        <v>1919</v>
      </c>
      <c r="C940" s="6" t="str">
        <f>_xll.QS.CONTEXT.CREATE("market.938",A940,"USD","SOFR")</f>
        <v>QSObject:PricingContext:w1~market.938:17293</v>
      </c>
      <c r="D940" s="6" t="str">
        <f>_xll.QS.CONTEXT.ADD.CURVE(C940,"SOFR",$K$2:$K$7,$L$2:$L$7,,,"Actual360","LogLinear",TRUE)</f>
        <v>QSObject:ContextInput:w1~input.qs_context_add_curve.2359132437744.939.3.0:18260</v>
      </c>
      <c r="E940" s="6" t="str">
        <f>_xll.QS.INSTRUMENT.SWAP("swap.938",H940,B940,"USD","SOFR",I940,J940,0,"Actual360","Simple","Annual","Annual","Annual")</f>
        <v>QSObject:Swap:w1~swap.938:1876</v>
      </c>
      <c r="F940" s="6" t="str">
        <f>_xll.QS.TRADE.CREATE("trade.938",E940,A940,"Receive")</f>
        <v>QSObject:SwapTrade:w1~trade.938:14591</v>
      </c>
      <c r="G940" s="3">
        <f>_xll.QS.EVALUATE(C940,F940)</f>
        <v>34138.453720507932</v>
      </c>
      <c r="H940" s="5" t="s">
        <v>1920</v>
      </c>
      <c r="I940" s="7">
        <v>1093800</v>
      </c>
      <c r="J940" s="8">
        <v>3.8800000000000001E-2</v>
      </c>
    </row>
    <row r="941" spans="1:10" x14ac:dyDescent="0.25">
      <c r="A941" s="5" t="s">
        <v>1908</v>
      </c>
      <c r="B941" s="5" t="s">
        <v>1921</v>
      </c>
      <c r="C941" s="6" t="str">
        <f>_xll.QS.CONTEXT.CREATE("market.939",A941,"USD","SOFR")</f>
        <v>QSObject:PricingContext:w1~market.939:12952</v>
      </c>
      <c r="D941" s="6" t="str">
        <f>_xll.QS.CONTEXT.ADD.CURVE(C941,"SOFR",$K$2:$K$7,$L$2:$L$7,,,"Actual360","LogLinear",TRUE)</f>
        <v>QSObject:ContextInput:w1~input.qs_context_add_curve.2359132437744.940.3.0:16273</v>
      </c>
      <c r="E941" s="6" t="str">
        <f>_xll.QS.INSTRUMENT.SWAP("swap.939",H941,B941,"USD","SOFR",I941,J941,0,"Actual360","Simple","Annual","Annual","Annual")</f>
        <v>QSObject:Swap:w1~swap.939:6583</v>
      </c>
      <c r="F941" s="6" t="str">
        <f>_xll.QS.TRADE.CREATE("trade.939",E941,A941,"Receive")</f>
        <v>QSObject:SwapTrade:w1~trade.939:11432</v>
      </c>
      <c r="G941" s="3">
        <f>_xll.QS.EVALUATE(C941,F941)</f>
        <v>34670.589048253794</v>
      </c>
      <c r="H941" s="5" t="s">
        <v>1922</v>
      </c>
      <c r="I941" s="7">
        <v>1093900</v>
      </c>
      <c r="J941" s="8">
        <v>3.8899999999999997E-2</v>
      </c>
    </row>
    <row r="942" spans="1:10" x14ac:dyDescent="0.25">
      <c r="A942" s="5" t="s">
        <v>1910</v>
      </c>
      <c r="B942" s="5" t="s">
        <v>1923</v>
      </c>
      <c r="C942" s="6" t="str">
        <f>_xll.QS.CONTEXT.CREATE("market.940",A942,"USD","SOFR")</f>
        <v>QSObject:PricingContext:w1~market.940:19944</v>
      </c>
      <c r="D942" s="6" t="str">
        <f>_xll.QS.CONTEXT.ADD.CURVE(C942,"SOFR",$K$2:$K$7,$L$2:$L$7,,,"Actual360","LogLinear",TRUE)</f>
        <v>QSObject:ContextInput:w1~input.qs_context_add_curve.2359132437744.941.3.0:39172</v>
      </c>
      <c r="E942" s="6" t="str">
        <f>_xll.QS.INSTRUMENT.SWAP("swap.940",H942,B942,"USD","SOFR",I942,J942,0,"Actual360","Simple","Annual","Annual","Annual")</f>
        <v>QSObject:Swap:w1~swap.940:9778</v>
      </c>
      <c r="F942" s="6" t="str">
        <f>_xll.QS.TRADE.CREATE("trade.940",E942,A942,"Receive")</f>
        <v>QSObject:SwapTrade:w1~trade.940:31142</v>
      </c>
      <c r="G942" s="3">
        <f>_xll.QS.EVALUATE(C942,F942)</f>
        <v>35258.698131316181</v>
      </c>
      <c r="H942" s="5" t="s">
        <v>1924</v>
      </c>
      <c r="I942" s="7">
        <v>1094000</v>
      </c>
      <c r="J942" s="8">
        <v>3.9000000000000007E-2</v>
      </c>
    </row>
    <row r="943" spans="1:10" x14ac:dyDescent="0.25">
      <c r="A943" s="5" t="s">
        <v>1912</v>
      </c>
      <c r="B943" s="5" t="s">
        <v>1925</v>
      </c>
      <c r="C943" s="6" t="str">
        <f>_xll.QS.CONTEXT.CREATE("market.941",A943,"USD","SOFR")</f>
        <v>QSObject:PricingContext:w1~market.941:18259</v>
      </c>
      <c r="D943" s="6" t="str">
        <f>_xll.QS.CONTEXT.ADD.CURVE(C943,"SOFR",$K$2:$K$7,$L$2:$L$7,,,"Actual360","LogLinear",TRUE)</f>
        <v>QSObject:ContextInput:w1~input.qs_context_add_curve.2359132437744.942.3.0:39171</v>
      </c>
      <c r="E943" s="6" t="str">
        <f>_xll.QS.INSTRUMENT.SWAP("swap.941",H943,B943,"USD","SOFR",I943,J943,0,"Actual360","Simple","Annual","Annual","Annual")</f>
        <v>QSObject:Swap:w1~swap.941:17292</v>
      </c>
      <c r="F943" s="6" t="str">
        <f>_xll.QS.TRADE.CREATE("trade.941",E943,A943,"Receive")</f>
        <v>QSObject:SwapTrade:w1~trade.941:29010</v>
      </c>
      <c r="G943" s="3">
        <f>_xll.QS.EVALUATE(C943,F943)</f>
        <v>35814.560547514338</v>
      </c>
      <c r="H943" s="5" t="s">
        <v>1926</v>
      </c>
      <c r="I943" s="7">
        <v>1094100</v>
      </c>
      <c r="J943" s="8">
        <v>3.9100000000000003E-2</v>
      </c>
    </row>
    <row r="944" spans="1:10" x14ac:dyDescent="0.25">
      <c r="A944" s="5" t="s">
        <v>1914</v>
      </c>
      <c r="B944" s="5" t="s">
        <v>1927</v>
      </c>
      <c r="C944" s="6" t="str">
        <f>_xll.QS.CONTEXT.CREATE("market.942",A944,"USD","SOFR")</f>
        <v>QSObject:PricingContext:w1~market.942:14590</v>
      </c>
      <c r="D944" s="6" t="str">
        <f>_xll.QS.CONTEXT.ADD.CURVE(C944,"SOFR",$K$2:$K$7,$L$2:$L$7,,,"Actual360","LogLinear",TRUE)</f>
        <v>QSObject:ContextInput:w1~input.qs_context_add_curve.2359132437744.943.3.0:39170</v>
      </c>
      <c r="E944" s="6" t="str">
        <f>_xll.QS.INSTRUMENT.SWAP("swap.942",H944,B944,"USD","SOFR",I944,J944,0,"Actual360","Simple","Annual","Annual","Annual")</f>
        <v>QSObject:Swap:w1~swap.942:1875</v>
      </c>
      <c r="F944" s="6" t="str">
        <f>_xll.QS.TRADE.CREATE("trade.942",E944,A944,"Receive")</f>
        <v>QSObject:SwapTrade:w1~trade.942:19943</v>
      </c>
      <c r="G944" s="3">
        <f>_xll.QS.EVALUATE(C944,F944)</f>
        <v>36280.155513287085</v>
      </c>
      <c r="H944" s="5" t="s">
        <v>1928</v>
      </c>
      <c r="I944" s="7">
        <v>1094200</v>
      </c>
      <c r="J944" s="8">
        <v>3.9200000000000013E-2</v>
      </c>
    </row>
    <row r="945" spans="1:10" x14ac:dyDescent="0.25">
      <c r="A945" s="5" t="s">
        <v>1916</v>
      </c>
      <c r="B945" s="5" t="s">
        <v>1929</v>
      </c>
      <c r="C945" s="6" t="str">
        <f>_xll.QS.CONTEXT.CREATE("market.943",A945,"USD","SOFR")</f>
        <v>QSObject:PricingContext:w1~market.943:9777</v>
      </c>
      <c r="D945" s="6" t="str">
        <f>_xll.QS.CONTEXT.ADD.CURVE(C945,"SOFR",$K$2:$K$7,$L$2:$L$7,,,"Actual360","LogLinear",TRUE)</f>
        <v>QSObject:ContextInput:w1~input.qs_context_add_curve.2359132437744.944.3.0:18258</v>
      </c>
      <c r="E945" s="6" t="str">
        <f>_xll.QS.INSTRUMENT.SWAP("swap.943",H945,B945,"USD","SOFR",I945,J945,0,"Actual360","Simple","Annual","Annual","Annual")</f>
        <v>QSObject:Swap:w1~swap.943:11431</v>
      </c>
      <c r="F945" s="6" t="str">
        <f>_xll.QS.TRADE.CREATE("trade.943",E945,A945,"Receive")</f>
        <v>QSObject:SwapTrade:w1~trade.943:17291</v>
      </c>
      <c r="G945" s="3">
        <f>_xll.QS.EVALUATE(C945,F945)</f>
        <v>36698.655649134802</v>
      </c>
      <c r="H945" s="5" t="s">
        <v>1930</v>
      </c>
      <c r="I945" s="7">
        <v>1094300</v>
      </c>
      <c r="J945" s="8">
        <v>3.9300000000000002E-2</v>
      </c>
    </row>
    <row r="946" spans="1:10" x14ac:dyDescent="0.25">
      <c r="A946" s="5" t="s">
        <v>1918</v>
      </c>
      <c r="B946" s="5" t="s">
        <v>1931</v>
      </c>
      <c r="C946" s="6" t="str">
        <f>_xll.QS.CONTEXT.CREATE("market.944",A946,"USD","SOFR")</f>
        <v>QSObject:PricingContext:w1~market.944:16272</v>
      </c>
      <c r="D946" s="6" t="str">
        <f>_xll.QS.CONTEXT.ADD.CURVE(C946,"SOFR",$K$2:$K$7,$L$2:$L$7,,,"Actual360","LogLinear",TRUE)</f>
        <v>QSObject:ContextInput:w1~input.qs_context_add_curve.2359132437744.945.3.0:39169</v>
      </c>
      <c r="E946" s="6" t="str">
        <f>_xll.QS.INSTRUMENT.SWAP("swap.944",H946,B946,"USD","SOFR",I946,J946,0,"Actual360","Simple","Annual","Annual","Annual")</f>
        <v>QSObject:Swap:w1~swap.944:4974</v>
      </c>
      <c r="F946" s="6" t="str">
        <f>_xll.QS.TRADE.CREATE("trade.944",E946,A946,"Receive")</f>
        <v>QSObject:SwapTrade:w1~trade.944:8177</v>
      </c>
      <c r="G946" s="3">
        <f>_xll.QS.EVALUATE(C946,F946)</f>
        <v>37139.588669899167</v>
      </c>
      <c r="H946" s="5" t="s">
        <v>1932</v>
      </c>
      <c r="I946" s="7">
        <v>1094400</v>
      </c>
      <c r="J946" s="8">
        <v>3.9399999999999998E-2</v>
      </c>
    </row>
    <row r="947" spans="1:10" x14ac:dyDescent="0.25">
      <c r="A947" s="5" t="s">
        <v>1920</v>
      </c>
      <c r="B947" s="5" t="s">
        <v>1933</v>
      </c>
      <c r="C947" s="6" t="str">
        <f>_xll.QS.CONTEXT.CREATE("market.945",A947,"USD","SOFR")</f>
        <v>QSObject:PricingContext:w1~market.945:19942</v>
      </c>
      <c r="D947" s="6" t="str">
        <f>_xll.QS.CONTEXT.ADD.CURVE(C947,"SOFR",$K$2:$K$7,$L$2:$L$7,,,"Actual360","LogLinear",TRUE)</f>
        <v>QSObject:ContextInput:w1~input.qs_context_add_curve.2359132437744.946.3.0:39168</v>
      </c>
      <c r="E947" s="6" t="str">
        <f>_xll.QS.INSTRUMENT.SWAP("swap.945",H947,B947,"USD","SOFR",I947,J947,0,"Actual360","Simple","Annual","Annual","Annual")</f>
        <v>QSObject:Swap:w1~swap.945:1874</v>
      </c>
      <c r="F947" s="6" t="str">
        <f>_xll.QS.TRADE.CREATE("trade.945",E947,A947,"Receive")</f>
        <v>QSObject:SwapTrade:w1~trade.945:17290</v>
      </c>
      <c r="G947" s="3">
        <f>_xll.QS.EVALUATE(C947,F947)</f>
        <v>37694.978408330673</v>
      </c>
      <c r="H947" s="5" t="s">
        <v>1934</v>
      </c>
      <c r="I947" s="7">
        <v>1094500</v>
      </c>
      <c r="J947" s="8">
        <v>3.9500000000000007E-2</v>
      </c>
    </row>
    <row r="948" spans="1:10" x14ac:dyDescent="0.25">
      <c r="A948" s="5" t="s">
        <v>1922</v>
      </c>
      <c r="B948" s="5" t="s">
        <v>1935</v>
      </c>
      <c r="C948" s="6" t="str">
        <f>_xll.QS.CONTEXT.CREATE("market.946",A948,"USD","SOFR")</f>
        <v>QSObject:PricingContext:w1~market.946:14589</v>
      </c>
      <c r="D948" s="6" t="str">
        <f>_xll.QS.CONTEXT.ADD.CURVE(C948,"SOFR",$K$2:$K$7,$L$2:$L$7,,,"Actual360","LogLinear",TRUE)</f>
        <v>QSObject:ContextInput:w1~input.qs_context_add_curve.2359132437744.947.3.0:25735</v>
      </c>
      <c r="E948" s="6" t="str">
        <f>_xll.QS.INSTRUMENT.SWAP("swap.946",H948,B948,"USD","SOFR",I948,J948,0,"Actual360","Simple","Annual","Annual","Annual")</f>
        <v>QSObject:Swap:w1~swap.946:11430</v>
      </c>
      <c r="F948" s="6" t="str">
        <f>_xll.QS.TRADE.CREATE("trade.946",E948,A948,"Receive")</f>
        <v>QSObject:SwapTrade:w1~trade.946:16271</v>
      </c>
      <c r="G948" s="3">
        <f>_xll.QS.EVALUATE(C948,F948)</f>
        <v>38226.701567761818</v>
      </c>
      <c r="H948" s="5" t="s">
        <v>1936</v>
      </c>
      <c r="I948" s="7">
        <v>1094600</v>
      </c>
      <c r="J948" s="8">
        <v>3.9600000000000003E-2</v>
      </c>
    </row>
    <row r="949" spans="1:10" x14ac:dyDescent="0.25">
      <c r="A949" s="5" t="s">
        <v>1924</v>
      </c>
      <c r="B949" s="5" t="s">
        <v>1937</v>
      </c>
      <c r="C949" s="6" t="str">
        <f>_xll.QS.CONTEXT.CREATE("market.947",A949,"USD","SOFR")</f>
        <v>QSObject:PricingContext:w1~market.947:3412</v>
      </c>
      <c r="D949" s="6" t="str">
        <f>_xll.QS.CONTEXT.ADD.CURVE(C949,"SOFR",$K$2:$K$7,$L$2:$L$7,,,"Actual360","LogLinear",TRUE)</f>
        <v>QSObject:ContextInput:w1~input.qs_context_add_curve.2359132437744.948.3.0:9776</v>
      </c>
      <c r="E949" s="6" t="str">
        <f>_xll.QS.INSTRUMENT.SWAP("swap.947",H949,B949,"USD","SOFR",I949,J949,0,"Actual360","Simple","Annual","Annual","Annual")</f>
        <v>QSObject:Swap:w1~swap.947:18257</v>
      </c>
      <c r="F949" s="6" t="str">
        <f>_xll.QS.TRADE.CREATE("trade.947",E949,A949,"Receive")</f>
        <v>QSObject:SwapTrade:w1~trade.947:30407</v>
      </c>
      <c r="G949" s="3">
        <f>_xll.QS.EVALUATE(C949,F949)</f>
        <v>38815.130232971074</v>
      </c>
      <c r="H949" s="5" t="s">
        <v>1938</v>
      </c>
      <c r="I949" s="7">
        <v>1094700</v>
      </c>
      <c r="J949" s="8">
        <v>3.9700000000000013E-2</v>
      </c>
    </row>
    <row r="950" spans="1:10" x14ac:dyDescent="0.25">
      <c r="A950" s="5" t="s">
        <v>1926</v>
      </c>
      <c r="B950" s="5" t="s">
        <v>1939</v>
      </c>
      <c r="C950" s="6" t="str">
        <f>_xll.QS.CONTEXT.CREATE("market.948",A950,"USD","SOFR")</f>
        <v>QSObject:PricingContext:w1~market.948:19941</v>
      </c>
      <c r="D950" s="6" t="str">
        <f>_xll.QS.CONTEXT.ADD.CURVE(C950,"SOFR",$K$2:$K$7,$L$2:$L$7,,,"Actual360","LogLinear",TRUE)</f>
        <v>QSObject:ContextInput:w1~input.qs_context_add_curve.2359132437744.949.3.0:39167</v>
      </c>
      <c r="E950" s="6" t="str">
        <f>_xll.QS.INSTRUMENT.SWAP("swap.948",H950,B950,"USD","SOFR",I950,J950,0,"Actual360","Simple","Annual","Annual","Annual")</f>
        <v>QSObject:Swap:w1~swap.948:8176</v>
      </c>
      <c r="F950" s="6" t="str">
        <f>_xll.QS.TRADE.CREATE("trade.948",E950,A950,"Receive")</f>
        <v>QSObject:SwapTrade:w1~trade.948:17289</v>
      </c>
      <c r="G950" s="3">
        <f>_xll.QS.EVALUATE(C950,F950)</f>
        <v>39371.499116027779</v>
      </c>
      <c r="H950" s="5" t="s">
        <v>1940</v>
      </c>
      <c r="I950" s="7">
        <v>1094800</v>
      </c>
      <c r="J950" s="8">
        <v>3.9800000000000002E-2</v>
      </c>
    </row>
    <row r="951" spans="1:10" x14ac:dyDescent="0.25">
      <c r="A951" s="5" t="s">
        <v>1928</v>
      </c>
      <c r="B951" s="5" t="s">
        <v>1941</v>
      </c>
      <c r="C951" s="6" t="str">
        <f>_xll.QS.CONTEXT.CREATE("market.949",A951,"USD","SOFR")</f>
        <v>QSObject:PricingContext:w1~market.949:12951</v>
      </c>
      <c r="D951" s="6" t="str">
        <f>_xll.QS.CONTEXT.ADD.CURVE(C951,"SOFR",$K$2:$K$7,$L$2:$L$7,,,"Actual360","LogLinear",TRUE)</f>
        <v>QSObject:ContextInput:w1~input.qs_context_add_curve.2359132437744.950.3.0:14588</v>
      </c>
      <c r="E951" s="6" t="str">
        <f>_xll.QS.INSTRUMENT.SWAP("swap.949",H951,B951,"USD","SOFR",I951,J951,0,"Actual360","Simple","Annual","Annual","Annual")</f>
        <v>QSObject:Swap:w1~swap.949:1873</v>
      </c>
      <c r="F951" s="6" t="str">
        <f>_xll.QS.TRADE.CREATE("trade.949",E951,A951,"Receive")</f>
        <v>QSObject:SwapTrade:w1~trade.949:11429</v>
      </c>
      <c r="G951" s="3">
        <f>_xll.QS.EVALUATE(C951,F951)</f>
        <v>39837.674453885309</v>
      </c>
      <c r="H951" s="5" t="s">
        <v>1942</v>
      </c>
      <c r="I951" s="7">
        <v>1094900</v>
      </c>
      <c r="J951" s="8">
        <v>3.9899999999999998E-2</v>
      </c>
    </row>
    <row r="952" spans="1:10" x14ac:dyDescent="0.25">
      <c r="A952" s="5" t="s">
        <v>1930</v>
      </c>
      <c r="B952" s="5" t="s">
        <v>1943</v>
      </c>
      <c r="C952" s="6" t="str">
        <f>_xll.QS.CONTEXT.CREATE("market.950",A952,"USD","SOFR")</f>
        <v>QSObject:PricingContext:w1~market.950:16270</v>
      </c>
      <c r="D952" s="6" t="str">
        <f>_xll.QS.CONTEXT.ADD.CURVE(C952,"SOFR",$K$2:$K$7,$L$2:$L$7,,,"Actual360","LogLinear",TRUE)</f>
        <v>QSObject:ContextInput:w1~input.qs_context_add_curve.2359132437744.951.3.0:39166</v>
      </c>
      <c r="E952" s="6" t="str">
        <f>_xll.QS.INSTRUMENT.SWAP("swap.950",H952,B952,"USD","SOFR",I952,J952,0,"Actual360","Simple","Annual","Annual","Annual")</f>
        <v>QSObject:Swap:w1~swap.950:18256</v>
      </c>
      <c r="F952" s="6" t="str">
        <f>_xll.QS.TRADE.CREATE("trade.950",E952,A952,"Receive")</f>
        <v>QSObject:SwapTrade:w1~trade.950:22975</v>
      </c>
      <c r="G952" s="3">
        <f>_xll.QS.EVALUATE(C952,F952)</f>
        <v>15034.960699485295</v>
      </c>
      <c r="H952" s="5" t="s">
        <v>1944</v>
      </c>
      <c r="I952" s="7">
        <v>1095000</v>
      </c>
      <c r="J952" s="8">
        <v>3.5000000000000003E-2</v>
      </c>
    </row>
    <row r="953" spans="1:10" x14ac:dyDescent="0.25">
      <c r="A953" s="5" t="s">
        <v>1932</v>
      </c>
      <c r="B953" s="5" t="s">
        <v>1945</v>
      </c>
      <c r="C953" s="6" t="str">
        <f>_xll.QS.CONTEXT.CREATE("market.951",A953,"USD","SOFR")</f>
        <v>QSObject:PricingContext:w1~market.951:8175</v>
      </c>
      <c r="D953" s="6" t="str">
        <f>_xll.QS.CONTEXT.ADD.CURVE(C953,"SOFR",$K$2:$K$7,$L$2:$L$7,,,"Actual360","LogLinear",TRUE)</f>
        <v>QSObject:ContextInput:w1~input.qs_context_add_curve.2359132437744.952.3.0:39165</v>
      </c>
      <c r="E953" s="6" t="str">
        <f>_xll.QS.INSTRUMENT.SWAP("swap.951",H953,B953,"USD","SOFR",I953,J953,0,"Actual360","Simple","Annual","Annual","Annual")</f>
        <v>QSObject:Swap:w1~swap.951:3411</v>
      </c>
      <c r="F953" s="6" t="str">
        <f>_xll.QS.TRADE.CREATE("trade.951",E953,A953,"Receive")</f>
        <v>QSObject:SwapTrade:w1~trade.951:17288</v>
      </c>
      <c r="G953" s="3">
        <f>_xll.QS.EVALUATE(C953,F953)</f>
        <v>15440.528090964759</v>
      </c>
      <c r="H953" s="5" t="s">
        <v>1946</v>
      </c>
      <c r="I953" s="7">
        <v>1095100</v>
      </c>
      <c r="J953" s="8">
        <v>3.5100000000000013E-2</v>
      </c>
    </row>
    <row r="954" spans="1:10" x14ac:dyDescent="0.25">
      <c r="A954" s="5" t="s">
        <v>1934</v>
      </c>
      <c r="B954" s="5" t="s">
        <v>1947</v>
      </c>
      <c r="C954" s="6" t="str">
        <f>_xll.QS.CONTEXT.CREATE("market.952",A954,"USD","SOFR")</f>
        <v>QSObject:PricingContext:w1~market.952:11428</v>
      </c>
      <c r="D954" s="6" t="str">
        <f>_xll.QS.CONTEXT.ADD.CURVE(C954,"SOFR",$K$2:$K$7,$L$2:$L$7,,,"Actual360","LogLinear",TRUE)</f>
        <v>QSObject:ContextInput:w1~input.qs_context_add_curve.2359132437744.953.3.0:14587</v>
      </c>
      <c r="E954" s="6" t="str">
        <f>_xll.QS.INSTRUMENT.SWAP("swap.952",H954,B954,"USD","SOFR",I954,J954,0,"Actual360","Simple","Annual","Annual","Annual")</f>
        <v>QSObject:Swap:w1~swap.952:19940</v>
      </c>
      <c r="F954" s="6" t="str">
        <f>_xll.QS.TRADE.CREATE("trade.952",E954,A954,"Receive")</f>
        <v>QSObject:SwapTrade:w1~trade.952:30406</v>
      </c>
      <c r="G954" s="3">
        <f>_xll.QS.EVALUATE(C954,F954)</f>
        <v>15992.183529907386</v>
      </c>
      <c r="H954" s="5" t="s">
        <v>1948</v>
      </c>
      <c r="I954" s="7">
        <v>1095200</v>
      </c>
      <c r="J954" s="8">
        <v>3.5200000000000002E-2</v>
      </c>
    </row>
    <row r="955" spans="1:10" x14ac:dyDescent="0.25">
      <c r="A955" s="5" t="s">
        <v>1936</v>
      </c>
      <c r="B955" s="5" t="s">
        <v>1949</v>
      </c>
      <c r="C955" s="6" t="str">
        <f>_xll.QS.CONTEXT.CREATE("market.953",A955,"USD","SOFR")</f>
        <v>QSObject:PricingContext:w1~market.953:1872</v>
      </c>
      <c r="D955" s="6" t="str">
        <f>_xll.QS.CONTEXT.ADD.CURVE(C955,"SOFR",$K$2:$K$7,$L$2:$L$7,,,"Actual360","LogLinear",TRUE)</f>
        <v>QSObject:ContextInput:w1~input.qs_context_add_curve.2359132437744.954.3.0:9775</v>
      </c>
      <c r="E955" s="6" t="str">
        <f>_xll.QS.INSTRUMENT.SWAP("swap.953",H955,B955,"USD","SOFR",I955,J955,0,"Actual360","Simple","Annual","Annual","Annual")</f>
        <v>QSObject:Swap:w1~swap.953:18255</v>
      </c>
      <c r="F955" s="6" t="str">
        <f>_xll.QS.TRADE.CREATE("trade.953",E955,A955,"Receive")</f>
        <v>QSObject:SwapTrade:w1~trade.953:31141</v>
      </c>
      <c r="G955" s="3">
        <f>_xll.QS.EVALUATE(C955,F955)</f>
        <v>16532.796538077244</v>
      </c>
      <c r="H955" s="5" t="s">
        <v>1950</v>
      </c>
      <c r="I955" s="7">
        <v>1095300</v>
      </c>
      <c r="J955" s="8">
        <v>3.5299999999999998E-2</v>
      </c>
    </row>
    <row r="956" spans="1:10" x14ac:dyDescent="0.25">
      <c r="A956" s="5" t="s">
        <v>1938</v>
      </c>
      <c r="B956" s="5" t="s">
        <v>1951</v>
      </c>
      <c r="C956" s="6" t="str">
        <f>_xll.QS.CONTEXT.CREATE("market.954",A956,"USD","SOFR")</f>
        <v>QSObject:PricingContext:w1~market.954:4973</v>
      </c>
      <c r="D956" s="6" t="str">
        <f>_xll.QS.CONTEXT.ADD.CURVE(C956,"SOFR",$K$2:$K$7,$L$2:$L$7,,,"Actual360","LogLinear",TRUE)</f>
        <v>QSObject:ContextInput:w1~input.qs_context_add_curve.2359132437744.955.3.0:17287</v>
      </c>
      <c r="E956" s="6" t="str">
        <f>_xll.QS.INSTRUMENT.SWAP("swap.954",H956,B956,"USD","SOFR",I956,J956,0,"Actual360","Simple","Annual","Annual","Annual")</f>
        <v>QSObject:Swap:w1~swap.954:6582</v>
      </c>
      <c r="F956" s="6" t="str">
        <f>_xll.QS.TRADE.CREATE("trade.954",E956,A956,"Receive")</f>
        <v>QSObject:SwapTrade:w1~trade.954:22317</v>
      </c>
      <c r="G956" s="3">
        <f>_xll.QS.EVALUATE(C956,F956)</f>
        <v>17119.294082042012</v>
      </c>
      <c r="H956" s="5" t="s">
        <v>1952</v>
      </c>
      <c r="I956" s="7">
        <v>1095400</v>
      </c>
      <c r="J956" s="8">
        <v>3.5400000000000001E-2</v>
      </c>
    </row>
    <row r="957" spans="1:10" x14ac:dyDescent="0.25">
      <c r="A957" s="5" t="s">
        <v>1940</v>
      </c>
      <c r="B957" s="5" t="s">
        <v>1953</v>
      </c>
      <c r="C957" s="6" t="str">
        <f>_xll.QS.CONTEXT.CREATE("market.955",A957,"USD","SOFR")</f>
        <v>QSObject:PricingContext:w1~market.955:14586</v>
      </c>
      <c r="D957" s="6" t="str">
        <f>_xll.QS.CONTEXT.ADD.CURVE(C957,"SOFR",$K$2:$K$7,$L$2:$L$7,,,"Actual360","LogLinear",TRUE)</f>
        <v>QSObject:ContextInput:w1~input.qs_context_add_curve.2359132437744.956.3.0:39164</v>
      </c>
      <c r="E957" s="6" t="str">
        <f>_xll.QS.INSTRUMENT.SWAP("swap.955",H957,B957,"USD","SOFR",I957,J957,0,"Actual360","Simple","Annual","Annual","Annual")</f>
        <v>QSObject:Swap:w1~swap.955:8174</v>
      </c>
      <c r="F957" s="6" t="str">
        <f>_xll.QS.TRADE.CREATE("trade.955",E957,A957,"Receive")</f>
        <v>QSObject:SwapTrade:w1~trade.955:12950</v>
      </c>
      <c r="G957" s="3">
        <f>_xll.QS.EVALUATE(C957,F957)</f>
        <v>17673.784120783177</v>
      </c>
      <c r="H957" s="5" t="s">
        <v>1954</v>
      </c>
      <c r="I957" s="7">
        <v>1095500</v>
      </c>
      <c r="J957" s="8">
        <v>3.5499999999999997E-2</v>
      </c>
    </row>
    <row r="958" spans="1:10" x14ac:dyDescent="0.25">
      <c r="A958" s="5" t="s">
        <v>1942</v>
      </c>
      <c r="B958" s="5" t="s">
        <v>1955</v>
      </c>
      <c r="C958" s="6" t="str">
        <f>_xll.QS.CONTEXT.CREATE("market.956",A958,"USD","SOFR")</f>
        <v>QSObject:PricingContext:w1~market.956:9774</v>
      </c>
      <c r="D958" s="6" t="str">
        <f>_xll.QS.CONTEXT.ADD.CURVE(C958,"SOFR",$K$2:$K$7,$L$2:$L$7,,,"Actual360","LogLinear",TRUE)</f>
        <v>QSObject:ContextInput:w1~input.qs_context_add_curve.2359132437744.957.3.0:19939</v>
      </c>
      <c r="E958" s="6" t="str">
        <f>_xll.QS.INSTRUMENT.SWAP("swap.956",H958,B958,"USD","SOFR",I958,J958,0,"Actual360","Simple","Annual","Annual","Annual")</f>
        <v>QSObject:Swap:w1~swap.956:1871</v>
      </c>
      <c r="F958" s="6" t="str">
        <f>_xll.QS.TRADE.CREATE("trade.956",E958,A958,"Receive")</f>
        <v>QSObject:SwapTrade:w1~trade.956:16269</v>
      </c>
      <c r="G958" s="3">
        <f>_xll.QS.EVALUATE(C958,F958)</f>
        <v>18138.507042120429</v>
      </c>
      <c r="H958" s="5" t="s">
        <v>1956</v>
      </c>
      <c r="I958" s="7">
        <v>1095600</v>
      </c>
      <c r="J958" s="8">
        <v>3.5600000000000007E-2</v>
      </c>
    </row>
    <row r="959" spans="1:10" x14ac:dyDescent="0.25">
      <c r="A959" s="5" t="s">
        <v>1944</v>
      </c>
      <c r="B959" s="5" t="s">
        <v>1957</v>
      </c>
      <c r="C959" s="6" t="str">
        <f>_xll.QS.CONTEXT.CREATE("market.957",A959,"USD","SOFR")</f>
        <v>QSObject:PricingContext:w1~market.957:4972</v>
      </c>
      <c r="D959" s="6" t="str">
        <f>_xll.QS.CONTEXT.ADD.CURVE(C959,"SOFR",$K$2:$K$7,$L$2:$L$7,,,"Actual360","LogLinear",TRUE)</f>
        <v>QSObject:ContextInput:w1~input.qs_context_add_curve.2359132437744.958.3.0:17286</v>
      </c>
      <c r="E959" s="6" t="str">
        <f>_xll.QS.INSTRUMENT.SWAP("swap.957",H959,B959,"USD","SOFR",I959,J959,0,"Actual360","Simple","Annual","Annual","Annual")</f>
        <v>QSObject:Swap:w1~swap.957:18254</v>
      </c>
      <c r="F959" s="6" t="str">
        <f>_xll.QS.TRADE.CREATE("trade.957",E959,A959,"Receive")</f>
        <v>QSObject:SwapTrade:w1~trade.957:22974</v>
      </c>
      <c r="G959" s="3">
        <f>_xll.QS.EVALUATE(C959,F959)</f>
        <v>18577.298592282132</v>
      </c>
      <c r="H959" s="5" t="s">
        <v>1958</v>
      </c>
      <c r="I959" s="7">
        <v>1095700</v>
      </c>
      <c r="J959" s="8">
        <v>3.5700000000000003E-2</v>
      </c>
    </row>
    <row r="960" spans="1:10" x14ac:dyDescent="0.25">
      <c r="A960" s="5" t="s">
        <v>1946</v>
      </c>
      <c r="B960" s="5" t="s">
        <v>1959</v>
      </c>
      <c r="C960" s="6" t="str">
        <f>_xll.QS.CONTEXT.CREATE("market.958",A960,"USD","SOFR")</f>
        <v>QSObject:PricingContext:w1~market.958:6581</v>
      </c>
      <c r="D960" s="6" t="str">
        <f>_xll.QS.CONTEXT.ADD.CURVE(C960,"SOFR",$K$2:$K$7,$L$2:$L$7,,,"Actual360","LogLinear",TRUE)</f>
        <v>QSObject:ContextInput:w1~input.qs_context_add_curve.2359132437744.959.3.0:14585</v>
      </c>
      <c r="E960" s="6" t="str">
        <f>_xll.QS.INSTRUMENT.SWAP("swap.958",H960,B960,"USD","SOFR",I960,J960,0,"Actual360","Simple","Annual","Annual","Annual")</f>
        <v>QSObject:Swap:w1~swap.958:11427</v>
      </c>
      <c r="F960" s="6" t="str">
        <f>_xll.QS.TRADE.CREATE("trade.958",E960,A960,"Receive")</f>
        <v>QSObject:SwapTrade:w1~trade.958:12949</v>
      </c>
      <c r="G960" s="3">
        <f>_xll.QS.EVALUATE(C960,F960)</f>
        <v>18988.93061038935</v>
      </c>
      <c r="H960" s="5" t="s">
        <v>1960</v>
      </c>
      <c r="I960" s="7">
        <v>1095800</v>
      </c>
      <c r="J960" s="8">
        <v>3.5800000000000012E-2</v>
      </c>
    </row>
    <row r="961" spans="1:10" x14ac:dyDescent="0.25">
      <c r="A961" s="5" t="s">
        <v>1948</v>
      </c>
      <c r="B961" s="5" t="s">
        <v>1961</v>
      </c>
      <c r="C961" s="6" t="str">
        <f>_xll.QS.CONTEXT.CREATE("market.959",A961,"USD","SOFR")</f>
        <v>QSObject:PricingContext:w1~market.959:19938</v>
      </c>
      <c r="D961" s="6" t="str">
        <f>_xll.QS.CONTEXT.ADD.CURVE(C961,"SOFR",$K$2:$K$7,$L$2:$L$7,,,"Actual360","LogLinear",TRUE)</f>
        <v>QSObject:ContextInput:w1~input.qs_context_add_curve.2359132437744.960.3.0:39163</v>
      </c>
      <c r="E961" s="6" t="str">
        <f>_xll.QS.INSTRUMENT.SWAP("swap.959",H961,B961,"USD","SOFR",I961,J961,0,"Actual360","Simple","Annual","Annual","Annual")</f>
        <v>QSObject:Swap:w1~swap.959:8173</v>
      </c>
      <c r="F961" s="6" t="str">
        <f>_xll.QS.TRADE.CREATE("trade.959",E961,A961,"Receive")</f>
        <v>QSObject:SwapTrade:w1~trade.959:25035</v>
      </c>
      <c r="G961" s="3">
        <f>_xll.QS.EVALUATE(C961,F961)</f>
        <v>19541.603339185061</v>
      </c>
      <c r="H961" s="5" t="s">
        <v>1962</v>
      </c>
      <c r="I961" s="7">
        <v>1095900</v>
      </c>
      <c r="J961" s="8">
        <v>3.5900000000000001E-2</v>
      </c>
    </row>
    <row r="962" spans="1:10" x14ac:dyDescent="0.25">
      <c r="A962" s="5" t="s">
        <v>1950</v>
      </c>
      <c r="B962" s="5" t="s">
        <v>1963</v>
      </c>
      <c r="C962" s="6" t="str">
        <f>_xll.QS.CONTEXT.CREATE("market.960",A962,"USD","SOFR")</f>
        <v>QSObject:PricingContext:w1~market.960:1870</v>
      </c>
      <c r="D962" s="6" t="str">
        <f>_xll.QS.CONTEXT.ADD.CURVE(C962,"SOFR",$K$2:$K$7,$L$2:$L$7,,,"Actual360","LogLinear",TRUE)</f>
        <v>QSObject:ContextInput:w1~input.qs_context_add_curve.2359132437744.961.3.0:16268</v>
      </c>
      <c r="E962" s="6" t="str">
        <f>_xll.QS.INSTRUMENT.SWAP("swap.960",H962,B962,"USD","SOFR",I962,J962,0,"Actual360","Simple","Annual","Annual","Annual")</f>
        <v>QSObject:Swap:w1~swap.960:17285</v>
      </c>
      <c r="F962" s="6" t="str">
        <f>_xll.QS.TRADE.CREATE("trade.960",E962,A962,"Receive")</f>
        <v>QSObject:SwapTrade:w1~trade.960:18253</v>
      </c>
      <c r="G962" s="3">
        <f>_xll.QS.EVALUATE(C962,F962)</f>
        <v>20081.16763260408</v>
      </c>
      <c r="H962" s="5" t="s">
        <v>1964</v>
      </c>
      <c r="I962" s="7">
        <v>1096000</v>
      </c>
      <c r="J962" s="8">
        <v>3.5999999999999997E-2</v>
      </c>
    </row>
    <row r="963" spans="1:10" x14ac:dyDescent="0.25">
      <c r="A963" s="5" t="s">
        <v>1952</v>
      </c>
      <c r="B963" s="5" t="s">
        <v>1965</v>
      </c>
      <c r="C963" s="6" t="str">
        <f>_xll.QS.CONTEXT.CREATE("market.961",A963,"USD","SOFR")</f>
        <v>QSObject:PricingContext:w1~market.961:14584</v>
      </c>
      <c r="D963" s="6" t="str">
        <f>_xll.QS.CONTEXT.ADD.CURVE(C963,"SOFR",$K$2:$K$7,$L$2:$L$7,,,"Actual360","LogLinear",TRUE)</f>
        <v>QSObject:ContextInput:w1~input.qs_context_add_curve.2359132437744.962.3.0:39162</v>
      </c>
      <c r="E963" s="6" t="str">
        <f>_xll.QS.INSTRUMENT.SWAP("swap.961",H963,B963,"USD","SOFR",I963,J963,0,"Actual360","Simple","Annual","Annual","Annual")</f>
        <v>QSObject:Swap:w1~swap.961:3410</v>
      </c>
      <c r="F963" s="6" t="str">
        <f>_xll.QS.TRADE.CREATE("trade.961",E963,A963,"Receive")</f>
        <v>QSObject:SwapTrade:w1~trade.961:12948</v>
      </c>
      <c r="G963" s="3">
        <f>_xll.QS.EVALUATE(C963,F963)</f>
        <v>20668.414296436986</v>
      </c>
      <c r="H963" s="5" t="s">
        <v>1966</v>
      </c>
      <c r="I963" s="7">
        <v>1096100</v>
      </c>
      <c r="J963" s="8">
        <v>3.61E-2</v>
      </c>
    </row>
    <row r="964" spans="1:10" x14ac:dyDescent="0.25">
      <c r="A964" s="5" t="s">
        <v>1954</v>
      </c>
      <c r="B964" s="5" t="s">
        <v>1967</v>
      </c>
      <c r="C964" s="6" t="str">
        <f>_xll.QS.CONTEXT.CREATE("market.962",A964,"USD","SOFR")</f>
        <v>QSObject:PricingContext:w1~market.962:19937</v>
      </c>
      <c r="D964" s="6" t="str">
        <f>_xll.QS.CONTEXT.ADD.CURVE(C964,"SOFR",$K$2:$K$7,$L$2:$L$7,,,"Actual360","LogLinear",TRUE)</f>
        <v>QSObject:ContextInput:w1~input.qs_context_add_curve.2359132437744.963.3.0:39161</v>
      </c>
      <c r="E964" s="6" t="str">
        <f>_xll.QS.INSTRUMENT.SWAP("swap.962",H964,B964,"USD","SOFR",I964,J964,0,"Actual360","Simple","Annual","Annual","Annual")</f>
        <v>QSObject:Swap:w1~swap.962:11426</v>
      </c>
      <c r="F964" s="6" t="str">
        <f>_xll.QS.TRADE.CREATE("trade.962",E964,A964,"Receive")</f>
        <v>QSObject:SwapTrade:w1~trade.962:26531</v>
      </c>
      <c r="G964" s="3">
        <f>_xll.QS.EVALUATE(C964,F964)</f>
        <v>21223.621068835429</v>
      </c>
      <c r="H964" s="5" t="s">
        <v>1968</v>
      </c>
      <c r="I964" s="7">
        <v>1096200</v>
      </c>
      <c r="J964" s="8">
        <v>3.6200000000000003E-2</v>
      </c>
    </row>
    <row r="965" spans="1:10" x14ac:dyDescent="0.25">
      <c r="A965" s="5" t="s">
        <v>1956</v>
      </c>
      <c r="B965" s="5" t="s">
        <v>1969</v>
      </c>
      <c r="C965" s="6" t="str">
        <f>_xll.QS.CONTEXT.CREATE("market.963",A965,"USD","SOFR")</f>
        <v>QSObject:PricingContext:w1~market.963:17284</v>
      </c>
      <c r="D965" s="6" t="str">
        <f>_xll.QS.CONTEXT.ADD.CURVE(C965,"SOFR",$K$2:$K$7,$L$2:$L$7,,,"Actual360","LogLinear",TRUE)</f>
        <v>QSObject:ContextInput:w1~input.qs_context_add_curve.2359132437744.964.3.0:39160</v>
      </c>
      <c r="E965" s="6" t="str">
        <f>_xll.QS.INSTRUMENT.SWAP("swap.963",H965,B965,"USD","SOFR",I965,J965,0,"Actual360","Simple","Annual","Annual","Annual")</f>
        <v>QSObject:Swap:w1~swap.963:1869</v>
      </c>
      <c r="F965" s="6" t="str">
        <f>_xll.QS.TRADE.CREATE("trade.963",E965,A965,"Receive")</f>
        <v>QSObject:SwapTrade:w1~trade.963:14583</v>
      </c>
      <c r="G965" s="3">
        <f>_xll.QS.EVALUATE(C965,F965)</f>
        <v>21688.924438999231</v>
      </c>
      <c r="H965" s="5" t="s">
        <v>1970</v>
      </c>
      <c r="I965" s="7">
        <v>1096300</v>
      </c>
      <c r="J965" s="8">
        <v>3.6300000000000013E-2</v>
      </c>
    </row>
    <row r="966" spans="1:10" x14ac:dyDescent="0.25">
      <c r="A966" s="5" t="s">
        <v>1958</v>
      </c>
      <c r="B966" s="5" t="s">
        <v>1971</v>
      </c>
      <c r="C966" s="6" t="str">
        <f>_xll.QS.CONTEXT.CREATE("market.964",A966,"USD","SOFR")</f>
        <v>QSObject:PricingContext:w1~market.964:6580</v>
      </c>
      <c r="D966" s="6" t="str">
        <f>_xll.QS.CONTEXT.ADD.CURVE(C966,"SOFR",$K$2:$K$7,$L$2:$L$7,,,"Actual360","LogLinear",TRUE)</f>
        <v>QSObject:ContextInput:w1~input.qs_context_add_curve.2359132437744.965.3.0:18252</v>
      </c>
      <c r="E966" s="6" t="str">
        <f>_xll.QS.INSTRUMENT.SWAP("swap.964",H966,B966,"USD","SOFR",I966,J966,0,"Actual360","Simple","Annual","Annual","Annual")</f>
        <v>QSObject:Swap:w1~swap.964:16267</v>
      </c>
      <c r="F966" s="6" t="str">
        <f>_xll.QS.TRADE.CREATE("trade.964",E966,A966,"Receive")</f>
        <v>QSObject:SwapTrade:w1~trade.964:25034</v>
      </c>
      <c r="G966" s="3">
        <f>_xll.QS.EVALUATE(C966,F966)</f>
        <v>22124.15032746565</v>
      </c>
      <c r="H966" s="5" t="s">
        <v>1972</v>
      </c>
      <c r="I966" s="7">
        <v>1096400</v>
      </c>
      <c r="J966" s="8">
        <v>3.6400000000000002E-2</v>
      </c>
    </row>
    <row r="967" spans="1:10" x14ac:dyDescent="0.25">
      <c r="A967" s="5" t="s">
        <v>1960</v>
      </c>
      <c r="B967" s="5" t="s">
        <v>1973</v>
      </c>
      <c r="C967" s="6" t="str">
        <f>_xll.QS.CONTEXT.CREATE("market.965",A967,"USD","SOFR")</f>
        <v>QSObject:PricingContext:w1~market.965:9773</v>
      </c>
      <c r="D967" s="6" t="str">
        <f>_xll.QS.CONTEXT.ADD.CURVE(C967,"SOFR",$K$2:$K$7,$L$2:$L$7,,,"Actual360","LogLinear",TRUE)</f>
        <v>QSObject:ContextInput:w1~input.qs_context_add_curve.2359132437744.966.3.0:19936</v>
      </c>
      <c r="E967" s="6" t="str">
        <f>_xll.QS.INSTRUMENT.SWAP("swap.965",H967,B967,"USD","SOFR",I967,J967,0,"Actual360","Simple","Annual","Annual","Annual")</f>
        <v>QSObject:Swap:w1~swap.965:3409</v>
      </c>
      <c r="F967" s="6" t="str">
        <f>_xll.QS.TRADE.CREATE("trade.965",E967,A967,"Receive")</f>
        <v>QSObject:SwapTrade:w1~trade.965:8172</v>
      </c>
      <c r="G967" s="3">
        <f>_xll.QS.EVALUATE(C967,F967)</f>
        <v>22632.986338631843</v>
      </c>
      <c r="H967" s="5" t="s">
        <v>1974</v>
      </c>
      <c r="I967" s="7">
        <v>1096500</v>
      </c>
      <c r="J967" s="8">
        <v>3.6499999999999998E-2</v>
      </c>
    </row>
    <row r="968" spans="1:10" x14ac:dyDescent="0.25">
      <c r="A968" s="5" t="s">
        <v>1962</v>
      </c>
      <c r="B968" s="5" t="s">
        <v>1975</v>
      </c>
      <c r="C968" s="6" t="str">
        <f>_xll.QS.CONTEXT.CREATE("market.966",A968,"USD","SOFR")</f>
        <v>QSObject:PricingContext:w1~market.966:1868</v>
      </c>
      <c r="D968" s="6" t="str">
        <f>_xll.QS.CONTEXT.ADD.CURVE(C968,"SOFR",$K$2:$K$7,$L$2:$L$7,,,"Actual360","LogLinear",TRUE)</f>
        <v>QSObject:ContextInput:w1~input.qs_context_add_curve.2359132437744.967.3.0:4971</v>
      </c>
      <c r="E968" s="6" t="str">
        <f>_xll.QS.INSTRUMENT.SWAP("swap.966",H968,B968,"USD","SOFR",I968,J968,0,"Actual360","Simple","Annual","Annual","Annual")</f>
        <v>QSObject:Swap:w1~swap.966:11425</v>
      </c>
      <c r="F968" s="6" t="str">
        <f>_xll.QS.TRADE.CREATE("trade.966",E968,A968,"Receive")</f>
        <v>QSObject:SwapTrade:w1~trade.966:14582</v>
      </c>
      <c r="G968" s="3">
        <f>_xll.QS.EVALUATE(C968,F968)</f>
        <v>23186.118639984383</v>
      </c>
      <c r="H968" s="5" t="s">
        <v>1976</v>
      </c>
      <c r="I968" s="7">
        <v>1096600</v>
      </c>
      <c r="J968" s="8">
        <v>3.6600000000000001E-2</v>
      </c>
    </row>
    <row r="969" spans="1:10" x14ac:dyDescent="0.25">
      <c r="A969" s="5" t="s">
        <v>1964</v>
      </c>
      <c r="B969" s="5" t="s">
        <v>1977</v>
      </c>
      <c r="C969" s="6" t="str">
        <f>_xll.QS.CONTEXT.CREATE("market.967",A969,"USD","SOFR")</f>
        <v>QSObject:PricingContext:w1~market.967:16266</v>
      </c>
      <c r="D969" s="6" t="str">
        <f>_xll.QS.CONTEXT.ADD.CURVE(C969,"SOFR",$K$2:$K$7,$L$2:$L$7,,,"Actual360","LogLinear",TRUE)</f>
        <v>QSObject:ContextInput:w1~input.qs_context_add_curve.2359132437744.968.3.0:17283</v>
      </c>
      <c r="E969" s="6" t="str">
        <f>_xll.QS.INSTRUMENT.SWAP("swap.967",H969,B969,"USD","SOFR",I969,J969,0,"Actual360","Simple","Annual","Annual","Annual")</f>
        <v>QSObject:Swap:w1~swap.967:18251</v>
      </c>
      <c r="F969" s="6" t="str">
        <f>_xll.QS.TRADE.CREATE("trade.967",E969,A969,"Receive")</f>
        <v>QSObject:SwapTrade:w1~trade.967:19935</v>
      </c>
      <c r="G969" s="3">
        <f>_xll.QS.EVALUATE(C969,F969)</f>
        <v>23604.107719494819</v>
      </c>
      <c r="H969" s="5" t="s">
        <v>1978</v>
      </c>
      <c r="I969" s="7">
        <v>1096700</v>
      </c>
      <c r="J969" s="8">
        <v>3.6700000000000003E-2</v>
      </c>
    </row>
    <row r="970" spans="1:10" x14ac:dyDescent="0.25">
      <c r="A970" s="5" t="s">
        <v>1966</v>
      </c>
      <c r="B970" s="5" t="s">
        <v>1979</v>
      </c>
      <c r="C970" s="6" t="str">
        <f>_xll.QS.CONTEXT.CREATE("market.968",A970,"USD","SOFR")</f>
        <v>QSObject:PricingContext:w1~market.968:8171</v>
      </c>
      <c r="D970" s="6" t="str">
        <f>_xll.QS.CONTEXT.ADD.CURVE(C970,"SOFR",$K$2:$K$7,$L$2:$L$7,,,"Actual360","LogLinear",TRUE)</f>
        <v>QSObject:ContextInput:w1~input.qs_context_add_curve.2359132437744.969.3.0:12947</v>
      </c>
      <c r="E970" s="6" t="str">
        <f>_xll.QS.INSTRUMENT.SWAP("swap.968",H970,B970,"USD","SOFR",I970,J970,0,"Actual360","Simple","Annual","Annual","Annual")</f>
        <v>QSObject:Swap:w1~swap.968:1867</v>
      </c>
      <c r="F970" s="6" t="str">
        <f>_xll.QS.TRADE.CREATE("trade.968",E970,A970,"Receive")</f>
        <v>QSObject:SwapTrade:w1~trade.968:4970</v>
      </c>
      <c r="G970" s="3">
        <f>_xll.QS.EVALUATE(C970,F970)</f>
        <v>24262.361898979612</v>
      </c>
      <c r="H970" s="5" t="s">
        <v>1980</v>
      </c>
      <c r="I970" s="7">
        <v>1096800</v>
      </c>
      <c r="J970" s="8">
        <v>3.6800000000000013E-2</v>
      </c>
    </row>
    <row r="971" spans="1:10" x14ac:dyDescent="0.25">
      <c r="A971" s="5" t="s">
        <v>1968</v>
      </c>
      <c r="B971" s="5" t="s">
        <v>1981</v>
      </c>
      <c r="C971" s="6" t="str">
        <f>_xll.QS.CONTEXT.CREATE("market.969",A971,"USD","SOFR")</f>
        <v>QSObject:PricingContext:w1~market.969:16265</v>
      </c>
      <c r="D971" s="6" t="str">
        <f>_xll.QS.CONTEXT.ADD.CURVE(C971,"SOFR",$K$2:$K$7,$L$2:$L$7,,,"Actual360","LogLinear",TRUE)</f>
        <v>QSObject:ContextInput:w1~input.qs_context_add_curve.2359132437744.970.3.0:17282</v>
      </c>
      <c r="E971" s="6" t="str">
        <f>_xll.QS.INSTRUMENT.SWAP("swap.969",H971,B971,"USD","SOFR",I971,J971,0,"Actual360","Simple","Annual","Annual","Annual")</f>
        <v>QSObject:Swap:w1~swap.969:3408</v>
      </c>
      <c r="F971" s="6" t="str">
        <f>_xll.QS.TRADE.CREATE("trade.969",E971,A971,"Receive")</f>
        <v>QSObject:SwapTrade:w1~trade.969:9772</v>
      </c>
      <c r="G971" s="3">
        <f>_xll.QS.EVALUATE(C971,F971)</f>
        <v>24773.647028079944</v>
      </c>
      <c r="H971" s="5" t="s">
        <v>1982</v>
      </c>
      <c r="I971" s="7">
        <v>1096900</v>
      </c>
      <c r="J971" s="8">
        <v>3.6900000000000002E-2</v>
      </c>
    </row>
    <row r="972" spans="1:10" x14ac:dyDescent="0.25">
      <c r="A972" s="5" t="s">
        <v>1970</v>
      </c>
      <c r="B972" s="5" t="s">
        <v>1983</v>
      </c>
      <c r="C972" s="6" t="str">
        <f>_xll.QS.CONTEXT.CREATE("market.970",A972,"USD","SOFR")</f>
        <v>QSObject:PricingContext:w1~market.970:8170</v>
      </c>
      <c r="D972" s="6" t="str">
        <f>_xll.QS.CONTEXT.ADD.CURVE(C972,"SOFR",$K$2:$K$7,$L$2:$L$7,,,"Actual360","LogLinear",TRUE)</f>
        <v>QSObject:ContextInput:w1~input.qs_context_add_curve.2359132437744.971.3.0:19934</v>
      </c>
      <c r="E972" s="6" t="str">
        <f>_xll.QS.INSTRUMENT.SWAP("swap.970",H972,B972,"USD","SOFR",I972,J972,0,"Actual360","Simple","Annual","Annual","Annual")</f>
        <v>QSObject:Swap:w1~swap.970:11424</v>
      </c>
      <c r="F972" s="6" t="str">
        <f>_xll.QS.TRADE.CREATE("trade.970",E972,A972,"Receive")</f>
        <v>QSObject:SwapTrade:w1~trade.970:14581</v>
      </c>
      <c r="G972" s="3">
        <f>_xll.QS.EVALUATE(C972,F972)</f>
        <v>25285.25656269812</v>
      </c>
      <c r="H972" s="5" t="s">
        <v>1984</v>
      </c>
      <c r="I972" s="7">
        <v>1097000</v>
      </c>
      <c r="J972" s="8">
        <v>3.7000000000000012E-2</v>
      </c>
    </row>
    <row r="973" spans="1:10" x14ac:dyDescent="0.25">
      <c r="A973" s="5" t="s">
        <v>1972</v>
      </c>
      <c r="B973" s="5" t="s">
        <v>1985</v>
      </c>
      <c r="C973" s="6" t="str">
        <f>_xll.QS.CONTEXT.CREATE("market.971",A973,"USD","SOFR")</f>
        <v>QSObject:PricingContext:w1~market.971:6579</v>
      </c>
      <c r="D973" s="6" t="str">
        <f>_xll.QS.CONTEXT.ADD.CURVE(C973,"SOFR",$K$2:$K$7,$L$2:$L$7,,,"Actual360","LogLinear",TRUE)</f>
        <v>QSObject:ContextInput:w1~input.qs_context_add_curve.2359132437744.972.3.0:39159</v>
      </c>
      <c r="E973" s="6" t="str">
        <f>_xll.QS.INSTRUMENT.SWAP("swap.971",H973,B973,"USD","SOFR",I973,J973,0,"Actual360","Simple","Annual","Annual","Annual")</f>
        <v>QSObject:Swap:w1~swap.971:18250</v>
      </c>
      <c r="F973" s="6" t="str">
        <f>_xll.QS.TRADE.CREATE("trade.971",E973,A973,"Receive")</f>
        <v>QSObject:SwapTrade:w1~trade.971:29663</v>
      </c>
      <c r="G973" s="3">
        <f>_xll.QS.EVALUATE(C973,F973)</f>
        <v>25700.388531862944</v>
      </c>
      <c r="H973" s="5" t="s">
        <v>1986</v>
      </c>
      <c r="I973" s="7">
        <v>1097100</v>
      </c>
      <c r="J973" s="8">
        <v>3.7100000000000001E-2</v>
      </c>
    </row>
    <row r="974" spans="1:10" x14ac:dyDescent="0.25">
      <c r="A974" s="5" t="s">
        <v>1974</v>
      </c>
      <c r="B974" s="5" t="s">
        <v>1987</v>
      </c>
      <c r="C974" s="6" t="str">
        <f>_xll.QS.CONTEXT.CREATE("market.972",A974,"USD","SOFR")</f>
        <v>QSObject:PricingContext:w1~market.972:9771</v>
      </c>
      <c r="D974" s="6" t="str">
        <f>_xll.QS.CONTEXT.ADD.CURVE(C974,"SOFR",$K$2:$K$7,$L$2:$L$7,,,"Actual360","LogLinear",TRUE)</f>
        <v>QSObject:ContextInput:w1~input.qs_context_add_curve.2359132437744.973.3.0:17281</v>
      </c>
      <c r="E974" s="6" t="str">
        <f>_xll.QS.INSTRUMENT.SWAP("swap.972",H974,B974,"USD","SOFR",I974,J974,0,"Actual360","Simple","Annual","Annual","Annual")</f>
        <v>QSObject:Swap:w1~swap.972:12946</v>
      </c>
      <c r="F974" s="6" t="str">
        <f>_xll.QS.TRADE.CREATE("trade.972",E974,A974,"Receive")</f>
        <v>QSObject:SwapTrade:w1~trade.972:16264</v>
      </c>
      <c r="G974" s="3">
        <f>_xll.QS.EVALUATE(C974,F974)</f>
        <v>26123.889591023377</v>
      </c>
      <c r="H974" s="5" t="s">
        <v>1988</v>
      </c>
      <c r="I974" s="7">
        <v>1097200</v>
      </c>
      <c r="J974" s="8">
        <v>3.7199999999999997E-2</v>
      </c>
    </row>
    <row r="975" spans="1:10" x14ac:dyDescent="0.25">
      <c r="A975" s="5" t="s">
        <v>1976</v>
      </c>
      <c r="B975" s="5" t="s">
        <v>1989</v>
      </c>
      <c r="C975" s="6" t="str">
        <f>_xll.QS.CONTEXT.CREATE("market.973",A975,"USD","SOFR")</f>
        <v>QSObject:PricingContext:w1~market.973:8169</v>
      </c>
      <c r="D975" s="6" t="str">
        <f>_xll.QS.CONTEXT.ADD.CURVE(C975,"SOFR",$K$2:$K$7,$L$2:$L$7,,,"Actual360","LogLinear",TRUE)</f>
        <v>QSObject:ContextInput:w1~input.qs_context_add_curve.2359132437744.974.3.0:14580</v>
      </c>
      <c r="E975" s="6" t="str">
        <f>_xll.QS.INSTRUMENT.SWAP("swap.973",H975,B975,"USD","SOFR",I975,J975,0,"Actual360","Simple","Annual","Annual","Annual")</f>
        <v>QSObject:Swap:w1~swap.973:11423</v>
      </c>
      <c r="F975" s="6" t="str">
        <f>_xll.QS.TRADE.CREATE("trade.973",E975,A975,"Receive")</f>
        <v>QSObject:SwapTrade:w1~trade.973:23483</v>
      </c>
      <c r="G975" s="3">
        <f>_xll.QS.EVALUATE(C975,F975)</f>
        <v>26637.077109978076</v>
      </c>
      <c r="H975" s="5" t="s">
        <v>1990</v>
      </c>
      <c r="I975" s="7">
        <v>1097300</v>
      </c>
      <c r="J975" s="8">
        <v>3.73E-2</v>
      </c>
    </row>
    <row r="976" spans="1:10" x14ac:dyDescent="0.25">
      <c r="A976" s="5" t="s">
        <v>1978</v>
      </c>
      <c r="B976" s="5" t="s">
        <v>1991</v>
      </c>
      <c r="C976" s="6" t="str">
        <f>_xll.QS.CONTEXT.CREATE("market.974",A976,"USD","SOFR")</f>
        <v>QSObject:PricingContext:w1~market.974:6578</v>
      </c>
      <c r="D976" s="6" t="str">
        <f>_xll.QS.CONTEXT.ADD.CURVE(C976,"SOFR",$K$2:$K$7,$L$2:$L$7,,,"Actual360","LogLinear",TRUE)</f>
        <v>QSObject:ContextInput:w1~input.qs_context_add_curve.2359132437744.975.3.0:23482</v>
      </c>
      <c r="E976" s="6" t="str">
        <f>_xll.QS.INSTRUMENT.SWAP("swap.974",H976,B976,"USD","SOFR",I976,J976,0,"Actual360","Simple","Annual","Annual","Annual")</f>
        <v>QSObject:Swap:w1~swap.974:19933</v>
      </c>
      <c r="F976" s="6" t="str">
        <f>_xll.QS.TRADE.CREATE("trade.974",E976,A976,"Receive")</f>
        <v>QSObject:SwapTrade:w1~trade.974:30312</v>
      </c>
      <c r="G976" s="3">
        <f>_xll.QS.EVALUATE(C976,F976)</f>
        <v>27191.906715315919</v>
      </c>
      <c r="H976" s="5" t="s">
        <v>1992</v>
      </c>
      <c r="I976" s="7">
        <v>1097400</v>
      </c>
      <c r="J976" s="8">
        <v>3.7400000000000003E-2</v>
      </c>
    </row>
    <row r="977" spans="1:10" x14ac:dyDescent="0.25">
      <c r="A977" s="5" t="s">
        <v>1980</v>
      </c>
      <c r="B977" s="5" t="s">
        <v>1993</v>
      </c>
      <c r="C977" s="6" t="str">
        <f>_xll.QS.CONTEXT.CREATE("market.975",A977,"USD","SOFR")</f>
        <v>QSObject:PricingContext:w1~market.975:18249</v>
      </c>
      <c r="D977" s="6" t="str">
        <f>_xll.QS.CONTEXT.ADD.CURVE(C977,"SOFR",$K$2:$K$7,$L$2:$L$7,,,"Actual360","LogLinear",TRUE)</f>
        <v>QSObject:ContextInput:w1~input.qs_context_add_curve.2359132437744.976.3.0:39158</v>
      </c>
      <c r="E977" s="6" t="str">
        <f>_xll.QS.INSTRUMENT.SWAP("swap.975",H977,B977,"USD","SOFR",I977,J977,0,"Actual360","Simple","Annual","Annual","Annual")</f>
        <v>QSObject:Swap:w1~swap.975:4969</v>
      </c>
      <c r="F977" s="6" t="str">
        <f>_xll.QS.TRADE.CREATE("trade.975",E977,A977,"Receive")</f>
        <v>QSObject:SwapTrade:w1~trade.975:12945</v>
      </c>
      <c r="G977" s="3">
        <f>_xll.QS.EVALUATE(C977,F977)</f>
        <v>27780.39750531712</v>
      </c>
      <c r="H977" s="5" t="s">
        <v>1994</v>
      </c>
      <c r="I977" s="7">
        <v>1097500</v>
      </c>
      <c r="J977" s="8">
        <v>3.7500000000000012E-2</v>
      </c>
    </row>
    <row r="978" spans="1:10" x14ac:dyDescent="0.25">
      <c r="A978" s="5" t="s">
        <v>1982</v>
      </c>
      <c r="B978" s="5" t="s">
        <v>1995</v>
      </c>
      <c r="C978" s="6" t="str">
        <f>_xll.QS.CONTEXT.CREATE("market.976",A978,"USD","SOFR")</f>
        <v>QSObject:PricingContext:w1~market.976:14579</v>
      </c>
      <c r="D978" s="6" t="str">
        <f>_xll.QS.CONTEXT.ADD.CURVE(C978,"SOFR",$K$2:$K$7,$L$2:$L$7,,,"Actual360","LogLinear",TRUE)</f>
        <v>QSObject:ContextInput:w1~input.qs_context_add_curve.2359132437744.977.3.0:23481</v>
      </c>
      <c r="E978" s="6" t="str">
        <f>_xll.QS.INSTRUMENT.SWAP("swap.976",H978,B978,"USD","SOFR",I978,J978,0,"Actual360","Simple","Annual","Annual","Annual")</f>
        <v>QSObject:Swap:w1~swap.976:16263</v>
      </c>
      <c r="F978" s="6" t="str">
        <f>_xll.QS.TRADE.CREATE("trade.976",E978,A978,"Receive")</f>
        <v>QSObject:SwapTrade:w1~trade.976:29662</v>
      </c>
      <c r="G978" s="3">
        <f>_xll.QS.EVALUATE(C978,F978)</f>
        <v>28338.141433713208</v>
      </c>
      <c r="H978" s="5" t="s">
        <v>1996</v>
      </c>
      <c r="I978" s="7">
        <v>1097600</v>
      </c>
      <c r="J978" s="8">
        <v>3.7600000000000001E-2</v>
      </c>
    </row>
    <row r="979" spans="1:10" x14ac:dyDescent="0.25">
      <c r="A979" s="5" t="s">
        <v>1984</v>
      </c>
      <c r="B979" s="5" t="s">
        <v>1997</v>
      </c>
      <c r="C979" s="6" t="str">
        <f>_xll.QS.CONTEXT.CREATE("market.977",A979,"USD","SOFR")</f>
        <v>QSObject:PricingContext:w1~market.977:6577</v>
      </c>
      <c r="D979" s="6" t="str">
        <f>_xll.QS.CONTEXT.ADD.CURVE(C979,"SOFR",$K$2:$K$7,$L$2:$L$7,,,"Actual360","LogLinear",TRUE)</f>
        <v>QSObject:ContextInput:w1~input.qs_context_add_curve.2359132437744.978.3.0:29661</v>
      </c>
      <c r="E979" s="6" t="str">
        <f>_xll.QS.INSTRUMENT.SWAP("swap.977",H979,B979,"USD","SOFR",I979,J979,0,"Actual360","Simple","Annual","Annual","Annual")</f>
        <v>QSObject:Swap:w1~swap.977:11422</v>
      </c>
      <c r="F979" s="6" t="str">
        <f>_xll.QS.TRADE.CREATE("trade.977",E979,A979,"Receive")</f>
        <v>QSObject:SwapTrade:w1~trade.977:29660</v>
      </c>
      <c r="G979" s="3">
        <f>_xll.QS.EVALUATE(C979,F979)</f>
        <v>28847.690625522137</v>
      </c>
      <c r="H979" s="5" t="s">
        <v>1998</v>
      </c>
      <c r="I979" s="7">
        <v>1097700</v>
      </c>
      <c r="J979" s="8">
        <v>3.7699999999999997E-2</v>
      </c>
    </row>
    <row r="980" spans="1:10" x14ac:dyDescent="0.25">
      <c r="A980" s="5" t="s">
        <v>1986</v>
      </c>
      <c r="B980" s="5" t="s">
        <v>1999</v>
      </c>
      <c r="C980" s="6" t="str">
        <f>_xll.QS.CONTEXT.CREATE("market.978",A980,"USD","SOFR")</f>
        <v>QSObject:PricingContext:w1~market.978:9770</v>
      </c>
      <c r="D980" s="6" t="str">
        <f>_xll.QS.CONTEXT.ADD.CURVE(C980,"SOFR",$K$2:$K$7,$L$2:$L$7,,,"Actual360","LogLinear",TRUE)</f>
        <v>QSObject:ContextInput:w1~input.qs_context_add_curve.2359132437744.979.3.0:19932</v>
      </c>
      <c r="E980" s="6" t="str">
        <f>_xll.QS.INSTRUMENT.SWAP("swap.978",H980,B980,"USD","SOFR",I980,J980,0,"Actual360","Simple","Annual","Annual","Annual")</f>
        <v>QSObject:Swap:w1~swap.978:17280</v>
      </c>
      <c r="F980" s="6" t="str">
        <f>_xll.QS.TRADE.CREATE("trade.978",E980,A980,"Receive")</f>
        <v>QSObject:SwapTrade:w1~trade.978:29659</v>
      </c>
      <c r="G980" s="3">
        <f>_xll.QS.EVALUATE(C980,F980)</f>
        <v>29275.761179135603</v>
      </c>
      <c r="H980" s="5" t="s">
        <v>2000</v>
      </c>
      <c r="I980" s="7">
        <v>1097800</v>
      </c>
      <c r="J980" s="8">
        <v>3.78E-2</v>
      </c>
    </row>
    <row r="981" spans="1:10" x14ac:dyDescent="0.25">
      <c r="A981" s="5" t="s">
        <v>1988</v>
      </c>
      <c r="B981" s="5" t="s">
        <v>2001</v>
      </c>
      <c r="C981" s="6" t="str">
        <f>_xll.QS.CONTEXT.CREATE("market.979",A981,"USD","SOFR")</f>
        <v>QSObject:PricingContext:w1~market.979:12944</v>
      </c>
      <c r="D981" s="6" t="str">
        <f>_xll.QS.CONTEXT.ADD.CURVE(C981,"SOFR",$K$2:$K$7,$L$2:$L$7,,,"Actual360","LogLinear",TRUE)</f>
        <v>QSObject:ContextInput:w1~input.qs_context_add_curve.2359132437744.980.3.0:14578</v>
      </c>
      <c r="E981" s="6" t="str">
        <f>_xll.QS.INSTRUMENT.SWAP("swap.979",H981,B981,"USD","SOFR",I981,J981,0,"Actual360","Simple","Annual","Annual","Annual")</f>
        <v>QSObject:Swap:w1~swap.979:18248</v>
      </c>
      <c r="F981" s="6" t="str">
        <f>_xll.QS.TRADE.CREATE("trade.979",E981,A981,"Receive")</f>
        <v>QSObject:SwapTrade:w1~trade.979:29658</v>
      </c>
      <c r="G981" s="3">
        <f>_xll.QS.EVALUATE(C981,F981)</f>
        <v>29705.487322108111</v>
      </c>
      <c r="H981" s="5" t="s">
        <v>2002</v>
      </c>
      <c r="I981" s="7">
        <v>1097900</v>
      </c>
      <c r="J981" s="8">
        <v>3.7900000000000003E-2</v>
      </c>
    </row>
    <row r="982" spans="1:10" x14ac:dyDescent="0.25">
      <c r="A982" s="5" t="s">
        <v>1990</v>
      </c>
      <c r="B982" s="5" t="s">
        <v>2003</v>
      </c>
      <c r="C982" s="6" t="str">
        <f>_xll.QS.CONTEXT.CREATE("market.980",A982,"USD","SOFR")</f>
        <v>QSObject:PricingContext:w1~market.980:3407</v>
      </c>
      <c r="D982" s="6" t="str">
        <f>_xll.QS.CONTEXT.ADD.CURVE(C982,"SOFR",$K$2:$K$7,$L$2:$L$7,,,"Actual360","LogLinear",TRUE)</f>
        <v>QSObject:ContextInput:w1~input.qs_context_add_curve.2359132437744.981.3.0:6576</v>
      </c>
      <c r="E982" s="6" t="str">
        <f>_xll.QS.INSTRUMENT.SWAP("swap.980",H982,B982,"USD","SOFR",I982,J982,0,"Actual360","Simple","Annual","Annual","Annual")</f>
        <v>QSObject:Swap:w1~swap.980:16262</v>
      </c>
      <c r="F982" s="6" t="str">
        <f>_xll.QS.TRADE.CREATE("trade.980",E982,A982,"Receive")</f>
        <v>QSObject:SwapTrade:w1~trade.980:29657</v>
      </c>
      <c r="G982" s="3">
        <f>_xll.QS.EVALUATE(C982,F982)</f>
        <v>30216.99048509913</v>
      </c>
      <c r="H982" s="5" t="s">
        <v>2004</v>
      </c>
      <c r="I982" s="7">
        <v>1098000</v>
      </c>
      <c r="J982" s="8">
        <v>3.8000000000000013E-2</v>
      </c>
    </row>
    <row r="983" spans="1:10" x14ac:dyDescent="0.25">
      <c r="A983" s="5" t="s">
        <v>1992</v>
      </c>
      <c r="B983" s="5" t="s">
        <v>2005</v>
      </c>
      <c r="C983" s="6" t="str">
        <f>_xll.QS.CONTEXT.CREATE("market.981",A983,"USD","SOFR")</f>
        <v>QSObject:PricingContext:w1~market.981:9769</v>
      </c>
      <c r="D983" s="6" t="str">
        <f>_xll.QS.CONTEXT.ADD.CURVE(C983,"SOFR",$K$2:$K$7,$L$2:$L$7,,,"Actual360","LogLinear",TRUE)</f>
        <v>QSObject:ContextInput:w1~input.qs_context_add_curve.2359132437744.982.3.0:17279</v>
      </c>
      <c r="E983" s="6" t="str">
        <f>_xll.QS.INSTRUMENT.SWAP("swap.981",H983,B983,"USD","SOFR",I983,J983,0,"Actual360","Simple","Annual","Annual","Annual")</f>
        <v>QSObject:Swap:w1~swap.981:11421</v>
      </c>
      <c r="F983" s="6" t="str">
        <f>_xll.QS.TRADE.CREATE("trade.981",E983,A983,"Receive")</f>
        <v>QSObject:SwapTrade:w1~trade.981:29656</v>
      </c>
      <c r="G983" s="3">
        <f>_xll.QS.EVALUATE(C983,F983)</f>
        <v>30753.395480652634</v>
      </c>
      <c r="H983" s="5" t="s">
        <v>2006</v>
      </c>
      <c r="I983" s="7">
        <v>1098100</v>
      </c>
      <c r="J983" s="8">
        <v>3.8100000000000002E-2</v>
      </c>
    </row>
    <row r="984" spans="1:10" x14ac:dyDescent="0.25">
      <c r="A984" s="5" t="s">
        <v>1994</v>
      </c>
      <c r="B984" s="5" t="s">
        <v>2007</v>
      </c>
      <c r="C984" s="6" t="str">
        <f>_xll.QS.CONTEXT.CREATE("market.982",A984,"USD","SOFR")</f>
        <v>QSObject:PricingContext:w1~market.982:14577</v>
      </c>
      <c r="D984" s="6" t="str">
        <f>_xll.QS.CONTEXT.ADD.CURVE(C984,"SOFR",$K$2:$K$7,$L$2:$L$7,,,"Actual360","LogLinear",TRUE)</f>
        <v>QSObject:ContextInput:w1~input.qs_context_add_curve.2359132437744.983.3.0:19931</v>
      </c>
      <c r="E984" s="6" t="str">
        <f>_xll.QS.INSTRUMENT.SWAP("swap.982",H984,B984,"USD","SOFR",I984,J984,0,"Actual360","Simple","Annual","Annual","Annual")</f>
        <v>QSObject:Swap:w1~swap.982:12943</v>
      </c>
      <c r="F984" s="6" t="str">
        <f>_xll.QS.TRADE.CREATE("trade.982",E984,A984,"Receive")</f>
        <v>QSObject:SwapTrade:w1~trade.982:18247</v>
      </c>
      <c r="G984" s="3">
        <f>_xll.QS.EVALUATE(C984,F984)</f>
        <v>31342.889906418044</v>
      </c>
      <c r="H984" s="5" t="s">
        <v>2008</v>
      </c>
      <c r="I984" s="7">
        <v>1098200</v>
      </c>
      <c r="J984" s="8">
        <v>3.8199999999999998E-2</v>
      </c>
    </row>
    <row r="985" spans="1:10" x14ac:dyDescent="0.25">
      <c r="A985" s="5" t="s">
        <v>1996</v>
      </c>
      <c r="B985" s="5" t="s">
        <v>2009</v>
      </c>
      <c r="C985" s="6" t="str">
        <f>_xll.QS.CONTEXT.CREATE("market.983",A985,"USD","SOFR")</f>
        <v>QSObject:PricingContext:w1~market.983:6575</v>
      </c>
      <c r="D985" s="6" t="str">
        <f>_xll.QS.CONTEXT.ADD.CURVE(C985,"SOFR",$K$2:$K$7,$L$2:$L$7,,,"Actual360","LogLinear",TRUE)</f>
        <v>QSObject:ContextInput:w1~input.qs_context_add_curve.2359132437744.984.3.0:29655</v>
      </c>
      <c r="E985" s="6" t="str">
        <f>_xll.QS.INSTRUMENT.SWAP("swap.983",H985,B985,"USD","SOFR",I985,J985,0,"Actual360","Simple","Annual","Annual","Annual")</f>
        <v>QSObject:Swap:w1~swap.983:1866</v>
      </c>
      <c r="F985" s="6" t="str">
        <f>_xll.QS.TRADE.CREATE("trade.983",E985,A985,"Receive")</f>
        <v>QSObject:SwapTrade:w1~trade.983:16261</v>
      </c>
      <c r="G985" s="3">
        <f>_xll.QS.EVALUATE(C985,F985)</f>
        <v>31900.247191116967</v>
      </c>
      <c r="H985" s="5" t="s">
        <v>2010</v>
      </c>
      <c r="I985" s="7">
        <v>1098300</v>
      </c>
      <c r="J985" s="8">
        <v>3.8300000000000001E-2</v>
      </c>
    </row>
    <row r="986" spans="1:10" x14ac:dyDescent="0.25">
      <c r="A986" s="5" t="s">
        <v>1998</v>
      </c>
      <c r="B986" s="5" t="s">
        <v>2011</v>
      </c>
      <c r="C986" s="6" t="str">
        <f>_xll.QS.CONTEXT.CREATE("market.984",A986,"USD","SOFR")</f>
        <v>QSObject:PricingContext:w1~market.984:9768</v>
      </c>
      <c r="D986" s="6" t="str">
        <f>_xll.QS.CONTEXT.ADD.CURVE(C986,"SOFR",$K$2:$K$7,$L$2:$L$7,,,"Actual360","LogLinear",TRUE)</f>
        <v>QSObject:ContextInput:w1~input.qs_context_add_curve.2359132437744.985.3.0:17278</v>
      </c>
      <c r="E986" s="6" t="str">
        <f>_xll.QS.INSTRUMENT.SWAP("swap.984",H986,B986,"USD","SOFR",I986,J986,0,"Actual360","Simple","Annual","Annual","Annual")</f>
        <v>QSObject:Swap:w1~swap.984:4968</v>
      </c>
      <c r="F986" s="6" t="str">
        <f>_xll.QS.TRADE.CREATE("trade.984",E986,A986,"Receive")</f>
        <v>QSObject:SwapTrade:w1~trade.984:11420</v>
      </c>
      <c r="G986" s="3">
        <f>_xll.QS.EVALUATE(C986,F986)</f>
        <v>32367.291614746264</v>
      </c>
      <c r="H986" s="5" t="s">
        <v>2012</v>
      </c>
      <c r="I986" s="7">
        <v>1098400</v>
      </c>
      <c r="J986" s="8">
        <v>3.8399999999999997E-2</v>
      </c>
    </row>
    <row r="987" spans="1:10" x14ac:dyDescent="0.25">
      <c r="A987" s="5" t="s">
        <v>2000</v>
      </c>
      <c r="B987" s="5" t="s">
        <v>2013</v>
      </c>
      <c r="C987" s="6" t="str">
        <f>_xll.QS.CONTEXT.CREATE("market.985",A987,"USD","SOFR")</f>
        <v>QSObject:PricingContext:w1~market.985:19930</v>
      </c>
      <c r="D987" s="6" t="str">
        <f>_xll.QS.CONTEXT.ADD.CURVE(C987,"SOFR",$K$2:$K$7,$L$2:$L$7,,,"Actual360","LogLinear",TRUE)</f>
        <v>QSObject:ContextInput:w1~input.qs_context_add_curve.2359132437744.986.3.0:39157</v>
      </c>
      <c r="E987" s="6" t="str">
        <f>_xll.QS.INSTRUMENT.SWAP("swap.985",H987,B987,"USD","SOFR",I987,J987,0,"Actual360","Simple","Annual","Annual","Annual")</f>
        <v>QSObject:Swap:w1~swap.985:14576</v>
      </c>
      <c r="F987" s="6" t="str">
        <f>_xll.QS.TRADE.CREATE("trade.985",E987,A987,"Receive")</f>
        <v>QSObject:SwapTrade:w1~trade.985:25734</v>
      </c>
      <c r="G987" s="3">
        <f>_xll.QS.EVALUATE(C987,F987)</f>
        <v>32791.788587338087</v>
      </c>
      <c r="H987" s="5" t="s">
        <v>2014</v>
      </c>
      <c r="I987" s="7">
        <v>1098500</v>
      </c>
      <c r="J987" s="8">
        <v>3.8500000000000013E-2</v>
      </c>
    </row>
    <row r="988" spans="1:10" x14ac:dyDescent="0.25">
      <c r="A988" s="5" t="s">
        <v>2002</v>
      </c>
      <c r="B988" s="5" t="s">
        <v>2015</v>
      </c>
      <c r="C988" s="6" t="str">
        <f>_xll.QS.CONTEXT.CREATE("market.986",A988,"USD","SOFR")</f>
        <v>QSObject:PricingContext:w1~market.986:3406</v>
      </c>
      <c r="D988" s="6" t="str">
        <f>_xll.QS.CONTEXT.ADD.CURVE(C988,"SOFR",$K$2:$K$7,$L$2:$L$7,,,"Actual360","LogLinear",TRUE)</f>
        <v>QSObject:ContextInput:w1~input.qs_context_add_curve.2359132437744.987.3.0:12942</v>
      </c>
      <c r="E988" s="6" t="str">
        <f>_xll.QS.INSTRUMENT.SWAP("swap.986",H988,B988,"USD","SOFR",I988,J988,0,"Actual360","Simple","Annual","Annual","Annual")</f>
        <v>QSObject:Swap:w1~swap.986:18246</v>
      </c>
      <c r="F988" s="6" t="str">
        <f>_xll.QS.TRADE.CREATE("trade.986",E988,A988,"Receive")</f>
        <v>QSObject:SwapTrade:w1~trade.986:22973</v>
      </c>
      <c r="G988" s="3">
        <f>_xll.QS.EVALUATE(C988,F988)</f>
        <v>33227.749173842567</v>
      </c>
      <c r="H988" s="5" t="s">
        <v>2016</v>
      </c>
      <c r="I988" s="7">
        <v>1098600</v>
      </c>
      <c r="J988" s="8">
        <v>3.8600000000000002E-2</v>
      </c>
    </row>
    <row r="989" spans="1:10" x14ac:dyDescent="0.25">
      <c r="A989" s="5" t="s">
        <v>2004</v>
      </c>
      <c r="B989" s="5" t="s">
        <v>2017</v>
      </c>
      <c r="C989" s="6" t="str">
        <f>_xll.QS.CONTEXT.CREATE("market.987",A989,"USD","SOFR")</f>
        <v>QSObject:PricingContext:w1~market.987:9767</v>
      </c>
      <c r="D989" s="6" t="str">
        <f>_xll.QS.CONTEXT.ADD.CURVE(C989,"SOFR",$K$2:$K$7,$L$2:$L$7,,,"Actual360","LogLinear",TRUE)</f>
        <v>QSObject:ContextInput:w1~input.qs_context_add_curve.2359132437744.988.3.0:39156</v>
      </c>
      <c r="E989" s="6" t="str">
        <f>_xll.QS.INSTRUMENT.SWAP("swap.987",H989,B989,"USD","SOFR",I989,J989,0,"Actual360","Simple","Annual","Annual","Annual")</f>
        <v>QSObject:Swap:w1~swap.987:17277</v>
      </c>
      <c r="F989" s="6" t="str">
        <f>_xll.QS.TRADE.CREATE("trade.987",E989,A989,"Receive")</f>
        <v>QSObject:SwapTrade:w1~trade.987:29654</v>
      </c>
      <c r="G989" s="3">
        <f>_xll.QS.EVALUATE(C989,F989)</f>
        <v>33784.49543976436</v>
      </c>
      <c r="H989" s="5" t="s">
        <v>2018</v>
      </c>
      <c r="I989" s="7">
        <v>1098700</v>
      </c>
      <c r="J989" s="8">
        <v>3.8700000000000012E-2</v>
      </c>
    </row>
    <row r="990" spans="1:10" x14ac:dyDescent="0.25">
      <c r="A990" s="5" t="s">
        <v>2006</v>
      </c>
      <c r="B990" s="5" t="s">
        <v>2019</v>
      </c>
      <c r="C990" s="6" t="str">
        <f>_xll.QS.CONTEXT.CREATE("market.988",A990,"USD","SOFR")</f>
        <v>QSObject:PricingContext:w1~market.988:8168</v>
      </c>
      <c r="D990" s="6" t="str">
        <f>_xll.QS.CONTEXT.ADD.CURVE(C990,"SOFR",$K$2:$K$7,$L$2:$L$7,,,"Actual360","LogLinear",TRUE)</f>
        <v>QSObject:ContextInput:w1~input.qs_context_add_curve.2359132437744.989.3.0:11419</v>
      </c>
      <c r="E990" s="6" t="str">
        <f>_xll.QS.INSTRUMENT.SWAP("swap.988",H990,B990,"USD","SOFR",I990,J990,0,"Actual360","Simple","Annual","Annual","Annual")</f>
        <v>QSObject:Swap:w1~swap.988:19929</v>
      </c>
      <c r="F990" s="6" t="str">
        <f>_xll.QS.TRADE.CREATE("trade.988",E990,A990,"Receive")</f>
        <v>QSObject:SwapTrade:w1~trade.988:30405</v>
      </c>
      <c r="G990" s="3">
        <f>_xll.QS.EVALUATE(C990,F990)</f>
        <v>34319.842951491744</v>
      </c>
      <c r="H990" s="5" t="s">
        <v>2020</v>
      </c>
      <c r="I990" s="7">
        <v>1098800</v>
      </c>
      <c r="J990" s="8">
        <v>3.8800000000000001E-2</v>
      </c>
    </row>
    <row r="991" spans="1:10" x14ac:dyDescent="0.25">
      <c r="A991" s="5" t="s">
        <v>2008</v>
      </c>
      <c r="B991" s="5" t="s">
        <v>2021</v>
      </c>
      <c r="C991" s="6" t="str">
        <f>_xll.QS.CONTEXT.CREATE("market.989",A991,"USD","SOFR")</f>
        <v>QSObject:PricingContext:w1~market.989:12941</v>
      </c>
      <c r="D991" s="6" t="str">
        <f>_xll.QS.CONTEXT.ADD.CURVE(C991,"SOFR",$K$2:$K$7,$L$2:$L$7,,,"Actual360","LogLinear",TRUE)</f>
        <v>QSObject:ContextInput:w1~input.qs_context_add_curve.2359132437744.990.3.0:29009</v>
      </c>
      <c r="E991" s="6" t="str">
        <f>_xll.QS.INSTRUMENT.SWAP("swap.989",H991,B991,"USD","SOFR",I991,J991,0,"Actual360","Simple","Annual","Annual","Annual")</f>
        <v>QSObject:Swap:w1~swap.989:14575</v>
      </c>
      <c r="F991" s="6" t="str">
        <f>_xll.QS.TRADE.CREATE("trade.989",E991,A991,"Receive")</f>
        <v>QSObject:SwapTrade:w1~trade.989:18245</v>
      </c>
      <c r="G991" s="3">
        <f>_xll.QS.EVALUATE(C991,F991)</f>
        <v>34910.086765344022</v>
      </c>
      <c r="H991" s="5" t="s">
        <v>2022</v>
      </c>
      <c r="I991" s="7">
        <v>1098900</v>
      </c>
      <c r="J991" s="8">
        <v>3.8899999999999997E-2</v>
      </c>
    </row>
    <row r="992" spans="1:10" x14ac:dyDescent="0.25">
      <c r="A992" s="5" t="s">
        <v>2010</v>
      </c>
      <c r="B992" s="5" t="s">
        <v>2023</v>
      </c>
      <c r="C992" s="6" t="str">
        <f>_xll.QS.CONTEXT.CREATE("market.990",A992,"USD","SOFR")</f>
        <v>QSObject:PricingContext:w1~market.990:1865</v>
      </c>
      <c r="D992" s="6" t="str">
        <f>_xll.QS.CONTEXT.ADD.CURVE(C992,"SOFR",$K$2:$K$7,$L$2:$L$7,,,"Actual360","LogLinear",TRUE)</f>
        <v>QSObject:ContextInput:w1~input.qs_context_add_curve.2359132437744.991.3.0:17276</v>
      </c>
      <c r="E992" s="6" t="str">
        <f>_xll.QS.INSTRUMENT.SWAP("swap.990",H992,B992,"USD","SOFR",I992,J992,0,"Actual360","Simple","Annual","Annual","Annual")</f>
        <v>QSObject:Swap:w1~swap.990:16260</v>
      </c>
      <c r="F992" s="6" t="str">
        <f>_xll.QS.TRADE.CREATE("trade.990",E992,A992,"Receive")</f>
        <v>QSObject:SwapTrade:w1~trade.990:25033</v>
      </c>
      <c r="G992" s="3">
        <f>_xll.QS.EVALUATE(C992,F992)</f>
        <v>35468.160991252182</v>
      </c>
      <c r="H992" s="5" t="s">
        <v>2024</v>
      </c>
      <c r="I992" s="7">
        <v>1099000</v>
      </c>
      <c r="J992" s="8">
        <v>3.9000000000000007E-2</v>
      </c>
    </row>
    <row r="993" spans="1:10" x14ac:dyDescent="0.25">
      <c r="A993" s="5" t="s">
        <v>2012</v>
      </c>
      <c r="B993" s="5" t="s">
        <v>2025</v>
      </c>
      <c r="C993" s="6" t="str">
        <f>_xll.QS.CONTEXT.CREATE("market.991",A993,"USD","SOFR")</f>
        <v>QSObject:PricingContext:w1~market.991:19928</v>
      </c>
      <c r="D993" s="6" t="str">
        <f>_xll.QS.CONTEXT.ADD.CURVE(C993,"SOFR",$K$2:$K$7,$L$2:$L$7,,,"Actual360","LogLinear",TRUE)</f>
        <v>QSObject:ContextInput:w1~input.qs_context_add_curve.2359132437744.992.3.0:39155</v>
      </c>
      <c r="E993" s="6" t="str">
        <f>_xll.QS.INSTRUMENT.SWAP("swap.991",H993,B993,"USD","SOFR",I993,J993,0,"Actual360","Simple","Annual","Annual","Annual")</f>
        <v>QSObject:Swap:w1~swap.991:9766</v>
      </c>
      <c r="F993" s="6" t="str">
        <f>_xll.QS.TRADE.CREATE("trade.991",E993,A993,"Receive")</f>
        <v>QSObject:SwapTrade:w1~trade.991:12940</v>
      </c>
      <c r="G993" s="3">
        <f>_xll.QS.EVALUATE(C993,F993)</f>
        <v>35935.785668365468</v>
      </c>
      <c r="H993" s="5" t="s">
        <v>2026</v>
      </c>
      <c r="I993" s="7">
        <v>1099100</v>
      </c>
      <c r="J993" s="8">
        <v>3.9100000000000003E-2</v>
      </c>
    </row>
    <row r="994" spans="1:10" x14ac:dyDescent="0.25">
      <c r="A994" s="5" t="s">
        <v>2014</v>
      </c>
      <c r="B994" s="5" t="s">
        <v>2027</v>
      </c>
      <c r="C994" s="6" t="str">
        <f>_xll.QS.CONTEXT.CREATE("market.992",A994,"USD","SOFR")</f>
        <v>QSObject:PricingContext:w1~market.992:3405</v>
      </c>
      <c r="D994" s="6" t="str">
        <f>_xll.QS.CONTEXT.ADD.CURVE(C994,"SOFR",$K$2:$K$7,$L$2:$L$7,,,"Actual360","LogLinear",TRUE)</f>
        <v>QSObject:ContextInput:w1~input.qs_context_add_curve.2359132437744.993.3.0:6574</v>
      </c>
      <c r="E994" s="6" t="str">
        <f>_xll.QS.INSTRUMENT.SWAP("swap.992",H994,B994,"USD","SOFR",I994,J994,0,"Actual360","Simple","Annual","Annual","Annual")</f>
        <v>QSObject:Swap:w1~swap.992:11418</v>
      </c>
      <c r="F994" s="6" t="str">
        <f>_xll.QS.TRADE.CREATE("trade.992",E994,A994,"Receive")</f>
        <v>QSObject:SwapTrade:w1~trade.992:18244</v>
      </c>
      <c r="G994" s="3">
        <f>_xll.QS.EVALUATE(C994,F994)</f>
        <v>36356.695692069414</v>
      </c>
      <c r="H994" s="5" t="s">
        <v>2028</v>
      </c>
      <c r="I994" s="7">
        <v>1099200</v>
      </c>
      <c r="J994" s="8">
        <v>3.9200000000000013E-2</v>
      </c>
    </row>
    <row r="995" spans="1:10" x14ac:dyDescent="0.25">
      <c r="A995" s="5" t="s">
        <v>2016</v>
      </c>
      <c r="B995" s="5" t="s">
        <v>2029</v>
      </c>
      <c r="C995" s="6" t="str">
        <f>_xll.QS.CONTEXT.CREATE("market.993",A995,"USD","SOFR")</f>
        <v>QSObject:PricingContext:w1~market.993:1864</v>
      </c>
      <c r="D995" s="6" t="str">
        <f>_xll.QS.CONTEXT.ADD.CURVE(C995,"SOFR",$K$2:$K$7,$L$2:$L$7,,,"Actual360","LogLinear",TRUE)</f>
        <v>QSObject:ContextInput:w1~input.qs_context_add_curve.2359132437744.994.3.0:17275</v>
      </c>
      <c r="E995" s="6" t="str">
        <f>_xll.QS.INSTRUMENT.SWAP("swap.993",H995,B995,"USD","SOFR",I995,J995,0,"Actual360","Simple","Annual","Annual","Annual")</f>
        <v>QSObject:Swap:w1~swap.993:14574</v>
      </c>
      <c r="F995" s="6" t="str">
        <f>_xll.QS.TRADE.CREATE("trade.993",E995,A995,"Receive")</f>
        <v>QSObject:SwapTrade:w1~trade.993:28293</v>
      </c>
      <c r="G995" s="3">
        <f>_xll.QS.EVALUATE(C995,F995)</f>
        <v>36798.755936144313</v>
      </c>
      <c r="H995" s="5" t="s">
        <v>2030</v>
      </c>
      <c r="I995" s="7">
        <v>1099300</v>
      </c>
      <c r="J995" s="8">
        <v>3.9300000000000002E-2</v>
      </c>
    </row>
    <row r="996" spans="1:10" x14ac:dyDescent="0.25">
      <c r="A996" s="5" t="s">
        <v>2018</v>
      </c>
      <c r="B996" s="5" t="s">
        <v>2031</v>
      </c>
      <c r="C996" s="6" t="str">
        <f>_xll.QS.CONTEXT.CREATE("market.994",A996,"USD","SOFR")</f>
        <v>QSObject:PricingContext:w1~market.994:12939</v>
      </c>
      <c r="D996" s="6" t="str">
        <f>_xll.QS.CONTEXT.ADD.CURVE(C996,"SOFR",$K$2:$K$7,$L$2:$L$7,,,"Actual360","LogLinear",TRUE)</f>
        <v>QSObject:ContextInput:w1~input.qs_context_add_curve.2359132437744.995.3.0:16259</v>
      </c>
      <c r="E996" s="6" t="str">
        <f>_xll.QS.INSTRUMENT.SWAP("swap.994",H996,B996,"USD","SOFR",I996,J996,0,"Actual360","Simple","Annual","Annual","Annual")</f>
        <v>QSObject:Swap:w1~swap.994:4967</v>
      </c>
      <c r="F996" s="6" t="str">
        <f>_xll.QS.TRADE.CREATE("trade.994",E996,A996,"Receive")</f>
        <v>QSObject:SwapTrade:w1~trade.994:19927</v>
      </c>
      <c r="G996" s="3">
        <f>_xll.QS.EVALUATE(C996,F996)</f>
        <v>37356.521680776379</v>
      </c>
      <c r="H996" s="5" t="s">
        <v>2032</v>
      </c>
      <c r="I996" s="7">
        <v>1099400</v>
      </c>
      <c r="J996" s="8">
        <v>3.9399999999999998E-2</v>
      </c>
    </row>
    <row r="997" spans="1:10" x14ac:dyDescent="0.25">
      <c r="A997" s="5" t="s">
        <v>2020</v>
      </c>
      <c r="B997" s="5" t="s">
        <v>2033</v>
      </c>
      <c r="C997" s="6" t="str">
        <f>_xll.QS.CONTEXT.CREATE("market.995",A997,"USD","SOFR")</f>
        <v>QSObject:PricingContext:w1~market.995:6573</v>
      </c>
      <c r="D997" s="6" t="str">
        <f>_xll.QS.CONTEXT.ADD.CURVE(C997,"SOFR",$K$2:$K$7,$L$2:$L$7,,,"Actual360","LogLinear",TRUE)</f>
        <v>QSObject:ContextInput:w1~input.qs_context_add_curve.2359132437744.996.3.0:39154</v>
      </c>
      <c r="E997" s="6" t="str">
        <f>_xll.QS.INSTRUMENT.SWAP("swap.995",H997,B997,"USD","SOFR",I997,J997,0,"Actual360","Simple","Annual","Annual","Annual")</f>
        <v>QSObject:Swap:w1~swap.995:9765</v>
      </c>
      <c r="F997" s="6" t="str">
        <f>_xll.QS.TRADE.CREATE("trade.995",E997,A997,"Receive")</f>
        <v>QSObject:SwapTrade:w1~trade.995:31140</v>
      </c>
      <c r="G997" s="3">
        <f>_xll.QS.EVALUATE(C997,F997)</f>
        <v>37890.809516408968</v>
      </c>
      <c r="H997" s="5" t="s">
        <v>2034</v>
      </c>
      <c r="I997" s="7">
        <v>1099500</v>
      </c>
      <c r="J997" s="8">
        <v>3.9500000000000007E-2</v>
      </c>
    </row>
    <row r="998" spans="1:10" x14ac:dyDescent="0.25">
      <c r="A998" s="5" t="s">
        <v>2022</v>
      </c>
      <c r="B998" s="5" t="s">
        <v>2035</v>
      </c>
      <c r="C998" s="6" t="str">
        <f>_xll.QS.CONTEXT.CREATE("market.996",A998,"USD","SOFR")</f>
        <v>QSObject:PricingContext:w1~market.996:11417</v>
      </c>
      <c r="D998" s="6" t="str">
        <f>_xll.QS.CONTEXT.ADD.CURVE(C998,"SOFR",$K$2:$K$7,$L$2:$L$7,,,"Actual360","LogLinear",TRUE)</f>
        <v>QSObject:ContextInput:w1~input.qs_context_add_curve.2359132437744.997.3.0:17274</v>
      </c>
      <c r="E998" s="6" t="str">
        <f>_xll.QS.INSTRUMENT.SWAP("swap.996",H998,B998,"USD","SOFR",I998,J998,0,"Actual360","Simple","Annual","Annual","Annual")</f>
        <v>QSObject:Swap:w1~swap.996:18243</v>
      </c>
      <c r="F998" s="6" t="str">
        <f>_xll.QS.TRADE.CREATE("trade.996",E998,A998,"Receive")</f>
        <v>QSObject:SwapTrade:w1~trade.996:25032</v>
      </c>
      <c r="G998" s="3">
        <f>_xll.QS.EVALUATE(C998,F998)</f>
        <v>38481.969399221351</v>
      </c>
      <c r="H998" s="5" t="s">
        <v>2036</v>
      </c>
      <c r="I998" s="7">
        <v>1099600</v>
      </c>
      <c r="J998" s="8">
        <v>3.9600000000000003E-2</v>
      </c>
    </row>
    <row r="999" spans="1:10" x14ac:dyDescent="0.25">
      <c r="A999" s="5" t="s">
        <v>2024</v>
      </c>
      <c r="B999" s="5" t="s">
        <v>2037</v>
      </c>
      <c r="C999" s="6" t="str">
        <f>_xll.QS.CONTEXT.CREATE("market.997",A999,"USD","SOFR")</f>
        <v>QSObject:PricingContext:w1~market.997:12938</v>
      </c>
      <c r="D999" s="6" t="str">
        <f>_xll.QS.CONTEXT.ADD.CURVE(C999,"SOFR",$K$2:$K$7,$L$2:$L$7,,,"Actual360","LogLinear",TRUE)</f>
        <v>QSObject:ContextInput:w1~input.qs_context_add_curve.2359132437744.998.3.0:14573</v>
      </c>
      <c r="E999" s="6" t="str">
        <f>_xll.QS.INSTRUMENT.SWAP("swap.997",H999,B999,"USD","SOFR",I999,J999,0,"Actual360","Simple","Annual","Annual","Annual")</f>
        <v>QSObject:Swap:w1~swap.997:16258</v>
      </c>
      <c r="F999" s="6" t="str">
        <f>_xll.QS.TRADE.CREATE("trade.997",E999,A999,"Receive")</f>
        <v>QSObject:SwapTrade:w1~trade.997:25733</v>
      </c>
      <c r="G999" s="3">
        <f>_xll.QS.EVALUATE(C999,F999)</f>
        <v>39040.594004408311</v>
      </c>
      <c r="H999" s="5" t="s">
        <v>2038</v>
      </c>
      <c r="I999" s="7">
        <v>1099700</v>
      </c>
      <c r="J999" s="8">
        <v>3.9700000000000013E-2</v>
      </c>
    </row>
    <row r="1000" spans="1:10" x14ac:dyDescent="0.25">
      <c r="A1000" s="5" t="s">
        <v>2026</v>
      </c>
      <c r="B1000" s="5" t="s">
        <v>2039</v>
      </c>
      <c r="C1000" s="6" t="str">
        <f>_xll.QS.CONTEXT.CREATE("market.998",A1000,"USD","SOFR")</f>
        <v>QSObject:PricingContext:w1~market.998:6572</v>
      </c>
      <c r="D1000" s="6" t="str">
        <f>_xll.QS.CONTEXT.ADD.CURVE(C1000,"SOFR",$K$2:$K$7,$L$2:$L$7,,,"Actual360","LogLinear",TRUE)</f>
        <v>QSObject:ContextInput:w1~input.qs_context_add_curve.2359132437744.999.3.0:19926</v>
      </c>
      <c r="E1000" s="6" t="str">
        <f>_xll.QS.INSTRUMENT.SWAP("swap.998",H1000,B1000,"USD","SOFR",I1000,J1000,0,"Actual360","Simple","Annual","Annual","Annual")</f>
        <v>QSObject:Swap:w1~swap.998:4966</v>
      </c>
      <c r="F1000" s="6" t="str">
        <f>_xll.QS.TRADE.CREATE("trade.998",E1000,A1000,"Receive")</f>
        <v>QSObject:SwapTrade:w1~trade.998:24220</v>
      </c>
      <c r="G1000" s="3">
        <f>_xll.QS.EVALUATE(C1000,F1000)</f>
        <v>39508.797593095849</v>
      </c>
      <c r="H1000" s="5" t="s">
        <v>2040</v>
      </c>
      <c r="I1000" s="7">
        <v>1099800</v>
      </c>
      <c r="J1000" s="8">
        <v>3.9800000000000002E-2</v>
      </c>
    </row>
    <row r="1001" spans="1:10" x14ac:dyDescent="0.25">
      <c r="A1001" s="5" t="s">
        <v>2028</v>
      </c>
      <c r="B1001" s="5" t="s">
        <v>2041</v>
      </c>
      <c r="C1001" s="6" t="str">
        <f>_xll.QS.CONTEXT.CREATE("market.999",A1001,"USD","SOFR")</f>
        <v>QSObject:PricingContext:w1~market.999:17273</v>
      </c>
      <c r="D1001" s="6" t="str">
        <f>_xll.QS.CONTEXT.ADD.CURVE(C1001,"SOFR",$K$2:$K$7,$L$2:$L$7,,,"Actual360","LogLinear",TRUE)</f>
        <v>QSObject:ContextInput:w1~input.qs_context_add_curve.2359132437744.1000.3.0:39153</v>
      </c>
      <c r="E1001" s="6" t="str">
        <f>_xll.QS.INSTRUMENT.SWAP("swap.999",H1001,B1001,"USD","SOFR",I1001,J1001,0,"Actual360","Simple","Annual","Annual","Annual")</f>
        <v>QSObject:Swap:w1~swap.999:9764</v>
      </c>
      <c r="F1001" s="6" t="str">
        <f>_xll.QS.TRADE.CREATE("trade.999",E1001,A1001,"Receive")</f>
        <v>QSObject:SwapTrade:w1~trade.999:22972</v>
      </c>
      <c r="G1001" s="3">
        <f>_xll.QS.EVALUATE(C1001,F1001)</f>
        <v>39926.114052666984</v>
      </c>
      <c r="H1001" s="5" t="s">
        <v>2042</v>
      </c>
      <c r="I1001" s="7">
        <v>1099900</v>
      </c>
      <c r="J1001" s="8">
        <v>3.9899999999999998E-2</v>
      </c>
    </row>
    <row r="1002" spans="1:10" x14ac:dyDescent="0.25">
      <c r="A1002" s="5" t="s">
        <v>2030</v>
      </c>
      <c r="B1002" s="5" t="s">
        <v>2043</v>
      </c>
      <c r="C1002" s="6" t="str">
        <f>_xll.QS.CONTEXT.CREATE("market.1000",A1002,"USD","SOFR")</f>
        <v>QSObject:PricingContext:w1~market.1000:12937</v>
      </c>
      <c r="D1002" s="6" t="str">
        <f>_xll.QS.CONTEXT.ADD.CURVE(C1002,"SOFR",$K$2:$K$7,$L$2:$L$7,,,"Actual360","LogLinear",TRUE)</f>
        <v>QSObject:ContextInput:w1~input.qs_context_add_curve.2359132437744.1001.3.0:18242</v>
      </c>
      <c r="E1002" s="6" t="str">
        <f>_xll.QS.INSTRUMENT.SWAP("swap.1000",H1002,B1002,"USD","SOFR",I1002,J1002,0,"Actual360","Simple","Annual","Annual","Annual")</f>
        <v>QSObject:Swap:w1~swap.1000:14572</v>
      </c>
      <c r="F1002" s="6" t="str">
        <f>_xll.QS.TRADE.CREATE("trade.1000",E1002,A1002,"Receive")</f>
        <v>QSObject:SwapTrade:w1~trade.1000:22971</v>
      </c>
      <c r="G1002" s="3">
        <f>_xll.QS.EVALUATE(C1002,F1002)</f>
        <v>15002.167759810196</v>
      </c>
      <c r="H1002" s="5" t="s">
        <v>2044</v>
      </c>
      <c r="I1002" s="7">
        <v>1100000</v>
      </c>
      <c r="J1002" s="8">
        <v>3.5000000000000003E-2</v>
      </c>
    </row>
    <row r="1003" spans="1:10" x14ac:dyDescent="0.25">
      <c r="A1003" s="5" t="s">
        <v>2032</v>
      </c>
      <c r="B1003" s="5" t="s">
        <v>2045</v>
      </c>
      <c r="C1003" s="6" t="str">
        <f>_xll.QS.CONTEXT.CREATE("market.1001",A1003,"USD","SOFR")</f>
        <v>QSObject:PricingContext:w1~market.1001:4965</v>
      </c>
      <c r="D1003" s="6" t="str">
        <f>_xll.QS.CONTEXT.ADD.CURVE(C1003,"SOFR",$K$2:$K$7,$L$2:$L$7,,,"Actual360","LogLinear",TRUE)</f>
        <v>QSObject:ContextInput:w1~input.qs_context_add_curve.2359132437744.1002.3.0:31139</v>
      </c>
      <c r="E1003" s="6" t="str">
        <f>_xll.QS.INSTRUMENT.SWAP("swap.1001",H1003,B1003,"USD","SOFR",I1003,J1003,0,"Actual360","Simple","Annual","Annual","Annual")</f>
        <v>QSObject:Swap:w1~swap.1001:16257</v>
      </c>
      <c r="F1003" s="6" t="str">
        <f>_xll.QS.TRADE.CREATE("trade.1001",E1003,A1003,"Receive")</f>
        <v>QSObject:SwapTrade:w1~trade.1001:19925</v>
      </c>
      <c r="G1003" s="3">
        <f>_xll.QS.EVALUATE(C1003,F1003)</f>
        <v>15556.051825639199</v>
      </c>
      <c r="H1003" s="5" t="s">
        <v>2046</v>
      </c>
      <c r="I1003" s="7">
        <v>1100100</v>
      </c>
      <c r="J1003" s="8">
        <v>3.5100000000000013E-2</v>
      </c>
    </row>
    <row r="1004" spans="1:10" x14ac:dyDescent="0.25">
      <c r="A1004" s="5" t="s">
        <v>2034</v>
      </c>
      <c r="B1004" s="5" t="s">
        <v>2047</v>
      </c>
      <c r="C1004" s="6" t="str">
        <f>_xll.QS.CONTEXT.CREATE("market.1002",A1004,"USD","SOFR")</f>
        <v>QSObject:PricingContext:w1~market.1002:11416</v>
      </c>
      <c r="D1004" s="6" t="str">
        <f>_xll.QS.CONTEXT.ADD.CURVE(C1004,"SOFR",$K$2:$K$7,$L$2:$L$7,,,"Actual360","LogLinear",TRUE)</f>
        <v>QSObject:ContextInput:w1~input.qs_context_add_curve.2359132437744.1003.3.0:39152</v>
      </c>
      <c r="E1004" s="6" t="str">
        <f>_xll.QS.INSTRUMENT.SWAP("swap.1002",H1004,B1004,"USD","SOFR",I1004,J1004,0,"Actual360","Simple","Annual","Annual","Annual")</f>
        <v>QSObject:Swap:w1~swap.1002:17272</v>
      </c>
      <c r="F1004" s="6" t="str">
        <f>_xll.QS.TRADE.CREATE("trade.1002",E1004,A1004,"Receive")</f>
        <v>QSObject:SwapTrade:w1~trade.1002:22316</v>
      </c>
      <c r="G1004" s="3">
        <f>_xll.QS.EVALUATE(C1004,F1004)</f>
        <v>16099.421171610953</v>
      </c>
      <c r="H1004" s="5" t="s">
        <v>2048</v>
      </c>
      <c r="I1004" s="7">
        <v>1100200</v>
      </c>
      <c r="J1004" s="8">
        <v>3.5200000000000002E-2</v>
      </c>
    </row>
    <row r="1005" spans="1:10" x14ac:dyDescent="0.25">
      <c r="A1005" s="5" t="s">
        <v>2036</v>
      </c>
      <c r="B1005" s="5" t="s">
        <v>2049</v>
      </c>
      <c r="C1005" s="6" t="str">
        <f>_xll.QS.CONTEXT.CREATE("market.1003",A1005,"USD","SOFR")</f>
        <v>QSObject:PricingContext:w1~market.1003:18241</v>
      </c>
      <c r="D1005" s="6" t="str">
        <f>_xll.QS.CONTEXT.ADD.CURVE(C1005,"SOFR",$K$2:$K$7,$L$2:$L$7,,,"Actual360","LogLinear",TRUE)</f>
        <v>QSObject:ContextInput:w1~input.qs_context_add_curve.2359132437744.1004.3.0:39151</v>
      </c>
      <c r="E1005" s="6" t="str">
        <f>_xll.QS.INSTRUMENT.SWAP("swap.1003",H1005,B1005,"USD","SOFR",I1005,J1005,0,"Actual360","Simple","Annual","Annual","Annual")</f>
        <v>QSObject:Swap:w1~swap.1003:8167</v>
      </c>
      <c r="F1005" s="6" t="str">
        <f>_xll.QS.TRADE.CREATE("trade.1003",E1005,A1005,"Receive")</f>
        <v>QSObject:SwapTrade:w1~trade.1003:14571</v>
      </c>
      <c r="G1005" s="3">
        <f>_xll.QS.EVALUATE(C1005,F1005)</f>
        <v>16688.398607777486</v>
      </c>
      <c r="H1005" s="5" t="s">
        <v>2050</v>
      </c>
      <c r="I1005" s="7">
        <v>1100300</v>
      </c>
      <c r="J1005" s="8">
        <v>3.5299999999999998E-2</v>
      </c>
    </row>
    <row r="1006" spans="1:10" x14ac:dyDescent="0.25">
      <c r="A1006" s="5" t="s">
        <v>2038</v>
      </c>
      <c r="B1006" s="5" t="s">
        <v>2051</v>
      </c>
      <c r="C1006" s="6" t="str">
        <f>_xll.QS.CONTEXT.CREATE("market.1004",A1006,"USD","SOFR")</f>
        <v>QSObject:PricingContext:w1~market.1004:19924</v>
      </c>
      <c r="D1006" s="6" t="str">
        <f>_xll.QS.CONTEXT.ADD.CURVE(C1006,"SOFR",$K$2:$K$7,$L$2:$L$7,,,"Actual360","LogLinear",TRUE)</f>
        <v>QSObject:ContextInput:w1~input.qs_context_add_curve.2359132437744.1005.3.0:39150</v>
      </c>
      <c r="E1006" s="6" t="str">
        <f>_xll.QS.INSTRUMENT.SWAP("swap.1004",H1006,B1006,"USD","SOFR",I1006,J1006,0,"Actual360","Simple","Annual","Annual","Annual")</f>
        <v>QSObject:Swap:w1~swap.1004:6571</v>
      </c>
      <c r="F1006" s="6" t="str">
        <f>_xll.QS.TRADE.CREATE("trade.1004",E1006,A1006,"Receive")</f>
        <v>QSObject:SwapTrade:w1~trade.1004:30404</v>
      </c>
      <c r="G1006" s="3">
        <f>_xll.QS.EVALUATE(C1006,F1006)</f>
        <v>17245.265849707386</v>
      </c>
      <c r="H1006" s="5" t="s">
        <v>2052</v>
      </c>
      <c r="I1006" s="7">
        <v>1100400</v>
      </c>
      <c r="J1006" s="8">
        <v>3.5400000000000001E-2</v>
      </c>
    </row>
    <row r="1007" spans="1:10" x14ac:dyDescent="0.25">
      <c r="A1007" s="5" t="s">
        <v>2040</v>
      </c>
      <c r="B1007" s="5" t="s">
        <v>2053</v>
      </c>
      <c r="C1007" s="6" t="str">
        <f>_xll.QS.CONTEXT.CREATE("market.1005",A1007,"USD","SOFR")</f>
        <v>QSObject:PricingContext:w1~market.1005:1863</v>
      </c>
      <c r="D1007" s="6" t="str">
        <f>_xll.QS.CONTEXT.ADD.CURVE(C1007,"SOFR",$K$2:$K$7,$L$2:$L$7,,,"Actual360","LogLinear",TRUE)</f>
        <v>QSObject:ContextInput:w1~input.qs_context_add_curve.2359132437744.1006.3.0:17271</v>
      </c>
      <c r="E1007" s="6" t="str">
        <f>_xll.QS.INSTRUMENT.SWAP("swap.1005",H1007,B1007,"USD","SOFR",I1007,J1007,0,"Actual360","Simple","Annual","Annual","Annual")</f>
        <v>QSObject:Swap:w1~swap.1005:16256</v>
      </c>
      <c r="F1007" s="6" t="str">
        <f>_xll.QS.TRADE.CREATE("trade.1005",E1007,A1007,"Receive")</f>
        <v>QSObject:SwapTrade:w1~trade.1005:25732</v>
      </c>
      <c r="G1007" s="3">
        <f>_xll.QS.EVALUATE(C1007,F1007)</f>
        <v>17711.761724539225</v>
      </c>
      <c r="H1007" s="5" t="s">
        <v>2054</v>
      </c>
      <c r="I1007" s="7">
        <v>1100500</v>
      </c>
      <c r="J1007" s="8">
        <v>3.5499999999999997E-2</v>
      </c>
    </row>
    <row r="1008" spans="1:10" x14ac:dyDescent="0.25">
      <c r="A1008" s="5" t="s">
        <v>2042</v>
      </c>
      <c r="B1008" s="5" t="s">
        <v>2055</v>
      </c>
      <c r="C1008" s="6" t="str">
        <f>_xll.QS.CONTEXT.CREATE("market.1006",A1008,"USD","SOFR")</f>
        <v>QSObject:PricingContext:w1~market.1006:14570</v>
      </c>
      <c r="D1008" s="6" t="str">
        <f>_xll.QS.CONTEXT.ADD.CURVE(C1008,"SOFR",$K$2:$K$7,$L$2:$L$7,,,"Actual360","LogLinear",TRUE)</f>
        <v>QSObject:ContextInput:w1~input.qs_context_add_curve.2359132437744.1007.3.0:18240</v>
      </c>
      <c r="E1008" s="6" t="str">
        <f>_xll.QS.INSTRUMENT.SWAP("swap.1006",H1008,B1008,"USD","SOFR",I1008,J1008,0,"Actual360","Simple","Annual","Annual","Annual")</f>
        <v>QSObject:Swap:w1~swap.1006:12936</v>
      </c>
      <c r="F1008" s="6" t="str">
        <f>_xll.QS.TRADE.CREATE("trade.1006",E1008,A1008,"Receive")</f>
        <v>QSObject:SwapTrade:w1~trade.1006:24219</v>
      </c>
      <c r="G1008" s="3">
        <f>_xll.QS.EVALUATE(C1008,F1008)</f>
        <v>18140.930886997539</v>
      </c>
      <c r="H1008" s="5" t="s">
        <v>2056</v>
      </c>
      <c r="I1008" s="7">
        <v>1100600</v>
      </c>
      <c r="J1008" s="8">
        <v>3.5600000000000007E-2</v>
      </c>
    </row>
    <row r="1009" spans="1:10" x14ac:dyDescent="0.25">
      <c r="A1009" s="5" t="s">
        <v>2044</v>
      </c>
      <c r="B1009" s="5" t="s">
        <v>2057</v>
      </c>
      <c r="C1009" s="6" t="str">
        <f>_xll.QS.CONTEXT.CREATE("market.1007",A1009,"USD","SOFR")</f>
        <v>QSObject:PricingContext:w1~market.1007:3404</v>
      </c>
      <c r="D1009" s="6" t="str">
        <f>_xll.QS.CONTEXT.ADD.CURVE(C1009,"SOFR",$K$2:$K$7,$L$2:$L$7,,,"Actual360","LogLinear",TRUE)</f>
        <v>QSObject:ContextInput:w1~input.qs_context_add_curve.2359132437744.1008.3.0:9763</v>
      </c>
      <c r="E1009" s="6" t="str">
        <f>_xll.QS.INSTRUMENT.SWAP("swap.1007",H1009,B1009,"USD","SOFR",I1009,J1009,0,"Actual360","Simple","Annual","Annual","Annual")</f>
        <v>QSObject:Swap:w1~swap.1007:8166</v>
      </c>
      <c r="F1009" s="6" t="str">
        <f>_xll.QS.TRADE.CREATE("trade.1007",E1009,A1009,"Receive")</f>
        <v>QSObject:SwapTrade:w1~trade.1007:17270</v>
      </c>
      <c r="G1009" s="3">
        <f>_xll.QS.EVALUATE(C1009,F1009)</f>
        <v>18520.822188805767</v>
      </c>
      <c r="H1009" s="5" t="s">
        <v>2058</v>
      </c>
      <c r="I1009" s="7">
        <v>1100700</v>
      </c>
      <c r="J1009" s="8">
        <v>3.5700000000000003E-2</v>
      </c>
    </row>
    <row r="1010" spans="1:10" x14ac:dyDescent="0.25">
      <c r="A1010" s="5" t="s">
        <v>2046</v>
      </c>
      <c r="B1010" s="5" t="s">
        <v>2059</v>
      </c>
      <c r="C1010" s="6" t="str">
        <f>_xll.QS.CONTEXT.CREATE("market.1008",A1010,"USD","SOFR")</f>
        <v>QSObject:PricingContext:w1~market.1008:6570</v>
      </c>
      <c r="D1010" s="6" t="str">
        <f>_xll.QS.CONTEXT.ADD.CURVE(C1010,"SOFR",$K$2:$K$7,$L$2:$L$7,,,"Actual360","LogLinear",TRUE)</f>
        <v>QSObject:ContextInput:w1~input.qs_context_add_curve.2359132437744.1009.3.0:16255</v>
      </c>
      <c r="E1010" s="6" t="str">
        <f>_xll.QS.INSTRUMENT.SWAP("swap.1008",H1010,B1010,"USD","SOFR",I1010,J1010,0,"Actual360","Simple","Annual","Annual","Annual")</f>
        <v>QSObject:Swap:w1~swap.1008:19923</v>
      </c>
      <c r="F1010" s="6" t="str">
        <f>_xll.QS.TRADE.CREATE("trade.1008",E1010,A1010,"Receive")</f>
        <v>QSObject:SwapTrade:w1~trade.1008:22970</v>
      </c>
      <c r="G1010" s="3">
        <f>_xll.QS.EVALUATE(C1010,F1010)</f>
        <v>19076.200704535135</v>
      </c>
      <c r="H1010" s="5" t="s">
        <v>2060</v>
      </c>
      <c r="I1010" s="7">
        <v>1100800</v>
      </c>
      <c r="J1010" s="8">
        <v>3.5800000000000012E-2</v>
      </c>
    </row>
    <row r="1011" spans="1:10" x14ac:dyDescent="0.25">
      <c r="A1011" s="5" t="s">
        <v>2048</v>
      </c>
      <c r="B1011" s="5" t="s">
        <v>2061</v>
      </c>
      <c r="C1011" s="6" t="str">
        <f>_xll.QS.CONTEXT.CREATE("market.1009",A1011,"USD","SOFR")</f>
        <v>QSObject:PricingContext:w1~market.1009:11415</v>
      </c>
      <c r="D1011" s="6" t="str">
        <f>_xll.QS.CONTEXT.ADD.CURVE(C1011,"SOFR",$K$2:$K$7,$L$2:$L$7,,,"Actual360","LogLinear",TRUE)</f>
        <v>QSObject:ContextInput:w1~input.qs_context_add_curve.2359132437744.1010.3.0:39149</v>
      </c>
      <c r="E1011" s="6" t="str">
        <f>_xll.QS.INSTRUMENT.SWAP("swap.1009",H1011,B1011,"USD","SOFR",I1011,J1011,0,"Actual360","Simple","Annual","Annual","Annual")</f>
        <v>QSObject:Swap:w1~swap.1009:12935</v>
      </c>
      <c r="F1011" s="6" t="str">
        <f>_xll.QS.TRADE.CREATE("trade.1009",E1011,A1011,"Receive")</f>
        <v>QSObject:SwapTrade:w1~trade.1009:25731</v>
      </c>
      <c r="G1011" s="3">
        <f>_xll.QS.EVALUATE(C1011,F1011)</f>
        <v>19631.663868051583</v>
      </c>
      <c r="H1011" s="5" t="s">
        <v>2062</v>
      </c>
      <c r="I1011" s="7">
        <v>1100900</v>
      </c>
      <c r="J1011" s="8">
        <v>3.5900000000000001E-2</v>
      </c>
    </row>
    <row r="1012" spans="1:10" x14ac:dyDescent="0.25">
      <c r="A1012" s="5" t="s">
        <v>2050</v>
      </c>
      <c r="B1012" s="5" t="s">
        <v>2063</v>
      </c>
      <c r="C1012" s="6" t="str">
        <f>_xll.QS.CONTEXT.CREATE("market.1010",A1012,"USD","SOFR")</f>
        <v>QSObject:PricingContext:w1~market.1010:19922</v>
      </c>
      <c r="D1012" s="6" t="str">
        <f>_xll.QS.CONTEXT.ADD.CURVE(C1012,"SOFR",$K$2:$K$7,$L$2:$L$7,,,"Actual360","LogLinear",TRUE)</f>
        <v>QSObject:ContextInput:w1~input.qs_context_add_curve.2359132437744.1011.3.0:39148</v>
      </c>
      <c r="E1012" s="6" t="str">
        <f>_xll.QS.INSTRUMENT.SWAP("swap.1010",H1012,B1012,"USD","SOFR",I1012,J1012,0,"Actual360","Simple","Annual","Annual","Annual")</f>
        <v>QSObject:Swap:w1~swap.1010:18239</v>
      </c>
      <c r="F1012" s="6" t="str">
        <f>_xll.QS.TRADE.CREATE("trade.1010",E1012,A1012,"Receive")</f>
        <v>QSObject:SwapTrade:w1~trade.1010:25730</v>
      </c>
      <c r="G1012" s="3">
        <f>_xll.QS.EVALUATE(C1012,F1012)</f>
        <v>20293.777238389295</v>
      </c>
      <c r="H1012" s="5" t="s">
        <v>2064</v>
      </c>
      <c r="I1012" s="7">
        <v>1101000</v>
      </c>
      <c r="J1012" s="8">
        <v>3.5999999999999997E-2</v>
      </c>
    </row>
    <row r="1013" spans="1:10" x14ac:dyDescent="0.25">
      <c r="A1013" s="5" t="s">
        <v>2052</v>
      </c>
      <c r="B1013" s="5" t="s">
        <v>2065</v>
      </c>
      <c r="C1013" s="6" t="str">
        <f>_xll.QS.CONTEXT.CREATE("market.1011",A1013,"USD","SOFR")</f>
        <v>QSObject:PricingContext:w1~market.1011:14569</v>
      </c>
      <c r="D1013" s="6" t="str">
        <f>_xll.QS.CONTEXT.ADD.CURVE(C1013,"SOFR",$K$2:$K$7,$L$2:$L$7,,,"Actual360","LogLinear",TRUE)</f>
        <v>QSObject:ContextInput:w1~input.qs_context_add_curve.2359132437744.1012.3.0:39147</v>
      </c>
      <c r="E1013" s="6" t="str">
        <f>_xll.QS.INSTRUMENT.SWAP("swap.1011",H1013,B1013,"USD","SOFR",I1013,J1013,0,"Actual360","Simple","Annual","Annual","Annual")</f>
        <v>QSObject:Swap:w1~swap.1011:9762</v>
      </c>
      <c r="F1013" s="6" t="str">
        <f>_xll.QS.TRADE.CREATE("trade.1011",E1013,A1013,"Receive")</f>
        <v>QSObject:SwapTrade:w1~trade.1011:12934</v>
      </c>
      <c r="G1013" s="3">
        <f>_xll.QS.EVALUATE(C1013,F1013)</f>
        <v>20813.415582803063</v>
      </c>
      <c r="H1013" s="5" t="s">
        <v>2066</v>
      </c>
      <c r="I1013" s="7">
        <v>1101100</v>
      </c>
      <c r="J1013" s="8">
        <v>3.61E-2</v>
      </c>
    </row>
    <row r="1014" spans="1:10" x14ac:dyDescent="0.25">
      <c r="A1014" s="5" t="s">
        <v>2054</v>
      </c>
      <c r="B1014" s="5" t="s">
        <v>2067</v>
      </c>
      <c r="C1014" s="6" t="str">
        <f>_xll.QS.CONTEXT.CREATE("market.1012",A1014,"USD","SOFR")</f>
        <v>QSObject:PricingContext:w1~market.1012:3403</v>
      </c>
      <c r="D1014" s="6" t="str">
        <f>_xll.QS.CONTEXT.ADD.CURVE(C1014,"SOFR",$K$2:$K$7,$L$2:$L$7,,,"Actual360","LogLinear",TRUE)</f>
        <v>QSObject:ContextInput:w1~input.qs_context_add_curve.2359132437744.1013.3.0:6569</v>
      </c>
      <c r="E1014" s="6" t="str">
        <f>_xll.QS.INSTRUMENT.SWAP("swap.1012",H1014,B1014,"USD","SOFR",I1014,J1014,0,"Actual360","Simple","Annual","Annual","Annual")</f>
        <v>QSObject:Swap:w1~swap.1012:4964</v>
      </c>
      <c r="F1014" s="6" t="str">
        <f>_xll.QS.TRADE.CREATE("trade.1012",E1014,A1014,"Receive")</f>
        <v>QSObject:SwapTrade:w1~trade.1012:8165</v>
      </c>
      <c r="G1014" s="3">
        <f>_xll.QS.EVALUATE(C1014,F1014)</f>
        <v>21322.509740822756</v>
      </c>
      <c r="H1014" s="5" t="s">
        <v>2068</v>
      </c>
      <c r="I1014" s="7">
        <v>1101200</v>
      </c>
      <c r="J1014" s="8">
        <v>3.6200000000000003E-2</v>
      </c>
    </row>
    <row r="1015" spans="1:10" x14ac:dyDescent="0.25">
      <c r="A1015" s="5" t="s">
        <v>2056</v>
      </c>
      <c r="B1015" s="5" t="s">
        <v>2069</v>
      </c>
      <c r="C1015" s="6" t="str">
        <f>_xll.QS.CONTEXT.CREATE("market.1013",A1015,"USD","SOFR")</f>
        <v>QSObject:PricingContext:w1~market.1013:1862</v>
      </c>
      <c r="D1015" s="6" t="str">
        <f>_xll.QS.CONTEXT.ADD.CURVE(C1015,"SOFR",$K$2:$K$7,$L$2:$L$7,,,"Actual360","LogLinear",TRUE)</f>
        <v>QSObject:ContextInput:w1~input.qs_context_add_curve.2359132437744.1014.3.0:17269</v>
      </c>
      <c r="E1015" s="6" t="str">
        <f>_xll.QS.INSTRUMENT.SWAP("swap.1013",H1015,B1015,"USD","SOFR",I1015,J1015,0,"Actual360","Simple","Annual","Annual","Annual")</f>
        <v>QSObject:Swap:w1~swap.1013:19921</v>
      </c>
      <c r="F1015" s="6" t="str">
        <f>_xll.QS.TRADE.CREATE("trade.1013",E1015,A1015,"Receive")</f>
        <v>QSObject:SwapTrade:w1~trade.1013:28292</v>
      </c>
      <c r="G1015" s="3">
        <f>_xll.QS.EVALUATE(C1015,F1015)</f>
        <v>21760.22823597489</v>
      </c>
      <c r="H1015" s="5" t="s">
        <v>2070</v>
      </c>
      <c r="I1015" s="7">
        <v>1101300</v>
      </c>
      <c r="J1015" s="8">
        <v>3.6300000000000013E-2</v>
      </c>
    </row>
    <row r="1016" spans="1:10" x14ac:dyDescent="0.25">
      <c r="A1016" s="5" t="s">
        <v>2058</v>
      </c>
      <c r="B1016" s="5" t="s">
        <v>2071</v>
      </c>
      <c r="C1016" s="6" t="str">
        <f>_xll.QS.CONTEXT.CREATE("market.1014",A1016,"USD","SOFR")</f>
        <v>QSObject:PricingContext:w1~market.1014:9761</v>
      </c>
      <c r="D1016" s="6" t="str">
        <f>_xll.QS.CONTEXT.ADD.CURVE(C1016,"SOFR",$K$2:$K$7,$L$2:$L$7,,,"Actual360","LogLinear",TRUE)</f>
        <v>QSObject:ContextInput:w1~input.qs_context_add_curve.2359132437744.1015.3.0:12933</v>
      </c>
      <c r="E1016" s="6" t="str">
        <f>_xll.QS.INSTRUMENT.SWAP("swap.1014",H1016,B1016,"USD","SOFR",I1016,J1016,0,"Actual360","Simple","Annual","Annual","Annual")</f>
        <v>QSObject:Swap:w1~swap.1014:18238</v>
      </c>
      <c r="F1016" s="6" t="str">
        <f>_xll.QS.TRADE.CREATE("trade.1014",E1016,A1016,"Receive")</f>
        <v>QSObject:SwapTrade:w1~trade.1014:24218</v>
      </c>
      <c r="G1016" s="3">
        <f>_xll.QS.EVALUATE(C1016,F1016)</f>
        <v>22178.854742276868</v>
      </c>
      <c r="H1016" s="5" t="s">
        <v>2072</v>
      </c>
      <c r="I1016" s="7">
        <v>1101400</v>
      </c>
      <c r="J1016" s="8">
        <v>3.6400000000000002E-2</v>
      </c>
    </row>
    <row r="1017" spans="1:10" x14ac:dyDescent="0.25">
      <c r="A1017" s="5" t="s">
        <v>2060</v>
      </c>
      <c r="B1017" s="5" t="s">
        <v>2073</v>
      </c>
      <c r="C1017" s="6" t="str">
        <f>_xll.QS.CONTEXT.CREATE("market.1015",A1017,"USD","SOFR")</f>
        <v>QSObject:PricingContext:w1~market.1015:11414</v>
      </c>
      <c r="D1017" s="6" t="str">
        <f>_xll.QS.CONTEXT.ADD.CURVE(C1017,"SOFR",$K$2:$K$7,$L$2:$L$7,,,"Actual360","LogLinear",TRUE)</f>
        <v>QSObject:ContextInput:w1~input.qs_context_add_curve.2359132437744.1016.3.0:39146</v>
      </c>
      <c r="E1017" s="6" t="str">
        <f>_xll.QS.INSTRUMENT.SWAP("swap.1015",H1017,B1017,"USD","SOFR",I1017,J1017,0,"Actual360","Simple","Annual","Annual","Annual")</f>
        <v>QSObject:Swap:w1~swap.1015:14568</v>
      </c>
      <c r="F1017" s="6" t="str">
        <f>_xll.QS.TRADE.CREATE("trade.1015",E1017,A1017,"Receive")</f>
        <v>QSObject:SwapTrade:w1~trade.1015:17268</v>
      </c>
      <c r="G1017" s="3">
        <f>_xll.QS.EVALUATE(C1017,F1017)</f>
        <v>22690.65303801015</v>
      </c>
      <c r="H1017" s="5" t="s">
        <v>2074</v>
      </c>
      <c r="I1017" s="7">
        <v>1101500</v>
      </c>
      <c r="J1017" s="8">
        <v>3.6499999999999998E-2</v>
      </c>
    </row>
    <row r="1018" spans="1:10" x14ac:dyDescent="0.25">
      <c r="A1018" s="5" t="s">
        <v>2062</v>
      </c>
      <c r="B1018" s="5" t="s">
        <v>2075</v>
      </c>
      <c r="C1018" s="6" t="str">
        <f>_xll.QS.CONTEXT.CREATE("market.1016",A1018,"USD","SOFR")</f>
        <v>QSObject:PricingContext:w1~market.1016:4963</v>
      </c>
      <c r="D1018" s="6" t="str">
        <f>_xll.QS.CONTEXT.ADD.CURVE(C1018,"SOFR",$K$2:$K$7,$L$2:$L$7,,,"Actual360","LogLinear",TRUE)</f>
        <v>QSObject:ContextInput:w1~input.qs_context_add_curve.2359132437744.1017.3.0:39145</v>
      </c>
      <c r="E1018" s="6" t="str">
        <f>_xll.QS.INSTRUMENT.SWAP("swap.1016",H1018,B1018,"USD","SOFR",I1018,J1018,0,"Actual360","Simple","Annual","Annual","Annual")</f>
        <v>QSObject:Swap:w1~swap.1016:8164</v>
      </c>
      <c r="F1018" s="6" t="str">
        <f>_xll.QS.TRADE.CREATE("trade.1016",E1018,A1018,"Receive")</f>
        <v>QSObject:SwapTrade:w1~trade.1016:16254</v>
      </c>
      <c r="G1018" s="3">
        <f>_xll.QS.EVALUATE(C1018,F1018)</f>
        <v>23231.670528420946</v>
      </c>
      <c r="H1018" s="5" t="s">
        <v>2076</v>
      </c>
      <c r="I1018" s="7">
        <v>1101600</v>
      </c>
      <c r="J1018" s="8">
        <v>3.6600000000000001E-2</v>
      </c>
    </row>
    <row r="1019" spans="1:10" x14ac:dyDescent="0.25">
      <c r="A1019" s="5" t="s">
        <v>2064</v>
      </c>
      <c r="B1019" s="5" t="s">
        <v>2077</v>
      </c>
      <c r="C1019" s="6" t="str">
        <f>_xll.QS.CONTEXT.CREATE("market.1017",A1019,"USD","SOFR")</f>
        <v>QSObject:PricingContext:w1~market.1017:18237</v>
      </c>
      <c r="D1019" s="6" t="str">
        <f>_xll.QS.CONTEXT.ADD.CURVE(C1019,"SOFR",$K$2:$K$7,$L$2:$L$7,,,"Actual360","LogLinear",TRUE)</f>
        <v>QSObject:ContextInput:w1~input.qs_context_add_curve.2359132437744.1018.3.0:19920</v>
      </c>
      <c r="E1019" s="6" t="str">
        <f>_xll.QS.INSTRUMENT.SWAP("swap.1017",H1019,B1019,"USD","SOFR",I1019,J1019,0,"Actual360","Simple","Annual","Annual","Annual")</f>
        <v>QSObject:Swap:w1~swap.1017:12932</v>
      </c>
      <c r="F1019" s="6" t="str">
        <f>_xll.QS.TRADE.CREATE("trade.1017",E1019,A1019,"Receive")</f>
        <v>QSObject:SwapTrade:w1~trade.1017:29653</v>
      </c>
      <c r="G1019" s="3">
        <f>_xll.QS.EVALUATE(C1019,F1019)</f>
        <v>23822.229996300171</v>
      </c>
      <c r="H1019" s="5" t="s">
        <v>2078</v>
      </c>
      <c r="I1019" s="7">
        <v>1101700</v>
      </c>
      <c r="J1019" s="8">
        <v>3.6700000000000003E-2</v>
      </c>
    </row>
    <row r="1020" spans="1:10" x14ac:dyDescent="0.25">
      <c r="A1020" s="5" t="s">
        <v>2066</v>
      </c>
      <c r="B1020" s="5" t="s">
        <v>2079</v>
      </c>
      <c r="C1020" s="6" t="str">
        <f>_xll.QS.CONTEXT.CREATE("market.1018",A1020,"USD","SOFR")</f>
        <v>QSObject:PricingContext:w1~market.1018:17267</v>
      </c>
      <c r="D1020" s="6" t="str">
        <f>_xll.QS.CONTEXT.ADD.CURVE(C1020,"SOFR",$K$2:$K$7,$L$2:$L$7,,,"Actual360","LogLinear",TRUE)</f>
        <v>QSObject:ContextInput:w1~input.qs_context_add_curve.2359132437744.1019.3.0:39144</v>
      </c>
      <c r="E1020" s="6" t="str">
        <f>_xll.QS.INSTRUMENT.SWAP("swap.1018",H1020,B1020,"USD","SOFR",I1020,J1020,0,"Actual360","Simple","Annual","Annual","Annual")</f>
        <v>QSObject:Swap:w1~swap.1018:6568</v>
      </c>
      <c r="F1020" s="6" t="str">
        <f>_xll.QS.TRADE.CREATE("trade.1018",E1020,A1020,"Receive")</f>
        <v>QSObject:SwapTrade:w1~trade.1018:27011</v>
      </c>
      <c r="G1020" s="3">
        <f>_xll.QS.EVALUATE(C1020,F1020)</f>
        <v>24380.575126697822</v>
      </c>
      <c r="H1020" s="5" t="s">
        <v>2080</v>
      </c>
      <c r="I1020" s="7">
        <v>1101800</v>
      </c>
      <c r="J1020" s="8">
        <v>3.6800000000000013E-2</v>
      </c>
    </row>
    <row r="1021" spans="1:10" x14ac:dyDescent="0.25">
      <c r="A1021" s="5" t="s">
        <v>2068</v>
      </c>
      <c r="B1021" s="5" t="s">
        <v>2081</v>
      </c>
      <c r="C1021" s="6" t="str">
        <f>_xll.QS.CONTEXT.CREATE("market.1019",A1021,"USD","SOFR")</f>
        <v>QSObject:PricingContext:w1~market.1019:8163</v>
      </c>
      <c r="D1021" s="6" t="str">
        <f>_xll.QS.CONTEXT.ADD.CURVE(C1021,"SOFR",$K$2:$K$7,$L$2:$L$7,,,"Actual360","LogLinear",TRUE)</f>
        <v>QSObject:ContextInput:w1~input.qs_context_add_curve.2359132437744.1020.3.0:22315</v>
      </c>
      <c r="E1021" s="6" t="str">
        <f>_xll.QS.INSTRUMENT.SWAP("swap.1019",H1021,B1021,"USD","SOFR",I1021,J1021,0,"Actual360","Simple","Annual","Annual","Annual")</f>
        <v>QSObject:Swap:w1~swap.1019:14567</v>
      </c>
      <c r="F1021" s="6" t="str">
        <f>_xll.QS.TRADE.CREATE("trade.1019",E1021,A1021,"Receive")</f>
        <v>QSObject:SwapTrade:w1~trade.1019:16253</v>
      </c>
      <c r="G1021" s="3">
        <f>_xll.QS.EVALUATE(C1021,F1021)</f>
        <v>24848.489159337794</v>
      </c>
      <c r="H1021" s="5" t="s">
        <v>2082</v>
      </c>
      <c r="I1021" s="7">
        <v>1101900</v>
      </c>
      <c r="J1021" s="8">
        <v>3.6900000000000002E-2</v>
      </c>
    </row>
    <row r="1022" spans="1:10" x14ac:dyDescent="0.25">
      <c r="A1022" s="5" t="s">
        <v>2070</v>
      </c>
      <c r="B1022" s="5" t="s">
        <v>2083</v>
      </c>
      <c r="C1022" s="6" t="str">
        <f>_xll.QS.CONTEXT.CREATE("market.1020",A1022,"USD","SOFR")</f>
        <v>QSObject:PricingContext:w1~market.1020:18236</v>
      </c>
      <c r="D1022" s="6" t="str">
        <f>_xll.QS.CONTEXT.ADD.CURVE(C1022,"SOFR",$K$2:$K$7,$L$2:$L$7,,,"Actual360","LogLinear",TRUE)</f>
        <v>QSObject:ContextInput:w1~input.qs_context_add_curve.2359132437744.1021.3.0:19919</v>
      </c>
      <c r="E1022" s="6" t="str">
        <f>_xll.QS.INSTRUMENT.SWAP("swap.1020",H1022,B1022,"USD","SOFR",I1022,J1022,0,"Actual360","Simple","Annual","Annual","Annual")</f>
        <v>QSObject:Swap:w1~swap.1020:12931</v>
      </c>
      <c r="F1022" s="6" t="str">
        <f>_xll.QS.TRADE.CREATE("trade.1020",E1022,A1022,"Receive")</f>
        <v>QSObject:SwapTrade:w1~trade.1020:29008</v>
      </c>
      <c r="G1022" s="3">
        <f>_xll.QS.EVALUATE(C1022,F1022)</f>
        <v>25282.614012461345</v>
      </c>
      <c r="H1022" s="5" t="s">
        <v>2084</v>
      </c>
      <c r="I1022" s="7">
        <v>1102000</v>
      </c>
      <c r="J1022" s="8">
        <v>3.7000000000000012E-2</v>
      </c>
    </row>
    <row r="1023" spans="1:10" x14ac:dyDescent="0.25">
      <c r="A1023" s="5" t="s">
        <v>2072</v>
      </c>
      <c r="B1023" s="5" t="s">
        <v>2085</v>
      </c>
      <c r="C1023" s="6" t="str">
        <f>_xll.QS.CONTEXT.CREATE("market.1021",A1023,"USD","SOFR")</f>
        <v>QSObject:PricingContext:w1~market.1021:8162</v>
      </c>
      <c r="D1023" s="6" t="str">
        <f>_xll.QS.CONTEXT.ADD.CURVE(C1023,"SOFR",$K$2:$K$7,$L$2:$L$7,,,"Actual360","LogLinear",TRUE)</f>
        <v>QSObject:ContextInput:w1~input.qs_context_add_curve.2359132437744.1022.3.0:9760</v>
      </c>
      <c r="E1023" s="6" t="str">
        <f>_xll.QS.INSTRUMENT.SWAP("swap.1021",H1023,B1023,"USD","SOFR",I1023,J1023,0,"Actual360","Simple","Annual","Annual","Annual")</f>
        <v>QSObject:Swap:w1~swap.1021:11413</v>
      </c>
      <c r="F1023" s="6" t="str">
        <f>_xll.QS.TRADE.CREATE("trade.1021",E1023,A1023,"Receive")</f>
        <v>QSObject:SwapTrade:w1~trade.1021:29652</v>
      </c>
      <c r="G1023" s="3">
        <f>_xll.QS.EVALUATE(C1023,F1023)</f>
        <v>25707.44445585876</v>
      </c>
      <c r="H1023" s="5" t="s">
        <v>2086</v>
      </c>
      <c r="I1023" s="7">
        <v>1102100</v>
      </c>
      <c r="J1023" s="8">
        <v>3.7100000000000001E-2</v>
      </c>
    </row>
    <row r="1024" spans="1:10" x14ac:dyDescent="0.25">
      <c r="A1024" s="5" t="s">
        <v>2074</v>
      </c>
      <c r="B1024" s="5" t="s">
        <v>2087</v>
      </c>
      <c r="C1024" s="6" t="str">
        <f>_xll.QS.CONTEXT.CREATE("market.1022",A1024,"USD","SOFR")</f>
        <v>QSObject:PricingContext:w1~market.1022:14566</v>
      </c>
      <c r="D1024" s="6" t="str">
        <f>_xll.QS.CONTEXT.ADD.CURVE(C1024,"SOFR",$K$2:$K$7,$L$2:$L$7,,,"Actual360","LogLinear",TRUE)</f>
        <v>QSObject:ContextInput:w1~input.qs_context_add_curve.2359132437744.1023.3.0:25031</v>
      </c>
      <c r="E1024" s="6" t="str">
        <f>_xll.QS.INSTRUMENT.SWAP("swap.1022",H1024,B1024,"USD","SOFR",I1024,J1024,0,"Actual360","Simple","Annual","Annual","Annual")</f>
        <v>QSObject:Swap:w1~swap.1022:16252</v>
      </c>
      <c r="F1024" s="6" t="str">
        <f>_xll.QS.TRADE.CREATE("trade.1022",E1024,A1024,"Receive")</f>
        <v>QSObject:SwapTrade:w1~trade.1022:19918</v>
      </c>
      <c r="G1024" s="3">
        <f>_xll.QS.EVALUATE(C1024,F1024)</f>
        <v>26264.524143311759</v>
      </c>
      <c r="H1024" s="5" t="s">
        <v>2088</v>
      </c>
      <c r="I1024" s="7">
        <v>1102200</v>
      </c>
      <c r="J1024" s="8">
        <v>3.7199999999999997E-2</v>
      </c>
    </row>
    <row r="1025" spans="1:10" x14ac:dyDescent="0.25">
      <c r="A1025" s="5" t="s">
        <v>2076</v>
      </c>
      <c r="B1025" s="5" t="s">
        <v>2089</v>
      </c>
      <c r="C1025" s="6" t="str">
        <f>_xll.QS.CONTEXT.CREATE("market.1023",A1025,"USD","SOFR")</f>
        <v>QSObject:PricingContext:w1~market.1023:17266</v>
      </c>
      <c r="D1025" s="6" t="str">
        <f>_xll.QS.CONTEXT.ADD.CURVE(C1025,"SOFR",$K$2:$K$7,$L$2:$L$7,,,"Actual360","LogLinear",TRUE)</f>
        <v>QSObject:ContextInput:w1~input.qs_context_add_curve.2359132437744.1024.3.0:39143</v>
      </c>
      <c r="E1025" s="6" t="str">
        <f>_xll.QS.INSTRUMENT.SWAP("swap.1023",H1025,B1025,"USD","SOFR",I1025,J1025,0,"Actual360","Simple","Annual","Annual","Annual")</f>
        <v>QSObject:Swap:w1~swap.1023:4962</v>
      </c>
      <c r="F1025" s="6" t="str">
        <f>_xll.QS.TRADE.CREATE("trade.1023",E1025,A1025,"Receive")</f>
        <v>QSObject:SwapTrade:w1~trade.1023:11412</v>
      </c>
      <c r="G1025" s="3">
        <f>_xll.QS.EVALUATE(C1025,F1025)</f>
        <v>26804.5738479432</v>
      </c>
      <c r="H1025" s="5" t="s">
        <v>2090</v>
      </c>
      <c r="I1025" s="7">
        <v>1102300</v>
      </c>
      <c r="J1025" s="8">
        <v>3.73E-2</v>
      </c>
    </row>
    <row r="1026" spans="1:10" x14ac:dyDescent="0.25">
      <c r="A1026" s="5" t="s">
        <v>2078</v>
      </c>
      <c r="B1026" s="5" t="s">
        <v>2091</v>
      </c>
      <c r="C1026" s="6" t="str">
        <f>_xll.QS.CONTEXT.CREATE("market.1024",A1026,"USD","SOFR")</f>
        <v>QSObject:PricingContext:w1~market.1024:8161</v>
      </c>
      <c r="D1026" s="6" t="str">
        <f>_xll.QS.CONTEXT.ADD.CURVE(C1026,"SOFR",$K$2:$K$7,$L$2:$L$7,,,"Actual360","LogLinear",TRUE)</f>
        <v>QSObject:ContextInput:w1~input.qs_context_add_curve.2359132437744.1025.3.0:14565</v>
      </c>
      <c r="E1026" s="6" t="str">
        <f>_xll.QS.INSTRUMENT.SWAP("swap.1024",H1026,B1026,"USD","SOFR",I1026,J1026,0,"Actual360","Simple","Annual","Annual","Annual")</f>
        <v>QSObject:Swap:w1~swap.1024:9759</v>
      </c>
      <c r="F1026" s="6" t="str">
        <f>_xll.QS.TRADE.CREATE("trade.1024",E1026,A1026,"Receive")</f>
        <v>QSObject:SwapTrade:w1~trade.1024:30311</v>
      </c>
      <c r="G1026" s="3">
        <f>_xll.QS.EVALUATE(C1026,F1026)</f>
        <v>27395.882799701267</v>
      </c>
      <c r="H1026" s="5" t="s">
        <v>2092</v>
      </c>
      <c r="I1026" s="7">
        <v>1102400</v>
      </c>
      <c r="J1026" s="8">
        <v>3.7400000000000003E-2</v>
      </c>
    </row>
    <row r="1027" spans="1:10" x14ac:dyDescent="0.25">
      <c r="A1027" s="5" t="s">
        <v>2080</v>
      </c>
      <c r="B1027" s="5" t="s">
        <v>2093</v>
      </c>
      <c r="C1027" s="6" t="str">
        <f>_xll.QS.CONTEXT.CREATE("market.1025",A1027,"USD","SOFR")</f>
        <v>QSObject:PricingContext:w1~market.1025:19917</v>
      </c>
      <c r="D1027" s="6" t="str">
        <f>_xll.QS.CONTEXT.ADD.CURVE(C1027,"SOFR",$K$2:$K$7,$L$2:$L$7,,,"Actual360","LogLinear",TRUE)</f>
        <v>QSObject:ContextInput:w1~input.qs_context_add_curve.2359132437744.1026.3.0:39142</v>
      </c>
      <c r="E1027" s="6" t="str">
        <f>_xll.QS.INSTRUMENT.SWAP("swap.1025",H1027,B1027,"USD","SOFR",I1027,J1027,0,"Actual360","Simple","Annual","Annual","Annual")</f>
        <v>QSObject:Swap:w1~swap.1025:12930</v>
      </c>
      <c r="F1027" s="6" t="str">
        <f>_xll.QS.TRADE.CREATE("trade.1025",E1027,A1027,"Receive")</f>
        <v>QSObject:SwapTrade:w1~trade.1025:22314</v>
      </c>
      <c r="G1027" s="3">
        <f>_xll.QS.EVALUATE(C1027,F1027)</f>
        <v>27954.944945434079</v>
      </c>
      <c r="H1027" s="5" t="s">
        <v>2094</v>
      </c>
      <c r="I1027" s="7">
        <v>1102500</v>
      </c>
      <c r="J1027" s="8">
        <v>3.7500000000000012E-2</v>
      </c>
    </row>
    <row r="1028" spans="1:10" x14ac:dyDescent="0.25">
      <c r="A1028" s="5" t="s">
        <v>2082</v>
      </c>
      <c r="B1028" s="5" t="s">
        <v>2095</v>
      </c>
      <c r="C1028" s="6" t="str">
        <f>_xll.QS.CONTEXT.CREATE("market.1026",A1028,"USD","SOFR")</f>
        <v>QSObject:PricingContext:w1~market.1026:6567</v>
      </c>
      <c r="D1028" s="6" t="str">
        <f>_xll.QS.CONTEXT.ADD.CURVE(C1028,"SOFR",$K$2:$K$7,$L$2:$L$7,,,"Actual360","LogLinear",TRUE)</f>
        <v>QSObject:ContextInput:w1~input.qs_context_add_curve.2359132437744.1027.3.0:11411</v>
      </c>
      <c r="E1028" s="6" t="str">
        <f>_xll.QS.INSTRUMENT.SWAP("swap.1026",H1028,B1028,"USD","SOFR",I1028,J1028,0,"Actual360","Simple","Annual","Annual","Annual")</f>
        <v>QSObject:Swap:w1~swap.1026:14564</v>
      </c>
      <c r="F1028" s="6" t="str">
        <f>_xll.QS.TRADE.CREATE("trade.1026",E1028,A1028,"Receive")</f>
        <v>QSObject:SwapTrade:w1~trade.1026:30310</v>
      </c>
      <c r="G1028" s="3">
        <f>_xll.QS.EVALUATE(C1028,F1028)</f>
        <v>28423.619434864286</v>
      </c>
      <c r="H1028" s="5" t="s">
        <v>2096</v>
      </c>
      <c r="I1028" s="7">
        <v>1102600</v>
      </c>
      <c r="J1028" s="8">
        <v>3.7600000000000001E-2</v>
      </c>
    </row>
    <row r="1029" spans="1:10" x14ac:dyDescent="0.25">
      <c r="A1029" s="5" t="s">
        <v>2084</v>
      </c>
      <c r="B1029" s="5" t="s">
        <v>2097</v>
      </c>
      <c r="C1029" s="6" t="str">
        <f>_xll.QS.CONTEXT.CREATE("market.1027",A1029,"USD","SOFR")</f>
        <v>QSObject:PricingContext:w1~market.1027:17265</v>
      </c>
      <c r="D1029" s="6" t="str">
        <f>_xll.QS.CONTEXT.ADD.CURVE(C1029,"SOFR",$K$2:$K$7,$L$2:$L$7,,,"Actual360","LogLinear",TRUE)</f>
        <v>QSObject:ContextInput:w1~input.qs_context_add_curve.2359132437744.1028.3.0:39141</v>
      </c>
      <c r="E1029" s="6" t="str">
        <f>_xll.QS.INSTRUMENT.SWAP("swap.1027",H1029,B1029,"USD","SOFR",I1029,J1029,0,"Actual360","Simple","Annual","Annual","Annual")</f>
        <v>QSObject:Swap:w1~swap.1027:16251</v>
      </c>
      <c r="F1029" s="6" t="str">
        <f>_xll.QS.TRADE.CREATE("trade.1027",E1029,A1029,"Receive")</f>
        <v>QSObject:SwapTrade:w1~trade.1027:30309</v>
      </c>
      <c r="G1029" s="3">
        <f>_xll.QS.EVALUATE(C1029,F1029)</f>
        <v>28909.49102324518</v>
      </c>
      <c r="H1029" s="5" t="s">
        <v>2098</v>
      </c>
      <c r="I1029" s="7">
        <v>1102700</v>
      </c>
      <c r="J1029" s="8">
        <v>3.7699999999999997E-2</v>
      </c>
    </row>
    <row r="1030" spans="1:10" x14ac:dyDescent="0.25">
      <c r="A1030" s="5" t="s">
        <v>2086</v>
      </c>
      <c r="B1030" s="5" t="s">
        <v>2099</v>
      </c>
      <c r="C1030" s="6" t="str">
        <f>_xll.QS.CONTEXT.CREATE("market.1028",A1030,"USD","SOFR")</f>
        <v>QSObject:PricingContext:w1~market.1028:12929</v>
      </c>
      <c r="D1030" s="6" t="str">
        <f>_xll.QS.CONTEXT.ADD.CURVE(C1030,"SOFR",$K$2:$K$7,$L$2:$L$7,,,"Actual360","LogLinear",TRUE)</f>
        <v>QSObject:ContextInput:w1~input.qs_context_add_curve.2359132437744.1029.3.0:19916</v>
      </c>
      <c r="E1030" s="6" t="str">
        <f>_xll.QS.INSTRUMENT.SWAP("swap.1028",H1030,B1030,"USD","SOFR",I1030,J1030,0,"Actual360","Simple","Annual","Annual","Annual")</f>
        <v>QSObject:Swap:w1~swap.1028:8160</v>
      </c>
      <c r="F1030" s="6" t="str">
        <f>_xll.QS.TRADE.CREATE("trade.1028",E1030,A1030,"Receive")</f>
        <v>QSObject:SwapTrade:w1~trade.1028:30308</v>
      </c>
      <c r="G1030" s="3">
        <f>_xll.QS.EVALUATE(C1030,F1030)</f>
        <v>29284.90957326852</v>
      </c>
      <c r="H1030" s="5" t="s">
        <v>2100</v>
      </c>
      <c r="I1030" s="7">
        <v>1102800</v>
      </c>
      <c r="J1030" s="8">
        <v>3.78E-2</v>
      </c>
    </row>
    <row r="1031" spans="1:10" x14ac:dyDescent="0.25">
      <c r="A1031" s="5" t="s">
        <v>2088</v>
      </c>
      <c r="B1031" s="5" t="s">
        <v>2101</v>
      </c>
      <c r="C1031" s="6" t="str">
        <f>_xll.QS.CONTEXT.CREATE("market.1029",A1031,"USD","SOFR")</f>
        <v>QSObject:PricingContext:w1~market.1029:11410</v>
      </c>
      <c r="D1031" s="6" t="str">
        <f>_xll.QS.CONTEXT.ADD.CURVE(C1031,"SOFR",$K$2:$K$7,$L$2:$L$7,,,"Actual360","LogLinear",TRUE)</f>
        <v>QSObject:ContextInput:w1~input.qs_context_add_curve.2359132437744.1030.3.0:14563</v>
      </c>
      <c r="E1031" s="6" t="str">
        <f>_xll.QS.INSTRUMENT.SWAP("swap.1029",H1031,B1031,"USD","SOFR",I1031,J1031,0,"Actual360","Simple","Annual","Annual","Annual")</f>
        <v>QSObject:Swap:w1~swap.1029:17264</v>
      </c>
      <c r="F1031" s="6" t="str">
        <f>_xll.QS.TRADE.CREATE("trade.1029",E1031,A1031,"Receive")</f>
        <v>QSObject:SwapTrade:w1~trade.1029:31138</v>
      </c>
      <c r="G1031" s="3">
        <f>_xll.QS.EVALUATE(C1031,F1031)</f>
        <v>29843.009364819387</v>
      </c>
      <c r="H1031" s="5" t="s">
        <v>2102</v>
      </c>
      <c r="I1031" s="7">
        <v>1102900</v>
      </c>
      <c r="J1031" s="8">
        <v>3.7900000000000003E-2</v>
      </c>
    </row>
    <row r="1032" spans="1:10" x14ac:dyDescent="0.25">
      <c r="A1032" s="5" t="s">
        <v>2090</v>
      </c>
      <c r="B1032" s="5" t="s">
        <v>2103</v>
      </c>
      <c r="C1032" s="6" t="str">
        <f>_xll.QS.CONTEXT.CREATE("market.1030",A1032,"USD","SOFR")</f>
        <v>QSObject:PricingContext:w1~market.1030:4961</v>
      </c>
      <c r="D1032" s="6" t="str">
        <f>_xll.QS.CONTEXT.ADD.CURVE(C1032,"SOFR",$K$2:$K$7,$L$2:$L$7,,,"Actual360","LogLinear",TRUE)</f>
        <v>QSObject:ContextInput:w1~input.qs_context_add_curve.2359132437744.1031.3.0:39140</v>
      </c>
      <c r="E1032" s="6" t="str">
        <f>_xll.QS.INSTRUMENT.SWAP("swap.1030",H1032,B1032,"USD","SOFR",I1032,J1032,0,"Actual360","Simple","Annual","Annual","Annual")</f>
        <v>QSObject:Swap:w1~swap.1030:12928</v>
      </c>
      <c r="F1032" s="6" t="str">
        <f>_xll.QS.TRADE.CREATE("trade.1030",E1032,A1032,"Receive")</f>
        <v>QSObject:SwapTrade:w1~trade.1030:19915</v>
      </c>
      <c r="G1032" s="3">
        <f>_xll.QS.EVALUATE(C1032,F1032)</f>
        <v>30381.996261543562</v>
      </c>
      <c r="H1032" s="5" t="s">
        <v>2104</v>
      </c>
      <c r="I1032" s="7">
        <v>1103000</v>
      </c>
      <c r="J1032" s="8">
        <v>3.8000000000000013E-2</v>
      </c>
    </row>
    <row r="1033" spans="1:10" x14ac:dyDescent="0.25">
      <c r="A1033" s="5" t="s">
        <v>2092</v>
      </c>
      <c r="B1033" s="5" t="s">
        <v>2105</v>
      </c>
      <c r="C1033" s="6" t="str">
        <f>_xll.QS.CONTEXT.CREATE("market.1031",A1033,"USD","SOFR")</f>
        <v>QSObject:PricingContext:w1~market.1031:14562</v>
      </c>
      <c r="D1033" s="6" t="str">
        <f>_xll.QS.CONTEXT.ADD.CURVE(C1033,"SOFR",$K$2:$K$7,$L$2:$L$7,,,"Actual360","LogLinear",TRUE)</f>
        <v>QSObject:ContextInput:w1~input.qs_context_add_curve.2359132437744.1032.3.0:39139</v>
      </c>
      <c r="E1033" s="6" t="str">
        <f>_xll.QS.INSTRUMENT.SWAP("swap.1031",H1033,B1033,"USD","SOFR",I1033,J1033,0,"Actual360","Simple","Annual","Annual","Annual")</f>
        <v>QSObject:Swap:w1~swap.1031:16250</v>
      </c>
      <c r="F1033" s="6" t="str">
        <f>_xll.QS.TRADE.CREATE("trade.1031",E1033,A1033,"Receive")</f>
        <v>QSObject:SwapTrade:w1~trade.1031:17263</v>
      </c>
      <c r="G1033" s="3">
        <f>_xll.QS.EVALUATE(C1033,F1033)</f>
        <v>31016.641512549544</v>
      </c>
      <c r="H1033" s="5" t="s">
        <v>2106</v>
      </c>
      <c r="I1033" s="7">
        <v>1103100</v>
      </c>
      <c r="J1033" s="8">
        <v>3.8100000000000002E-2</v>
      </c>
    </row>
    <row r="1034" spans="1:10" x14ac:dyDescent="0.25">
      <c r="A1034" s="5" t="s">
        <v>2094</v>
      </c>
      <c r="B1034" s="5" t="s">
        <v>2107</v>
      </c>
      <c r="C1034" s="6" t="str">
        <f>_xll.QS.CONTEXT.CREATE("market.1032",A1034,"USD","SOFR")</f>
        <v>QSObject:PricingContext:w1~market.1032:8159</v>
      </c>
      <c r="D1034" s="6" t="str">
        <f>_xll.QS.CONTEXT.ADD.CURVE(C1034,"SOFR",$K$2:$K$7,$L$2:$L$7,,,"Actual360","LogLinear",TRUE)</f>
        <v>QSObject:ContextInput:w1~input.qs_context_add_curve.2359132437744.1033.3.0:18235</v>
      </c>
      <c r="E1034" s="6" t="str">
        <f>_xll.QS.INSTRUMENT.SWAP("swap.1032",H1034,B1034,"USD","SOFR",I1034,J1034,0,"Actual360","Simple","Annual","Annual","Annual")</f>
        <v>QSObject:Swap:w1~swap.1032:11409</v>
      </c>
      <c r="F1034" s="6" t="str">
        <f>_xll.QS.TRADE.CREATE("trade.1032",E1034,A1034,"Receive")</f>
        <v>QSObject:SwapTrade:w1~trade.1032:31137</v>
      </c>
      <c r="G1034" s="3">
        <f>_xll.QS.EVALUATE(C1034,F1034)</f>
        <v>31533.833977191291</v>
      </c>
      <c r="H1034" s="5" t="s">
        <v>2108</v>
      </c>
      <c r="I1034" s="7">
        <v>1103200</v>
      </c>
      <c r="J1034" s="8">
        <v>3.8199999999999998E-2</v>
      </c>
    </row>
    <row r="1035" spans="1:10" x14ac:dyDescent="0.25">
      <c r="A1035" s="5" t="s">
        <v>2096</v>
      </c>
      <c r="B1035" s="5" t="s">
        <v>2109</v>
      </c>
      <c r="C1035" s="6" t="str">
        <f>_xll.QS.CONTEXT.CREATE("market.1033",A1035,"USD","SOFR")</f>
        <v>QSObject:PricingContext:w1~market.1033:4960</v>
      </c>
      <c r="D1035" s="6" t="str">
        <f>_xll.QS.CONTEXT.ADD.CURVE(C1035,"SOFR",$K$2:$K$7,$L$2:$L$7,,,"Actual360","LogLinear",TRUE)</f>
        <v>QSObject:ContextInput:w1~input.qs_context_add_curve.2359132437744.1034.3.0:19914</v>
      </c>
      <c r="E1035" s="6" t="str">
        <f>_xll.QS.INSTRUMENT.SWAP("swap.1033",H1035,B1035,"USD","SOFR",I1035,J1035,0,"Actual360","Simple","Annual","Annual","Annual")</f>
        <v>QSObject:Swap:w1~swap.1033:12927</v>
      </c>
      <c r="F1035" s="6" t="str">
        <f>_xll.QS.TRADE.CREATE("trade.1033",E1035,A1035,"Receive")</f>
        <v>QSObject:SwapTrade:w1~trade.1033:31136</v>
      </c>
      <c r="G1035" s="3">
        <f>_xll.QS.EVALUATE(C1035,F1035)</f>
        <v>32002.908328433332</v>
      </c>
      <c r="H1035" s="5" t="s">
        <v>2110</v>
      </c>
      <c r="I1035" s="7">
        <v>1103300</v>
      </c>
      <c r="J1035" s="8">
        <v>3.8300000000000001E-2</v>
      </c>
    </row>
    <row r="1036" spans="1:10" x14ac:dyDescent="0.25">
      <c r="A1036" s="5" t="s">
        <v>2098</v>
      </c>
      <c r="B1036" s="5" t="s">
        <v>2111</v>
      </c>
      <c r="C1036" s="6" t="str">
        <f>_xll.QS.CONTEXT.CREATE("market.1034",A1036,"USD","SOFR")</f>
        <v>QSObject:PricingContext:w1~market.1034:14561</v>
      </c>
      <c r="D1036" s="6" t="str">
        <f>_xll.QS.CONTEXT.ADD.CURVE(C1036,"SOFR",$K$2:$K$7,$L$2:$L$7,,,"Actual360","LogLinear",TRUE)</f>
        <v>QSObject:ContextInput:w1~input.qs_context_add_curve.2359132437744.1035.3.0:16249</v>
      </c>
      <c r="E1036" s="6" t="str">
        <f>_xll.QS.INSTRUMENT.SWAP("swap.1034",H1036,B1036,"USD","SOFR",I1036,J1036,0,"Actual360","Simple","Annual","Annual","Annual")</f>
        <v>QSObject:Swap:w1~swap.1034:17262</v>
      </c>
      <c r="F1036" s="6" t="str">
        <f>_xll.QS.TRADE.CREATE("trade.1034",E1036,A1036,"Receive")</f>
        <v>QSObject:SwapTrade:w1~trade.1034:30307</v>
      </c>
      <c r="G1036" s="3">
        <f>_xll.QS.EVALUATE(C1036,F1036)</f>
        <v>32429.838756845049</v>
      </c>
      <c r="H1036" s="5" t="s">
        <v>2112</v>
      </c>
      <c r="I1036" s="7">
        <v>1103400</v>
      </c>
      <c r="J1036" s="8">
        <v>3.8399999999999997E-2</v>
      </c>
    </row>
    <row r="1037" spans="1:10" x14ac:dyDescent="0.25">
      <c r="A1037" s="5" t="s">
        <v>2100</v>
      </c>
      <c r="B1037" s="5" t="s">
        <v>2113</v>
      </c>
      <c r="C1037" s="6" t="str">
        <f>_xll.QS.CONTEXT.CREATE("market.1035",A1037,"USD","SOFR")</f>
        <v>QSObject:PricingContext:w1~market.1035:18234</v>
      </c>
      <c r="D1037" s="6" t="str">
        <f>_xll.QS.CONTEXT.ADD.CURVE(C1037,"SOFR",$K$2:$K$7,$L$2:$L$7,,,"Actual360","LogLinear",TRUE)</f>
        <v>QSObject:ContextInput:w1~input.qs_context_add_curve.2359132437744.1036.3.0:39138</v>
      </c>
      <c r="E1037" s="6" t="str">
        <f>_xll.QS.INSTRUMENT.SWAP("swap.1035",H1037,B1037,"USD","SOFR",I1037,J1037,0,"Actual360","Simple","Annual","Annual","Annual")</f>
        <v>QSObject:Swap:w1~swap.1035:8158</v>
      </c>
      <c r="F1037" s="6" t="str">
        <f>_xll.QS.TRADE.CREATE("trade.1035",E1037,A1037,"Receive")</f>
        <v>QSObject:SwapTrade:w1~trade.1035:9758</v>
      </c>
      <c r="G1037" s="3">
        <f>_xll.QS.EVALUATE(C1037,F1037)</f>
        <v>32866.895539253681</v>
      </c>
      <c r="H1037" s="5" t="s">
        <v>2114</v>
      </c>
      <c r="I1037" s="7">
        <v>1103500</v>
      </c>
      <c r="J1037" s="8">
        <v>3.8500000000000013E-2</v>
      </c>
    </row>
    <row r="1038" spans="1:10" x14ac:dyDescent="0.25">
      <c r="A1038" s="5" t="s">
        <v>2102</v>
      </c>
      <c r="B1038" s="5" t="s">
        <v>2115</v>
      </c>
      <c r="C1038" s="6" t="str">
        <f>_xll.QS.CONTEXT.CREATE("market.1036",A1038,"USD","SOFR")</f>
        <v>QSObject:PricingContext:w1~market.1036:12926</v>
      </c>
      <c r="D1038" s="6" t="str">
        <f>_xll.QS.CONTEXT.ADD.CURVE(C1038,"SOFR",$K$2:$K$7,$L$2:$L$7,,,"Actual360","LogLinear",TRUE)</f>
        <v>QSObject:ContextInput:w1~input.qs_context_add_curve.2359132437744.1037.3.0:39137</v>
      </c>
      <c r="E1038" s="6" t="str">
        <f>_xll.QS.INSTRUMENT.SWAP("swap.1036",H1038,B1038,"USD","SOFR",I1038,J1038,0,"Actual360","Simple","Annual","Annual","Annual")</f>
        <v>QSObject:Swap:w1~swap.1036:11408</v>
      </c>
      <c r="F1038" s="6" t="str">
        <f>_xll.QS.TRADE.CREATE("trade.1036",E1038,A1038,"Receive")</f>
        <v>QSObject:SwapTrade:w1~trade.1036:14560</v>
      </c>
      <c r="G1038" s="3">
        <f>_xll.QS.EVALUATE(C1038,F1038)</f>
        <v>33425.935140626352</v>
      </c>
      <c r="H1038" s="5" t="s">
        <v>2116</v>
      </c>
      <c r="I1038" s="7">
        <v>1103600</v>
      </c>
      <c r="J1038" s="8">
        <v>3.8600000000000002E-2</v>
      </c>
    </row>
    <row r="1039" spans="1:10" x14ac:dyDescent="0.25">
      <c r="A1039" s="5" t="s">
        <v>2104</v>
      </c>
      <c r="B1039" s="5" t="s">
        <v>2117</v>
      </c>
      <c r="C1039" s="6" t="str">
        <f>_xll.QS.CONTEXT.CREATE("market.1037",A1039,"USD","SOFR")</f>
        <v>QSObject:PricingContext:w1~market.1037:16248</v>
      </c>
      <c r="D1039" s="6" t="str">
        <f>_xll.QS.CONTEXT.ADD.CURVE(C1039,"SOFR",$K$2:$K$7,$L$2:$L$7,,,"Actual360","LogLinear",TRUE)</f>
        <v>QSObject:ContextInput:w1~input.qs_context_add_curve.2359132437744.1038.3.0:19913</v>
      </c>
      <c r="E1039" s="6" t="str">
        <f>_xll.QS.INSTRUMENT.SWAP("swap.1037",H1039,B1039,"USD","SOFR",I1039,J1039,0,"Actual360","Simple","Annual","Annual","Annual")</f>
        <v>QSObject:Swap:w1~swap.1037:6566</v>
      </c>
      <c r="F1039" s="6" t="str">
        <f>_xll.QS.TRADE.CREATE("trade.1037",E1039,A1039,"Receive")</f>
        <v>QSObject:SwapTrade:w1~trade.1037:17261</v>
      </c>
      <c r="G1039" s="3">
        <f>_xll.QS.EVALUATE(C1039,F1039)</f>
        <v>33963.86171224749</v>
      </c>
      <c r="H1039" s="5" t="s">
        <v>2118</v>
      </c>
      <c r="I1039" s="7">
        <v>1103700</v>
      </c>
      <c r="J1039" s="8">
        <v>3.8700000000000012E-2</v>
      </c>
    </row>
    <row r="1040" spans="1:10" x14ac:dyDescent="0.25">
      <c r="A1040" s="5" t="s">
        <v>2106</v>
      </c>
      <c r="B1040" s="5" t="s">
        <v>2119</v>
      </c>
      <c r="C1040" s="6" t="str">
        <f>_xll.QS.CONTEXT.CREATE("market.1038",A1040,"USD","SOFR")</f>
        <v>QSObject:PricingContext:w1~market.1038:1861</v>
      </c>
      <c r="D1040" s="6" t="str">
        <f>_xll.QS.CONTEXT.ADD.CURVE(C1040,"SOFR",$K$2:$K$7,$L$2:$L$7,,,"Actual360","LogLinear",TRUE)</f>
        <v>QSObject:ContextInput:w1~input.qs_context_add_curve.2359132437744.1039.3.0:18233</v>
      </c>
      <c r="E1040" s="6" t="str">
        <f>_xll.QS.INSTRUMENT.SWAP("swap.1038",H1040,B1040,"USD","SOFR",I1040,J1040,0,"Actual360","Simple","Annual","Annual","Annual")</f>
        <v>QSObject:Swap:w1~swap.1038:3402</v>
      </c>
      <c r="F1040" s="6" t="str">
        <f>_xll.QS.TRADE.CREATE("trade.1038",E1040,A1040,"Receive")</f>
        <v>QSObject:SwapTrade:w1~trade.1038:8157</v>
      </c>
      <c r="G1040" s="3">
        <f>_xll.QS.EVALUATE(C1040,F1040)</f>
        <v>34509.805880890577</v>
      </c>
      <c r="H1040" s="5" t="s">
        <v>2120</v>
      </c>
      <c r="I1040" s="7">
        <v>1103800</v>
      </c>
      <c r="J1040" s="8">
        <v>3.8800000000000001E-2</v>
      </c>
    </row>
    <row r="1041" spans="1:10" x14ac:dyDescent="0.25">
      <c r="A1041" s="5" t="s">
        <v>2108</v>
      </c>
      <c r="B1041" s="5" t="s">
        <v>2121</v>
      </c>
      <c r="C1041" s="6" t="str">
        <f>_xll.QS.CONTEXT.CREATE("market.1039",A1041,"USD","SOFR")</f>
        <v>QSObject:PricingContext:w1~market.1039:11407</v>
      </c>
      <c r="D1041" s="6" t="str">
        <f>_xll.QS.CONTEXT.ADD.CURVE(C1041,"SOFR",$K$2:$K$7,$L$2:$L$7,,,"Actual360","LogLinear",TRUE)</f>
        <v>QSObject:ContextInput:w1~input.qs_context_add_curve.2359132437744.1040.3.0:39136</v>
      </c>
      <c r="E1041" s="6" t="str">
        <f>_xll.QS.INSTRUMENT.SWAP("swap.1039",H1041,B1041,"USD","SOFR",I1041,J1041,0,"Actual360","Simple","Annual","Annual","Annual")</f>
        <v>QSObject:Swap:w1~swap.1039:4959</v>
      </c>
      <c r="F1041" s="6" t="str">
        <f>_xll.QS.TRADE.CREATE("trade.1039",E1041,A1041,"Receive")</f>
        <v>QSObject:SwapTrade:w1~trade.1039:12925</v>
      </c>
      <c r="G1041" s="3">
        <f>_xll.QS.EVALUATE(C1041,F1041)</f>
        <v>35116.961930317804</v>
      </c>
      <c r="H1041" s="5" t="s">
        <v>2122</v>
      </c>
      <c r="I1041" s="7">
        <v>1103900</v>
      </c>
      <c r="J1041" s="8">
        <v>3.8899999999999997E-2</v>
      </c>
    </row>
    <row r="1042" spans="1:10" x14ac:dyDescent="0.25">
      <c r="A1042" s="5" t="s">
        <v>2110</v>
      </c>
      <c r="B1042" s="5" t="s">
        <v>2123</v>
      </c>
      <c r="C1042" s="6" t="str">
        <f>_xll.QS.CONTEXT.CREATE("market.1040",A1042,"USD","SOFR")</f>
        <v>QSObject:PricingContext:w1~market.1040:16247</v>
      </c>
      <c r="D1042" s="6" t="str">
        <f>_xll.QS.CONTEXT.ADD.CURVE(C1042,"SOFR",$K$2:$K$7,$L$2:$L$7,,,"Actual360","LogLinear",TRUE)</f>
        <v>QSObject:ContextInput:w1~input.qs_context_add_curve.2359132437744.1041.3.0:31135</v>
      </c>
      <c r="E1042" s="6" t="str">
        <f>_xll.QS.INSTRUMENT.SWAP("swap.1040",H1042,B1042,"USD","SOFR",I1042,J1042,0,"Actual360","Simple","Annual","Annual","Annual")</f>
        <v>QSObject:Swap:w1~swap.1040:17260</v>
      </c>
      <c r="F1042" s="6" t="str">
        <f>_xll.QS.TRADE.CREATE("trade.1040",E1042,A1042,"Receive")</f>
        <v>QSObject:SwapTrade:w1~trade.1040:30306</v>
      </c>
      <c r="G1042" s="3">
        <f>_xll.QS.EVALUATE(C1042,F1042)</f>
        <v>35628.570911493232</v>
      </c>
      <c r="H1042" s="5" t="s">
        <v>2124</v>
      </c>
      <c r="I1042" s="7">
        <v>1104000</v>
      </c>
      <c r="J1042" s="8">
        <v>3.9000000000000007E-2</v>
      </c>
    </row>
    <row r="1043" spans="1:10" x14ac:dyDescent="0.25">
      <c r="A1043" s="5" t="s">
        <v>2112</v>
      </c>
      <c r="B1043" s="5" t="s">
        <v>2125</v>
      </c>
      <c r="C1043" s="6" t="str">
        <f>_xll.QS.CONTEXT.CREATE("market.1041",A1043,"USD","SOFR")</f>
        <v>QSObject:PricingContext:w1~market.1041:6565</v>
      </c>
      <c r="D1043" s="6" t="str">
        <f>_xll.QS.CONTEXT.ADD.CURVE(C1043,"SOFR",$K$2:$K$7,$L$2:$L$7,,,"Actual360","LogLinear",TRUE)</f>
        <v>QSObject:ContextInput:w1~input.qs_context_add_curve.2359132437744.1042.3.0:19912</v>
      </c>
      <c r="E1043" s="6" t="str">
        <f>_xll.QS.INSTRUMENT.SWAP("swap.1041",H1043,B1043,"USD","SOFR",I1043,J1043,0,"Actual360","Simple","Annual","Annual","Annual")</f>
        <v>QSObject:Swap:w1~swap.1041:18232</v>
      </c>
      <c r="F1043" s="6" t="str">
        <f>_xll.QS.TRADE.CREATE("trade.1041",E1043,A1043,"Receive")</f>
        <v>QSObject:SwapTrade:w1~trade.1041:22969</v>
      </c>
      <c r="G1043" s="3">
        <f>_xll.QS.EVALUATE(C1043,F1043)</f>
        <v>36051.885812187407</v>
      </c>
      <c r="H1043" s="5" t="s">
        <v>2126</v>
      </c>
      <c r="I1043" s="7">
        <v>1104100</v>
      </c>
      <c r="J1043" s="8">
        <v>3.9100000000000003E-2</v>
      </c>
    </row>
    <row r="1044" spans="1:10" x14ac:dyDescent="0.25">
      <c r="A1044" s="5" t="s">
        <v>2114</v>
      </c>
      <c r="B1044" s="5" t="s">
        <v>2127</v>
      </c>
      <c r="C1044" s="6" t="str">
        <f>_xll.QS.CONTEXT.CREATE("market.1042",A1044,"USD","SOFR")</f>
        <v>QSObject:PricingContext:w1~market.1042:9757</v>
      </c>
      <c r="D1044" s="6" t="str">
        <f>_xll.QS.CONTEXT.ADD.CURVE(C1044,"SOFR",$K$2:$K$7,$L$2:$L$7,,,"Actual360","LogLinear",TRUE)</f>
        <v>QSObject:ContextInput:w1~input.qs_context_add_curve.2359132437744.1043.3.0:11406</v>
      </c>
      <c r="E1044" s="6" t="str">
        <f>_xll.QS.INSTRUMENT.SWAP("swap.1042",H1044,B1044,"USD","SOFR",I1044,J1044,0,"Actual360","Simple","Annual","Annual","Annual")</f>
        <v>QSObject:Swap:w1~swap.1042:1860</v>
      </c>
      <c r="F1044" s="6" t="str">
        <f>_xll.QS.TRADE.CREATE("trade.1042",E1044,A1044,"Receive")</f>
        <v>QSObject:SwapTrade:w1~trade.1042:16246</v>
      </c>
      <c r="G1044" s="3">
        <f>_xll.QS.EVALUATE(C1044,F1044)</f>
        <v>36494.917544350232</v>
      </c>
      <c r="H1044" s="5" t="s">
        <v>2128</v>
      </c>
      <c r="I1044" s="7">
        <v>1104200</v>
      </c>
      <c r="J1044" s="8">
        <v>3.9200000000000013E-2</v>
      </c>
    </row>
    <row r="1045" spans="1:10" x14ac:dyDescent="0.25">
      <c r="A1045" s="5" t="s">
        <v>2116</v>
      </c>
      <c r="B1045" s="5" t="s">
        <v>2129</v>
      </c>
      <c r="C1045" s="6" t="str">
        <f>_xll.QS.CONTEXT.CREATE("market.1043",A1045,"USD","SOFR")</f>
        <v>QSObject:PricingContext:w1~market.1043:14559</v>
      </c>
      <c r="D1045" s="6" t="str">
        <f>_xll.QS.CONTEXT.ADD.CURVE(C1045,"SOFR",$K$2:$K$7,$L$2:$L$7,,,"Actual360","LogLinear",TRUE)</f>
        <v>QSObject:ContextInput:w1~input.qs_context_add_curve.2359132437744.1044.3.0:39135</v>
      </c>
      <c r="E1045" s="6" t="str">
        <f>_xll.QS.INSTRUMENT.SWAP("swap.1043",H1045,B1045,"USD","SOFR",I1045,J1045,0,"Actual360","Simple","Annual","Annual","Annual")</f>
        <v>QSObject:Swap:w1~swap.1043:12924</v>
      </c>
      <c r="F1045" s="6" t="str">
        <f>_xll.QS.TRADE.CREATE("trade.1043",E1045,A1045,"Receive")</f>
        <v>QSObject:SwapTrade:w1~trade.1043:30305</v>
      </c>
      <c r="G1045" s="3">
        <f>_xll.QS.EVALUATE(C1045,F1045)</f>
        <v>37058.017523912567</v>
      </c>
      <c r="H1045" s="5" t="s">
        <v>2130</v>
      </c>
      <c r="I1045" s="7">
        <v>1104300</v>
      </c>
      <c r="J1045" s="8">
        <v>3.9300000000000002E-2</v>
      </c>
    </row>
    <row r="1046" spans="1:10" x14ac:dyDescent="0.25">
      <c r="A1046" s="5" t="s">
        <v>2118</v>
      </c>
      <c r="B1046" s="5" t="s">
        <v>2131</v>
      </c>
      <c r="C1046" s="6" t="str">
        <f>_xll.QS.CONTEXT.CREATE("market.1044",A1046,"USD","SOFR")</f>
        <v>QSObject:PricingContext:w1~market.1044:6564</v>
      </c>
      <c r="D1046" s="6" t="str">
        <f>_xll.QS.CONTEXT.ADD.CURVE(C1046,"SOFR",$K$2:$K$7,$L$2:$L$7,,,"Actual360","LogLinear",TRUE)</f>
        <v>QSObject:ContextInput:w1~input.qs_context_add_curve.2359132437744.1045.3.0:19911</v>
      </c>
      <c r="E1046" s="6" t="str">
        <f>_xll.QS.INSTRUMENT.SWAP("swap.1044",H1046,B1046,"USD","SOFR",I1046,J1046,0,"Actual360","Simple","Annual","Annual","Annual")</f>
        <v>QSObject:Swap:w1~swap.1044:17259</v>
      </c>
      <c r="F1046" s="6" t="str">
        <f>_xll.QS.TRADE.CREATE("trade.1044",E1046,A1046,"Receive")</f>
        <v>QSObject:SwapTrade:w1~trade.1044:30304</v>
      </c>
      <c r="G1046" s="3">
        <f>_xll.QS.EVALUATE(C1046,F1046)</f>
        <v>37675.29392650407</v>
      </c>
      <c r="H1046" s="5" t="s">
        <v>2132</v>
      </c>
      <c r="I1046" s="7">
        <v>1104400</v>
      </c>
      <c r="J1046" s="8">
        <v>3.9399999999999998E-2</v>
      </c>
    </row>
    <row r="1047" spans="1:10" x14ac:dyDescent="0.25">
      <c r="A1047" s="5" t="s">
        <v>2120</v>
      </c>
      <c r="B1047" s="5" t="s">
        <v>2133</v>
      </c>
      <c r="C1047" s="6" t="str">
        <f>_xll.QS.CONTEXT.CREATE("market.1045",A1047,"USD","SOFR")</f>
        <v>QSObject:PricingContext:w1~market.1045:1859</v>
      </c>
      <c r="D1047" s="6" t="str">
        <f>_xll.QS.CONTEXT.ADD.CURVE(C1047,"SOFR",$K$2:$K$7,$L$2:$L$7,,,"Actual360","LogLinear",TRUE)</f>
        <v>QSObject:ContextInput:w1~input.qs_context_add_curve.2359132437744.1046.3.0:18231</v>
      </c>
      <c r="E1047" s="6" t="str">
        <f>_xll.QS.INSTRUMENT.SWAP("swap.1045",H1047,B1047,"USD","SOFR",I1047,J1047,0,"Actual360","Simple","Annual","Annual","Annual")</f>
        <v>QSObject:Swap:w1~swap.1045:8156</v>
      </c>
      <c r="F1047" s="6" t="str">
        <f>_xll.QS.TRADE.CREATE("trade.1045",E1047,A1047,"Receive")</f>
        <v>QSObject:SwapTrade:w1~trade.1045:16245</v>
      </c>
      <c r="G1047" s="3">
        <f>_xll.QS.EVALUATE(C1047,F1047)</f>
        <v>38143.956176701657</v>
      </c>
      <c r="H1047" s="5" t="s">
        <v>2134</v>
      </c>
      <c r="I1047" s="7">
        <v>1104500</v>
      </c>
      <c r="J1047" s="8">
        <v>3.9500000000000007E-2</v>
      </c>
    </row>
    <row r="1048" spans="1:10" x14ac:dyDescent="0.25">
      <c r="A1048" s="5" t="s">
        <v>2122</v>
      </c>
      <c r="B1048" s="5" t="s">
        <v>2135</v>
      </c>
      <c r="C1048" s="6" t="str">
        <f>_xll.QS.CONTEXT.CREATE("market.1046",A1048,"USD","SOFR")</f>
        <v>QSObject:PricingContext:w1~market.1046:4958</v>
      </c>
      <c r="D1048" s="6" t="str">
        <f>_xll.QS.CONTEXT.ADD.CURVE(C1048,"SOFR",$K$2:$K$7,$L$2:$L$7,,,"Actual360","LogLinear",TRUE)</f>
        <v>QSObject:ContextInput:w1~input.qs_context_add_curve.2359132437744.1047.3.0:12923</v>
      </c>
      <c r="E1048" s="6" t="str">
        <f>_xll.QS.INSTRUMENT.SWAP("swap.1046",H1048,B1048,"USD","SOFR",I1048,J1048,0,"Actual360","Simple","Annual","Annual","Annual")</f>
        <v>QSObject:Swap:w1~swap.1046:14558</v>
      </c>
      <c r="F1048" s="6" t="str">
        <f>_xll.QS.TRADE.CREATE("trade.1046",E1048,A1048,"Receive")</f>
        <v>QSObject:SwapTrade:w1~trade.1046:30303</v>
      </c>
      <c r="G1048" s="3">
        <f>_xll.QS.EVALUATE(C1048,F1048)</f>
        <v>38705.169679767903</v>
      </c>
      <c r="H1048" s="5" t="s">
        <v>2136</v>
      </c>
      <c r="I1048" s="7">
        <v>1104600</v>
      </c>
      <c r="J1048" s="8">
        <v>3.9600000000000003E-2</v>
      </c>
    </row>
    <row r="1049" spans="1:10" x14ac:dyDescent="0.25">
      <c r="A1049" s="5" t="s">
        <v>2124</v>
      </c>
      <c r="B1049" s="5" t="s">
        <v>2137</v>
      </c>
      <c r="C1049" s="6" t="str">
        <f>_xll.QS.CONTEXT.CREATE("market.1047",A1049,"USD","SOFR")</f>
        <v>QSObject:PricingContext:w1~market.1047:1858</v>
      </c>
      <c r="D1049" s="6" t="str">
        <f>_xll.QS.CONTEXT.ADD.CURVE(C1049,"SOFR",$K$2:$K$7,$L$2:$L$7,,,"Actual360","LogLinear",TRUE)</f>
        <v>QSObject:ContextInput:w1~input.qs_context_add_curve.2359132437744.1048.3.0:3401</v>
      </c>
      <c r="E1049" s="6" t="str">
        <f>_xll.QS.INSTRUMENT.SWAP("swap.1047",H1049,B1049,"USD","SOFR",I1049,J1049,0,"Actual360","Simple","Annual","Annual","Annual")</f>
        <v>QSObject:Swap:w1~swap.1047:17258</v>
      </c>
      <c r="F1049" s="6" t="str">
        <f>_xll.QS.TRADE.CREATE("trade.1047",E1049,A1049,"Receive")</f>
        <v>QSObject:SwapTrade:w1~trade.1047:19910</v>
      </c>
      <c r="G1049" s="3">
        <f>_xll.QS.EVALUATE(C1049,F1049)</f>
        <v>39175.404154269476</v>
      </c>
      <c r="H1049" s="5" t="s">
        <v>2138</v>
      </c>
      <c r="I1049" s="7">
        <v>1104700</v>
      </c>
      <c r="J1049" s="8">
        <v>3.9700000000000013E-2</v>
      </c>
    </row>
    <row r="1050" spans="1:10" x14ac:dyDescent="0.25">
      <c r="A1050" s="5" t="s">
        <v>2126</v>
      </c>
      <c r="B1050" s="5" t="s">
        <v>2139</v>
      </c>
      <c r="C1050" s="6" t="str">
        <f>_xll.QS.CONTEXT.CREATE("market.1048",A1050,"USD","SOFR")</f>
        <v>QSObject:PricingContext:w1~market.1048:18230</v>
      </c>
      <c r="D1050" s="6" t="str">
        <f>_xll.QS.CONTEXT.ADD.CURVE(C1050,"SOFR",$K$2:$K$7,$L$2:$L$7,,,"Actual360","LogLinear",TRUE)</f>
        <v>QSObject:ContextInput:w1~input.qs_context_add_curve.2359132437744.1049.3.0:39134</v>
      </c>
      <c r="E1050" s="6" t="str">
        <f>_xll.QS.INSTRUMENT.SWAP("swap.1048",H1050,B1050,"USD","SOFR",I1050,J1050,0,"Actual360","Simple","Annual","Annual","Annual")</f>
        <v>QSObject:Swap:w1~swap.1048:6563</v>
      </c>
      <c r="F1050" s="6" t="str">
        <f>_xll.QS.TRADE.CREATE("trade.1048",E1050,A1050,"Receive")</f>
        <v>QSObject:SwapTrade:w1~trade.1048:23480</v>
      </c>
      <c r="G1050" s="3">
        <f>_xll.QS.EVALUATE(C1050,F1050)</f>
        <v>39595.118870776336</v>
      </c>
      <c r="H1050" s="5" t="s">
        <v>2140</v>
      </c>
      <c r="I1050" s="7">
        <v>1104800</v>
      </c>
      <c r="J1050" s="8">
        <v>3.9800000000000002E-2</v>
      </c>
    </row>
    <row r="1051" spans="1:10" x14ac:dyDescent="0.25">
      <c r="A1051" s="5" t="s">
        <v>2128</v>
      </c>
      <c r="B1051" s="5" t="s">
        <v>2141</v>
      </c>
      <c r="C1051" s="6" t="str">
        <f>_xll.QS.CONTEXT.CREATE("market.1049",A1051,"USD","SOFR")</f>
        <v>QSObject:PricingContext:w1~market.1049:12922</v>
      </c>
      <c r="D1051" s="6" t="str">
        <f>_xll.QS.CONTEXT.ADD.CURVE(C1051,"SOFR",$K$2:$K$7,$L$2:$L$7,,,"Actual360","LogLinear",TRUE)</f>
        <v>QSObject:ContextInput:w1~input.qs_context_add_curve.2359132437744.1050.3.0:39133</v>
      </c>
      <c r="E1051" s="6" t="str">
        <f>_xll.QS.INSTRUMENT.SWAP("swap.1049",H1051,B1051,"USD","SOFR",I1051,J1051,0,"Actual360","Simple","Annual","Annual","Annual")</f>
        <v>QSObject:Swap:w1~swap.1049:16244</v>
      </c>
      <c r="F1051" s="6" t="str">
        <f>_xll.QS.TRADE.CREATE("trade.1049",E1051,A1051,"Receive")</f>
        <v>QSObject:SwapTrade:w1~trade.1049:25729</v>
      </c>
      <c r="G1051" s="3">
        <f>_xll.QS.EVALUATE(C1051,F1051)</f>
        <v>40044.430016950078</v>
      </c>
      <c r="H1051" s="5" t="s">
        <v>2142</v>
      </c>
      <c r="I1051" s="7">
        <v>1104900</v>
      </c>
      <c r="J1051" s="8">
        <v>3.9899999999999998E-2</v>
      </c>
    </row>
    <row r="1052" spans="1:10" x14ac:dyDescent="0.25">
      <c r="A1052" s="5" t="s">
        <v>2130</v>
      </c>
      <c r="B1052" s="5" t="s">
        <v>2143</v>
      </c>
      <c r="C1052" s="6" t="str">
        <f>_xll.QS.CONTEXT.CREATE("market.1050",A1052,"USD","SOFR")</f>
        <v>QSObject:PricingContext:w1~market.1050:3400</v>
      </c>
      <c r="D1052" s="6" t="str">
        <f>_xll.QS.CONTEXT.ADD.CURVE(C1052,"SOFR",$K$2:$K$7,$L$2:$L$7,,,"Actual360","LogLinear",TRUE)</f>
        <v>QSObject:ContextInput:w1~input.qs_context_add_curve.2359132437744.1051.3.0:17257</v>
      </c>
      <c r="E1052" s="6" t="str">
        <f>_xll.QS.INSTRUMENT.SWAP("swap.1050",H1052,B1052,"USD","SOFR",I1052,J1052,0,"Actual360","Simple","Annual","Annual","Annual")</f>
        <v>QSObject:Swap:w1~swap.1050:14557</v>
      </c>
      <c r="F1052" s="6" t="str">
        <f>_xll.QS.TRADE.CREATE("trade.1050",E1052,A1052,"Receive")</f>
        <v>QSObject:SwapTrade:w1~trade.1050:24217</v>
      </c>
      <c r="G1052" s="3">
        <f>_xll.QS.EVALUATE(C1052,F1052)</f>
        <v>15115.654783111364</v>
      </c>
      <c r="H1052" s="5" t="s">
        <v>2144</v>
      </c>
      <c r="I1052" s="7">
        <v>1105000</v>
      </c>
      <c r="J1052" s="8">
        <v>3.5000000000000003E-2</v>
      </c>
    </row>
    <row r="1053" spans="1:10" x14ac:dyDescent="0.25">
      <c r="A1053" s="5" t="s">
        <v>2132</v>
      </c>
      <c r="B1053" s="5" t="s">
        <v>2145</v>
      </c>
      <c r="C1053" s="6" t="str">
        <f>_xll.QS.CONTEXT.CREATE("market.1051",A1053,"USD","SOFR")</f>
        <v>QSObject:PricingContext:w1~market.1051:9756</v>
      </c>
      <c r="D1053" s="6" t="str">
        <f>_xll.QS.CONTEXT.ADD.CURVE(C1053,"SOFR",$K$2:$K$7,$L$2:$L$7,,,"Actual360","LogLinear",TRUE)</f>
        <v>QSObject:ContextInput:w1~input.qs_context_add_curve.2359132437744.1052.3.0:19909</v>
      </c>
      <c r="E1053" s="6" t="str">
        <f>_xll.QS.INSTRUMENT.SWAP("swap.1051",H1053,B1053,"USD","SOFR",I1053,J1053,0,"Actual360","Simple","Annual","Annual","Annual")</f>
        <v>QSObject:Swap:w1~swap.1051:18229</v>
      </c>
      <c r="F1053" s="6" t="str">
        <f>_xll.QS.TRADE.CREATE("trade.1051",E1053,A1053,"Receive")</f>
        <v>QSObject:SwapTrade:w1~trade.1051:31134</v>
      </c>
      <c r="G1053" s="3">
        <f>_xll.QS.EVALUATE(C1053,F1053)</f>
        <v>15661.467072382817</v>
      </c>
      <c r="H1053" s="5" t="s">
        <v>2146</v>
      </c>
      <c r="I1053" s="7">
        <v>1105100</v>
      </c>
      <c r="J1053" s="8">
        <v>3.5100000000000013E-2</v>
      </c>
    </row>
    <row r="1054" spans="1:10" x14ac:dyDescent="0.25">
      <c r="A1054" s="5" t="s">
        <v>2134</v>
      </c>
      <c r="B1054" s="5" t="s">
        <v>2147</v>
      </c>
      <c r="C1054" s="6" t="str">
        <f>_xll.QS.CONTEXT.CREATE("market.1052",A1054,"USD","SOFR")</f>
        <v>QSObject:PricingContext:w1~market.1052:6562</v>
      </c>
      <c r="D1054" s="6" t="str">
        <f>_xll.QS.CONTEXT.ADD.CURVE(C1054,"SOFR",$K$2:$K$7,$L$2:$L$7,,,"Actual360","LogLinear",TRUE)</f>
        <v>QSObject:ContextInput:w1~input.qs_context_add_curve.2359132437744.1053.3.0:12921</v>
      </c>
      <c r="E1054" s="6" t="str">
        <f>_xll.QS.INSTRUMENT.SWAP("swap.1052",H1054,B1054,"USD","SOFR",I1054,J1054,0,"Actual360","Simple","Annual","Annual","Annual")</f>
        <v>QSObject:Swap:w1~swap.1052:4957</v>
      </c>
      <c r="F1054" s="6" t="str">
        <f>_xll.QS.TRADE.CREATE("trade.1052",E1054,A1054,"Receive")</f>
        <v>QSObject:SwapTrade:w1~trade.1052:16243</v>
      </c>
      <c r="G1054" s="3">
        <f>_xll.QS.EVALUATE(C1054,F1054)</f>
        <v>16253.083792658446</v>
      </c>
      <c r="H1054" s="5" t="s">
        <v>2148</v>
      </c>
      <c r="I1054" s="7">
        <v>1105200</v>
      </c>
      <c r="J1054" s="8">
        <v>3.5200000000000002E-2</v>
      </c>
    </row>
    <row r="1055" spans="1:10" x14ac:dyDescent="0.25">
      <c r="A1055" s="5" t="s">
        <v>2136</v>
      </c>
      <c r="B1055" s="5" t="s">
        <v>2149</v>
      </c>
      <c r="C1055" s="6" t="str">
        <f>_xll.QS.CONTEXT.CREATE("market.1053",A1055,"USD","SOFR")</f>
        <v>QSObject:PricingContext:w1~market.1053:11405</v>
      </c>
      <c r="D1055" s="6" t="str">
        <f>_xll.QS.CONTEXT.ADD.CURVE(C1055,"SOFR",$K$2:$K$7,$L$2:$L$7,,,"Actual360","LogLinear",TRUE)</f>
        <v>QSObject:ContextInput:w1~input.qs_context_add_curve.2359132437744.1054.3.0:39132</v>
      </c>
      <c r="E1055" s="6" t="str">
        <f>_xll.QS.INSTRUMENT.SWAP("swap.1053",H1055,B1055,"USD","SOFR",I1055,J1055,0,"Actual360","Simple","Annual","Annual","Annual")</f>
        <v>QSObject:Swap:w1~swap.1053:17256</v>
      </c>
      <c r="F1055" s="6" t="str">
        <f>_xll.QS.TRADE.CREATE("trade.1053",E1055,A1055,"Receive")</f>
        <v>QSObject:SwapTrade:w1~trade.1053:30302</v>
      </c>
      <c r="G1055" s="3">
        <f>_xll.QS.EVALUATE(C1055,F1055)</f>
        <v>16800.829920650071</v>
      </c>
      <c r="H1055" s="5" t="s">
        <v>2150</v>
      </c>
      <c r="I1055" s="7">
        <v>1105300</v>
      </c>
      <c r="J1055" s="8">
        <v>3.5299999999999998E-2</v>
      </c>
    </row>
    <row r="1056" spans="1:10" x14ac:dyDescent="0.25">
      <c r="A1056" s="5" t="s">
        <v>2138</v>
      </c>
      <c r="B1056" s="5" t="s">
        <v>2151</v>
      </c>
      <c r="C1056" s="6" t="str">
        <f>_xll.QS.CONTEXT.CREATE("market.1054",A1056,"USD","SOFR")</f>
        <v>QSObject:PricingContext:w1~market.1054:18228</v>
      </c>
      <c r="D1056" s="6" t="str">
        <f>_xll.QS.CONTEXT.ADD.CURVE(C1056,"SOFR",$K$2:$K$7,$L$2:$L$7,,,"Actual360","LogLinear",TRUE)</f>
        <v>QSObject:ContextInput:w1~input.qs_context_add_curve.2359132437744.1055.3.0:19908</v>
      </c>
      <c r="E1056" s="6" t="str">
        <f>_xll.QS.INSTRUMENT.SWAP("swap.1054",H1056,B1056,"USD","SOFR",I1056,J1056,0,"Actual360","Simple","Annual","Annual","Annual")</f>
        <v>QSObject:Swap:w1~swap.1054:9755</v>
      </c>
      <c r="F1056" s="6" t="str">
        <f>_xll.QS.TRADE.CREATE("trade.1054",E1056,A1056,"Receive")</f>
        <v>QSObject:SwapTrade:w1~trade.1054:30301</v>
      </c>
      <c r="G1056" s="3">
        <f>_xll.QS.EVALUATE(C1056,F1056)</f>
        <v>17248.974805433281</v>
      </c>
      <c r="H1056" s="5" t="s">
        <v>2152</v>
      </c>
      <c r="I1056" s="7">
        <v>1105400</v>
      </c>
      <c r="J1056" s="8">
        <v>3.5400000000000001E-2</v>
      </c>
    </row>
    <row r="1057" spans="1:10" x14ac:dyDescent="0.25">
      <c r="A1057" s="5" t="s">
        <v>2140</v>
      </c>
      <c r="B1057" s="5" t="s">
        <v>2153</v>
      </c>
      <c r="C1057" s="6" t="str">
        <f>_xll.QS.CONTEXT.CREATE("market.1055",A1057,"USD","SOFR")</f>
        <v>QSObject:PricingContext:w1~market.1055:1857</v>
      </c>
      <c r="D1057" s="6" t="str">
        <f>_xll.QS.CONTEXT.ADD.CURVE(C1057,"SOFR",$K$2:$K$7,$L$2:$L$7,,,"Actual360","LogLinear",TRUE)</f>
        <v>QSObject:ContextInput:w1~input.qs_context_add_curve.2359132437744.1056.3.0:6561</v>
      </c>
      <c r="E1057" s="6" t="str">
        <f>_xll.QS.INSTRUMENT.SWAP("swap.1055",H1057,B1057,"USD","SOFR",I1057,J1057,0,"Actual360","Simple","Annual","Annual","Annual")</f>
        <v>QSObject:Swap:w1~swap.1055:12920</v>
      </c>
      <c r="F1057" s="6" t="str">
        <f>_xll.QS.TRADE.CREATE("trade.1055",E1057,A1057,"Receive")</f>
        <v>QSObject:SwapTrade:w1~trade.1055:27010</v>
      </c>
      <c r="G1057" s="3">
        <f>_xll.QS.EVALUATE(C1057,F1057)</f>
        <v>17726.092533151892</v>
      </c>
      <c r="H1057" s="5" t="s">
        <v>2154</v>
      </c>
      <c r="I1057" s="7">
        <v>1105500</v>
      </c>
      <c r="J1057" s="8">
        <v>3.5499999999999997E-2</v>
      </c>
    </row>
    <row r="1058" spans="1:10" x14ac:dyDescent="0.25">
      <c r="A1058" s="5" t="s">
        <v>2142</v>
      </c>
      <c r="B1058" s="5" t="s">
        <v>2155</v>
      </c>
      <c r="C1058" s="6" t="str">
        <f>_xll.QS.CONTEXT.CREATE("market.1056",A1058,"USD","SOFR")</f>
        <v>QSObject:PricingContext:w1~market.1056:11404</v>
      </c>
      <c r="D1058" s="6" t="str">
        <f>_xll.QS.CONTEXT.ADD.CURVE(C1058,"SOFR",$K$2:$K$7,$L$2:$L$7,,,"Actual360","LogLinear",TRUE)</f>
        <v>QSObject:ContextInput:w1~input.qs_context_add_curve.2359132437744.1057.3.0:17255</v>
      </c>
      <c r="E1058" s="6" t="str">
        <f>_xll.QS.INSTRUMENT.SWAP("swap.1056",H1058,B1058,"USD","SOFR",I1058,J1058,0,"Actual360","Simple","Annual","Annual","Annual")</f>
        <v>QSObject:Swap:w1~swap.1056:16242</v>
      </c>
      <c r="F1058" s="6" t="str">
        <f>_xll.QS.TRADE.CREATE("trade.1056",E1058,A1058,"Receive")</f>
        <v>QSObject:SwapTrade:w1~trade.1056:26530</v>
      </c>
      <c r="G1058" s="3">
        <f>_xll.QS.EVALUATE(C1058,F1058)</f>
        <v>18238.288520962571</v>
      </c>
      <c r="H1058" s="5" t="s">
        <v>2156</v>
      </c>
      <c r="I1058" s="7">
        <v>1105600</v>
      </c>
      <c r="J1058" s="8">
        <v>3.5600000000000007E-2</v>
      </c>
    </row>
    <row r="1059" spans="1:10" x14ac:dyDescent="0.25">
      <c r="A1059" s="5" t="s">
        <v>2144</v>
      </c>
      <c r="B1059" s="5" t="s">
        <v>2157</v>
      </c>
      <c r="C1059" s="6" t="str">
        <f>_xll.QS.CONTEXT.CREATE("market.1057",A1059,"USD","SOFR")</f>
        <v>QSObject:PricingContext:w1~market.1057:19907</v>
      </c>
      <c r="D1059" s="6" t="str">
        <f>_xll.QS.CONTEXT.ADD.CURVE(C1059,"SOFR",$K$2:$K$7,$L$2:$L$7,,,"Actual360","LogLinear",TRUE)</f>
        <v>QSObject:ContextInput:w1~input.qs_context_add_curve.2359132437744.1058.3.0:39131</v>
      </c>
      <c r="E1059" s="6" t="str">
        <f>_xll.QS.INSTRUMENT.SWAP("swap.1057",H1059,B1059,"USD","SOFR",I1059,J1059,0,"Actual360","Simple","Annual","Annual","Annual")</f>
        <v>QSObject:Swap:w1~swap.1057:18227</v>
      </c>
      <c r="F1059" s="6" t="str">
        <f>_xll.QS.TRADE.CREATE("trade.1057",E1059,A1059,"Receive")</f>
        <v>QSObject:SwapTrade:w1~trade.1057:26529</v>
      </c>
      <c r="G1059" s="3">
        <f>_xll.QS.EVALUATE(C1059,F1059)</f>
        <v>18834.907908669156</v>
      </c>
      <c r="H1059" s="5" t="s">
        <v>2158</v>
      </c>
      <c r="I1059" s="7">
        <v>1105700</v>
      </c>
      <c r="J1059" s="8">
        <v>3.5700000000000003E-2</v>
      </c>
    </row>
    <row r="1060" spans="1:10" x14ac:dyDescent="0.25">
      <c r="A1060" s="5" t="s">
        <v>2146</v>
      </c>
      <c r="B1060" s="5" t="s">
        <v>2159</v>
      </c>
      <c r="C1060" s="6" t="str">
        <f>_xll.QS.CONTEXT.CREATE("market.1058",A1060,"USD","SOFR")</f>
        <v>QSObject:PricingContext:w1~market.1058:6560</v>
      </c>
      <c r="D1060" s="6" t="str">
        <f>_xll.QS.CONTEXT.ADD.CURVE(C1060,"SOFR",$K$2:$K$7,$L$2:$L$7,,,"Actual360","LogLinear",TRUE)</f>
        <v>QSObject:ContextInput:w1~input.qs_context_add_curve.2359132437744.1059.3.0:26528</v>
      </c>
      <c r="E1060" s="6" t="str">
        <f>_xll.QS.INSTRUMENT.SWAP("swap.1058",H1060,B1060,"USD","SOFR",I1060,J1060,0,"Actual360","Simple","Annual","Annual","Annual")</f>
        <v>QSObject:Swap:w1~swap.1058:9754</v>
      </c>
      <c r="F1060" s="6" t="str">
        <f>_xll.QS.TRADE.CREATE("trade.1058",E1060,A1060,"Receive")</f>
        <v>QSObject:SwapTrade:w1~trade.1058:17254</v>
      </c>
      <c r="G1060" s="3">
        <f>_xll.QS.EVALUATE(C1060,F1060)</f>
        <v>19366.814346749019</v>
      </c>
      <c r="H1060" s="5" t="s">
        <v>2160</v>
      </c>
      <c r="I1060" s="7">
        <v>1105800</v>
      </c>
      <c r="J1060" s="8">
        <v>3.5800000000000012E-2</v>
      </c>
    </row>
    <row r="1061" spans="1:10" x14ac:dyDescent="0.25">
      <c r="A1061" s="5" t="s">
        <v>2148</v>
      </c>
      <c r="B1061" s="5" t="s">
        <v>2161</v>
      </c>
      <c r="C1061" s="6" t="str">
        <f>_xll.QS.CONTEXT.CREATE("market.1059",A1061,"USD","SOFR")</f>
        <v>QSObject:PricingContext:w1~market.1059:11403</v>
      </c>
      <c r="D1061" s="6" t="str">
        <f>_xll.QS.CONTEXT.ADD.CURVE(C1061,"SOFR",$K$2:$K$7,$L$2:$L$7,,,"Actual360","LogLinear",TRUE)</f>
        <v>QSObject:ContextInput:w1~input.qs_context_add_curve.2359132437744.1060.3.0:25030</v>
      </c>
      <c r="E1061" s="6" t="str">
        <f>_xll.QS.INSTRUMENT.SWAP("swap.1059",H1061,B1061,"USD","SOFR",I1061,J1061,0,"Actual360","Simple","Annual","Annual","Annual")</f>
        <v>QSObject:Swap:w1~swap.1059:12919</v>
      </c>
      <c r="F1061" s="6" t="str">
        <f>_xll.QS.TRADE.CREATE("trade.1059",E1061,A1061,"Receive")</f>
        <v>QSObject:SwapTrade:w1~trade.1059:26527</v>
      </c>
      <c r="G1061" s="3">
        <f>_xll.QS.EVALUATE(C1061,F1061)</f>
        <v>19880.44927222711</v>
      </c>
      <c r="H1061" s="5" t="s">
        <v>2162</v>
      </c>
      <c r="I1061" s="7">
        <v>1105900</v>
      </c>
      <c r="J1061" s="8">
        <v>3.5900000000000001E-2</v>
      </c>
    </row>
    <row r="1062" spans="1:10" x14ac:dyDescent="0.25">
      <c r="A1062" s="5" t="s">
        <v>2150</v>
      </c>
      <c r="B1062" s="5" t="s">
        <v>2163</v>
      </c>
      <c r="C1062" s="6" t="str">
        <f>_xll.QS.CONTEXT.CREATE("market.1060",A1062,"USD","SOFR")</f>
        <v>QSObject:PricingContext:w1~market.1060:14556</v>
      </c>
      <c r="D1062" s="6" t="str">
        <f>_xll.QS.CONTEXT.ADD.CURVE(C1062,"SOFR",$K$2:$K$7,$L$2:$L$7,,,"Actual360","LogLinear",TRUE)</f>
        <v>QSObject:ContextInput:w1~input.qs_context_add_curve.2359132437744.1061.3.0:16241</v>
      </c>
      <c r="E1062" s="6" t="str">
        <f>_xll.QS.INSTRUMENT.SWAP("swap.1060",H1062,B1062,"USD","SOFR",I1062,J1062,0,"Actual360","Simple","Annual","Annual","Annual")</f>
        <v>QSObject:Swap:w1~swap.1060:19906</v>
      </c>
      <c r="F1062" s="6" t="str">
        <f>_xll.QS.TRADE.CREATE("trade.1060",E1062,A1062,"Receive")</f>
        <v>QSObject:SwapTrade:w1~trade.1060:22313</v>
      </c>
      <c r="G1062" s="3">
        <f>_xll.QS.EVALUATE(C1062,F1062)</f>
        <v>20348.380180738695</v>
      </c>
      <c r="H1062" s="5" t="s">
        <v>2164</v>
      </c>
      <c r="I1062" s="7">
        <v>1106000</v>
      </c>
      <c r="J1062" s="8">
        <v>3.5999999999999997E-2</v>
      </c>
    </row>
    <row r="1063" spans="1:10" x14ac:dyDescent="0.25">
      <c r="A1063" s="5" t="s">
        <v>2152</v>
      </c>
      <c r="B1063" s="5" t="s">
        <v>2165</v>
      </c>
      <c r="C1063" s="6" t="str">
        <f>_xll.QS.CONTEXT.CREATE("market.1061",A1063,"USD","SOFR")</f>
        <v>QSObject:PricingContext:w1~market.1061:1856</v>
      </c>
      <c r="D1063" s="6" t="str">
        <f>_xll.QS.CONTEXT.ADD.CURVE(C1063,"SOFR",$K$2:$K$7,$L$2:$L$7,,,"Actual360","LogLinear",TRUE)</f>
        <v>QSObject:ContextInput:w1~input.qs_context_add_curve.2359132437744.1062.3.0:18226</v>
      </c>
      <c r="E1063" s="6" t="str">
        <f>_xll.QS.INSTRUMENT.SWAP("swap.1061",H1063,B1063,"USD","SOFR",I1063,J1063,0,"Actual360","Simple","Annual","Annual","Annual")</f>
        <v>QSObject:Swap:w1~swap.1061:6559</v>
      </c>
      <c r="F1063" s="6" t="str">
        <f>_xll.QS.TRADE.CREATE("trade.1061",E1063,A1063,"Receive")</f>
        <v>QSObject:SwapTrade:w1~trade.1061:9753</v>
      </c>
      <c r="G1063" s="3">
        <f>_xll.QS.EVALUATE(C1063,F1063)</f>
        <v>20862.673038951187</v>
      </c>
      <c r="H1063" s="5" t="s">
        <v>2166</v>
      </c>
      <c r="I1063" s="7">
        <v>1106100</v>
      </c>
      <c r="J1063" s="8">
        <v>3.61E-2</v>
      </c>
    </row>
    <row r="1064" spans="1:10" x14ac:dyDescent="0.25">
      <c r="A1064" s="5" t="s">
        <v>2154</v>
      </c>
      <c r="B1064" s="5" t="s">
        <v>2167</v>
      </c>
      <c r="C1064" s="6" t="str">
        <f>_xll.QS.CONTEXT.CREATE("market.1062",A1064,"USD","SOFR")</f>
        <v>QSObject:PricingContext:w1~market.1062:12918</v>
      </c>
      <c r="D1064" s="6" t="str">
        <f>_xll.QS.CONTEXT.ADD.CURVE(C1064,"SOFR",$K$2:$K$7,$L$2:$L$7,,,"Actual360","LogLinear",TRUE)</f>
        <v>QSObject:ContextInput:w1~input.qs_context_add_curve.2359132437744.1063.3.0:39130</v>
      </c>
      <c r="E1064" s="6" t="str">
        <f>_xll.QS.INSTRUMENT.SWAP("swap.1062",H1064,B1064,"USD","SOFR",I1064,J1064,0,"Actual360","Simple","Annual","Annual","Annual")</f>
        <v>QSObject:Swap:w1~swap.1062:17253</v>
      </c>
      <c r="F1064" s="6" t="str">
        <f>_xll.QS.TRADE.CREATE("trade.1062",E1064,A1064,"Receive")</f>
        <v>QSObject:SwapTrade:w1~trade.1062:23479</v>
      </c>
      <c r="G1064" s="3">
        <f>_xll.QS.EVALUATE(C1064,F1064)</f>
        <v>21302.880637847236</v>
      </c>
      <c r="H1064" s="5" t="s">
        <v>2168</v>
      </c>
      <c r="I1064" s="7">
        <v>1106200</v>
      </c>
      <c r="J1064" s="8">
        <v>3.6200000000000003E-2</v>
      </c>
    </row>
    <row r="1065" spans="1:10" x14ac:dyDescent="0.25">
      <c r="A1065" s="5" t="s">
        <v>2156</v>
      </c>
      <c r="B1065" s="5" t="s">
        <v>2169</v>
      </c>
      <c r="C1065" s="6" t="str">
        <f>_xll.QS.CONTEXT.CREATE("market.1063",A1065,"USD","SOFR")</f>
        <v>QSObject:PricingContext:w1~market.1063:11402</v>
      </c>
      <c r="D1065" s="6" t="str">
        <f>_xll.QS.CONTEXT.ADD.CURVE(C1065,"SOFR",$K$2:$K$7,$L$2:$L$7,,,"Actual360","LogLinear",TRUE)</f>
        <v>QSObject:ContextInput:w1~input.qs_context_add_curve.2359132437744.1064.3.0:39129</v>
      </c>
      <c r="E1065" s="6" t="str">
        <f>_xll.QS.INSTRUMENT.SWAP("swap.1063",H1065,B1065,"USD","SOFR",I1065,J1065,0,"Actual360","Simple","Annual","Annual","Annual")</f>
        <v>QSObject:Swap:w1~swap.1063:19905</v>
      </c>
      <c r="F1065" s="6" t="str">
        <f>_xll.QS.TRADE.CREATE("trade.1063",E1065,A1065,"Receive")</f>
        <v>QSObject:SwapTrade:w1~trade.1063:25728</v>
      </c>
      <c r="G1065" s="3">
        <f>_xll.QS.EVALUATE(C1065,F1065)</f>
        <v>21722.625547084448</v>
      </c>
      <c r="H1065" s="5" t="s">
        <v>2170</v>
      </c>
      <c r="I1065" s="7">
        <v>1106300</v>
      </c>
      <c r="J1065" s="8">
        <v>3.6300000000000013E-2</v>
      </c>
    </row>
    <row r="1066" spans="1:10" x14ac:dyDescent="0.25">
      <c r="A1066" s="5" t="s">
        <v>2158</v>
      </c>
      <c r="B1066" s="5" t="s">
        <v>2171</v>
      </c>
      <c r="C1066" s="6" t="str">
        <f>_xll.QS.CONTEXT.CREATE("market.1064",A1066,"USD","SOFR")</f>
        <v>QSObject:PricingContext:w1~market.1064:6558</v>
      </c>
      <c r="D1066" s="6" t="str">
        <f>_xll.QS.CONTEXT.ADD.CURVE(C1066,"SOFR",$K$2:$K$7,$L$2:$L$7,,,"Actual360","LogLinear",TRUE)</f>
        <v>QSObject:ContextInput:w1~input.qs_context_add_curve.2359132437744.1065.3.0:30403</v>
      </c>
      <c r="E1066" s="6" t="str">
        <f>_xll.QS.INSTRUMENT.SWAP("swap.1064",H1066,B1066,"USD","SOFR",I1066,J1066,0,"Actual360","Simple","Annual","Annual","Annual")</f>
        <v>QSObject:Swap:w1~swap.1064:17252</v>
      </c>
      <c r="F1066" s="6" t="str">
        <f>_xll.QS.TRADE.CREATE("trade.1064",E1066,A1066,"Receive")</f>
        <v>QSObject:SwapTrade:w1~trade.1064:29651</v>
      </c>
      <c r="G1066" s="3">
        <f>_xll.QS.EVALUATE(C1066,F1066)</f>
        <v>22281.054695145736</v>
      </c>
      <c r="H1066" s="5" t="s">
        <v>2172</v>
      </c>
      <c r="I1066" s="7">
        <v>1106400</v>
      </c>
      <c r="J1066" s="8">
        <v>3.6400000000000002E-2</v>
      </c>
    </row>
    <row r="1067" spans="1:10" x14ac:dyDescent="0.25">
      <c r="A1067" s="5" t="s">
        <v>2160</v>
      </c>
      <c r="B1067" s="5" t="s">
        <v>2173</v>
      </c>
      <c r="C1067" s="6" t="str">
        <f>_xll.QS.CONTEXT.CREATE("market.1065",A1067,"USD","SOFR")</f>
        <v>QSObject:PricingContext:w1~market.1065:11401</v>
      </c>
      <c r="D1067" s="6" t="str">
        <f>_xll.QS.CONTEXT.ADD.CURVE(C1067,"SOFR",$K$2:$K$7,$L$2:$L$7,,,"Actual360","LogLinear",TRUE)</f>
        <v>QSObject:ContextInput:w1~input.qs_context_add_curve.2359132437744.1066.3.0:14555</v>
      </c>
      <c r="E1067" s="6" t="str">
        <f>_xll.QS.INSTRUMENT.SWAP("swap.1065",H1067,B1067,"USD","SOFR",I1067,J1067,0,"Actual360","Simple","Annual","Annual","Annual")</f>
        <v>QSObject:Swap:w1~swap.1065:18225</v>
      </c>
      <c r="F1067" s="6" t="str">
        <f>_xll.QS.TRADE.CREATE("trade.1065",E1067,A1067,"Receive")</f>
        <v>QSObject:SwapTrade:w1~trade.1065:31133</v>
      </c>
      <c r="G1067" s="3">
        <f>_xll.QS.EVALUATE(C1067,F1067)</f>
        <v>22824.764141555221</v>
      </c>
      <c r="H1067" s="5" t="s">
        <v>2174</v>
      </c>
      <c r="I1067" s="7">
        <v>1106500</v>
      </c>
      <c r="J1067" s="8">
        <v>3.6499999999999998E-2</v>
      </c>
    </row>
    <row r="1068" spans="1:10" x14ac:dyDescent="0.25">
      <c r="A1068" s="5" t="s">
        <v>2162</v>
      </c>
      <c r="B1068" s="5" t="s">
        <v>2175</v>
      </c>
      <c r="C1068" s="6" t="str">
        <f>_xll.QS.CONTEXT.CREATE("market.1066",A1068,"USD","SOFR")</f>
        <v>QSObject:PricingContext:w1~market.1066:8155</v>
      </c>
      <c r="D1068" s="6" t="str">
        <f>_xll.QS.CONTEXT.ADD.CURVE(C1068,"SOFR",$K$2:$K$7,$L$2:$L$7,,,"Actual360","LogLinear",TRUE)</f>
        <v>QSObject:ContextInput:w1~input.qs_context_add_curve.2359132437744.1067.3.0:19904</v>
      </c>
      <c r="E1068" s="6" t="str">
        <f>_xll.QS.INSTRUMENT.SWAP("swap.1066",H1068,B1068,"USD","SOFR",I1068,J1068,0,"Actual360","Simple","Annual","Annual","Annual")</f>
        <v>QSObject:Swap:w1~swap.1066:4956</v>
      </c>
      <c r="F1068" s="6" t="str">
        <f>_xll.QS.TRADE.CREATE("trade.1066",E1068,A1068,"Receive")</f>
        <v>QSObject:SwapTrade:w1~trade.1066:16240</v>
      </c>
      <c r="G1068" s="3">
        <f>_xll.QS.EVALUATE(C1068,F1068)</f>
        <v>23417.887159502836</v>
      </c>
      <c r="H1068" s="5" t="s">
        <v>2176</v>
      </c>
      <c r="I1068" s="7">
        <v>1106600</v>
      </c>
      <c r="J1068" s="8">
        <v>3.6600000000000001E-2</v>
      </c>
    </row>
    <row r="1069" spans="1:10" x14ac:dyDescent="0.25">
      <c r="A1069" s="5" t="s">
        <v>2164</v>
      </c>
      <c r="B1069" s="5" t="s">
        <v>2177</v>
      </c>
      <c r="C1069" s="6" t="str">
        <f>_xll.QS.CONTEXT.CREATE("market.1067",A1069,"USD","SOFR")</f>
        <v>QSObject:PricingContext:w1~market.1067:17251</v>
      </c>
      <c r="D1069" s="6" t="str">
        <f>_xll.QS.CONTEXT.ADD.CURVE(C1069,"SOFR",$K$2:$K$7,$L$2:$L$7,,,"Actual360","LogLinear",TRUE)</f>
        <v>QSObject:ContextInput:w1~input.qs_context_add_curve.2359132437744.1068.3.0:39128</v>
      </c>
      <c r="E1069" s="6" t="str">
        <f>_xll.QS.INSTRUMENT.SWAP("swap.1067",H1069,B1069,"USD","SOFR",I1069,J1069,0,"Actual360","Simple","Annual","Annual","Annual")</f>
        <v>QSObject:Swap:w1~swap.1067:12917</v>
      </c>
      <c r="F1069" s="6" t="str">
        <f>_xll.QS.TRADE.CREATE("trade.1067",E1069,A1069,"Receive")</f>
        <v>QSObject:SwapTrade:w1~trade.1067:25727</v>
      </c>
      <c r="G1069" s="3">
        <f>_xll.QS.EVALUATE(C1069,F1069)</f>
        <v>23978.653810466003</v>
      </c>
      <c r="H1069" s="5" t="s">
        <v>2178</v>
      </c>
      <c r="I1069" s="7">
        <v>1106700</v>
      </c>
      <c r="J1069" s="8">
        <v>3.6700000000000003E-2</v>
      </c>
    </row>
    <row r="1070" spans="1:10" x14ac:dyDescent="0.25">
      <c r="A1070" s="5" t="s">
        <v>2166</v>
      </c>
      <c r="B1070" s="5" t="s">
        <v>2179</v>
      </c>
      <c r="C1070" s="6" t="str">
        <f>_xll.QS.CONTEXT.CREATE("market.1068",A1070,"USD","SOFR")</f>
        <v>QSObject:PricingContext:w1~market.1068:1855</v>
      </c>
      <c r="D1070" s="6" t="str">
        <f>_xll.QS.CONTEXT.ADD.CURVE(C1070,"SOFR",$K$2:$K$7,$L$2:$L$7,,,"Actual360","LogLinear",TRUE)</f>
        <v>QSObject:ContextInput:w1~input.qs_context_add_curve.2359132437744.1069.3.0:3399</v>
      </c>
      <c r="E1070" s="6" t="str">
        <f>_xll.QS.INSTRUMENT.SWAP("swap.1068",H1070,B1070,"USD","SOFR",I1070,J1070,0,"Actual360","Simple","Annual","Annual","Annual")</f>
        <v>QSObject:Swap:w1~swap.1068:14554</v>
      </c>
      <c r="F1070" s="6" t="str">
        <f>_xll.QS.TRADE.CREATE("trade.1068",E1070,A1070,"Receive")</f>
        <v>QSObject:SwapTrade:w1~trade.1068:18224</v>
      </c>
      <c r="G1070" s="3">
        <f>_xll.QS.EVALUATE(C1070,F1070)</f>
        <v>24448.598154427553</v>
      </c>
      <c r="H1070" s="5" t="s">
        <v>2180</v>
      </c>
      <c r="I1070" s="7">
        <v>1106800</v>
      </c>
      <c r="J1070" s="8">
        <v>3.6800000000000013E-2</v>
      </c>
    </row>
    <row r="1071" spans="1:10" x14ac:dyDescent="0.25">
      <c r="A1071" s="5" t="s">
        <v>2168</v>
      </c>
      <c r="B1071" s="5" t="s">
        <v>2181</v>
      </c>
      <c r="C1071" s="6" t="str">
        <f>_xll.QS.CONTEXT.CREATE("market.1069",A1071,"USD","SOFR")</f>
        <v>QSObject:PricingContext:w1~market.1069:4955</v>
      </c>
      <c r="D1071" s="6" t="str">
        <f>_xll.QS.CONTEXT.ADD.CURVE(C1071,"SOFR",$K$2:$K$7,$L$2:$L$7,,,"Actual360","LogLinear",TRUE)</f>
        <v>QSObject:ContextInput:w1~input.qs_context_add_curve.2359132437744.1070.3.0:9752</v>
      </c>
      <c r="E1071" s="6" t="str">
        <f>_xll.QS.INSTRUMENT.SWAP("swap.1069",H1071,B1071,"USD","SOFR",I1071,J1071,0,"Actual360","Simple","Annual","Annual","Annual")</f>
        <v>QSObject:Swap:w1~swap.1069:8154</v>
      </c>
      <c r="F1071" s="6" t="str">
        <f>_xll.QS.TRADE.CREATE("trade.1069",E1071,A1071,"Receive")</f>
        <v>QSObject:SwapTrade:w1~trade.1069:17250</v>
      </c>
      <c r="G1071" s="3">
        <f>_xll.QS.EVALUATE(C1071,F1071)</f>
        <v>24885.198277499672</v>
      </c>
      <c r="H1071" s="5" t="s">
        <v>2182</v>
      </c>
      <c r="I1071" s="7">
        <v>1106900</v>
      </c>
      <c r="J1071" s="8">
        <v>3.6900000000000002E-2</v>
      </c>
    </row>
    <row r="1072" spans="1:10" x14ac:dyDescent="0.25">
      <c r="A1072" s="5" t="s">
        <v>2170</v>
      </c>
      <c r="B1072" s="5" t="s">
        <v>2183</v>
      </c>
      <c r="C1072" s="6" t="str">
        <f>_xll.QS.CONTEXT.CREATE("market.1070",A1072,"USD","SOFR")</f>
        <v>QSObject:PricingContext:w1~market.1070:19903</v>
      </c>
      <c r="D1072" s="6" t="str">
        <f>_xll.QS.CONTEXT.ADD.CURVE(C1072,"SOFR",$K$2:$K$7,$L$2:$L$7,,,"Actual360","LogLinear",TRUE)</f>
        <v>QSObject:ContextInput:w1~input.qs_context_add_curve.2359132437744.1071.3.0:39127</v>
      </c>
      <c r="E1072" s="6" t="str">
        <f>_xll.QS.INSTRUMENT.SWAP("swap.1070",H1072,B1072,"USD","SOFR",I1072,J1072,0,"Actual360","Simple","Annual","Annual","Annual")</f>
        <v>QSObject:Swap:w1~swap.1070:6557</v>
      </c>
      <c r="F1072" s="6" t="str">
        <f>_xll.QS.TRADE.CREATE("trade.1070",E1072,A1072,"Receive")</f>
        <v>QSObject:SwapTrade:w1~trade.1070:25726</v>
      </c>
      <c r="G1072" s="3">
        <f>_xll.QS.EVALUATE(C1072,F1072)</f>
        <v>25311.069868177408</v>
      </c>
      <c r="H1072" s="5" t="s">
        <v>2184</v>
      </c>
      <c r="I1072" s="7">
        <v>1107000</v>
      </c>
      <c r="J1072" s="8">
        <v>3.7000000000000012E-2</v>
      </c>
    </row>
    <row r="1073" spans="1:10" x14ac:dyDescent="0.25">
      <c r="A1073" s="5" t="s">
        <v>2172</v>
      </c>
      <c r="B1073" s="5" t="s">
        <v>2185</v>
      </c>
      <c r="C1073" s="6" t="str">
        <f>_xll.QS.CONTEXT.CREATE("market.1071",A1073,"USD","SOFR")</f>
        <v>QSObject:PricingContext:w1~market.1071:14553</v>
      </c>
      <c r="D1073" s="6" t="str">
        <f>_xll.QS.CONTEXT.ADD.CURVE(C1073,"SOFR",$K$2:$K$7,$L$2:$L$7,,,"Actual360","LogLinear",TRUE)</f>
        <v>QSObject:ContextInput:w1~input.qs_context_add_curve.2359132437744.1072.3.0:39126</v>
      </c>
      <c r="E1073" s="6" t="str">
        <f>_xll.QS.INSTRUMENT.SWAP("swap.1071",H1073,B1073,"USD","SOFR",I1073,J1073,0,"Actual360","Simple","Annual","Annual","Annual")</f>
        <v>QSObject:Swap:w1~swap.1071:3398</v>
      </c>
      <c r="F1073" s="6" t="str">
        <f>_xll.QS.TRADE.CREATE("trade.1071",E1073,A1073,"Receive")</f>
        <v>QSObject:SwapTrade:w1~trade.1071:4954</v>
      </c>
      <c r="G1073" s="3">
        <f>_xll.QS.EVALUATE(C1073,F1073)</f>
        <v>25870.52018349581</v>
      </c>
      <c r="H1073" s="5" t="s">
        <v>2186</v>
      </c>
      <c r="I1073" s="7">
        <v>1107100</v>
      </c>
      <c r="J1073" s="8">
        <v>3.7100000000000001E-2</v>
      </c>
    </row>
    <row r="1074" spans="1:10" x14ac:dyDescent="0.25">
      <c r="A1074" s="5" t="s">
        <v>2174</v>
      </c>
      <c r="B1074" s="5" t="s">
        <v>2187</v>
      </c>
      <c r="C1074" s="6" t="str">
        <f>_xll.QS.CONTEXT.CREATE("market.1072",A1074,"USD","SOFR")</f>
        <v>QSObject:PricingContext:w1~market.1072:11400</v>
      </c>
      <c r="D1074" s="6" t="str">
        <f>_xll.QS.CONTEXT.ADD.CURVE(C1074,"SOFR",$K$2:$K$7,$L$2:$L$7,,,"Actual360","LogLinear",TRUE)</f>
        <v>QSObject:ContextInput:w1~input.qs_context_add_curve.2359132437744.1073.3.0:18223</v>
      </c>
      <c r="E1074" s="6" t="str">
        <f>_xll.QS.INSTRUMENT.SWAP("swap.1072",H1074,B1074,"USD","SOFR",I1074,J1074,0,"Actual360","Simple","Annual","Annual","Annual")</f>
        <v>QSObject:Swap:w1~swap.1072:17249</v>
      </c>
      <c r="F1074" s="6" t="str">
        <f>_xll.QS.TRADE.CREATE("trade.1072",E1074,A1074,"Receive")</f>
        <v>QSObject:SwapTrade:w1~trade.1072:25725</v>
      </c>
      <c r="G1074" s="3">
        <f>_xll.QS.EVALUATE(C1074,F1074)</f>
        <v>26413.161497916601</v>
      </c>
      <c r="H1074" s="5" t="s">
        <v>2188</v>
      </c>
      <c r="I1074" s="7">
        <v>1107200</v>
      </c>
      <c r="J1074" s="8">
        <v>3.7199999999999997E-2</v>
      </c>
    </row>
    <row r="1075" spans="1:10" x14ac:dyDescent="0.25">
      <c r="A1075" s="5" t="s">
        <v>2176</v>
      </c>
      <c r="B1075" s="5" t="s">
        <v>2189</v>
      </c>
      <c r="C1075" s="6" t="str">
        <f>_xll.QS.CONTEXT.CREATE("market.1073",A1075,"USD","SOFR")</f>
        <v>QSObject:PricingContext:w1~market.1073:16239</v>
      </c>
      <c r="D1075" s="6" t="str">
        <f>_xll.QS.CONTEXT.ADD.CURVE(C1075,"SOFR",$K$2:$K$7,$L$2:$L$7,,,"Actual360","LogLinear",TRUE)</f>
        <v>QSObject:ContextInput:w1~input.qs_context_add_curve.2359132437744.1074.3.0:19902</v>
      </c>
      <c r="E1075" s="6" t="str">
        <f>_xll.QS.INSTRUMENT.SWAP("swap.1073",H1075,B1075,"USD","SOFR",I1075,J1075,0,"Actual360","Simple","Annual","Annual","Annual")</f>
        <v>QSObject:Swap:w1~swap.1073:8153</v>
      </c>
      <c r="F1075" s="6" t="str">
        <f>_xll.QS.TRADE.CREATE("trade.1073",E1075,A1075,"Receive")</f>
        <v>QSObject:SwapTrade:w1~trade.1073:12916</v>
      </c>
      <c r="G1075" s="3">
        <f>_xll.QS.EVALUATE(C1075,F1075)</f>
        <v>27007.034229645062</v>
      </c>
      <c r="H1075" s="5" t="s">
        <v>2190</v>
      </c>
      <c r="I1075" s="7">
        <v>1107300</v>
      </c>
      <c r="J1075" s="8">
        <v>3.73E-2</v>
      </c>
    </row>
    <row r="1076" spans="1:10" x14ac:dyDescent="0.25">
      <c r="A1076" s="5" t="s">
        <v>2178</v>
      </c>
      <c r="B1076" s="5" t="s">
        <v>2191</v>
      </c>
      <c r="C1076" s="6" t="str">
        <f>_xll.QS.CONTEXT.CREATE("market.1074",A1076,"USD","SOFR")</f>
        <v>QSObject:PricingContext:w1~market.1074:14552</v>
      </c>
      <c r="D1076" s="6" t="str">
        <f>_xll.QS.CONTEXT.ADD.CURVE(C1076,"SOFR",$K$2:$K$7,$L$2:$L$7,,,"Actual360","LogLinear",TRUE)</f>
        <v>QSObject:ContextInput:w1~input.qs_context_add_curve.2359132437744.1075.3.0:39125</v>
      </c>
      <c r="E1076" s="6" t="str">
        <f>_xll.QS.INSTRUMENT.SWAP("swap.1074",H1076,B1076,"USD","SOFR",I1076,J1076,0,"Actual360","Simple","Annual","Annual","Annual")</f>
        <v>QSObject:Swap:w1~swap.1074:1854</v>
      </c>
      <c r="F1076" s="6" t="str">
        <f>_xll.QS.TRADE.CREATE("trade.1074",E1076,A1076,"Receive")</f>
        <v>QSObject:SwapTrade:w1~trade.1074:11399</v>
      </c>
      <c r="G1076" s="3">
        <f>_xll.QS.EVALUATE(C1076,F1076)</f>
        <v>27568.518073844949</v>
      </c>
      <c r="H1076" s="5" t="s">
        <v>2192</v>
      </c>
      <c r="I1076" s="7">
        <v>1107400</v>
      </c>
      <c r="J1076" s="8">
        <v>3.7400000000000003E-2</v>
      </c>
    </row>
    <row r="1077" spans="1:10" x14ac:dyDescent="0.25">
      <c r="A1077" s="5" t="s">
        <v>2180</v>
      </c>
      <c r="B1077" s="5" t="s">
        <v>2193</v>
      </c>
      <c r="C1077" s="6" t="str">
        <f>_xll.QS.CONTEXT.CREATE("market.1075",A1077,"USD","SOFR")</f>
        <v>QSObject:PricingContext:w1~market.1075:18222</v>
      </c>
      <c r="D1077" s="6" t="str">
        <f>_xll.QS.CONTEXT.ADD.CURVE(C1077,"SOFR",$K$2:$K$7,$L$2:$L$7,,,"Actual360","LogLinear",TRUE)</f>
        <v>QSObject:ContextInput:w1~input.qs_context_add_curve.2359132437744.1076.3.0:39124</v>
      </c>
      <c r="E1077" s="6" t="str">
        <f>_xll.QS.INSTRUMENT.SWAP("swap.1075",H1077,B1077,"USD","SOFR",I1077,J1077,0,"Actual360","Simple","Annual","Annual","Annual")</f>
        <v>QSObject:Swap:w1~swap.1075:3397</v>
      </c>
      <c r="F1077" s="6" t="str">
        <f>_xll.QS.TRADE.CREATE("trade.1075",E1077,A1077,"Receive")</f>
        <v>QSObject:SwapTrade:w1~trade.1075:17248</v>
      </c>
      <c r="G1077" s="3">
        <f>_xll.QS.EVALUATE(C1077,F1077)</f>
        <v>28039.042434088926</v>
      </c>
      <c r="H1077" s="5" t="s">
        <v>2194</v>
      </c>
      <c r="I1077" s="7">
        <v>1107500</v>
      </c>
      <c r="J1077" s="8">
        <v>3.7500000000000012E-2</v>
      </c>
    </row>
    <row r="1078" spans="1:10" x14ac:dyDescent="0.25">
      <c r="A1078" s="5" t="s">
        <v>2182</v>
      </c>
      <c r="B1078" s="5" t="s">
        <v>2195</v>
      </c>
      <c r="C1078" s="6" t="str">
        <f>_xll.QS.CONTEXT.CREATE("market.1076",A1078,"USD","SOFR")</f>
        <v>QSObject:PricingContext:w1~market.1076:19901</v>
      </c>
      <c r="D1078" s="6" t="str">
        <f>_xll.QS.CONTEXT.ADD.CURVE(C1078,"SOFR",$K$2:$K$7,$L$2:$L$7,,,"Actual360","LogLinear",TRUE)</f>
        <v>QSObject:ContextInput:w1~input.qs_context_add_curve.2359132437744.1077.3.0:39123</v>
      </c>
      <c r="E1078" s="6" t="str">
        <f>_xll.QS.INSTRUMENT.SWAP("swap.1076",H1078,B1078,"USD","SOFR",I1078,J1078,0,"Actual360","Simple","Annual","Annual","Annual")</f>
        <v>QSObject:Swap:w1~swap.1076:9751</v>
      </c>
      <c r="F1078" s="6" t="str">
        <f>_xll.QS.TRADE.CREATE("trade.1076",E1078,A1078,"Receive")</f>
        <v>QSObject:SwapTrade:w1~trade.1076:12915</v>
      </c>
      <c r="G1078" s="3">
        <f>_xll.QS.EVALUATE(C1078,F1078)</f>
        <v>28472.029759538724</v>
      </c>
      <c r="H1078" s="5" t="s">
        <v>2196</v>
      </c>
      <c r="I1078" s="7">
        <v>1107600</v>
      </c>
      <c r="J1078" s="8">
        <v>3.7600000000000001E-2</v>
      </c>
    </row>
    <row r="1079" spans="1:10" x14ac:dyDescent="0.25">
      <c r="A1079" s="5" t="s">
        <v>2184</v>
      </c>
      <c r="B1079" s="5" t="s">
        <v>2197</v>
      </c>
      <c r="C1079" s="6" t="str">
        <f>_xll.QS.CONTEXT.CREATE("market.1077",A1079,"USD","SOFR")</f>
        <v>QSObject:PricingContext:w1~market.1077:6556</v>
      </c>
      <c r="D1079" s="6" t="str">
        <f>_xll.QS.CONTEXT.ADD.CURVE(C1079,"SOFR",$K$2:$K$7,$L$2:$L$7,,,"Actual360","LogLinear",TRUE)</f>
        <v>QSObject:ContextInput:w1~input.qs_context_add_curve.2359132437744.1078.3.0:14551</v>
      </c>
      <c r="E1079" s="6" t="str">
        <f>_xll.QS.INSTRUMENT.SWAP("swap.1077",H1079,B1079,"USD","SOFR",I1079,J1079,0,"Actual360","Simple","Annual","Annual","Annual")</f>
        <v>QSObject:Swap:w1~swap.1077:8152</v>
      </c>
      <c r="F1079" s="6" t="str">
        <f>_xll.QS.TRADE.CREATE("trade.1077",E1079,A1079,"Receive")</f>
        <v>QSObject:SwapTrade:w1~trade.1077:28291</v>
      </c>
      <c r="G1079" s="3">
        <f>_xll.QS.EVALUATE(C1079,F1079)</f>
        <v>28904.035037845508</v>
      </c>
      <c r="H1079" s="5" t="s">
        <v>2198</v>
      </c>
      <c r="I1079" s="7">
        <v>1107700</v>
      </c>
      <c r="J1079" s="8">
        <v>3.7699999999999997E-2</v>
      </c>
    </row>
    <row r="1080" spans="1:10" x14ac:dyDescent="0.25">
      <c r="A1080" s="5" t="s">
        <v>2186</v>
      </c>
      <c r="B1080" s="5" t="s">
        <v>2199</v>
      </c>
      <c r="C1080" s="6" t="str">
        <f>_xll.QS.CONTEXT.CREATE("market.1078",A1080,"USD","SOFR")</f>
        <v>QSObject:PricingContext:w1~market.1078:18221</v>
      </c>
      <c r="D1080" s="6" t="str">
        <f>_xll.QS.CONTEXT.ADD.CURVE(C1080,"SOFR",$K$2:$K$7,$L$2:$L$7,,,"Actual360","LogLinear",TRUE)</f>
        <v>QSObject:ContextInput:w1~input.qs_context_add_curve.2359132437744.1079.3.0:39122</v>
      </c>
      <c r="E1080" s="6" t="str">
        <f>_xll.QS.INSTRUMENT.SWAP("swap.1078",H1080,B1080,"USD","SOFR",I1080,J1080,0,"Actual360","Simple","Annual","Annual","Annual")</f>
        <v>QSObject:Swap:w1~swap.1078:11398</v>
      </c>
      <c r="F1080" s="6" t="str">
        <f>_xll.QS.TRADE.CREATE("trade.1078",E1080,A1080,"Receive")</f>
        <v>QSObject:SwapTrade:w1~trade.1078:29650</v>
      </c>
      <c r="G1080" s="3">
        <f>_xll.QS.EVALUATE(C1080,F1080)</f>
        <v>29464.506958192716</v>
      </c>
      <c r="H1080" s="5" t="s">
        <v>2200</v>
      </c>
      <c r="I1080" s="7">
        <v>1107800</v>
      </c>
      <c r="J1080" s="8">
        <v>3.78E-2</v>
      </c>
    </row>
    <row r="1081" spans="1:10" x14ac:dyDescent="0.25">
      <c r="A1081" s="5" t="s">
        <v>2188</v>
      </c>
      <c r="B1081" s="5" t="s">
        <v>2201</v>
      </c>
      <c r="C1081" s="6" t="str">
        <f>_xll.QS.CONTEXT.CREATE("market.1079",A1081,"USD","SOFR")</f>
        <v>QSObject:PricingContext:w1~market.1079:19900</v>
      </c>
      <c r="D1081" s="6" t="str">
        <f>_xll.QS.CONTEXT.ADD.CURVE(C1081,"SOFR",$K$2:$K$7,$L$2:$L$7,,,"Actual360","LogLinear",TRUE)</f>
        <v>QSObject:ContextInput:w1~input.qs_context_add_curve.2359132437744.1080.3.0:39121</v>
      </c>
      <c r="E1081" s="6" t="str">
        <f>_xll.QS.INSTRUMENT.SWAP("swap.1079",H1081,B1081,"USD","SOFR",I1081,J1081,0,"Actual360","Simple","Annual","Annual","Annual")</f>
        <v>QSObject:Swap:w1~swap.1079:4953</v>
      </c>
      <c r="F1081" s="6" t="str">
        <f>_xll.QS.TRADE.CREATE("trade.1079",E1081,A1081,"Receive")</f>
        <v>QSObject:SwapTrade:w1~trade.1079:12914</v>
      </c>
      <c r="G1081" s="3">
        <f>_xll.QS.EVALUATE(C1081,F1081)</f>
        <v>30006.077948356091</v>
      </c>
      <c r="H1081" s="5" t="s">
        <v>2202</v>
      </c>
      <c r="I1081" s="7">
        <v>1107900</v>
      </c>
      <c r="J1081" s="8">
        <v>3.7900000000000003E-2</v>
      </c>
    </row>
    <row r="1082" spans="1:10" x14ac:dyDescent="0.25">
      <c r="A1082" s="5" t="s">
        <v>2190</v>
      </c>
      <c r="B1082" s="5" t="s">
        <v>2203</v>
      </c>
      <c r="C1082" s="6" t="str">
        <f>_xll.QS.CONTEXT.CREATE("market.1080",A1082,"USD","SOFR")</f>
        <v>QSObject:PricingContext:w1~market.1080:6555</v>
      </c>
      <c r="D1082" s="6" t="str">
        <f>_xll.QS.CONTEXT.ADD.CURVE(C1082,"SOFR",$K$2:$K$7,$L$2:$L$7,,,"Actual360","LogLinear",TRUE)</f>
        <v>QSObject:ContextInput:w1~input.qs_context_add_curve.2359132437744.1081.3.0:9750</v>
      </c>
      <c r="E1082" s="6" t="str">
        <f>_xll.QS.INSTRUMENT.SWAP("swap.1080",H1082,B1082,"USD","SOFR",I1082,J1082,0,"Actual360","Simple","Annual","Annual","Annual")</f>
        <v>QSObject:Swap:w1~swap.1080:14550</v>
      </c>
      <c r="F1082" s="6" t="str">
        <f>_xll.QS.TRADE.CREATE("trade.1080",E1082,A1082,"Receive")</f>
        <v>QSObject:SwapTrade:w1~trade.1080:25029</v>
      </c>
      <c r="G1082" s="3">
        <f>_xll.QS.EVALUATE(C1082,F1082)</f>
        <v>30600.610199815725</v>
      </c>
      <c r="H1082" s="5" t="s">
        <v>2204</v>
      </c>
      <c r="I1082" s="7">
        <v>1108000</v>
      </c>
      <c r="J1082" s="8">
        <v>3.8000000000000013E-2</v>
      </c>
    </row>
    <row r="1083" spans="1:10" x14ac:dyDescent="0.25">
      <c r="A1083" s="5" t="s">
        <v>2192</v>
      </c>
      <c r="B1083" s="5" t="s">
        <v>2205</v>
      </c>
      <c r="C1083" s="6" t="str">
        <f>_xll.QS.CONTEXT.CREATE("market.1081",A1083,"USD","SOFR")</f>
        <v>QSObject:PricingContext:w1~market.1081:1853</v>
      </c>
      <c r="D1083" s="6" t="str">
        <f>_xll.QS.CONTEXT.ADD.CURVE(C1083,"SOFR",$K$2:$K$7,$L$2:$L$7,,,"Actual360","LogLinear",TRUE)</f>
        <v>QSObject:ContextInput:w1~input.qs_context_add_curve.2359132437744.1082.3.0:3396</v>
      </c>
      <c r="E1083" s="6" t="str">
        <f>_xll.QS.INSTRUMENT.SWAP("swap.1081",H1083,B1083,"USD","SOFR",I1083,J1083,0,"Actual360","Simple","Annual","Annual","Annual")</f>
        <v>QSObject:Swap:w1~swap.1081:17247</v>
      </c>
      <c r="F1083" s="6" t="str">
        <f>_xll.QS.TRADE.CREATE("trade.1081",E1083,A1083,"Receive")</f>
        <v>QSObject:SwapTrade:w1~trade.1081:18220</v>
      </c>
      <c r="G1083" s="3">
        <f>_xll.QS.EVALUATE(C1083,F1083)</f>
        <v>31162.575230371833</v>
      </c>
      <c r="H1083" s="5" t="s">
        <v>2206</v>
      </c>
      <c r="I1083" s="7">
        <v>1108100</v>
      </c>
      <c r="J1083" s="8">
        <v>3.8100000000000002E-2</v>
      </c>
    </row>
    <row r="1084" spans="1:10" x14ac:dyDescent="0.25">
      <c r="A1084" s="5" t="s">
        <v>2194</v>
      </c>
      <c r="B1084" s="5" t="s">
        <v>2207</v>
      </c>
      <c r="C1084" s="6" t="str">
        <f>_xll.QS.CONTEXT.CREATE("market.1082",A1084,"USD","SOFR")</f>
        <v>QSObject:PricingContext:w1~market.1082:11397</v>
      </c>
      <c r="D1084" s="6" t="str">
        <f>_xll.QS.CONTEXT.ADD.CURVE(C1084,"SOFR",$K$2:$K$7,$L$2:$L$7,,,"Actual360","LogLinear",TRUE)</f>
        <v>QSObject:ContextInput:w1~input.qs_context_add_curve.2359132437744.1083.3.0:12913</v>
      </c>
      <c r="E1084" s="6" t="str">
        <f>_xll.QS.INSTRUMENT.SWAP("swap.1082",H1084,B1084,"USD","SOFR",I1084,J1084,0,"Actual360","Simple","Annual","Annual","Annual")</f>
        <v>QSObject:Swap:w1~swap.1082:16238</v>
      </c>
      <c r="F1084" s="6" t="str">
        <f>_xll.QS.TRADE.CREATE("trade.1082",E1084,A1084,"Receive")</f>
        <v>QSObject:SwapTrade:w1~trade.1082:19899</v>
      </c>
      <c r="G1084" s="3">
        <f>_xll.QS.EVALUATE(C1084,F1084)</f>
        <v>31548.048970711407</v>
      </c>
      <c r="H1084" s="5" t="s">
        <v>2208</v>
      </c>
      <c r="I1084" s="7">
        <v>1108200</v>
      </c>
      <c r="J1084" s="8">
        <v>3.8199999999999998E-2</v>
      </c>
    </row>
    <row r="1085" spans="1:10" x14ac:dyDescent="0.25">
      <c r="A1085" s="5" t="s">
        <v>2196</v>
      </c>
      <c r="B1085" s="5" t="s">
        <v>2209</v>
      </c>
      <c r="C1085" s="6" t="str">
        <f>_xll.QS.CONTEXT.CREATE("market.1083",A1085,"USD","SOFR")</f>
        <v>QSObject:PricingContext:w1~market.1083:8151</v>
      </c>
      <c r="D1085" s="6" t="str">
        <f>_xll.QS.CONTEXT.ADD.CURVE(C1085,"SOFR",$K$2:$K$7,$L$2:$L$7,,,"Actual360","LogLinear",TRUE)</f>
        <v>QSObject:ContextInput:w1~input.qs_context_add_curve.2359132437744.1084.3.0:9749</v>
      </c>
      <c r="E1085" s="6" t="str">
        <f>_xll.QS.INSTRUMENT.SWAP("swap.1083",H1085,B1085,"USD","SOFR",I1085,J1085,0,"Actual360","Simple","Annual","Annual","Annual")</f>
        <v>QSObject:Swap:w1~swap.1083:4952</v>
      </c>
      <c r="F1085" s="6" t="str">
        <f>_xll.QS.TRADE.CREATE("trade.1083",E1085,A1085,"Receive")</f>
        <v>QSObject:SwapTrade:w1~trade.1083:22968</v>
      </c>
      <c r="G1085" s="3">
        <f>_xll.QS.EVALUATE(C1085,F1085)</f>
        <v>32064.050758847203</v>
      </c>
      <c r="H1085" s="5" t="s">
        <v>2210</v>
      </c>
      <c r="I1085" s="7">
        <v>1108300</v>
      </c>
      <c r="J1085" s="8">
        <v>3.8300000000000001E-2</v>
      </c>
    </row>
    <row r="1086" spans="1:10" x14ac:dyDescent="0.25">
      <c r="A1086" s="5" t="s">
        <v>2198</v>
      </c>
      <c r="B1086" s="5" t="s">
        <v>2211</v>
      </c>
      <c r="C1086" s="6" t="str">
        <f>_xll.QS.CONTEXT.CREATE("market.1084",A1086,"USD","SOFR")</f>
        <v>QSObject:PricingContext:w1~market.1084:17246</v>
      </c>
      <c r="D1086" s="6" t="str">
        <f>_xll.QS.CONTEXT.ADD.CURVE(C1086,"SOFR",$K$2:$K$7,$L$2:$L$7,,,"Actual360","LogLinear",TRUE)</f>
        <v>QSObject:ContextInput:w1~input.qs_context_add_curve.2359132437744.1085.3.0:39120</v>
      </c>
      <c r="E1086" s="6" t="str">
        <f>_xll.QS.INSTRUMENT.SWAP("swap.1084",H1086,B1086,"USD","SOFR",I1086,J1086,0,"Actual360","Simple","Annual","Annual","Annual")</f>
        <v>QSObject:Swap:w1~swap.1084:14549</v>
      </c>
      <c r="F1086" s="6" t="str">
        <f>_xll.QS.TRADE.CREATE("trade.1084",E1086,A1086,"Receive")</f>
        <v>QSObject:SwapTrade:w1~trade.1084:22967</v>
      </c>
      <c r="G1086" s="3">
        <f>_xll.QS.EVALUATE(C1086,F1086)</f>
        <v>32502.250434166297</v>
      </c>
      <c r="H1086" s="5" t="s">
        <v>2212</v>
      </c>
      <c r="I1086" s="7">
        <v>1108400</v>
      </c>
      <c r="J1086" s="8">
        <v>3.8399999999999997E-2</v>
      </c>
    </row>
    <row r="1087" spans="1:10" x14ac:dyDescent="0.25">
      <c r="A1087" s="5" t="s">
        <v>2200</v>
      </c>
      <c r="B1087" s="5" t="s">
        <v>2213</v>
      </c>
      <c r="C1087" s="6" t="str">
        <f>_xll.QS.CONTEXT.CREATE("market.1085",A1087,"USD","SOFR")</f>
        <v>QSObject:PricingContext:w1~market.1085:11396</v>
      </c>
      <c r="D1087" s="6" t="str">
        <f>_xll.QS.CONTEXT.ADD.CURVE(C1087,"SOFR",$K$2:$K$7,$L$2:$L$7,,,"Actual360","LogLinear",TRUE)</f>
        <v>QSObject:ContextInput:w1~input.qs_context_add_curve.2359132437744.1086.3.0:18219</v>
      </c>
      <c r="E1087" s="6" t="str">
        <f>_xll.QS.INSTRUMENT.SWAP("swap.1085",H1087,B1087,"USD","SOFR",I1087,J1087,0,"Actual360","Simple","Annual","Annual","Annual")</f>
        <v>QSObject:Swap:w1~swap.1085:1852</v>
      </c>
      <c r="F1087" s="6" t="str">
        <f>_xll.QS.TRADE.CREATE("trade.1085",E1087,A1087,"Receive")</f>
        <v>QSObject:SwapTrade:w1~trade.1085:16237</v>
      </c>
      <c r="G1087" s="3">
        <f>_xll.QS.EVALUATE(C1087,F1087)</f>
        <v>33103.991791867265</v>
      </c>
      <c r="H1087" s="5" t="s">
        <v>2214</v>
      </c>
      <c r="I1087" s="7">
        <v>1108500</v>
      </c>
      <c r="J1087" s="8">
        <v>3.8500000000000013E-2</v>
      </c>
    </row>
    <row r="1088" spans="1:10" x14ac:dyDescent="0.25">
      <c r="A1088" s="5" t="s">
        <v>2202</v>
      </c>
      <c r="B1088" s="5" t="s">
        <v>2215</v>
      </c>
      <c r="C1088" s="6" t="str">
        <f>_xll.QS.CONTEXT.CREATE("market.1086",A1088,"USD","SOFR")</f>
        <v>QSObject:PricingContext:w1~market.1086:4951</v>
      </c>
      <c r="D1088" s="6" t="str">
        <f>_xll.QS.CONTEXT.ADD.CURVE(C1088,"SOFR",$K$2:$K$7,$L$2:$L$7,,,"Actual360","LogLinear",TRUE)</f>
        <v>QSObject:ContextInput:w1~input.qs_context_add_curve.2359132437744.1087.3.0:8150</v>
      </c>
      <c r="E1088" s="6" t="str">
        <f>_xll.QS.INSTRUMENT.SWAP("swap.1086",H1088,B1088,"USD","SOFR",I1088,J1088,0,"Actual360","Simple","Annual","Annual","Annual")</f>
        <v>QSObject:Swap:w1~swap.1086:19898</v>
      </c>
      <c r="F1088" s="6" t="str">
        <f>_xll.QS.TRADE.CREATE("trade.1086",E1088,A1088,"Receive")</f>
        <v>QSObject:SwapTrade:w1~trade.1086:22966</v>
      </c>
      <c r="G1088" s="3">
        <f>_xll.QS.EVALUATE(C1088,F1088)</f>
        <v>33725.883643164459</v>
      </c>
      <c r="H1088" s="5" t="s">
        <v>2216</v>
      </c>
      <c r="I1088" s="7">
        <v>1108600</v>
      </c>
      <c r="J1088" s="8">
        <v>3.8600000000000002E-2</v>
      </c>
    </row>
    <row r="1089" spans="1:10" x14ac:dyDescent="0.25">
      <c r="A1089" s="5" t="s">
        <v>2204</v>
      </c>
      <c r="B1089" s="5" t="s">
        <v>2217</v>
      </c>
      <c r="C1089" s="6" t="str">
        <f>_xll.QS.CONTEXT.CREATE("market.1087",A1089,"USD","SOFR")</f>
        <v>QSObject:PricingContext:w1~market.1087:17245</v>
      </c>
      <c r="D1089" s="6" t="str">
        <f>_xll.QS.CONTEXT.ADD.CURVE(C1089,"SOFR",$K$2:$K$7,$L$2:$L$7,,,"Actual360","LogLinear",TRUE)</f>
        <v>QSObject:ContextInput:w1~input.qs_context_add_curve.2359132437744.1088.3.0:39119</v>
      </c>
      <c r="E1089" s="6" t="str">
        <f>_xll.QS.INSTRUMENT.SWAP("swap.1087",H1089,B1089,"USD","SOFR",I1089,J1089,0,"Actual360","Simple","Annual","Annual","Annual")</f>
        <v>QSObject:Swap:w1~swap.1087:9748</v>
      </c>
      <c r="F1089" s="6" t="str">
        <f>_xll.QS.TRADE.CREATE("trade.1087",E1089,A1089,"Receive")</f>
        <v>QSObject:SwapTrade:w1~trade.1087:12912</v>
      </c>
      <c r="G1089" s="3">
        <f>_xll.QS.EVALUATE(C1089,F1089)</f>
        <v>34250.805839564273</v>
      </c>
      <c r="H1089" s="5" t="s">
        <v>2218</v>
      </c>
      <c r="I1089" s="7">
        <v>1108700</v>
      </c>
      <c r="J1089" s="8">
        <v>3.8700000000000012E-2</v>
      </c>
    </row>
    <row r="1090" spans="1:10" x14ac:dyDescent="0.25">
      <c r="A1090" s="5" t="s">
        <v>2206</v>
      </c>
      <c r="B1090" s="5" t="s">
        <v>2219</v>
      </c>
      <c r="C1090" s="6" t="str">
        <f>_xll.QS.CONTEXT.CREATE("market.1088",A1090,"USD","SOFR")</f>
        <v>QSObject:PricingContext:w1~market.1088:1851</v>
      </c>
      <c r="D1090" s="6" t="str">
        <f>_xll.QS.CONTEXT.ADD.CURVE(C1090,"SOFR",$K$2:$K$7,$L$2:$L$7,,,"Actual360","LogLinear",TRUE)</f>
        <v>QSObject:ContextInput:w1~input.qs_context_add_curve.2359132437744.1089.3.0:14548</v>
      </c>
      <c r="E1090" s="6" t="str">
        <f>_xll.QS.INSTRUMENT.SWAP("swap.1088",H1090,B1090,"USD","SOFR",I1090,J1090,0,"Actual360","Simple","Annual","Annual","Annual")</f>
        <v>QSObject:Swap:w1~swap.1088:16236</v>
      </c>
      <c r="F1090" s="6" t="str">
        <f>_xll.QS.TRADE.CREATE("trade.1088",E1090,A1090,"Receive")</f>
        <v>QSObject:SwapTrade:w1~trade.1088:26526</v>
      </c>
      <c r="G1090" s="3">
        <f>_xll.QS.EVALUATE(C1090,F1090)</f>
        <v>34763.646243826166</v>
      </c>
      <c r="H1090" s="5" t="s">
        <v>2220</v>
      </c>
      <c r="I1090" s="7">
        <v>1108800</v>
      </c>
      <c r="J1090" s="8">
        <v>3.8800000000000001E-2</v>
      </c>
    </row>
    <row r="1091" spans="1:10" x14ac:dyDescent="0.25">
      <c r="A1091" s="5" t="s">
        <v>2208</v>
      </c>
      <c r="B1091" s="5" t="s">
        <v>2221</v>
      </c>
      <c r="C1091" s="6" t="str">
        <f>_xll.QS.CONTEXT.CREATE("market.1089",A1091,"USD","SOFR")</f>
        <v>QSObject:PricingContext:w1~market.1089:4950</v>
      </c>
      <c r="D1091" s="6" t="str">
        <f>_xll.QS.CONTEXT.ADD.CURVE(C1091,"SOFR",$K$2:$K$7,$L$2:$L$7,,,"Actual360","LogLinear",TRUE)</f>
        <v>QSObject:ContextInput:w1~input.qs_context_add_curve.2359132437744.1090.3.0:18218</v>
      </c>
      <c r="E1091" s="6" t="str">
        <f>_xll.QS.INSTRUMENT.SWAP("swap.1089",H1091,B1091,"USD","SOFR",I1091,J1091,0,"Actual360","Simple","Annual","Annual","Annual")</f>
        <v>QSObject:Swap:w1~swap.1089:17244</v>
      </c>
      <c r="F1091" s="6" t="str">
        <f>_xll.QS.TRADE.CREATE("trade.1089",E1091,A1091,"Receive")</f>
        <v>QSObject:SwapTrade:w1~trade.1089:19897</v>
      </c>
      <c r="G1091" s="3">
        <f>_xll.QS.EVALUATE(C1091,F1091)</f>
        <v>35141.996746068064</v>
      </c>
      <c r="H1091" s="5" t="s">
        <v>2222</v>
      </c>
      <c r="I1091" s="7">
        <v>1108900</v>
      </c>
      <c r="J1091" s="8">
        <v>3.8899999999999997E-2</v>
      </c>
    </row>
    <row r="1092" spans="1:10" x14ac:dyDescent="0.25">
      <c r="A1092" s="5" t="s">
        <v>2210</v>
      </c>
      <c r="B1092" s="5" t="s">
        <v>2223</v>
      </c>
      <c r="C1092" s="6" t="str">
        <f>_xll.QS.CONTEXT.CREATE("market.1090",A1092,"USD","SOFR")</f>
        <v>QSObject:PricingContext:w1~market.1090:9747</v>
      </c>
      <c r="D1092" s="6" t="str">
        <f>_xll.QS.CONTEXT.ADD.CURVE(C1092,"SOFR",$K$2:$K$7,$L$2:$L$7,,,"Actual360","LogLinear",TRUE)</f>
        <v>QSObject:ContextInput:w1~input.qs_context_add_curve.2359132437744.1091.3.0:30402</v>
      </c>
      <c r="E1092" s="6" t="str">
        <f>_xll.QS.INSTRUMENT.SWAP("swap.1090",H1092,B1092,"USD","SOFR",I1092,J1092,0,"Actual360","Simple","Annual","Annual","Annual")</f>
        <v>QSObject:Swap:w1~swap.1090:6554</v>
      </c>
      <c r="F1092" s="6" t="str">
        <f>_xll.QS.TRADE.CREATE("trade.1090",E1092,A1092,"Receive")</f>
        <v>QSObject:SwapTrade:w1~trade.1090:12911</v>
      </c>
      <c r="G1092" s="3">
        <f>_xll.QS.EVALUATE(C1092,F1092)</f>
        <v>35658.946158746236</v>
      </c>
      <c r="H1092" s="5" t="s">
        <v>2224</v>
      </c>
      <c r="I1092" s="7">
        <v>1109000</v>
      </c>
      <c r="J1092" s="8">
        <v>3.9000000000000007E-2</v>
      </c>
    </row>
    <row r="1093" spans="1:10" x14ac:dyDescent="0.25">
      <c r="A1093" s="5" t="s">
        <v>2212</v>
      </c>
      <c r="B1093" s="5" t="s">
        <v>2225</v>
      </c>
      <c r="C1093" s="6" t="str">
        <f>_xll.QS.CONTEXT.CREATE("market.1091",A1093,"USD","SOFR")</f>
        <v>QSObject:PricingContext:w1~market.1091:3395</v>
      </c>
      <c r="D1093" s="6" t="str">
        <f>_xll.QS.CONTEXT.ADD.CURVE(C1093,"SOFR",$K$2:$K$7,$L$2:$L$7,,,"Actual360","LogLinear",TRUE)</f>
        <v>QSObject:ContextInput:w1~input.qs_context_add_curve.2359132437744.1092.3.0:14547</v>
      </c>
      <c r="E1093" s="6" t="str">
        <f>_xll.QS.INSTRUMENT.SWAP("swap.1091",H1093,B1093,"USD","SOFR",I1093,J1093,0,"Actual360","Simple","Annual","Annual","Annual")</f>
        <v>QSObject:Swap:w1~swap.1091:1850</v>
      </c>
      <c r="F1093" s="6" t="str">
        <f>_xll.QS.TRADE.CREATE("trade.1091",E1093,A1093,"Receive")</f>
        <v>QSObject:SwapTrade:w1~trade.1091:18217</v>
      </c>
      <c r="G1093" s="3">
        <f>_xll.QS.EVALUATE(C1093,F1093)</f>
        <v>36103.294424256717</v>
      </c>
      <c r="H1093" s="5" t="s">
        <v>2226</v>
      </c>
      <c r="I1093" s="7">
        <v>1109100</v>
      </c>
      <c r="J1093" s="8">
        <v>3.9100000000000003E-2</v>
      </c>
    </row>
    <row r="1094" spans="1:10" x14ac:dyDescent="0.25">
      <c r="A1094" s="5" t="s">
        <v>2214</v>
      </c>
      <c r="B1094" s="5" t="s">
        <v>2227</v>
      </c>
      <c r="C1094" s="6" t="str">
        <f>_xll.QS.CONTEXT.CREATE("market.1092",A1094,"USD","SOFR")</f>
        <v>QSObject:PricingContext:w1~market.1092:19896</v>
      </c>
      <c r="D1094" s="6" t="str">
        <f>_xll.QS.CONTEXT.ADD.CURVE(C1094,"SOFR",$K$2:$K$7,$L$2:$L$7,,,"Actual360","LogLinear",TRUE)</f>
        <v>QSObject:ContextInput:w1~input.qs_context_add_curve.2359132437744.1093.3.0:39118</v>
      </c>
      <c r="E1094" s="6" t="str">
        <f>_xll.QS.INSTRUMENT.SWAP("swap.1092",H1094,B1094,"USD","SOFR",I1094,J1094,0,"Actual360","Simple","Annual","Annual","Annual")</f>
        <v>QSObject:Swap:w1~swap.1092:17243</v>
      </c>
      <c r="F1094" s="6" t="str">
        <f>_xll.QS.TRADE.CREATE("trade.1092",E1094,A1094,"Receive")</f>
        <v>QSObject:SwapTrade:w1~trade.1092:30401</v>
      </c>
      <c r="G1094" s="3">
        <f>_xll.QS.EVALUATE(C1094,F1094)</f>
        <v>36706.527160239202</v>
      </c>
      <c r="H1094" s="5" t="s">
        <v>2228</v>
      </c>
      <c r="I1094" s="7">
        <v>1109200</v>
      </c>
      <c r="J1094" s="8">
        <v>3.9200000000000013E-2</v>
      </c>
    </row>
    <row r="1095" spans="1:10" x14ac:dyDescent="0.25">
      <c r="A1095" s="5" t="s">
        <v>2216</v>
      </c>
      <c r="B1095" s="5" t="s">
        <v>2229</v>
      </c>
      <c r="C1095" s="6" t="str">
        <f>_xll.QS.CONTEXT.CREATE("market.1093",A1095,"USD","SOFR")</f>
        <v>QSObject:PricingContext:w1~market.1093:8149</v>
      </c>
      <c r="D1095" s="6" t="str">
        <f>_xll.QS.CONTEXT.ADD.CURVE(C1095,"SOFR",$K$2:$K$7,$L$2:$L$7,,,"Actual360","LogLinear",TRUE)</f>
        <v>QSObject:ContextInput:w1~input.qs_context_add_curve.2359132437744.1094.3.0:9746</v>
      </c>
      <c r="E1095" s="6" t="str">
        <f>_xll.QS.INSTRUMENT.SWAP("swap.1093",H1095,B1095,"USD","SOFR",I1095,J1095,0,"Actual360","Simple","Annual","Annual","Annual")</f>
        <v>QSObject:Swap:w1~swap.1093:16235</v>
      </c>
      <c r="F1095" s="6" t="str">
        <f>_xll.QS.TRADE.CREATE("trade.1093",E1095,A1095,"Receive")</f>
        <v>QSObject:SwapTrade:w1~trade.1093:23478</v>
      </c>
      <c r="G1095" s="3">
        <f>_xll.QS.EVALUATE(C1095,F1095)</f>
        <v>37327.320140844706</v>
      </c>
      <c r="H1095" s="5" t="s">
        <v>2230</v>
      </c>
      <c r="I1095" s="7">
        <v>1109300</v>
      </c>
      <c r="J1095" s="8">
        <v>3.9300000000000002E-2</v>
      </c>
    </row>
    <row r="1096" spans="1:10" x14ac:dyDescent="0.25">
      <c r="A1096" s="5" t="s">
        <v>2218</v>
      </c>
      <c r="B1096" s="5" t="s">
        <v>2231</v>
      </c>
      <c r="C1096" s="6" t="str">
        <f>_xll.QS.CONTEXT.CREATE("market.1094",A1096,"USD","SOFR")</f>
        <v>QSObject:PricingContext:w1~market.1094:3394</v>
      </c>
      <c r="D1096" s="6" t="str">
        <f>_xll.QS.CONTEXT.ADD.CURVE(C1096,"SOFR",$K$2:$K$7,$L$2:$L$7,,,"Actual360","LogLinear",TRUE)</f>
        <v>QSObject:ContextInput:w1~input.qs_context_add_curve.2359132437744.1095.3.0:14546</v>
      </c>
      <c r="E1096" s="6" t="str">
        <f>_xll.QS.INSTRUMENT.SWAP("swap.1094",H1096,B1096,"USD","SOFR",I1096,J1096,0,"Actual360","Simple","Annual","Annual","Annual")</f>
        <v>QSObject:Swap:w1~swap.1094:12910</v>
      </c>
      <c r="F1096" s="6" t="str">
        <f>_xll.QS.TRADE.CREATE("trade.1094",E1096,A1096,"Receive")</f>
        <v>QSObject:SwapTrade:w1~trade.1094:18216</v>
      </c>
      <c r="G1096" s="3">
        <f>_xll.QS.EVALUATE(C1096,F1096)</f>
        <v>37853.433215725105</v>
      </c>
      <c r="H1096" s="5" t="s">
        <v>2232</v>
      </c>
      <c r="I1096" s="7">
        <v>1109400</v>
      </c>
      <c r="J1096" s="8">
        <v>3.9399999999999998E-2</v>
      </c>
    </row>
    <row r="1097" spans="1:10" x14ac:dyDescent="0.25">
      <c r="A1097" s="5" t="s">
        <v>2220</v>
      </c>
      <c r="B1097" s="5" t="s">
        <v>2233</v>
      </c>
      <c r="C1097" s="6" t="str">
        <f>_xll.QS.CONTEXT.CREATE("market.1095",A1097,"USD","SOFR")</f>
        <v>QSObject:PricingContext:w1~market.1095:17242</v>
      </c>
      <c r="D1097" s="6" t="str">
        <f>_xll.QS.CONTEXT.ADD.CURVE(C1097,"SOFR",$K$2:$K$7,$L$2:$L$7,,,"Actual360","LogLinear",TRUE)</f>
        <v>QSObject:ContextInput:w1~input.qs_context_add_curve.2359132437744.1096.3.0:39117</v>
      </c>
      <c r="E1097" s="6" t="str">
        <f>_xll.QS.INSTRUMENT.SWAP("swap.1095",H1097,B1097,"USD","SOFR",I1097,J1097,0,"Actual360","Simple","Annual","Annual","Annual")</f>
        <v>QSObject:Swap:w1~swap.1095:11395</v>
      </c>
      <c r="F1097" s="6" t="str">
        <f>_xll.QS.TRADE.CREATE("trade.1095",E1097,A1097,"Receive")</f>
        <v>QSObject:SwapTrade:w1~trade.1095:25028</v>
      </c>
      <c r="G1097" s="3">
        <f>_xll.QS.EVALUATE(C1097,F1097)</f>
        <v>38366.532826158247</v>
      </c>
      <c r="H1097" s="5" t="s">
        <v>2234</v>
      </c>
      <c r="I1097" s="7">
        <v>1109500</v>
      </c>
      <c r="J1097" s="8">
        <v>3.9500000000000007E-2</v>
      </c>
    </row>
    <row r="1098" spans="1:10" x14ac:dyDescent="0.25">
      <c r="A1098" s="5" t="s">
        <v>2222</v>
      </c>
      <c r="B1098" s="5" t="s">
        <v>2235</v>
      </c>
      <c r="C1098" s="6" t="str">
        <f>_xll.QS.CONTEXT.CREATE("market.1096",A1098,"USD","SOFR")</f>
        <v>QSObject:PricingContext:w1~market.1096:8148</v>
      </c>
      <c r="D1098" s="6" t="str">
        <f>_xll.QS.CONTEXT.ADD.CURVE(C1098,"SOFR",$K$2:$K$7,$L$2:$L$7,,,"Actual360","LogLinear",TRUE)</f>
        <v>QSObject:ContextInput:w1~input.qs_context_add_curve.2359132437744.1097.3.0:9745</v>
      </c>
      <c r="E1098" s="6" t="str">
        <f>_xll.QS.INSTRUMENT.SWAP("swap.1096",H1098,B1098,"USD","SOFR",I1098,J1098,0,"Actual360","Simple","Annual","Annual","Annual")</f>
        <v>QSObject:Swap:w1~swap.1096:4949</v>
      </c>
      <c r="F1098" s="6" t="str">
        <f>_xll.QS.TRADE.CREATE("trade.1096",E1098,A1098,"Receive")</f>
        <v>QSObject:SwapTrade:w1~trade.1096:19895</v>
      </c>
      <c r="G1098" s="3">
        <f>_xll.QS.EVALUATE(C1098,F1098)</f>
        <v>38837.490258183898</v>
      </c>
      <c r="H1098" s="5" t="s">
        <v>2236</v>
      </c>
      <c r="I1098" s="7">
        <v>1109600</v>
      </c>
      <c r="J1098" s="8">
        <v>3.9600000000000003E-2</v>
      </c>
    </row>
    <row r="1099" spans="1:10" x14ac:dyDescent="0.25">
      <c r="A1099" s="5" t="s">
        <v>2224</v>
      </c>
      <c r="B1099" s="5" t="s">
        <v>2237</v>
      </c>
      <c r="C1099" s="6" t="str">
        <f>_xll.QS.CONTEXT.CREATE("market.1097",A1099,"USD","SOFR")</f>
        <v>QSObject:PricingContext:w1~market.1097:12909</v>
      </c>
      <c r="D1099" s="6" t="str">
        <f>_xll.QS.CONTEXT.ADD.CURVE(C1099,"SOFR",$K$2:$K$7,$L$2:$L$7,,,"Actual360","LogLinear",TRUE)</f>
        <v>QSObject:ContextInput:w1~input.qs_context_add_curve.2359132437744.1098.3.0:27009</v>
      </c>
      <c r="E1099" s="6" t="str">
        <f>_xll.QS.INSTRUMENT.SWAP("swap.1097",H1099,B1099,"USD","SOFR",I1099,J1099,0,"Actual360","Simple","Annual","Annual","Annual")</f>
        <v>QSObject:Swap:w1~swap.1097:16234</v>
      </c>
      <c r="F1099" s="6" t="str">
        <f>_xll.QS.TRADE.CREATE("trade.1097",E1099,A1099,"Receive")</f>
        <v>QSObject:SwapTrade:w1~trade.1097:24216</v>
      </c>
      <c r="G1099" s="3">
        <f>_xll.QS.EVALUATE(C1099,F1099)</f>
        <v>39259.607259978315</v>
      </c>
      <c r="H1099" s="5" t="s">
        <v>2238</v>
      </c>
      <c r="I1099" s="7">
        <v>1109700</v>
      </c>
      <c r="J1099" s="8">
        <v>3.9700000000000013E-2</v>
      </c>
    </row>
    <row r="1100" spans="1:10" x14ac:dyDescent="0.25">
      <c r="A1100" s="5" t="s">
        <v>2226</v>
      </c>
      <c r="B1100" s="5" t="s">
        <v>2239</v>
      </c>
      <c r="C1100" s="6" t="str">
        <f>_xll.QS.CONTEXT.CREATE("market.1098",A1100,"USD","SOFR")</f>
        <v>QSObject:PricingContext:w1~market.1098:1849</v>
      </c>
      <c r="D1100" s="6" t="str">
        <f>_xll.QS.CONTEXT.ADD.CURVE(C1100,"SOFR",$K$2:$K$7,$L$2:$L$7,,,"Actual360","LogLinear",TRUE)</f>
        <v>QSObject:ContextInput:w1~input.qs_context_add_curve.2359132437744.1099.3.0:18215</v>
      </c>
      <c r="E1100" s="6" t="str">
        <f>_xll.QS.INSTRUMENT.SWAP("swap.1098",H1100,B1100,"USD","SOFR",I1100,J1100,0,"Actual360","Simple","Annual","Annual","Annual")</f>
        <v>QSObject:Swap:w1~swap.1098:17241</v>
      </c>
      <c r="F1100" s="6" t="str">
        <f>_xll.QS.TRADE.CREATE("trade.1098",E1100,A1100,"Receive")</f>
        <v>QSObject:SwapTrade:w1~trade.1098:26525</v>
      </c>
      <c r="G1100" s="3">
        <f>_xll.QS.EVALUATE(C1100,F1100)</f>
        <v>39710.055638303005</v>
      </c>
      <c r="H1100" s="5" t="s">
        <v>2240</v>
      </c>
      <c r="I1100" s="7">
        <v>1109800</v>
      </c>
      <c r="J1100" s="8">
        <v>3.9800000000000002E-2</v>
      </c>
    </row>
    <row r="1101" spans="1:10" x14ac:dyDescent="0.25">
      <c r="A1101" s="5" t="s">
        <v>2228</v>
      </c>
      <c r="B1101" s="5" t="s">
        <v>2241</v>
      </c>
      <c r="C1101" s="6" t="str">
        <f>_xll.QS.CONTEXT.CREATE("market.1099",A1101,"USD","SOFR")</f>
        <v>QSObject:PricingContext:w1~market.1099:8147</v>
      </c>
      <c r="D1101" s="6" t="str">
        <f>_xll.QS.CONTEXT.ADD.CURVE(C1101,"SOFR",$K$2:$K$7,$L$2:$L$7,,,"Actual360","LogLinear",TRUE)</f>
        <v>QSObject:ContextInput:w1~input.qs_context_add_curve.2359132437744.1100.3.0:9744</v>
      </c>
      <c r="E1101" s="6" t="str">
        <f>_xll.QS.INSTRUMENT.SWAP("swap.1099",H1101,B1101,"USD","SOFR",I1101,J1101,0,"Actual360","Simple","Annual","Annual","Annual")</f>
        <v>QSObject:Swap:w1~swap.1099:6553</v>
      </c>
      <c r="F1101" s="6" t="str">
        <f>_xll.QS.TRADE.CREATE("trade.1099",E1101,A1101,"Receive")</f>
        <v>QSObject:SwapTrade:w1~trade.1099:19894</v>
      </c>
      <c r="G1101" s="3">
        <f>_xll.QS.EVALUATE(C1101,F1101)</f>
        <v>40273.595000364658</v>
      </c>
      <c r="H1101" s="5" t="s">
        <v>2242</v>
      </c>
      <c r="I1101" s="7">
        <v>1109900</v>
      </c>
      <c r="J1101" s="8">
        <v>3.9899999999999998E-2</v>
      </c>
    </row>
    <row r="1102" spans="1:10" x14ac:dyDescent="0.25">
      <c r="A1102" s="5" t="s">
        <v>2230</v>
      </c>
      <c r="B1102" s="5" t="s">
        <v>2243</v>
      </c>
      <c r="C1102" s="6" t="str">
        <f>_xll.QS.CONTEXT.CREATE("market.1100",A1102,"USD","SOFR")</f>
        <v>QSObject:PricingContext:w1~market.1100:4948</v>
      </c>
      <c r="D1102" s="6" t="str">
        <f>_xll.QS.CONTEXT.ADD.CURVE(C1102,"SOFR",$K$2:$K$7,$L$2:$L$7,,,"Actual360","LogLinear",TRUE)</f>
        <v>QSObject:ContextInput:w1~input.qs_context_add_curve.2359132437744.1101.3.0:12908</v>
      </c>
      <c r="E1102" s="6" t="str">
        <f>_xll.QS.INSTRUMENT.SWAP("swap.1100",H1102,B1102,"USD","SOFR",I1102,J1102,0,"Actual360","Simple","Annual","Annual","Annual")</f>
        <v>QSObject:Swap:w1~swap.1100:3393</v>
      </c>
      <c r="F1102" s="6" t="str">
        <f>_xll.QS.TRADE.CREATE("trade.1100",E1102,A1102,"Receive")</f>
        <v>QSObject:SwapTrade:w1~trade.1100:16233</v>
      </c>
      <c r="G1102" s="3">
        <f>_xll.QS.EVALUATE(C1102,F1102)</f>
        <v>15219.113156444182</v>
      </c>
      <c r="H1102" s="5" t="s">
        <v>2244</v>
      </c>
      <c r="I1102" s="7">
        <v>1110000</v>
      </c>
      <c r="J1102" s="8">
        <v>3.5000000000000003E-2</v>
      </c>
    </row>
    <row r="1103" spans="1:10" x14ac:dyDescent="0.25">
      <c r="A1103" s="5" t="s">
        <v>2232</v>
      </c>
      <c r="B1103" s="5" t="s">
        <v>2245</v>
      </c>
      <c r="C1103" s="6" t="str">
        <f>_xll.QS.CONTEXT.CREATE("market.1101",A1103,"USD","SOFR")</f>
        <v>QSObject:PricingContext:w1~market.1101:18214</v>
      </c>
      <c r="D1103" s="6" t="str">
        <f>_xll.QS.CONTEXT.ADD.CURVE(C1103,"SOFR",$K$2:$K$7,$L$2:$L$7,,,"Actual360","LogLinear",TRUE)</f>
        <v>QSObject:ContextInput:w1~input.qs_context_add_curve.2359132437744.1102.3.0:39116</v>
      </c>
      <c r="E1103" s="6" t="str">
        <f>_xll.QS.INSTRUMENT.SWAP("swap.1101",H1103,B1103,"USD","SOFR",I1103,J1103,0,"Actual360","Simple","Annual","Annual","Annual")</f>
        <v>QSObject:Swap:w1~swap.1101:1848</v>
      </c>
      <c r="F1103" s="6" t="str">
        <f>_xll.QS.TRADE.CREATE("trade.1101",E1103,A1103,"Receive")</f>
        <v>QSObject:SwapTrade:w1~trade.1101:11394</v>
      </c>
      <c r="G1103" s="3">
        <f>_xll.QS.EVALUATE(C1103,F1103)</f>
        <v>15813.216440431406</v>
      </c>
      <c r="H1103" s="5" t="s">
        <v>2246</v>
      </c>
      <c r="I1103" s="7">
        <v>1110100</v>
      </c>
      <c r="J1103" s="8">
        <v>3.5100000000000013E-2</v>
      </c>
    </row>
    <row r="1104" spans="1:10" x14ac:dyDescent="0.25">
      <c r="A1104" s="5" t="s">
        <v>2234</v>
      </c>
      <c r="B1104" s="5" t="s">
        <v>2247</v>
      </c>
      <c r="C1104" s="6" t="str">
        <f>_xll.QS.CONTEXT.CREATE("market.1102",A1104,"USD","SOFR")</f>
        <v>QSObject:PricingContext:w1~market.1102:9743</v>
      </c>
      <c r="D1104" s="6" t="str">
        <f>_xll.QS.CONTEXT.ADD.CURVE(C1104,"SOFR",$K$2:$K$7,$L$2:$L$7,,,"Actual360","LogLinear",TRUE)</f>
        <v>QSObject:ContextInput:w1~input.qs_context_add_curve.2359132437744.1103.3.0:39115</v>
      </c>
      <c r="E1104" s="6" t="str">
        <f>_xll.QS.INSTRUMENT.SWAP("swap.1102",H1104,B1104,"USD","SOFR",I1104,J1104,0,"Actual360","Simple","Annual","Annual","Annual")</f>
        <v>QSObject:Swap:w1~swap.1102:14545</v>
      </c>
      <c r="F1104" s="6" t="str">
        <f>_xll.QS.TRADE.CREATE("trade.1102",E1104,A1104,"Receive")</f>
        <v>QSObject:SwapTrade:w1~trade.1102:19893</v>
      </c>
      <c r="G1104" s="3">
        <f>_xll.QS.EVALUATE(C1104,F1104)</f>
        <v>16374.925816290102</v>
      </c>
      <c r="H1104" s="5" t="s">
        <v>2248</v>
      </c>
      <c r="I1104" s="7">
        <v>1110200</v>
      </c>
      <c r="J1104" s="8">
        <v>3.5200000000000002E-2</v>
      </c>
    </row>
    <row r="1105" spans="1:10" x14ac:dyDescent="0.25">
      <c r="A1105" s="5" t="s">
        <v>2236</v>
      </c>
      <c r="B1105" s="5" t="s">
        <v>2249</v>
      </c>
      <c r="C1105" s="6" t="str">
        <f>_xll.QS.CONTEXT.CREATE("market.1103",A1105,"USD","SOFR")</f>
        <v>QSObject:PricingContext:w1~market.1103:12907</v>
      </c>
      <c r="D1105" s="6" t="str">
        <f>_xll.QS.CONTEXT.ADD.CURVE(C1105,"SOFR",$K$2:$K$7,$L$2:$L$7,,,"Actual360","LogLinear",TRUE)</f>
        <v>QSObject:ContextInput:w1~input.qs_context_add_curve.2359132437744.1104.3.0:39114</v>
      </c>
      <c r="E1105" s="6" t="str">
        <f>_xll.QS.INSTRUMENT.SWAP("swap.1103",H1105,B1105,"USD","SOFR",I1105,J1105,0,"Actual360","Simple","Annual","Annual","Annual")</f>
        <v>QSObject:Swap:w1~swap.1103:6552</v>
      </c>
      <c r="F1105" s="6" t="str">
        <f>_xll.QS.TRADE.CREATE("trade.1103",E1105,A1105,"Receive")</f>
        <v>QSObject:SwapTrade:w1~trade.1103:29649</v>
      </c>
      <c r="G1105" s="3">
        <f>_xll.QS.EVALUATE(C1105,F1105)</f>
        <v>16845.482136532915</v>
      </c>
      <c r="H1105" s="5" t="s">
        <v>2250</v>
      </c>
      <c r="I1105" s="7">
        <v>1110300</v>
      </c>
      <c r="J1105" s="8">
        <v>3.5299999999999998E-2</v>
      </c>
    </row>
    <row r="1106" spans="1:10" x14ac:dyDescent="0.25">
      <c r="A1106" s="5" t="s">
        <v>2238</v>
      </c>
      <c r="B1106" s="5" t="s">
        <v>2251</v>
      </c>
      <c r="C1106" s="6" t="str">
        <f>_xll.QS.CONTEXT.CREATE("market.1104",A1106,"USD","SOFR")</f>
        <v>QSObject:PricingContext:w1~market.1104:16232</v>
      </c>
      <c r="D1106" s="6" t="str">
        <f>_xll.QS.CONTEXT.ADD.CURVE(C1106,"SOFR",$K$2:$K$7,$L$2:$L$7,,,"Actual360","LogLinear",TRUE)</f>
        <v>QSObject:ContextInput:w1~input.qs_context_add_curve.2359132437744.1105.3.0:18213</v>
      </c>
      <c r="E1106" s="6" t="str">
        <f>_xll.QS.INSTRUMENT.SWAP("swap.1104",H1106,B1106,"USD","SOFR",I1106,J1106,0,"Actual360","Simple","Annual","Annual","Annual")</f>
        <v>QSObject:Swap:w1~swap.1104:17240</v>
      </c>
      <c r="F1106" s="6" t="str">
        <f>_xll.QS.TRADE.CREATE("trade.1104",E1106,A1106,"Receive")</f>
        <v>QSObject:SwapTrade:w1~trade.1104:29648</v>
      </c>
      <c r="G1106" s="3">
        <f>_xll.QS.EVALUATE(C1106,F1106)</f>
        <v>17280.169286508943</v>
      </c>
      <c r="H1106" s="5" t="s">
        <v>2252</v>
      </c>
      <c r="I1106" s="7">
        <v>1110400</v>
      </c>
      <c r="J1106" s="8">
        <v>3.5400000000000001E-2</v>
      </c>
    </row>
    <row r="1107" spans="1:10" x14ac:dyDescent="0.25">
      <c r="A1107" s="5" t="s">
        <v>2240</v>
      </c>
      <c r="B1107" s="5" t="s">
        <v>2253</v>
      </c>
      <c r="C1107" s="6" t="str">
        <f>_xll.QS.CONTEXT.CREATE("market.1105",A1107,"USD","SOFR")</f>
        <v>QSObject:PricingContext:w1~market.1105:14544</v>
      </c>
      <c r="D1107" s="6" t="str">
        <f>_xll.QS.CONTEXT.ADD.CURVE(C1107,"SOFR",$K$2:$K$7,$L$2:$L$7,,,"Actual360","LogLinear",TRUE)</f>
        <v>QSObject:ContextInput:w1~input.qs_context_add_curve.2359132437744.1106.3.0:39113</v>
      </c>
      <c r="E1107" s="6" t="str">
        <f>_xll.QS.INSTRUMENT.SWAP("swap.1105",H1107,B1107,"USD","SOFR",I1107,J1107,0,"Actual360","Simple","Annual","Annual","Annual")</f>
        <v>QSObject:Swap:w1~swap.1105:11393</v>
      </c>
      <c r="F1107" s="6" t="str">
        <f>_xll.QS.TRADE.CREATE("trade.1105",E1107,A1107,"Receive")</f>
        <v>QSObject:SwapTrade:w1~trade.1105:29647</v>
      </c>
      <c r="G1107" s="3">
        <f>_xll.QS.EVALUATE(C1107,F1107)</f>
        <v>17661.247396865012</v>
      </c>
      <c r="H1107" s="5" t="s">
        <v>2254</v>
      </c>
      <c r="I1107" s="7">
        <v>1110500</v>
      </c>
      <c r="J1107" s="8">
        <v>3.5499999999999997E-2</v>
      </c>
    </row>
    <row r="1108" spans="1:10" x14ac:dyDescent="0.25">
      <c r="A1108" s="5" t="s">
        <v>2242</v>
      </c>
      <c r="B1108" s="5" t="s">
        <v>2255</v>
      </c>
      <c r="C1108" s="6" t="str">
        <f>_xll.QS.CONTEXT.CREATE("market.1106",A1108,"USD","SOFR")</f>
        <v>QSObject:PricingContext:w1~market.1106:6551</v>
      </c>
      <c r="D1108" s="6" t="str">
        <f>_xll.QS.CONTEXT.ADD.CURVE(C1108,"SOFR",$K$2:$K$7,$L$2:$L$7,,,"Actual360","LogLinear",TRUE)</f>
        <v>QSObject:ContextInput:w1~input.qs_context_add_curve.2359132437744.1107.3.0:12906</v>
      </c>
      <c r="E1108" s="6" t="str">
        <f>_xll.QS.INSTRUMENT.SWAP("swap.1106",H1108,B1108,"USD","SOFR",I1108,J1108,0,"Actual360","Simple","Annual","Annual","Annual")</f>
        <v>QSObject:Swap:w1~swap.1106:19892</v>
      </c>
      <c r="F1108" s="6" t="str">
        <f>_xll.QS.TRADE.CREATE("trade.1106",E1108,A1108,"Receive")</f>
        <v>QSObject:SwapTrade:w1~trade.1106:29646</v>
      </c>
      <c r="G1108" s="3">
        <f>_xll.QS.EVALUATE(C1108,F1108)</f>
        <v>18221.362571359976</v>
      </c>
      <c r="H1108" s="5" t="s">
        <v>2256</v>
      </c>
      <c r="I1108" s="7">
        <v>1110600</v>
      </c>
      <c r="J1108" s="8">
        <v>3.5600000000000007E-2</v>
      </c>
    </row>
    <row r="1109" spans="1:10" x14ac:dyDescent="0.25">
      <c r="A1109" s="5" t="s">
        <v>2244</v>
      </c>
      <c r="B1109" s="5" t="s">
        <v>2257</v>
      </c>
      <c r="C1109" s="6" t="str">
        <f>_xll.QS.CONTEXT.CREATE("market.1107",A1109,"USD","SOFR")</f>
        <v>QSObject:PricingContext:w1~market.1107:18212</v>
      </c>
      <c r="D1109" s="6" t="str">
        <f>_xll.QS.CONTEXT.ADD.CURVE(C1109,"SOFR",$K$2:$K$7,$L$2:$L$7,,,"Actual360","LogLinear",TRUE)</f>
        <v>QSObject:ContextInput:w1~input.qs_context_add_curve.2359132437744.1108.3.0:39112</v>
      </c>
      <c r="E1109" s="6" t="str">
        <f>_xll.QS.INSTRUMENT.SWAP("swap.1107",H1109,B1109,"USD","SOFR",I1109,J1109,0,"Actual360","Simple","Annual","Annual","Annual")</f>
        <v>QSObject:Swap:w1~swap.1107:3392</v>
      </c>
      <c r="F1109" s="6" t="str">
        <f>_xll.QS.TRADE.CREATE("trade.1107",E1109,A1109,"Receive")</f>
        <v>QSObject:SwapTrade:w1~trade.1107:8146</v>
      </c>
      <c r="G1109" s="3">
        <f>_xll.QS.EVALUATE(C1109,F1109)</f>
        <v>18781.559909359763</v>
      </c>
      <c r="H1109" s="5" t="s">
        <v>2258</v>
      </c>
      <c r="I1109" s="7">
        <v>1110700</v>
      </c>
      <c r="J1109" s="8">
        <v>3.5700000000000003E-2</v>
      </c>
    </row>
    <row r="1110" spans="1:10" x14ac:dyDescent="0.25">
      <c r="A1110" s="5" t="s">
        <v>2246</v>
      </c>
      <c r="B1110" s="5" t="s">
        <v>2259</v>
      </c>
      <c r="C1110" s="6" t="str">
        <f>_xll.QS.CONTEXT.CREATE("market.1108",A1110,"USD","SOFR")</f>
        <v>QSObject:PricingContext:w1~market.1108:1847</v>
      </c>
      <c r="D1110" s="6" t="str">
        <f>_xll.QS.CONTEXT.ADD.CURVE(C1110,"SOFR",$K$2:$K$7,$L$2:$L$7,,,"Actual360","LogLinear",TRUE)</f>
        <v>QSObject:ContextInput:w1~input.qs_context_add_curve.2359132437744.1109.3.0:14543</v>
      </c>
      <c r="E1110" s="6" t="str">
        <f>_xll.QS.INSTRUMENT.SWAP("swap.1108",H1110,B1110,"USD","SOFR",I1110,J1110,0,"Actual360","Simple","Annual","Annual","Annual")</f>
        <v>QSObject:Swap:w1~swap.1108:17239</v>
      </c>
      <c r="F1110" s="6" t="str">
        <f>_xll.QS.TRADE.CREATE("trade.1108",E1110,A1110,"Receive")</f>
        <v>QSObject:SwapTrade:w1~trade.1108:29645</v>
      </c>
      <c r="G1110" s="3">
        <f>_xll.QS.EVALUATE(C1110,F1110)</f>
        <v>19449.936305101979</v>
      </c>
      <c r="H1110" s="5" t="s">
        <v>2260</v>
      </c>
      <c r="I1110" s="7">
        <v>1110800</v>
      </c>
      <c r="J1110" s="8">
        <v>3.5800000000000012E-2</v>
      </c>
    </row>
    <row r="1111" spans="1:10" x14ac:dyDescent="0.25">
      <c r="A1111" s="5" t="s">
        <v>2248</v>
      </c>
      <c r="B1111" s="5" t="s">
        <v>2261</v>
      </c>
      <c r="C1111" s="6" t="str">
        <f>_xll.QS.CONTEXT.CREATE("market.1109",A1111,"USD","SOFR")</f>
        <v>QSObject:PricingContext:w1~market.1109:6550</v>
      </c>
      <c r="D1111" s="6" t="str">
        <f>_xll.QS.CONTEXT.ADD.CURVE(C1111,"SOFR",$K$2:$K$7,$L$2:$L$7,,,"Actual360","LogLinear",TRUE)</f>
        <v>QSObject:ContextInput:w1~input.qs_context_add_curve.2359132437744.1110.3.0:11392</v>
      </c>
      <c r="E1111" s="6" t="str">
        <f>_xll.QS.INSTRUMENT.SWAP("swap.1109",H1111,B1111,"USD","SOFR",I1111,J1111,0,"Actual360","Simple","Annual","Annual","Annual")</f>
        <v>QSObject:Swap:w1~swap.1109:12905</v>
      </c>
      <c r="F1111" s="6" t="str">
        <f>_xll.QS.TRADE.CREATE("trade.1109",E1111,A1111,"Receive")</f>
        <v>QSObject:SwapTrade:w1~trade.1109:18211</v>
      </c>
      <c r="G1111" s="3">
        <f>_xll.QS.EVALUATE(C1111,F1111)</f>
        <v>19974.087845391627</v>
      </c>
      <c r="H1111" s="5" t="s">
        <v>2262</v>
      </c>
      <c r="I1111" s="7">
        <v>1110900</v>
      </c>
      <c r="J1111" s="8">
        <v>3.5900000000000001E-2</v>
      </c>
    </row>
    <row r="1112" spans="1:10" x14ac:dyDescent="0.25">
      <c r="A1112" s="5" t="s">
        <v>2250</v>
      </c>
      <c r="B1112" s="5" t="s">
        <v>2263</v>
      </c>
      <c r="C1112" s="6" t="str">
        <f>_xll.QS.CONTEXT.CREATE("market.1110",A1112,"USD","SOFR")</f>
        <v>QSObject:PricingContext:w1~market.1110:4947</v>
      </c>
      <c r="D1112" s="6" t="str">
        <f>_xll.QS.CONTEXT.ADD.CURVE(C1112,"SOFR",$K$2:$K$7,$L$2:$L$7,,,"Actual360","LogLinear",TRUE)</f>
        <v>QSObject:ContextInput:w1~input.qs_context_add_curve.2359132437744.1111.3.0:19891</v>
      </c>
      <c r="E1112" s="6" t="str">
        <f>_xll.QS.INSTRUMENT.SWAP("swap.1110",H1112,B1112,"USD","SOFR",I1112,J1112,0,"Actual360","Simple","Annual","Annual","Annual")</f>
        <v>QSObject:Swap:w1~swap.1110:3391</v>
      </c>
      <c r="F1112" s="6" t="str">
        <f>_xll.QS.TRADE.CREATE("trade.1110",E1112,A1112,"Receive")</f>
        <v>QSObject:SwapTrade:w1~trade.1110:8145</v>
      </c>
      <c r="G1112" s="3">
        <f>_xll.QS.EVALUATE(C1112,F1112)</f>
        <v>20487.601099663079</v>
      </c>
      <c r="H1112" s="5" t="s">
        <v>2264</v>
      </c>
      <c r="I1112" s="7">
        <v>1111000</v>
      </c>
      <c r="J1112" s="8">
        <v>3.5999999999999997E-2</v>
      </c>
    </row>
    <row r="1113" spans="1:10" x14ac:dyDescent="0.25">
      <c r="A1113" s="5" t="s">
        <v>2252</v>
      </c>
      <c r="B1113" s="5" t="s">
        <v>2265</v>
      </c>
      <c r="C1113" s="6" t="str">
        <f>_xll.QS.CONTEXT.CREATE("market.1111",A1113,"USD","SOFR")</f>
        <v>QSObject:PricingContext:w1~market.1111:16231</v>
      </c>
      <c r="D1113" s="6" t="str">
        <f>_xll.QS.CONTEXT.ADD.CURVE(C1113,"SOFR",$K$2:$K$7,$L$2:$L$7,,,"Actual360","LogLinear",TRUE)</f>
        <v>QSObject:ContextInput:w1~input.qs_context_add_curve.2359132437744.1112.3.0:39111</v>
      </c>
      <c r="E1113" s="6" t="str">
        <f>_xll.QS.INSTRUMENT.SWAP("swap.1111",H1113,B1113,"USD","SOFR",I1113,J1113,0,"Actual360","Simple","Annual","Annual","Annual")</f>
        <v>QSObject:Swap:w1~swap.1111:17238</v>
      </c>
      <c r="F1113" s="6" t="str">
        <f>_xll.QS.TRADE.CREATE("trade.1111",E1113,A1113,"Receive")</f>
        <v>QSObject:SwapTrade:w1~trade.1111:26524</v>
      </c>
      <c r="G1113" s="3">
        <f>_xll.QS.EVALUATE(C1113,F1113)</f>
        <v>20930.312037901498</v>
      </c>
      <c r="H1113" s="5" t="s">
        <v>2266</v>
      </c>
      <c r="I1113" s="7">
        <v>1111100</v>
      </c>
      <c r="J1113" s="8">
        <v>3.61E-2</v>
      </c>
    </row>
    <row r="1114" spans="1:10" x14ac:dyDescent="0.25">
      <c r="A1114" s="5" t="s">
        <v>2254</v>
      </c>
      <c r="B1114" s="5" t="s">
        <v>2267</v>
      </c>
      <c r="C1114" s="6" t="str">
        <f>_xll.QS.CONTEXT.CREATE("market.1112",A1114,"USD","SOFR")</f>
        <v>QSObject:PricingContext:w1~market.1112:18210</v>
      </c>
      <c r="D1114" s="6" t="str">
        <f>_xll.QS.CONTEXT.ADD.CURVE(C1114,"SOFR",$K$2:$K$7,$L$2:$L$7,,,"Actual360","LogLinear",TRUE)</f>
        <v>QSObject:ContextInput:w1~input.qs_context_add_curve.2359132437744.1113.3.0:39110</v>
      </c>
      <c r="E1114" s="6" t="str">
        <f>_xll.QS.INSTRUMENT.SWAP("swap.1112",H1114,B1114,"USD","SOFR",I1114,J1114,0,"Actual360","Simple","Annual","Annual","Annual")</f>
        <v>QSObject:Swap:w1~swap.1112:12904</v>
      </c>
      <c r="F1114" s="6" t="str">
        <f>_xll.QS.TRADE.CREATE("trade.1112",E1114,A1114,"Receive")</f>
        <v>QSObject:SwapTrade:w1~trade.1112:26523</v>
      </c>
      <c r="G1114" s="3">
        <f>_xll.QS.EVALUATE(C1114,F1114)</f>
        <v>21350.965583577865</v>
      </c>
      <c r="H1114" s="5" t="s">
        <v>2268</v>
      </c>
      <c r="I1114" s="7">
        <v>1111200</v>
      </c>
      <c r="J1114" s="8">
        <v>3.6200000000000003E-2</v>
      </c>
    </row>
    <row r="1115" spans="1:10" x14ac:dyDescent="0.25">
      <c r="A1115" s="5" t="s">
        <v>2256</v>
      </c>
      <c r="B1115" s="5" t="s">
        <v>2269</v>
      </c>
      <c r="C1115" s="6" t="str">
        <f>_xll.QS.CONTEXT.CREATE("market.1113",A1115,"USD","SOFR")</f>
        <v>QSObject:PricingContext:w1~market.1113:11391</v>
      </c>
      <c r="D1115" s="6" t="str">
        <f>_xll.QS.CONTEXT.ADD.CURVE(C1115,"SOFR",$K$2:$K$7,$L$2:$L$7,,,"Actual360","LogLinear",TRUE)</f>
        <v>QSObject:ContextInput:w1~input.qs_context_add_curve.2359132437744.1114.3.0:19890</v>
      </c>
      <c r="E1115" s="6" t="str">
        <f>_xll.QS.INSTRUMENT.SWAP("swap.1113",H1115,B1115,"USD","SOFR",I1115,J1115,0,"Actual360","Simple","Annual","Annual","Annual")</f>
        <v>QSObject:Swap:w1~swap.1113:3390</v>
      </c>
      <c r="F1115" s="6" t="str">
        <f>_xll.QS.TRADE.CREATE("trade.1113",E1115,A1115,"Receive")</f>
        <v>QSObject:SwapTrade:w1~trade.1113:8144</v>
      </c>
      <c r="G1115" s="3">
        <f>_xll.QS.EVALUATE(C1115,F1115)</f>
        <v>21867.12176122233</v>
      </c>
      <c r="H1115" s="5" t="s">
        <v>2270</v>
      </c>
      <c r="I1115" s="7">
        <v>1111300</v>
      </c>
      <c r="J1115" s="8">
        <v>3.6300000000000013E-2</v>
      </c>
    </row>
    <row r="1116" spans="1:10" x14ac:dyDescent="0.25">
      <c r="A1116" s="5" t="s">
        <v>2258</v>
      </c>
      <c r="B1116" s="5" t="s">
        <v>2271</v>
      </c>
      <c r="C1116" s="6" t="str">
        <f>_xll.QS.CONTEXT.CREATE("market.1114",A1116,"USD","SOFR")</f>
        <v>QSObject:PricingContext:w1~market.1114:17237</v>
      </c>
      <c r="D1116" s="6" t="str">
        <f>_xll.QS.CONTEXT.ADD.CURVE(C1116,"SOFR",$K$2:$K$7,$L$2:$L$7,,,"Actual360","LogLinear",TRUE)</f>
        <v>QSObject:ContextInput:w1~input.qs_context_add_curve.2359132437744.1115.3.0:39109</v>
      </c>
      <c r="E1116" s="6" t="str">
        <f>_xll.QS.INSTRUMENT.SWAP("swap.1114",H1116,B1116,"USD","SOFR",I1116,J1116,0,"Actual360","Simple","Annual","Annual","Annual")</f>
        <v>QSObject:Swap:w1~swap.1114:1846</v>
      </c>
      <c r="F1116" s="6" t="str">
        <f>_xll.QS.TRADE.CREATE("trade.1114",E1116,A1116,"Receive")</f>
        <v>QSObject:SwapTrade:w1~trade.1114:6549</v>
      </c>
      <c r="G1116" s="3">
        <f>_xll.QS.EVALUATE(C1116,F1116)</f>
        <v>22413.338838134649</v>
      </c>
      <c r="H1116" s="5" t="s">
        <v>2272</v>
      </c>
      <c r="I1116" s="7">
        <v>1111400</v>
      </c>
      <c r="J1116" s="8">
        <v>3.6400000000000002E-2</v>
      </c>
    </row>
    <row r="1117" spans="1:10" x14ac:dyDescent="0.25">
      <c r="A1117" s="5" t="s">
        <v>2260</v>
      </c>
      <c r="B1117" s="5" t="s">
        <v>2273</v>
      </c>
      <c r="C1117" s="6" t="str">
        <f>_xll.QS.CONTEXT.CREATE("market.1115",A1117,"USD","SOFR")</f>
        <v>QSObject:PricingContext:w1~market.1115:18209</v>
      </c>
      <c r="D1117" s="6" t="str">
        <f>_xll.QS.CONTEXT.ADD.CURVE(C1117,"SOFR",$K$2:$K$7,$L$2:$L$7,,,"Actual360","LogLinear",TRUE)</f>
        <v>QSObject:ContextInput:w1~input.qs_context_add_curve.2359132437744.1116.3.0:39108</v>
      </c>
      <c r="E1117" s="6" t="str">
        <f>_xll.QS.INSTRUMENT.SWAP("swap.1115",H1117,B1117,"USD","SOFR",I1117,J1117,0,"Actual360","Simple","Annual","Annual","Annual")</f>
        <v>QSObject:Swap:w1~swap.1115:9742</v>
      </c>
      <c r="F1117" s="6" t="str">
        <f>_xll.QS.TRADE.CREATE("trade.1115",E1117,A1117,"Receive")</f>
        <v>QSObject:SwapTrade:w1~trade.1115:12903</v>
      </c>
      <c r="G1117" s="3">
        <f>_xll.QS.EVALUATE(C1117,F1117)</f>
        <v>23009.025161572932</v>
      </c>
      <c r="H1117" s="5" t="s">
        <v>2274</v>
      </c>
      <c r="I1117" s="7">
        <v>1111500</v>
      </c>
      <c r="J1117" s="8">
        <v>3.6499999999999998E-2</v>
      </c>
    </row>
    <row r="1118" spans="1:10" x14ac:dyDescent="0.25">
      <c r="A1118" s="5" t="s">
        <v>2262</v>
      </c>
      <c r="B1118" s="5" t="s">
        <v>2275</v>
      </c>
      <c r="C1118" s="6" t="str">
        <f>_xll.QS.CONTEXT.CREATE("market.1116",A1118,"USD","SOFR")</f>
        <v>QSObject:PricingContext:w1~market.1116:3389</v>
      </c>
      <c r="D1118" s="6" t="str">
        <f>_xll.QS.CONTEXT.ADD.CURVE(C1118,"SOFR",$K$2:$K$7,$L$2:$L$7,,,"Actual360","LogLinear",TRUE)</f>
        <v>QSObject:ContextInput:w1~input.qs_context_add_curve.2359132437744.1117.3.0:19889</v>
      </c>
      <c r="E1118" s="6" t="str">
        <f>_xll.QS.INSTRUMENT.SWAP("swap.1116",H1118,B1118,"USD","SOFR",I1118,J1118,0,"Actual360","Simple","Annual","Annual","Annual")</f>
        <v>QSObject:Swap:w1~swap.1116:11390</v>
      </c>
      <c r="F1118" s="6" t="str">
        <f>_xll.QS.TRADE.CREATE("trade.1116",E1118,A1118,"Receive")</f>
        <v>QSObject:SwapTrade:w1~trade.1116:26522</v>
      </c>
      <c r="G1118" s="3">
        <f>_xll.QS.EVALUATE(C1118,F1118)</f>
        <v>23572.213281213611</v>
      </c>
      <c r="H1118" s="5" t="s">
        <v>2276</v>
      </c>
      <c r="I1118" s="7">
        <v>1111600</v>
      </c>
      <c r="J1118" s="8">
        <v>3.6600000000000001E-2</v>
      </c>
    </row>
    <row r="1119" spans="1:10" x14ac:dyDescent="0.25">
      <c r="A1119" s="5" t="s">
        <v>2264</v>
      </c>
      <c r="B1119" s="5" t="s">
        <v>2277</v>
      </c>
      <c r="C1119" s="6" t="str">
        <f>_xll.QS.CONTEXT.CREATE("market.1117",A1119,"USD","SOFR")</f>
        <v>QSObject:PricingContext:w1~market.1117:17236</v>
      </c>
      <c r="D1119" s="6" t="str">
        <f>_xll.QS.CONTEXT.ADD.CURVE(C1119,"SOFR",$K$2:$K$7,$L$2:$L$7,,,"Actual360","LogLinear",TRUE)</f>
        <v>QSObject:ContextInput:w1~input.qs_context_add_curve.2359132437744.1118.3.0:39107</v>
      </c>
      <c r="E1119" s="6" t="str">
        <f>_xll.QS.INSTRUMENT.SWAP("swap.1117",H1119,B1119,"USD","SOFR",I1119,J1119,0,"Actual360","Simple","Annual","Annual","Annual")</f>
        <v>QSObject:Swap:w1~swap.1117:6548</v>
      </c>
      <c r="F1119" s="6" t="str">
        <f>_xll.QS.TRADE.CREATE("trade.1117",E1119,A1119,"Receive")</f>
        <v>QSObject:SwapTrade:w1~trade.1117:30400</v>
      </c>
      <c r="G1119" s="3">
        <f>_xll.QS.EVALUATE(C1119,F1119)</f>
        <v>24044.187985331813</v>
      </c>
      <c r="H1119" s="5" t="s">
        <v>2278</v>
      </c>
      <c r="I1119" s="7">
        <v>1111700</v>
      </c>
      <c r="J1119" s="8">
        <v>3.6700000000000003E-2</v>
      </c>
    </row>
    <row r="1120" spans="1:10" x14ac:dyDescent="0.25">
      <c r="A1120" s="5" t="s">
        <v>2266</v>
      </c>
      <c r="B1120" s="5" t="s">
        <v>2279</v>
      </c>
      <c r="C1120" s="6" t="str">
        <f>_xll.QS.CONTEXT.CREATE("market.1118",A1120,"USD","SOFR")</f>
        <v>QSObject:PricingContext:w1~market.1118:12902</v>
      </c>
      <c r="D1120" s="6" t="str">
        <f>_xll.QS.CONTEXT.ADD.CURVE(C1120,"SOFR",$K$2:$K$7,$L$2:$L$7,,,"Actual360","LogLinear",TRUE)</f>
        <v>QSObject:ContextInput:w1~input.qs_context_add_curve.2359132437744.1119.3.0:14542</v>
      </c>
      <c r="E1120" s="6" t="str">
        <f>_xll.QS.INSTRUMENT.SWAP("swap.1118",H1120,B1120,"USD","SOFR",I1120,J1120,0,"Actual360","Simple","Annual","Annual","Annual")</f>
        <v>QSObject:Swap:w1~swap.1118:18208</v>
      </c>
      <c r="F1120" s="6" t="str">
        <f>_xll.QS.TRADE.CREATE("trade.1118",E1120,A1120,"Receive")</f>
        <v>QSObject:SwapTrade:w1~trade.1118:30300</v>
      </c>
      <c r="G1120" s="3">
        <f>_xll.QS.EVALUATE(C1120,F1120)</f>
        <v>24530.987385587337</v>
      </c>
      <c r="H1120" s="5" t="s">
        <v>2280</v>
      </c>
      <c r="I1120" s="7">
        <v>1111800</v>
      </c>
      <c r="J1120" s="8">
        <v>3.6800000000000013E-2</v>
      </c>
    </row>
    <row r="1121" spans="1:10" x14ac:dyDescent="0.25">
      <c r="A1121" s="5" t="s">
        <v>2268</v>
      </c>
      <c r="B1121" s="5" t="s">
        <v>2281</v>
      </c>
      <c r="C1121" s="6" t="str">
        <f>_xll.QS.CONTEXT.CREATE("market.1119",A1121,"USD","SOFR")</f>
        <v>QSObject:PricingContext:w1~market.1119:17235</v>
      </c>
      <c r="D1121" s="6" t="str">
        <f>_xll.QS.CONTEXT.ADD.CURVE(C1121,"SOFR",$K$2:$K$7,$L$2:$L$7,,,"Actual360","LogLinear",TRUE)</f>
        <v>QSObject:ContextInput:w1~input.qs_context_add_curve.2359132437744.1120.3.0:31132</v>
      </c>
      <c r="E1121" s="6" t="str">
        <f>_xll.QS.INSTRUMENT.SWAP("swap.1119",H1121,B1121,"USD","SOFR",I1121,J1121,0,"Actual360","Simple","Annual","Annual","Annual")</f>
        <v>QSObject:Swap:w1~swap.1119:16230</v>
      </c>
      <c r="F1121" s="6" t="str">
        <f>_xll.QS.TRADE.CREATE("trade.1119",E1121,A1121,"Receive")</f>
        <v>QSObject:SwapTrade:w1~trade.1119:29644</v>
      </c>
      <c r="G1121" s="3">
        <f>_xll.QS.EVALUATE(C1121,F1121)</f>
        <v>25048.203965152621</v>
      </c>
      <c r="H1121" s="5" t="s">
        <v>2282</v>
      </c>
      <c r="I1121" s="7">
        <v>1111900</v>
      </c>
      <c r="J1121" s="8">
        <v>3.6900000000000002E-2</v>
      </c>
    </row>
    <row r="1122" spans="1:10" x14ac:dyDescent="0.25">
      <c r="A1122" s="5" t="s">
        <v>2270</v>
      </c>
      <c r="B1122" s="5" t="s">
        <v>2283</v>
      </c>
      <c r="C1122" s="6" t="str">
        <f>_xll.QS.CONTEXT.CREATE("market.1120",A1122,"USD","SOFR")</f>
        <v>QSObject:PricingContext:w1~market.1120:1845</v>
      </c>
      <c r="D1122" s="6" t="str">
        <f>_xll.QS.CONTEXT.ADD.CURVE(C1122,"SOFR",$K$2:$K$7,$L$2:$L$7,,,"Actual360","LogLinear",TRUE)</f>
        <v>QSObject:ContextInput:w1~input.qs_context_add_curve.2359132437744.1121.3.0:19888</v>
      </c>
      <c r="E1122" s="6" t="str">
        <f>_xll.QS.INSTRUMENT.SWAP("swap.1120",H1122,B1122,"USD","SOFR",I1122,J1122,0,"Actual360","Simple","Annual","Annual","Annual")</f>
        <v>QSObject:Swap:w1~swap.1120:6547</v>
      </c>
      <c r="F1122" s="6" t="str">
        <f>_xll.QS.TRADE.CREATE("trade.1120",E1122,A1122,"Receive")</f>
        <v>QSObject:SwapTrade:w1~trade.1120:29643</v>
      </c>
      <c r="G1122" s="3">
        <f>_xll.QS.EVALUATE(C1122,F1122)</f>
        <v>25471.994937332925</v>
      </c>
      <c r="H1122" s="5" t="s">
        <v>2284</v>
      </c>
      <c r="I1122" s="7">
        <v>1112000</v>
      </c>
      <c r="J1122" s="8">
        <v>3.7000000000000012E-2</v>
      </c>
    </row>
    <row r="1123" spans="1:10" x14ac:dyDescent="0.25">
      <c r="A1123" s="5" t="s">
        <v>2272</v>
      </c>
      <c r="B1123" s="5" t="s">
        <v>2285</v>
      </c>
      <c r="C1123" s="6" t="str">
        <f>_xll.QS.CONTEXT.CREATE("market.1121",A1123,"USD","SOFR")</f>
        <v>QSObject:PricingContext:w1~market.1121:11389</v>
      </c>
      <c r="D1123" s="6" t="str">
        <f>_xll.QS.CONTEXT.ADD.CURVE(C1123,"SOFR",$K$2:$K$7,$L$2:$L$7,,,"Actual360","LogLinear",TRUE)</f>
        <v>QSObject:ContextInput:w1~input.qs_context_add_curve.2359132437744.1122.3.0:14541</v>
      </c>
      <c r="E1123" s="6" t="str">
        <f>_xll.QS.INSTRUMENT.SWAP("swap.1121",H1123,B1123,"USD","SOFR",I1123,J1123,0,"Actual360","Simple","Annual","Annual","Annual")</f>
        <v>QSObject:Swap:w1~swap.1121:12901</v>
      </c>
      <c r="F1123" s="6" t="str">
        <f>_xll.QS.TRADE.CREATE("trade.1121",E1123,A1123,"Receive")</f>
        <v>QSObject:SwapTrade:w1~trade.1121:17234</v>
      </c>
      <c r="G1123" s="3">
        <f>_xll.QS.EVALUATE(C1123,F1123)</f>
        <v>26017.230053811676</v>
      </c>
      <c r="H1123" s="5" t="s">
        <v>2286</v>
      </c>
      <c r="I1123" s="7">
        <v>1112100</v>
      </c>
      <c r="J1123" s="8">
        <v>3.7100000000000001E-2</v>
      </c>
    </row>
    <row r="1124" spans="1:10" x14ac:dyDescent="0.25">
      <c r="A1124" s="5" t="s">
        <v>2274</v>
      </c>
      <c r="B1124" s="5" t="s">
        <v>2287</v>
      </c>
      <c r="C1124" s="6" t="str">
        <f>_xll.QS.CONTEXT.CREATE("market.1122",A1124,"USD","SOFR")</f>
        <v>QSObject:PricingContext:w1~market.1122:8143</v>
      </c>
      <c r="D1124" s="6" t="str">
        <f>_xll.QS.CONTEXT.ADD.CURVE(C1124,"SOFR",$K$2:$K$7,$L$2:$L$7,,,"Actual360","LogLinear",TRUE)</f>
        <v>QSObject:ContextInput:w1~input.qs_context_add_curve.2359132437744.1123.3.0:9741</v>
      </c>
      <c r="E1124" s="6" t="str">
        <f>_xll.QS.INSTRUMENT.SWAP("swap.1122",H1124,B1124,"USD","SOFR",I1124,J1124,0,"Actual360","Simple","Annual","Annual","Annual")</f>
        <v>QSObject:Swap:w1~swap.1122:16229</v>
      </c>
      <c r="F1124" s="6" t="str">
        <f>_xll.QS.TRADE.CREATE("trade.1122",E1124,A1124,"Receive")</f>
        <v>QSObject:SwapTrade:w1~trade.1122:29642</v>
      </c>
      <c r="G1124" s="3">
        <f>_xll.QS.EVALUATE(C1124,F1124)</f>
        <v>26656.284406303657</v>
      </c>
      <c r="H1124" s="5" t="s">
        <v>2288</v>
      </c>
      <c r="I1124" s="7">
        <v>1112200</v>
      </c>
      <c r="J1124" s="8">
        <v>3.7199999999999997E-2</v>
      </c>
    </row>
    <row r="1125" spans="1:10" x14ac:dyDescent="0.25">
      <c r="A1125" s="5" t="s">
        <v>2276</v>
      </c>
      <c r="B1125" s="5" t="s">
        <v>2289</v>
      </c>
      <c r="C1125" s="6" t="str">
        <f>_xll.QS.CONTEXT.CREATE("market.1123",A1125,"USD","SOFR")</f>
        <v>QSObject:PricingContext:w1~market.1123:18207</v>
      </c>
      <c r="D1125" s="6" t="str">
        <f>_xll.QS.CONTEXT.ADD.CURVE(C1125,"SOFR",$K$2:$K$7,$L$2:$L$7,,,"Actual360","LogLinear",TRUE)</f>
        <v>QSObject:ContextInput:w1~input.qs_context_add_curve.2359132437744.1124.3.0:39106</v>
      </c>
      <c r="E1125" s="6" t="str">
        <f>_xll.QS.INSTRUMENT.SWAP("swap.1123",H1125,B1125,"USD","SOFR",I1125,J1125,0,"Actual360","Simple","Annual","Annual","Annual")</f>
        <v>QSObject:Swap:w1~swap.1123:6546</v>
      </c>
      <c r="F1125" s="6" t="str">
        <f>_xll.QS.TRADE.CREATE("trade.1123",E1125,A1125,"Receive")</f>
        <v>QSObject:SwapTrade:w1~trade.1123:11388</v>
      </c>
      <c r="G1125" s="3">
        <f>_xll.QS.EVALUATE(C1125,F1125)</f>
        <v>27177.571989235268</v>
      </c>
      <c r="H1125" s="5" t="s">
        <v>2290</v>
      </c>
      <c r="I1125" s="7">
        <v>1112300</v>
      </c>
      <c r="J1125" s="8">
        <v>3.73E-2</v>
      </c>
    </row>
    <row r="1126" spans="1:10" x14ac:dyDescent="0.25">
      <c r="A1126" s="5" t="s">
        <v>2278</v>
      </c>
      <c r="B1126" s="5" t="s">
        <v>2291</v>
      </c>
      <c r="C1126" s="6" t="str">
        <f>_xll.QS.CONTEXT.CREATE("market.1124",A1126,"USD","SOFR")</f>
        <v>QSObject:PricingContext:w1~market.1124:17233</v>
      </c>
      <c r="D1126" s="6" t="str">
        <f>_xll.QS.CONTEXT.ADD.CURVE(C1126,"SOFR",$K$2:$K$7,$L$2:$L$7,,,"Actual360","LogLinear",TRUE)</f>
        <v>QSObject:ContextInput:w1~input.qs_context_add_curve.2359132437744.1125.3.0:39105</v>
      </c>
      <c r="E1126" s="6" t="str">
        <f>_xll.QS.INSTRUMENT.SWAP("swap.1124",H1126,B1126,"USD","SOFR",I1126,J1126,0,"Actual360","Simple","Annual","Annual","Annual")</f>
        <v>QSObject:Swap:w1~swap.1124:12900</v>
      </c>
      <c r="F1126" s="6" t="str">
        <f>_xll.QS.TRADE.CREATE("trade.1124",E1126,A1126,"Receive")</f>
        <v>QSObject:SwapTrade:w1~trade.1124:29641</v>
      </c>
      <c r="G1126" s="3">
        <f>_xll.QS.EVALUATE(C1126,F1126)</f>
        <v>27650.126542199407</v>
      </c>
      <c r="H1126" s="5" t="s">
        <v>2292</v>
      </c>
      <c r="I1126" s="7">
        <v>1112400</v>
      </c>
      <c r="J1126" s="8">
        <v>3.7400000000000003E-2</v>
      </c>
    </row>
    <row r="1127" spans="1:10" x14ac:dyDescent="0.25">
      <c r="A1127" s="5" t="s">
        <v>2280</v>
      </c>
      <c r="B1127" s="5" t="s">
        <v>2293</v>
      </c>
      <c r="C1127" s="6" t="str">
        <f>_xll.QS.CONTEXT.CREATE("market.1125",A1127,"USD","SOFR")</f>
        <v>QSObject:PricingContext:w1~market.1125:3388</v>
      </c>
      <c r="D1127" s="6" t="str">
        <f>_xll.QS.CONTEXT.ADD.CURVE(C1127,"SOFR",$K$2:$K$7,$L$2:$L$7,,,"Actual360","LogLinear",TRUE)</f>
        <v>QSObject:ContextInput:w1~input.qs_context_add_curve.2359132437744.1126.3.0:8142</v>
      </c>
      <c r="E1127" s="6" t="str">
        <f>_xll.QS.INSTRUMENT.SWAP("swap.1125",H1127,B1127,"USD","SOFR",I1127,J1127,0,"Actual360","Simple","Annual","Annual","Annual")</f>
        <v>QSObject:Swap:w1~swap.1125:16228</v>
      </c>
      <c r="F1127" s="6" t="str">
        <f>_xll.QS.TRADE.CREATE("trade.1125",E1127,A1127,"Receive")</f>
        <v>QSObject:SwapTrade:w1~trade.1125:19887</v>
      </c>
      <c r="G1127" s="3">
        <f>_xll.QS.EVALUATE(C1127,F1127)</f>
        <v>28085.576213231157</v>
      </c>
      <c r="H1127" s="5" t="s">
        <v>2294</v>
      </c>
      <c r="I1127" s="7">
        <v>1112500</v>
      </c>
      <c r="J1127" s="8">
        <v>3.7500000000000012E-2</v>
      </c>
    </row>
    <row r="1128" spans="1:10" x14ac:dyDescent="0.25">
      <c r="A1128" s="5" t="s">
        <v>2282</v>
      </c>
      <c r="B1128" s="5" t="s">
        <v>2295</v>
      </c>
      <c r="C1128" s="6" t="str">
        <f>_xll.QS.CONTEXT.CREATE("market.1126",A1128,"USD","SOFR")</f>
        <v>QSObject:PricingContext:w1~market.1126:18206</v>
      </c>
      <c r="D1128" s="6" t="str">
        <f>_xll.QS.CONTEXT.ADD.CURVE(C1128,"SOFR",$K$2:$K$7,$L$2:$L$7,,,"Actual360","LogLinear",TRUE)</f>
        <v>QSObject:ContextInput:w1~input.qs_context_add_curve.2359132437744.1127.3.0:39104</v>
      </c>
      <c r="E1128" s="6" t="str">
        <f>_xll.QS.INSTRUMENT.SWAP("swap.1126",H1128,B1128,"USD","SOFR",I1128,J1128,0,"Actual360","Simple","Annual","Annual","Annual")</f>
        <v>QSObject:Swap:w1~swap.1126:9740</v>
      </c>
      <c r="F1128" s="6" t="str">
        <f>_xll.QS.TRADE.CREATE("trade.1126",E1128,A1128,"Receive")</f>
        <v>QSObject:SwapTrade:w1~trade.1126:17232</v>
      </c>
      <c r="G1128" s="3">
        <f>_xll.QS.EVALUATE(C1128,F1128)</f>
        <v>28518.639653847116</v>
      </c>
      <c r="H1128" s="5" t="s">
        <v>2296</v>
      </c>
      <c r="I1128" s="7">
        <v>1112600</v>
      </c>
      <c r="J1128" s="8">
        <v>3.7600000000000001E-2</v>
      </c>
    </row>
    <row r="1129" spans="1:10" x14ac:dyDescent="0.25">
      <c r="A1129" s="5" t="s">
        <v>2284</v>
      </c>
      <c r="B1129" s="5" t="s">
        <v>2297</v>
      </c>
      <c r="C1129" s="6" t="str">
        <f>_xll.QS.CONTEXT.CREATE("market.1127",A1129,"USD","SOFR")</f>
        <v>QSObject:PricingContext:w1~market.1127:14540</v>
      </c>
      <c r="D1129" s="6" t="str">
        <f>_xll.QS.CONTEXT.ADD.CURVE(C1129,"SOFR",$K$2:$K$7,$L$2:$L$7,,,"Actual360","LogLinear",TRUE)</f>
        <v>QSObject:ContextInput:w1~input.qs_context_add_curve.2359132437744.1128.3.0:39103</v>
      </c>
      <c r="E1129" s="6" t="str">
        <f>_xll.QS.INSTRUMENT.SWAP("swap.1127",H1129,B1129,"USD","SOFR",I1129,J1129,0,"Actual360","Simple","Annual","Annual","Annual")</f>
        <v>QSObject:Swap:w1~swap.1127:11387</v>
      </c>
      <c r="F1129" s="6" t="str">
        <f>_xll.QS.TRADE.CREATE("trade.1127",E1129,A1129,"Receive")</f>
        <v>QSObject:SwapTrade:w1~trade.1127:29640</v>
      </c>
      <c r="G1129" s="3">
        <f>_xll.QS.EVALUATE(C1129,F1129)</f>
        <v>29081.483265219103</v>
      </c>
      <c r="H1129" s="5" t="s">
        <v>2298</v>
      </c>
      <c r="I1129" s="7">
        <v>1112700</v>
      </c>
      <c r="J1129" s="8">
        <v>3.7699999999999997E-2</v>
      </c>
    </row>
    <row r="1130" spans="1:10" x14ac:dyDescent="0.25">
      <c r="A1130" s="5" t="s">
        <v>2286</v>
      </c>
      <c r="B1130" s="5" t="s">
        <v>2299</v>
      </c>
      <c r="C1130" s="6" t="str">
        <f>_xll.QS.CONTEXT.CREATE("market.1128",A1130,"USD","SOFR")</f>
        <v>QSObject:PricingContext:w1~market.1128:8141</v>
      </c>
      <c r="D1130" s="6" t="str">
        <f>_xll.QS.CONTEXT.ADD.CURVE(C1130,"SOFR",$K$2:$K$7,$L$2:$L$7,,,"Actual360","LogLinear",TRUE)</f>
        <v>QSObject:ContextInput:w1~input.qs_context_add_curve.2359132437744.1129.3.0:12899</v>
      </c>
      <c r="E1130" s="6" t="str">
        <f>_xll.QS.INSTRUMENT.SWAP("swap.1128",H1130,B1130,"USD","SOFR",I1130,J1130,0,"Actual360","Simple","Annual","Annual","Annual")</f>
        <v>QSObject:Swap:w1~swap.1128:4946</v>
      </c>
      <c r="F1130" s="6" t="str">
        <f>_xll.QS.TRADE.CREATE("trade.1128",E1130,A1130,"Receive")</f>
        <v>QSObject:SwapTrade:w1~trade.1128:19886</v>
      </c>
      <c r="G1130" s="3">
        <f>_xll.QS.EVALUATE(C1130,F1130)</f>
        <v>29625.640541090484</v>
      </c>
      <c r="H1130" s="5" t="s">
        <v>2300</v>
      </c>
      <c r="I1130" s="7">
        <v>1112800</v>
      </c>
      <c r="J1130" s="8">
        <v>3.78E-2</v>
      </c>
    </row>
    <row r="1131" spans="1:10" x14ac:dyDescent="0.25">
      <c r="A1131" s="5" t="s">
        <v>2288</v>
      </c>
      <c r="B1131" s="5" t="s">
        <v>2301</v>
      </c>
      <c r="C1131" s="6" t="str">
        <f>_xll.QS.CONTEXT.CREATE("market.1129",A1131,"USD","SOFR")</f>
        <v>QSObject:PricingContext:w1~market.1129:18205</v>
      </c>
      <c r="D1131" s="6" t="str">
        <f>_xll.QS.CONTEXT.ADD.CURVE(C1131,"SOFR",$K$2:$K$7,$L$2:$L$7,,,"Actual360","LogLinear",TRUE)</f>
        <v>QSObject:ContextInput:w1~input.qs_context_add_curve.2359132437744.1130.3.0:39102</v>
      </c>
      <c r="E1131" s="6" t="str">
        <f>_xll.QS.INSTRUMENT.SWAP("swap.1129",H1131,B1131,"USD","SOFR",I1131,J1131,0,"Actual360","Simple","Annual","Annual","Annual")</f>
        <v>QSObject:Swap:w1~swap.1129:17231</v>
      </c>
      <c r="F1131" s="6" t="str">
        <f>_xll.QS.TRADE.CREATE("trade.1129",E1131,A1131,"Receive")</f>
        <v>QSObject:SwapTrade:w1~trade.1129:29639</v>
      </c>
      <c r="G1131" s="3">
        <f>_xll.QS.EVALUATE(C1131,F1131)</f>
        <v>30222.826996471664</v>
      </c>
      <c r="H1131" s="5" t="s">
        <v>2302</v>
      </c>
      <c r="I1131" s="7">
        <v>1112900</v>
      </c>
      <c r="J1131" s="8">
        <v>3.7900000000000003E-2</v>
      </c>
    </row>
    <row r="1132" spans="1:10" x14ac:dyDescent="0.25">
      <c r="A1132" s="5" t="s">
        <v>2290</v>
      </c>
      <c r="B1132" s="5" t="s">
        <v>2303</v>
      </c>
      <c r="C1132" s="6" t="str">
        <f>_xll.QS.CONTEXT.CREATE("market.1130",A1132,"USD","SOFR")</f>
        <v>QSObject:PricingContext:w1~market.1130:6545</v>
      </c>
      <c r="D1132" s="6" t="str">
        <f>_xll.QS.CONTEXT.ADD.CURVE(C1132,"SOFR",$K$2:$K$7,$L$2:$L$7,,,"Actual360","LogLinear",TRUE)</f>
        <v>QSObject:ContextInput:w1~input.qs_context_add_curve.2359132437744.1131.3.0:14539</v>
      </c>
      <c r="E1132" s="6" t="str">
        <f>_xll.QS.INSTRUMENT.SWAP("swap.1130",H1132,B1132,"USD","SOFR",I1132,J1132,0,"Actual360","Simple","Annual","Annual","Annual")</f>
        <v>QSObject:Swap:w1~swap.1130:9739</v>
      </c>
      <c r="F1132" s="6" t="str">
        <f>_xll.QS.TRADE.CREATE("trade.1130",E1132,A1132,"Receive")</f>
        <v>QSObject:SwapTrade:w1~trade.1130:29638</v>
      </c>
      <c r="G1132" s="3">
        <f>_xll.QS.EVALUATE(C1132,F1132)</f>
        <v>30787.449910277806</v>
      </c>
      <c r="H1132" s="5" t="s">
        <v>2304</v>
      </c>
      <c r="I1132" s="7">
        <v>1113000</v>
      </c>
      <c r="J1132" s="8">
        <v>3.8000000000000013E-2</v>
      </c>
    </row>
    <row r="1133" spans="1:10" x14ac:dyDescent="0.25">
      <c r="A1133" s="5" t="s">
        <v>2292</v>
      </c>
      <c r="B1133" s="5" t="s">
        <v>2305</v>
      </c>
      <c r="C1133" s="6" t="str">
        <f>_xll.QS.CONTEXT.CREATE("market.1131",A1133,"USD","SOFR")</f>
        <v>QSObject:PricingContext:w1~market.1131:12898</v>
      </c>
      <c r="D1133" s="6" t="str">
        <f>_xll.QS.CONTEXT.ADD.CURVE(C1133,"SOFR",$K$2:$K$7,$L$2:$L$7,,,"Actual360","LogLinear",TRUE)</f>
        <v>QSObject:ContextInput:w1~input.qs_context_add_curve.2359132437744.1132.3.0:39101</v>
      </c>
      <c r="E1133" s="6" t="str">
        <f>_xll.QS.INSTRUMENT.SWAP("swap.1131",H1133,B1133,"USD","SOFR",I1133,J1133,0,"Actual360","Simple","Annual","Annual","Annual")</f>
        <v>QSObject:Swap:w1~swap.1131:11386</v>
      </c>
      <c r="F1133" s="6" t="str">
        <f>_xll.QS.TRADE.CREATE("trade.1131",E1133,A1133,"Receive")</f>
        <v>QSObject:SwapTrade:w1~trade.1131:29637</v>
      </c>
      <c r="G1133" s="3">
        <f>_xll.QS.EVALUATE(C1133,F1133)</f>
        <v>31260.584263252349</v>
      </c>
      <c r="H1133" s="5" t="s">
        <v>2306</v>
      </c>
      <c r="I1133" s="7">
        <v>1113100</v>
      </c>
      <c r="J1133" s="8">
        <v>3.8100000000000002E-2</v>
      </c>
    </row>
    <row r="1134" spans="1:10" x14ac:dyDescent="0.25">
      <c r="A1134" s="5" t="s">
        <v>2294</v>
      </c>
      <c r="B1134" s="5" t="s">
        <v>2307</v>
      </c>
      <c r="C1134" s="6" t="str">
        <f>_xll.QS.CONTEXT.CREATE("market.1132",A1134,"USD","SOFR")</f>
        <v>QSObject:PricingContext:w1~market.1132:17230</v>
      </c>
      <c r="D1134" s="6" t="str">
        <f>_xll.QS.CONTEXT.ADD.CURVE(C1134,"SOFR",$K$2:$K$7,$L$2:$L$7,,,"Actual360","LogLinear",TRUE)</f>
        <v>QSObject:ContextInput:w1~input.qs_context_add_curve.2359132437744.1133.3.0:19885</v>
      </c>
      <c r="E1134" s="6" t="str">
        <f>_xll.QS.INSTRUMENT.SWAP("swap.1132",H1134,B1134,"USD","SOFR",I1134,J1134,0,"Actual360","Simple","Annual","Annual","Annual")</f>
        <v>QSObject:Swap:w1~swap.1132:18204</v>
      </c>
      <c r="F1134" s="6" t="str">
        <f>_xll.QS.TRADE.CREATE("trade.1132",E1134,A1134,"Receive")</f>
        <v>QSObject:SwapTrade:w1~trade.1132:29636</v>
      </c>
      <c r="G1134" s="3">
        <f>_xll.QS.EVALUATE(C1134,F1134)</f>
        <v>31672.261041221485</v>
      </c>
      <c r="H1134" s="5" t="s">
        <v>2308</v>
      </c>
      <c r="I1134" s="7">
        <v>1113200</v>
      </c>
      <c r="J1134" s="8">
        <v>3.8199999999999998E-2</v>
      </c>
    </row>
    <row r="1135" spans="1:10" x14ac:dyDescent="0.25">
      <c r="A1135" s="5" t="s">
        <v>2296</v>
      </c>
      <c r="B1135" s="5" t="s">
        <v>2309</v>
      </c>
      <c r="C1135" s="6" t="str">
        <f>_xll.QS.CONTEXT.CREATE("market.1133",A1135,"USD","SOFR")</f>
        <v>QSObject:PricingContext:w1~market.1133:3387</v>
      </c>
      <c r="D1135" s="6" t="str">
        <f>_xll.QS.CONTEXT.ADD.CURVE(C1135,"SOFR",$K$2:$K$7,$L$2:$L$7,,,"Actual360","LogLinear",TRUE)</f>
        <v>QSObject:ContextInput:w1~input.qs_context_add_curve.2359132437744.1134.3.0:6544</v>
      </c>
      <c r="E1135" s="6" t="str">
        <f>_xll.QS.INSTRUMENT.SWAP("swap.1133",H1135,B1135,"USD","SOFR",I1135,J1135,0,"Actual360","Simple","Annual","Annual","Annual")</f>
        <v>QSObject:Swap:w1~swap.1133:1844</v>
      </c>
      <c r="F1135" s="6" t="str">
        <f>_xll.QS.TRADE.CREATE("trade.1133",E1135,A1135,"Receive")</f>
        <v>QSObject:SwapTrade:w1~trade.1133:9738</v>
      </c>
      <c r="G1135" s="3">
        <f>_xll.QS.EVALUATE(C1135,F1135)</f>
        <v>32084.840952719769</v>
      </c>
      <c r="H1135" s="5" t="s">
        <v>2310</v>
      </c>
      <c r="I1135" s="7">
        <v>1113300</v>
      </c>
      <c r="J1135" s="8">
        <v>3.8300000000000001E-2</v>
      </c>
    </row>
    <row r="1136" spans="1:10" x14ac:dyDescent="0.25">
      <c r="A1136" s="5" t="s">
        <v>2298</v>
      </c>
      <c r="B1136" s="5" t="s">
        <v>2311</v>
      </c>
      <c r="C1136" s="6" t="str">
        <f>_xll.QS.CONTEXT.CREATE("market.1134",A1136,"USD","SOFR")</f>
        <v>QSObject:PricingContext:w1~market.1134:11385</v>
      </c>
      <c r="D1136" s="6" t="str">
        <f>_xll.QS.CONTEXT.ADD.CURVE(C1136,"SOFR",$K$2:$K$7,$L$2:$L$7,,,"Actual360","LogLinear",TRUE)</f>
        <v>QSObject:ContextInput:w1~input.qs_context_add_curve.2359132437744.1135.3.0:14538</v>
      </c>
      <c r="E1136" s="6" t="str">
        <f>_xll.QS.INSTRUMENT.SWAP("swap.1134",H1136,B1136,"USD","SOFR",I1136,J1136,0,"Actual360","Simple","Annual","Annual","Annual")</f>
        <v>QSObject:Swap:w1~swap.1134:12897</v>
      </c>
      <c r="F1136" s="6" t="str">
        <f>_xll.QS.TRADE.CREATE("trade.1134",E1136,A1136,"Receive")</f>
        <v>QSObject:SwapTrade:w1~trade.1134:17229</v>
      </c>
      <c r="G1136" s="3">
        <f>_xll.QS.EVALUATE(C1136,F1136)</f>
        <v>32648.617293792329</v>
      </c>
      <c r="H1136" s="5" t="s">
        <v>2312</v>
      </c>
      <c r="I1136" s="7">
        <v>1113400</v>
      </c>
      <c r="J1136" s="8">
        <v>3.8399999999999997E-2</v>
      </c>
    </row>
    <row r="1137" spans="1:10" x14ac:dyDescent="0.25">
      <c r="A1137" s="5" t="s">
        <v>2300</v>
      </c>
      <c r="B1137" s="5" t="s">
        <v>2313</v>
      </c>
      <c r="C1137" s="6" t="str">
        <f>_xll.QS.CONTEXT.CREATE("market.1135",A1137,"USD","SOFR")</f>
        <v>QSObject:PricingContext:w1~market.1135:19884</v>
      </c>
      <c r="D1137" s="6" t="str">
        <f>_xll.QS.CONTEXT.ADD.CURVE(C1137,"SOFR",$K$2:$K$7,$L$2:$L$7,,,"Actual360","LogLinear",TRUE)</f>
        <v>QSObject:ContextInput:w1~input.qs_context_add_curve.2359132437744.1136.3.0:39100</v>
      </c>
      <c r="E1137" s="6" t="str">
        <f>_xll.QS.INSTRUMENT.SWAP("swap.1135",H1137,B1137,"USD","SOFR",I1137,J1137,0,"Actual360","Simple","Annual","Annual","Annual")</f>
        <v>QSObject:Swap:w1~swap.1135:8140</v>
      </c>
      <c r="F1137" s="6" t="str">
        <f>_xll.QS.TRADE.CREATE("trade.1135",E1137,A1137,"Receive")</f>
        <v>QSObject:SwapTrade:w1~trade.1135:16227</v>
      </c>
      <c r="G1137" s="3">
        <f>_xll.QS.EVALUATE(C1137,F1137)</f>
        <v>33212.674127242208</v>
      </c>
      <c r="H1137" s="5" t="s">
        <v>2314</v>
      </c>
      <c r="I1137" s="7">
        <v>1113500</v>
      </c>
      <c r="J1137" s="8">
        <v>3.8500000000000013E-2</v>
      </c>
    </row>
    <row r="1138" spans="1:10" x14ac:dyDescent="0.25">
      <c r="A1138" s="5" t="s">
        <v>2302</v>
      </c>
      <c r="B1138" s="5" t="s">
        <v>2315</v>
      </c>
      <c r="C1138" s="6" t="str">
        <f>_xll.QS.CONTEXT.CREATE("market.1136",A1138,"USD","SOFR")</f>
        <v>QSObject:PricingContext:w1~market.1136:6543</v>
      </c>
      <c r="D1138" s="6" t="str">
        <f>_xll.QS.CONTEXT.ADD.CURVE(C1138,"SOFR",$K$2:$K$7,$L$2:$L$7,,,"Actual360","LogLinear",TRUE)</f>
        <v>QSObject:ContextInput:w1~input.qs_context_add_curve.2359132437744.1137.3.0:25724</v>
      </c>
      <c r="E1138" s="6" t="str">
        <f>_xll.QS.INSTRUMENT.SWAP("swap.1136",H1138,B1138,"USD","SOFR",I1138,J1138,0,"Actual360","Simple","Annual","Annual","Annual")</f>
        <v>QSObject:Swap:w1~swap.1136:18203</v>
      </c>
      <c r="F1138" s="6" t="str">
        <f>_xll.QS.TRADE.CREATE("trade.1136",E1138,A1138,"Receive")</f>
        <v>QSObject:SwapTrade:w1~trade.1136:23477</v>
      </c>
      <c r="G1138" s="3">
        <f>_xll.QS.EVALUATE(C1138,F1138)</f>
        <v>33877.498194681524</v>
      </c>
      <c r="H1138" s="5" t="s">
        <v>2316</v>
      </c>
      <c r="I1138" s="7">
        <v>1113600</v>
      </c>
      <c r="J1138" s="8">
        <v>3.8600000000000002E-2</v>
      </c>
    </row>
    <row r="1139" spans="1:10" x14ac:dyDescent="0.25">
      <c r="A1139" s="5" t="s">
        <v>2304</v>
      </c>
      <c r="B1139" s="5" t="s">
        <v>2317</v>
      </c>
      <c r="C1139" s="6" t="str">
        <f>_xll.QS.CONTEXT.CREATE("market.1137",A1139,"USD","SOFR")</f>
        <v>QSObject:PricingContext:w1~market.1137:14537</v>
      </c>
      <c r="D1139" s="6" t="str">
        <f>_xll.QS.CONTEXT.ADD.CURVE(C1139,"SOFR",$K$2:$K$7,$L$2:$L$7,,,"Actual360","LogLinear",TRUE)</f>
        <v>QSObject:ContextInput:w1~input.qs_context_add_curve.2359132437744.1138.3.0:29007</v>
      </c>
      <c r="E1139" s="6" t="str">
        <f>_xll.QS.INSTRUMENT.SWAP("swap.1137",H1139,B1139,"USD","SOFR",I1139,J1139,0,"Actual360","Simple","Annual","Annual","Annual")</f>
        <v>QSObject:Swap:w1~swap.1137:17228</v>
      </c>
      <c r="F1139" s="6" t="str">
        <f>_xll.QS.TRADE.CREATE("trade.1137",E1139,A1139,"Receive")</f>
        <v>QSObject:SwapTrade:w1~trade.1137:27639</v>
      </c>
      <c r="G1139" s="3">
        <f>_xll.QS.EVALUATE(C1139,F1139)</f>
        <v>34404.207290169274</v>
      </c>
      <c r="H1139" s="5" t="s">
        <v>2318</v>
      </c>
      <c r="I1139" s="7">
        <v>1113700</v>
      </c>
      <c r="J1139" s="8">
        <v>3.8700000000000012E-2</v>
      </c>
    </row>
    <row r="1140" spans="1:10" x14ac:dyDescent="0.25">
      <c r="A1140" s="5" t="s">
        <v>2306</v>
      </c>
      <c r="B1140" s="5" t="s">
        <v>2319</v>
      </c>
      <c r="C1140" s="6" t="str">
        <f>_xll.QS.CONTEXT.CREATE("market.1138",A1140,"USD","SOFR")</f>
        <v>QSObject:PricingContext:w1~market.1138:4945</v>
      </c>
      <c r="D1140" s="6" t="str">
        <f>_xll.QS.CONTEXT.ADD.CURVE(C1140,"SOFR",$K$2:$K$7,$L$2:$L$7,,,"Actual360","LogLinear",TRUE)</f>
        <v>QSObject:ContextInput:w1~input.qs_context_add_curve.2359132437744.1139.3.0:11384</v>
      </c>
      <c r="E1140" s="6" t="str">
        <f>_xll.QS.INSTRUMENT.SWAP("swap.1138",H1140,B1140,"USD","SOFR",I1140,J1140,0,"Actual360","Simple","Annual","Annual","Annual")</f>
        <v>QSObject:Swap:w1~swap.1138:19883</v>
      </c>
      <c r="F1140" s="6" t="str">
        <f>_xll.QS.TRADE.CREATE("trade.1138",E1140,A1140,"Receive")</f>
        <v>QSObject:SwapTrade:w1~trade.1138:27638</v>
      </c>
      <c r="G1140" s="3">
        <f>_xll.QS.EVALUATE(C1140,F1140)</f>
        <v>34920.682346043293</v>
      </c>
      <c r="H1140" s="5" t="s">
        <v>2320</v>
      </c>
      <c r="I1140" s="7">
        <v>1113800</v>
      </c>
      <c r="J1140" s="8">
        <v>3.8800000000000001E-2</v>
      </c>
    </row>
    <row r="1141" spans="1:10" x14ac:dyDescent="0.25">
      <c r="A1141" s="5" t="s">
        <v>2308</v>
      </c>
      <c r="B1141" s="5" t="s">
        <v>2321</v>
      </c>
      <c r="C1141" s="6" t="str">
        <f>_xll.QS.CONTEXT.CREATE("market.1139",A1141,"USD","SOFR")</f>
        <v>QSObject:PricingContext:w1~market.1139:3386</v>
      </c>
      <c r="D1141" s="6" t="str">
        <f>_xll.QS.CONTEXT.ADD.CURVE(C1141,"SOFR",$K$2:$K$7,$L$2:$L$7,,,"Actual360","LogLinear",TRUE)</f>
        <v>QSObject:ContextInput:w1~input.qs_context_add_curve.2359132437744.1140.3.0:6542</v>
      </c>
      <c r="E1141" s="6" t="str">
        <f>_xll.QS.INSTRUMENT.SWAP("swap.1139",H1141,B1141,"USD","SOFR",I1141,J1141,0,"Actual360","Simple","Annual","Annual","Annual")</f>
        <v>QSObject:Swap:w1~swap.1139:8139</v>
      </c>
      <c r="F1141" s="6" t="str">
        <f>_xll.QS.TRADE.CREATE("trade.1139",E1141,A1141,"Receive")</f>
        <v>QSObject:SwapTrade:w1~trade.1139:9737</v>
      </c>
      <c r="G1141" s="3">
        <f>_xll.QS.EVALUATE(C1141,F1141)</f>
        <v>35348.933318251045</v>
      </c>
      <c r="H1141" s="5" t="s">
        <v>2322</v>
      </c>
      <c r="I1141" s="7">
        <v>1113900</v>
      </c>
      <c r="J1141" s="8">
        <v>3.8899999999999997E-2</v>
      </c>
    </row>
    <row r="1142" spans="1:10" x14ac:dyDescent="0.25">
      <c r="A1142" s="5" t="s">
        <v>2310</v>
      </c>
      <c r="B1142" s="5" t="s">
        <v>2323</v>
      </c>
      <c r="C1142" s="6" t="str">
        <f>_xll.QS.CONTEXT.CREATE("market.1140",A1142,"USD","SOFR")</f>
        <v>QSObject:PricingContext:w1~market.1140:1843</v>
      </c>
      <c r="D1142" s="6" t="str">
        <f>_xll.QS.CONTEXT.ADD.CURVE(C1142,"SOFR",$K$2:$K$7,$L$2:$L$7,,,"Actual360","LogLinear",TRUE)</f>
        <v>QSObject:ContextInput:w1~input.qs_context_add_curve.2359132437744.1141.3.0:14536</v>
      </c>
      <c r="E1142" s="6" t="str">
        <f>_xll.QS.INSTRUMENT.SWAP("swap.1140",H1142,B1142,"USD","SOFR",I1142,J1142,0,"Actual360","Simple","Annual","Annual","Annual")</f>
        <v>QSObject:Swap:w1~swap.1140:18202</v>
      </c>
      <c r="F1142" s="6" t="str">
        <f>_xll.QS.TRADE.CREATE("trade.1140",E1142,A1142,"Receive")</f>
        <v>QSObject:SwapTrade:w1~trade.1140:29635</v>
      </c>
      <c r="G1142" s="3">
        <f>_xll.QS.EVALUATE(C1142,F1142)</f>
        <v>35794.398783701457</v>
      </c>
      <c r="H1142" s="5" t="s">
        <v>2324</v>
      </c>
      <c r="I1142" s="7">
        <v>1114000</v>
      </c>
      <c r="J1142" s="8">
        <v>3.9000000000000007E-2</v>
      </c>
    </row>
    <row r="1143" spans="1:10" x14ac:dyDescent="0.25">
      <c r="A1143" s="5" t="s">
        <v>2312</v>
      </c>
      <c r="B1143" s="5" t="s">
        <v>2325</v>
      </c>
      <c r="C1143" s="6" t="str">
        <f>_xll.QS.CONTEXT.CREATE("market.1141",A1143,"USD","SOFR")</f>
        <v>QSObject:PricingContext:w1~market.1141:12896</v>
      </c>
      <c r="D1143" s="6" t="str">
        <f>_xll.QS.CONTEXT.ADD.CURVE(C1143,"SOFR",$K$2:$K$7,$L$2:$L$7,,,"Actual360","LogLinear",TRUE)</f>
        <v>QSObject:ContextInput:w1~input.qs_context_add_curve.2359132437744.1142.3.0:27637</v>
      </c>
      <c r="E1143" s="6" t="str">
        <f>_xll.QS.INSTRUMENT.SWAP("swap.1141",H1143,B1143,"USD","SOFR",I1143,J1143,0,"Actual360","Simple","Annual","Annual","Annual")</f>
        <v>QSObject:Swap:w1~swap.1141:4944</v>
      </c>
      <c r="F1143" s="6" t="str">
        <f>_xll.QS.TRADE.CREATE("trade.1141",E1143,A1143,"Receive")</f>
        <v>QSObject:SwapTrade:w1~trade.1141:19882</v>
      </c>
      <c r="G1143" s="3">
        <f>_xll.QS.EVALUATE(C1143,F1143)</f>
        <v>36314.285278031472</v>
      </c>
      <c r="H1143" s="5" t="s">
        <v>2326</v>
      </c>
      <c r="I1143" s="7">
        <v>1114100</v>
      </c>
      <c r="J1143" s="8">
        <v>3.9100000000000003E-2</v>
      </c>
    </row>
    <row r="1144" spans="1:10" x14ac:dyDescent="0.25">
      <c r="A1144" s="5" t="s">
        <v>2314</v>
      </c>
      <c r="B1144" s="5" t="s">
        <v>2327</v>
      </c>
      <c r="C1144" s="6" t="str">
        <f>_xll.QS.CONTEXT.CREATE("market.1142",A1144,"USD","SOFR")</f>
        <v>QSObject:PricingContext:w1~market.1142:6541</v>
      </c>
      <c r="D1144" s="6" t="str">
        <f>_xll.QS.CONTEXT.ADD.CURVE(C1144,"SOFR",$K$2:$K$7,$L$2:$L$7,,,"Actual360","LogLinear",TRUE)</f>
        <v>QSObject:ContextInput:w1~input.qs_context_add_curve.2359132437744.1143.3.0:29634</v>
      </c>
      <c r="E1144" s="6" t="str">
        <f>_xll.QS.INSTRUMENT.SWAP("swap.1142",H1144,B1144,"USD","SOFR",I1144,J1144,0,"Actual360","Simple","Annual","Annual","Annual")</f>
        <v>QSObject:Swap:w1~swap.1142:16226</v>
      </c>
      <c r="F1144" s="6" t="str">
        <f>_xll.QS.TRADE.CREATE("trade.1142",E1144,A1144,"Receive")</f>
        <v>QSObject:SwapTrade:w1~trade.1142:29633</v>
      </c>
      <c r="G1144" s="3">
        <f>_xll.QS.EVALUATE(C1144,F1144)</f>
        <v>36856.483809448218</v>
      </c>
      <c r="H1144" s="5" t="s">
        <v>2328</v>
      </c>
      <c r="I1144" s="7">
        <v>1114200</v>
      </c>
      <c r="J1144" s="8">
        <v>3.9200000000000013E-2</v>
      </c>
    </row>
    <row r="1145" spans="1:10" x14ac:dyDescent="0.25">
      <c r="A1145" s="5" t="s">
        <v>2316</v>
      </c>
      <c r="B1145" s="5" t="s">
        <v>2329</v>
      </c>
      <c r="C1145" s="6" t="str">
        <f>_xll.QS.CONTEXT.CREATE("market.1143",A1145,"USD","SOFR")</f>
        <v>QSObject:PricingContext:w1~market.1143:1842</v>
      </c>
      <c r="D1145" s="6" t="str">
        <f>_xll.QS.CONTEXT.ADD.CURVE(C1145,"SOFR",$K$2:$K$7,$L$2:$L$7,,,"Actual360","LogLinear",TRUE)</f>
        <v>QSObject:ContextInput:w1~input.qs_context_add_curve.2359132437744.1144.3.0:8138</v>
      </c>
      <c r="E1145" s="6" t="str">
        <f>_xll.QS.INSTRUMENT.SWAP("swap.1143",H1145,B1145,"USD","SOFR",I1145,J1145,0,"Actual360","Simple","Annual","Annual","Annual")</f>
        <v>QSObject:Swap:w1~swap.1143:14535</v>
      </c>
      <c r="F1145" s="6" t="str">
        <f>_xll.QS.TRADE.CREATE("trade.1143",E1145,A1145,"Receive")</f>
        <v>QSObject:SwapTrade:w1~trade.1143:17227</v>
      </c>
      <c r="G1145" s="3">
        <f>_xll.QS.EVALUATE(C1145,F1145)</f>
        <v>37454.9117058064</v>
      </c>
      <c r="H1145" s="5" t="s">
        <v>2330</v>
      </c>
      <c r="I1145" s="7">
        <v>1114300</v>
      </c>
      <c r="J1145" s="8">
        <v>3.9300000000000002E-2</v>
      </c>
    </row>
    <row r="1146" spans="1:10" x14ac:dyDescent="0.25">
      <c r="A1146" s="5" t="s">
        <v>2318</v>
      </c>
      <c r="B1146" s="5" t="s">
        <v>2331</v>
      </c>
      <c r="C1146" s="6" t="str">
        <f>_xll.QS.CONTEXT.CREATE("market.1144",A1146,"USD","SOFR")</f>
        <v>QSObject:PricingContext:w1~market.1144:18201</v>
      </c>
      <c r="D1146" s="6" t="str">
        <f>_xll.QS.CONTEXT.ADD.CURVE(C1146,"SOFR",$K$2:$K$7,$L$2:$L$7,,,"Actual360","LogLinear",TRUE)</f>
        <v>QSObject:ContextInput:w1~input.qs_context_add_curve.2359132437744.1145.3.0:39099</v>
      </c>
      <c r="E1146" s="6" t="str">
        <f>_xll.QS.INSTRUMENT.SWAP("swap.1144",H1146,B1146,"USD","SOFR",I1146,J1146,0,"Actual360","Simple","Annual","Annual","Annual")</f>
        <v>QSObject:Swap:w1~swap.1144:12895</v>
      </c>
      <c r="F1146" s="6" t="str">
        <f>_xll.QS.TRADE.CREATE("trade.1144",E1146,A1146,"Receive")</f>
        <v>QSObject:SwapTrade:w1~trade.1144:26521</v>
      </c>
      <c r="G1146" s="3">
        <f>_xll.QS.EVALUATE(C1146,F1146)</f>
        <v>38020.76339142488</v>
      </c>
      <c r="H1146" s="5" t="s">
        <v>2332</v>
      </c>
      <c r="I1146" s="7">
        <v>1114400</v>
      </c>
      <c r="J1146" s="8">
        <v>3.9399999999999998E-2</v>
      </c>
    </row>
    <row r="1147" spans="1:10" x14ac:dyDescent="0.25">
      <c r="A1147" s="5" t="s">
        <v>2320</v>
      </c>
      <c r="B1147" s="5" t="s">
        <v>2333</v>
      </c>
      <c r="C1147" s="6" t="str">
        <f>_xll.QS.CONTEXT.CREATE("market.1145",A1147,"USD","SOFR")</f>
        <v>QSObject:PricingContext:w1~market.1145:3385</v>
      </c>
      <c r="D1147" s="6" t="str">
        <f>_xll.QS.CONTEXT.ADD.CURVE(C1147,"SOFR",$K$2:$K$7,$L$2:$L$7,,,"Actual360","LogLinear",TRUE)</f>
        <v>QSObject:ContextInput:w1~input.qs_context_add_curve.2359132437744.1146.3.0:4943</v>
      </c>
      <c r="E1147" s="6" t="str">
        <f>_xll.QS.INSTRUMENT.SWAP("swap.1145",H1147,B1147,"USD","SOFR",I1147,J1147,0,"Actual360","Simple","Annual","Annual","Annual")</f>
        <v>QSObject:Swap:w1~swap.1145:19881</v>
      </c>
      <c r="F1147" s="6" t="str">
        <f>_xll.QS.TRADE.CREATE("trade.1145",E1147,A1147,"Receive")</f>
        <v>QSObject:SwapTrade:w1~trade.1145:26520</v>
      </c>
      <c r="G1147" s="3">
        <f>_xll.QS.EVALUATE(C1147,F1147)</f>
        <v>38495.057197913164</v>
      </c>
      <c r="H1147" s="5" t="s">
        <v>2334</v>
      </c>
      <c r="I1147" s="7">
        <v>1114500</v>
      </c>
      <c r="J1147" s="8">
        <v>3.9500000000000007E-2</v>
      </c>
    </row>
    <row r="1148" spans="1:10" x14ac:dyDescent="0.25">
      <c r="A1148" s="5" t="s">
        <v>2322</v>
      </c>
      <c r="B1148" s="5" t="s">
        <v>2335</v>
      </c>
      <c r="C1148" s="6" t="str">
        <f>_xll.QS.CONTEXT.CREATE("market.1146",A1148,"USD","SOFR")</f>
        <v>QSObject:PricingContext:w1~market.1146:17226</v>
      </c>
      <c r="D1148" s="6" t="str">
        <f>_xll.QS.CONTEXT.ADD.CURVE(C1148,"SOFR",$K$2:$K$7,$L$2:$L$7,,,"Actual360","LogLinear",TRUE)</f>
        <v>QSObject:ContextInput:w1~input.qs_context_add_curve.2359132437744.1147.3.0:39098</v>
      </c>
      <c r="E1148" s="6" t="str">
        <f>_xll.QS.INSTRUMENT.SWAP("swap.1146",H1148,B1148,"USD","SOFR",I1148,J1148,0,"Actual360","Simple","Annual","Annual","Annual")</f>
        <v>QSObject:Swap:w1~swap.1146:16225</v>
      </c>
      <c r="F1148" s="6" t="str">
        <f>_xll.QS.TRADE.CREATE("trade.1146",E1148,A1148,"Receive")</f>
        <v>QSObject:SwapTrade:w1~trade.1146:29006</v>
      </c>
      <c r="G1148" s="3">
        <f>_xll.QS.EVALUATE(C1148,F1148)</f>
        <v>38992.617975196263</v>
      </c>
      <c r="H1148" s="5" t="s">
        <v>2336</v>
      </c>
      <c r="I1148" s="7">
        <v>1114600</v>
      </c>
      <c r="J1148" s="8">
        <v>3.9600000000000003E-2</v>
      </c>
    </row>
    <row r="1149" spans="1:10" x14ac:dyDescent="0.25">
      <c r="A1149" s="5" t="s">
        <v>2324</v>
      </c>
      <c r="B1149" s="5" t="s">
        <v>2337</v>
      </c>
      <c r="C1149" s="6" t="str">
        <f>_xll.QS.CONTEXT.CREATE("market.1147",A1149,"USD","SOFR")</f>
        <v>QSObject:PricingContext:w1~market.1147:11383</v>
      </c>
      <c r="D1149" s="6" t="str">
        <f>_xll.QS.CONTEXT.ADD.CURVE(C1149,"SOFR",$K$2:$K$7,$L$2:$L$7,,,"Actual360","LogLinear",TRUE)</f>
        <v>QSObject:ContextInput:w1~input.qs_context_add_curve.2359132437744.1148.3.0:39097</v>
      </c>
      <c r="E1149" s="6" t="str">
        <f>_xll.QS.INSTRUMENT.SWAP("swap.1147",H1149,B1149,"USD","SOFR",I1149,J1149,0,"Actual360","Simple","Annual","Annual","Annual")</f>
        <v>QSObject:Swap:w1~swap.1147:18200</v>
      </c>
      <c r="F1149" s="6" t="str">
        <f>_xll.QS.TRADE.CREATE("trade.1147",E1149,A1149,"Receive")</f>
        <v>QSObject:SwapTrade:w1~trade.1147:29005</v>
      </c>
      <c r="G1149" s="3">
        <f>_xll.QS.EVALUATE(C1149,F1149)</f>
        <v>39513.633184933766</v>
      </c>
      <c r="H1149" s="5" t="s">
        <v>2338</v>
      </c>
      <c r="I1149" s="7">
        <v>1114700</v>
      </c>
      <c r="J1149" s="8">
        <v>3.9700000000000013E-2</v>
      </c>
    </row>
    <row r="1150" spans="1:10" x14ac:dyDescent="0.25">
      <c r="A1150" s="5" t="s">
        <v>2326</v>
      </c>
      <c r="B1150" s="5" t="s">
        <v>2339</v>
      </c>
      <c r="C1150" s="6" t="str">
        <f>_xll.QS.CONTEXT.CREATE("market.1148",A1150,"USD","SOFR")</f>
        <v>QSObject:PricingContext:w1~market.1148:19880</v>
      </c>
      <c r="D1150" s="6" t="str">
        <f>_xll.QS.CONTEXT.ADD.CURVE(C1150,"SOFR",$K$2:$K$7,$L$2:$L$7,,,"Actual360","LogLinear",TRUE)</f>
        <v>QSObject:ContextInput:w1~input.qs_context_add_curve.2359132437744.1149.3.0:39096</v>
      </c>
      <c r="E1150" s="6" t="str">
        <f>_xll.QS.INSTRUMENT.SWAP("swap.1148",H1150,B1150,"USD","SOFR",I1150,J1150,0,"Actual360","Simple","Annual","Annual","Annual")</f>
        <v>QSObject:Swap:w1~swap.1148:12894</v>
      </c>
      <c r="F1150" s="6" t="str">
        <f>_xll.QS.TRADE.CREATE("trade.1148",E1150,A1150,"Receive")</f>
        <v>QSObject:SwapTrade:w1~trade.1148:14534</v>
      </c>
      <c r="G1150" s="3">
        <f>_xll.QS.EVALUATE(C1150,F1150)</f>
        <v>39937.038344336324</v>
      </c>
      <c r="H1150" s="5" t="s">
        <v>2340</v>
      </c>
      <c r="I1150" s="7">
        <v>1114800</v>
      </c>
      <c r="J1150" s="8">
        <v>3.9800000000000002E-2</v>
      </c>
    </row>
    <row r="1151" spans="1:10" x14ac:dyDescent="0.25">
      <c r="A1151" s="5" t="s">
        <v>2328</v>
      </c>
      <c r="B1151" s="5" t="s">
        <v>2341</v>
      </c>
      <c r="C1151" s="6" t="str">
        <f>_xll.QS.CONTEXT.CREATE("market.1149",A1151,"USD","SOFR")</f>
        <v>QSObject:PricingContext:w1~market.1149:4942</v>
      </c>
      <c r="D1151" s="6" t="str">
        <f>_xll.QS.CONTEXT.ADD.CURVE(C1151,"SOFR",$K$2:$K$7,$L$2:$L$7,,,"Actual360","LogLinear",TRUE)</f>
        <v>QSObject:ContextInput:w1~input.qs_context_add_curve.2359132437744.1150.3.0:8137</v>
      </c>
      <c r="E1151" s="6" t="str">
        <f>_xll.QS.INSTRUMENT.SWAP("swap.1149",H1151,B1151,"USD","SOFR",I1151,J1151,0,"Actual360","Simple","Annual","Annual","Annual")</f>
        <v>QSObject:Swap:w1~swap.1149:17225</v>
      </c>
      <c r="F1151" s="6" t="str">
        <f>_xll.QS.TRADE.CREATE("trade.1149",E1151,A1151,"Receive")</f>
        <v>QSObject:SwapTrade:w1~trade.1149:25027</v>
      </c>
      <c r="G1151" s="3">
        <f>_xll.QS.EVALUATE(C1151,F1151)</f>
        <v>40477.786923033345</v>
      </c>
      <c r="H1151" s="5" t="s">
        <v>2342</v>
      </c>
      <c r="I1151" s="7">
        <v>1114900</v>
      </c>
      <c r="J1151" s="8">
        <v>3.9899999999999998E-2</v>
      </c>
    </row>
    <row r="1152" spans="1:10" x14ac:dyDescent="0.25">
      <c r="A1152" s="5" t="s">
        <v>2330</v>
      </c>
      <c r="B1152" s="5" t="s">
        <v>2343</v>
      </c>
      <c r="C1152" s="6" t="str">
        <f>_xll.QS.CONTEXT.CREATE("market.1150",A1152,"USD","SOFR")</f>
        <v>QSObject:PricingContext:w1~market.1150:19879</v>
      </c>
      <c r="D1152" s="6" t="str">
        <f>_xll.QS.CONTEXT.ADD.CURVE(C1152,"SOFR",$K$2:$K$7,$L$2:$L$7,,,"Actual360","LogLinear",TRUE)</f>
        <v>QSObject:ContextInput:w1~input.qs_context_add_curve.2359132437744.1151.3.0:39095</v>
      </c>
      <c r="E1152" s="6" t="str">
        <f>_xll.QS.INSTRUMENT.SWAP("swap.1150",H1152,B1152,"USD","SOFR",I1152,J1152,0,"Actual360","Simple","Annual","Annual","Annual")</f>
        <v>QSObject:Swap:w1~swap.1150:19878</v>
      </c>
      <c r="F1152" s="6" t="str">
        <f>_xll.QS.TRADE.CREATE("trade.1150",E1152,A1152,"Receive")</f>
        <v>QSObject:SwapTrade:w1~trade.1150:26519</v>
      </c>
      <c r="G1152" s="3">
        <f>_xll.QS.EVALUATE(C1152,F1152)</f>
        <v>15411.599614021663</v>
      </c>
      <c r="H1152" s="5" t="s">
        <v>2344</v>
      </c>
      <c r="I1152" s="7">
        <v>1115000</v>
      </c>
      <c r="J1152" s="8">
        <v>3.5000000000000003E-2</v>
      </c>
    </row>
    <row r="1153" spans="1:10" x14ac:dyDescent="0.25">
      <c r="A1153" s="5" t="s">
        <v>2332</v>
      </c>
      <c r="B1153" s="5" t="s">
        <v>2345</v>
      </c>
      <c r="C1153" s="6" t="str">
        <f>_xll.QS.CONTEXT.CREATE("market.1151",A1153,"USD","SOFR")</f>
        <v>QSObject:PricingContext:w1~market.1151:19877</v>
      </c>
      <c r="D1153" s="6" t="str">
        <f>_xll.QS.CONTEXT.ADD.CURVE(C1153,"SOFR",$K$2:$K$7,$L$2:$L$7,,,"Actual360","LogLinear",TRUE)</f>
        <v>QSObject:ContextInput:w1~input.qs_context_add_curve.2359132437744.1152.3.0:39094</v>
      </c>
      <c r="E1153" s="6" t="str">
        <f>_xll.QS.INSTRUMENT.SWAP("swap.1151",H1153,B1153,"USD","SOFR",I1153,J1153,0,"Actual360","Simple","Annual","Annual","Annual")</f>
        <v>QSObject:Swap:w1~swap.1151:19876</v>
      </c>
      <c r="F1153" s="6" t="str">
        <f>_xll.QS.TRADE.CREATE("trade.1151",E1153,A1153,"Receive")</f>
        <v>QSObject:SwapTrade:w1~trade.1151:26518</v>
      </c>
      <c r="G1153" s="3">
        <f>_xll.QS.EVALUATE(C1153,F1153)</f>
        <v>15933.135124734385</v>
      </c>
      <c r="H1153" s="5" t="s">
        <v>2346</v>
      </c>
      <c r="I1153" s="7">
        <v>1115100</v>
      </c>
      <c r="J1153" s="8">
        <v>3.5100000000000013E-2</v>
      </c>
    </row>
    <row r="1154" spans="1:10" x14ac:dyDescent="0.25">
      <c r="A1154" s="5" t="s">
        <v>2334</v>
      </c>
      <c r="B1154" s="5" t="s">
        <v>2347</v>
      </c>
      <c r="C1154" s="6" t="str">
        <f>_xll.QS.CONTEXT.CREATE("market.1152",A1154,"USD","SOFR")</f>
        <v>QSObject:PricingContext:w1~market.1152:19875</v>
      </c>
      <c r="D1154" s="6" t="str">
        <f>_xll.QS.CONTEXT.ADD.CURVE(C1154,"SOFR",$K$2:$K$7,$L$2:$L$7,,,"Actual360","LogLinear",TRUE)</f>
        <v>QSObject:ContextInput:w1~input.qs_context_add_curve.2359132437744.1153.3.0:39093</v>
      </c>
      <c r="E1154" s="6" t="str">
        <f>_xll.QS.INSTRUMENT.SWAP("swap.1152",H1154,B1154,"USD","SOFR",I1154,J1154,0,"Actual360","Simple","Annual","Annual","Annual")</f>
        <v>QSObject:Swap:w1~swap.1152:19874</v>
      </c>
      <c r="F1154" s="6" t="str">
        <f>_xll.QS.TRADE.CREATE("trade.1152",E1154,A1154,"Receive")</f>
        <v>QSObject:SwapTrade:w1~trade.1152:22965</v>
      </c>
      <c r="G1154" s="3">
        <f>_xll.QS.EVALUATE(C1154,F1154)</f>
        <v>16406.069829971522</v>
      </c>
      <c r="H1154" s="5" t="s">
        <v>2348</v>
      </c>
      <c r="I1154" s="7">
        <v>1115200</v>
      </c>
      <c r="J1154" s="8">
        <v>3.5200000000000002E-2</v>
      </c>
    </row>
    <row r="1155" spans="1:10" x14ac:dyDescent="0.25">
      <c r="A1155" s="5" t="s">
        <v>2336</v>
      </c>
      <c r="B1155" s="5" t="s">
        <v>2349</v>
      </c>
      <c r="C1155" s="6" t="str">
        <f>_xll.QS.CONTEXT.CREATE("market.1153",A1155,"USD","SOFR")</f>
        <v>QSObject:PricingContext:w1~market.1153:19873</v>
      </c>
      <c r="D1155" s="6" t="str">
        <f>_xll.QS.CONTEXT.ADD.CURVE(C1155,"SOFR",$K$2:$K$7,$L$2:$L$7,,,"Actual360","LogLinear",TRUE)</f>
        <v>QSObject:ContextInput:w1~input.qs_context_add_curve.2359132437744.1154.3.0:39092</v>
      </c>
      <c r="E1155" s="6" t="str">
        <f>_xll.QS.INSTRUMENT.SWAP("swap.1153",H1155,B1155,"USD","SOFR",I1155,J1155,0,"Actual360","Simple","Annual","Annual","Annual")</f>
        <v>QSObject:Swap:w1~swap.1153:19872</v>
      </c>
      <c r="F1155" s="6" t="str">
        <f>_xll.QS.TRADE.CREATE("trade.1153",E1155,A1155,"Receive")</f>
        <v>QSObject:SwapTrade:w1~trade.1153:25723</v>
      </c>
      <c r="G1155" s="3">
        <f>_xll.QS.EVALUATE(C1155,F1155)</f>
        <v>16854.908366486383</v>
      </c>
      <c r="H1155" s="5" t="s">
        <v>2350</v>
      </c>
      <c r="I1155" s="7">
        <v>1115300</v>
      </c>
      <c r="J1155" s="8">
        <v>3.5299999999999998E-2</v>
      </c>
    </row>
    <row r="1156" spans="1:10" x14ac:dyDescent="0.25">
      <c r="A1156" s="5" t="s">
        <v>2338</v>
      </c>
      <c r="B1156" s="5" t="s">
        <v>2351</v>
      </c>
      <c r="C1156" s="6" t="str">
        <f>_xll.QS.CONTEXT.CREATE("market.1154",A1156,"USD","SOFR")</f>
        <v>QSObject:PricingContext:w1~market.1154:19871</v>
      </c>
      <c r="D1156" s="6" t="str">
        <f>_xll.QS.CONTEXT.ADD.CURVE(C1156,"SOFR",$K$2:$K$7,$L$2:$L$7,,,"Actual360","LogLinear",TRUE)</f>
        <v>QSObject:ContextInput:w1~input.qs_context_add_curve.2359132437744.1155.3.0:39091</v>
      </c>
      <c r="E1156" s="6" t="str">
        <f>_xll.QS.INSTRUMENT.SWAP("swap.1154",H1156,B1156,"USD","SOFR",I1156,J1156,0,"Actual360","Simple","Annual","Annual","Annual")</f>
        <v>QSObject:Swap:w1~swap.1154:19870</v>
      </c>
      <c r="F1156" s="6" t="str">
        <f>_xll.QS.TRADE.CREATE("trade.1154",E1156,A1156,"Receive")</f>
        <v>QSObject:SwapTrade:w1~trade.1154:27636</v>
      </c>
      <c r="G1156" s="3">
        <f>_xll.QS.EVALUATE(C1156,F1156)</f>
        <v>17270.492826612332</v>
      </c>
      <c r="H1156" s="5" t="s">
        <v>2352</v>
      </c>
      <c r="I1156" s="7">
        <v>1115400</v>
      </c>
      <c r="J1156" s="8">
        <v>3.5400000000000001E-2</v>
      </c>
    </row>
    <row r="1157" spans="1:10" x14ac:dyDescent="0.25">
      <c r="A1157" s="5" t="s">
        <v>2340</v>
      </c>
      <c r="B1157" s="5" t="s">
        <v>2353</v>
      </c>
      <c r="C1157" s="6" t="str">
        <f>_xll.QS.CONTEXT.CREATE("market.1155",A1157,"USD","SOFR")</f>
        <v>QSObject:PricingContext:w1~market.1155:19869</v>
      </c>
      <c r="D1157" s="6" t="str">
        <f>_xll.QS.CONTEXT.ADD.CURVE(C1157,"SOFR",$K$2:$K$7,$L$2:$L$7,,,"Actual360","LogLinear",TRUE)</f>
        <v>QSObject:ContextInput:w1~input.qs_context_add_curve.2359132437744.1156.3.0:39090</v>
      </c>
      <c r="E1157" s="6" t="str">
        <f>_xll.QS.INSTRUMENT.SWAP("swap.1155",H1157,B1157,"USD","SOFR",I1157,J1157,0,"Actual360","Simple","Annual","Annual","Annual")</f>
        <v>QSObject:Swap:w1~swap.1155:19868</v>
      </c>
      <c r="F1157" s="6" t="str">
        <f>_xll.QS.TRADE.CREATE("trade.1155",E1157,A1157,"Receive")</f>
        <v>QSObject:SwapTrade:w1~trade.1155:22312</v>
      </c>
      <c r="G1157" s="3">
        <f>_xll.QS.EVALUATE(C1157,F1157)</f>
        <v>17832.499111318462</v>
      </c>
      <c r="H1157" s="5" t="s">
        <v>2354</v>
      </c>
      <c r="I1157" s="7">
        <v>1115500</v>
      </c>
      <c r="J1157" s="8">
        <v>3.5499999999999997E-2</v>
      </c>
    </row>
    <row r="1158" spans="1:10" x14ac:dyDescent="0.25">
      <c r="A1158" s="5" t="s">
        <v>2342</v>
      </c>
      <c r="B1158" s="5" t="s">
        <v>2355</v>
      </c>
      <c r="C1158" s="6" t="str">
        <f>_xll.QS.CONTEXT.CREATE("market.1156",A1158,"USD","SOFR")</f>
        <v>QSObject:PricingContext:w1~market.1156:19867</v>
      </c>
      <c r="D1158" s="6" t="str">
        <f>_xll.QS.CONTEXT.ADD.CURVE(C1158,"SOFR",$K$2:$K$7,$L$2:$L$7,,,"Actual360","LogLinear",TRUE)</f>
        <v>QSObject:ContextInput:w1~input.qs_context_add_curve.2359132437744.1157.3.0:39089</v>
      </c>
      <c r="E1158" s="6" t="str">
        <f>_xll.QS.INSTRUMENT.SWAP("swap.1156",H1158,B1158,"USD","SOFR",I1158,J1158,0,"Actual360","Simple","Annual","Annual","Annual")</f>
        <v>QSObject:Swap:w1~swap.1156:19866</v>
      </c>
      <c r="F1158" s="6" t="str">
        <f>_xll.QS.TRADE.CREATE("trade.1156",E1158,A1158,"Receive")</f>
        <v>QSObject:SwapTrade:w1~trade.1156:25722</v>
      </c>
      <c r="G1158" s="3">
        <f>_xll.QS.EVALUATE(C1158,F1158)</f>
        <v>18382.353900371796</v>
      </c>
      <c r="H1158" s="5" t="s">
        <v>2356</v>
      </c>
      <c r="I1158" s="7">
        <v>1115600</v>
      </c>
      <c r="J1158" s="8">
        <v>3.5600000000000007E-2</v>
      </c>
    </row>
    <row r="1159" spans="1:10" x14ac:dyDescent="0.25">
      <c r="A1159" s="5" t="s">
        <v>2344</v>
      </c>
      <c r="B1159" s="5" t="s">
        <v>2357</v>
      </c>
      <c r="C1159" s="6" t="str">
        <f>_xll.QS.CONTEXT.CREATE("market.1157",A1159,"USD","SOFR")</f>
        <v>QSObject:PricingContext:w1~market.1157:19865</v>
      </c>
      <c r="D1159" s="6" t="str">
        <f>_xll.QS.CONTEXT.ADD.CURVE(C1159,"SOFR",$K$2:$K$7,$L$2:$L$7,,,"Actual360","LogLinear",TRUE)</f>
        <v>QSObject:ContextInput:w1~input.qs_context_add_curve.2359132437744.1158.3.0:39088</v>
      </c>
      <c r="E1159" s="6" t="str">
        <f>_xll.QS.INSTRUMENT.SWAP("swap.1157",H1159,B1159,"USD","SOFR",I1159,J1159,0,"Actual360","Simple","Annual","Annual","Annual")</f>
        <v>QSObject:Swap:w1~swap.1157:19864</v>
      </c>
      <c r="F1159" s="6" t="str">
        <f>_xll.QS.TRADE.CREATE("trade.1157",E1159,A1159,"Receive")</f>
        <v>QSObject:SwapTrade:w1~trade.1157:25026</v>
      </c>
      <c r="G1159" s="3">
        <f>_xll.QS.EVALUATE(C1159,F1159)</f>
        <v>18980.06564679091</v>
      </c>
      <c r="H1159" s="5" t="s">
        <v>2358</v>
      </c>
      <c r="I1159" s="7">
        <v>1115700</v>
      </c>
      <c r="J1159" s="8">
        <v>3.5700000000000003E-2</v>
      </c>
    </row>
    <row r="1160" spans="1:10" x14ac:dyDescent="0.25">
      <c r="A1160" s="5" t="s">
        <v>2346</v>
      </c>
      <c r="B1160" s="5" t="s">
        <v>2359</v>
      </c>
      <c r="C1160" s="6" t="str">
        <f>_xll.QS.CONTEXT.CREATE("market.1158",A1160,"USD","SOFR")</f>
        <v>QSObject:PricingContext:w1~market.1158:19863</v>
      </c>
      <c r="D1160" s="6" t="str">
        <f>_xll.QS.CONTEXT.ADD.CURVE(C1160,"SOFR",$K$2:$K$7,$L$2:$L$7,,,"Actual360","LogLinear",TRUE)</f>
        <v>QSObject:ContextInput:w1~input.qs_context_add_curve.2359132437744.1159.3.0:39087</v>
      </c>
      <c r="E1160" s="6" t="str">
        <f>_xll.QS.INSTRUMENT.SWAP("swap.1158",H1160,B1160,"USD","SOFR",I1160,J1160,0,"Actual360","Simple","Annual","Annual","Annual")</f>
        <v>QSObject:Swap:w1~swap.1158:19862</v>
      </c>
      <c r="F1160" s="6" t="str">
        <f>_xll.QS.TRADE.CREATE("trade.1158",E1160,A1160,"Receive")</f>
        <v>QSObject:SwapTrade:w1~trade.1158:27008</v>
      </c>
      <c r="G1160" s="3">
        <f>_xll.QS.EVALUATE(C1160,F1160)</f>
        <v>19544.949911350181</v>
      </c>
      <c r="H1160" s="5" t="s">
        <v>2360</v>
      </c>
      <c r="I1160" s="7">
        <v>1115800</v>
      </c>
      <c r="J1160" s="8">
        <v>3.5800000000000012E-2</v>
      </c>
    </row>
    <row r="1161" spans="1:10" x14ac:dyDescent="0.25">
      <c r="A1161" s="5" t="s">
        <v>2348</v>
      </c>
      <c r="B1161" s="5" t="s">
        <v>2361</v>
      </c>
      <c r="C1161" s="6" t="str">
        <f>_xll.QS.CONTEXT.CREATE("market.1159",A1161,"USD","SOFR")</f>
        <v>QSObject:PricingContext:w1~market.1159:19861</v>
      </c>
      <c r="D1161" s="6" t="str">
        <f>_xll.QS.CONTEXT.ADD.CURVE(C1161,"SOFR",$K$2:$K$7,$L$2:$L$7,,,"Actual360","LogLinear",TRUE)</f>
        <v>QSObject:ContextInput:w1~input.qs_context_add_curve.2359132437744.1160.3.0:39086</v>
      </c>
      <c r="E1161" s="6" t="str">
        <f>_xll.QS.INSTRUMENT.SWAP("swap.1159",H1161,B1161,"USD","SOFR",I1161,J1161,0,"Actual360","Simple","Annual","Annual","Annual")</f>
        <v>QSObject:Swap:w1~swap.1159:19860</v>
      </c>
      <c r="F1161" s="6" t="str">
        <f>_xll.QS.TRADE.CREATE("trade.1159",E1161,A1161,"Receive")</f>
        <v>QSObject:SwapTrade:w1~trade.1159:24215</v>
      </c>
      <c r="G1161" s="3">
        <f>_xll.QS.EVALUATE(C1161,F1161)</f>
        <v>20018.463805618419</v>
      </c>
      <c r="H1161" s="5" t="s">
        <v>2362</v>
      </c>
      <c r="I1161" s="7">
        <v>1115900</v>
      </c>
      <c r="J1161" s="8">
        <v>3.5900000000000001E-2</v>
      </c>
    </row>
    <row r="1162" spans="1:10" x14ac:dyDescent="0.25">
      <c r="A1162" s="5" t="s">
        <v>2350</v>
      </c>
      <c r="B1162" s="5" t="s">
        <v>2363</v>
      </c>
      <c r="C1162" s="6" t="str">
        <f>_xll.QS.CONTEXT.CREATE("market.1160",A1162,"USD","SOFR")</f>
        <v>QSObject:PricingContext:w1~market.1160:19859</v>
      </c>
      <c r="D1162" s="6" t="str">
        <f>_xll.QS.CONTEXT.ADD.CURVE(C1162,"SOFR",$K$2:$K$7,$L$2:$L$7,,,"Actual360","LogLinear",TRUE)</f>
        <v>QSObject:ContextInput:w1~input.qs_context_add_curve.2359132437744.1161.3.0:39085</v>
      </c>
      <c r="E1162" s="6" t="str">
        <f>_xll.QS.INSTRUMENT.SWAP("swap.1160",H1162,B1162,"USD","SOFR",I1162,J1162,0,"Actual360","Simple","Annual","Annual","Annual")</f>
        <v>QSObject:Swap:w1~swap.1160:19858</v>
      </c>
      <c r="F1162" s="6" t="str">
        <f>_xll.QS.TRADE.CREATE("trade.1160",E1162,A1162,"Receive")</f>
        <v>QSObject:SwapTrade:w1~trade.1160:30299</v>
      </c>
      <c r="G1162" s="3">
        <f>_xll.QS.EVALUATE(C1162,F1162)</f>
        <v>20463.663515620836</v>
      </c>
      <c r="H1162" s="5" t="s">
        <v>2364</v>
      </c>
      <c r="I1162" s="7">
        <v>1116000</v>
      </c>
      <c r="J1162" s="8">
        <v>3.5999999999999997E-2</v>
      </c>
    </row>
    <row r="1163" spans="1:10" x14ac:dyDescent="0.25">
      <c r="A1163" s="5" t="s">
        <v>2352</v>
      </c>
      <c r="B1163" s="5" t="s">
        <v>2365</v>
      </c>
      <c r="C1163" s="6" t="str">
        <f>_xll.QS.CONTEXT.CREATE("market.1161",A1163,"USD","SOFR")</f>
        <v>QSObject:PricingContext:w1~market.1161:19857</v>
      </c>
      <c r="D1163" s="6" t="str">
        <f>_xll.QS.CONTEXT.ADD.CURVE(C1163,"SOFR",$K$2:$K$7,$L$2:$L$7,,,"Actual360","LogLinear",TRUE)</f>
        <v>QSObject:ContextInput:w1~input.qs_context_add_curve.2359132437744.1162.3.0:39084</v>
      </c>
      <c r="E1163" s="6" t="str">
        <f>_xll.QS.INSTRUMENT.SWAP("swap.1161",H1163,B1163,"USD","SOFR",I1163,J1163,0,"Actual360","Simple","Annual","Annual","Annual")</f>
        <v>QSObject:Swap:w1~swap.1161:19856</v>
      </c>
      <c r="F1163" s="6" t="str">
        <f>_xll.QS.TRADE.CREATE("trade.1161",E1163,A1163,"Receive")</f>
        <v>QSObject:SwapTrade:w1~trade.1161:29632</v>
      </c>
      <c r="G1163" s="3">
        <f>_xll.QS.EVALUATE(C1163,F1163)</f>
        <v>20885.41568643591</v>
      </c>
      <c r="H1163" s="5" t="s">
        <v>2366</v>
      </c>
      <c r="I1163" s="7">
        <v>1116100</v>
      </c>
      <c r="J1163" s="8">
        <v>3.61E-2</v>
      </c>
    </row>
    <row r="1164" spans="1:10" x14ac:dyDescent="0.25">
      <c r="A1164" s="5" t="s">
        <v>2354</v>
      </c>
      <c r="B1164" s="5" t="s">
        <v>2367</v>
      </c>
      <c r="C1164" s="6" t="str">
        <f>_xll.QS.CONTEXT.CREATE("market.1162",A1164,"USD","SOFR")</f>
        <v>QSObject:PricingContext:w1~market.1162:19855</v>
      </c>
      <c r="D1164" s="6" t="str">
        <f>_xll.QS.CONTEXT.ADD.CURVE(C1164,"SOFR",$K$2:$K$7,$L$2:$L$7,,,"Actual360","LogLinear",TRUE)</f>
        <v>QSObject:ContextInput:w1~input.qs_context_add_curve.2359132437744.1163.3.0:39083</v>
      </c>
      <c r="E1164" s="6" t="str">
        <f>_xll.QS.INSTRUMENT.SWAP("swap.1162",H1164,B1164,"USD","SOFR",I1164,J1164,0,"Actual360","Simple","Annual","Annual","Annual")</f>
        <v>QSObject:Swap:w1~swap.1162:19854</v>
      </c>
      <c r="F1164" s="6" t="str">
        <f>_xll.QS.TRADE.CREATE("trade.1162",E1164,A1164,"Receive")</f>
        <v>QSObject:SwapTrade:w1~trade.1162:30399</v>
      </c>
      <c r="G1164" s="3">
        <f>_xll.QS.EVALUATE(C1164,F1164)</f>
        <v>21448.445736340673</v>
      </c>
      <c r="H1164" s="5" t="s">
        <v>2368</v>
      </c>
      <c r="I1164" s="7">
        <v>1116200</v>
      </c>
      <c r="J1164" s="8">
        <v>3.6200000000000003E-2</v>
      </c>
    </row>
    <row r="1165" spans="1:10" x14ac:dyDescent="0.25">
      <c r="A1165" s="5" t="s">
        <v>2356</v>
      </c>
      <c r="B1165" s="5" t="s">
        <v>2369</v>
      </c>
      <c r="C1165" s="6" t="str">
        <f>_xll.QS.CONTEXT.CREATE("market.1163",A1165,"USD","SOFR")</f>
        <v>QSObject:PricingContext:w1~market.1163:19853</v>
      </c>
      <c r="D1165" s="6" t="str">
        <f>_xll.QS.CONTEXT.ADD.CURVE(C1165,"SOFR",$K$2:$K$7,$L$2:$L$7,,,"Actual360","LogLinear",TRUE)</f>
        <v>QSObject:ContextInput:w1~input.qs_context_add_curve.2359132437744.1164.3.0:39082</v>
      </c>
      <c r="E1165" s="6" t="str">
        <f>_xll.QS.INSTRUMENT.SWAP("swap.1163",H1165,B1165,"USD","SOFR",I1165,J1165,0,"Actual360","Simple","Annual","Annual","Annual")</f>
        <v>QSObject:Swap:w1~swap.1163:19852</v>
      </c>
      <c r="F1165" s="6" t="str">
        <f>_xll.QS.TRADE.CREATE("trade.1163",E1165,A1165,"Receive")</f>
        <v>QSObject:SwapTrade:w1~trade.1163:27635</v>
      </c>
      <c r="G1165" s="3">
        <f>_xll.QS.EVALUATE(C1165,F1165)</f>
        <v>21997.216623320423</v>
      </c>
      <c r="H1165" s="5" t="s">
        <v>2370</v>
      </c>
      <c r="I1165" s="7">
        <v>1116300</v>
      </c>
      <c r="J1165" s="8">
        <v>3.6300000000000013E-2</v>
      </c>
    </row>
    <row r="1166" spans="1:10" x14ac:dyDescent="0.25">
      <c r="A1166" s="5" t="s">
        <v>2358</v>
      </c>
      <c r="B1166" s="5" t="s">
        <v>2371</v>
      </c>
      <c r="C1166" s="6" t="str">
        <f>_xll.QS.CONTEXT.CREATE("market.1164",A1166,"USD","SOFR")</f>
        <v>QSObject:PricingContext:w1~market.1164:19851</v>
      </c>
      <c r="D1166" s="6" t="str">
        <f>_xll.QS.CONTEXT.ADD.CURVE(C1166,"SOFR",$K$2:$K$7,$L$2:$L$7,,,"Actual360","LogLinear",TRUE)</f>
        <v>QSObject:ContextInput:w1~input.qs_context_add_curve.2359132437744.1165.3.0:39081</v>
      </c>
      <c r="E1166" s="6" t="str">
        <f>_xll.QS.INSTRUMENT.SWAP("swap.1164",H1166,B1166,"USD","SOFR",I1166,J1166,0,"Actual360","Simple","Annual","Annual","Annual")</f>
        <v>QSObject:Swap:w1~swap.1164:19850</v>
      </c>
      <c r="F1166" s="6" t="str">
        <f>_xll.QS.TRADE.CREATE("trade.1164",E1166,A1166,"Receive")</f>
        <v>QSObject:SwapTrade:w1~trade.1164:22964</v>
      </c>
      <c r="G1166" s="3">
        <f>_xll.QS.EVALUATE(C1166,F1166)</f>
        <v>22595.682164804264</v>
      </c>
      <c r="H1166" s="5" t="s">
        <v>2372</v>
      </c>
      <c r="I1166" s="7">
        <v>1116400</v>
      </c>
      <c r="J1166" s="8">
        <v>3.6400000000000002E-2</v>
      </c>
    </row>
    <row r="1167" spans="1:10" x14ac:dyDescent="0.25">
      <c r="A1167" s="5" t="s">
        <v>2360</v>
      </c>
      <c r="B1167" s="5" t="s">
        <v>2373</v>
      </c>
      <c r="C1167" s="6" t="str">
        <f>_xll.QS.CONTEXT.CREATE("market.1165",A1167,"USD","SOFR")</f>
        <v>QSObject:PricingContext:w1~market.1165:19849</v>
      </c>
      <c r="D1167" s="6" t="str">
        <f>_xll.QS.CONTEXT.ADD.CURVE(C1167,"SOFR",$K$2:$K$7,$L$2:$L$7,,,"Actual360","LogLinear",TRUE)</f>
        <v>QSObject:ContextInput:w1~input.qs_context_add_curve.2359132437744.1166.3.0:39080</v>
      </c>
      <c r="E1167" s="6" t="str">
        <f>_xll.QS.INSTRUMENT.SWAP("swap.1165",H1167,B1167,"USD","SOFR",I1167,J1167,0,"Actual360","Simple","Annual","Annual","Annual")</f>
        <v>QSObject:Swap:w1~swap.1165:19848</v>
      </c>
      <c r="F1167" s="6" t="str">
        <f>_xll.QS.TRADE.CREATE("trade.1165",E1167,A1167,"Receive")</f>
        <v>QSObject:SwapTrade:w1~trade.1165:26517</v>
      </c>
      <c r="G1167" s="3">
        <f>_xll.QS.EVALUATE(C1167,F1167)</f>
        <v>23161.283911038234</v>
      </c>
      <c r="H1167" s="5" t="s">
        <v>2374</v>
      </c>
      <c r="I1167" s="7">
        <v>1116500</v>
      </c>
      <c r="J1167" s="8">
        <v>3.6499999999999998E-2</v>
      </c>
    </row>
    <row r="1168" spans="1:10" x14ac:dyDescent="0.25">
      <c r="A1168" s="5" t="s">
        <v>2362</v>
      </c>
      <c r="B1168" s="5" t="s">
        <v>2375</v>
      </c>
      <c r="C1168" s="6" t="str">
        <f>_xll.QS.CONTEXT.CREATE("market.1166",A1168,"USD","SOFR")</f>
        <v>QSObject:PricingContext:w1~market.1166:19847</v>
      </c>
      <c r="D1168" s="6" t="str">
        <f>_xll.QS.CONTEXT.ADD.CURVE(C1168,"SOFR",$K$2:$K$7,$L$2:$L$7,,,"Actual360","LogLinear",TRUE)</f>
        <v>QSObject:ContextInput:w1~input.qs_context_add_curve.2359132437744.1167.3.0:39079</v>
      </c>
      <c r="E1168" s="6" t="str">
        <f>_xll.QS.INSTRUMENT.SWAP("swap.1166",H1168,B1168,"USD","SOFR",I1168,J1168,0,"Actual360","Simple","Annual","Annual","Annual")</f>
        <v>QSObject:Swap:w1~swap.1166:19846</v>
      </c>
      <c r="F1168" s="6" t="str">
        <f>_xll.QS.TRADE.CREATE("trade.1166",E1168,A1168,"Receive")</f>
        <v>QSObject:SwapTrade:w1~trade.1166:29631</v>
      </c>
      <c r="G1168" s="3">
        <f>_xll.QS.EVALUATE(C1168,F1168)</f>
        <v>23635.376944691434</v>
      </c>
      <c r="H1168" s="5" t="s">
        <v>2376</v>
      </c>
      <c r="I1168" s="7">
        <v>1116600</v>
      </c>
      <c r="J1168" s="8">
        <v>3.6600000000000001E-2</v>
      </c>
    </row>
    <row r="1169" spans="1:10" x14ac:dyDescent="0.25">
      <c r="A1169" s="5" t="s">
        <v>2364</v>
      </c>
      <c r="B1169" s="5" t="s">
        <v>2377</v>
      </c>
      <c r="C1169" s="6" t="str">
        <f>_xll.QS.CONTEXT.CREATE("market.1167",A1169,"USD","SOFR")</f>
        <v>QSObject:PricingContext:w1~market.1167:19845</v>
      </c>
      <c r="D1169" s="6" t="str">
        <f>_xll.QS.CONTEXT.ADD.CURVE(C1169,"SOFR",$K$2:$K$7,$L$2:$L$7,,,"Actual360","LogLinear",TRUE)</f>
        <v>QSObject:ContextInput:w1~input.qs_context_add_curve.2359132437744.1168.3.0:39078</v>
      </c>
      <c r="E1169" s="6" t="str">
        <f>_xll.QS.INSTRUMENT.SWAP("swap.1167",H1169,B1169,"USD","SOFR",I1169,J1169,0,"Actual360","Simple","Annual","Annual","Annual")</f>
        <v>QSObject:Swap:w1~swap.1167:19844</v>
      </c>
      <c r="F1169" s="6" t="str">
        <f>_xll.QS.TRADE.CREATE("trade.1167",E1169,A1169,"Receive")</f>
        <v>QSObject:SwapTrade:w1~trade.1167:29630</v>
      </c>
      <c r="G1169" s="3">
        <f>_xll.QS.EVALUATE(C1169,F1169)</f>
        <v>24076.932506165853</v>
      </c>
      <c r="H1169" s="5" t="s">
        <v>2378</v>
      </c>
      <c r="I1169" s="7">
        <v>1116700</v>
      </c>
      <c r="J1169" s="8">
        <v>3.6700000000000003E-2</v>
      </c>
    </row>
    <row r="1170" spans="1:10" x14ac:dyDescent="0.25">
      <c r="A1170" s="5" t="s">
        <v>2366</v>
      </c>
      <c r="B1170" s="5" t="s">
        <v>2379</v>
      </c>
      <c r="C1170" s="6" t="str">
        <f>_xll.QS.CONTEXT.CREATE("market.1168",A1170,"USD","SOFR")</f>
        <v>QSObject:PricingContext:w1~market.1168:19843</v>
      </c>
      <c r="D1170" s="6" t="str">
        <f>_xll.QS.CONTEXT.ADD.CURVE(C1170,"SOFR",$K$2:$K$7,$L$2:$L$7,,,"Actual360","LogLinear",TRUE)</f>
        <v>QSObject:ContextInput:w1~input.qs_context_add_curve.2359132437744.1169.3.0:39077</v>
      </c>
      <c r="E1170" s="6" t="str">
        <f>_xll.QS.INSTRUMENT.SWAP("swap.1168",H1170,B1170,"USD","SOFR",I1170,J1170,0,"Actual360","Simple","Annual","Annual","Annual")</f>
        <v>QSObject:Swap:w1~swap.1168:19842</v>
      </c>
      <c r="F1170" s="6" t="str">
        <f>_xll.QS.TRADE.CREATE("trade.1168",E1170,A1170,"Receive")</f>
        <v>QSObject:SwapTrade:w1~trade.1168:29629</v>
      </c>
      <c r="G1170" s="3">
        <f>_xll.QS.EVALUATE(C1170,F1170)</f>
        <v>24504.859393854698</v>
      </c>
      <c r="H1170" s="5" t="s">
        <v>2380</v>
      </c>
      <c r="I1170" s="7">
        <v>1116800</v>
      </c>
      <c r="J1170" s="8">
        <v>3.6800000000000013E-2</v>
      </c>
    </row>
    <row r="1171" spans="1:10" x14ac:dyDescent="0.25">
      <c r="A1171" s="5" t="s">
        <v>2368</v>
      </c>
      <c r="B1171" s="5" t="s">
        <v>2381</v>
      </c>
      <c r="C1171" s="6" t="str">
        <f>_xll.QS.CONTEXT.CREATE("market.1169",A1171,"USD","SOFR")</f>
        <v>QSObject:PricingContext:w1~market.1169:19841</v>
      </c>
      <c r="D1171" s="6" t="str">
        <f>_xll.QS.CONTEXT.ADD.CURVE(C1171,"SOFR",$K$2:$K$7,$L$2:$L$7,,,"Actual360","LogLinear",TRUE)</f>
        <v>QSObject:ContextInput:w1~input.qs_context_add_curve.2359132437744.1170.3.0:39076</v>
      </c>
      <c r="E1171" s="6" t="str">
        <f>_xll.QS.INSTRUMENT.SWAP("swap.1169",H1171,B1171,"USD","SOFR",I1171,J1171,0,"Actual360","Simple","Annual","Annual","Annual")</f>
        <v>QSObject:Swap:w1~swap.1169:19840</v>
      </c>
      <c r="F1171" s="6" t="str">
        <f>_xll.QS.TRADE.CREATE("trade.1169",E1171,A1171,"Receive")</f>
        <v>QSObject:SwapTrade:w1~trade.1169:31131</v>
      </c>
      <c r="G1171" s="3">
        <f>_xll.QS.EVALUATE(C1171,F1171)</f>
        <v>25068.913646878922</v>
      </c>
      <c r="H1171" s="5" t="s">
        <v>2382</v>
      </c>
      <c r="I1171" s="7">
        <v>1116900</v>
      </c>
      <c r="J1171" s="8">
        <v>3.6900000000000002E-2</v>
      </c>
    </row>
    <row r="1172" spans="1:10" x14ac:dyDescent="0.25">
      <c r="A1172" s="5" t="s">
        <v>2370</v>
      </c>
      <c r="B1172" s="5" t="s">
        <v>2383</v>
      </c>
      <c r="C1172" s="6" t="str">
        <f>_xll.QS.CONTEXT.CREATE("market.1170",A1172,"USD","SOFR")</f>
        <v>QSObject:PricingContext:w1~market.1170:19839</v>
      </c>
      <c r="D1172" s="6" t="str">
        <f>_xll.QS.CONTEXT.ADD.CURVE(C1172,"SOFR",$K$2:$K$7,$L$2:$L$7,,,"Actual360","LogLinear",TRUE)</f>
        <v>QSObject:ContextInput:w1~input.qs_context_add_curve.2359132437744.1171.3.0:39075</v>
      </c>
      <c r="E1172" s="6" t="str">
        <f>_xll.QS.INSTRUMENT.SWAP("swap.1170",H1172,B1172,"USD","SOFR",I1172,J1172,0,"Actual360","Simple","Annual","Annual","Annual")</f>
        <v>QSObject:Swap:w1~swap.1170:19838</v>
      </c>
      <c r="F1172" s="6" t="str">
        <f>_xll.QS.TRADE.CREATE("trade.1170",E1172,A1172,"Receive")</f>
        <v>QSObject:SwapTrade:w1~trade.1170:30398</v>
      </c>
      <c r="G1172" s="3">
        <f>_xll.QS.EVALUATE(C1172,F1172)</f>
        <v>25616.598435952819</v>
      </c>
      <c r="H1172" s="5" t="s">
        <v>2384</v>
      </c>
      <c r="I1172" s="7">
        <v>1117000</v>
      </c>
      <c r="J1172" s="8">
        <v>3.7000000000000012E-2</v>
      </c>
    </row>
    <row r="1173" spans="1:10" x14ac:dyDescent="0.25">
      <c r="A1173" s="5" t="s">
        <v>2372</v>
      </c>
      <c r="B1173" s="5" t="s">
        <v>2385</v>
      </c>
      <c r="C1173" s="6" t="str">
        <f>_xll.QS.CONTEXT.CREATE("market.1171",A1173,"USD","SOFR")</f>
        <v>QSObject:PricingContext:w1~market.1171:19837</v>
      </c>
      <c r="D1173" s="6" t="str">
        <f>_xll.QS.CONTEXT.ADD.CURVE(C1173,"SOFR",$K$2:$K$7,$L$2:$L$7,,,"Actual360","LogLinear",TRUE)</f>
        <v>QSObject:ContextInput:w1~input.qs_context_add_curve.2359132437744.1172.3.0:39074</v>
      </c>
      <c r="E1173" s="6" t="str">
        <f>_xll.QS.INSTRUMENT.SWAP("swap.1171",H1173,B1173,"USD","SOFR",I1173,J1173,0,"Actual360","Simple","Annual","Annual","Annual")</f>
        <v>QSObject:Swap:w1~swap.1171:19836</v>
      </c>
      <c r="F1173" s="6" t="str">
        <f>_xll.QS.TRADE.CREATE("trade.1171",E1173,A1173,"Receive")</f>
        <v>QSObject:SwapTrade:w1~trade.1171:25025</v>
      </c>
      <c r="G1173" s="3">
        <f>_xll.QS.EVALUATE(C1173,F1173)</f>
        <v>26215.817844015015</v>
      </c>
      <c r="H1173" s="5" t="s">
        <v>2386</v>
      </c>
      <c r="I1173" s="7">
        <v>1117100</v>
      </c>
      <c r="J1173" s="8">
        <v>3.7100000000000001E-2</v>
      </c>
    </row>
    <row r="1174" spans="1:10" x14ac:dyDescent="0.25">
      <c r="A1174" s="5" t="s">
        <v>2374</v>
      </c>
      <c r="B1174" s="5" t="s">
        <v>2387</v>
      </c>
      <c r="C1174" s="6" t="str">
        <f>_xll.QS.CONTEXT.CREATE("market.1172",A1174,"USD","SOFR")</f>
        <v>QSObject:PricingContext:w1~market.1172:19835</v>
      </c>
      <c r="D1174" s="6" t="str">
        <f>_xll.QS.CONTEXT.ADD.CURVE(C1174,"SOFR",$K$2:$K$7,$L$2:$L$7,,,"Actual360","LogLinear",TRUE)</f>
        <v>QSObject:ContextInput:w1~input.qs_context_add_curve.2359132437744.1173.3.0:39073</v>
      </c>
      <c r="E1174" s="6" t="str">
        <f>_xll.QS.INSTRUMENT.SWAP("swap.1172",H1174,B1174,"USD","SOFR",I1174,J1174,0,"Actual360","Simple","Annual","Annual","Annual")</f>
        <v>QSObject:Swap:w1~swap.1172:19834</v>
      </c>
      <c r="F1174" s="6" t="str">
        <f>_xll.QS.TRADE.CREATE("trade.1172",E1174,A1174,"Receive")</f>
        <v>QSObject:SwapTrade:w1~trade.1172:30397</v>
      </c>
      <c r="G1174" s="3">
        <f>_xll.QS.EVALUATE(C1174,F1174)</f>
        <v>26782.137123798391</v>
      </c>
      <c r="H1174" s="5" t="s">
        <v>2388</v>
      </c>
      <c r="I1174" s="7">
        <v>1117200</v>
      </c>
      <c r="J1174" s="8">
        <v>3.7199999999999997E-2</v>
      </c>
    </row>
    <row r="1175" spans="1:10" x14ac:dyDescent="0.25">
      <c r="A1175" s="5" t="s">
        <v>2376</v>
      </c>
      <c r="B1175" s="5" t="s">
        <v>2389</v>
      </c>
      <c r="C1175" s="6" t="str">
        <f>_xll.QS.CONTEXT.CREATE("market.1173",A1175,"USD","SOFR")</f>
        <v>QSObject:PricingContext:w1~market.1173:19833</v>
      </c>
      <c r="D1175" s="6" t="str">
        <f>_xll.QS.CONTEXT.ADD.CURVE(C1175,"SOFR",$K$2:$K$7,$L$2:$L$7,,,"Actual360","LogLinear",TRUE)</f>
        <v>QSObject:ContextInput:w1~input.qs_context_add_curve.2359132437744.1174.3.0:39072</v>
      </c>
      <c r="E1175" s="6" t="str">
        <f>_xll.QS.INSTRUMENT.SWAP("swap.1173",H1175,B1175,"USD","SOFR",I1175,J1175,0,"Actual360","Simple","Annual","Annual","Annual")</f>
        <v>QSObject:Swap:w1~swap.1173:19832</v>
      </c>
      <c r="F1175" s="6" t="str">
        <f>_xll.QS.TRADE.CREATE("trade.1173",E1175,A1175,"Receive")</f>
        <v>QSObject:SwapTrade:w1~trade.1173:29004</v>
      </c>
      <c r="G1175" s="3">
        <f>_xll.QS.EVALUATE(C1175,F1175)</f>
        <v>27256.809247190537</v>
      </c>
      <c r="H1175" s="5" t="s">
        <v>2390</v>
      </c>
      <c r="I1175" s="7">
        <v>1117300</v>
      </c>
      <c r="J1175" s="8">
        <v>3.73E-2</v>
      </c>
    </row>
    <row r="1176" spans="1:10" x14ac:dyDescent="0.25">
      <c r="A1176" s="5" t="s">
        <v>2378</v>
      </c>
      <c r="B1176" s="5" t="s">
        <v>2391</v>
      </c>
      <c r="C1176" s="6" t="str">
        <f>_xll.QS.CONTEXT.CREATE("market.1174",A1176,"USD","SOFR")</f>
        <v>QSObject:PricingContext:w1~market.1174:19831</v>
      </c>
      <c r="D1176" s="6" t="str">
        <f>_xll.QS.CONTEXT.ADD.CURVE(C1176,"SOFR",$K$2:$K$7,$L$2:$L$7,,,"Actual360","LogLinear",TRUE)</f>
        <v>QSObject:ContextInput:w1~input.qs_context_add_curve.2359132437744.1175.3.0:39071</v>
      </c>
      <c r="E1176" s="6" t="str">
        <f>_xll.QS.INSTRUMENT.SWAP("swap.1174",H1176,B1176,"USD","SOFR",I1176,J1176,0,"Actual360","Simple","Annual","Annual","Annual")</f>
        <v>QSObject:Swap:w1~swap.1174:19830</v>
      </c>
      <c r="F1176" s="6" t="str">
        <f>_xll.QS.TRADE.CREATE("trade.1174",E1176,A1176,"Receive")</f>
        <v>QSObject:SwapTrade:w1~trade.1174:25721</v>
      </c>
      <c r="G1176" s="3">
        <f>_xll.QS.EVALUATE(C1176,F1176)</f>
        <v>27694.715338121478</v>
      </c>
      <c r="H1176" s="5" t="s">
        <v>2392</v>
      </c>
      <c r="I1176" s="7">
        <v>1117400</v>
      </c>
      <c r="J1176" s="8">
        <v>3.7400000000000003E-2</v>
      </c>
    </row>
    <row r="1177" spans="1:10" x14ac:dyDescent="0.25">
      <c r="A1177" s="5" t="s">
        <v>2380</v>
      </c>
      <c r="B1177" s="5" t="s">
        <v>2393</v>
      </c>
      <c r="C1177" s="6" t="str">
        <f>_xll.QS.CONTEXT.CREATE("market.1175",A1177,"USD","SOFR")</f>
        <v>QSObject:PricingContext:w1~market.1175:19829</v>
      </c>
      <c r="D1177" s="6" t="str">
        <f>_xll.QS.CONTEXT.ADD.CURVE(C1177,"SOFR",$K$2:$K$7,$L$2:$L$7,,,"Actual360","LogLinear",TRUE)</f>
        <v>QSObject:ContextInput:w1~input.qs_context_add_curve.2359132437744.1176.3.0:39070</v>
      </c>
      <c r="E1177" s="6" t="str">
        <f>_xll.QS.INSTRUMENT.SWAP("swap.1175",H1177,B1177,"USD","SOFR",I1177,J1177,0,"Actual360","Simple","Annual","Annual","Annual")</f>
        <v>QSObject:Swap:w1~swap.1175:19828</v>
      </c>
      <c r="F1177" s="6" t="str">
        <f>_xll.QS.TRADE.CREATE("trade.1175",E1177,A1177,"Receive")</f>
        <v>QSObject:SwapTrade:w1~trade.1175:24214</v>
      </c>
      <c r="G1177" s="3">
        <f>_xll.QS.EVALUATE(C1177,F1177)</f>
        <v>28128.703793593064</v>
      </c>
      <c r="H1177" s="5" t="s">
        <v>2394</v>
      </c>
      <c r="I1177" s="7">
        <v>1117500</v>
      </c>
      <c r="J1177" s="8">
        <v>3.7500000000000012E-2</v>
      </c>
    </row>
    <row r="1178" spans="1:10" x14ac:dyDescent="0.25">
      <c r="A1178" s="5" t="s">
        <v>2382</v>
      </c>
      <c r="B1178" s="5" t="s">
        <v>2395</v>
      </c>
      <c r="C1178" s="6" t="str">
        <f>_xll.QS.CONTEXT.CREATE("market.1176",A1178,"USD","SOFR")</f>
        <v>QSObject:PricingContext:w1~market.1176:19827</v>
      </c>
      <c r="D1178" s="6" t="str">
        <f>_xll.QS.CONTEXT.ADD.CURVE(C1178,"SOFR",$K$2:$K$7,$L$2:$L$7,,,"Actual360","LogLinear",TRUE)</f>
        <v>QSObject:ContextInput:w1~input.qs_context_add_curve.2359132437744.1177.3.0:39069</v>
      </c>
      <c r="E1178" s="6" t="str">
        <f>_xll.QS.INSTRUMENT.SWAP("swap.1176",H1178,B1178,"USD","SOFR",I1178,J1178,0,"Actual360","Simple","Annual","Annual","Annual")</f>
        <v>QSObject:Swap:w1~swap.1176:19826</v>
      </c>
      <c r="F1178" s="6" t="str">
        <f>_xll.QS.TRADE.CREATE("trade.1176",E1178,A1178,"Receive")</f>
        <v>QSObject:SwapTrade:w1~trade.1176:25720</v>
      </c>
      <c r="G1178" s="3">
        <f>_xll.QS.EVALUATE(C1178,F1178)</f>
        <v>28693.902842933028</v>
      </c>
      <c r="H1178" s="5" t="s">
        <v>2396</v>
      </c>
      <c r="I1178" s="7">
        <v>1117600</v>
      </c>
      <c r="J1178" s="8">
        <v>3.7600000000000001E-2</v>
      </c>
    </row>
    <row r="1179" spans="1:10" x14ac:dyDescent="0.25">
      <c r="A1179" s="5" t="s">
        <v>2384</v>
      </c>
      <c r="B1179" s="5" t="s">
        <v>2397</v>
      </c>
      <c r="C1179" s="6" t="str">
        <f>_xll.QS.CONTEXT.CREATE("market.1177",A1179,"USD","SOFR")</f>
        <v>QSObject:PricingContext:w1~market.1177:19825</v>
      </c>
      <c r="D1179" s="6" t="str">
        <f>_xll.QS.CONTEXT.ADD.CURVE(C1179,"SOFR",$K$2:$K$7,$L$2:$L$7,,,"Actual360","LogLinear",TRUE)</f>
        <v>QSObject:ContextInput:w1~input.qs_context_add_curve.2359132437744.1178.3.0:39068</v>
      </c>
      <c r="E1179" s="6" t="str">
        <f>_xll.QS.INSTRUMENT.SWAP("swap.1177",H1179,B1179,"USD","SOFR",I1179,J1179,0,"Actual360","Simple","Annual","Annual","Annual")</f>
        <v>QSObject:Swap:w1~swap.1177:19824</v>
      </c>
      <c r="F1179" s="6" t="str">
        <f>_xll.QS.TRADE.CREATE("trade.1177",E1179,A1179,"Receive")</f>
        <v>QSObject:SwapTrade:w1~trade.1177:28290</v>
      </c>
      <c r="G1179" s="3">
        <f>_xll.QS.EVALUATE(C1179,F1179)</f>
        <v>29240.688448419449</v>
      </c>
      <c r="H1179" s="5" t="s">
        <v>2398</v>
      </c>
      <c r="I1179" s="7">
        <v>1117700</v>
      </c>
      <c r="J1179" s="8">
        <v>3.7699999999999997E-2</v>
      </c>
    </row>
    <row r="1180" spans="1:10" x14ac:dyDescent="0.25">
      <c r="A1180" s="5" t="s">
        <v>2386</v>
      </c>
      <c r="B1180" s="5" t="s">
        <v>2399</v>
      </c>
      <c r="C1180" s="6" t="str">
        <f>_xll.QS.CONTEXT.CREATE("market.1178",A1180,"USD","SOFR")</f>
        <v>QSObject:PricingContext:w1~market.1178:19823</v>
      </c>
      <c r="D1180" s="6" t="str">
        <f>_xll.QS.CONTEXT.ADD.CURVE(C1180,"SOFR",$K$2:$K$7,$L$2:$L$7,,,"Actual360","LogLinear",TRUE)</f>
        <v>QSObject:ContextInput:w1~input.qs_context_add_curve.2359132437744.1179.3.0:39067</v>
      </c>
      <c r="E1180" s="6" t="str">
        <f>_xll.QS.INSTRUMENT.SWAP("swap.1178",H1180,B1180,"USD","SOFR",I1180,J1180,0,"Actual360","Simple","Annual","Annual","Annual")</f>
        <v>QSObject:Swap:w1~swap.1178:19822</v>
      </c>
      <c r="F1180" s="6" t="str">
        <f>_xll.QS.TRADE.CREATE("trade.1178",E1180,A1180,"Receive")</f>
        <v>QSObject:SwapTrade:w1~trade.1178:29628</v>
      </c>
      <c r="G1180" s="3">
        <f>_xll.QS.EVALUATE(C1180,F1180)</f>
        <v>29840.636058427335</v>
      </c>
      <c r="H1180" s="5" t="s">
        <v>2400</v>
      </c>
      <c r="I1180" s="7">
        <v>1117800</v>
      </c>
      <c r="J1180" s="8">
        <v>3.78E-2</v>
      </c>
    </row>
    <row r="1181" spans="1:10" x14ac:dyDescent="0.25">
      <c r="A1181" s="5" t="s">
        <v>2388</v>
      </c>
      <c r="B1181" s="5" t="s">
        <v>2401</v>
      </c>
      <c r="C1181" s="6" t="str">
        <f>_xll.QS.CONTEXT.CREATE("market.1179",A1181,"USD","SOFR")</f>
        <v>QSObject:PricingContext:w1~market.1179:19821</v>
      </c>
      <c r="D1181" s="6" t="str">
        <f>_xll.QS.CONTEXT.ADD.CURVE(C1181,"SOFR",$K$2:$K$7,$L$2:$L$7,,,"Actual360","LogLinear",TRUE)</f>
        <v>QSObject:ContextInput:w1~input.qs_context_add_curve.2359132437744.1180.3.0:39066</v>
      </c>
      <c r="E1181" s="6" t="str">
        <f>_xll.QS.INSTRUMENT.SWAP("swap.1179",H1181,B1181,"USD","SOFR",I1181,J1181,0,"Actual360","Simple","Annual","Annual","Annual")</f>
        <v>QSObject:Swap:w1~swap.1179:19820</v>
      </c>
      <c r="F1181" s="6" t="str">
        <f>_xll.QS.TRADE.CREATE("trade.1179",E1181,A1181,"Receive")</f>
        <v>QSObject:SwapTrade:w1~trade.1179:25719</v>
      </c>
      <c r="G1181" s="3">
        <f>_xll.QS.EVALUATE(C1181,F1181)</f>
        <v>30407.291654755005</v>
      </c>
      <c r="H1181" s="5" t="s">
        <v>2402</v>
      </c>
      <c r="I1181" s="7">
        <v>1117900</v>
      </c>
      <c r="J1181" s="8">
        <v>3.7900000000000003E-2</v>
      </c>
    </row>
    <row r="1182" spans="1:10" x14ac:dyDescent="0.25">
      <c r="A1182" s="5" t="s">
        <v>2390</v>
      </c>
      <c r="B1182" s="5" t="s">
        <v>2403</v>
      </c>
      <c r="C1182" s="6" t="str">
        <f>_xll.QS.CONTEXT.CREATE("market.1180",A1182,"USD","SOFR")</f>
        <v>QSObject:PricingContext:w1~market.1180:19819</v>
      </c>
      <c r="D1182" s="6" t="str">
        <f>_xll.QS.CONTEXT.ADD.CURVE(C1182,"SOFR",$K$2:$K$7,$L$2:$L$7,,,"Actual360","LogLinear",TRUE)</f>
        <v>QSObject:ContextInput:w1~input.qs_context_add_curve.2359132437744.1181.3.0:39065</v>
      </c>
      <c r="E1182" s="6" t="str">
        <f>_xll.QS.INSTRUMENT.SWAP("swap.1180",H1182,B1182,"USD","SOFR",I1182,J1182,0,"Actual360","Simple","Annual","Annual","Annual")</f>
        <v>QSObject:Swap:w1~swap.1180:19818</v>
      </c>
      <c r="F1182" s="6" t="str">
        <f>_xll.QS.TRADE.CREATE("trade.1180",E1182,A1182,"Receive")</f>
        <v>QSObject:SwapTrade:w1~trade.1180:24213</v>
      </c>
      <c r="G1182" s="3">
        <f>_xll.QS.EVALUATE(C1182,F1182)</f>
        <v>30883.566817333791</v>
      </c>
      <c r="H1182" s="5" t="s">
        <v>2404</v>
      </c>
      <c r="I1182" s="7">
        <v>1118000</v>
      </c>
      <c r="J1182" s="8">
        <v>3.8000000000000013E-2</v>
      </c>
    </row>
    <row r="1183" spans="1:10" x14ac:dyDescent="0.25">
      <c r="A1183" s="5" t="s">
        <v>2392</v>
      </c>
      <c r="B1183" s="5" t="s">
        <v>2405</v>
      </c>
      <c r="C1183" s="6" t="str">
        <f>_xll.QS.CONTEXT.CREATE("market.1181",A1183,"USD","SOFR")</f>
        <v>QSObject:PricingContext:w1~market.1181:19817</v>
      </c>
      <c r="D1183" s="6" t="str">
        <f>_xll.QS.CONTEXT.ADD.CURVE(C1183,"SOFR",$K$2:$K$7,$L$2:$L$7,,,"Actual360","LogLinear",TRUE)</f>
        <v>QSObject:ContextInput:w1~input.qs_context_add_curve.2359132437744.1182.3.0:39064</v>
      </c>
      <c r="E1183" s="6" t="str">
        <f>_xll.QS.INSTRUMENT.SWAP("swap.1181",H1183,B1183,"USD","SOFR",I1183,J1183,0,"Actual360","Simple","Annual","Annual","Annual")</f>
        <v>QSObject:Swap:w1~swap.1181:19816</v>
      </c>
      <c r="F1183" s="6" t="str">
        <f>_xll.QS.TRADE.CREATE("trade.1181",E1183,A1183,"Receive")</f>
        <v>QSObject:SwapTrade:w1~trade.1181:22311</v>
      </c>
      <c r="G1183" s="3">
        <f>_xll.QS.EVALUATE(C1183,F1183)</f>
        <v>31317.814565349665</v>
      </c>
      <c r="H1183" s="5" t="s">
        <v>2406</v>
      </c>
      <c r="I1183" s="7">
        <v>1118100</v>
      </c>
      <c r="J1183" s="8">
        <v>3.8100000000000002E-2</v>
      </c>
    </row>
    <row r="1184" spans="1:10" x14ac:dyDescent="0.25">
      <c r="A1184" s="5" t="s">
        <v>2394</v>
      </c>
      <c r="B1184" s="5" t="s">
        <v>2407</v>
      </c>
      <c r="C1184" s="6" t="str">
        <f>_xll.QS.CONTEXT.CREATE("market.1182",A1184,"USD","SOFR")</f>
        <v>QSObject:PricingContext:w1~market.1182:19815</v>
      </c>
      <c r="D1184" s="6" t="str">
        <f>_xll.QS.CONTEXT.ADD.CURVE(C1184,"SOFR",$K$2:$K$7,$L$2:$L$7,,,"Actual360","LogLinear",TRUE)</f>
        <v>QSObject:ContextInput:w1~input.qs_context_add_curve.2359132437744.1183.3.0:39063</v>
      </c>
      <c r="E1184" s="6" t="str">
        <f>_xll.QS.INSTRUMENT.SWAP("swap.1182",H1184,B1184,"USD","SOFR",I1184,J1184,0,"Actual360","Simple","Annual","Annual","Annual")</f>
        <v>QSObject:Swap:w1~swap.1182:19814</v>
      </c>
      <c r="F1184" s="6" t="str">
        <f>_xll.QS.TRADE.CREATE("trade.1182",E1184,A1184,"Receive")</f>
        <v>QSObject:SwapTrade:w1~trade.1182:22310</v>
      </c>
      <c r="G1184" s="3">
        <f>_xll.QS.EVALUATE(C1184,F1184)</f>
        <v>31758.114269641686</v>
      </c>
      <c r="H1184" s="5" t="s">
        <v>2408</v>
      </c>
      <c r="I1184" s="7">
        <v>1118200</v>
      </c>
      <c r="J1184" s="8">
        <v>3.8199999999999998E-2</v>
      </c>
    </row>
    <row r="1185" spans="1:10" x14ac:dyDescent="0.25">
      <c r="A1185" s="5" t="s">
        <v>2396</v>
      </c>
      <c r="B1185" s="5" t="s">
        <v>2409</v>
      </c>
      <c r="C1185" s="6" t="str">
        <f>_xll.QS.CONTEXT.CREATE("market.1183",A1185,"USD","SOFR")</f>
        <v>QSObject:PricingContext:w1~market.1183:19813</v>
      </c>
      <c r="D1185" s="6" t="str">
        <f>_xll.QS.CONTEXT.ADD.CURVE(C1185,"SOFR",$K$2:$K$7,$L$2:$L$7,,,"Actual360","LogLinear",TRUE)</f>
        <v>QSObject:ContextInput:w1~input.qs_context_add_curve.2359132437744.1184.3.0:39062</v>
      </c>
      <c r="E1185" s="6" t="str">
        <f>_xll.QS.INSTRUMENT.SWAP("swap.1183",H1185,B1185,"USD","SOFR",I1185,J1185,0,"Actual360","Simple","Annual","Annual","Annual")</f>
        <v>QSObject:Swap:w1~swap.1183:19812</v>
      </c>
      <c r="F1185" s="6" t="str">
        <f>_xll.QS.TRADE.CREATE("trade.1183",E1185,A1185,"Receive")</f>
        <v>QSObject:SwapTrade:w1~trade.1183:29627</v>
      </c>
      <c r="G1185" s="3">
        <f>_xll.QS.EVALUATE(C1185,F1185)</f>
        <v>32323.362099124213</v>
      </c>
      <c r="H1185" s="5" t="s">
        <v>2410</v>
      </c>
      <c r="I1185" s="7">
        <v>1118300</v>
      </c>
      <c r="J1185" s="8">
        <v>3.8300000000000001E-2</v>
      </c>
    </row>
    <row r="1186" spans="1:10" x14ac:dyDescent="0.25">
      <c r="A1186" s="5" t="s">
        <v>2398</v>
      </c>
      <c r="B1186" s="5" t="s">
        <v>2411</v>
      </c>
      <c r="C1186" s="6" t="str">
        <f>_xll.QS.CONTEXT.CREATE("market.1184",A1186,"USD","SOFR")</f>
        <v>QSObject:PricingContext:w1~market.1184:19811</v>
      </c>
      <c r="D1186" s="6" t="str">
        <f>_xll.QS.CONTEXT.ADD.CURVE(C1186,"SOFR",$K$2:$K$7,$L$2:$L$7,,,"Actual360","LogLinear",TRUE)</f>
        <v>QSObject:ContextInput:w1~input.qs_context_add_curve.2359132437744.1185.3.0:39061</v>
      </c>
      <c r="E1186" s="6" t="str">
        <f>_xll.QS.INSTRUMENT.SWAP("swap.1184",H1186,B1186,"USD","SOFR",I1186,J1186,0,"Actual360","Simple","Annual","Annual","Annual")</f>
        <v>QSObject:Swap:w1~swap.1184:19810</v>
      </c>
      <c r="F1186" s="6" t="str">
        <f>_xll.QS.TRADE.CREATE("trade.1184",E1186,A1186,"Receive")</f>
        <v>QSObject:SwapTrade:w1~trade.1184:29626</v>
      </c>
      <c r="G1186" s="3">
        <f>_xll.QS.EVALUATE(C1186,F1186)</f>
        <v>32868.511014559277</v>
      </c>
      <c r="H1186" s="5" t="s">
        <v>2412</v>
      </c>
      <c r="I1186" s="7">
        <v>1118400</v>
      </c>
      <c r="J1186" s="8">
        <v>3.8399999999999997E-2</v>
      </c>
    </row>
    <row r="1187" spans="1:10" x14ac:dyDescent="0.25">
      <c r="A1187" s="5" t="s">
        <v>2400</v>
      </c>
      <c r="B1187" s="5" t="s">
        <v>2413</v>
      </c>
      <c r="C1187" s="6" t="str">
        <f>_xll.QS.CONTEXT.CREATE("market.1185",A1187,"USD","SOFR")</f>
        <v>QSObject:PricingContext:w1~market.1185:19809</v>
      </c>
      <c r="D1187" s="6" t="str">
        <f>_xll.QS.CONTEXT.ADD.CURVE(C1187,"SOFR",$K$2:$K$7,$L$2:$L$7,,,"Actual360","LogLinear",TRUE)</f>
        <v>QSObject:ContextInput:w1~input.qs_context_add_curve.2359132437744.1186.3.0:39060</v>
      </c>
      <c r="E1187" s="6" t="str">
        <f>_xll.QS.INSTRUMENT.SWAP("swap.1185",H1187,B1187,"USD","SOFR",I1187,J1187,0,"Actual360","Simple","Annual","Annual","Annual")</f>
        <v>QSObject:Swap:w1~swap.1185:19808</v>
      </c>
      <c r="F1187" s="6" t="str">
        <f>_xll.QS.TRADE.CREATE("trade.1185",E1187,A1187,"Receive")</f>
        <v>QSObject:SwapTrade:w1~trade.1185:22309</v>
      </c>
      <c r="G1187" s="3">
        <f>_xll.QS.EVALUATE(C1187,F1187)</f>
        <v>33469.648208040599</v>
      </c>
      <c r="H1187" s="5" t="s">
        <v>2414</v>
      </c>
      <c r="I1187" s="7">
        <v>1118500</v>
      </c>
      <c r="J1187" s="8">
        <v>3.8500000000000013E-2</v>
      </c>
    </row>
    <row r="1188" spans="1:10" x14ac:dyDescent="0.25">
      <c r="A1188" s="5" t="s">
        <v>2402</v>
      </c>
      <c r="B1188" s="5" t="s">
        <v>2415</v>
      </c>
      <c r="C1188" s="6" t="str">
        <f>_xll.QS.CONTEXT.CREATE("market.1186",A1188,"USD","SOFR")</f>
        <v>QSObject:PricingContext:w1~market.1186:19807</v>
      </c>
      <c r="D1188" s="6" t="str">
        <f>_xll.QS.CONTEXT.ADD.CURVE(C1188,"SOFR",$K$2:$K$7,$L$2:$L$7,,,"Actual360","LogLinear",TRUE)</f>
        <v>QSObject:ContextInput:w1~input.qs_context_add_curve.2359132437744.1187.3.0:39059</v>
      </c>
      <c r="E1188" s="6" t="str">
        <f>_xll.QS.INSTRUMENT.SWAP("swap.1186",H1188,B1188,"USD","SOFR",I1188,J1188,0,"Actual360","Simple","Annual","Annual","Annual")</f>
        <v>QSObject:Swap:w1~swap.1186:19806</v>
      </c>
      <c r="F1188" s="6" t="str">
        <f>_xll.QS.TRADE.CREATE("trade.1186",E1188,A1188,"Receive")</f>
        <v>QSObject:SwapTrade:w1~trade.1186:28289</v>
      </c>
      <c r="G1188" s="3">
        <f>_xll.QS.EVALUATE(C1188,F1188)</f>
        <v>34037.589000608306</v>
      </c>
      <c r="H1188" s="5" t="s">
        <v>2416</v>
      </c>
      <c r="I1188" s="7">
        <v>1118600</v>
      </c>
      <c r="J1188" s="8">
        <v>3.8600000000000002E-2</v>
      </c>
    </row>
    <row r="1189" spans="1:10" x14ac:dyDescent="0.25">
      <c r="A1189" s="5" t="s">
        <v>2404</v>
      </c>
      <c r="B1189" s="5" t="s">
        <v>2417</v>
      </c>
      <c r="C1189" s="6" t="str">
        <f>_xll.QS.CONTEXT.CREATE("market.1187",A1189,"USD","SOFR")</f>
        <v>QSObject:PricingContext:w1~market.1187:19805</v>
      </c>
      <c r="D1189" s="6" t="str">
        <f>_xll.QS.CONTEXT.ADD.CURVE(C1189,"SOFR",$K$2:$K$7,$L$2:$L$7,,,"Actual360","LogLinear",TRUE)</f>
        <v>QSObject:ContextInput:w1~input.qs_context_add_curve.2359132437744.1188.3.0:39058</v>
      </c>
      <c r="E1189" s="6" t="str">
        <f>_xll.QS.INSTRUMENT.SWAP("swap.1187",H1189,B1189,"USD","SOFR",I1189,J1189,0,"Actual360","Simple","Annual","Annual","Annual")</f>
        <v>QSObject:Swap:w1~swap.1187:19804</v>
      </c>
      <c r="F1189" s="6" t="str">
        <f>_xll.QS.TRADE.CREATE("trade.1187",E1189,A1189,"Receive")</f>
        <v>QSObject:SwapTrade:w1~trade.1187:22308</v>
      </c>
      <c r="G1189" s="3">
        <f>_xll.QS.EVALUATE(C1189,F1189)</f>
        <v>34448.060966389821</v>
      </c>
      <c r="H1189" s="5" t="s">
        <v>2418</v>
      </c>
      <c r="I1189" s="7">
        <v>1118700</v>
      </c>
      <c r="J1189" s="8">
        <v>3.8700000000000012E-2</v>
      </c>
    </row>
    <row r="1190" spans="1:10" x14ac:dyDescent="0.25">
      <c r="A1190" s="5" t="s">
        <v>2406</v>
      </c>
      <c r="B1190" s="5" t="s">
        <v>2419</v>
      </c>
      <c r="C1190" s="6" t="str">
        <f>_xll.QS.CONTEXT.CREATE("market.1188",A1190,"USD","SOFR")</f>
        <v>QSObject:PricingContext:w1~market.1188:19803</v>
      </c>
      <c r="D1190" s="6" t="str">
        <f>_xll.QS.CONTEXT.ADD.CURVE(C1190,"SOFR",$K$2:$K$7,$L$2:$L$7,,,"Actual360","LogLinear",TRUE)</f>
        <v>QSObject:ContextInput:w1~input.qs_context_add_curve.2359132437744.1189.3.0:39057</v>
      </c>
      <c r="E1190" s="6" t="str">
        <f>_xll.QS.INSTRUMENT.SWAP("swap.1188",H1190,B1190,"USD","SOFR",I1190,J1190,0,"Actual360","Simple","Annual","Annual","Annual")</f>
        <v>QSObject:Swap:w1~swap.1188:19802</v>
      </c>
      <c r="F1190" s="6" t="str">
        <f>_xll.QS.TRADE.CREATE("trade.1188",E1190,A1190,"Receive")</f>
        <v>QSObject:SwapTrade:w1~trade.1188:25024</v>
      </c>
      <c r="G1190" s="3">
        <f>_xll.QS.EVALUATE(C1190,F1190)</f>
        <v>34868.198364214433</v>
      </c>
      <c r="H1190" s="5" t="s">
        <v>2420</v>
      </c>
      <c r="I1190" s="7">
        <v>1118800</v>
      </c>
      <c r="J1190" s="8">
        <v>3.8800000000000001E-2</v>
      </c>
    </row>
    <row r="1191" spans="1:10" x14ac:dyDescent="0.25">
      <c r="A1191" s="5" t="s">
        <v>2408</v>
      </c>
      <c r="B1191" s="5" t="s">
        <v>2421</v>
      </c>
      <c r="C1191" s="6" t="str">
        <f>_xll.QS.CONTEXT.CREATE("market.1189",A1191,"USD","SOFR")</f>
        <v>QSObject:PricingContext:w1~market.1189:19801</v>
      </c>
      <c r="D1191" s="6" t="str">
        <f>_xll.QS.CONTEXT.ADD.CURVE(C1191,"SOFR",$K$2:$K$7,$L$2:$L$7,,,"Actual360","LogLinear",TRUE)</f>
        <v>QSObject:ContextInput:w1~input.qs_context_add_curve.2359132437744.1190.3.0:39056</v>
      </c>
      <c r="E1191" s="6" t="str">
        <f>_xll.QS.INSTRUMENT.SWAP("swap.1189",H1191,B1191,"USD","SOFR",I1191,J1191,0,"Actual360","Simple","Annual","Annual","Annual")</f>
        <v>QSObject:Swap:w1~swap.1189:19800</v>
      </c>
      <c r="F1191" s="6" t="str">
        <f>_xll.QS.TRADE.CREATE("trade.1189",E1191,A1191,"Receive")</f>
        <v>QSObject:SwapTrade:w1~trade.1189:27007</v>
      </c>
      <c r="G1191" s="3">
        <f>_xll.QS.EVALUATE(C1191,F1191)</f>
        <v>35390.315601680108</v>
      </c>
      <c r="H1191" s="5" t="s">
        <v>2422</v>
      </c>
      <c r="I1191" s="7">
        <v>1118900</v>
      </c>
      <c r="J1191" s="8">
        <v>3.8899999999999997E-2</v>
      </c>
    </row>
    <row r="1192" spans="1:10" x14ac:dyDescent="0.25">
      <c r="A1192" s="5" t="s">
        <v>2410</v>
      </c>
      <c r="B1192" s="5" t="s">
        <v>2423</v>
      </c>
      <c r="C1192" s="6" t="str">
        <f>_xll.QS.CONTEXT.CREATE("market.1190",A1192,"USD","SOFR")</f>
        <v>QSObject:PricingContext:w1~market.1190:19799</v>
      </c>
      <c r="D1192" s="6" t="str">
        <f>_xll.QS.CONTEXT.ADD.CURVE(C1192,"SOFR",$K$2:$K$7,$L$2:$L$7,,,"Actual360","LogLinear",TRUE)</f>
        <v>QSObject:ContextInput:w1~input.qs_context_add_curve.2359132437744.1191.3.0:39055</v>
      </c>
      <c r="E1192" s="6" t="str">
        <f>_xll.QS.INSTRUMENT.SWAP("swap.1190",H1192,B1192,"USD","SOFR",I1192,J1192,0,"Actual360","Simple","Annual","Annual","Annual")</f>
        <v>QSObject:Swap:w1~swap.1190:19798</v>
      </c>
      <c r="F1192" s="6" t="str">
        <f>_xll.QS.TRADE.CREATE("trade.1190",E1192,A1192,"Receive")</f>
        <v>QSObject:SwapTrade:w1~trade.1190:27634</v>
      </c>
      <c r="G1192" s="3">
        <f>_xll.QS.EVALUATE(C1192,F1192)</f>
        <v>35957.445091589572</v>
      </c>
      <c r="H1192" s="5" t="s">
        <v>2424</v>
      </c>
      <c r="I1192" s="7">
        <v>1119000</v>
      </c>
      <c r="J1192" s="8">
        <v>3.9000000000000007E-2</v>
      </c>
    </row>
    <row r="1193" spans="1:10" x14ac:dyDescent="0.25">
      <c r="A1193" s="5" t="s">
        <v>2412</v>
      </c>
      <c r="B1193" s="5" t="s">
        <v>2425</v>
      </c>
      <c r="C1193" s="6" t="str">
        <f>_xll.QS.CONTEXT.CREATE("market.1191",A1193,"USD","SOFR")</f>
        <v>QSObject:PricingContext:w1~market.1191:19797</v>
      </c>
      <c r="D1193" s="6" t="str">
        <f>_xll.QS.CONTEXT.ADD.CURVE(C1193,"SOFR",$K$2:$K$7,$L$2:$L$7,,,"Actual360","LogLinear",TRUE)</f>
        <v>QSObject:ContextInput:w1~input.qs_context_add_curve.2359132437744.1192.3.0:39054</v>
      </c>
      <c r="E1193" s="6" t="str">
        <f>_xll.QS.INSTRUMENT.SWAP("swap.1191",H1193,B1193,"USD","SOFR",I1193,J1193,0,"Actual360","Simple","Annual","Annual","Annual")</f>
        <v>QSObject:Swap:w1~swap.1191:19796</v>
      </c>
      <c r="F1193" s="6" t="str">
        <f>_xll.QS.TRADE.CREATE("trade.1191",E1193,A1193,"Receive")</f>
        <v>QSObject:SwapTrade:w1~trade.1191:22963</v>
      </c>
      <c r="G1193" s="3">
        <f>_xll.QS.EVALUATE(C1193,F1193)</f>
        <v>36625.740294216041</v>
      </c>
      <c r="H1193" s="5" t="s">
        <v>2426</v>
      </c>
      <c r="I1193" s="7">
        <v>1119100</v>
      </c>
      <c r="J1193" s="8">
        <v>3.9100000000000003E-2</v>
      </c>
    </row>
    <row r="1194" spans="1:10" x14ac:dyDescent="0.25">
      <c r="A1194" s="5" t="s">
        <v>2414</v>
      </c>
      <c r="B1194" s="5" t="s">
        <v>2427</v>
      </c>
      <c r="C1194" s="6" t="str">
        <f>_xll.QS.CONTEXT.CREATE("market.1192",A1194,"USD","SOFR")</f>
        <v>QSObject:PricingContext:w1~market.1192:19795</v>
      </c>
      <c r="D1194" s="6" t="str">
        <f>_xll.QS.CONTEXT.ADD.CURVE(C1194,"SOFR",$K$2:$K$7,$L$2:$L$7,,,"Actual360","LogLinear",TRUE)</f>
        <v>QSObject:ContextInput:w1~input.qs_context_add_curve.2359132437744.1193.3.0:39053</v>
      </c>
      <c r="E1194" s="6" t="str">
        <f>_xll.QS.INSTRUMENT.SWAP("swap.1192",H1194,B1194,"USD","SOFR",I1194,J1194,0,"Actual360","Simple","Annual","Annual","Annual")</f>
        <v>QSObject:Swap:w1~swap.1192:19794</v>
      </c>
      <c r="F1194" s="6" t="str">
        <f>_xll.QS.TRADE.CREATE("trade.1192",E1194,A1194,"Receive")</f>
        <v>QSObject:SwapTrade:w1~trade.1192:22962</v>
      </c>
      <c r="G1194" s="3">
        <f>_xll.QS.EVALUATE(C1194,F1194)</f>
        <v>37154.703973176613</v>
      </c>
      <c r="H1194" s="5" t="s">
        <v>2428</v>
      </c>
      <c r="I1194" s="7">
        <v>1119200</v>
      </c>
      <c r="J1194" s="8">
        <v>3.9200000000000013E-2</v>
      </c>
    </row>
    <row r="1195" spans="1:10" x14ac:dyDescent="0.25">
      <c r="A1195" s="5" t="s">
        <v>2416</v>
      </c>
      <c r="B1195" s="5" t="s">
        <v>2429</v>
      </c>
      <c r="C1195" s="6" t="str">
        <f>_xll.QS.CONTEXT.CREATE("market.1193",A1195,"USD","SOFR")</f>
        <v>QSObject:PricingContext:w1~market.1193:19793</v>
      </c>
      <c r="D1195" s="6" t="str">
        <f>_xll.QS.CONTEXT.ADD.CURVE(C1195,"SOFR",$K$2:$K$7,$L$2:$L$7,,,"Actual360","LogLinear",TRUE)</f>
        <v>QSObject:ContextInput:w1~input.qs_context_add_curve.2359132437744.1194.3.0:39052</v>
      </c>
      <c r="E1195" s="6" t="str">
        <f>_xll.QS.INSTRUMENT.SWAP("swap.1193",H1195,B1195,"USD","SOFR",I1195,J1195,0,"Actual360","Simple","Annual","Annual","Annual")</f>
        <v>QSObject:Swap:w1~swap.1193:19792</v>
      </c>
      <c r="F1195" s="6" t="str">
        <f>_xll.QS.TRADE.CREATE("trade.1193",E1195,A1195,"Receive")</f>
        <v>QSObject:SwapTrade:w1~trade.1193:27633</v>
      </c>
      <c r="G1195" s="3">
        <f>_xll.QS.EVALUATE(C1195,F1195)</f>
        <v>37673.148071316493</v>
      </c>
      <c r="H1195" s="5" t="s">
        <v>2430</v>
      </c>
      <c r="I1195" s="7">
        <v>1119300</v>
      </c>
      <c r="J1195" s="8">
        <v>3.9300000000000002E-2</v>
      </c>
    </row>
    <row r="1196" spans="1:10" x14ac:dyDescent="0.25">
      <c r="A1196" s="5" t="s">
        <v>2418</v>
      </c>
      <c r="B1196" s="5" t="s">
        <v>2431</v>
      </c>
      <c r="C1196" s="6" t="str">
        <f>_xll.QS.CONTEXT.CREATE("market.1194",A1196,"USD","SOFR")</f>
        <v>QSObject:PricingContext:w1~market.1194:19791</v>
      </c>
      <c r="D1196" s="6" t="str">
        <f>_xll.QS.CONTEXT.ADD.CURVE(C1196,"SOFR",$K$2:$K$7,$L$2:$L$7,,,"Actual360","LogLinear",TRUE)</f>
        <v>QSObject:ContextInput:w1~input.qs_context_add_curve.2359132437744.1195.3.0:39051</v>
      </c>
      <c r="E1196" s="6" t="str">
        <f>_xll.QS.INSTRUMENT.SWAP("swap.1194",H1196,B1196,"USD","SOFR",I1196,J1196,0,"Actual360","Simple","Annual","Annual","Annual")</f>
        <v>QSObject:Swap:w1~swap.1194:19790</v>
      </c>
      <c r="F1196" s="6" t="str">
        <f>_xll.QS.TRADE.CREATE("trade.1194",E1196,A1196,"Receive")</f>
        <v>QSObject:SwapTrade:w1~trade.1194:25718</v>
      </c>
      <c r="G1196" s="3">
        <f>_xll.QS.EVALUATE(C1196,F1196)</f>
        <v>38148.106901746032</v>
      </c>
      <c r="H1196" s="5" t="s">
        <v>2432</v>
      </c>
      <c r="I1196" s="7">
        <v>1119400</v>
      </c>
      <c r="J1196" s="8">
        <v>3.9399999999999998E-2</v>
      </c>
    </row>
    <row r="1197" spans="1:10" x14ac:dyDescent="0.25">
      <c r="A1197" s="5" t="s">
        <v>2420</v>
      </c>
      <c r="B1197" s="5" t="s">
        <v>2433</v>
      </c>
      <c r="C1197" s="6" t="str">
        <f>_xll.QS.CONTEXT.CREATE("market.1195",A1197,"USD","SOFR")</f>
        <v>QSObject:PricingContext:w1~market.1195:19789</v>
      </c>
      <c r="D1197" s="6" t="str">
        <f>_xll.QS.CONTEXT.ADD.CURVE(C1197,"SOFR",$K$2:$K$7,$L$2:$L$7,,,"Actual360","LogLinear",TRUE)</f>
        <v>QSObject:ContextInput:w1~input.qs_context_add_curve.2359132437744.1196.3.0:39050</v>
      </c>
      <c r="E1197" s="6" t="str">
        <f>_xll.QS.INSTRUMENT.SWAP("swap.1195",H1197,B1197,"USD","SOFR",I1197,J1197,0,"Actual360","Simple","Annual","Annual","Annual")</f>
        <v>QSObject:Swap:w1~swap.1195:19788</v>
      </c>
      <c r="F1197" s="6" t="str">
        <f>_xll.QS.TRADE.CREATE("trade.1195",E1197,A1197,"Receive")</f>
        <v>QSObject:SwapTrade:w1~trade.1195:23476</v>
      </c>
      <c r="G1197" s="3">
        <f>_xll.QS.EVALUATE(C1197,F1197)</f>
        <v>38575.034176741552</v>
      </c>
      <c r="H1197" s="5" t="s">
        <v>2434</v>
      </c>
      <c r="I1197" s="7">
        <v>1119500</v>
      </c>
      <c r="J1197" s="8">
        <v>3.9500000000000007E-2</v>
      </c>
    </row>
    <row r="1198" spans="1:10" x14ac:dyDescent="0.25">
      <c r="A1198" s="5" t="s">
        <v>2422</v>
      </c>
      <c r="B1198" s="5" t="s">
        <v>2435</v>
      </c>
      <c r="C1198" s="6" t="str">
        <f>_xll.QS.CONTEXT.CREATE("market.1196",A1198,"USD","SOFR")</f>
        <v>QSObject:PricingContext:w1~market.1196:19787</v>
      </c>
      <c r="D1198" s="6" t="str">
        <f>_xll.QS.CONTEXT.ADD.CURVE(C1198,"SOFR",$K$2:$K$7,$L$2:$L$7,,,"Actual360","LogLinear",TRUE)</f>
        <v>QSObject:ContextInput:w1~input.qs_context_add_curve.2359132437744.1197.3.0:39049</v>
      </c>
      <c r="E1198" s="6" t="str">
        <f>_xll.QS.INSTRUMENT.SWAP("swap.1196",H1198,B1198,"USD","SOFR",I1198,J1198,0,"Actual360","Simple","Annual","Annual","Annual")</f>
        <v>QSObject:Swap:w1~swap.1196:19786</v>
      </c>
      <c r="F1198" s="6" t="str">
        <f>_xll.QS.TRADE.CREATE("trade.1196",E1198,A1198,"Receive")</f>
        <v>QSObject:SwapTrade:w1~trade.1196:29625</v>
      </c>
      <c r="G1198" s="3">
        <f>_xll.QS.EVALUATE(C1198,F1198)</f>
        <v>39027.616483078251</v>
      </c>
      <c r="H1198" s="5" t="s">
        <v>2436</v>
      </c>
      <c r="I1198" s="7">
        <v>1119600</v>
      </c>
      <c r="J1198" s="8">
        <v>3.9600000000000003E-2</v>
      </c>
    </row>
    <row r="1199" spans="1:10" x14ac:dyDescent="0.25">
      <c r="A1199" s="5" t="s">
        <v>2424</v>
      </c>
      <c r="B1199" s="5" t="s">
        <v>2437</v>
      </c>
      <c r="C1199" s="6" t="str">
        <f>_xll.QS.CONTEXT.CREATE("market.1197",A1199,"USD","SOFR")</f>
        <v>QSObject:PricingContext:w1~market.1197:19785</v>
      </c>
      <c r="D1199" s="6" t="str">
        <f>_xll.QS.CONTEXT.ADD.CURVE(C1199,"SOFR",$K$2:$K$7,$L$2:$L$7,,,"Actual360","LogLinear",TRUE)</f>
        <v>QSObject:ContextInput:w1~input.qs_context_add_curve.2359132437744.1198.3.0:39048</v>
      </c>
      <c r="E1199" s="6" t="str">
        <f>_xll.QS.INSTRUMENT.SWAP("swap.1197",H1199,B1199,"USD","SOFR",I1199,J1199,0,"Actual360","Simple","Annual","Annual","Annual")</f>
        <v>QSObject:Swap:w1~swap.1197:19784</v>
      </c>
      <c r="F1199" s="6" t="str">
        <f>_xll.QS.TRADE.CREATE("trade.1197",E1199,A1199,"Receive")</f>
        <v>QSObject:SwapTrade:w1~trade.1197:29624</v>
      </c>
      <c r="G1199" s="3">
        <f>_xll.QS.EVALUATE(C1199,F1199)</f>
        <v>39596.693535758401</v>
      </c>
      <c r="H1199" s="5" t="s">
        <v>2438</v>
      </c>
      <c r="I1199" s="7">
        <v>1119700</v>
      </c>
      <c r="J1199" s="8">
        <v>3.9700000000000013E-2</v>
      </c>
    </row>
    <row r="1200" spans="1:10" x14ac:dyDescent="0.25">
      <c r="A1200" s="5" t="s">
        <v>2426</v>
      </c>
      <c r="B1200" s="5" t="s">
        <v>2439</v>
      </c>
      <c r="C1200" s="6" t="str">
        <f>_xll.QS.CONTEXT.CREATE("market.1198",A1200,"USD","SOFR")</f>
        <v>QSObject:PricingContext:w1~market.1198:19783</v>
      </c>
      <c r="D1200" s="6" t="str">
        <f>_xll.QS.CONTEXT.ADD.CURVE(C1200,"SOFR",$K$2:$K$7,$L$2:$L$7,,,"Actual360","LogLinear",TRUE)</f>
        <v>QSObject:ContextInput:w1~input.qs_context_add_curve.2359132437744.1199.3.0:39047</v>
      </c>
      <c r="E1200" s="6" t="str">
        <f>_xll.QS.INSTRUMENT.SWAP("swap.1198",H1200,B1200,"USD","SOFR",I1200,J1200,0,"Actual360","Simple","Annual","Annual","Annual")</f>
        <v>QSObject:Swap:w1~swap.1198:19782</v>
      </c>
      <c r="F1200" s="6" t="str">
        <f>_xll.QS.TRADE.CREATE("trade.1198",E1200,A1200,"Receive")</f>
        <v>QSObject:SwapTrade:w1~trade.1198:26516</v>
      </c>
      <c r="G1200" s="3">
        <f>_xll.QS.EVALUATE(C1200,F1200)</f>
        <v>40139.31658331881</v>
      </c>
      <c r="H1200" s="5" t="s">
        <v>2440</v>
      </c>
      <c r="I1200" s="7">
        <v>1119800</v>
      </c>
      <c r="J1200" s="8">
        <v>3.9800000000000002E-2</v>
      </c>
    </row>
    <row r="1201" spans="1:10" x14ac:dyDescent="0.25">
      <c r="A1201" s="5" t="s">
        <v>2428</v>
      </c>
      <c r="B1201" s="5" t="s">
        <v>2441</v>
      </c>
      <c r="C1201" s="6" t="str">
        <f>_xll.QS.CONTEXT.CREATE("market.1199",A1201,"USD","SOFR")</f>
        <v>QSObject:PricingContext:w1~market.1199:19781</v>
      </c>
      <c r="D1201" s="6" t="str">
        <f>_xll.QS.CONTEXT.ADD.CURVE(C1201,"SOFR",$K$2:$K$7,$L$2:$L$7,,,"Actual360","LogLinear",TRUE)</f>
        <v>QSObject:ContextInput:w1~input.qs_context_add_curve.2359132437744.1200.3.0:39046</v>
      </c>
      <c r="E1201" s="6" t="str">
        <f>_xll.QS.INSTRUMENT.SWAP("swap.1199",H1201,B1201,"USD","SOFR",I1201,J1201,0,"Actual360","Simple","Annual","Annual","Annual")</f>
        <v>QSObject:Swap:w1~swap.1199:19780</v>
      </c>
      <c r="F1201" s="6" t="str">
        <f>_xll.QS.TRADE.CREATE("trade.1199",E1201,A1201,"Receive")</f>
        <v>QSObject:SwapTrade:w1~trade.1199:25023</v>
      </c>
      <c r="G1201" s="3">
        <f>_xll.QS.EVALUATE(C1201,F1201)</f>
        <v>40741.550533801004</v>
      </c>
      <c r="H1201" s="5" t="s">
        <v>2442</v>
      </c>
      <c r="I1201" s="7">
        <v>1119900</v>
      </c>
      <c r="J1201" s="8">
        <v>3.9899999999999998E-2</v>
      </c>
    </row>
    <row r="1202" spans="1:10" x14ac:dyDescent="0.25">
      <c r="A1202" s="5" t="s">
        <v>2430</v>
      </c>
      <c r="B1202" s="5" t="s">
        <v>2443</v>
      </c>
      <c r="C1202" s="6" t="str">
        <f>_xll.QS.CONTEXT.CREATE("market.1200",A1202,"USD","SOFR")</f>
        <v>QSObject:PricingContext:w1~market.1200:19779</v>
      </c>
      <c r="D1202" s="6" t="str">
        <f>_xll.QS.CONTEXT.ADD.CURVE(C1202,"SOFR",$K$2:$K$7,$L$2:$L$7,,,"Actual360","LogLinear",TRUE)</f>
        <v>QSObject:ContextInput:w1~input.qs_context_add_curve.2359132437744.1201.3.0:39045</v>
      </c>
      <c r="E1202" s="6" t="str">
        <f>_xll.QS.INSTRUMENT.SWAP("swap.1200",H1202,B1202,"USD","SOFR",I1202,J1202,0,"Actual360","Simple","Annual","Annual","Annual")</f>
        <v>QSObject:Swap:w1~swap.1200:19778</v>
      </c>
      <c r="F1202" s="6" t="str">
        <f>_xll.QS.TRADE.CREATE("trade.1200",E1202,A1202,"Receive")</f>
        <v>QSObject:SwapTrade:w1~trade.1200:31130</v>
      </c>
      <c r="G1202" s="3">
        <f>_xll.QS.EVALUATE(C1202,F1202)</f>
        <v>15486.667407209865</v>
      </c>
      <c r="H1202" s="5" t="s">
        <v>2444</v>
      </c>
      <c r="I1202" s="7">
        <v>1120000</v>
      </c>
      <c r="J1202" s="8">
        <v>3.5000000000000003E-2</v>
      </c>
    </row>
    <row r="1203" spans="1:10" x14ac:dyDescent="0.25">
      <c r="A1203" s="5" t="s">
        <v>2432</v>
      </c>
      <c r="B1203" s="5" t="s">
        <v>2445</v>
      </c>
      <c r="C1203" s="6" t="str">
        <f>_xll.QS.CONTEXT.CREATE("market.1201",A1203,"USD","SOFR")</f>
        <v>QSObject:PricingContext:w1~market.1201:19777</v>
      </c>
      <c r="D1203" s="6" t="str">
        <f>_xll.QS.CONTEXT.ADD.CURVE(C1203,"SOFR",$K$2:$K$7,$L$2:$L$7,,,"Actual360","LogLinear",TRUE)</f>
        <v>QSObject:ContextInput:w1~input.qs_context_add_curve.2359132437744.1202.3.0:39044</v>
      </c>
      <c r="E1203" s="6" t="str">
        <f>_xll.QS.INSTRUMENT.SWAP("swap.1201",H1203,B1203,"USD","SOFR",I1203,J1203,0,"Actual360","Simple","Annual","Annual","Annual")</f>
        <v>QSObject:Swap:w1~swap.1201:19776</v>
      </c>
      <c r="F1203" s="6" t="str">
        <f>_xll.QS.TRADE.CREATE("trade.1201",E1203,A1203,"Receive")</f>
        <v>QSObject:SwapTrade:w1~trade.1201:30396</v>
      </c>
      <c r="G1203" s="3">
        <f>_xll.QS.EVALUATE(C1203,F1203)</f>
        <v>15961.632763918416</v>
      </c>
      <c r="H1203" s="5" t="s">
        <v>2446</v>
      </c>
      <c r="I1203" s="7">
        <v>1120100</v>
      </c>
      <c r="J1203" s="8">
        <v>3.5100000000000013E-2</v>
      </c>
    </row>
    <row r="1204" spans="1:10" x14ac:dyDescent="0.25">
      <c r="A1204" s="5" t="s">
        <v>2434</v>
      </c>
      <c r="B1204" s="5" t="s">
        <v>2447</v>
      </c>
      <c r="C1204" s="6" t="str">
        <f>_xll.QS.CONTEXT.CREATE("market.1202",A1204,"USD","SOFR")</f>
        <v>QSObject:PricingContext:w1~market.1202:19775</v>
      </c>
      <c r="D1204" s="6" t="str">
        <f>_xll.QS.CONTEXT.ADD.CURVE(C1204,"SOFR",$K$2:$K$7,$L$2:$L$7,,,"Actual360","LogLinear",TRUE)</f>
        <v>QSObject:ContextInput:w1~input.qs_context_add_curve.2359132437744.1203.3.0:39043</v>
      </c>
      <c r="E1204" s="6" t="str">
        <f>_xll.QS.INSTRUMENT.SWAP("swap.1202",H1204,B1204,"USD","SOFR",I1204,J1204,0,"Actual360","Simple","Annual","Annual","Annual")</f>
        <v>QSObject:Swap:w1~swap.1202:19774</v>
      </c>
      <c r="F1204" s="6" t="str">
        <f>_xll.QS.TRADE.CREATE("trade.1202",E1204,A1204,"Receive")</f>
        <v>QSObject:SwapTrade:w1~trade.1202:29623</v>
      </c>
      <c r="G1204" s="3">
        <f>_xll.QS.EVALUATE(C1204,F1204)</f>
        <v>16412.998380367884</v>
      </c>
      <c r="H1204" s="5" t="s">
        <v>2448</v>
      </c>
      <c r="I1204" s="7">
        <v>1120200</v>
      </c>
      <c r="J1204" s="8">
        <v>3.5200000000000002E-2</v>
      </c>
    </row>
    <row r="1205" spans="1:10" x14ac:dyDescent="0.25">
      <c r="A1205" s="5" t="s">
        <v>2436</v>
      </c>
      <c r="B1205" s="5" t="s">
        <v>2449</v>
      </c>
      <c r="C1205" s="6" t="str">
        <f>_xll.QS.CONTEXT.CREATE("market.1203",A1205,"USD","SOFR")</f>
        <v>QSObject:PricingContext:w1~market.1203:19773</v>
      </c>
      <c r="D1205" s="6" t="str">
        <f>_xll.QS.CONTEXT.ADD.CURVE(C1205,"SOFR",$K$2:$K$7,$L$2:$L$7,,,"Actual360","LogLinear",TRUE)</f>
        <v>QSObject:ContextInput:w1~input.qs_context_add_curve.2359132437744.1204.3.0:39042</v>
      </c>
      <c r="E1205" s="6" t="str">
        <f>_xll.QS.INSTRUMENT.SWAP("swap.1203",H1205,B1205,"USD","SOFR",I1205,J1205,0,"Actual360","Simple","Annual","Annual","Annual")</f>
        <v>QSObject:Swap:w1~swap.1203:19772</v>
      </c>
      <c r="F1205" s="6" t="str">
        <f>_xll.QS.TRADE.CREATE("trade.1203",E1205,A1205,"Receive")</f>
        <v>QSObject:SwapTrade:w1~trade.1203:30395</v>
      </c>
      <c r="G1205" s="3">
        <f>_xll.QS.EVALUATE(C1205,F1205)</f>
        <v>16829.553024460445</v>
      </c>
      <c r="H1205" s="5" t="s">
        <v>2450</v>
      </c>
      <c r="I1205" s="7">
        <v>1120300</v>
      </c>
      <c r="J1205" s="8">
        <v>3.5299999999999998E-2</v>
      </c>
    </row>
    <row r="1206" spans="1:10" x14ac:dyDescent="0.25">
      <c r="A1206" s="5" t="s">
        <v>2438</v>
      </c>
      <c r="B1206" s="5" t="s">
        <v>2451</v>
      </c>
      <c r="C1206" s="6" t="str">
        <f>_xll.QS.CONTEXT.CREATE("market.1204",A1206,"USD","SOFR")</f>
        <v>QSObject:PricingContext:w1~market.1204:19771</v>
      </c>
      <c r="D1206" s="6" t="str">
        <f>_xll.QS.CONTEXT.ADD.CURVE(C1206,"SOFR",$K$2:$K$7,$L$2:$L$7,,,"Actual360","LogLinear",TRUE)</f>
        <v>QSObject:ContextInput:w1~input.qs_context_add_curve.2359132437744.1205.3.0:39041</v>
      </c>
      <c r="E1206" s="6" t="str">
        <f>_xll.QS.INSTRUMENT.SWAP("swap.1204",H1206,B1206,"USD","SOFR",I1206,J1206,0,"Actual360","Simple","Annual","Annual","Annual")</f>
        <v>QSObject:Swap:w1~swap.1204:19770</v>
      </c>
      <c r="F1206" s="6" t="str">
        <f>_xll.QS.TRADE.CREATE("trade.1204",E1206,A1206,"Receive")</f>
        <v>QSObject:SwapTrade:w1~trade.1204:24212</v>
      </c>
      <c r="G1206" s="3">
        <f>_xll.QS.EVALUATE(C1206,F1206)</f>
        <v>17393.934119514663</v>
      </c>
      <c r="H1206" s="5" t="s">
        <v>2452</v>
      </c>
      <c r="I1206" s="7">
        <v>1120400</v>
      </c>
      <c r="J1206" s="8">
        <v>3.5400000000000001E-2</v>
      </c>
    </row>
    <row r="1207" spans="1:10" x14ac:dyDescent="0.25">
      <c r="A1207" s="5" t="s">
        <v>2440</v>
      </c>
      <c r="B1207" s="5" t="s">
        <v>2453</v>
      </c>
      <c r="C1207" s="6" t="str">
        <f>_xll.QS.CONTEXT.CREATE("market.1205",A1207,"USD","SOFR")</f>
        <v>QSObject:PricingContext:w1~market.1205:19769</v>
      </c>
      <c r="D1207" s="6" t="str">
        <f>_xll.QS.CONTEXT.ADD.CURVE(C1207,"SOFR",$K$2:$K$7,$L$2:$L$7,,,"Actual360","LogLinear",TRUE)</f>
        <v>QSObject:ContextInput:w1~input.qs_context_add_curve.2359132437744.1206.3.0:39040</v>
      </c>
      <c r="E1207" s="6" t="str">
        <f>_xll.QS.INSTRUMENT.SWAP("swap.1205",H1207,B1207,"USD","SOFR",I1207,J1207,0,"Actual360","Simple","Annual","Annual","Annual")</f>
        <v>QSObject:Swap:w1~swap.1205:19768</v>
      </c>
      <c r="F1207" s="6" t="str">
        <f>_xll.QS.TRADE.CREATE("trade.1205",E1207,A1207,"Receive")</f>
        <v>QSObject:SwapTrade:w1~trade.1205:28288</v>
      </c>
      <c r="G1207" s="3">
        <f>_xll.QS.EVALUATE(C1207,F1207)</f>
        <v>17946.395933286542</v>
      </c>
      <c r="H1207" s="5" t="s">
        <v>2454</v>
      </c>
      <c r="I1207" s="7">
        <v>1120500</v>
      </c>
      <c r="J1207" s="8">
        <v>3.5499999999999997E-2</v>
      </c>
    </row>
    <row r="1208" spans="1:10" x14ac:dyDescent="0.25">
      <c r="A1208" s="5" t="s">
        <v>2442</v>
      </c>
      <c r="B1208" s="5" t="s">
        <v>2455</v>
      </c>
      <c r="C1208" s="6" t="str">
        <f>_xll.QS.CONTEXT.CREATE("market.1206",A1208,"USD","SOFR")</f>
        <v>QSObject:PricingContext:w1~market.1206:19767</v>
      </c>
      <c r="D1208" s="6" t="str">
        <f>_xll.QS.CONTEXT.ADD.CURVE(C1208,"SOFR",$K$2:$K$7,$L$2:$L$7,,,"Actual360","LogLinear",TRUE)</f>
        <v>QSObject:ContextInput:w1~input.qs_context_add_curve.2359132437744.1207.3.0:39039</v>
      </c>
      <c r="E1208" s="6" t="str">
        <f>_xll.QS.INSTRUMENT.SWAP("swap.1206",H1208,B1208,"USD","SOFR",I1208,J1208,0,"Actual360","Simple","Annual","Annual","Annual")</f>
        <v>QSObject:Swap:w1~swap.1206:19766</v>
      </c>
      <c r="F1208" s="6" t="str">
        <f>_xll.QS.TRADE.CREATE("trade.1206",E1208,A1208,"Receive")</f>
        <v>QSObject:SwapTrade:w1~trade.1206:22961</v>
      </c>
      <c r="G1208" s="3">
        <f>_xll.QS.EVALUATE(C1208,F1208)</f>
        <v>18546.671219723532</v>
      </c>
      <c r="H1208" s="5" t="s">
        <v>2456</v>
      </c>
      <c r="I1208" s="7">
        <v>1120600</v>
      </c>
      <c r="J1208" s="8">
        <v>3.5600000000000007E-2</v>
      </c>
    </row>
    <row r="1209" spans="1:10" x14ac:dyDescent="0.25">
      <c r="A1209" s="5" t="s">
        <v>2444</v>
      </c>
      <c r="B1209" s="5" t="s">
        <v>2457</v>
      </c>
      <c r="C1209" s="6" t="str">
        <f>_xll.QS.CONTEXT.CREATE("market.1207",A1209,"USD","SOFR")</f>
        <v>QSObject:PricingContext:w1~market.1207:19765</v>
      </c>
      <c r="D1209" s="6" t="str">
        <f>_xll.QS.CONTEXT.ADD.CURVE(C1209,"SOFR",$K$2:$K$7,$L$2:$L$7,,,"Actual360","LogLinear",TRUE)</f>
        <v>QSObject:ContextInput:w1~input.qs_context_add_curve.2359132437744.1208.3.0:39038</v>
      </c>
      <c r="E1209" s="6" t="str">
        <f>_xll.QS.INSTRUMENT.SWAP("swap.1207",H1209,B1209,"USD","SOFR",I1209,J1209,0,"Actual360","Simple","Annual","Annual","Annual")</f>
        <v>QSObject:Swap:w1~swap.1207:19764</v>
      </c>
      <c r="F1209" s="6" t="str">
        <f>_xll.QS.TRADE.CREATE("trade.1207",E1209,A1209,"Receive")</f>
        <v>QSObject:SwapTrade:w1~trade.1207:23475</v>
      </c>
      <c r="G1209" s="3">
        <f>_xll.QS.EVALUATE(C1209,F1209)</f>
        <v>19114.134683654051</v>
      </c>
      <c r="H1209" s="5" t="s">
        <v>2458</v>
      </c>
      <c r="I1209" s="7">
        <v>1120700</v>
      </c>
      <c r="J1209" s="8">
        <v>3.5700000000000003E-2</v>
      </c>
    </row>
    <row r="1210" spans="1:10" x14ac:dyDescent="0.25">
      <c r="A1210" s="5" t="s">
        <v>2446</v>
      </c>
      <c r="B1210" s="5" t="s">
        <v>2459</v>
      </c>
      <c r="C1210" s="6" t="str">
        <f>_xll.QS.CONTEXT.CREATE("market.1208",A1210,"USD","SOFR")</f>
        <v>QSObject:PricingContext:w1~market.1208:19763</v>
      </c>
      <c r="D1210" s="6" t="str">
        <f>_xll.QS.CONTEXT.ADD.CURVE(C1210,"SOFR",$K$2:$K$7,$L$2:$L$7,,,"Actual360","LogLinear",TRUE)</f>
        <v>QSObject:ContextInput:w1~input.qs_context_add_curve.2359132437744.1209.3.0:39037</v>
      </c>
      <c r="E1210" s="6" t="str">
        <f>_xll.QS.INSTRUMENT.SWAP("swap.1208",H1210,B1210,"USD","SOFR",I1210,J1210,0,"Actual360","Simple","Annual","Annual","Annual")</f>
        <v>QSObject:Swap:w1~swap.1208:19762</v>
      </c>
      <c r="F1210" s="6" t="str">
        <f>_xll.QS.TRADE.CREATE("trade.1208",E1210,A1210,"Receive")</f>
        <v>QSObject:SwapTrade:w1~trade.1208:28287</v>
      </c>
      <c r="G1210" s="3">
        <f>_xll.QS.EVALUATE(C1210,F1210)</f>
        <v>19590.150125980814</v>
      </c>
      <c r="H1210" s="5" t="s">
        <v>2460</v>
      </c>
      <c r="I1210" s="7">
        <v>1120800</v>
      </c>
      <c r="J1210" s="8">
        <v>3.5800000000000012E-2</v>
      </c>
    </row>
    <row r="1211" spans="1:10" x14ac:dyDescent="0.25">
      <c r="A1211" s="5" t="s">
        <v>2448</v>
      </c>
      <c r="B1211" s="5" t="s">
        <v>2461</v>
      </c>
      <c r="C1211" s="6" t="str">
        <f>_xll.QS.CONTEXT.CREATE("market.1209",A1211,"USD","SOFR")</f>
        <v>QSObject:PricingContext:w1~market.1209:19761</v>
      </c>
      <c r="D1211" s="6" t="str">
        <f>_xll.QS.CONTEXT.ADD.CURVE(C1211,"SOFR",$K$2:$K$7,$L$2:$L$7,,,"Actual360","LogLinear",TRUE)</f>
        <v>QSObject:ContextInput:w1~input.qs_context_add_curve.2359132437744.1210.3.0:39036</v>
      </c>
      <c r="E1211" s="6" t="str">
        <f>_xll.QS.INSTRUMENT.SWAP("swap.1209",H1211,B1211,"USD","SOFR",I1211,J1211,0,"Actual360","Simple","Annual","Annual","Annual")</f>
        <v>QSObject:Swap:w1~swap.1209:19760</v>
      </c>
      <c r="F1211" s="6" t="str">
        <f>_xll.QS.TRADE.CREATE("trade.1209",E1211,A1211,"Receive")</f>
        <v>QSObject:SwapTrade:w1~trade.1209:22307</v>
      </c>
      <c r="G1211" s="3">
        <f>_xll.QS.EVALUATE(C1211,F1211)</f>
        <v>20037.230808062948</v>
      </c>
      <c r="H1211" s="5" t="s">
        <v>2462</v>
      </c>
      <c r="I1211" s="7">
        <v>1120900</v>
      </c>
      <c r="J1211" s="8">
        <v>3.5900000000000001E-2</v>
      </c>
    </row>
    <row r="1212" spans="1:10" x14ac:dyDescent="0.25">
      <c r="A1212" s="5" t="s">
        <v>2450</v>
      </c>
      <c r="B1212" s="5" t="s">
        <v>2463</v>
      </c>
      <c r="C1212" s="6" t="str">
        <f>_xll.QS.CONTEXT.CREATE("market.1210",A1212,"USD","SOFR")</f>
        <v>QSObject:PricingContext:w1~market.1210:19759</v>
      </c>
      <c r="D1212" s="6" t="str">
        <f>_xll.QS.CONTEXT.ADD.CURVE(C1212,"SOFR",$K$2:$K$7,$L$2:$L$7,,,"Actual360","LogLinear",TRUE)</f>
        <v>QSObject:ContextInput:w1~input.qs_context_add_curve.2359132437744.1211.3.0:39035</v>
      </c>
      <c r="E1212" s="6" t="str">
        <f>_xll.QS.INSTRUMENT.SWAP("swap.1210",H1212,B1212,"USD","SOFR",I1212,J1212,0,"Actual360","Simple","Annual","Annual","Annual")</f>
        <v>QSObject:Swap:w1~swap.1210:19758</v>
      </c>
      <c r="F1212" s="6" t="str">
        <f>_xll.QS.TRADE.CREATE("trade.1210",E1212,A1212,"Receive")</f>
        <v>QSObject:SwapTrade:w1~trade.1210:31129</v>
      </c>
      <c r="G1212" s="3">
        <f>_xll.QS.EVALUATE(C1212,F1212)</f>
        <v>20459.979060579826</v>
      </c>
      <c r="H1212" s="5" t="s">
        <v>2464</v>
      </c>
      <c r="I1212" s="7">
        <v>1121000</v>
      </c>
      <c r="J1212" s="8">
        <v>3.5999999999999997E-2</v>
      </c>
    </row>
    <row r="1213" spans="1:10" x14ac:dyDescent="0.25">
      <c r="A1213" s="5" t="s">
        <v>2452</v>
      </c>
      <c r="B1213" s="5" t="s">
        <v>2465</v>
      </c>
      <c r="C1213" s="6" t="str">
        <f>_xll.QS.CONTEXT.CREATE("market.1211",A1213,"USD","SOFR")</f>
        <v>QSObject:PricingContext:w1~market.1211:19757</v>
      </c>
      <c r="D1213" s="6" t="str">
        <f>_xll.QS.CONTEXT.ADD.CURVE(C1213,"SOFR",$K$2:$K$7,$L$2:$L$7,,,"Actual360","LogLinear",TRUE)</f>
        <v>QSObject:ContextInput:w1~input.qs_context_add_curve.2359132437744.1212.3.0:39034</v>
      </c>
      <c r="E1213" s="6" t="str">
        <f>_xll.QS.INSTRUMENT.SWAP("swap.1211",H1213,B1213,"USD","SOFR",I1213,J1213,0,"Actual360","Simple","Annual","Annual","Annual")</f>
        <v>QSObject:Swap:w1~swap.1211:19756</v>
      </c>
      <c r="F1213" s="6" t="str">
        <f>_xll.QS.TRADE.CREATE("trade.1211",E1213,A1213,"Receive")</f>
        <v>QSObject:SwapTrade:w1~trade.1211:26515</v>
      </c>
      <c r="G1213" s="3">
        <f>_xll.QS.EVALUATE(C1213,F1213)</f>
        <v>21025.376309759515</v>
      </c>
      <c r="H1213" s="5" t="s">
        <v>2466</v>
      </c>
      <c r="I1213" s="7">
        <v>1121100</v>
      </c>
      <c r="J1213" s="8">
        <v>3.61E-2</v>
      </c>
    </row>
    <row r="1214" spans="1:10" x14ac:dyDescent="0.25">
      <c r="A1214" s="5" t="s">
        <v>2454</v>
      </c>
      <c r="B1214" s="5" t="s">
        <v>2467</v>
      </c>
      <c r="C1214" s="6" t="str">
        <f>_xll.QS.CONTEXT.CREATE("market.1212",A1214,"USD","SOFR")</f>
        <v>QSObject:PricingContext:w1~market.1212:19755</v>
      </c>
      <c r="D1214" s="6" t="str">
        <f>_xll.QS.CONTEXT.ADD.CURVE(C1214,"SOFR",$K$2:$K$7,$L$2:$L$7,,,"Actual360","LogLinear",TRUE)</f>
        <v>QSObject:ContextInput:w1~input.qs_context_add_curve.2359132437744.1213.3.0:39033</v>
      </c>
      <c r="E1214" s="6" t="str">
        <f>_xll.QS.INSTRUMENT.SWAP("swap.1212",H1214,B1214,"USD","SOFR",I1214,J1214,0,"Actual360","Simple","Annual","Annual","Annual")</f>
        <v>QSObject:Swap:w1~swap.1212:19754</v>
      </c>
      <c r="F1214" s="6" t="str">
        <f>_xll.QS.TRADE.CREATE("trade.1212",E1214,A1214,"Receive")</f>
        <v>QSObject:SwapTrade:w1~trade.1212:30298</v>
      </c>
      <c r="G1214" s="3">
        <f>_xll.QS.EVALUATE(C1214,F1214)</f>
        <v>21576.148413901759</v>
      </c>
      <c r="H1214" s="5" t="s">
        <v>2468</v>
      </c>
      <c r="I1214" s="7">
        <v>1121200</v>
      </c>
      <c r="J1214" s="8">
        <v>3.6200000000000003E-2</v>
      </c>
    </row>
    <row r="1215" spans="1:10" x14ac:dyDescent="0.25">
      <c r="A1215" s="5" t="s">
        <v>2456</v>
      </c>
      <c r="B1215" s="5" t="s">
        <v>2469</v>
      </c>
      <c r="C1215" s="6" t="str">
        <f>_xll.QS.CONTEXT.CREATE("market.1213",A1215,"USD","SOFR")</f>
        <v>QSObject:PricingContext:w1~market.1213:19753</v>
      </c>
      <c r="D1215" s="6" t="str">
        <f>_xll.QS.CONTEXT.ADD.CURVE(C1215,"SOFR",$K$2:$K$7,$L$2:$L$7,,,"Actual360","LogLinear",TRUE)</f>
        <v>QSObject:ContextInput:w1~input.qs_context_add_curve.2359132437744.1214.3.0:39032</v>
      </c>
      <c r="E1215" s="6" t="str">
        <f>_xll.QS.INSTRUMENT.SWAP("swap.1213",H1215,B1215,"USD","SOFR",I1215,J1215,0,"Actual360","Simple","Annual","Annual","Annual")</f>
        <v>QSObject:Swap:w1~swap.1213:19752</v>
      </c>
      <c r="F1215" s="6" t="str">
        <f>_xll.QS.TRADE.CREATE("trade.1213",E1215,A1215,"Receive")</f>
        <v>QSObject:SwapTrade:w1~trade.1213:30297</v>
      </c>
      <c r="G1215" s="3">
        <f>_xll.QS.EVALUATE(C1215,F1215)</f>
        <v>22177.666685106153</v>
      </c>
      <c r="H1215" s="5" t="s">
        <v>2470</v>
      </c>
      <c r="I1215" s="7">
        <v>1121300</v>
      </c>
      <c r="J1215" s="8">
        <v>3.6300000000000013E-2</v>
      </c>
    </row>
    <row r="1216" spans="1:10" x14ac:dyDescent="0.25">
      <c r="A1216" s="5" t="s">
        <v>2458</v>
      </c>
      <c r="B1216" s="5" t="s">
        <v>2471</v>
      </c>
      <c r="C1216" s="6" t="str">
        <f>_xll.QS.CONTEXT.CREATE("market.1214",A1216,"USD","SOFR")</f>
        <v>QSObject:PricingContext:w1~market.1214:19751</v>
      </c>
      <c r="D1216" s="6" t="str">
        <f>_xll.QS.CONTEXT.ADD.CURVE(C1216,"SOFR",$K$2:$K$7,$L$2:$L$7,,,"Actual360","LogLinear",TRUE)</f>
        <v>QSObject:ContextInput:w1~input.qs_context_add_curve.2359132437744.1215.3.0:39031</v>
      </c>
      <c r="E1216" s="6" t="str">
        <f>_xll.QS.INSTRUMENT.SWAP("swap.1214",H1216,B1216,"USD","SOFR",I1216,J1216,0,"Actual360","Simple","Annual","Annual","Annual")</f>
        <v>QSObject:Swap:w1~swap.1214:19750</v>
      </c>
      <c r="F1216" s="6" t="str">
        <f>_xll.QS.TRADE.CREATE("trade.1214",E1216,A1216,"Receive")</f>
        <v>QSObject:SwapTrade:w1~trade.1214:25022</v>
      </c>
      <c r="G1216" s="3">
        <f>_xll.QS.EVALUATE(C1216,F1216)</f>
        <v>22745.805083151961</v>
      </c>
      <c r="H1216" s="5" t="s">
        <v>2472</v>
      </c>
      <c r="I1216" s="7">
        <v>1121400</v>
      </c>
      <c r="J1216" s="8">
        <v>3.6400000000000002E-2</v>
      </c>
    </row>
    <row r="1217" spans="1:10" x14ac:dyDescent="0.25">
      <c r="A1217" s="5" t="s">
        <v>2460</v>
      </c>
      <c r="B1217" s="5" t="s">
        <v>2473</v>
      </c>
      <c r="C1217" s="6" t="str">
        <f>_xll.QS.CONTEXT.CREATE("market.1215",A1217,"USD","SOFR")</f>
        <v>QSObject:PricingContext:w1~market.1215:19749</v>
      </c>
      <c r="D1217" s="6" t="str">
        <f>_xll.QS.CONTEXT.ADD.CURVE(C1217,"SOFR",$K$2:$K$7,$L$2:$L$7,,,"Actual360","LogLinear",TRUE)</f>
        <v>QSObject:ContextInput:w1~input.qs_context_add_curve.2359132437744.1216.3.0:39030</v>
      </c>
      <c r="E1217" s="6" t="str">
        <f>_xll.QS.INSTRUMENT.SWAP("swap.1215",H1217,B1217,"USD","SOFR",I1217,J1217,0,"Actual360","Simple","Annual","Annual","Annual")</f>
        <v>QSObject:Swap:w1~swap.1215:19748</v>
      </c>
      <c r="F1217" s="6" t="str">
        <f>_xll.QS.TRADE.CREATE("trade.1215",E1217,A1217,"Receive")</f>
        <v>QSObject:SwapTrade:w1~trade.1215:26514</v>
      </c>
      <c r="G1217" s="3">
        <f>_xll.QS.EVALUATE(C1217,F1217)</f>
        <v>23221.929053190175</v>
      </c>
      <c r="H1217" s="5" t="s">
        <v>2474</v>
      </c>
      <c r="I1217" s="7">
        <v>1121500</v>
      </c>
      <c r="J1217" s="8">
        <v>3.6499999999999998E-2</v>
      </c>
    </row>
    <row r="1218" spans="1:10" x14ac:dyDescent="0.25">
      <c r="A1218" s="5" t="s">
        <v>2462</v>
      </c>
      <c r="B1218" s="5" t="s">
        <v>2475</v>
      </c>
      <c r="C1218" s="6" t="str">
        <f>_xll.QS.CONTEXT.CREATE("market.1216",A1218,"USD","SOFR")</f>
        <v>QSObject:PricingContext:w1~market.1216:19747</v>
      </c>
      <c r="D1218" s="6" t="str">
        <f>_xll.QS.CONTEXT.ADD.CURVE(C1218,"SOFR",$K$2:$K$7,$L$2:$L$7,,,"Actual360","LogLinear",TRUE)</f>
        <v>QSObject:ContextInput:w1~input.qs_context_add_curve.2359132437744.1217.3.0:39029</v>
      </c>
      <c r="E1218" s="6" t="str">
        <f>_xll.QS.INSTRUMENT.SWAP("swap.1216",H1218,B1218,"USD","SOFR",I1218,J1218,0,"Actual360","Simple","Annual","Annual","Annual")</f>
        <v>QSObject:Swap:w1~swap.1216:19746</v>
      </c>
      <c r="F1218" s="6" t="str">
        <f>_xll.QS.TRADE.CREATE("trade.1216",E1218,A1218,"Receive")</f>
        <v>QSObject:SwapTrade:w1~trade.1216:22960</v>
      </c>
      <c r="G1218" s="3">
        <f>_xll.QS.EVALUATE(C1218,F1218)</f>
        <v>23665.975826300728</v>
      </c>
      <c r="H1218" s="5" t="s">
        <v>2476</v>
      </c>
      <c r="I1218" s="7">
        <v>1121600</v>
      </c>
      <c r="J1218" s="8">
        <v>3.6600000000000001E-2</v>
      </c>
    </row>
    <row r="1219" spans="1:10" x14ac:dyDescent="0.25">
      <c r="A1219" s="5" t="s">
        <v>2464</v>
      </c>
      <c r="B1219" s="5" t="s">
        <v>2477</v>
      </c>
      <c r="C1219" s="6" t="str">
        <f>_xll.QS.CONTEXT.CREATE("market.1217",A1219,"USD","SOFR")</f>
        <v>QSObject:PricingContext:w1~market.1217:19745</v>
      </c>
      <c r="D1219" s="6" t="str">
        <f>_xll.QS.CONTEXT.ADD.CURVE(C1219,"SOFR",$K$2:$K$7,$L$2:$L$7,,,"Actual360","LogLinear",TRUE)</f>
        <v>QSObject:ContextInput:w1~input.qs_context_add_curve.2359132437744.1218.3.0:39028</v>
      </c>
      <c r="E1219" s="6" t="str">
        <f>_xll.QS.INSTRUMENT.SWAP("swap.1217",H1219,B1219,"USD","SOFR",I1219,J1219,0,"Actual360","Simple","Annual","Annual","Annual")</f>
        <v>QSObject:Swap:w1~swap.1217:19744</v>
      </c>
      <c r="F1219" s="6" t="str">
        <f>_xll.QS.TRADE.CREATE("trade.1217",E1219,A1219,"Receive")</f>
        <v>QSObject:SwapTrade:w1~trade.1217:27632</v>
      </c>
      <c r="G1219" s="3">
        <f>_xll.QS.EVALUATE(C1219,F1219)</f>
        <v>24094.922816895363</v>
      </c>
      <c r="H1219" s="5" t="s">
        <v>2478</v>
      </c>
      <c r="I1219" s="7">
        <v>1121700</v>
      </c>
      <c r="J1219" s="8">
        <v>3.6700000000000003E-2</v>
      </c>
    </row>
    <row r="1220" spans="1:10" x14ac:dyDescent="0.25">
      <c r="A1220" s="5" t="s">
        <v>2466</v>
      </c>
      <c r="B1220" s="5" t="s">
        <v>2479</v>
      </c>
      <c r="C1220" s="6" t="str">
        <f>_xll.QS.CONTEXT.CREATE("market.1218",A1220,"USD","SOFR")</f>
        <v>QSObject:PricingContext:w1~market.1218:19743</v>
      </c>
      <c r="D1220" s="6" t="str">
        <f>_xll.QS.CONTEXT.ADD.CURVE(C1220,"SOFR",$K$2:$K$7,$L$2:$L$7,,,"Actual360","LogLinear",TRUE)</f>
        <v>QSObject:ContextInput:w1~input.qs_context_add_curve.2359132437744.1219.3.0:39027</v>
      </c>
      <c r="E1220" s="6" t="str">
        <f>_xll.QS.INSTRUMENT.SWAP("swap.1218",H1220,B1220,"USD","SOFR",I1220,J1220,0,"Actual360","Simple","Annual","Annual","Annual")</f>
        <v>QSObject:Swap:w1~swap.1218:19742</v>
      </c>
      <c r="F1220" s="6" t="str">
        <f>_xll.QS.TRADE.CREATE("trade.1218",E1220,A1220,"Receive")</f>
        <v>QSObject:SwapTrade:w1~trade.1218:22959</v>
      </c>
      <c r="G1220" s="3">
        <f>_xll.QS.EVALUATE(C1220,F1220)</f>
        <v>24661.345770638451</v>
      </c>
      <c r="H1220" s="5" t="s">
        <v>2480</v>
      </c>
      <c r="I1220" s="7">
        <v>1121800</v>
      </c>
      <c r="J1220" s="8">
        <v>3.6800000000000013E-2</v>
      </c>
    </row>
    <row r="1221" spans="1:10" x14ac:dyDescent="0.25">
      <c r="A1221" s="5" t="s">
        <v>2468</v>
      </c>
      <c r="B1221" s="5" t="s">
        <v>2481</v>
      </c>
      <c r="C1221" s="6" t="str">
        <f>_xll.QS.CONTEXT.CREATE("market.1219",A1221,"USD","SOFR")</f>
        <v>QSObject:PricingContext:w1~market.1219:19741</v>
      </c>
      <c r="D1221" s="6" t="str">
        <f>_xll.QS.CONTEXT.ADD.CURVE(C1221,"SOFR",$K$2:$K$7,$L$2:$L$7,,,"Actual360","LogLinear",TRUE)</f>
        <v>QSObject:ContextInput:w1~input.qs_context_add_curve.2359132437744.1220.3.0:39026</v>
      </c>
      <c r="E1221" s="6" t="str">
        <f>_xll.QS.INSTRUMENT.SWAP("swap.1219",H1221,B1221,"USD","SOFR",I1221,J1221,0,"Actual360","Simple","Annual","Annual","Annual")</f>
        <v>QSObject:Swap:w1~swap.1219:19740</v>
      </c>
      <c r="F1221" s="6" t="str">
        <f>_xll.QS.TRADE.CREATE("trade.1219",E1221,A1221,"Receive")</f>
        <v>QSObject:SwapTrade:w1~trade.1219:29622</v>
      </c>
      <c r="G1221" s="3">
        <f>_xll.QS.EVALUATE(C1221,F1221)</f>
        <v>25211.628512412713</v>
      </c>
      <c r="H1221" s="5" t="s">
        <v>2482</v>
      </c>
      <c r="I1221" s="7">
        <v>1121900</v>
      </c>
      <c r="J1221" s="8">
        <v>3.6900000000000002E-2</v>
      </c>
    </row>
    <row r="1222" spans="1:10" x14ac:dyDescent="0.25">
      <c r="A1222" s="5" t="s">
        <v>2470</v>
      </c>
      <c r="B1222" s="5" t="s">
        <v>2483</v>
      </c>
      <c r="C1222" s="6" t="str">
        <f>_xll.QS.CONTEXT.CREATE("market.1220",A1222,"USD","SOFR")</f>
        <v>QSObject:PricingContext:w1~market.1220:19739</v>
      </c>
      <c r="D1222" s="6" t="str">
        <f>_xll.QS.CONTEXT.ADD.CURVE(C1222,"SOFR",$K$2:$K$7,$L$2:$L$7,,,"Actual360","LogLinear",TRUE)</f>
        <v>QSObject:ContextInput:w1~input.qs_context_add_curve.2359132437744.1221.3.0:39025</v>
      </c>
      <c r="E1222" s="6" t="str">
        <f>_xll.QS.INSTRUMENT.SWAP("swap.1220",H1222,B1222,"USD","SOFR",I1222,J1222,0,"Actual360","Simple","Annual","Annual","Annual")</f>
        <v>QSObject:Swap:w1~swap.1220:19738</v>
      </c>
      <c r="F1222" s="6" t="str">
        <f>_xll.QS.TRADE.CREATE("trade.1220",E1222,A1222,"Receive")</f>
        <v>QSObject:SwapTrade:w1~trade.1220:22306</v>
      </c>
      <c r="G1222" s="3">
        <f>_xll.QS.EVALUATE(C1222,F1222)</f>
        <v>25813.411950873386</v>
      </c>
      <c r="H1222" s="5" t="s">
        <v>2484</v>
      </c>
      <c r="I1222" s="7">
        <v>1122000</v>
      </c>
      <c r="J1222" s="8">
        <v>3.7000000000000012E-2</v>
      </c>
    </row>
    <row r="1223" spans="1:10" x14ac:dyDescent="0.25">
      <c r="A1223" s="5" t="s">
        <v>2472</v>
      </c>
      <c r="B1223" s="5" t="s">
        <v>2485</v>
      </c>
      <c r="C1223" s="6" t="str">
        <f>_xll.QS.CONTEXT.CREATE("market.1221",A1223,"USD","SOFR")</f>
        <v>QSObject:PricingContext:w1~market.1221:19737</v>
      </c>
      <c r="D1223" s="6" t="str">
        <f>_xll.QS.CONTEXT.ADD.CURVE(C1223,"SOFR",$K$2:$K$7,$L$2:$L$7,,,"Actual360","LogLinear",TRUE)</f>
        <v>QSObject:ContextInput:w1~input.qs_context_add_curve.2359132437744.1222.3.0:39024</v>
      </c>
      <c r="E1223" s="6" t="str">
        <f>_xll.QS.INSTRUMENT.SWAP("swap.1221",H1223,B1223,"USD","SOFR",I1223,J1223,0,"Actual360","Simple","Annual","Annual","Annual")</f>
        <v>QSObject:Swap:w1~swap.1221:19736</v>
      </c>
      <c r="F1223" s="6" t="str">
        <f>_xll.QS.TRADE.CREATE("trade.1221",E1223,A1223,"Receive")</f>
        <v>QSObject:SwapTrade:w1~trade.1221:24211</v>
      </c>
      <c r="G1223" s="3">
        <f>_xll.QS.EVALUATE(C1223,F1223)</f>
        <v>26382.152740731242</v>
      </c>
      <c r="H1223" s="5" t="s">
        <v>2486</v>
      </c>
      <c r="I1223" s="7">
        <v>1122100</v>
      </c>
      <c r="J1223" s="8">
        <v>3.7100000000000001E-2</v>
      </c>
    </row>
    <row r="1224" spans="1:10" x14ac:dyDescent="0.25">
      <c r="A1224" s="5" t="s">
        <v>2474</v>
      </c>
      <c r="B1224" s="5" t="s">
        <v>2487</v>
      </c>
      <c r="C1224" s="6" t="str">
        <f>_xll.QS.CONTEXT.CREATE("market.1222",A1224,"USD","SOFR")</f>
        <v>QSObject:PricingContext:w1~market.1222:19735</v>
      </c>
      <c r="D1224" s="6" t="str">
        <f>_xll.QS.CONTEXT.ADD.CURVE(C1224,"SOFR",$K$2:$K$7,$L$2:$L$7,,,"Actual360","LogLinear",TRUE)</f>
        <v>QSObject:ContextInput:w1~input.qs_context_add_curve.2359132437744.1223.3.0:39023</v>
      </c>
      <c r="E1224" s="6" t="str">
        <f>_xll.QS.INSTRUMENT.SWAP("swap.1222",H1224,B1224,"USD","SOFR",I1224,J1224,0,"Actual360","Simple","Annual","Annual","Annual")</f>
        <v>QSObject:Swap:w1~swap.1222:19734</v>
      </c>
      <c r="F1224" s="6" t="str">
        <f>_xll.QS.TRADE.CREATE("trade.1222",E1224,A1224,"Receive")</f>
        <v>QSObject:SwapTrade:w1~trade.1222:25717</v>
      </c>
      <c r="G1224" s="3">
        <f>_xll.QS.EVALUATE(C1224,F1224)</f>
        <v>26858.855630293463</v>
      </c>
      <c r="H1224" s="5" t="s">
        <v>2488</v>
      </c>
      <c r="I1224" s="7">
        <v>1122200</v>
      </c>
      <c r="J1224" s="8">
        <v>3.7199999999999997E-2</v>
      </c>
    </row>
    <row r="1225" spans="1:10" x14ac:dyDescent="0.25">
      <c r="A1225" s="5" t="s">
        <v>2476</v>
      </c>
      <c r="B1225" s="5" t="s">
        <v>2489</v>
      </c>
      <c r="C1225" s="6" t="str">
        <f>_xll.QS.CONTEXT.CREATE("market.1223",A1225,"USD","SOFR")</f>
        <v>QSObject:PricingContext:w1~market.1223:19733</v>
      </c>
      <c r="D1225" s="6" t="str">
        <f>_xll.QS.CONTEXT.ADD.CURVE(C1225,"SOFR",$K$2:$K$7,$L$2:$L$7,,,"Actual360","LogLinear",TRUE)</f>
        <v>QSObject:ContextInput:w1~input.qs_context_add_curve.2359132437744.1224.3.0:39022</v>
      </c>
      <c r="E1225" s="6" t="str">
        <f>_xll.QS.INSTRUMENT.SWAP("swap.1223",H1225,B1225,"USD","SOFR",I1225,J1225,0,"Actual360","Simple","Annual","Annual","Annual")</f>
        <v>QSObject:Swap:w1~swap.1223:19732</v>
      </c>
      <c r="F1225" s="6" t="str">
        <f>_xll.QS.TRADE.CREATE("trade.1223",E1225,A1225,"Receive")</f>
        <v>QSObject:SwapTrade:w1~trade.1223:31128</v>
      </c>
      <c r="G1225" s="3">
        <f>_xll.QS.EVALUATE(C1225,F1225)</f>
        <v>27299.23468594925</v>
      </c>
      <c r="H1225" s="5" t="s">
        <v>2490</v>
      </c>
      <c r="I1225" s="7">
        <v>1122300</v>
      </c>
      <c r="J1225" s="8">
        <v>3.73E-2</v>
      </c>
    </row>
    <row r="1226" spans="1:10" x14ac:dyDescent="0.25">
      <c r="A1226" s="5" t="s">
        <v>2478</v>
      </c>
      <c r="B1226" s="5" t="s">
        <v>2491</v>
      </c>
      <c r="C1226" s="6" t="str">
        <f>_xll.QS.CONTEXT.CREATE("market.1224",A1226,"USD","SOFR")</f>
        <v>QSObject:PricingContext:w1~market.1224:19731</v>
      </c>
      <c r="D1226" s="6" t="str">
        <f>_xll.QS.CONTEXT.ADD.CURVE(C1226,"SOFR",$K$2:$K$7,$L$2:$L$7,,,"Actual360","LogLinear",TRUE)</f>
        <v>QSObject:ContextInput:w1~input.qs_context_add_curve.2359132437744.1225.3.0:39021</v>
      </c>
      <c r="E1226" s="6" t="str">
        <f>_xll.QS.INSTRUMENT.SWAP("swap.1224",H1226,B1226,"USD","SOFR",I1226,J1226,0,"Actual360","Simple","Annual","Annual","Annual")</f>
        <v>QSObject:Swap:w1~swap.1224:19730</v>
      </c>
      <c r="F1226" s="6" t="str">
        <f>_xll.QS.TRADE.CREATE("trade.1224",E1226,A1226,"Receive")</f>
        <v>QSObject:SwapTrade:w1~trade.1224:30296</v>
      </c>
      <c r="G1226" s="3">
        <f>_xll.QS.EVALUATE(C1226,F1226)</f>
        <v>27734.387420805866</v>
      </c>
      <c r="H1226" s="5" t="s">
        <v>2492</v>
      </c>
      <c r="I1226" s="7">
        <v>1122400</v>
      </c>
      <c r="J1226" s="8">
        <v>3.7400000000000003E-2</v>
      </c>
    </row>
    <row r="1227" spans="1:10" x14ac:dyDescent="0.25">
      <c r="A1227" s="5" t="s">
        <v>2480</v>
      </c>
      <c r="B1227" s="5" t="s">
        <v>2493</v>
      </c>
      <c r="C1227" s="6" t="str">
        <f>_xll.QS.CONTEXT.CREATE("market.1225",A1227,"USD","SOFR")</f>
        <v>QSObject:PricingContext:w1~market.1225:19729</v>
      </c>
      <c r="D1227" s="6" t="str">
        <f>_xll.QS.CONTEXT.ADD.CURVE(C1227,"SOFR",$K$2:$K$7,$L$2:$L$7,,,"Actual360","LogLinear",TRUE)</f>
        <v>QSObject:ContextInput:w1~input.qs_context_add_curve.2359132437744.1226.3.0:39020</v>
      </c>
      <c r="E1227" s="6" t="str">
        <f>_xll.QS.INSTRUMENT.SWAP("swap.1225",H1227,B1227,"USD","SOFR",I1227,J1227,0,"Actual360","Simple","Annual","Annual","Annual")</f>
        <v>QSObject:Swap:w1~swap.1225:19728</v>
      </c>
      <c r="F1227" s="6" t="str">
        <f>_xll.QS.TRADE.CREATE("trade.1225",E1227,A1227,"Receive")</f>
        <v>QSObject:SwapTrade:w1~trade.1225:25716</v>
      </c>
      <c r="G1227" s="3">
        <f>_xll.QS.EVALUATE(C1227,F1227)</f>
        <v>28301.836517033364</v>
      </c>
      <c r="H1227" s="5" t="s">
        <v>2494</v>
      </c>
      <c r="I1227" s="7">
        <v>1122500</v>
      </c>
      <c r="J1227" s="8">
        <v>3.7500000000000012E-2</v>
      </c>
    </row>
    <row r="1228" spans="1:10" x14ac:dyDescent="0.25">
      <c r="A1228" s="5" t="s">
        <v>2482</v>
      </c>
      <c r="B1228" s="5" t="s">
        <v>2495</v>
      </c>
      <c r="C1228" s="6" t="str">
        <f>_xll.QS.CONTEXT.CREATE("market.1226",A1228,"USD","SOFR")</f>
        <v>QSObject:PricingContext:w1~market.1226:19727</v>
      </c>
      <c r="D1228" s="6" t="str">
        <f>_xll.QS.CONTEXT.ADD.CURVE(C1228,"SOFR",$K$2:$K$7,$L$2:$L$7,,,"Actual360","LogLinear",TRUE)</f>
        <v>QSObject:ContextInput:w1~input.qs_context_add_curve.2359132437744.1227.3.0:39019</v>
      </c>
      <c r="E1228" s="6" t="str">
        <f>_xll.QS.INSTRUMENT.SWAP("swap.1226",H1228,B1228,"USD","SOFR",I1228,J1228,0,"Actual360","Simple","Annual","Annual","Annual")</f>
        <v>QSObject:Swap:w1~swap.1226:19726</v>
      </c>
      <c r="F1228" s="6" t="str">
        <f>_xll.QS.TRADE.CREATE("trade.1226",E1228,A1228,"Receive")</f>
        <v>QSObject:SwapTrade:w1~trade.1226:28286</v>
      </c>
      <c r="G1228" s="3">
        <f>_xll.QS.EVALUATE(C1228,F1228)</f>
        <v>28851.023436501393</v>
      </c>
      <c r="H1228" s="5" t="s">
        <v>2496</v>
      </c>
      <c r="I1228" s="7">
        <v>1122600</v>
      </c>
      <c r="J1228" s="8">
        <v>3.7600000000000001E-2</v>
      </c>
    </row>
    <row r="1229" spans="1:10" x14ac:dyDescent="0.25">
      <c r="A1229" s="5" t="s">
        <v>2484</v>
      </c>
      <c r="B1229" s="5" t="s">
        <v>2497</v>
      </c>
      <c r="C1229" s="6" t="str">
        <f>_xll.QS.CONTEXT.CREATE("market.1227",A1229,"USD","SOFR")</f>
        <v>QSObject:PricingContext:w1~market.1227:19725</v>
      </c>
      <c r="D1229" s="6" t="str">
        <f>_xll.QS.CONTEXT.ADD.CURVE(C1229,"SOFR",$K$2:$K$7,$L$2:$L$7,,,"Actual360","LogLinear",TRUE)</f>
        <v>QSObject:ContextInput:w1~input.qs_context_add_curve.2359132437744.1228.3.0:39018</v>
      </c>
      <c r="E1229" s="6" t="str">
        <f>_xll.QS.INSTRUMENT.SWAP("swap.1227",H1229,B1229,"USD","SOFR",I1229,J1229,0,"Actual360","Simple","Annual","Annual","Annual")</f>
        <v>QSObject:Swap:w1~swap.1227:19724</v>
      </c>
      <c r="F1229" s="6" t="str">
        <f>_xll.QS.TRADE.CREATE("trade.1227",E1229,A1229,"Receive")</f>
        <v>QSObject:SwapTrade:w1~trade.1227:27006</v>
      </c>
      <c r="G1229" s="3">
        <f>_xll.QS.EVALUATE(C1229,F1229)</f>
        <v>29453.561058244573</v>
      </c>
      <c r="H1229" s="5" t="s">
        <v>2498</v>
      </c>
      <c r="I1229" s="7">
        <v>1122700</v>
      </c>
      <c r="J1229" s="8">
        <v>3.7699999999999997E-2</v>
      </c>
    </row>
    <row r="1230" spans="1:10" x14ac:dyDescent="0.25">
      <c r="A1230" s="5" t="s">
        <v>2486</v>
      </c>
      <c r="B1230" s="5" t="s">
        <v>2499</v>
      </c>
      <c r="C1230" s="6" t="str">
        <f>_xll.QS.CONTEXT.CREATE("market.1228",A1230,"USD","SOFR")</f>
        <v>QSObject:PricingContext:w1~market.1228:19723</v>
      </c>
      <c r="D1230" s="6" t="str">
        <f>_xll.QS.CONTEXT.ADD.CURVE(C1230,"SOFR",$K$2:$K$7,$L$2:$L$7,,,"Actual360","LogLinear",TRUE)</f>
        <v>QSObject:ContextInput:w1~input.qs_context_add_curve.2359132437744.1229.3.0:39017</v>
      </c>
      <c r="E1230" s="6" t="str">
        <f>_xll.QS.INSTRUMENT.SWAP("swap.1228",H1230,B1230,"USD","SOFR",I1230,J1230,0,"Actual360","Simple","Annual","Annual","Annual")</f>
        <v>QSObject:Swap:w1~swap.1228:19722</v>
      </c>
      <c r="F1230" s="6" t="str">
        <f>_xll.QS.TRADE.CREATE("trade.1228",E1230,A1230,"Receive")</f>
        <v>QSObject:SwapTrade:w1~trade.1228:28285</v>
      </c>
      <c r="G1230" s="3">
        <f>_xll.QS.EVALUATE(C1230,F1230)</f>
        <v>30023.019611382766</v>
      </c>
      <c r="H1230" s="5" t="s">
        <v>2500</v>
      </c>
      <c r="I1230" s="7">
        <v>1122800</v>
      </c>
      <c r="J1230" s="8">
        <v>3.78E-2</v>
      </c>
    </row>
    <row r="1231" spans="1:10" x14ac:dyDescent="0.25">
      <c r="A1231" s="5" t="s">
        <v>2488</v>
      </c>
      <c r="B1231" s="5" t="s">
        <v>2501</v>
      </c>
      <c r="C1231" s="6" t="str">
        <f>_xll.QS.CONTEXT.CREATE("market.1229",A1231,"USD","SOFR")</f>
        <v>QSObject:PricingContext:w1~market.1229:19721</v>
      </c>
      <c r="D1231" s="6" t="str">
        <f>_xll.QS.CONTEXT.ADD.CURVE(C1231,"SOFR",$K$2:$K$7,$L$2:$L$7,,,"Actual360","LogLinear",TRUE)</f>
        <v>QSObject:ContextInput:w1~input.qs_context_add_curve.2359132437744.1230.3.0:39016</v>
      </c>
      <c r="E1231" s="6" t="str">
        <f>_xll.QS.INSTRUMENT.SWAP("swap.1229",H1231,B1231,"USD","SOFR",I1231,J1231,0,"Actual360","Simple","Annual","Annual","Annual")</f>
        <v>QSObject:Swap:w1~swap.1229:19720</v>
      </c>
      <c r="F1231" s="6" t="str">
        <f>_xll.QS.TRADE.CREATE("trade.1229",E1231,A1231,"Receive")</f>
        <v>QSObject:SwapTrade:w1~trade.1229:30295</v>
      </c>
      <c r="G1231" s="3">
        <f>_xll.QS.EVALUATE(C1231,F1231)</f>
        <v>30500.301370822617</v>
      </c>
      <c r="H1231" s="5" t="s">
        <v>2502</v>
      </c>
      <c r="I1231" s="7">
        <v>1122900</v>
      </c>
      <c r="J1231" s="8">
        <v>3.7900000000000003E-2</v>
      </c>
    </row>
    <row r="1232" spans="1:10" x14ac:dyDescent="0.25">
      <c r="A1232" s="5" t="s">
        <v>2490</v>
      </c>
      <c r="B1232" s="5" t="s">
        <v>2503</v>
      </c>
      <c r="C1232" s="6" t="str">
        <f>_xll.QS.CONTEXT.CREATE("market.1230",A1232,"USD","SOFR")</f>
        <v>QSObject:PricingContext:w1~market.1230:19719</v>
      </c>
      <c r="D1232" s="6" t="str">
        <f>_xll.QS.CONTEXT.ADD.CURVE(C1232,"SOFR",$K$2:$K$7,$L$2:$L$7,,,"Actual360","LogLinear",TRUE)</f>
        <v>QSObject:ContextInput:w1~input.qs_context_add_curve.2359132437744.1231.3.0:39015</v>
      </c>
      <c r="E1232" s="6" t="str">
        <f>_xll.QS.INSTRUMENT.SWAP("swap.1230",H1232,B1232,"USD","SOFR",I1232,J1232,0,"Actual360","Simple","Annual","Annual","Annual")</f>
        <v>QSObject:Swap:w1~swap.1230:19718</v>
      </c>
      <c r="F1232" s="6" t="str">
        <f>_xll.QS.TRADE.CREATE("trade.1230",E1232,A1232,"Receive")</f>
        <v>QSObject:SwapTrade:w1~trade.1230:24210</v>
      </c>
      <c r="G1232" s="3">
        <f>_xll.QS.EVALUATE(C1232,F1232)</f>
        <v>30937.007387008081</v>
      </c>
      <c r="H1232" s="5" t="s">
        <v>2504</v>
      </c>
      <c r="I1232" s="7">
        <v>1123000</v>
      </c>
      <c r="J1232" s="8">
        <v>3.8000000000000013E-2</v>
      </c>
    </row>
    <row r="1233" spans="1:10" x14ac:dyDescent="0.25">
      <c r="A1233" s="5" t="s">
        <v>2492</v>
      </c>
      <c r="B1233" s="5" t="s">
        <v>2505</v>
      </c>
      <c r="C1233" s="6" t="str">
        <f>_xll.QS.CONTEXT.CREATE("market.1231",A1233,"USD","SOFR")</f>
        <v>QSObject:PricingContext:w1~market.1231:19717</v>
      </c>
      <c r="D1233" s="6" t="str">
        <f>_xll.QS.CONTEXT.ADD.CURVE(C1233,"SOFR",$K$2:$K$7,$L$2:$L$7,,,"Actual360","LogLinear",TRUE)</f>
        <v>QSObject:ContextInput:w1~input.qs_context_add_curve.2359132437744.1232.3.0:39014</v>
      </c>
      <c r="E1233" s="6" t="str">
        <f>_xll.QS.INSTRUMENT.SWAP("swap.1231",H1233,B1233,"USD","SOFR",I1233,J1233,0,"Actual360","Simple","Annual","Annual","Annual")</f>
        <v>QSObject:Swap:w1~swap.1231:19716</v>
      </c>
      <c r="F1233" s="6" t="str">
        <f>_xll.QS.TRADE.CREATE("trade.1231",E1233,A1233,"Receive")</f>
        <v>QSObject:SwapTrade:w1~trade.1231:29621</v>
      </c>
      <c r="G1233" s="3">
        <f>_xll.QS.EVALUATE(C1233,F1233)</f>
        <v>31351.287860491058</v>
      </c>
      <c r="H1233" s="5" t="s">
        <v>2506</v>
      </c>
      <c r="I1233" s="7">
        <v>1123100</v>
      </c>
      <c r="J1233" s="8">
        <v>3.8100000000000002E-2</v>
      </c>
    </row>
    <row r="1234" spans="1:10" x14ac:dyDescent="0.25">
      <c r="A1234" s="5" t="s">
        <v>2494</v>
      </c>
      <c r="B1234" s="5" t="s">
        <v>2507</v>
      </c>
      <c r="C1234" s="6" t="str">
        <f>_xll.QS.CONTEXT.CREATE("market.1232",A1234,"USD","SOFR")</f>
        <v>QSObject:PricingContext:w1~market.1232:19715</v>
      </c>
      <c r="D1234" s="6" t="str">
        <f>_xll.QS.CONTEXT.ADD.CURVE(C1234,"SOFR",$K$2:$K$7,$L$2:$L$7,,,"Actual360","LogLinear",TRUE)</f>
        <v>QSObject:ContextInput:w1~input.qs_context_add_curve.2359132437744.1233.3.0:39013</v>
      </c>
      <c r="E1234" s="6" t="str">
        <f>_xll.QS.INSTRUMENT.SWAP("swap.1232",H1234,B1234,"USD","SOFR",I1234,J1234,0,"Actual360","Simple","Annual","Annual","Annual")</f>
        <v>QSObject:Swap:w1~swap.1232:19714</v>
      </c>
      <c r="F1234" s="6" t="str">
        <f>_xll.QS.TRADE.CREATE("trade.1232",E1234,A1234,"Receive")</f>
        <v>QSObject:SwapTrade:w1~trade.1232:29620</v>
      </c>
      <c r="G1234" s="3">
        <f>_xll.QS.EVALUATE(C1234,F1234)</f>
        <v>31919.980543343681</v>
      </c>
      <c r="H1234" s="5" t="s">
        <v>2508</v>
      </c>
      <c r="I1234" s="7">
        <v>1123200</v>
      </c>
      <c r="J1234" s="8">
        <v>3.8199999999999998E-2</v>
      </c>
    </row>
    <row r="1235" spans="1:10" x14ac:dyDescent="0.25">
      <c r="A1235" s="5" t="s">
        <v>2496</v>
      </c>
      <c r="B1235" s="5" t="s">
        <v>2509</v>
      </c>
      <c r="C1235" s="6" t="str">
        <f>_xll.QS.CONTEXT.CREATE("market.1233",A1235,"USD","SOFR")</f>
        <v>QSObject:PricingContext:w1~market.1233:19713</v>
      </c>
      <c r="D1235" s="6" t="str">
        <f>_xll.QS.CONTEXT.ADD.CURVE(C1235,"SOFR",$K$2:$K$7,$L$2:$L$7,,,"Actual360","LogLinear",TRUE)</f>
        <v>QSObject:ContextInput:w1~input.qs_context_add_curve.2359132437744.1234.3.0:39012</v>
      </c>
      <c r="E1235" s="6" t="str">
        <f>_xll.QS.INSTRUMENT.SWAP("swap.1233",H1235,B1235,"USD","SOFR",I1235,J1235,0,"Actual360","Simple","Annual","Annual","Annual")</f>
        <v>QSObject:Swap:w1~swap.1233:19712</v>
      </c>
      <c r="F1235" s="6" t="str">
        <f>_xll.QS.TRADE.CREATE("trade.1233",E1235,A1235,"Receive")</f>
        <v>QSObject:SwapTrade:w1~trade.1233:29003</v>
      </c>
      <c r="G1235" s="3">
        <f>_xll.QS.EVALUATE(C1235,F1235)</f>
        <v>32468.246545093221</v>
      </c>
      <c r="H1235" s="5" t="s">
        <v>2510</v>
      </c>
      <c r="I1235" s="7">
        <v>1123300</v>
      </c>
      <c r="J1235" s="8">
        <v>3.8300000000000001E-2</v>
      </c>
    </row>
    <row r="1236" spans="1:10" x14ac:dyDescent="0.25">
      <c r="A1236" s="5" t="s">
        <v>2498</v>
      </c>
      <c r="B1236" s="5" t="s">
        <v>2511</v>
      </c>
      <c r="C1236" s="6" t="str">
        <f>_xll.QS.CONTEXT.CREATE("market.1234",A1236,"USD","SOFR")</f>
        <v>QSObject:PricingContext:w1~market.1234:19711</v>
      </c>
      <c r="D1236" s="6" t="str">
        <f>_xll.QS.CONTEXT.ADD.CURVE(C1236,"SOFR",$K$2:$K$7,$L$2:$L$7,,,"Actual360","LogLinear",TRUE)</f>
        <v>QSObject:ContextInput:w1~input.qs_context_add_curve.2359132437744.1235.3.0:39011</v>
      </c>
      <c r="E1236" s="6" t="str">
        <f>_xll.QS.INSTRUMENT.SWAP("swap.1234",H1236,B1236,"USD","SOFR",I1236,J1236,0,"Actual360","Simple","Annual","Annual","Annual")</f>
        <v>QSObject:Swap:w1~swap.1234:19710</v>
      </c>
      <c r="F1236" s="6" t="str">
        <f>_xll.QS.TRADE.CREATE("trade.1234",E1236,A1236,"Receive")</f>
        <v>QSObject:SwapTrade:w1~trade.1234:30394</v>
      </c>
      <c r="G1236" s="3">
        <f>_xll.QS.EVALUATE(C1236,F1236)</f>
        <v>33139.574247376018</v>
      </c>
      <c r="H1236" s="5" t="s">
        <v>2512</v>
      </c>
      <c r="I1236" s="7">
        <v>1123400</v>
      </c>
      <c r="J1236" s="8">
        <v>3.8399999999999997E-2</v>
      </c>
    </row>
    <row r="1237" spans="1:10" x14ac:dyDescent="0.25">
      <c r="A1237" s="5" t="s">
        <v>2500</v>
      </c>
      <c r="B1237" s="5" t="s">
        <v>2513</v>
      </c>
      <c r="C1237" s="6" t="str">
        <f>_xll.QS.CONTEXT.CREATE("market.1235",A1237,"USD","SOFR")</f>
        <v>QSObject:PricingContext:w1~market.1235:19709</v>
      </c>
      <c r="D1237" s="6" t="str">
        <f>_xll.QS.CONTEXT.ADD.CURVE(C1237,"SOFR",$K$2:$K$7,$L$2:$L$7,,,"Actual360","LogLinear",TRUE)</f>
        <v>QSObject:ContextInput:w1~input.qs_context_add_curve.2359132437744.1236.3.0:39010</v>
      </c>
      <c r="E1237" s="6" t="str">
        <f>_xll.QS.INSTRUMENT.SWAP("swap.1235",H1237,B1237,"USD","SOFR",I1237,J1237,0,"Actual360","Simple","Annual","Annual","Annual")</f>
        <v>QSObject:Swap:w1~swap.1235:19708</v>
      </c>
      <c r="F1237" s="6" t="str">
        <f>_xll.QS.TRADE.CREATE("trade.1235",E1237,A1237,"Receive")</f>
        <v>QSObject:SwapTrade:w1~trade.1235:30294</v>
      </c>
      <c r="G1237" s="3">
        <f>_xll.QS.EVALUATE(C1237,F1237)</f>
        <v>33669.704750528181</v>
      </c>
      <c r="H1237" s="5" t="s">
        <v>2514</v>
      </c>
      <c r="I1237" s="7">
        <v>1123500</v>
      </c>
      <c r="J1237" s="8">
        <v>3.8500000000000013E-2</v>
      </c>
    </row>
    <row r="1238" spans="1:10" x14ac:dyDescent="0.25">
      <c r="A1238" s="5" t="s">
        <v>2502</v>
      </c>
      <c r="B1238" s="5" t="s">
        <v>2515</v>
      </c>
      <c r="C1238" s="6" t="str">
        <f>_xll.QS.CONTEXT.CREATE("market.1236",A1238,"USD","SOFR")</f>
        <v>QSObject:PricingContext:w1~market.1236:19707</v>
      </c>
      <c r="D1238" s="6" t="str">
        <f>_xll.QS.CONTEXT.ADD.CURVE(C1238,"SOFR",$K$2:$K$7,$L$2:$L$7,,,"Actual360","LogLinear",TRUE)</f>
        <v>QSObject:ContextInput:w1~input.qs_context_add_curve.2359132437744.1237.3.0:39009</v>
      </c>
      <c r="E1238" s="6" t="str">
        <f>_xll.QS.INSTRUMENT.SWAP("swap.1236",H1238,B1238,"USD","SOFR",I1238,J1238,0,"Actual360","Simple","Annual","Annual","Annual")</f>
        <v>QSObject:Swap:w1~swap.1236:19706</v>
      </c>
      <c r="F1238" s="6" t="str">
        <f>_xll.QS.TRADE.CREATE("trade.1236",E1238,A1238,"Receive")</f>
        <v>QSObject:SwapTrade:w1~trade.1236:30293</v>
      </c>
      <c r="G1238" s="3">
        <f>_xll.QS.EVALUATE(C1238,F1238)</f>
        <v>34188.820613333868</v>
      </c>
      <c r="H1238" s="5" t="s">
        <v>2516</v>
      </c>
      <c r="I1238" s="7">
        <v>1123600</v>
      </c>
      <c r="J1238" s="8">
        <v>3.8600000000000002E-2</v>
      </c>
    </row>
    <row r="1239" spans="1:10" x14ac:dyDescent="0.25">
      <c r="A1239" s="5" t="s">
        <v>2504</v>
      </c>
      <c r="B1239" s="5" t="s">
        <v>2517</v>
      </c>
      <c r="C1239" s="6" t="str">
        <f>_xll.QS.CONTEXT.CREATE("market.1237",A1239,"USD","SOFR")</f>
        <v>QSObject:PricingContext:w1~market.1237:19705</v>
      </c>
      <c r="D1239" s="6" t="str">
        <f>_xll.QS.CONTEXT.ADD.CURVE(C1239,"SOFR",$K$2:$K$7,$L$2:$L$7,,,"Actual360","LogLinear",TRUE)</f>
        <v>QSObject:ContextInput:w1~input.qs_context_add_curve.2359132437744.1238.3.0:39008</v>
      </c>
      <c r="E1239" s="6" t="str">
        <f>_xll.QS.INSTRUMENT.SWAP("swap.1237",H1239,B1239,"USD","SOFR",I1239,J1239,0,"Actual360","Simple","Annual","Annual","Annual")</f>
        <v>QSObject:Swap:w1~swap.1237:19704</v>
      </c>
      <c r="F1239" s="6" t="str">
        <f>_xll.QS.TRADE.CREATE("trade.1237",E1239,A1239,"Receive")</f>
        <v>QSObject:SwapTrade:w1~trade.1237:27005</v>
      </c>
      <c r="G1239" s="3">
        <f>_xll.QS.EVALUATE(C1239,F1239)</f>
        <v>34687.31592108903</v>
      </c>
      <c r="H1239" s="5" t="s">
        <v>2518</v>
      </c>
      <c r="I1239" s="7">
        <v>1123700</v>
      </c>
      <c r="J1239" s="8">
        <v>3.8700000000000012E-2</v>
      </c>
    </row>
    <row r="1240" spans="1:10" x14ac:dyDescent="0.25">
      <c r="A1240" s="5" t="s">
        <v>2506</v>
      </c>
      <c r="B1240" s="5" t="s">
        <v>2519</v>
      </c>
      <c r="C1240" s="6" t="str">
        <f>_xll.QS.CONTEXT.CREATE("market.1238",A1240,"USD","SOFR")</f>
        <v>QSObject:PricingContext:w1~market.1238:19703</v>
      </c>
      <c r="D1240" s="6" t="str">
        <f>_xll.QS.CONTEXT.ADD.CURVE(C1240,"SOFR",$K$2:$K$7,$L$2:$L$7,,,"Actual360","LogLinear",TRUE)</f>
        <v>QSObject:ContextInput:w1~input.qs_context_add_curve.2359132437744.1239.3.0:39007</v>
      </c>
      <c r="E1240" s="6" t="str">
        <f>_xll.QS.INSTRUMENT.SWAP("swap.1238",H1240,B1240,"USD","SOFR",I1240,J1240,0,"Actual360","Simple","Annual","Annual","Annual")</f>
        <v>QSObject:Swap:w1~swap.1238:19702</v>
      </c>
      <c r="F1240" s="6" t="str">
        <f>_xll.QS.TRADE.CREATE("trade.1238",E1240,A1240,"Receive")</f>
        <v>QSObject:SwapTrade:w1~trade.1238:27004</v>
      </c>
      <c r="G1240" s="3">
        <f>_xll.QS.EVALUATE(C1240,F1240)</f>
        <v>35211.802504655541</v>
      </c>
      <c r="H1240" s="5" t="s">
        <v>2520</v>
      </c>
      <c r="I1240" s="7">
        <v>1123800</v>
      </c>
      <c r="J1240" s="8">
        <v>3.8800000000000001E-2</v>
      </c>
    </row>
    <row r="1241" spans="1:10" x14ac:dyDescent="0.25">
      <c r="A1241" s="5" t="s">
        <v>2508</v>
      </c>
      <c r="B1241" s="5" t="s">
        <v>2521</v>
      </c>
      <c r="C1241" s="6" t="str">
        <f>_xll.QS.CONTEXT.CREATE("market.1239",A1241,"USD","SOFR")</f>
        <v>QSObject:PricingContext:w1~market.1239:19701</v>
      </c>
      <c r="D1241" s="6" t="str">
        <f>_xll.QS.CONTEXT.ADD.CURVE(C1241,"SOFR",$K$2:$K$7,$L$2:$L$7,,,"Actual360","LogLinear",TRUE)</f>
        <v>QSObject:ContextInput:w1~input.qs_context_add_curve.2359132437744.1240.3.0:39006</v>
      </c>
      <c r="E1241" s="6" t="str">
        <f>_xll.QS.INSTRUMENT.SWAP("swap.1239",H1241,B1241,"USD","SOFR",I1241,J1241,0,"Actual360","Simple","Annual","Annual","Annual")</f>
        <v>QSObject:Swap:w1~swap.1239:19700</v>
      </c>
      <c r="F1241" s="6" t="str">
        <f>_xll.QS.TRADE.CREATE("trade.1239",E1241,A1241,"Receive")</f>
        <v>QSObject:SwapTrade:w1~trade.1239:28284</v>
      </c>
      <c r="G1241" s="3">
        <f>_xll.QS.EVALUATE(C1241,F1241)</f>
        <v>35739.214424272635</v>
      </c>
      <c r="H1241" s="5" t="s">
        <v>2522</v>
      </c>
      <c r="I1241" s="7">
        <v>1123900</v>
      </c>
      <c r="J1241" s="8">
        <v>3.8899999999999997E-2</v>
      </c>
    </row>
    <row r="1242" spans="1:10" x14ac:dyDescent="0.25">
      <c r="A1242" s="5" t="s">
        <v>2510</v>
      </c>
      <c r="B1242" s="5" t="s">
        <v>2523</v>
      </c>
      <c r="C1242" s="6" t="str">
        <f>_xll.QS.CONTEXT.CREATE("market.1240",A1242,"USD","SOFR")</f>
        <v>QSObject:PricingContext:w1~market.1240:19699</v>
      </c>
      <c r="D1242" s="6" t="str">
        <f>_xll.QS.CONTEXT.ADD.CURVE(C1242,"SOFR",$K$2:$K$7,$L$2:$L$7,,,"Actual360","LogLinear",TRUE)</f>
        <v>QSObject:ContextInput:w1~input.qs_context_add_curve.2359132437744.1241.3.0:39005</v>
      </c>
      <c r="E1242" s="6" t="str">
        <f>_xll.QS.INSTRUMENT.SWAP("swap.1240",H1242,B1242,"USD","SOFR",I1242,J1242,0,"Actual360","Simple","Annual","Annual","Annual")</f>
        <v>QSObject:Swap:w1~swap.1240:19698</v>
      </c>
      <c r="F1242" s="6" t="str">
        <f>_xll.QS.TRADE.CREATE("trade.1240",E1242,A1242,"Receive")</f>
        <v>QSObject:SwapTrade:w1~trade.1240:29619</v>
      </c>
      <c r="G1242" s="3">
        <f>_xll.QS.EVALUATE(C1242,F1242)</f>
        <v>36143.837927641885</v>
      </c>
      <c r="H1242" s="5" t="s">
        <v>2524</v>
      </c>
      <c r="I1242" s="7">
        <v>1124000</v>
      </c>
      <c r="J1242" s="8">
        <v>3.9000000000000007E-2</v>
      </c>
    </row>
    <row r="1243" spans="1:10" x14ac:dyDescent="0.25">
      <c r="A1243" s="5" t="s">
        <v>2512</v>
      </c>
      <c r="B1243" s="5" t="s">
        <v>2525</v>
      </c>
      <c r="C1243" s="6" t="str">
        <f>_xll.QS.CONTEXT.CREATE("market.1241",A1243,"USD","SOFR")</f>
        <v>QSObject:PricingContext:w1~market.1241:19697</v>
      </c>
      <c r="D1243" s="6" t="str">
        <f>_xll.QS.CONTEXT.ADD.CURVE(C1243,"SOFR",$K$2:$K$7,$L$2:$L$7,,,"Actual360","LogLinear",TRUE)</f>
        <v>QSObject:ContextInput:w1~input.qs_context_add_curve.2359132437744.1242.3.0:39004</v>
      </c>
      <c r="E1243" s="6" t="str">
        <f>_xll.QS.INSTRUMENT.SWAP("swap.1241",H1243,B1243,"USD","SOFR",I1243,J1243,0,"Actual360","Simple","Annual","Annual","Annual")</f>
        <v>QSObject:Swap:w1~swap.1241:19696</v>
      </c>
      <c r="F1243" s="6" t="str">
        <f>_xll.QS.TRADE.CREATE("trade.1241",E1243,A1243,"Receive")</f>
        <v>QSObject:SwapTrade:w1~trade.1241:30292</v>
      </c>
      <c r="G1243" s="3">
        <f>_xll.QS.EVALUATE(C1243,F1243)</f>
        <v>36790.799576498306</v>
      </c>
      <c r="H1243" s="5" t="s">
        <v>2526</v>
      </c>
      <c r="I1243" s="7">
        <v>1124100</v>
      </c>
      <c r="J1243" s="8">
        <v>3.9100000000000003E-2</v>
      </c>
    </row>
    <row r="1244" spans="1:10" x14ac:dyDescent="0.25">
      <c r="A1244" s="5" t="s">
        <v>2514</v>
      </c>
      <c r="B1244" s="5" t="s">
        <v>2527</v>
      </c>
      <c r="C1244" s="6" t="str">
        <f>_xll.QS.CONTEXT.CREATE("market.1242",A1244,"USD","SOFR")</f>
        <v>QSObject:PricingContext:w1~market.1242:19695</v>
      </c>
      <c r="D1244" s="6" t="str">
        <f>_xll.QS.CONTEXT.ADD.CURVE(C1244,"SOFR",$K$2:$K$7,$L$2:$L$7,,,"Actual360","LogLinear",TRUE)</f>
        <v>QSObject:ContextInput:w1~input.qs_context_add_curve.2359132437744.1243.3.0:39003</v>
      </c>
      <c r="E1244" s="6" t="str">
        <f>_xll.QS.INSTRUMENT.SWAP("swap.1242",H1244,B1244,"USD","SOFR",I1244,J1244,0,"Actual360","Simple","Annual","Annual","Annual")</f>
        <v>QSObject:Swap:w1~swap.1242:19694</v>
      </c>
      <c r="F1244" s="6" t="str">
        <f>_xll.QS.TRADE.CREATE("trade.1242",E1244,A1244,"Receive")</f>
        <v>QSObject:SwapTrade:w1~trade.1242:29618</v>
      </c>
      <c r="G1244" s="3">
        <f>_xll.QS.EVALUATE(C1244,F1244)</f>
        <v>37319.768904446275</v>
      </c>
      <c r="H1244" s="5" t="s">
        <v>2528</v>
      </c>
      <c r="I1244" s="7">
        <v>1124200</v>
      </c>
      <c r="J1244" s="8">
        <v>3.9200000000000013E-2</v>
      </c>
    </row>
    <row r="1245" spans="1:10" x14ac:dyDescent="0.25">
      <c r="A1245" s="5" t="s">
        <v>2516</v>
      </c>
      <c r="B1245" s="5" t="s">
        <v>2529</v>
      </c>
      <c r="C1245" s="6" t="str">
        <f>_xll.QS.CONTEXT.CREATE("market.1243",A1245,"USD","SOFR")</f>
        <v>QSObject:PricingContext:w1~market.1243:19693</v>
      </c>
      <c r="D1245" s="6" t="str">
        <f>_xll.QS.CONTEXT.ADD.CURVE(C1245,"SOFR",$K$2:$K$7,$L$2:$L$7,,,"Actual360","LogLinear",TRUE)</f>
        <v>QSObject:ContextInput:w1~input.qs_context_add_curve.2359132437744.1244.3.0:39002</v>
      </c>
      <c r="E1245" s="6" t="str">
        <f>_xll.QS.INSTRUMENT.SWAP("swap.1243",H1245,B1245,"USD","SOFR",I1245,J1245,0,"Actual360","Simple","Annual","Annual","Annual")</f>
        <v>QSObject:Swap:w1~swap.1243:19692</v>
      </c>
      <c r="F1245" s="6" t="str">
        <f>_xll.QS.TRADE.CREATE("trade.1243",E1245,A1245,"Receive")</f>
        <v>QSObject:SwapTrade:w1~trade.1243:30393</v>
      </c>
      <c r="G1245" s="3">
        <f>_xll.QS.EVALUATE(C1245,F1245)</f>
        <v>37842.15344998832</v>
      </c>
      <c r="H1245" s="5" t="s">
        <v>2530</v>
      </c>
      <c r="I1245" s="7">
        <v>1124300</v>
      </c>
      <c r="J1245" s="8">
        <v>3.9300000000000002E-2</v>
      </c>
    </row>
    <row r="1246" spans="1:10" x14ac:dyDescent="0.25">
      <c r="A1246" s="5" t="s">
        <v>2518</v>
      </c>
      <c r="B1246" s="5" t="s">
        <v>2531</v>
      </c>
      <c r="C1246" s="6" t="str">
        <f>_xll.QS.CONTEXT.CREATE("market.1244",A1246,"USD","SOFR")</f>
        <v>QSObject:PricingContext:w1~market.1244:19691</v>
      </c>
      <c r="D1246" s="6" t="str">
        <f>_xll.QS.CONTEXT.ADD.CURVE(C1246,"SOFR",$K$2:$K$7,$L$2:$L$7,,,"Actual360","LogLinear",TRUE)</f>
        <v>QSObject:ContextInput:w1~input.qs_context_add_curve.2359132437744.1245.3.0:39001</v>
      </c>
      <c r="E1246" s="6" t="str">
        <f>_xll.QS.INSTRUMENT.SWAP("swap.1244",H1246,B1246,"USD","SOFR",I1246,J1246,0,"Actual360","Simple","Annual","Annual","Annual")</f>
        <v>QSObject:Swap:w1~swap.1244:19690</v>
      </c>
      <c r="F1246" s="6" t="str">
        <f>_xll.QS.TRADE.CREATE("trade.1244",E1246,A1246,"Receive")</f>
        <v>QSObject:SwapTrade:w1~trade.1244:29617</v>
      </c>
      <c r="G1246" s="3">
        <f>_xll.QS.EVALUATE(C1246,F1246)</f>
        <v>38271.490815575104</v>
      </c>
      <c r="H1246" s="5" t="s">
        <v>2532</v>
      </c>
      <c r="I1246" s="7">
        <v>1124400</v>
      </c>
      <c r="J1246" s="8">
        <v>3.9399999999999998E-2</v>
      </c>
    </row>
    <row r="1247" spans="1:10" x14ac:dyDescent="0.25">
      <c r="A1247" s="5" t="s">
        <v>2520</v>
      </c>
      <c r="B1247" s="5" t="s">
        <v>2533</v>
      </c>
      <c r="C1247" s="6" t="str">
        <f>_xll.QS.CONTEXT.CREATE("market.1245",A1247,"USD","SOFR")</f>
        <v>QSObject:PricingContext:w1~market.1245:19689</v>
      </c>
      <c r="D1247" s="6" t="str">
        <f>_xll.QS.CONTEXT.ADD.CURVE(C1247,"SOFR",$K$2:$K$7,$L$2:$L$7,,,"Actual360","LogLinear",TRUE)</f>
        <v>QSObject:ContextInput:w1~input.qs_context_add_curve.2359132437744.1246.3.0:39000</v>
      </c>
      <c r="E1247" s="6" t="str">
        <f>_xll.QS.INSTRUMENT.SWAP("swap.1245",H1247,B1247,"USD","SOFR",I1247,J1247,0,"Actual360","Simple","Annual","Annual","Annual")</f>
        <v>QSObject:Swap:w1~swap.1245:19688</v>
      </c>
      <c r="F1247" s="6" t="str">
        <f>_xll.QS.TRADE.CREATE("trade.1245",E1247,A1247,"Receive")</f>
        <v>QSObject:SwapTrade:w1~trade.1245:26513</v>
      </c>
      <c r="G1247" s="3">
        <f>_xll.QS.EVALUATE(C1247,F1247)</f>
        <v>38725.158984456677</v>
      </c>
      <c r="H1247" s="5" t="s">
        <v>2534</v>
      </c>
      <c r="I1247" s="7">
        <v>1124500</v>
      </c>
      <c r="J1247" s="8">
        <v>3.9500000000000007E-2</v>
      </c>
    </row>
    <row r="1248" spans="1:10" x14ac:dyDescent="0.25">
      <c r="A1248" s="5" t="s">
        <v>2522</v>
      </c>
      <c r="B1248" s="5" t="s">
        <v>2535</v>
      </c>
      <c r="C1248" s="6" t="str">
        <f>_xll.QS.CONTEXT.CREATE("market.1246",A1248,"USD","SOFR")</f>
        <v>QSObject:PricingContext:w1~market.1246:19687</v>
      </c>
      <c r="D1248" s="6" t="str">
        <f>_xll.QS.CONTEXT.ADD.CURVE(C1248,"SOFR",$K$2:$K$7,$L$2:$L$7,,,"Actual360","LogLinear",TRUE)</f>
        <v>QSObject:ContextInput:w1~input.qs_context_add_curve.2359132437744.1247.3.0:38999</v>
      </c>
      <c r="E1248" s="6" t="str">
        <f>_xll.QS.INSTRUMENT.SWAP("swap.1246",H1248,B1248,"USD","SOFR",I1248,J1248,0,"Actual360","Simple","Annual","Annual","Annual")</f>
        <v>QSObject:Swap:w1~swap.1246:19686</v>
      </c>
      <c r="F1248" s="6" t="str">
        <f>_xll.QS.TRADE.CREATE("trade.1246",E1248,A1248,"Receive")</f>
        <v>QSObject:SwapTrade:w1~trade.1246:26512</v>
      </c>
      <c r="G1248" s="3">
        <f>_xll.QS.EVALUATE(C1248,F1248)</f>
        <v>39250.436469314664</v>
      </c>
      <c r="H1248" s="5" t="s">
        <v>2536</v>
      </c>
      <c r="I1248" s="7">
        <v>1124600</v>
      </c>
      <c r="J1248" s="8">
        <v>3.9600000000000003E-2</v>
      </c>
    </row>
    <row r="1249" spans="1:10" x14ac:dyDescent="0.25">
      <c r="A1249" s="5" t="s">
        <v>2524</v>
      </c>
      <c r="B1249" s="5" t="s">
        <v>2537</v>
      </c>
      <c r="C1249" s="6" t="str">
        <f>_xll.QS.CONTEXT.CREATE("market.1247",A1249,"USD","SOFR")</f>
        <v>QSObject:PricingContext:w1~market.1247:19685</v>
      </c>
      <c r="D1249" s="6" t="str">
        <f>_xll.QS.CONTEXT.ADD.CURVE(C1249,"SOFR",$K$2:$K$7,$L$2:$L$7,,,"Actual360","LogLinear",TRUE)</f>
        <v>QSObject:ContextInput:w1~input.qs_context_add_curve.2359132437744.1248.3.0:38998</v>
      </c>
      <c r="E1249" s="6" t="str">
        <f>_xll.QS.INSTRUMENT.SWAP("swap.1247",H1249,B1249,"USD","SOFR",I1249,J1249,0,"Actual360","Simple","Annual","Annual","Annual")</f>
        <v>QSObject:Swap:w1~swap.1247:19684</v>
      </c>
      <c r="F1249" s="6" t="str">
        <f>_xll.QS.TRADE.CREATE("trade.1247",E1249,A1249,"Receive")</f>
        <v>QSObject:SwapTrade:w1~trade.1247:25021</v>
      </c>
      <c r="G1249" s="3">
        <f>_xll.QS.EVALUATE(C1249,F1249)</f>
        <v>39796.322746869388</v>
      </c>
      <c r="H1249" s="5" t="s">
        <v>2538</v>
      </c>
      <c r="I1249" s="7">
        <v>1124700</v>
      </c>
      <c r="J1249" s="8">
        <v>3.9700000000000013E-2</v>
      </c>
    </row>
    <row r="1250" spans="1:10" x14ac:dyDescent="0.25">
      <c r="A1250" s="5" t="s">
        <v>2526</v>
      </c>
      <c r="B1250" s="5" t="s">
        <v>2539</v>
      </c>
      <c r="C1250" s="6" t="str">
        <f>_xll.QS.CONTEXT.CREATE("market.1248",A1250,"USD","SOFR")</f>
        <v>QSObject:PricingContext:w1~market.1248:19683</v>
      </c>
      <c r="D1250" s="6" t="str">
        <f>_xll.QS.CONTEXT.ADD.CURVE(C1250,"SOFR",$K$2:$K$7,$L$2:$L$7,,,"Actual360","LogLinear",TRUE)</f>
        <v>QSObject:ContextInput:w1~input.qs_context_add_curve.2359132437744.1249.3.0:38997</v>
      </c>
      <c r="E1250" s="6" t="str">
        <f>_xll.QS.INSTRUMENT.SWAP("swap.1248",H1250,B1250,"USD","SOFR",I1250,J1250,0,"Actual360","Simple","Annual","Annual","Annual")</f>
        <v>QSObject:Swap:w1~swap.1248:19682</v>
      </c>
      <c r="F1250" s="6" t="str">
        <f>_xll.QS.TRADE.CREATE("trade.1248",E1250,A1250,"Receive")</f>
        <v>QSObject:SwapTrade:w1~trade.1248:30291</v>
      </c>
      <c r="G1250" s="3">
        <f>_xll.QS.EVALUATE(C1250,F1250)</f>
        <v>40401.123347542962</v>
      </c>
      <c r="H1250" s="5" t="s">
        <v>2540</v>
      </c>
      <c r="I1250" s="7">
        <v>1124800</v>
      </c>
      <c r="J1250" s="8">
        <v>3.9800000000000002E-2</v>
      </c>
    </row>
    <row r="1251" spans="1:10" x14ac:dyDescent="0.25">
      <c r="A1251" s="5" t="s">
        <v>2528</v>
      </c>
      <c r="B1251" s="5" t="s">
        <v>2541</v>
      </c>
      <c r="C1251" s="6" t="str">
        <f>_xll.QS.CONTEXT.CREATE("market.1249",A1251,"USD","SOFR")</f>
        <v>QSObject:PricingContext:w1~market.1249:19681</v>
      </c>
      <c r="D1251" s="6" t="str">
        <f>_xll.QS.CONTEXT.ADD.CURVE(C1251,"SOFR",$K$2:$K$7,$L$2:$L$7,,,"Actual360","LogLinear",TRUE)</f>
        <v>QSObject:ContextInput:w1~input.qs_context_add_curve.2359132437744.1250.3.0:38996</v>
      </c>
      <c r="E1251" s="6" t="str">
        <f>_xll.QS.INSTRUMENT.SWAP("swap.1249",H1251,B1251,"USD","SOFR",I1251,J1251,0,"Actual360","Simple","Annual","Annual","Annual")</f>
        <v>QSObject:Swap:w1~swap.1249:19680</v>
      </c>
      <c r="F1251" s="6" t="str">
        <f>_xll.QS.TRADE.CREATE("trade.1249",E1251,A1251,"Receive")</f>
        <v>QSObject:SwapTrade:w1~trade.1249:23474</v>
      </c>
      <c r="G1251" s="3">
        <f>_xll.QS.EVALUATE(C1251,F1251)</f>
        <v>40972.735501770272</v>
      </c>
      <c r="H1251" s="5" t="s">
        <v>2542</v>
      </c>
      <c r="I1251" s="7">
        <v>1124900</v>
      </c>
      <c r="J1251" s="8">
        <v>3.9899999999999998E-2</v>
      </c>
    </row>
    <row r="1252" spans="1:10" x14ac:dyDescent="0.25">
      <c r="A1252" s="5" t="s">
        <v>2530</v>
      </c>
      <c r="B1252" s="5" t="s">
        <v>2543</v>
      </c>
      <c r="C1252" s="6" t="str">
        <f>_xll.QS.CONTEXT.CREATE("market.1250",A1252,"USD","SOFR")</f>
        <v>QSObject:PricingContext:w1~market.1250:19679</v>
      </c>
      <c r="D1252" s="6" t="str">
        <f>_xll.QS.CONTEXT.ADD.CURVE(C1252,"SOFR",$K$2:$K$7,$L$2:$L$7,,,"Actual360","LogLinear",TRUE)</f>
        <v>QSObject:ContextInput:w1~input.qs_context_add_curve.2359132437744.1251.3.0:38995</v>
      </c>
      <c r="E1252" s="6" t="str">
        <f>_xll.QS.INSTRUMENT.SWAP("swap.1250",H1252,B1252,"USD","SOFR",I1252,J1252,0,"Actual360","Simple","Annual","Annual","Annual")</f>
        <v>QSObject:Swap:w1~swap.1250:19678</v>
      </c>
      <c r="F1252" s="6" t="str">
        <f>_xll.QS.TRADE.CREATE("trade.1250",E1252,A1252,"Receive")</f>
        <v>QSObject:SwapTrade:w1~trade.1250:25020</v>
      </c>
      <c r="G1252" s="3">
        <f>_xll.QS.EVALUATE(C1252,F1252)</f>
        <v>15512.677785127402</v>
      </c>
      <c r="H1252" s="5" t="s">
        <v>2544</v>
      </c>
      <c r="I1252" s="7">
        <v>1125000</v>
      </c>
      <c r="J1252" s="8">
        <v>3.5000000000000003E-2</v>
      </c>
    </row>
    <row r="1253" spans="1:10" x14ac:dyDescent="0.25">
      <c r="A1253" s="5" t="s">
        <v>2532</v>
      </c>
      <c r="B1253" s="5" t="s">
        <v>2545</v>
      </c>
      <c r="C1253" s="6" t="str">
        <f>_xll.QS.CONTEXT.CREATE("market.1251",A1253,"USD","SOFR")</f>
        <v>QSObject:PricingContext:w1~market.1251:19677</v>
      </c>
      <c r="D1253" s="6" t="str">
        <f>_xll.QS.CONTEXT.ADD.CURVE(C1253,"SOFR",$K$2:$K$7,$L$2:$L$7,,,"Actual360","LogLinear",TRUE)</f>
        <v>QSObject:ContextInput:w1~input.qs_context_add_curve.2359132437744.1252.3.0:38994</v>
      </c>
      <c r="E1253" s="6" t="str">
        <f>_xll.QS.INSTRUMENT.SWAP("swap.1251",H1253,B1253,"USD","SOFR",I1253,J1253,0,"Actual360","Simple","Annual","Annual","Annual")</f>
        <v>QSObject:Swap:w1~swap.1251:19676</v>
      </c>
      <c r="F1253" s="6" t="str">
        <f>_xll.QS.TRADE.CREATE("trade.1251",E1253,A1253,"Receive")</f>
        <v>QSObject:SwapTrade:w1~trade.1251:25019</v>
      </c>
      <c r="G1253" s="3">
        <f>_xll.QS.EVALUATE(C1253,F1253)</f>
        <v>15966.577054573903</v>
      </c>
      <c r="H1253" s="5" t="s">
        <v>2546</v>
      </c>
      <c r="I1253" s="7">
        <v>1125100</v>
      </c>
      <c r="J1253" s="8">
        <v>3.5100000000000013E-2</v>
      </c>
    </row>
    <row r="1254" spans="1:10" x14ac:dyDescent="0.25">
      <c r="A1254" s="5" t="s">
        <v>2534</v>
      </c>
      <c r="B1254" s="5" t="s">
        <v>2547</v>
      </c>
      <c r="C1254" s="6" t="str">
        <f>_xll.QS.CONTEXT.CREATE("market.1252",A1254,"USD","SOFR")</f>
        <v>QSObject:PricingContext:w1~market.1252:19675</v>
      </c>
      <c r="D1254" s="6" t="str">
        <f>_xll.QS.CONTEXT.ADD.CURVE(C1254,"SOFR",$K$2:$K$7,$L$2:$L$7,,,"Actual360","LogLinear",TRUE)</f>
        <v>QSObject:ContextInput:w1~input.qs_context_add_curve.2359132437744.1253.3.0:38993</v>
      </c>
      <c r="E1254" s="6" t="str">
        <f>_xll.QS.INSTRUMENT.SWAP("swap.1252",H1254,B1254,"USD","SOFR",I1254,J1254,0,"Actual360","Simple","Annual","Annual","Annual")</f>
        <v>QSObject:Swap:w1~swap.1252:19674</v>
      </c>
      <c r="F1254" s="6" t="str">
        <f>_xll.QS.TRADE.CREATE("trade.1252",E1254,A1254,"Receive")</f>
        <v>QSObject:SwapTrade:w1~trade.1252:26511</v>
      </c>
      <c r="G1254" s="3">
        <f>_xll.QS.EVALUATE(C1254,F1254)</f>
        <v>16384.098629510947</v>
      </c>
      <c r="H1254" s="5" t="s">
        <v>2548</v>
      </c>
      <c r="I1254" s="7">
        <v>1125200</v>
      </c>
      <c r="J1254" s="8">
        <v>3.5200000000000002E-2</v>
      </c>
    </row>
    <row r="1255" spans="1:10" x14ac:dyDescent="0.25">
      <c r="A1255" s="5" t="s">
        <v>2536</v>
      </c>
      <c r="B1255" s="5" t="s">
        <v>2549</v>
      </c>
      <c r="C1255" s="6" t="str">
        <f>_xll.QS.CONTEXT.CREATE("market.1253",A1255,"USD","SOFR")</f>
        <v>QSObject:PricingContext:w1~market.1253:19673</v>
      </c>
      <c r="D1255" s="6" t="str">
        <f>_xll.QS.CONTEXT.ADD.CURVE(C1255,"SOFR",$K$2:$K$7,$L$2:$L$7,,,"Actual360","LogLinear",TRUE)</f>
        <v>QSObject:ContextInput:w1~input.qs_context_add_curve.2359132437744.1254.3.0:38992</v>
      </c>
      <c r="E1255" s="6" t="str">
        <f>_xll.QS.INSTRUMENT.SWAP("swap.1253",H1255,B1255,"USD","SOFR",I1255,J1255,0,"Actual360","Simple","Annual","Annual","Annual")</f>
        <v>QSObject:Swap:w1~swap.1253:19672</v>
      </c>
      <c r="F1255" s="6" t="str">
        <f>_xll.QS.TRADE.CREATE("trade.1253",E1255,A1255,"Receive")</f>
        <v>QSObject:SwapTrade:w1~trade.1253:30290</v>
      </c>
      <c r="G1255" s="3">
        <f>_xll.QS.EVALUATE(C1255,F1255)</f>
        <v>16950.835871958403</v>
      </c>
      <c r="H1255" s="5" t="s">
        <v>2550</v>
      </c>
      <c r="I1255" s="7">
        <v>1125300</v>
      </c>
      <c r="J1255" s="8">
        <v>3.5299999999999998E-2</v>
      </c>
    </row>
    <row r="1256" spans="1:10" x14ac:dyDescent="0.25">
      <c r="A1256" s="5" t="s">
        <v>2538</v>
      </c>
      <c r="B1256" s="5" t="s">
        <v>2551</v>
      </c>
      <c r="C1256" s="6" t="str">
        <f>_xll.QS.CONTEXT.CREATE("market.1254",A1256,"USD","SOFR")</f>
        <v>QSObject:PricingContext:w1~market.1254:19671</v>
      </c>
      <c r="D1256" s="6" t="str">
        <f>_xll.QS.CONTEXT.ADD.CURVE(C1256,"SOFR",$K$2:$K$7,$L$2:$L$7,,,"Actual360","LogLinear",TRUE)</f>
        <v>QSObject:ContextInput:w1~input.qs_context_add_curve.2359132437744.1255.3.0:38991</v>
      </c>
      <c r="E1256" s="6" t="str">
        <f>_xll.QS.INSTRUMENT.SWAP("swap.1254",H1256,B1256,"USD","SOFR",I1256,J1256,0,"Actual360","Simple","Annual","Annual","Annual")</f>
        <v>QSObject:Swap:w1~swap.1254:19670</v>
      </c>
      <c r="F1256" s="6" t="str">
        <f>_xll.QS.TRADE.CREATE("trade.1254",E1256,A1256,"Receive")</f>
        <v>QSObject:SwapTrade:w1~trade.1254:27003</v>
      </c>
      <c r="G1256" s="3">
        <f>_xll.QS.EVALUATE(C1256,F1256)</f>
        <v>17505.918876517724</v>
      </c>
      <c r="H1256" s="5" t="s">
        <v>2552</v>
      </c>
      <c r="I1256" s="7">
        <v>1125400</v>
      </c>
      <c r="J1256" s="8">
        <v>3.5400000000000001E-2</v>
      </c>
    </row>
    <row r="1257" spans="1:10" x14ac:dyDescent="0.25">
      <c r="A1257" s="5" t="s">
        <v>2540</v>
      </c>
      <c r="B1257" s="5" t="s">
        <v>2553</v>
      </c>
      <c r="C1257" s="6" t="str">
        <f>_xll.QS.CONTEXT.CREATE("market.1255",A1257,"USD","SOFR")</f>
        <v>QSObject:PricingContext:w1~market.1255:19669</v>
      </c>
      <c r="D1257" s="6" t="str">
        <f>_xll.QS.CONTEXT.ADD.CURVE(C1257,"SOFR",$K$2:$K$7,$L$2:$L$7,,,"Actual360","LogLinear",TRUE)</f>
        <v>QSObject:ContextInput:w1~input.qs_context_add_curve.2359132437744.1256.3.0:38990</v>
      </c>
      <c r="E1257" s="6" t="str">
        <f>_xll.QS.INSTRUMENT.SWAP("swap.1255",H1257,B1257,"USD","SOFR",I1257,J1257,0,"Actual360","Simple","Annual","Annual","Annual")</f>
        <v>QSObject:Swap:w1~swap.1255:19668</v>
      </c>
      <c r="F1257" s="6" t="str">
        <f>_xll.QS.TRADE.CREATE("trade.1255",E1257,A1257,"Receive")</f>
        <v>QSObject:SwapTrade:w1~trade.1255:26510</v>
      </c>
      <c r="G1257" s="3">
        <f>_xll.QS.EVALUATE(C1257,F1257)</f>
        <v>18108.75763145856</v>
      </c>
      <c r="H1257" s="5" t="s">
        <v>2554</v>
      </c>
      <c r="I1257" s="7">
        <v>1125500</v>
      </c>
      <c r="J1257" s="8">
        <v>3.5499999999999997E-2</v>
      </c>
    </row>
    <row r="1258" spans="1:10" x14ac:dyDescent="0.25">
      <c r="A1258" s="5" t="s">
        <v>2542</v>
      </c>
      <c r="B1258" s="5" t="s">
        <v>2555</v>
      </c>
      <c r="C1258" s="6" t="str">
        <f>_xll.QS.CONTEXT.CREATE("market.1256",A1258,"USD","SOFR")</f>
        <v>QSObject:PricingContext:w1~market.1256:19667</v>
      </c>
      <c r="D1258" s="6" t="str">
        <f>_xll.QS.CONTEXT.ADD.CURVE(C1258,"SOFR",$K$2:$K$7,$L$2:$L$7,,,"Actual360","LogLinear",TRUE)</f>
        <v>QSObject:ContextInput:w1~input.qs_context_add_curve.2359132437744.1257.3.0:38989</v>
      </c>
      <c r="E1258" s="6" t="str">
        <f>_xll.QS.INSTRUMENT.SWAP("swap.1256",H1258,B1258,"USD","SOFR",I1258,J1258,0,"Actual360","Simple","Annual","Annual","Annual")</f>
        <v>QSObject:Swap:w1~swap.1256:19666</v>
      </c>
      <c r="F1258" s="6" t="str">
        <f>_xll.QS.TRADE.CREATE("trade.1256",E1258,A1258,"Receive")</f>
        <v>QSObject:SwapTrade:w1~trade.1256:30289</v>
      </c>
      <c r="G1258" s="3">
        <f>_xll.QS.EVALUATE(C1258,F1258)</f>
        <v>18678.484152867277</v>
      </c>
      <c r="H1258" s="5" t="s">
        <v>2556</v>
      </c>
      <c r="I1258" s="7">
        <v>1125600</v>
      </c>
      <c r="J1258" s="8">
        <v>3.5600000000000007E-2</v>
      </c>
    </row>
    <row r="1259" spans="1:10" x14ac:dyDescent="0.25">
      <c r="A1259" s="5" t="s">
        <v>2544</v>
      </c>
      <c r="B1259" s="5" t="s">
        <v>2557</v>
      </c>
      <c r="C1259" s="6" t="str">
        <f>_xll.QS.CONTEXT.CREATE("market.1257",A1259,"USD","SOFR")</f>
        <v>QSObject:PricingContext:w1~market.1257:19665</v>
      </c>
      <c r="D1259" s="6" t="str">
        <f>_xll.QS.CONTEXT.ADD.CURVE(C1259,"SOFR",$K$2:$K$7,$L$2:$L$7,,,"Actual360","LogLinear",TRUE)</f>
        <v>QSObject:ContextInput:w1~input.qs_context_add_curve.2359132437744.1258.3.0:38988</v>
      </c>
      <c r="E1259" s="6" t="str">
        <f>_xll.QS.INSTRUMENT.SWAP("swap.1257",H1259,B1259,"USD","SOFR",I1259,J1259,0,"Actual360","Simple","Annual","Annual","Annual")</f>
        <v>QSObject:Swap:w1~swap.1257:19664</v>
      </c>
      <c r="F1259" s="6" t="str">
        <f>_xll.QS.TRADE.CREATE("trade.1257",E1259,A1259,"Receive")</f>
        <v>QSObject:SwapTrade:w1~trade.1257:26509</v>
      </c>
      <c r="G1259" s="3">
        <f>_xll.QS.EVALUATE(C1259,F1259)</f>
        <v>19156.060309982102</v>
      </c>
      <c r="H1259" s="5" t="s">
        <v>2558</v>
      </c>
      <c r="I1259" s="7">
        <v>1125700</v>
      </c>
      <c r="J1259" s="8">
        <v>3.5700000000000003E-2</v>
      </c>
    </row>
    <row r="1260" spans="1:10" x14ac:dyDescent="0.25">
      <c r="A1260" s="5" t="s">
        <v>2546</v>
      </c>
      <c r="B1260" s="5" t="s">
        <v>2559</v>
      </c>
      <c r="C1260" s="6" t="str">
        <f>_xll.QS.CONTEXT.CREATE("market.1258",A1260,"USD","SOFR")</f>
        <v>QSObject:PricingContext:w1~market.1258:19663</v>
      </c>
      <c r="D1260" s="6" t="str">
        <f>_xll.QS.CONTEXT.ADD.CURVE(C1260,"SOFR",$K$2:$K$7,$L$2:$L$7,,,"Actual360","LogLinear",TRUE)</f>
        <v>QSObject:ContextInput:w1~input.qs_context_add_curve.2359132437744.1259.3.0:38987</v>
      </c>
      <c r="E1260" s="6" t="str">
        <f>_xll.QS.INSTRUMENT.SWAP("swap.1258",H1260,B1260,"USD","SOFR",I1260,J1260,0,"Actual360","Simple","Annual","Annual","Annual")</f>
        <v>QSObject:Swap:w1~swap.1258:19662</v>
      </c>
      <c r="F1260" s="6" t="str">
        <f>_xll.QS.TRADE.CREATE("trade.1258",E1260,A1260,"Receive")</f>
        <v>QSObject:SwapTrade:w1~trade.1258:22958</v>
      </c>
      <c r="G1260" s="3">
        <f>_xll.QS.EVALUATE(C1260,F1260)</f>
        <v>19606.284259094326</v>
      </c>
      <c r="H1260" s="5" t="s">
        <v>2560</v>
      </c>
      <c r="I1260" s="7">
        <v>1125800</v>
      </c>
      <c r="J1260" s="8">
        <v>3.5800000000000012E-2</v>
      </c>
    </row>
    <row r="1261" spans="1:10" x14ac:dyDescent="0.25">
      <c r="A1261" s="5" t="s">
        <v>2548</v>
      </c>
      <c r="B1261" s="5" t="s">
        <v>2561</v>
      </c>
      <c r="C1261" s="6" t="str">
        <f>_xll.QS.CONTEXT.CREATE("market.1259",A1261,"USD","SOFR")</f>
        <v>QSObject:PricingContext:w1~market.1259:19661</v>
      </c>
      <c r="D1261" s="6" t="str">
        <f>_xll.QS.CONTEXT.ADD.CURVE(C1261,"SOFR",$K$2:$K$7,$L$2:$L$7,,,"Actual360","LogLinear",TRUE)</f>
        <v>QSObject:ContextInput:w1~input.qs_context_add_curve.2359132437744.1260.3.0:38986</v>
      </c>
      <c r="E1261" s="6" t="str">
        <f>_xll.QS.INSTRUMENT.SWAP("swap.1259",H1261,B1261,"USD","SOFR",I1261,J1261,0,"Actual360","Simple","Annual","Annual","Annual")</f>
        <v>QSObject:Swap:w1~swap.1259:19660</v>
      </c>
      <c r="F1261" s="6" t="str">
        <f>_xll.QS.TRADE.CREATE("trade.1259",E1261,A1261,"Receive")</f>
        <v>QSObject:SwapTrade:w1~trade.1259:26508</v>
      </c>
      <c r="G1261" s="3">
        <f>_xll.QS.EVALUATE(C1261,F1261)</f>
        <v>20030.021587128613</v>
      </c>
      <c r="H1261" s="5" t="s">
        <v>2562</v>
      </c>
      <c r="I1261" s="7">
        <v>1125900</v>
      </c>
      <c r="J1261" s="8">
        <v>3.5900000000000001E-2</v>
      </c>
    </row>
    <row r="1262" spans="1:10" x14ac:dyDescent="0.25">
      <c r="A1262" s="5" t="s">
        <v>2550</v>
      </c>
      <c r="B1262" s="5" t="s">
        <v>2563</v>
      </c>
      <c r="C1262" s="6" t="str">
        <f>_xll.QS.CONTEXT.CREATE("market.1260",A1262,"USD","SOFR")</f>
        <v>QSObject:PricingContext:w1~market.1260:19659</v>
      </c>
      <c r="D1262" s="6" t="str">
        <f>_xll.QS.CONTEXT.ADD.CURVE(C1262,"SOFR",$K$2:$K$7,$L$2:$L$7,,,"Actual360","LogLinear",TRUE)</f>
        <v>QSObject:ContextInput:w1~input.qs_context_add_curve.2359132437744.1261.3.0:38985</v>
      </c>
      <c r="E1262" s="6" t="str">
        <f>_xll.QS.INSTRUMENT.SWAP("swap.1260",H1262,B1262,"USD","SOFR",I1262,J1262,0,"Actual360","Simple","Annual","Annual","Annual")</f>
        <v>QSObject:Swap:w1~swap.1260:19658</v>
      </c>
      <c r="F1262" s="6" t="str">
        <f>_xll.QS.TRADE.CREATE("trade.1260",E1262,A1262,"Receive")</f>
        <v>QSObject:SwapTrade:w1~trade.1260:22957</v>
      </c>
      <c r="G1262" s="3">
        <f>_xll.QS.EVALUATE(C1262,F1262)</f>
        <v>20597.785597662041</v>
      </c>
      <c r="H1262" s="5" t="s">
        <v>2564</v>
      </c>
      <c r="I1262" s="7">
        <v>1126000</v>
      </c>
      <c r="J1262" s="8">
        <v>3.5999999999999997E-2</v>
      </c>
    </row>
    <row r="1263" spans="1:10" x14ac:dyDescent="0.25">
      <c r="A1263" s="5" t="s">
        <v>2552</v>
      </c>
      <c r="B1263" s="5" t="s">
        <v>2565</v>
      </c>
      <c r="C1263" s="6" t="str">
        <f>_xll.QS.CONTEXT.CREATE("market.1261",A1263,"USD","SOFR")</f>
        <v>QSObject:PricingContext:w1~market.1261:19657</v>
      </c>
      <c r="D1263" s="6" t="str">
        <f>_xll.QS.CONTEXT.ADD.CURVE(C1263,"SOFR",$K$2:$K$7,$L$2:$L$7,,,"Actual360","LogLinear",TRUE)</f>
        <v>QSObject:ContextInput:w1~input.qs_context_add_curve.2359132437744.1262.3.0:38984</v>
      </c>
      <c r="E1263" s="6" t="str">
        <f>_xll.QS.INSTRUMENT.SWAP("swap.1261",H1263,B1263,"USD","SOFR",I1263,J1263,0,"Actual360","Simple","Annual","Annual","Annual")</f>
        <v>QSObject:Swap:w1~swap.1261:19656</v>
      </c>
      <c r="F1263" s="6" t="str">
        <f>_xll.QS.TRADE.CREATE("trade.1261",E1263,A1263,"Receive")</f>
        <v>QSObject:SwapTrade:w1~trade.1261:23473</v>
      </c>
      <c r="G1263" s="3">
        <f>_xll.QS.EVALUATE(C1263,F1263)</f>
        <v>21151.769643011481</v>
      </c>
      <c r="H1263" s="5" t="s">
        <v>2566</v>
      </c>
      <c r="I1263" s="7">
        <v>1126100</v>
      </c>
      <c r="J1263" s="8">
        <v>3.61E-2</v>
      </c>
    </row>
    <row r="1264" spans="1:10" x14ac:dyDescent="0.25">
      <c r="A1264" s="5" t="s">
        <v>2554</v>
      </c>
      <c r="B1264" s="5" t="s">
        <v>2567</v>
      </c>
      <c r="C1264" s="6" t="str">
        <f>_xll.QS.CONTEXT.CREATE("market.1262",A1264,"USD","SOFR")</f>
        <v>QSObject:PricingContext:w1~market.1262:19655</v>
      </c>
      <c r="D1264" s="6" t="str">
        <f>_xll.QS.CONTEXT.ADD.CURVE(C1264,"SOFR",$K$2:$K$7,$L$2:$L$7,,,"Actual360","LogLinear",TRUE)</f>
        <v>QSObject:ContextInput:w1~input.qs_context_add_curve.2359132437744.1263.3.0:38983</v>
      </c>
      <c r="E1264" s="6" t="str">
        <f>_xll.QS.INSTRUMENT.SWAP("swap.1262",H1264,B1264,"USD","SOFR",I1264,J1264,0,"Actual360","Simple","Annual","Annual","Annual")</f>
        <v>QSObject:Swap:w1~swap.1262:19654</v>
      </c>
      <c r="F1264" s="6" t="str">
        <f>_xll.QS.TRADE.CREATE("trade.1262",E1264,A1264,"Receive")</f>
        <v>QSObject:SwapTrade:w1~trade.1262:25715</v>
      </c>
      <c r="G1264" s="3">
        <f>_xll.QS.EVALUATE(C1264,F1264)</f>
        <v>21755.362683397463</v>
      </c>
      <c r="H1264" s="5" t="s">
        <v>2568</v>
      </c>
      <c r="I1264" s="7">
        <v>1126200</v>
      </c>
      <c r="J1264" s="8">
        <v>3.6200000000000003E-2</v>
      </c>
    </row>
    <row r="1265" spans="1:10" x14ac:dyDescent="0.25">
      <c r="A1265" s="5" t="s">
        <v>2556</v>
      </c>
      <c r="B1265" s="5" t="s">
        <v>2569</v>
      </c>
      <c r="C1265" s="6" t="str">
        <f>_xll.QS.CONTEXT.CREATE("market.1263",A1265,"USD","SOFR")</f>
        <v>QSObject:PricingContext:w1~market.1263:19653</v>
      </c>
      <c r="D1265" s="6" t="str">
        <f>_xll.QS.CONTEXT.ADD.CURVE(C1265,"SOFR",$K$2:$K$7,$L$2:$L$7,,,"Actual360","LogLinear",TRUE)</f>
        <v>QSObject:ContextInput:w1~input.qs_context_add_curve.2359132437744.1264.3.0:38982</v>
      </c>
      <c r="E1265" s="6" t="str">
        <f>_xll.QS.INSTRUMENT.SWAP("swap.1263",H1265,B1265,"USD","SOFR",I1265,J1265,0,"Actual360","Simple","Annual","Annual","Annual")</f>
        <v>QSObject:Swap:w1~swap.1263:19652</v>
      </c>
      <c r="F1265" s="6" t="str">
        <f>_xll.QS.TRADE.CREATE("trade.1263",E1265,A1265,"Receive")</f>
        <v>QSObject:SwapTrade:w1~trade.1263:24209</v>
      </c>
      <c r="G1265" s="3">
        <f>_xll.QS.EVALUATE(C1265,F1265)</f>
        <v>22325.807042193446</v>
      </c>
      <c r="H1265" s="5" t="s">
        <v>2570</v>
      </c>
      <c r="I1265" s="7">
        <v>1126300</v>
      </c>
      <c r="J1265" s="8">
        <v>3.6300000000000013E-2</v>
      </c>
    </row>
    <row r="1266" spans="1:10" x14ac:dyDescent="0.25">
      <c r="A1266" s="5" t="s">
        <v>2558</v>
      </c>
      <c r="B1266" s="5" t="s">
        <v>2571</v>
      </c>
      <c r="C1266" s="6" t="str">
        <f>_xll.QS.CONTEXT.CREATE("market.1264",A1266,"USD","SOFR")</f>
        <v>QSObject:PricingContext:w1~market.1264:19651</v>
      </c>
      <c r="D1266" s="6" t="str">
        <f>_xll.QS.CONTEXT.ADD.CURVE(C1266,"SOFR",$K$2:$K$7,$L$2:$L$7,,,"Actual360","LogLinear",TRUE)</f>
        <v>QSObject:ContextInput:w1~input.qs_context_add_curve.2359132437744.1265.3.0:38981</v>
      </c>
      <c r="E1266" s="6" t="str">
        <f>_xll.QS.INSTRUMENT.SWAP("swap.1264",H1266,B1266,"USD","SOFR",I1266,J1266,0,"Actual360","Simple","Annual","Annual","Annual")</f>
        <v>QSObject:Swap:w1~swap.1264:19650</v>
      </c>
      <c r="F1266" s="6" t="str">
        <f>_xll.QS.TRADE.CREATE("trade.1264",E1266,A1266,"Receive")</f>
        <v>QSObject:SwapTrade:w1~trade.1264:31127</v>
      </c>
      <c r="G1266" s="3">
        <f>_xll.QS.EVALUATE(C1266,F1266)</f>
        <v>22803.961998262905</v>
      </c>
      <c r="H1266" s="5" t="s">
        <v>2572</v>
      </c>
      <c r="I1266" s="7">
        <v>1126400</v>
      </c>
      <c r="J1266" s="8">
        <v>3.6400000000000002E-2</v>
      </c>
    </row>
    <row r="1267" spans="1:10" x14ac:dyDescent="0.25">
      <c r="A1267" s="5" t="s">
        <v>2560</v>
      </c>
      <c r="B1267" s="5" t="s">
        <v>2573</v>
      </c>
      <c r="C1267" s="6" t="str">
        <f>_xll.QS.CONTEXT.CREATE("market.1265",A1267,"USD","SOFR")</f>
        <v>QSObject:PricingContext:w1~market.1265:19649</v>
      </c>
      <c r="D1267" s="6" t="str">
        <f>_xll.QS.CONTEXT.ADD.CURVE(C1267,"SOFR",$K$2:$K$7,$L$2:$L$7,,,"Actual360","LogLinear",TRUE)</f>
        <v>QSObject:ContextInput:w1~input.qs_context_add_curve.2359132437744.1266.3.0:38980</v>
      </c>
      <c r="E1267" s="6" t="str">
        <f>_xll.QS.INSTRUMENT.SWAP("swap.1265",H1267,B1267,"USD","SOFR",I1267,J1267,0,"Actual360","Simple","Annual","Annual","Annual")</f>
        <v>QSObject:Swap:w1~swap.1265:19648</v>
      </c>
      <c r="F1267" s="6" t="str">
        <f>_xll.QS.TRADE.CREATE("trade.1265",E1267,A1267,"Receive")</f>
        <v>QSObject:SwapTrade:w1~trade.1265:24208</v>
      </c>
      <c r="G1267" s="3">
        <f>_xll.QS.EVALUATE(C1267,F1267)</f>
        <v>23250.505305025246</v>
      </c>
      <c r="H1267" s="5" t="s">
        <v>2574</v>
      </c>
      <c r="I1267" s="7">
        <v>1126500</v>
      </c>
      <c r="J1267" s="8">
        <v>3.6499999999999998E-2</v>
      </c>
    </row>
    <row r="1268" spans="1:10" x14ac:dyDescent="0.25">
      <c r="A1268" s="5" t="s">
        <v>2562</v>
      </c>
      <c r="B1268" s="5" t="s">
        <v>2575</v>
      </c>
      <c r="C1268" s="6" t="str">
        <f>_xll.QS.CONTEXT.CREATE("market.1266",A1268,"USD","SOFR")</f>
        <v>QSObject:PricingContext:w1~market.1266:19647</v>
      </c>
      <c r="D1268" s="6" t="str">
        <f>_xll.QS.CONTEXT.ADD.CURVE(C1268,"SOFR",$K$2:$K$7,$L$2:$L$7,,,"Actual360","LogLinear",TRUE)</f>
        <v>QSObject:ContextInput:w1~input.qs_context_add_curve.2359132437744.1267.3.0:38979</v>
      </c>
      <c r="E1268" s="6" t="str">
        <f>_xll.QS.INSTRUMENT.SWAP("swap.1266",H1268,B1268,"USD","SOFR",I1268,J1268,0,"Actual360","Simple","Annual","Annual","Annual")</f>
        <v>QSObject:Swap:w1~swap.1266:19646</v>
      </c>
      <c r="F1268" s="6" t="str">
        <f>_xll.QS.TRADE.CREATE("trade.1266",E1268,A1268,"Receive")</f>
        <v>QSObject:SwapTrade:w1~trade.1266:25714</v>
      </c>
      <c r="G1268" s="3">
        <f>_xll.QS.EVALUATE(C1268,F1268)</f>
        <v>23680.465392341306</v>
      </c>
      <c r="H1268" s="5" t="s">
        <v>2576</v>
      </c>
      <c r="I1268" s="7">
        <v>1126600</v>
      </c>
      <c r="J1268" s="8">
        <v>3.6600000000000001E-2</v>
      </c>
    </row>
    <row r="1269" spans="1:10" x14ac:dyDescent="0.25">
      <c r="A1269" s="5" t="s">
        <v>2564</v>
      </c>
      <c r="B1269" s="5" t="s">
        <v>2577</v>
      </c>
      <c r="C1269" s="6" t="str">
        <f>_xll.QS.CONTEXT.CREATE("market.1267",A1269,"USD","SOFR")</f>
        <v>QSObject:PricingContext:w1~market.1267:19645</v>
      </c>
      <c r="D1269" s="6" t="str">
        <f>_xll.QS.CONTEXT.ADD.CURVE(C1269,"SOFR",$K$2:$K$7,$L$2:$L$7,,,"Actual360","LogLinear",TRUE)</f>
        <v>QSObject:ContextInput:w1~input.qs_context_add_curve.2359132437744.1268.3.0:38978</v>
      </c>
      <c r="E1269" s="6" t="str">
        <f>_xll.QS.INSTRUMENT.SWAP("swap.1267",H1269,B1269,"USD","SOFR",I1269,J1269,0,"Actual360","Simple","Annual","Annual","Annual")</f>
        <v>QSObject:Swap:w1~swap.1267:19644</v>
      </c>
      <c r="F1269" s="6" t="str">
        <f>_xll.QS.TRADE.CREATE("trade.1267",E1269,A1269,"Receive")</f>
        <v>QSObject:SwapTrade:w1~trade.1267:30392</v>
      </c>
      <c r="G1269" s="3">
        <f>_xll.QS.EVALUATE(C1269,F1269)</f>
        <v>24249.256608881748</v>
      </c>
      <c r="H1269" s="5" t="s">
        <v>2578</v>
      </c>
      <c r="I1269" s="7">
        <v>1126700</v>
      </c>
      <c r="J1269" s="8">
        <v>3.6700000000000003E-2</v>
      </c>
    </row>
    <row r="1270" spans="1:10" x14ac:dyDescent="0.25">
      <c r="A1270" s="5" t="s">
        <v>2566</v>
      </c>
      <c r="B1270" s="5" t="s">
        <v>2579</v>
      </c>
      <c r="C1270" s="6" t="str">
        <f>_xll.QS.CONTEXT.CREATE("market.1268",A1270,"USD","SOFR")</f>
        <v>QSObject:PricingContext:w1~market.1268:19643</v>
      </c>
      <c r="D1270" s="6" t="str">
        <f>_xll.QS.CONTEXT.ADD.CURVE(C1270,"SOFR",$K$2:$K$7,$L$2:$L$7,,,"Actual360","LogLinear",TRUE)</f>
        <v>QSObject:ContextInput:w1~input.qs_context_add_curve.2359132437744.1269.3.0:38977</v>
      </c>
      <c r="E1270" s="6" t="str">
        <f>_xll.QS.INSTRUMENT.SWAP("swap.1268",H1270,B1270,"USD","SOFR",I1270,J1270,0,"Actual360","Simple","Annual","Annual","Annual")</f>
        <v>QSObject:Swap:w1~swap.1268:19642</v>
      </c>
      <c r="F1270" s="6" t="str">
        <f>_xll.QS.TRADE.CREATE("trade.1268",E1270,A1270,"Receive")</f>
        <v>QSObject:SwapTrade:w1~trade.1268:30391</v>
      </c>
      <c r="G1270" s="3">
        <f>_xll.QS.EVALUATE(C1270,F1270)</f>
        <v>24802.325597699568</v>
      </c>
      <c r="H1270" s="5" t="s">
        <v>2580</v>
      </c>
      <c r="I1270" s="7">
        <v>1126800</v>
      </c>
      <c r="J1270" s="8">
        <v>3.6800000000000013E-2</v>
      </c>
    </row>
    <row r="1271" spans="1:10" x14ac:dyDescent="0.25">
      <c r="A1271" s="5" t="s">
        <v>2568</v>
      </c>
      <c r="B1271" s="5" t="s">
        <v>2581</v>
      </c>
      <c r="C1271" s="6" t="str">
        <f>_xll.QS.CONTEXT.CREATE("market.1269",A1271,"USD","SOFR")</f>
        <v>QSObject:PricingContext:w1~market.1269:19641</v>
      </c>
      <c r="D1271" s="6" t="str">
        <f>_xll.QS.CONTEXT.ADD.CURVE(C1271,"SOFR",$K$2:$K$7,$L$2:$L$7,,,"Actual360","LogLinear",TRUE)</f>
        <v>QSObject:ContextInput:w1~input.qs_context_add_curve.2359132437744.1270.3.0:38976</v>
      </c>
      <c r="E1271" s="6" t="str">
        <f>_xll.QS.INSTRUMENT.SWAP("swap.1269",H1271,B1271,"USD","SOFR",I1271,J1271,0,"Actual360","Simple","Annual","Annual","Annual")</f>
        <v>QSObject:Swap:w1~swap.1269:19640</v>
      </c>
      <c r="F1271" s="6" t="str">
        <f>_xll.QS.TRADE.CREATE("trade.1269",E1271,A1271,"Receive")</f>
        <v>QSObject:SwapTrade:w1~trade.1269:24207</v>
      </c>
      <c r="G1271" s="3">
        <f>_xll.QS.EVALUATE(C1271,F1271)</f>
        <v>25406.64600471728</v>
      </c>
      <c r="H1271" s="5" t="s">
        <v>2582</v>
      </c>
      <c r="I1271" s="7">
        <v>1126900</v>
      </c>
      <c r="J1271" s="8">
        <v>3.6900000000000002E-2</v>
      </c>
    </row>
    <row r="1272" spans="1:10" x14ac:dyDescent="0.25">
      <c r="A1272" s="5" t="s">
        <v>2570</v>
      </c>
      <c r="B1272" s="5" t="s">
        <v>2583</v>
      </c>
      <c r="C1272" s="6" t="str">
        <f>_xll.QS.CONTEXT.CREATE("market.1270",A1272,"USD","SOFR")</f>
        <v>QSObject:PricingContext:w1~market.1270:19639</v>
      </c>
      <c r="D1272" s="6" t="str">
        <f>_xll.QS.CONTEXT.ADD.CURVE(C1272,"SOFR",$K$2:$K$7,$L$2:$L$7,,,"Actual360","LogLinear",TRUE)</f>
        <v>QSObject:ContextInput:w1~input.qs_context_add_curve.2359132437744.1271.3.0:38975</v>
      </c>
      <c r="E1272" s="6" t="str">
        <f>_xll.QS.INSTRUMENT.SWAP("swap.1270",H1272,B1272,"USD","SOFR",I1272,J1272,0,"Actual360","Simple","Annual","Annual","Annual")</f>
        <v>QSObject:Swap:w1~swap.1270:19638</v>
      </c>
      <c r="F1272" s="6" t="str">
        <f>_xll.QS.TRADE.CREATE("trade.1270",E1272,A1272,"Receive")</f>
        <v>QSObject:SwapTrade:w1~trade.1270:24206</v>
      </c>
      <c r="G1272" s="3">
        <f>_xll.QS.EVALUATE(C1272,F1272)</f>
        <v>25977.649144591604</v>
      </c>
      <c r="H1272" s="5" t="s">
        <v>2584</v>
      </c>
      <c r="I1272" s="7">
        <v>1127000</v>
      </c>
      <c r="J1272" s="8">
        <v>3.7000000000000012E-2</v>
      </c>
    </row>
    <row r="1273" spans="1:10" x14ac:dyDescent="0.25">
      <c r="A1273" s="5" t="s">
        <v>2572</v>
      </c>
      <c r="B1273" s="5" t="s">
        <v>2585</v>
      </c>
      <c r="C1273" s="6" t="str">
        <f>_xll.QS.CONTEXT.CREATE("market.1271",A1273,"USD","SOFR")</f>
        <v>QSObject:PricingContext:w1~market.1271:19637</v>
      </c>
      <c r="D1273" s="6" t="str">
        <f>_xll.QS.CONTEXT.ADD.CURVE(C1273,"SOFR",$K$2:$K$7,$L$2:$L$7,,,"Actual360","LogLinear",TRUE)</f>
        <v>QSObject:ContextInput:w1~input.qs_context_add_curve.2359132437744.1272.3.0:38974</v>
      </c>
      <c r="E1273" s="6" t="str">
        <f>_xll.QS.INSTRUMENT.SWAP("swap.1271",H1273,B1273,"USD","SOFR",I1273,J1273,0,"Actual360","Simple","Annual","Annual","Annual")</f>
        <v>QSObject:Swap:w1~swap.1271:19636</v>
      </c>
      <c r="F1273" s="6" t="str">
        <f>_xll.QS.TRADE.CREATE("trade.1271",E1273,A1273,"Receive")</f>
        <v>QSObject:SwapTrade:w1~trade.1271:25713</v>
      </c>
      <c r="G1273" s="3">
        <f>_xll.QS.EVALUATE(C1273,F1273)</f>
        <v>26456.116689246905</v>
      </c>
      <c r="H1273" s="5" t="s">
        <v>2586</v>
      </c>
      <c r="I1273" s="7">
        <v>1127100</v>
      </c>
      <c r="J1273" s="8">
        <v>3.7100000000000001E-2</v>
      </c>
    </row>
    <row r="1274" spans="1:10" x14ac:dyDescent="0.25">
      <c r="A1274" s="5" t="s">
        <v>2574</v>
      </c>
      <c r="B1274" s="5" t="s">
        <v>2587</v>
      </c>
      <c r="C1274" s="6" t="str">
        <f>_xll.QS.CONTEXT.CREATE("market.1272",A1274,"USD","SOFR")</f>
        <v>QSObject:PricingContext:w1~market.1272:19635</v>
      </c>
      <c r="D1274" s="6" t="str">
        <f>_xll.QS.CONTEXT.ADD.CURVE(C1274,"SOFR",$K$2:$K$7,$L$2:$L$7,,,"Actual360","LogLinear",TRUE)</f>
        <v>QSObject:ContextInput:w1~input.qs_context_add_curve.2359132437744.1273.3.0:38973</v>
      </c>
      <c r="E1274" s="6" t="str">
        <f>_xll.QS.INSTRUMENT.SWAP("swap.1272",H1274,B1274,"USD","SOFR",I1274,J1274,0,"Actual360","Simple","Annual","Annual","Annual")</f>
        <v>QSObject:Swap:w1~swap.1272:19634</v>
      </c>
      <c r="F1274" s="6" t="str">
        <f>_xll.QS.TRADE.CREATE("trade.1272",E1274,A1274,"Receive")</f>
        <v>QSObject:SwapTrade:w1~trade.1272:25712</v>
      </c>
      <c r="G1274" s="3">
        <f>_xll.QS.EVALUATE(C1274,F1274)</f>
        <v>26793.271030904329</v>
      </c>
      <c r="H1274" s="5" t="s">
        <v>2588</v>
      </c>
      <c r="I1274" s="7">
        <v>1127200</v>
      </c>
      <c r="J1274" s="8">
        <v>3.7199999999999997E-2</v>
      </c>
    </row>
    <row r="1275" spans="1:10" x14ac:dyDescent="0.25">
      <c r="A1275" s="5" t="s">
        <v>2576</v>
      </c>
      <c r="B1275" s="5" t="s">
        <v>2589</v>
      </c>
      <c r="C1275" s="6" t="str">
        <f>_xll.QS.CONTEXT.CREATE("market.1273",A1275,"USD","SOFR")</f>
        <v>QSObject:PricingContext:w1~market.1273:19633</v>
      </c>
      <c r="D1275" s="6" t="str">
        <f>_xll.QS.CONTEXT.ADD.CURVE(C1275,"SOFR",$K$2:$K$7,$L$2:$L$7,,,"Actual360","LogLinear",TRUE)</f>
        <v>QSObject:ContextInput:w1~input.qs_context_add_curve.2359132437744.1274.3.0:38972</v>
      </c>
      <c r="E1275" s="6" t="str">
        <f>_xll.QS.INSTRUMENT.SWAP("swap.1273",H1275,B1275,"USD","SOFR",I1275,J1275,0,"Actual360","Simple","Annual","Annual","Annual")</f>
        <v>QSObject:Swap:w1~swap.1273:19632</v>
      </c>
      <c r="F1275" s="6" t="str">
        <f>_xll.QS.TRADE.CREATE("trade.1273",E1275,A1275,"Receive")</f>
        <v>QSObject:SwapTrade:w1~trade.1273:30288</v>
      </c>
      <c r="G1275" s="3">
        <f>_xll.QS.EVALUATE(C1275,F1275)</f>
        <v>27317.346908977259</v>
      </c>
      <c r="H1275" s="5" t="s">
        <v>2590</v>
      </c>
      <c r="I1275" s="7">
        <v>1127300</v>
      </c>
      <c r="J1275" s="8">
        <v>3.73E-2</v>
      </c>
    </row>
    <row r="1276" spans="1:10" x14ac:dyDescent="0.25">
      <c r="A1276" s="5" t="s">
        <v>2578</v>
      </c>
      <c r="B1276" s="5" t="s">
        <v>2591</v>
      </c>
      <c r="C1276" s="6" t="str">
        <f>_xll.QS.CONTEXT.CREATE("market.1274",A1276,"USD","SOFR")</f>
        <v>QSObject:PricingContext:w1~market.1274:19631</v>
      </c>
      <c r="D1276" s="6" t="str">
        <f>_xll.QS.CONTEXT.ADD.CURVE(C1276,"SOFR",$K$2:$K$7,$L$2:$L$7,,,"Actual360","LogLinear",TRUE)</f>
        <v>QSObject:ContextInput:w1~input.qs_context_add_curve.2359132437744.1275.3.0:38971</v>
      </c>
      <c r="E1276" s="6" t="str">
        <f>_xll.QS.INSTRUMENT.SWAP("swap.1274",H1276,B1276,"USD","SOFR",I1276,J1276,0,"Actual360","Simple","Annual","Annual","Annual")</f>
        <v>QSObject:Swap:w1~swap.1274:19630</v>
      </c>
      <c r="F1276" s="6" t="str">
        <f>_xll.QS.TRADE.CREATE("trade.1274",E1276,A1276,"Receive")</f>
        <v>QSObject:SwapTrade:w1~trade.1274:31126</v>
      </c>
      <c r="G1276" s="3">
        <f>_xll.QS.EVALUATE(C1276,F1276)</f>
        <v>27887.236285541498</v>
      </c>
      <c r="H1276" s="5" t="s">
        <v>2592</v>
      </c>
      <c r="I1276" s="7">
        <v>1127400</v>
      </c>
      <c r="J1276" s="8">
        <v>3.7400000000000003E-2</v>
      </c>
    </row>
    <row r="1277" spans="1:10" x14ac:dyDescent="0.25">
      <c r="A1277" s="5" t="s">
        <v>2580</v>
      </c>
      <c r="B1277" s="5" t="s">
        <v>2593</v>
      </c>
      <c r="C1277" s="6" t="str">
        <f>_xll.QS.CONTEXT.CREATE("market.1275",A1277,"USD","SOFR")</f>
        <v>QSObject:PricingContext:w1~market.1275:19629</v>
      </c>
      <c r="D1277" s="6" t="str">
        <f>_xll.QS.CONTEXT.ADD.CURVE(C1277,"SOFR",$K$2:$K$7,$L$2:$L$7,,,"Actual360","LogLinear",TRUE)</f>
        <v>QSObject:ContextInput:w1~input.qs_context_add_curve.2359132437744.1276.3.0:38970</v>
      </c>
      <c r="E1277" s="6" t="str">
        <f>_xll.QS.INSTRUMENT.SWAP("swap.1275",H1277,B1277,"USD","SOFR",I1277,J1277,0,"Actual360","Simple","Annual","Annual","Annual")</f>
        <v>QSObject:Swap:w1~swap.1275:19628</v>
      </c>
      <c r="F1277" s="6" t="str">
        <f>_xll.QS.TRADE.CREATE("trade.1275",E1277,A1277,"Receive")</f>
        <v>QSObject:SwapTrade:w1~trade.1275:29002</v>
      </c>
      <c r="G1277" s="3">
        <f>_xll.QS.EVALUATE(C1277,F1277)</f>
        <v>28581.752490605162</v>
      </c>
      <c r="H1277" s="5" t="s">
        <v>2594</v>
      </c>
      <c r="I1277" s="7">
        <v>1127500</v>
      </c>
      <c r="J1277" s="8">
        <v>3.7500000000000012E-2</v>
      </c>
    </row>
    <row r="1278" spans="1:10" x14ac:dyDescent="0.25">
      <c r="A1278" s="5" t="s">
        <v>2582</v>
      </c>
      <c r="B1278" s="5" t="s">
        <v>2595</v>
      </c>
      <c r="C1278" s="6" t="str">
        <f>_xll.QS.CONTEXT.CREATE("market.1276",A1278,"USD","SOFR")</f>
        <v>QSObject:PricingContext:w1~market.1276:19627</v>
      </c>
      <c r="D1278" s="6" t="str">
        <f>_xll.QS.CONTEXT.ADD.CURVE(C1278,"SOFR",$K$2:$K$7,$L$2:$L$7,,,"Actual360","LogLinear",TRUE)</f>
        <v>QSObject:ContextInput:w1~input.qs_context_add_curve.2359132437744.1277.3.0:38969</v>
      </c>
      <c r="E1278" s="6" t="str">
        <f>_xll.QS.INSTRUMENT.SWAP("swap.1276",H1278,B1278,"USD","SOFR",I1278,J1278,0,"Actual360","Simple","Annual","Annual","Annual")</f>
        <v>QSObject:Swap:w1~swap.1276:19626</v>
      </c>
      <c r="F1278" s="6" t="str">
        <f>_xll.QS.TRADE.CREATE("trade.1276",E1278,A1278,"Receive")</f>
        <v>QSObject:SwapTrade:w1~trade.1276:29001</v>
      </c>
      <c r="G1278" s="3">
        <f>_xll.QS.EVALUATE(C1278,F1278)</f>
        <v>29103.618944840928</v>
      </c>
      <c r="H1278" s="5" t="s">
        <v>2596</v>
      </c>
      <c r="I1278" s="7">
        <v>1127600</v>
      </c>
      <c r="J1278" s="8">
        <v>3.7600000000000001E-2</v>
      </c>
    </row>
    <row r="1279" spans="1:10" x14ac:dyDescent="0.25">
      <c r="A1279" s="5" t="s">
        <v>2584</v>
      </c>
      <c r="B1279" s="5" t="s">
        <v>2597</v>
      </c>
      <c r="C1279" s="6" t="str">
        <f>_xll.QS.CONTEXT.CREATE("market.1277",A1279,"USD","SOFR")</f>
        <v>QSObject:PricingContext:w1~market.1277:19625</v>
      </c>
      <c r="D1279" s="6" t="str">
        <f>_xll.QS.CONTEXT.ADD.CURVE(C1279,"SOFR",$K$2:$K$7,$L$2:$L$7,,,"Actual360","LogLinear",TRUE)</f>
        <v>QSObject:ContextInput:w1~input.qs_context_add_curve.2359132437744.1278.3.0:38968</v>
      </c>
      <c r="E1279" s="6" t="str">
        <f>_xll.QS.INSTRUMENT.SWAP("swap.1277",H1279,B1279,"USD","SOFR",I1279,J1279,0,"Actual360","Simple","Annual","Annual","Annual")</f>
        <v>QSObject:Swap:w1~swap.1277:19624</v>
      </c>
      <c r="F1279" s="6" t="str">
        <f>_xll.QS.TRADE.CREATE("trade.1277",E1279,A1279,"Receive")</f>
        <v>QSObject:SwapTrade:w1~trade.1277:23472</v>
      </c>
      <c r="G1279" s="3">
        <f>_xll.QS.EVALUATE(C1279,F1279)</f>
        <v>29635.469409952038</v>
      </c>
      <c r="H1279" s="5" t="s">
        <v>2598</v>
      </c>
      <c r="I1279" s="7">
        <v>1127700</v>
      </c>
      <c r="J1279" s="8">
        <v>3.7699999999999997E-2</v>
      </c>
    </row>
    <row r="1280" spans="1:10" x14ac:dyDescent="0.25">
      <c r="A1280" s="5" t="s">
        <v>2586</v>
      </c>
      <c r="B1280" s="5" t="s">
        <v>2599</v>
      </c>
      <c r="C1280" s="6" t="str">
        <f>_xll.QS.CONTEXT.CREATE("market.1278",A1280,"USD","SOFR")</f>
        <v>QSObject:PricingContext:w1~market.1278:19623</v>
      </c>
      <c r="D1280" s="6" t="str">
        <f>_xll.QS.CONTEXT.ADD.CURVE(C1280,"SOFR",$K$2:$K$7,$L$2:$L$7,,,"Actual360","LogLinear",TRUE)</f>
        <v>QSObject:ContextInput:w1~input.qs_context_add_curve.2359132437744.1279.3.0:38967</v>
      </c>
      <c r="E1280" s="6" t="str">
        <f>_xll.QS.INSTRUMENT.SWAP("swap.1278",H1280,B1280,"USD","SOFR",I1280,J1280,0,"Actual360","Simple","Annual","Annual","Annual")</f>
        <v>QSObject:Swap:w1~swap.1278:19622</v>
      </c>
      <c r="F1280" s="6" t="str">
        <f>_xll.QS.TRADE.CREATE("trade.1278",E1280,A1280,"Receive")</f>
        <v>QSObject:SwapTrade:w1~trade.1278:25711</v>
      </c>
      <c r="G1280" s="3">
        <f>_xll.QS.EVALUATE(C1280,F1280)</f>
        <v>30158.757501585649</v>
      </c>
      <c r="H1280" s="5" t="s">
        <v>2600</v>
      </c>
      <c r="I1280" s="7">
        <v>1127800</v>
      </c>
      <c r="J1280" s="8">
        <v>3.78E-2</v>
      </c>
    </row>
    <row r="1281" spans="1:10" x14ac:dyDescent="0.25">
      <c r="A1281" s="5" t="s">
        <v>2588</v>
      </c>
      <c r="B1281" s="5" t="s">
        <v>2601</v>
      </c>
      <c r="C1281" s="6" t="str">
        <f>_xll.QS.CONTEXT.CREATE("market.1279",A1281,"USD","SOFR")</f>
        <v>QSObject:PricingContext:w1~market.1279:19621</v>
      </c>
      <c r="D1281" s="6" t="str">
        <f>_xll.QS.CONTEXT.ADD.CURVE(C1281,"SOFR",$K$2:$K$7,$L$2:$L$7,,,"Actual360","LogLinear",TRUE)</f>
        <v>QSObject:ContextInput:w1~input.qs_context_add_curve.2359132437744.1280.3.0:38966</v>
      </c>
      <c r="E1281" s="6" t="str">
        <f>_xll.QS.INSTRUMENT.SWAP("swap.1279",H1281,B1281,"USD","SOFR",I1281,J1281,0,"Actual360","Simple","Annual","Annual","Annual")</f>
        <v>QSObject:Swap:w1~swap.1279:19620</v>
      </c>
      <c r="F1281" s="6" t="str">
        <f>_xll.QS.TRADE.CREATE("trade.1279",E1281,A1281,"Receive")</f>
        <v>QSObject:SwapTrade:w1~trade.1279:23471</v>
      </c>
      <c r="G1281" s="3">
        <f>_xll.QS.EVALUATE(C1281,F1281)</f>
        <v>30597.917138019311</v>
      </c>
      <c r="H1281" s="5" t="s">
        <v>2602</v>
      </c>
      <c r="I1281" s="7">
        <v>1127900</v>
      </c>
      <c r="J1281" s="8">
        <v>3.7900000000000003E-2</v>
      </c>
    </row>
    <row r="1282" spans="1:10" x14ac:dyDescent="0.25">
      <c r="A1282" s="5" t="s">
        <v>2590</v>
      </c>
      <c r="B1282" s="5" t="s">
        <v>2603</v>
      </c>
      <c r="C1282" s="6" t="str">
        <f>_xll.QS.CONTEXT.CREATE("market.1280",A1282,"USD","SOFR")</f>
        <v>QSObject:PricingContext:w1~market.1280:19619</v>
      </c>
      <c r="D1282" s="6" t="str">
        <f>_xll.QS.CONTEXT.ADD.CURVE(C1282,"SOFR",$K$2:$K$7,$L$2:$L$7,,,"Actual360","LogLinear",TRUE)</f>
        <v>QSObject:ContextInput:w1~input.qs_context_add_curve.2359132437744.1281.3.0:38965</v>
      </c>
      <c r="E1282" s="6" t="str">
        <f>_xll.QS.INSTRUMENT.SWAP("swap.1280",H1282,B1282,"USD","SOFR",I1282,J1282,0,"Actual360","Simple","Annual","Annual","Annual")</f>
        <v>QSObject:Swap:w1~swap.1280:19618</v>
      </c>
      <c r="F1282" s="6" t="str">
        <f>_xll.QS.TRADE.CREATE("trade.1280",E1282,A1282,"Receive")</f>
        <v>QSObject:SwapTrade:w1~trade.1280:23470</v>
      </c>
      <c r="G1282" s="3">
        <f>_xll.QS.EVALUATE(C1282,F1282)</f>
        <v>31040.203727121519</v>
      </c>
      <c r="H1282" s="5" t="s">
        <v>2604</v>
      </c>
      <c r="I1282" s="7">
        <v>1128000</v>
      </c>
      <c r="J1282" s="8">
        <v>3.8000000000000013E-2</v>
      </c>
    </row>
    <row r="1283" spans="1:10" x14ac:dyDescent="0.25">
      <c r="A1283" s="5" t="s">
        <v>2592</v>
      </c>
      <c r="B1283" s="5" t="s">
        <v>2605</v>
      </c>
      <c r="C1283" s="6" t="str">
        <f>_xll.QS.CONTEXT.CREATE("market.1281",A1283,"USD","SOFR")</f>
        <v>QSObject:PricingContext:w1~market.1281:19617</v>
      </c>
      <c r="D1283" s="6" t="str">
        <f>_xll.QS.CONTEXT.ADD.CURVE(C1283,"SOFR",$K$2:$K$7,$L$2:$L$7,,,"Actual360","LogLinear",TRUE)</f>
        <v>QSObject:ContextInput:w1~input.qs_context_add_curve.2359132437744.1282.3.0:38964</v>
      </c>
      <c r="E1283" s="6" t="str">
        <f>_xll.QS.INSTRUMENT.SWAP("swap.1281",H1283,B1283,"USD","SOFR",I1283,J1283,0,"Actual360","Simple","Annual","Annual","Annual")</f>
        <v>QSObject:Swap:w1~swap.1281:19616</v>
      </c>
      <c r="F1283" s="6" t="str">
        <f>_xll.QS.TRADE.CREATE("trade.1281",E1283,A1283,"Receive")</f>
        <v>QSObject:SwapTrade:w1~trade.1281:23469</v>
      </c>
      <c r="G1283" s="3">
        <f>_xll.QS.EVALUATE(C1283,F1283)</f>
        <v>31565.762487869495</v>
      </c>
      <c r="H1283" s="5" t="s">
        <v>2606</v>
      </c>
      <c r="I1283" s="7">
        <v>1128100</v>
      </c>
      <c r="J1283" s="8">
        <v>3.8100000000000002E-2</v>
      </c>
    </row>
    <row r="1284" spans="1:10" x14ac:dyDescent="0.25">
      <c r="A1284" s="5" t="s">
        <v>2594</v>
      </c>
      <c r="B1284" s="5" t="s">
        <v>2607</v>
      </c>
      <c r="C1284" s="6" t="str">
        <f>_xll.QS.CONTEXT.CREATE("market.1282",A1284,"USD","SOFR")</f>
        <v>QSObject:PricingContext:w1~market.1282:19615</v>
      </c>
      <c r="D1284" s="6" t="str">
        <f>_xll.QS.CONTEXT.ADD.CURVE(C1284,"SOFR",$K$2:$K$7,$L$2:$L$7,,,"Actual360","LogLinear",TRUE)</f>
        <v>QSObject:ContextInput:w1~input.qs_context_add_curve.2359132437744.1283.3.0:38963</v>
      </c>
      <c r="E1284" s="6" t="str">
        <f>_xll.QS.INSTRUMENT.SWAP("swap.1282",H1284,B1284,"USD","SOFR",I1284,J1284,0,"Actual360","Simple","Annual","Annual","Annual")</f>
        <v>QSObject:Swap:w1~swap.1282:19614</v>
      </c>
      <c r="F1284" s="6" t="str">
        <f>_xll.QS.TRADE.CREATE("trade.1282",E1284,A1284,"Receive")</f>
        <v>QSObject:SwapTrade:w1~trade.1282:23468</v>
      </c>
      <c r="G1284" s="3">
        <f>_xll.QS.EVALUATE(C1284,F1284)</f>
        <v>32116.436480595479</v>
      </c>
      <c r="H1284" s="5" t="s">
        <v>2608</v>
      </c>
      <c r="I1284" s="7">
        <v>1128200</v>
      </c>
      <c r="J1284" s="8">
        <v>3.8199999999999998E-2</v>
      </c>
    </row>
    <row r="1285" spans="1:10" x14ac:dyDescent="0.25">
      <c r="A1285" s="5" t="s">
        <v>2596</v>
      </c>
      <c r="B1285" s="5" t="s">
        <v>2609</v>
      </c>
      <c r="C1285" s="6" t="str">
        <f>_xll.QS.CONTEXT.CREATE("market.1283",A1285,"USD","SOFR")</f>
        <v>QSObject:PricingContext:w1~market.1283:19613</v>
      </c>
      <c r="D1285" s="6" t="str">
        <f>_xll.QS.CONTEXT.ADD.CURVE(C1285,"SOFR",$K$2:$K$7,$L$2:$L$7,,,"Actual360","LogLinear",TRUE)</f>
        <v>QSObject:ContextInput:w1~input.qs_context_add_curve.2359132437744.1284.3.0:38962</v>
      </c>
      <c r="E1285" s="6" t="str">
        <f>_xll.QS.INSTRUMENT.SWAP("swap.1283",H1285,B1285,"USD","SOFR",I1285,J1285,0,"Actual360","Simple","Annual","Annual","Annual")</f>
        <v>QSObject:Swap:w1~swap.1283:19612</v>
      </c>
      <c r="F1285" s="6" t="str">
        <f>_xll.QS.TRADE.CREATE("trade.1283",E1285,A1285,"Receive")</f>
        <v>QSObject:SwapTrade:w1~trade.1283:23467</v>
      </c>
      <c r="G1285" s="3">
        <f>_xll.QS.EVALUATE(C1285,F1285)</f>
        <v>32722.292806399622</v>
      </c>
      <c r="H1285" s="5" t="s">
        <v>2610</v>
      </c>
      <c r="I1285" s="7">
        <v>1128300</v>
      </c>
      <c r="J1285" s="8">
        <v>3.8300000000000001E-2</v>
      </c>
    </row>
    <row r="1286" spans="1:10" x14ac:dyDescent="0.25">
      <c r="A1286" s="5" t="s">
        <v>2598</v>
      </c>
      <c r="B1286" s="5" t="s">
        <v>2611</v>
      </c>
      <c r="C1286" s="6" t="str">
        <f>_xll.QS.CONTEXT.CREATE("market.1284",A1286,"USD","SOFR")</f>
        <v>QSObject:PricingContext:w1~market.1284:19611</v>
      </c>
      <c r="D1286" s="6" t="str">
        <f>_xll.QS.CONTEXT.ADD.CURVE(C1286,"SOFR",$K$2:$K$7,$L$2:$L$7,,,"Actual360","LogLinear",TRUE)</f>
        <v>QSObject:ContextInput:w1~input.qs_context_add_curve.2359132437744.1285.3.0:38961</v>
      </c>
      <c r="E1286" s="6" t="str">
        <f>_xll.QS.INSTRUMENT.SWAP("swap.1284",H1286,B1286,"USD","SOFR",I1286,J1286,0,"Actual360","Simple","Annual","Annual","Annual")</f>
        <v>QSObject:Swap:w1~swap.1284:19610</v>
      </c>
      <c r="F1286" s="6" t="str">
        <f>_xll.QS.TRADE.CREATE("trade.1284",E1286,A1286,"Receive")</f>
        <v>QSObject:SwapTrade:w1~trade.1284:23466</v>
      </c>
      <c r="G1286" s="3">
        <f>_xll.QS.EVALUATE(C1286,F1286)</f>
        <v>33294.890988604675</v>
      </c>
      <c r="H1286" s="5" t="s">
        <v>2612</v>
      </c>
      <c r="I1286" s="7">
        <v>1128400</v>
      </c>
      <c r="J1286" s="8">
        <v>3.8399999999999997E-2</v>
      </c>
    </row>
    <row r="1287" spans="1:10" x14ac:dyDescent="0.25">
      <c r="A1287" s="5" t="s">
        <v>2600</v>
      </c>
      <c r="B1287" s="5" t="s">
        <v>2613</v>
      </c>
      <c r="C1287" s="6" t="str">
        <f>_xll.QS.CONTEXT.CREATE("market.1285",A1287,"USD","SOFR")</f>
        <v>QSObject:PricingContext:w1~market.1285:19609</v>
      </c>
      <c r="D1287" s="6" t="str">
        <f>_xll.QS.CONTEXT.ADD.CURVE(C1287,"SOFR",$K$2:$K$7,$L$2:$L$7,,,"Actual360","LogLinear",TRUE)</f>
        <v>QSObject:ContextInput:w1~input.qs_context_add_curve.2359132437744.1286.3.0:38960</v>
      </c>
      <c r="E1287" s="6" t="str">
        <f>_xll.QS.INSTRUMENT.SWAP("swap.1285",H1287,B1287,"USD","SOFR",I1287,J1287,0,"Actual360","Simple","Annual","Annual","Annual")</f>
        <v>QSObject:Swap:w1~swap.1285:19608</v>
      </c>
      <c r="F1287" s="6" t="str">
        <f>_xll.QS.TRADE.CREATE("trade.1285",E1287,A1287,"Receive")</f>
        <v>QSObject:SwapTrade:w1~trade.1285:22956</v>
      </c>
      <c r="G1287" s="3">
        <f>_xll.QS.EVALUATE(C1287,F1287)</f>
        <v>33774.782043662613</v>
      </c>
      <c r="H1287" s="5" t="s">
        <v>2614</v>
      </c>
      <c r="I1287" s="7">
        <v>1128500</v>
      </c>
      <c r="J1287" s="8">
        <v>3.8500000000000013E-2</v>
      </c>
    </row>
    <row r="1288" spans="1:10" x14ac:dyDescent="0.25">
      <c r="A1288" s="5" t="s">
        <v>2602</v>
      </c>
      <c r="B1288" s="5" t="s">
        <v>2615</v>
      </c>
      <c r="C1288" s="6" t="str">
        <f>_xll.QS.CONTEXT.CREATE("market.1286",A1288,"USD","SOFR")</f>
        <v>QSObject:PricingContext:w1~market.1286:19607</v>
      </c>
      <c r="D1288" s="6" t="str">
        <f>_xll.QS.CONTEXT.ADD.CURVE(C1288,"SOFR",$K$2:$K$7,$L$2:$L$7,,,"Actual360","LogLinear",TRUE)</f>
        <v>QSObject:ContextInput:w1~input.qs_context_add_curve.2359132437744.1287.3.0:38959</v>
      </c>
      <c r="E1288" s="6" t="str">
        <f>_xll.QS.INSTRUMENT.SWAP("swap.1286",H1288,B1288,"USD","SOFR",I1288,J1288,0,"Actual360","Simple","Annual","Annual","Annual")</f>
        <v>QSObject:Swap:w1~swap.1286:19606</v>
      </c>
      <c r="F1288" s="6" t="str">
        <f>_xll.QS.TRADE.CREATE("trade.1286",E1288,A1288,"Receive")</f>
        <v>QSObject:SwapTrade:w1~trade.1286:28283</v>
      </c>
      <c r="G1288" s="3">
        <f>_xll.QS.EVALUATE(C1288,F1288)</f>
        <v>34210.251491280418</v>
      </c>
      <c r="H1288" s="5" t="s">
        <v>2616</v>
      </c>
      <c r="I1288" s="7">
        <v>1128600</v>
      </c>
      <c r="J1288" s="8">
        <v>3.8600000000000002E-2</v>
      </c>
    </row>
    <row r="1289" spans="1:10" x14ac:dyDescent="0.25">
      <c r="A1289" s="5" t="s">
        <v>2604</v>
      </c>
      <c r="B1289" s="5" t="s">
        <v>2617</v>
      </c>
      <c r="C1289" s="6" t="str">
        <f>_xll.QS.CONTEXT.CREATE("market.1287",A1289,"USD","SOFR")</f>
        <v>QSObject:PricingContext:w1~market.1287:19605</v>
      </c>
      <c r="D1289" s="6" t="str">
        <f>_xll.QS.CONTEXT.ADD.CURVE(C1289,"SOFR",$K$2:$K$7,$L$2:$L$7,,,"Actual360","LogLinear",TRUE)</f>
        <v>QSObject:ContextInput:w1~input.qs_context_add_curve.2359132437744.1288.3.0:38958</v>
      </c>
      <c r="E1289" s="6" t="str">
        <f>_xll.QS.INSTRUMENT.SWAP("swap.1287",H1289,B1289,"USD","SOFR",I1289,J1289,0,"Actual360","Simple","Annual","Annual","Annual")</f>
        <v>QSObject:Swap:w1~swap.1287:19604</v>
      </c>
      <c r="F1289" s="6" t="str">
        <f>_xll.QS.TRADE.CREATE("trade.1287",E1289,A1289,"Receive")</f>
        <v>QSObject:SwapTrade:w1~trade.1287:30287</v>
      </c>
      <c r="G1289" s="3">
        <f>_xll.QS.EVALUATE(C1289,F1289)</f>
        <v>34658.921893548715</v>
      </c>
      <c r="H1289" s="5" t="s">
        <v>2618</v>
      </c>
      <c r="I1289" s="7">
        <v>1128700</v>
      </c>
      <c r="J1289" s="8">
        <v>3.8700000000000012E-2</v>
      </c>
    </row>
    <row r="1290" spans="1:10" x14ac:dyDescent="0.25">
      <c r="A1290" s="5" t="s">
        <v>2606</v>
      </c>
      <c r="B1290" s="5" t="s">
        <v>2619</v>
      </c>
      <c r="C1290" s="6" t="str">
        <f>_xll.QS.CONTEXT.CREATE("market.1288",A1290,"USD","SOFR")</f>
        <v>QSObject:PricingContext:w1~market.1288:19603</v>
      </c>
      <c r="D1290" s="6" t="str">
        <f>_xll.QS.CONTEXT.ADD.CURVE(C1290,"SOFR",$K$2:$K$7,$L$2:$L$7,,,"Actual360","LogLinear",TRUE)</f>
        <v>QSObject:ContextInput:w1~input.qs_context_add_curve.2359132437744.1289.3.0:38957</v>
      </c>
      <c r="E1290" s="6" t="str">
        <f>_xll.QS.INSTRUMENT.SWAP("swap.1288",H1290,B1290,"USD","SOFR",I1290,J1290,0,"Actual360","Simple","Annual","Annual","Annual")</f>
        <v>QSObject:Swap:w1~swap.1288:19602</v>
      </c>
      <c r="F1290" s="6" t="str">
        <f>_xll.QS.TRADE.CREATE("trade.1288",E1290,A1290,"Receive")</f>
        <v>QSObject:SwapTrade:w1~trade.1288:30286</v>
      </c>
      <c r="G1290" s="3">
        <f>_xll.QS.EVALUATE(C1290,F1290)</f>
        <v>35230.797355637391</v>
      </c>
      <c r="H1290" s="5" t="s">
        <v>2620</v>
      </c>
      <c r="I1290" s="7">
        <v>1128800</v>
      </c>
      <c r="J1290" s="8">
        <v>3.8800000000000001E-2</v>
      </c>
    </row>
    <row r="1291" spans="1:10" x14ac:dyDescent="0.25">
      <c r="A1291" s="5" t="s">
        <v>2608</v>
      </c>
      <c r="B1291" s="5" t="s">
        <v>2621</v>
      </c>
      <c r="C1291" s="6" t="str">
        <f>_xll.QS.CONTEXT.CREATE("market.1289",A1291,"USD","SOFR")</f>
        <v>QSObject:PricingContext:w1~market.1289:19601</v>
      </c>
      <c r="D1291" s="6" t="str">
        <f>_xll.QS.CONTEXT.ADD.CURVE(C1291,"SOFR",$K$2:$K$7,$L$2:$L$7,,,"Actual360","LogLinear",TRUE)</f>
        <v>QSObject:ContextInput:w1~input.qs_context_add_curve.2359132437744.1290.3.0:38956</v>
      </c>
      <c r="E1291" s="6" t="str">
        <f>_xll.QS.INSTRUMENT.SWAP("swap.1289",H1291,B1291,"USD","SOFR",I1291,J1291,0,"Actual360","Simple","Annual","Annual","Annual")</f>
        <v>QSObject:Swap:w1~swap.1289:19600</v>
      </c>
      <c r="F1291" s="6" t="str">
        <f>_xll.QS.TRADE.CREATE("trade.1289",E1291,A1291,"Receive")</f>
        <v>QSObject:SwapTrade:w1~trade.1289:31125</v>
      </c>
      <c r="G1291" s="3">
        <f>_xll.QS.EVALUATE(C1291,F1291)</f>
        <v>35780.363605824037</v>
      </c>
      <c r="H1291" s="5" t="s">
        <v>2622</v>
      </c>
      <c r="I1291" s="7">
        <v>1128900</v>
      </c>
      <c r="J1291" s="8">
        <v>3.8899999999999997E-2</v>
      </c>
    </row>
    <row r="1292" spans="1:10" x14ac:dyDescent="0.25">
      <c r="A1292" s="5" t="s">
        <v>2610</v>
      </c>
      <c r="B1292" s="5" t="s">
        <v>2623</v>
      </c>
      <c r="C1292" s="6" t="str">
        <f>_xll.QS.CONTEXT.CREATE("market.1290",A1292,"USD","SOFR")</f>
        <v>QSObject:PricingContext:w1~market.1290:19599</v>
      </c>
      <c r="D1292" s="6" t="str">
        <f>_xll.QS.CONTEXT.ADD.CURVE(C1292,"SOFR",$K$2:$K$7,$L$2:$L$7,,,"Actual360","LogLinear",TRUE)</f>
        <v>QSObject:ContextInput:w1~input.qs_context_add_curve.2359132437744.1291.3.0:38955</v>
      </c>
      <c r="E1292" s="6" t="str">
        <f>_xll.QS.INSTRUMENT.SWAP("swap.1290",H1292,B1292,"USD","SOFR",I1292,J1292,0,"Actual360","Simple","Annual","Annual","Annual")</f>
        <v>QSObject:Swap:w1~swap.1290:19598</v>
      </c>
      <c r="F1292" s="6" t="str">
        <f>_xll.QS.TRADE.CREATE("trade.1290",E1292,A1292,"Receive")</f>
        <v>QSObject:SwapTrade:w1~trade.1290:27002</v>
      </c>
      <c r="G1292" s="3">
        <f>_xll.QS.EVALUATE(C1292,F1292)</f>
        <v>36386.974503128644</v>
      </c>
      <c r="H1292" s="5" t="s">
        <v>2624</v>
      </c>
      <c r="I1292" s="7">
        <v>1129000</v>
      </c>
      <c r="J1292" s="8">
        <v>3.9000000000000007E-2</v>
      </c>
    </row>
    <row r="1293" spans="1:10" x14ac:dyDescent="0.25">
      <c r="A1293" s="5" t="s">
        <v>2612</v>
      </c>
      <c r="B1293" s="5" t="s">
        <v>2625</v>
      </c>
      <c r="C1293" s="6" t="str">
        <f>_xll.QS.CONTEXT.CREATE("market.1291",A1293,"USD","SOFR")</f>
        <v>QSObject:PricingContext:w1~market.1291:19597</v>
      </c>
      <c r="D1293" s="6" t="str">
        <f>_xll.QS.CONTEXT.ADD.CURVE(C1293,"SOFR",$K$2:$K$7,$L$2:$L$7,,,"Actual360","LogLinear",TRUE)</f>
        <v>QSObject:ContextInput:w1~input.qs_context_add_curve.2359132437744.1292.3.0:38954</v>
      </c>
      <c r="E1293" s="6" t="str">
        <f>_xll.QS.INSTRUMENT.SWAP("swap.1291",H1293,B1293,"USD","SOFR",I1293,J1293,0,"Actual360","Simple","Annual","Annual","Annual")</f>
        <v>QSObject:Swap:w1~swap.1291:19596</v>
      </c>
      <c r="F1293" s="6" t="str">
        <f>_xll.QS.TRADE.CREATE("trade.1291",E1293,A1293,"Receive")</f>
        <v>QSObject:SwapTrade:w1~trade.1291:27001</v>
      </c>
      <c r="G1293" s="3">
        <f>_xll.QS.EVALUATE(C1293,F1293)</f>
        <v>36960.290730219625</v>
      </c>
      <c r="H1293" s="5" t="s">
        <v>2626</v>
      </c>
      <c r="I1293" s="7">
        <v>1129100</v>
      </c>
      <c r="J1293" s="8">
        <v>3.9100000000000003E-2</v>
      </c>
    </row>
    <row r="1294" spans="1:10" x14ac:dyDescent="0.25">
      <c r="A1294" s="5" t="s">
        <v>2614</v>
      </c>
      <c r="B1294" s="5" t="s">
        <v>2627</v>
      </c>
      <c r="C1294" s="6" t="str">
        <f>_xll.QS.CONTEXT.CREATE("market.1292",A1294,"USD","SOFR")</f>
        <v>QSObject:PricingContext:w1~market.1292:19595</v>
      </c>
      <c r="D1294" s="6" t="str">
        <f>_xll.QS.CONTEXT.ADD.CURVE(C1294,"SOFR",$K$2:$K$7,$L$2:$L$7,,,"Actual360","LogLinear",TRUE)</f>
        <v>QSObject:ContextInput:w1~input.qs_context_add_curve.2359132437744.1293.3.0:38953</v>
      </c>
      <c r="E1294" s="6" t="str">
        <f>_xll.QS.INSTRUMENT.SWAP("swap.1292",H1294,B1294,"USD","SOFR",I1294,J1294,0,"Actual360","Simple","Annual","Annual","Annual")</f>
        <v>QSObject:Swap:w1~swap.1292:19594</v>
      </c>
      <c r="F1294" s="6" t="str">
        <f>_xll.QS.TRADE.CREATE("trade.1292",E1294,A1294,"Receive")</f>
        <v>QSObject:SwapTrade:w1~trade.1292:22305</v>
      </c>
      <c r="G1294" s="3">
        <f>_xll.QS.EVALUATE(C1294,F1294)</f>
        <v>37440.760385648187</v>
      </c>
      <c r="H1294" s="5" t="s">
        <v>2628</v>
      </c>
      <c r="I1294" s="7">
        <v>1129200</v>
      </c>
      <c r="J1294" s="8">
        <v>3.9200000000000013E-2</v>
      </c>
    </row>
    <row r="1295" spans="1:10" x14ac:dyDescent="0.25">
      <c r="A1295" s="5" t="s">
        <v>2616</v>
      </c>
      <c r="B1295" s="5" t="s">
        <v>2629</v>
      </c>
      <c r="C1295" s="6" t="str">
        <f>_xll.QS.CONTEXT.CREATE("market.1293",A1295,"USD","SOFR")</f>
        <v>QSObject:PricingContext:w1~market.1293:19593</v>
      </c>
      <c r="D1295" s="6" t="str">
        <f>_xll.QS.CONTEXT.ADD.CURVE(C1295,"SOFR",$K$2:$K$7,$L$2:$L$7,,,"Actual360","LogLinear",TRUE)</f>
        <v>QSObject:ContextInput:w1~input.qs_context_add_curve.2359132437744.1294.3.0:38952</v>
      </c>
      <c r="E1295" s="6" t="str">
        <f>_xll.QS.INSTRUMENT.SWAP("swap.1293",H1295,B1295,"USD","SOFR",I1295,J1295,0,"Actual360","Simple","Annual","Annual","Annual")</f>
        <v>QSObject:Swap:w1~swap.1293:19592</v>
      </c>
      <c r="F1295" s="6" t="str">
        <f>_xll.QS.TRADE.CREATE("trade.1293",E1295,A1295,"Receive")</f>
        <v>QSObject:SwapTrade:w1~trade.1293:22955</v>
      </c>
      <c r="G1295" s="3">
        <f>_xll.QS.EVALUATE(C1295,F1295)</f>
        <v>37872.527902853035</v>
      </c>
      <c r="H1295" s="5" t="s">
        <v>2630</v>
      </c>
      <c r="I1295" s="7">
        <v>1129300</v>
      </c>
      <c r="J1295" s="8">
        <v>3.9300000000000002E-2</v>
      </c>
    </row>
    <row r="1296" spans="1:10" x14ac:dyDescent="0.25">
      <c r="A1296" s="5" t="s">
        <v>2618</v>
      </c>
      <c r="B1296" s="5" t="s">
        <v>2631</v>
      </c>
      <c r="C1296" s="6" t="str">
        <f>_xll.QS.CONTEXT.CREATE("market.1294",A1296,"USD","SOFR")</f>
        <v>QSObject:PricingContext:w1~market.1294:19591</v>
      </c>
      <c r="D1296" s="6" t="str">
        <f>_xll.QS.CONTEXT.ADD.CURVE(C1296,"SOFR",$K$2:$K$7,$L$2:$L$7,,,"Actual360","LogLinear",TRUE)</f>
        <v>QSObject:ContextInput:w1~input.qs_context_add_curve.2359132437744.1295.3.0:38951</v>
      </c>
      <c r="E1296" s="6" t="str">
        <f>_xll.QS.INSTRUMENT.SWAP("swap.1294",H1296,B1296,"USD","SOFR",I1296,J1296,0,"Actual360","Simple","Annual","Annual","Annual")</f>
        <v>QSObject:Swap:w1~swap.1294:19590</v>
      </c>
      <c r="F1296" s="6" t="str">
        <f>_xll.QS.TRADE.CREATE("trade.1294",E1296,A1296,"Receive")</f>
        <v>QSObject:SwapTrade:w1~trade.1294:29616</v>
      </c>
      <c r="G1296" s="3">
        <f>_xll.QS.EVALUATE(C1296,F1296)</f>
        <v>38327.449089141286</v>
      </c>
      <c r="H1296" s="5" t="s">
        <v>2632</v>
      </c>
      <c r="I1296" s="7">
        <v>1129400</v>
      </c>
      <c r="J1296" s="8">
        <v>3.9399999999999998E-2</v>
      </c>
    </row>
    <row r="1297" spans="1:10" x14ac:dyDescent="0.25">
      <c r="A1297" s="5" t="s">
        <v>2620</v>
      </c>
      <c r="B1297" s="5" t="s">
        <v>2633</v>
      </c>
      <c r="C1297" s="6" t="str">
        <f>_xll.QS.CONTEXT.CREATE("market.1295",A1297,"USD","SOFR")</f>
        <v>QSObject:PricingContext:w1~market.1295:19589</v>
      </c>
      <c r="D1297" s="6" t="str">
        <f>_xll.QS.CONTEXT.ADD.CURVE(C1297,"SOFR",$K$2:$K$7,$L$2:$L$7,,,"Actual360","LogLinear",TRUE)</f>
        <v>QSObject:ContextInput:w1~input.qs_context_add_curve.2359132437744.1296.3.0:38950</v>
      </c>
      <c r="E1297" s="6" t="str">
        <f>_xll.QS.INSTRUMENT.SWAP("swap.1295",H1297,B1297,"USD","SOFR",I1297,J1297,0,"Actual360","Simple","Annual","Annual","Annual")</f>
        <v>QSObject:Swap:w1~swap.1295:19588</v>
      </c>
      <c r="F1297" s="6" t="str">
        <f>_xll.QS.TRADE.CREATE("trade.1295",E1297,A1297,"Receive")</f>
        <v>QSObject:SwapTrade:w1~trade.1295:29615</v>
      </c>
      <c r="G1297" s="3">
        <f>_xll.QS.EVALUATE(C1297,F1297)</f>
        <v>38900.353508921136</v>
      </c>
      <c r="H1297" s="5" t="s">
        <v>2634</v>
      </c>
      <c r="I1297" s="7">
        <v>1129500</v>
      </c>
      <c r="J1297" s="8">
        <v>3.9500000000000007E-2</v>
      </c>
    </row>
    <row r="1298" spans="1:10" x14ac:dyDescent="0.25">
      <c r="A1298" s="5" t="s">
        <v>2622</v>
      </c>
      <c r="B1298" s="5" t="s">
        <v>2635</v>
      </c>
      <c r="C1298" s="6" t="str">
        <f>_xll.QS.CONTEXT.CREATE("market.1296",A1298,"USD","SOFR")</f>
        <v>QSObject:PricingContext:w1~market.1296:19587</v>
      </c>
      <c r="D1298" s="6" t="str">
        <f>_xll.QS.CONTEXT.ADD.CURVE(C1298,"SOFR",$K$2:$K$7,$L$2:$L$7,,,"Actual360","LogLinear",TRUE)</f>
        <v>QSObject:ContextInput:w1~input.qs_context_add_curve.2359132437744.1297.3.0:38949</v>
      </c>
      <c r="E1298" s="6" t="str">
        <f>_xll.QS.INSTRUMENT.SWAP("swap.1296",H1298,B1298,"USD","SOFR",I1298,J1298,0,"Actual360","Simple","Annual","Annual","Annual")</f>
        <v>QSObject:Swap:w1~swap.1296:19586</v>
      </c>
      <c r="F1298" s="6" t="str">
        <f>_xll.QS.TRADE.CREATE("trade.1296",E1298,A1298,"Receive")</f>
        <v>QSObject:SwapTrade:w1~trade.1296:22954</v>
      </c>
      <c r="G1298" s="3">
        <f>_xll.QS.EVALUATE(C1298,F1298)</f>
        <v>39448.809820736511</v>
      </c>
      <c r="H1298" s="5" t="s">
        <v>2636</v>
      </c>
      <c r="I1298" s="7">
        <v>1129600</v>
      </c>
      <c r="J1298" s="8">
        <v>3.9600000000000003E-2</v>
      </c>
    </row>
    <row r="1299" spans="1:10" x14ac:dyDescent="0.25">
      <c r="A1299" s="5" t="s">
        <v>2624</v>
      </c>
      <c r="B1299" s="5" t="s">
        <v>2637</v>
      </c>
      <c r="C1299" s="6" t="str">
        <f>_xll.QS.CONTEXT.CREATE("market.1297",A1299,"USD","SOFR")</f>
        <v>QSObject:PricingContext:w1~market.1297:19585</v>
      </c>
      <c r="D1299" s="6" t="str">
        <f>_xll.QS.CONTEXT.ADD.CURVE(C1299,"SOFR",$K$2:$K$7,$L$2:$L$7,,,"Actual360","LogLinear",TRUE)</f>
        <v>QSObject:ContextInput:w1~input.qs_context_add_curve.2359132437744.1298.3.0:38948</v>
      </c>
      <c r="E1299" s="6" t="str">
        <f>_xll.QS.INSTRUMENT.SWAP("swap.1297",H1299,B1299,"USD","SOFR",I1299,J1299,0,"Actual360","Simple","Annual","Annual","Annual")</f>
        <v>QSObject:Swap:w1~swap.1297:19584</v>
      </c>
      <c r="F1299" s="6" t="str">
        <f>_xll.QS.TRADE.CREATE("trade.1297",E1299,A1299,"Receive")</f>
        <v>QSObject:SwapTrade:w1~trade.1297:24205</v>
      </c>
      <c r="G1299" s="3">
        <f>_xll.QS.EVALUATE(C1299,F1299)</f>
        <v>40056.175361055</v>
      </c>
      <c r="H1299" s="5" t="s">
        <v>2638</v>
      </c>
      <c r="I1299" s="7">
        <v>1129700</v>
      </c>
      <c r="J1299" s="8">
        <v>3.9700000000000013E-2</v>
      </c>
    </row>
    <row r="1300" spans="1:10" x14ac:dyDescent="0.25">
      <c r="A1300" s="5" t="s">
        <v>2626</v>
      </c>
      <c r="B1300" s="5" t="s">
        <v>2639</v>
      </c>
      <c r="C1300" s="6" t="str">
        <f>_xll.QS.CONTEXT.CREATE("market.1298",A1300,"USD","SOFR")</f>
        <v>QSObject:PricingContext:w1~market.1298:19583</v>
      </c>
      <c r="D1300" s="6" t="str">
        <f>_xll.QS.CONTEXT.ADD.CURVE(C1300,"SOFR",$K$2:$K$7,$L$2:$L$7,,,"Actual360","LogLinear",TRUE)</f>
        <v>QSObject:ContextInput:w1~input.qs_context_add_curve.2359132437744.1299.3.0:38947</v>
      </c>
      <c r="E1300" s="6" t="str">
        <f>_xll.QS.INSTRUMENT.SWAP("swap.1298",H1300,B1300,"USD","SOFR",I1300,J1300,0,"Actual360","Simple","Annual","Annual","Annual")</f>
        <v>QSObject:Swap:w1~swap.1298:19582</v>
      </c>
      <c r="F1300" s="6" t="str">
        <f>_xll.QS.TRADE.CREATE("trade.1298",E1300,A1300,"Receive")</f>
        <v>QSObject:SwapTrade:w1~trade.1298:25710</v>
      </c>
      <c r="G1300" s="3">
        <f>_xll.QS.EVALUATE(C1300,F1300)</f>
        <v>40630.209684906906</v>
      </c>
      <c r="H1300" s="5" t="s">
        <v>2640</v>
      </c>
      <c r="I1300" s="7">
        <v>1129800</v>
      </c>
      <c r="J1300" s="8">
        <v>3.9800000000000002E-2</v>
      </c>
    </row>
    <row r="1301" spans="1:10" x14ac:dyDescent="0.25">
      <c r="A1301" s="5" t="s">
        <v>2628</v>
      </c>
      <c r="B1301" s="5" t="s">
        <v>2641</v>
      </c>
      <c r="C1301" s="6" t="str">
        <f>_xll.QS.CONTEXT.CREATE("market.1299",A1301,"USD","SOFR")</f>
        <v>QSObject:PricingContext:w1~market.1299:19581</v>
      </c>
      <c r="D1301" s="6" t="str">
        <f>_xll.QS.CONTEXT.ADD.CURVE(C1301,"SOFR",$K$2:$K$7,$L$2:$L$7,,,"Actual360","LogLinear",TRUE)</f>
        <v>QSObject:ContextInput:w1~input.qs_context_add_curve.2359132437744.1300.3.0:38946</v>
      </c>
      <c r="E1301" s="6" t="str">
        <f>_xll.QS.INSTRUMENT.SWAP("swap.1299",H1301,B1301,"USD","SOFR",I1301,J1301,0,"Actual360","Simple","Annual","Annual","Annual")</f>
        <v>QSObject:Swap:w1~swap.1299:19580</v>
      </c>
      <c r="F1301" s="6" t="str">
        <f>_xll.QS.TRADE.CREATE("trade.1299",E1301,A1301,"Receive")</f>
        <v>QSObject:SwapTrade:w1~trade.1299:24204</v>
      </c>
      <c r="G1301" s="3">
        <f>_xll.QS.EVALUATE(C1301,F1301)</f>
        <v>41111.453928006085</v>
      </c>
      <c r="H1301" s="5" t="s">
        <v>2642</v>
      </c>
      <c r="I1301" s="7">
        <v>1129900</v>
      </c>
      <c r="J1301" s="8">
        <v>3.9899999999999998E-2</v>
      </c>
    </row>
    <row r="1302" spans="1:10" x14ac:dyDescent="0.25">
      <c r="A1302" s="5" t="s">
        <v>2630</v>
      </c>
      <c r="B1302" s="5" t="s">
        <v>2643</v>
      </c>
      <c r="C1302" s="6" t="str">
        <f>_xll.QS.CONTEXT.CREATE("market.1300",A1302,"USD","SOFR")</f>
        <v>QSObject:PricingContext:w1~market.1300:19579</v>
      </c>
      <c r="D1302" s="6" t="str">
        <f>_xll.QS.CONTEXT.ADD.CURVE(C1302,"SOFR",$K$2:$K$7,$L$2:$L$7,,,"Actual360","LogLinear",TRUE)</f>
        <v>QSObject:ContextInput:w1~input.qs_context_add_curve.2359132437744.1301.3.0:38945</v>
      </c>
      <c r="E1302" s="6" t="str">
        <f>_xll.QS.INSTRUMENT.SWAP("swap.1300",H1302,B1302,"USD","SOFR",I1302,J1302,0,"Actual360","Simple","Annual","Annual","Annual")</f>
        <v>QSObject:Swap:w1~swap.1300:19578</v>
      </c>
      <c r="F1302" s="6" t="str">
        <f>_xll.QS.TRADE.CREATE("trade.1300",E1302,A1302,"Receive")</f>
        <v>QSObject:SwapTrade:w1~trade.1300:25709</v>
      </c>
      <c r="G1302" s="3">
        <f>_xll.QS.EVALUATE(C1302,F1302)</f>
        <v>15547.890388084495</v>
      </c>
      <c r="H1302" s="5" t="s">
        <v>2644</v>
      </c>
      <c r="I1302" s="7">
        <v>1130000</v>
      </c>
      <c r="J1302" s="8">
        <v>3.5000000000000003E-2</v>
      </c>
    </row>
    <row r="1303" spans="1:10" x14ac:dyDescent="0.25">
      <c r="A1303" s="5" t="s">
        <v>2632</v>
      </c>
      <c r="B1303" s="5" t="s">
        <v>2645</v>
      </c>
      <c r="C1303" s="6" t="str">
        <f>_xll.QS.CONTEXT.CREATE("market.1301",A1303,"USD","SOFR")</f>
        <v>QSObject:PricingContext:w1~market.1301:19577</v>
      </c>
      <c r="D1303" s="6" t="str">
        <f>_xll.QS.CONTEXT.ADD.CURVE(C1303,"SOFR",$K$2:$K$7,$L$2:$L$7,,,"Actual360","LogLinear",TRUE)</f>
        <v>QSObject:ContextInput:w1~input.qs_context_add_curve.2359132437744.1302.3.0:38944</v>
      </c>
      <c r="E1303" s="6" t="str">
        <f>_xll.QS.INSTRUMENT.SWAP("swap.1301",H1303,B1303,"USD","SOFR",I1303,J1303,0,"Actual360","Simple","Annual","Annual","Annual")</f>
        <v>QSObject:Swap:w1~swap.1301:19576</v>
      </c>
      <c r="F1303" s="6" t="str">
        <f>_xll.QS.TRADE.CREATE("trade.1301",E1303,A1303,"Receive")</f>
        <v>QSObject:SwapTrade:w1~trade.1301:29614</v>
      </c>
      <c r="G1303" s="3">
        <f>_xll.QS.EVALUATE(C1303,F1303)</f>
        <v>15934.120259567946</v>
      </c>
      <c r="H1303" s="5" t="s">
        <v>2646</v>
      </c>
      <c r="I1303" s="7">
        <v>1130100</v>
      </c>
      <c r="J1303" s="8">
        <v>3.5100000000000013E-2</v>
      </c>
    </row>
    <row r="1304" spans="1:10" x14ac:dyDescent="0.25">
      <c r="A1304" s="5" t="s">
        <v>2634</v>
      </c>
      <c r="B1304" s="5" t="s">
        <v>2647</v>
      </c>
      <c r="C1304" s="6" t="str">
        <f>_xll.QS.CONTEXT.CREATE("market.1302",A1304,"USD","SOFR")</f>
        <v>QSObject:PricingContext:w1~market.1302:19575</v>
      </c>
      <c r="D1304" s="6" t="str">
        <f>_xll.QS.CONTEXT.ADD.CURVE(C1304,"SOFR",$K$2:$K$7,$L$2:$L$7,,,"Actual360","LogLinear",TRUE)</f>
        <v>QSObject:ContextInput:w1~input.qs_context_add_curve.2359132437744.1303.3.0:38943</v>
      </c>
      <c r="E1304" s="6" t="str">
        <f>_xll.QS.INSTRUMENT.SWAP("swap.1302",H1304,B1304,"USD","SOFR",I1304,J1304,0,"Actual360","Simple","Annual","Annual","Annual")</f>
        <v>QSObject:Swap:w1~swap.1302:19574</v>
      </c>
      <c r="F1304" s="6" t="str">
        <f>_xll.QS.TRADE.CREATE("trade.1302",E1304,A1304,"Receive")</f>
        <v>QSObject:SwapTrade:w1~trade.1302:25708</v>
      </c>
      <c r="G1304" s="3">
        <f>_xll.QS.EVALUATE(C1304,F1304)</f>
        <v>16503.222324004379</v>
      </c>
      <c r="H1304" s="5" t="s">
        <v>2648</v>
      </c>
      <c r="I1304" s="7">
        <v>1130200</v>
      </c>
      <c r="J1304" s="8">
        <v>3.5200000000000002E-2</v>
      </c>
    </row>
    <row r="1305" spans="1:10" x14ac:dyDescent="0.25">
      <c r="A1305" s="5" t="s">
        <v>2636</v>
      </c>
      <c r="B1305" s="5" t="s">
        <v>2649</v>
      </c>
      <c r="C1305" s="6" t="str">
        <f>_xll.QS.CONTEXT.CREATE("market.1303",A1305,"USD","SOFR")</f>
        <v>QSObject:PricingContext:w1~market.1303:19573</v>
      </c>
      <c r="D1305" s="6" t="str">
        <f>_xll.QS.CONTEXT.ADD.CURVE(C1305,"SOFR",$K$2:$K$7,$L$2:$L$7,,,"Actual360","LogLinear",TRUE)</f>
        <v>QSObject:ContextInput:w1~input.qs_context_add_curve.2359132437744.1304.3.0:38942</v>
      </c>
      <c r="E1305" s="6" t="str">
        <f>_xll.QS.INSTRUMENT.SWAP("swap.1303",H1305,B1305,"USD","SOFR",I1305,J1305,0,"Actual360","Simple","Annual","Annual","Annual")</f>
        <v>QSObject:Swap:w1~swap.1303:19572</v>
      </c>
      <c r="F1305" s="6" t="str">
        <f>_xll.QS.TRADE.CREATE("trade.1303",E1305,A1305,"Receive")</f>
        <v>QSObject:SwapTrade:w1~trade.1303:27000</v>
      </c>
      <c r="G1305" s="3">
        <f>_xll.QS.EVALUATE(C1305,F1305)</f>
        <v>17060.922730064907</v>
      </c>
      <c r="H1305" s="5" t="s">
        <v>2650</v>
      </c>
      <c r="I1305" s="7">
        <v>1130300</v>
      </c>
      <c r="J1305" s="8">
        <v>3.5299999999999998E-2</v>
      </c>
    </row>
    <row r="1306" spans="1:10" x14ac:dyDescent="0.25">
      <c r="A1306" s="5" t="s">
        <v>2638</v>
      </c>
      <c r="B1306" s="5" t="s">
        <v>2651</v>
      </c>
      <c r="C1306" s="6" t="str">
        <f>_xll.QS.CONTEXT.CREATE("market.1304",A1306,"USD","SOFR")</f>
        <v>QSObject:PricingContext:w1~market.1304:19571</v>
      </c>
      <c r="D1306" s="6" t="str">
        <f>_xll.QS.CONTEXT.ADD.CURVE(C1306,"SOFR",$K$2:$K$7,$L$2:$L$7,,,"Actual360","LogLinear",TRUE)</f>
        <v>QSObject:ContextInput:w1~input.qs_context_add_curve.2359132437744.1305.3.0:38941</v>
      </c>
      <c r="E1306" s="6" t="str">
        <f>_xll.QS.INSTRUMENT.SWAP("swap.1304",H1306,B1306,"USD","SOFR",I1306,J1306,0,"Actual360","Simple","Annual","Annual","Annual")</f>
        <v>QSObject:Swap:w1~swap.1304:19570</v>
      </c>
      <c r="F1306" s="6" t="str">
        <f>_xll.QS.TRADE.CREATE("trade.1304",E1306,A1306,"Receive")</f>
        <v>QSObject:SwapTrade:w1~trade.1304:26999</v>
      </c>
      <c r="G1306" s="3">
        <f>_xll.QS.EVALUATE(C1306,F1306)</f>
        <v>17709.876648652142</v>
      </c>
      <c r="H1306" s="5" t="s">
        <v>2652</v>
      </c>
      <c r="I1306" s="7">
        <v>1130400</v>
      </c>
      <c r="J1306" s="8">
        <v>3.5400000000000001E-2</v>
      </c>
    </row>
    <row r="1307" spans="1:10" x14ac:dyDescent="0.25">
      <c r="A1307" s="5" t="s">
        <v>2640</v>
      </c>
      <c r="B1307" s="5" t="s">
        <v>2653</v>
      </c>
      <c r="C1307" s="6" t="str">
        <f>_xll.QS.CONTEXT.CREATE("market.1305",A1307,"USD","SOFR")</f>
        <v>QSObject:PricingContext:w1~market.1305:19569</v>
      </c>
      <c r="D1307" s="6" t="str">
        <f>_xll.QS.CONTEXT.ADD.CURVE(C1307,"SOFR",$K$2:$K$7,$L$2:$L$7,,,"Actual360","LogLinear",TRUE)</f>
        <v>QSObject:ContextInput:w1~input.qs_context_add_curve.2359132437744.1306.3.0:38940</v>
      </c>
      <c r="E1307" s="6" t="str">
        <f>_xll.QS.INSTRUMENT.SWAP("swap.1305",H1307,B1307,"USD","SOFR",I1307,J1307,0,"Actual360","Simple","Annual","Annual","Annual")</f>
        <v>QSObject:Swap:w1~swap.1305:19568</v>
      </c>
      <c r="F1307" s="6" t="str">
        <f>_xll.QS.TRADE.CREATE("trade.1305",E1307,A1307,"Receive")</f>
        <v>QSObject:SwapTrade:w1~trade.1305:23465</v>
      </c>
      <c r="G1307" s="3">
        <f>_xll.QS.EVALUATE(C1307,F1307)</f>
        <v>18238.472454017425</v>
      </c>
      <c r="H1307" s="5" t="s">
        <v>2654</v>
      </c>
      <c r="I1307" s="7">
        <v>1130500</v>
      </c>
      <c r="J1307" s="8">
        <v>3.5499999999999997E-2</v>
      </c>
    </row>
    <row r="1308" spans="1:10" x14ac:dyDescent="0.25">
      <c r="A1308" s="5" t="s">
        <v>2642</v>
      </c>
      <c r="B1308" s="5" t="s">
        <v>2655</v>
      </c>
      <c r="C1308" s="6" t="str">
        <f>_xll.QS.CONTEXT.CREATE("market.1306",A1308,"USD","SOFR")</f>
        <v>QSObject:PricingContext:w1~market.1306:19567</v>
      </c>
      <c r="D1308" s="6" t="str">
        <f>_xll.QS.CONTEXT.ADD.CURVE(C1308,"SOFR",$K$2:$K$7,$L$2:$L$7,,,"Actual360","LogLinear",TRUE)</f>
        <v>QSObject:ContextInput:w1~input.qs_context_add_curve.2359132437744.1307.3.0:38939</v>
      </c>
      <c r="E1308" s="6" t="str">
        <f>_xll.QS.INSTRUMENT.SWAP("swap.1306",H1308,B1308,"USD","SOFR",I1308,J1308,0,"Actual360","Simple","Annual","Annual","Annual")</f>
        <v>QSObject:Swap:w1~swap.1306:19566</v>
      </c>
      <c r="F1308" s="6" t="str">
        <f>_xll.QS.TRADE.CREATE("trade.1306",E1308,A1308,"Receive")</f>
        <v>QSObject:SwapTrade:w1~trade.1306:23464</v>
      </c>
      <c r="G1308" s="3">
        <f>_xll.QS.EVALUATE(C1308,F1308)</f>
        <v>18718.079817024722</v>
      </c>
      <c r="H1308" s="5" t="s">
        <v>2656</v>
      </c>
      <c r="I1308" s="7">
        <v>1130600</v>
      </c>
      <c r="J1308" s="8">
        <v>3.5600000000000007E-2</v>
      </c>
    </row>
    <row r="1309" spans="1:10" x14ac:dyDescent="0.25">
      <c r="A1309" s="5" t="s">
        <v>2644</v>
      </c>
      <c r="B1309" s="5" t="s">
        <v>2657</v>
      </c>
      <c r="C1309" s="6" t="str">
        <f>_xll.QS.CONTEXT.CREATE("market.1307",A1309,"USD","SOFR")</f>
        <v>QSObject:PricingContext:w1~market.1307:19565</v>
      </c>
      <c r="D1309" s="6" t="str">
        <f>_xll.QS.CONTEXT.ADD.CURVE(C1309,"SOFR",$K$2:$K$7,$L$2:$L$7,,,"Actual360","LogLinear",TRUE)</f>
        <v>QSObject:ContextInput:w1~input.qs_context_add_curve.2359132437744.1308.3.0:38938</v>
      </c>
      <c r="E1309" s="6" t="str">
        <f>_xll.QS.INSTRUMENT.SWAP("swap.1307",H1309,B1309,"USD","SOFR",I1309,J1309,0,"Actual360","Simple","Annual","Annual","Annual")</f>
        <v>QSObject:Swap:w1~swap.1307:19564</v>
      </c>
      <c r="F1309" s="6" t="str">
        <f>_xll.QS.TRADE.CREATE("trade.1307",E1309,A1309,"Receive")</f>
        <v>QSObject:SwapTrade:w1~trade.1307:31124</v>
      </c>
      <c r="G1309" s="3">
        <f>_xll.QS.EVALUATE(C1309,F1309)</f>
        <v>19170.823868715506</v>
      </c>
      <c r="H1309" s="5" t="s">
        <v>2658</v>
      </c>
      <c r="I1309" s="7">
        <v>1130700</v>
      </c>
      <c r="J1309" s="8">
        <v>3.5700000000000003E-2</v>
      </c>
    </row>
    <row r="1310" spans="1:10" x14ac:dyDescent="0.25">
      <c r="A1310" s="5" t="s">
        <v>2646</v>
      </c>
      <c r="B1310" s="5" t="s">
        <v>2659</v>
      </c>
      <c r="C1310" s="6" t="str">
        <f>_xll.QS.CONTEXT.CREATE("market.1308",A1310,"USD","SOFR")</f>
        <v>QSObject:PricingContext:w1~market.1308:19563</v>
      </c>
      <c r="D1310" s="6" t="str">
        <f>_xll.QS.CONTEXT.ADD.CURVE(C1310,"SOFR",$K$2:$K$7,$L$2:$L$7,,,"Actual360","LogLinear",TRUE)</f>
        <v>QSObject:ContextInput:w1~input.qs_context_add_curve.2359132437744.1309.3.0:38937</v>
      </c>
      <c r="E1310" s="6" t="str">
        <f>_xll.QS.INSTRUMENT.SWAP("swap.1308",H1310,B1310,"USD","SOFR",I1310,J1310,0,"Actual360","Simple","Annual","Annual","Annual")</f>
        <v>QSObject:Swap:w1~swap.1308:19562</v>
      </c>
      <c r="F1310" s="6" t="str">
        <f>_xll.QS.TRADE.CREATE("trade.1308",E1310,A1310,"Receive")</f>
        <v>QSObject:SwapTrade:w1~trade.1308:29000</v>
      </c>
      <c r="G1310" s="3">
        <f>_xll.QS.EVALUATE(C1310,F1310)</f>
        <v>19595.543266082532</v>
      </c>
      <c r="H1310" s="5" t="s">
        <v>2660</v>
      </c>
      <c r="I1310" s="7">
        <v>1130800</v>
      </c>
      <c r="J1310" s="8">
        <v>3.5800000000000012E-2</v>
      </c>
    </row>
    <row r="1311" spans="1:10" x14ac:dyDescent="0.25">
      <c r="A1311" s="5" t="s">
        <v>2648</v>
      </c>
      <c r="B1311" s="5" t="s">
        <v>2661</v>
      </c>
      <c r="C1311" s="6" t="str">
        <f>_xll.QS.CONTEXT.CREATE("market.1309",A1311,"USD","SOFR")</f>
        <v>QSObject:PricingContext:w1~market.1309:19561</v>
      </c>
      <c r="D1311" s="6" t="str">
        <f>_xll.QS.CONTEXT.ADD.CURVE(C1311,"SOFR",$K$2:$K$7,$L$2:$L$7,,,"Actual360","LogLinear",TRUE)</f>
        <v>QSObject:ContextInput:w1~input.qs_context_add_curve.2359132437744.1310.3.0:38936</v>
      </c>
      <c r="E1311" s="6" t="str">
        <f>_xll.QS.INSTRUMENT.SWAP("swap.1309",H1311,B1311,"USD","SOFR",I1311,J1311,0,"Actual360","Simple","Annual","Annual","Annual")</f>
        <v>QSObject:Swap:w1~swap.1309:19560</v>
      </c>
      <c r="F1311" s="6" t="str">
        <f>_xll.QS.TRADE.CREATE("trade.1309",E1311,A1311,"Receive")</f>
        <v>QSObject:SwapTrade:w1~trade.1309:26998</v>
      </c>
      <c r="G1311" s="3">
        <f>_xll.QS.EVALUATE(C1311,F1311)</f>
        <v>20165.673600048802</v>
      </c>
      <c r="H1311" s="5" t="s">
        <v>2662</v>
      </c>
      <c r="I1311" s="7">
        <v>1130900</v>
      </c>
      <c r="J1311" s="8">
        <v>3.5900000000000001E-2</v>
      </c>
    </row>
    <row r="1312" spans="1:10" x14ac:dyDescent="0.25">
      <c r="A1312" s="5" t="s">
        <v>2650</v>
      </c>
      <c r="B1312" s="5" t="s">
        <v>2663</v>
      </c>
      <c r="C1312" s="6" t="str">
        <f>_xll.QS.CONTEXT.CREATE("market.1310",A1312,"USD","SOFR")</f>
        <v>QSObject:PricingContext:w1~market.1310:19559</v>
      </c>
      <c r="D1312" s="6" t="str">
        <f>_xll.QS.CONTEXT.ADD.CURVE(C1312,"SOFR",$K$2:$K$7,$L$2:$L$7,,,"Actual360","LogLinear",TRUE)</f>
        <v>QSObject:ContextInput:w1~input.qs_context_add_curve.2359132437744.1311.3.0:38935</v>
      </c>
      <c r="E1312" s="6" t="str">
        <f>_xll.QS.INSTRUMENT.SWAP("swap.1310",H1312,B1312,"USD","SOFR",I1312,J1312,0,"Actual360","Simple","Annual","Annual","Annual")</f>
        <v>QSObject:Swap:w1~swap.1310:19558</v>
      </c>
      <c r="F1312" s="6" t="str">
        <f>_xll.QS.TRADE.CREATE("trade.1310",E1312,A1312,"Receive")</f>
        <v>QSObject:SwapTrade:w1~trade.1310:23463</v>
      </c>
      <c r="G1312" s="3">
        <f>_xll.QS.EVALUATE(C1312,F1312)</f>
        <v>20722.267518331573</v>
      </c>
      <c r="H1312" s="5" t="s">
        <v>2664</v>
      </c>
      <c r="I1312" s="7">
        <v>1131000</v>
      </c>
      <c r="J1312" s="8">
        <v>3.5999999999999997E-2</v>
      </c>
    </row>
    <row r="1313" spans="1:10" x14ac:dyDescent="0.25">
      <c r="A1313" s="5" t="s">
        <v>2652</v>
      </c>
      <c r="B1313" s="5" t="s">
        <v>2665</v>
      </c>
      <c r="C1313" s="6" t="str">
        <f>_xll.QS.CONTEXT.CREATE("market.1311",A1313,"USD","SOFR")</f>
        <v>QSObject:PricingContext:w1~market.1311:19557</v>
      </c>
      <c r="D1313" s="6" t="str">
        <f>_xll.QS.CONTEXT.ADD.CURVE(C1313,"SOFR",$K$2:$K$7,$L$2:$L$7,,,"Actual360","LogLinear",TRUE)</f>
        <v>QSObject:ContextInput:w1~input.qs_context_add_curve.2359132437744.1312.3.0:38934</v>
      </c>
      <c r="E1313" s="6" t="str">
        <f>_xll.QS.INSTRUMENT.SWAP("swap.1311",H1313,B1313,"USD","SOFR",I1313,J1313,0,"Actual360","Simple","Annual","Annual","Annual")</f>
        <v>QSObject:Swap:w1~swap.1311:19556</v>
      </c>
      <c r="F1313" s="6" t="str">
        <f>_xll.QS.TRADE.CREATE("trade.1311",E1313,A1313,"Receive")</f>
        <v>QSObject:SwapTrade:w1~trade.1311:30390</v>
      </c>
      <c r="G1313" s="3">
        <f>_xll.QS.EVALUATE(C1313,F1313)</f>
        <v>21328.424200897993</v>
      </c>
      <c r="H1313" s="5" t="s">
        <v>2666</v>
      </c>
      <c r="I1313" s="7">
        <v>1131100</v>
      </c>
      <c r="J1313" s="8">
        <v>3.61E-2</v>
      </c>
    </row>
    <row r="1314" spans="1:10" x14ac:dyDescent="0.25">
      <c r="A1314" s="5" t="s">
        <v>2654</v>
      </c>
      <c r="B1314" s="5" t="s">
        <v>2667</v>
      </c>
      <c r="C1314" s="6" t="str">
        <f>_xll.QS.CONTEXT.CREATE("market.1312",A1314,"USD","SOFR")</f>
        <v>QSObject:PricingContext:w1~market.1312:19555</v>
      </c>
      <c r="D1314" s="6" t="str">
        <f>_xll.QS.CONTEXT.ADD.CURVE(C1314,"SOFR",$K$2:$K$7,$L$2:$L$7,,,"Actual360","LogLinear",TRUE)</f>
        <v>QSObject:ContextInput:w1~input.qs_context_add_curve.2359132437744.1313.3.0:38933</v>
      </c>
      <c r="E1314" s="6" t="str">
        <f>_xll.QS.INSTRUMENT.SWAP("swap.1312",H1314,B1314,"USD","SOFR",I1314,J1314,0,"Actual360","Simple","Annual","Annual","Annual")</f>
        <v>QSObject:Swap:w1~swap.1312:19554</v>
      </c>
      <c r="F1314" s="6" t="str">
        <f>_xll.QS.TRADE.CREATE("trade.1312",E1314,A1314,"Receive")</f>
        <v>QSObject:SwapTrade:w1~trade.1312:23462</v>
      </c>
      <c r="G1314" s="3">
        <f>_xll.QS.EVALUATE(C1314,F1314)</f>
        <v>21901.289788162681</v>
      </c>
      <c r="H1314" s="5" t="s">
        <v>2668</v>
      </c>
      <c r="I1314" s="7">
        <v>1131200</v>
      </c>
      <c r="J1314" s="8">
        <v>3.6200000000000003E-2</v>
      </c>
    </row>
    <row r="1315" spans="1:10" x14ac:dyDescent="0.25">
      <c r="A1315" s="5" t="s">
        <v>2656</v>
      </c>
      <c r="B1315" s="5" t="s">
        <v>2669</v>
      </c>
      <c r="C1315" s="6" t="str">
        <f>_xll.QS.CONTEXT.CREATE("market.1313",A1315,"USD","SOFR")</f>
        <v>QSObject:PricingContext:w1~market.1313:19553</v>
      </c>
      <c r="D1315" s="6" t="str">
        <f>_xll.QS.CONTEXT.ADD.CURVE(C1315,"SOFR",$K$2:$K$7,$L$2:$L$7,,,"Actual360","LogLinear",TRUE)</f>
        <v>QSObject:ContextInput:w1~input.qs_context_add_curve.2359132437744.1314.3.0:38932</v>
      </c>
      <c r="E1315" s="6" t="str">
        <f>_xll.QS.INSTRUMENT.SWAP("swap.1313",H1315,B1315,"USD","SOFR",I1315,J1315,0,"Actual360","Simple","Annual","Annual","Annual")</f>
        <v>QSObject:Swap:w1~swap.1313:19552</v>
      </c>
      <c r="F1315" s="6" t="str">
        <f>_xll.QS.TRADE.CREATE("trade.1313",E1315,A1315,"Receive")</f>
        <v>QSObject:SwapTrade:w1~trade.1313:23461</v>
      </c>
      <c r="G1315" s="3">
        <f>_xll.QS.EVALUATE(C1315,F1315)</f>
        <v>22381.475779909651</v>
      </c>
      <c r="H1315" s="5" t="s">
        <v>2670</v>
      </c>
      <c r="I1315" s="7">
        <v>1131300</v>
      </c>
      <c r="J1315" s="8">
        <v>3.6300000000000013E-2</v>
      </c>
    </row>
    <row r="1316" spans="1:10" x14ac:dyDescent="0.25">
      <c r="A1316" s="5" t="s">
        <v>2658</v>
      </c>
      <c r="B1316" s="5" t="s">
        <v>2671</v>
      </c>
      <c r="C1316" s="6" t="str">
        <f>_xll.QS.CONTEXT.CREATE("market.1314",A1316,"USD","SOFR")</f>
        <v>QSObject:PricingContext:w1~market.1314:19551</v>
      </c>
      <c r="D1316" s="6" t="str">
        <f>_xll.QS.CONTEXT.ADD.CURVE(C1316,"SOFR",$K$2:$K$7,$L$2:$L$7,,,"Actual360","LogLinear",TRUE)</f>
        <v>QSObject:ContextInput:w1~input.qs_context_add_curve.2359132437744.1315.3.0:38931</v>
      </c>
      <c r="E1316" s="6" t="str">
        <f>_xll.QS.INSTRUMENT.SWAP("swap.1314",H1316,B1316,"USD","SOFR",I1316,J1316,0,"Actual360","Simple","Annual","Annual","Annual")</f>
        <v>QSObject:Swap:w1~swap.1314:19550</v>
      </c>
      <c r="F1316" s="6" t="str">
        <f>_xll.QS.TRADE.CREATE("trade.1314",E1316,A1316,"Receive")</f>
        <v>QSObject:SwapTrade:w1~trade.1314:29613</v>
      </c>
      <c r="G1316" s="3">
        <f>_xll.QS.EVALUATE(C1316,F1316)</f>
        <v>22830.520942339088</v>
      </c>
      <c r="H1316" s="5" t="s">
        <v>2672</v>
      </c>
      <c r="I1316" s="7">
        <v>1131400</v>
      </c>
      <c r="J1316" s="8">
        <v>3.6400000000000002E-2</v>
      </c>
    </row>
    <row r="1317" spans="1:10" x14ac:dyDescent="0.25">
      <c r="A1317" s="5" t="s">
        <v>2660</v>
      </c>
      <c r="B1317" s="5" t="s">
        <v>2673</v>
      </c>
      <c r="C1317" s="6" t="str">
        <f>_xll.QS.CONTEXT.CREATE("market.1315",A1317,"USD","SOFR")</f>
        <v>QSObject:PricingContext:w1~market.1315:19549</v>
      </c>
      <c r="D1317" s="6" t="str">
        <f>_xll.QS.CONTEXT.ADD.CURVE(C1317,"SOFR",$K$2:$K$7,$L$2:$L$7,,,"Actual360","LogLinear",TRUE)</f>
        <v>QSObject:ContextInput:w1~input.qs_context_add_curve.2359132437744.1316.3.0:38930</v>
      </c>
      <c r="E1317" s="6" t="str">
        <f>_xll.QS.INSTRUMENT.SWAP("swap.1315",H1317,B1317,"USD","SOFR",I1317,J1317,0,"Actual360","Simple","Annual","Annual","Annual")</f>
        <v>QSObject:Swap:w1~swap.1315:19548</v>
      </c>
      <c r="F1317" s="6" t="str">
        <f>_xll.QS.TRADE.CREATE("trade.1315",E1317,A1317,"Receive")</f>
        <v>QSObject:SwapTrade:w1~trade.1315:31123</v>
      </c>
      <c r="G1317" s="3">
        <f>_xll.QS.EVALUATE(C1317,F1317)</f>
        <v>23261.487120192098</v>
      </c>
      <c r="H1317" s="5" t="s">
        <v>2674</v>
      </c>
      <c r="I1317" s="7">
        <v>1131500</v>
      </c>
      <c r="J1317" s="8">
        <v>3.6499999999999998E-2</v>
      </c>
    </row>
    <row r="1318" spans="1:10" x14ac:dyDescent="0.25">
      <c r="A1318" s="5" t="s">
        <v>2662</v>
      </c>
      <c r="B1318" s="5" t="s">
        <v>2675</v>
      </c>
      <c r="C1318" s="6" t="str">
        <f>_xll.QS.CONTEXT.CREATE("market.1316",A1318,"USD","SOFR")</f>
        <v>QSObject:PricingContext:w1~market.1316:19547</v>
      </c>
      <c r="D1318" s="6" t="str">
        <f>_xll.QS.CONTEXT.ADD.CURVE(C1318,"SOFR",$K$2:$K$7,$L$2:$L$7,,,"Actual360","LogLinear",TRUE)</f>
        <v>QSObject:ContextInput:w1~input.qs_context_add_curve.2359132437744.1317.3.0:38929</v>
      </c>
      <c r="E1318" s="6" t="str">
        <f>_xll.QS.INSTRUMENT.SWAP("swap.1316",H1318,B1318,"USD","SOFR",I1318,J1318,0,"Actual360","Simple","Annual","Annual","Annual")</f>
        <v>QSObject:Swap:w1~swap.1316:19546</v>
      </c>
      <c r="F1318" s="6" t="str">
        <f>_xll.QS.TRADE.CREATE("trade.1316",E1318,A1318,"Receive")</f>
        <v>QSObject:SwapTrade:w1~trade.1316:30285</v>
      </c>
      <c r="G1318" s="3">
        <f>_xll.QS.EVALUATE(C1318,F1318)</f>
        <v>23832.646161609322</v>
      </c>
      <c r="H1318" s="5" t="s">
        <v>2676</v>
      </c>
      <c r="I1318" s="7">
        <v>1131600</v>
      </c>
      <c r="J1318" s="8">
        <v>3.6600000000000001E-2</v>
      </c>
    </row>
    <row r="1319" spans="1:10" x14ac:dyDescent="0.25">
      <c r="A1319" s="5" t="s">
        <v>2664</v>
      </c>
      <c r="B1319" s="5" t="s">
        <v>2677</v>
      </c>
      <c r="C1319" s="6" t="str">
        <f>_xll.QS.CONTEXT.CREATE("market.1317",A1319,"USD","SOFR")</f>
        <v>QSObject:PricingContext:w1~market.1317:19545</v>
      </c>
      <c r="D1319" s="6" t="str">
        <f>_xll.QS.CONTEXT.ADD.CURVE(C1319,"SOFR",$K$2:$K$7,$L$2:$L$7,,,"Actual360","LogLinear",TRUE)</f>
        <v>QSObject:ContextInput:w1~input.qs_context_add_curve.2359132437744.1318.3.0:38928</v>
      </c>
      <c r="E1319" s="6" t="str">
        <f>_xll.QS.INSTRUMENT.SWAP("swap.1317",H1319,B1319,"USD","SOFR",I1319,J1319,0,"Actual360","Simple","Annual","Annual","Annual")</f>
        <v>QSObject:Swap:w1~swap.1317:19544</v>
      </c>
      <c r="F1319" s="6" t="str">
        <f>_xll.QS.TRADE.CREATE("trade.1317",E1319,A1319,"Receive")</f>
        <v>QSObject:SwapTrade:w1~trade.1317:29612</v>
      </c>
      <c r="G1319" s="3">
        <f>_xll.QS.EVALUATE(C1319,F1319)</f>
        <v>24388.131396281744</v>
      </c>
      <c r="H1319" s="5" t="s">
        <v>2678</v>
      </c>
      <c r="I1319" s="7">
        <v>1131700</v>
      </c>
      <c r="J1319" s="8">
        <v>3.6700000000000003E-2</v>
      </c>
    </row>
    <row r="1320" spans="1:10" x14ac:dyDescent="0.25">
      <c r="A1320" s="5" t="s">
        <v>2666</v>
      </c>
      <c r="B1320" s="5" t="s">
        <v>2679</v>
      </c>
      <c r="C1320" s="6" t="str">
        <f>_xll.QS.CONTEXT.CREATE("market.1318",A1320,"USD","SOFR")</f>
        <v>QSObject:PricingContext:w1~market.1318:19543</v>
      </c>
      <c r="D1320" s="6" t="str">
        <f>_xll.QS.CONTEXT.ADD.CURVE(C1320,"SOFR",$K$2:$K$7,$L$2:$L$7,,,"Actual360","LogLinear",TRUE)</f>
        <v>QSObject:ContextInput:w1~input.qs_context_add_curve.2359132437744.1319.3.0:38927</v>
      </c>
      <c r="E1320" s="6" t="str">
        <f>_xll.QS.INSTRUMENT.SWAP("swap.1318",H1320,B1320,"USD","SOFR",I1320,J1320,0,"Actual360","Simple","Annual","Annual","Annual")</f>
        <v>QSObject:Swap:w1~swap.1318:19542</v>
      </c>
      <c r="F1320" s="6" t="str">
        <f>_xll.QS.TRADE.CREATE("trade.1318",E1320,A1320,"Receive")</f>
        <v>QSObject:SwapTrade:w1~trade.1318:22953</v>
      </c>
      <c r="G1320" s="3">
        <f>_xll.QS.EVALUATE(C1320,F1320)</f>
        <v>24995.042680997343</v>
      </c>
      <c r="H1320" s="5" t="s">
        <v>2680</v>
      </c>
      <c r="I1320" s="7">
        <v>1131800</v>
      </c>
      <c r="J1320" s="8">
        <v>3.6800000000000013E-2</v>
      </c>
    </row>
    <row r="1321" spans="1:10" x14ac:dyDescent="0.25">
      <c r="A1321" s="5" t="s">
        <v>2668</v>
      </c>
      <c r="B1321" s="5" t="s">
        <v>2681</v>
      </c>
      <c r="C1321" s="6" t="str">
        <f>_xll.QS.CONTEXT.CREATE("market.1319",A1321,"USD","SOFR")</f>
        <v>QSObject:PricingContext:w1~market.1319:19541</v>
      </c>
      <c r="D1321" s="6" t="str">
        <f>_xll.QS.CONTEXT.ADD.CURVE(C1321,"SOFR",$K$2:$K$7,$L$2:$L$7,,,"Actual360","LogLinear",TRUE)</f>
        <v>QSObject:ContextInput:w1~input.qs_context_add_curve.2359132437744.1320.3.0:38926</v>
      </c>
      <c r="E1321" s="6" t="str">
        <f>_xll.QS.INSTRUMENT.SWAP("swap.1319",H1321,B1321,"USD","SOFR",I1321,J1321,0,"Actual360","Simple","Annual","Annual","Annual")</f>
        <v>QSObject:Swap:w1~swap.1319:19540</v>
      </c>
      <c r="F1321" s="6" t="str">
        <f>_xll.QS.TRADE.CREATE("trade.1319",E1321,A1321,"Receive")</f>
        <v>QSObject:SwapTrade:w1~trade.1319:22304</v>
      </c>
      <c r="G1321" s="3">
        <f>_xll.QS.EVALUATE(C1321,F1321)</f>
        <v>25568.626335379788</v>
      </c>
      <c r="H1321" s="5" t="s">
        <v>2682</v>
      </c>
      <c r="I1321" s="7">
        <v>1131900</v>
      </c>
      <c r="J1321" s="8">
        <v>3.6900000000000002E-2</v>
      </c>
    </row>
    <row r="1322" spans="1:10" x14ac:dyDescent="0.25">
      <c r="A1322" s="5" t="s">
        <v>2670</v>
      </c>
      <c r="B1322" s="5" t="s">
        <v>2683</v>
      </c>
      <c r="C1322" s="6" t="str">
        <f>_xll.QS.CONTEXT.CREATE("market.1320",A1322,"USD","SOFR")</f>
        <v>QSObject:PricingContext:w1~market.1320:19539</v>
      </c>
      <c r="D1322" s="6" t="str">
        <f>_xll.QS.CONTEXT.ADD.CURVE(C1322,"SOFR",$K$2:$K$7,$L$2:$L$7,,,"Actual360","LogLinear",TRUE)</f>
        <v>QSObject:ContextInput:w1~input.qs_context_add_curve.2359132437744.1321.3.0:38925</v>
      </c>
      <c r="E1322" s="6" t="str">
        <f>_xll.QS.INSTRUMENT.SWAP("swap.1320",H1322,B1322,"USD","SOFR",I1322,J1322,0,"Actual360","Simple","Annual","Annual","Annual")</f>
        <v>QSObject:Swap:w1~swap.1320:19538</v>
      </c>
      <c r="F1322" s="6" t="str">
        <f>_xll.QS.TRADE.CREATE("trade.1320",E1322,A1322,"Receive")</f>
        <v>QSObject:SwapTrade:w1~trade.1320:22303</v>
      </c>
      <c r="G1322" s="3">
        <f>_xll.QS.EVALUATE(C1322,F1322)</f>
        <v>26049.390906220502</v>
      </c>
      <c r="H1322" s="5" t="s">
        <v>2684</v>
      </c>
      <c r="I1322" s="7">
        <v>1132000</v>
      </c>
      <c r="J1322" s="8">
        <v>3.7000000000000012E-2</v>
      </c>
    </row>
    <row r="1323" spans="1:10" x14ac:dyDescent="0.25">
      <c r="A1323" s="5" t="s">
        <v>2672</v>
      </c>
      <c r="B1323" s="5" t="s">
        <v>2685</v>
      </c>
      <c r="C1323" s="6" t="str">
        <f>_xll.QS.CONTEXT.CREATE("market.1321",A1323,"USD","SOFR")</f>
        <v>QSObject:PricingContext:w1~market.1321:19537</v>
      </c>
      <c r="D1323" s="6" t="str">
        <f>_xll.QS.CONTEXT.ADD.CURVE(C1323,"SOFR",$K$2:$K$7,$L$2:$L$7,,,"Actual360","LogLinear",TRUE)</f>
        <v>QSObject:ContextInput:w1~input.qs_context_add_curve.2359132437744.1322.3.0:38924</v>
      </c>
      <c r="E1323" s="6" t="str">
        <f>_xll.QS.INSTRUMENT.SWAP("swap.1321",H1323,B1323,"USD","SOFR",I1323,J1323,0,"Actual360","Simple","Annual","Annual","Annual")</f>
        <v>QSObject:Swap:w1~swap.1321:19536</v>
      </c>
      <c r="F1323" s="6" t="str">
        <f>_xll.QS.TRADE.CREATE("trade.1321",E1323,A1323,"Receive")</f>
        <v>QSObject:SwapTrade:w1~trade.1321:30284</v>
      </c>
      <c r="G1323" s="3">
        <f>_xll.QS.EVALUATE(C1323,F1323)</f>
        <v>26494.731857373456</v>
      </c>
      <c r="H1323" s="5" t="s">
        <v>2686</v>
      </c>
      <c r="I1323" s="7">
        <v>1132100</v>
      </c>
      <c r="J1323" s="8">
        <v>3.7100000000000001E-2</v>
      </c>
    </row>
    <row r="1324" spans="1:10" x14ac:dyDescent="0.25">
      <c r="A1324" s="5" t="s">
        <v>2674</v>
      </c>
      <c r="B1324" s="5" t="s">
        <v>2687</v>
      </c>
      <c r="C1324" s="6" t="str">
        <f>_xll.QS.CONTEXT.CREATE("market.1322",A1324,"USD","SOFR")</f>
        <v>QSObject:PricingContext:w1~market.1322:19535</v>
      </c>
      <c r="D1324" s="6" t="str">
        <f>_xll.QS.CONTEXT.ADD.CURVE(C1324,"SOFR",$K$2:$K$7,$L$2:$L$7,,,"Actual360","LogLinear",TRUE)</f>
        <v>QSObject:ContextInput:w1~input.qs_context_add_curve.2359132437744.1323.3.0:38923</v>
      </c>
      <c r="E1324" s="6" t="str">
        <f>_xll.QS.INSTRUMENT.SWAP("swap.1322",H1324,B1324,"USD","SOFR",I1324,J1324,0,"Actual360","Simple","Annual","Annual","Annual")</f>
        <v>QSObject:Swap:w1~swap.1322:19534</v>
      </c>
      <c r="F1324" s="6" t="str">
        <f>_xll.QS.TRADE.CREATE("trade.1322",E1324,A1324,"Receive")</f>
        <v>QSObject:SwapTrade:w1~trade.1322:30283</v>
      </c>
      <c r="G1324" s="3">
        <f>_xll.QS.EVALUATE(C1324,F1324)</f>
        <v>26931.951821896553</v>
      </c>
      <c r="H1324" s="5" t="s">
        <v>2688</v>
      </c>
      <c r="I1324" s="7">
        <v>1132200</v>
      </c>
      <c r="J1324" s="8">
        <v>3.7199999999999997E-2</v>
      </c>
    </row>
    <row r="1325" spans="1:10" x14ac:dyDescent="0.25">
      <c r="A1325" s="5" t="s">
        <v>2676</v>
      </c>
      <c r="B1325" s="5" t="s">
        <v>2689</v>
      </c>
      <c r="C1325" s="6" t="str">
        <f>_xll.QS.CONTEXT.CREATE("market.1323",A1325,"USD","SOFR")</f>
        <v>QSObject:PricingContext:w1~market.1323:19533</v>
      </c>
      <c r="D1325" s="6" t="str">
        <f>_xll.QS.CONTEXT.ADD.CURVE(C1325,"SOFR",$K$2:$K$7,$L$2:$L$7,,,"Actual360","LogLinear",TRUE)</f>
        <v>QSObject:ContextInput:w1~input.qs_context_add_curve.2359132437744.1324.3.0:38922</v>
      </c>
      <c r="E1325" s="6" t="str">
        <f>_xll.QS.INSTRUMENT.SWAP("swap.1323",H1325,B1325,"USD","SOFR",I1325,J1325,0,"Actual360","Simple","Annual","Annual","Annual")</f>
        <v>QSObject:Swap:w1~swap.1323:19532</v>
      </c>
      <c r="F1325" s="6" t="str">
        <f>_xll.QS.TRADE.CREATE("trade.1323",E1325,A1325,"Receive")</f>
        <v>QSObject:SwapTrade:w1~trade.1323:28999</v>
      </c>
      <c r="G1325" s="3">
        <f>_xll.QS.EVALUATE(C1325,F1325)</f>
        <v>27504.140008685703</v>
      </c>
      <c r="H1325" s="5" t="s">
        <v>2690</v>
      </c>
      <c r="I1325" s="7">
        <v>1132300</v>
      </c>
      <c r="J1325" s="8">
        <v>3.73E-2</v>
      </c>
    </row>
    <row r="1326" spans="1:10" x14ac:dyDescent="0.25">
      <c r="A1326" s="5" t="s">
        <v>2678</v>
      </c>
      <c r="B1326" s="5" t="s">
        <v>2691</v>
      </c>
      <c r="C1326" s="6" t="str">
        <f>_xll.QS.CONTEXT.CREATE("market.1324",A1326,"USD","SOFR")</f>
        <v>QSObject:PricingContext:w1~market.1324:19531</v>
      </c>
      <c r="D1326" s="6" t="str">
        <f>_xll.QS.CONTEXT.ADD.CURVE(C1326,"SOFR",$K$2:$K$7,$L$2:$L$7,,,"Actual360","LogLinear",TRUE)</f>
        <v>QSObject:ContextInput:w1~input.qs_context_add_curve.2359132437744.1325.3.0:38921</v>
      </c>
      <c r="E1326" s="6" t="str">
        <f>_xll.QS.INSTRUMENT.SWAP("swap.1324",H1326,B1326,"USD","SOFR",I1326,J1326,0,"Actual360","Simple","Annual","Annual","Annual")</f>
        <v>QSObject:Swap:w1~swap.1324:19530</v>
      </c>
      <c r="F1326" s="6" t="str">
        <f>_xll.QS.TRADE.CREATE("trade.1324",E1326,A1326,"Receive")</f>
        <v>QSObject:SwapTrade:w1~trade.1324:28998</v>
      </c>
      <c r="G1326" s="3">
        <f>_xll.QS.EVALUATE(C1326,F1326)</f>
        <v>28058.51436391583</v>
      </c>
      <c r="H1326" s="5" t="s">
        <v>2692</v>
      </c>
      <c r="I1326" s="7">
        <v>1132400</v>
      </c>
      <c r="J1326" s="8">
        <v>3.7400000000000003E-2</v>
      </c>
    </row>
    <row r="1327" spans="1:10" x14ac:dyDescent="0.25">
      <c r="A1327" s="5" t="s">
        <v>2680</v>
      </c>
      <c r="B1327" s="5" t="s">
        <v>2693</v>
      </c>
      <c r="C1327" s="6" t="str">
        <f>_xll.QS.CONTEXT.CREATE("market.1325",A1327,"USD","SOFR")</f>
        <v>QSObject:PricingContext:w1~market.1325:19529</v>
      </c>
      <c r="D1327" s="6" t="str">
        <f>_xll.QS.CONTEXT.ADD.CURVE(C1327,"SOFR",$K$2:$K$7,$L$2:$L$7,,,"Actual360","LogLinear",TRUE)</f>
        <v>QSObject:ContextInput:w1~input.qs_context_add_curve.2359132437744.1326.3.0:38920</v>
      </c>
      <c r="E1327" s="6" t="str">
        <f>_xll.QS.INSTRUMENT.SWAP("swap.1325",H1327,B1327,"USD","SOFR",I1327,J1327,0,"Actual360","Simple","Annual","Annual","Annual")</f>
        <v>QSObject:Swap:w1~swap.1325:19528</v>
      </c>
      <c r="F1327" s="6" t="str">
        <f>_xll.QS.TRADE.CREATE("trade.1325",E1327,A1327,"Receive")</f>
        <v>QSObject:SwapTrade:w1~trade.1325:30282</v>
      </c>
      <c r="G1327" s="3">
        <f>_xll.QS.EVALUATE(C1327,F1327)</f>
        <v>28666.180322294269</v>
      </c>
      <c r="H1327" s="5" t="s">
        <v>2694</v>
      </c>
      <c r="I1327" s="7">
        <v>1132500</v>
      </c>
      <c r="J1327" s="8">
        <v>3.7500000000000012E-2</v>
      </c>
    </row>
    <row r="1328" spans="1:10" x14ac:dyDescent="0.25">
      <c r="A1328" s="5" t="s">
        <v>2682</v>
      </c>
      <c r="B1328" s="5" t="s">
        <v>2695</v>
      </c>
      <c r="C1328" s="6" t="str">
        <f>_xll.QS.CONTEXT.CREATE("market.1326",A1328,"USD","SOFR")</f>
        <v>QSObject:PricingContext:w1~market.1326:19527</v>
      </c>
      <c r="D1328" s="6" t="str">
        <f>_xll.QS.CONTEXT.ADD.CURVE(C1328,"SOFR",$K$2:$K$7,$L$2:$L$7,,,"Actual360","LogLinear",TRUE)</f>
        <v>QSObject:ContextInput:w1~input.qs_context_add_curve.2359132437744.1327.3.0:38919</v>
      </c>
      <c r="E1328" s="6" t="str">
        <f>_xll.QS.INSTRUMENT.SWAP("swap.1326",H1328,B1328,"USD","SOFR",I1328,J1328,0,"Actual360","Simple","Annual","Annual","Annual")</f>
        <v>QSObject:Swap:w1~swap.1326:19526</v>
      </c>
      <c r="F1328" s="6" t="str">
        <f>_xll.QS.TRADE.CREATE("trade.1326",E1328,A1328,"Receive")</f>
        <v>QSObject:SwapTrade:w1~trade.1326:31122</v>
      </c>
      <c r="G1328" s="3">
        <f>_xll.QS.EVALUATE(C1328,F1328)</f>
        <v>29240.482095669377</v>
      </c>
      <c r="H1328" s="5" t="s">
        <v>2696</v>
      </c>
      <c r="I1328" s="7">
        <v>1132600</v>
      </c>
      <c r="J1328" s="8">
        <v>3.7600000000000001E-2</v>
      </c>
    </row>
    <row r="1329" spans="1:10" x14ac:dyDescent="0.25">
      <c r="A1329" s="5" t="s">
        <v>2684</v>
      </c>
      <c r="B1329" s="5" t="s">
        <v>2697</v>
      </c>
      <c r="C1329" s="6" t="str">
        <f>_xll.QS.CONTEXT.CREATE("market.1327",A1329,"USD","SOFR")</f>
        <v>QSObject:PricingContext:w1~market.1327:19525</v>
      </c>
      <c r="D1329" s="6" t="str">
        <f>_xll.QS.CONTEXT.ADD.CURVE(C1329,"SOFR",$K$2:$K$7,$L$2:$L$7,,,"Actual360","LogLinear",TRUE)</f>
        <v>QSObject:ContextInput:w1~input.qs_context_add_curve.2359132437744.1328.3.0:38918</v>
      </c>
      <c r="E1329" s="6" t="str">
        <f>_xll.QS.INSTRUMENT.SWAP("swap.1327",H1329,B1329,"USD","SOFR",I1329,J1329,0,"Actual360","Simple","Annual","Annual","Annual")</f>
        <v>QSObject:Swap:w1~swap.1327:19524</v>
      </c>
      <c r="F1329" s="6" t="str">
        <f>_xll.QS.TRADE.CREATE("trade.1327",E1329,A1329,"Receive")</f>
        <v>QSObject:SwapTrade:w1~trade.1327:27631</v>
      </c>
      <c r="G1329" s="3">
        <f>_xll.QS.EVALUATE(C1329,F1329)</f>
        <v>29721.825195957721</v>
      </c>
      <c r="H1329" s="5" t="s">
        <v>2698</v>
      </c>
      <c r="I1329" s="7">
        <v>1132700</v>
      </c>
      <c r="J1329" s="8">
        <v>3.7699999999999997E-2</v>
      </c>
    </row>
    <row r="1330" spans="1:10" x14ac:dyDescent="0.25">
      <c r="A1330" s="5" t="s">
        <v>2686</v>
      </c>
      <c r="B1330" s="5" t="s">
        <v>2699</v>
      </c>
      <c r="C1330" s="6" t="str">
        <f>_xll.QS.CONTEXT.CREATE("market.1328",A1330,"USD","SOFR")</f>
        <v>QSObject:PricingContext:w1~market.1328:19523</v>
      </c>
      <c r="D1330" s="6" t="str">
        <f>_xll.QS.CONTEXT.ADD.CURVE(C1330,"SOFR",$K$2:$K$7,$L$2:$L$7,,,"Actual360","LogLinear",TRUE)</f>
        <v>QSObject:ContextInput:w1~input.qs_context_add_curve.2359132437744.1329.3.0:38917</v>
      </c>
      <c r="E1330" s="6" t="str">
        <f>_xll.QS.INSTRUMENT.SWAP("swap.1328",H1330,B1330,"USD","SOFR",I1330,J1330,0,"Actual360","Simple","Annual","Annual","Annual")</f>
        <v>QSObject:Swap:w1~swap.1328:19522</v>
      </c>
      <c r="F1330" s="6" t="str">
        <f>_xll.QS.TRADE.CREATE("trade.1328",E1330,A1330,"Receive")</f>
        <v>QSObject:SwapTrade:w1~trade.1328:25018</v>
      </c>
      <c r="G1330" s="3">
        <f>_xll.QS.EVALUATE(C1330,F1330)</f>
        <v>30163.456613817936</v>
      </c>
      <c r="H1330" s="5" t="s">
        <v>2700</v>
      </c>
      <c r="I1330" s="7">
        <v>1132800</v>
      </c>
      <c r="J1330" s="8">
        <v>3.78E-2</v>
      </c>
    </row>
    <row r="1331" spans="1:10" x14ac:dyDescent="0.25">
      <c r="A1331" s="5" t="s">
        <v>2688</v>
      </c>
      <c r="B1331" s="5" t="s">
        <v>2701</v>
      </c>
      <c r="C1331" s="6" t="str">
        <f>_xll.QS.CONTEXT.CREATE("market.1329",A1331,"USD","SOFR")</f>
        <v>QSObject:PricingContext:w1~market.1329:19521</v>
      </c>
      <c r="D1331" s="6" t="str">
        <f>_xll.QS.CONTEXT.ADD.CURVE(C1331,"SOFR",$K$2:$K$7,$L$2:$L$7,,,"Actual360","LogLinear",TRUE)</f>
        <v>QSObject:ContextInput:w1~input.qs_context_add_curve.2359132437744.1330.3.0:38916</v>
      </c>
      <c r="E1331" s="6" t="str">
        <f>_xll.QS.INSTRUMENT.SWAP("swap.1329",H1331,B1331,"USD","SOFR",I1331,J1331,0,"Actual360","Simple","Annual","Annual","Annual")</f>
        <v>QSObject:Swap:w1~swap.1329:19520</v>
      </c>
      <c r="F1331" s="6" t="str">
        <f>_xll.QS.TRADE.CREATE("trade.1329",E1331,A1331,"Receive")</f>
        <v>QSObject:SwapTrade:w1~trade.1329:29611</v>
      </c>
      <c r="G1331" s="3">
        <f>_xll.QS.EVALUATE(C1331,F1331)</f>
        <v>30606.937371196203</v>
      </c>
      <c r="H1331" s="5" t="s">
        <v>2702</v>
      </c>
      <c r="I1331" s="7">
        <v>1132900</v>
      </c>
      <c r="J1331" s="8">
        <v>3.7900000000000003E-2</v>
      </c>
    </row>
    <row r="1332" spans="1:10" x14ac:dyDescent="0.25">
      <c r="A1332" s="5" t="s">
        <v>2690</v>
      </c>
      <c r="B1332" s="5" t="s">
        <v>2703</v>
      </c>
      <c r="C1332" s="6" t="str">
        <f>_xll.QS.CONTEXT.CREATE("market.1330",A1332,"USD","SOFR")</f>
        <v>QSObject:PricingContext:w1~market.1330:19519</v>
      </c>
      <c r="D1332" s="6" t="str">
        <f>_xll.QS.CONTEXT.ADD.CURVE(C1332,"SOFR",$K$2:$K$7,$L$2:$L$7,,,"Actual360","LogLinear",TRUE)</f>
        <v>QSObject:ContextInput:w1~input.qs_context_add_curve.2359132437744.1331.3.0:38915</v>
      </c>
      <c r="E1332" s="6" t="str">
        <f>_xll.QS.INSTRUMENT.SWAP("swap.1330",H1332,B1332,"USD","SOFR",I1332,J1332,0,"Actual360","Simple","Annual","Annual","Annual")</f>
        <v>QSObject:Swap:w1~swap.1330:19518</v>
      </c>
      <c r="F1332" s="6" t="str">
        <f>_xll.QS.TRADE.CREATE("trade.1330",E1332,A1332,"Receive")</f>
        <v>QSObject:SwapTrade:w1~trade.1330:25707</v>
      </c>
      <c r="G1332" s="3">
        <f>_xll.QS.EVALUATE(C1332,F1332)</f>
        <v>31180.263719680446</v>
      </c>
      <c r="H1332" s="5" t="s">
        <v>2704</v>
      </c>
      <c r="I1332" s="7">
        <v>1133000</v>
      </c>
      <c r="J1332" s="8">
        <v>3.8000000000000013E-2</v>
      </c>
    </row>
    <row r="1333" spans="1:10" x14ac:dyDescent="0.25">
      <c r="A1333" s="5" t="s">
        <v>2692</v>
      </c>
      <c r="B1333" s="5" t="s">
        <v>2705</v>
      </c>
      <c r="C1333" s="6" t="str">
        <f>_xll.QS.CONTEXT.CREATE("market.1331",A1333,"USD","SOFR")</f>
        <v>QSObject:PricingContext:w1~market.1331:19517</v>
      </c>
      <c r="D1333" s="6" t="str">
        <f>_xll.QS.CONTEXT.ADD.CURVE(C1333,"SOFR",$K$2:$K$7,$L$2:$L$7,,,"Actual360","LogLinear",TRUE)</f>
        <v>QSObject:ContextInput:w1~input.qs_context_add_curve.2359132437744.1332.3.0:38914</v>
      </c>
      <c r="E1333" s="6" t="str">
        <f>_xll.QS.INSTRUMENT.SWAP("swap.1331",H1333,B1333,"USD","SOFR",I1333,J1333,0,"Actual360","Simple","Annual","Annual","Annual")</f>
        <v>QSObject:Swap:w1~swap.1331:19516</v>
      </c>
      <c r="F1333" s="6" t="str">
        <f>_xll.QS.TRADE.CREATE("trade.1331",E1333,A1333,"Receive")</f>
        <v>QSObject:SwapTrade:w1~trade.1331:29610</v>
      </c>
      <c r="G1333" s="3">
        <f>_xll.QS.EVALUATE(C1333,F1333)</f>
        <v>31733.731861905908</v>
      </c>
      <c r="H1333" s="5" t="s">
        <v>2706</v>
      </c>
      <c r="I1333" s="7">
        <v>1133100</v>
      </c>
      <c r="J1333" s="8">
        <v>3.8100000000000002E-2</v>
      </c>
    </row>
    <row r="1334" spans="1:10" x14ac:dyDescent="0.25">
      <c r="A1334" s="5" t="s">
        <v>2694</v>
      </c>
      <c r="B1334" s="5" t="s">
        <v>2707</v>
      </c>
      <c r="C1334" s="6" t="str">
        <f>_xll.QS.CONTEXT.CREATE("market.1332",A1334,"USD","SOFR")</f>
        <v>QSObject:PricingContext:w1~market.1332:19515</v>
      </c>
      <c r="D1334" s="6" t="str">
        <f>_xll.QS.CONTEXT.ADD.CURVE(C1334,"SOFR",$K$2:$K$7,$L$2:$L$7,,,"Actual360","LogLinear",TRUE)</f>
        <v>QSObject:ContextInput:w1~input.qs_context_add_curve.2359132437744.1333.3.0:38913</v>
      </c>
      <c r="E1334" s="6" t="str">
        <f>_xll.QS.INSTRUMENT.SWAP("swap.1332",H1334,B1334,"USD","SOFR",I1334,J1334,0,"Actual360","Simple","Annual","Annual","Annual")</f>
        <v>QSObject:Swap:w1~swap.1332:19514</v>
      </c>
      <c r="F1334" s="6" t="str">
        <f>_xll.QS.TRADE.CREATE("trade.1332",E1334,A1334,"Receive")</f>
        <v>QSObject:SwapTrade:w1~trade.1332:25706</v>
      </c>
      <c r="G1334" s="3">
        <f>_xll.QS.EVALUATE(C1334,F1334)</f>
        <v>32341.704666430185</v>
      </c>
      <c r="H1334" s="5" t="s">
        <v>2708</v>
      </c>
      <c r="I1334" s="7">
        <v>1133200</v>
      </c>
      <c r="J1334" s="8">
        <v>3.8199999999999998E-2</v>
      </c>
    </row>
    <row r="1335" spans="1:10" x14ac:dyDescent="0.25">
      <c r="A1335" s="5" t="s">
        <v>2696</v>
      </c>
      <c r="B1335" s="5" t="s">
        <v>2709</v>
      </c>
      <c r="C1335" s="6" t="str">
        <f>_xll.QS.CONTEXT.CREATE("market.1333",A1335,"USD","SOFR")</f>
        <v>QSObject:PricingContext:w1~market.1333:19513</v>
      </c>
      <c r="D1335" s="6" t="str">
        <f>_xll.QS.CONTEXT.ADD.CURVE(C1335,"SOFR",$K$2:$K$7,$L$2:$L$7,,,"Actual360","LogLinear",TRUE)</f>
        <v>QSObject:ContextInput:w1~input.qs_context_add_curve.2359132437744.1334.3.0:38912</v>
      </c>
      <c r="E1335" s="6" t="str">
        <f>_xll.QS.INSTRUMENT.SWAP("swap.1333",H1335,B1335,"USD","SOFR",I1335,J1335,0,"Actual360","Simple","Annual","Annual","Annual")</f>
        <v>QSObject:Swap:w1~swap.1333:19512</v>
      </c>
      <c r="F1335" s="6" t="str">
        <f>_xll.QS.TRADE.CREATE("trade.1333",E1335,A1335,"Receive")</f>
        <v>QSObject:SwapTrade:w1~trade.1333:25705</v>
      </c>
      <c r="G1335" s="3">
        <f>_xll.QS.EVALUATE(C1335,F1335)</f>
        <v>32916.579978160153</v>
      </c>
      <c r="H1335" s="5" t="s">
        <v>2710</v>
      </c>
      <c r="I1335" s="7">
        <v>1133300</v>
      </c>
      <c r="J1335" s="8">
        <v>3.8300000000000001E-2</v>
      </c>
    </row>
    <row r="1336" spans="1:10" x14ac:dyDescent="0.25">
      <c r="A1336" s="5" t="s">
        <v>2698</v>
      </c>
      <c r="B1336" s="5" t="s">
        <v>2711</v>
      </c>
      <c r="C1336" s="6" t="str">
        <f>_xll.QS.CONTEXT.CREATE("market.1334",A1336,"USD","SOFR")</f>
        <v>QSObject:PricingContext:w1~market.1334:19511</v>
      </c>
      <c r="D1336" s="6" t="str">
        <f>_xll.QS.CONTEXT.ADD.CURVE(C1336,"SOFR",$K$2:$K$7,$L$2:$L$7,,,"Actual360","LogLinear",TRUE)</f>
        <v>QSObject:ContextInput:w1~input.qs_context_add_curve.2359132437744.1335.3.0:38911</v>
      </c>
      <c r="E1336" s="6" t="str">
        <f>_xll.QS.INSTRUMENT.SWAP("swap.1334",H1336,B1336,"USD","SOFR",I1336,J1336,0,"Actual360","Simple","Annual","Annual","Annual")</f>
        <v>QSObject:Swap:w1~swap.1334:19510</v>
      </c>
      <c r="F1336" s="6" t="str">
        <f>_xll.QS.TRADE.CREATE("trade.1334",E1336,A1336,"Receive")</f>
        <v>QSObject:SwapTrade:w1~trade.1334:22302</v>
      </c>
      <c r="G1336" s="3">
        <f>_xll.QS.EVALUATE(C1336,F1336)</f>
        <v>33398.054212984607</v>
      </c>
      <c r="H1336" s="5" t="s">
        <v>2712</v>
      </c>
      <c r="I1336" s="7">
        <v>1133400</v>
      </c>
      <c r="J1336" s="8">
        <v>3.8399999999999997E-2</v>
      </c>
    </row>
    <row r="1337" spans="1:10" x14ac:dyDescent="0.25">
      <c r="A1337" s="5" t="s">
        <v>2700</v>
      </c>
      <c r="B1337" s="5" t="s">
        <v>2713</v>
      </c>
      <c r="C1337" s="6" t="str">
        <f>_xll.QS.CONTEXT.CREATE("market.1335",A1337,"USD","SOFR")</f>
        <v>QSObject:PricingContext:w1~market.1335:19509</v>
      </c>
      <c r="D1337" s="6" t="str">
        <f>_xll.QS.CONTEXT.ADD.CURVE(C1337,"SOFR",$K$2:$K$7,$L$2:$L$7,,,"Actual360","LogLinear",TRUE)</f>
        <v>QSObject:ContextInput:w1~input.qs_context_add_curve.2359132437744.1336.3.0:38910</v>
      </c>
      <c r="E1337" s="6" t="str">
        <f>_xll.QS.INSTRUMENT.SWAP("swap.1335",H1337,B1337,"USD","SOFR",I1337,J1337,0,"Actual360","Simple","Annual","Annual","Annual")</f>
        <v>QSObject:Swap:w1~swap.1335:19508</v>
      </c>
      <c r="F1337" s="6" t="str">
        <f>_xll.QS.TRADE.CREATE("trade.1335",E1337,A1337,"Receive")</f>
        <v>QSObject:SwapTrade:w1~trade.1335:29609</v>
      </c>
      <c r="G1337" s="3">
        <f>_xll.QS.EVALUATE(C1337,F1337)</f>
        <v>33814.562755773513</v>
      </c>
      <c r="H1337" s="5" t="s">
        <v>2714</v>
      </c>
      <c r="I1337" s="7">
        <v>1133500</v>
      </c>
      <c r="J1337" s="8">
        <v>3.8500000000000013E-2</v>
      </c>
    </row>
    <row r="1338" spans="1:10" x14ac:dyDescent="0.25">
      <c r="A1338" s="5" t="s">
        <v>2702</v>
      </c>
      <c r="B1338" s="5" t="s">
        <v>2715</v>
      </c>
      <c r="C1338" s="6" t="str">
        <f>_xll.QS.CONTEXT.CREATE("market.1336",A1338,"USD","SOFR")</f>
        <v>QSObject:PricingContext:w1~market.1336:19507</v>
      </c>
      <c r="D1338" s="6" t="str">
        <f>_xll.QS.CONTEXT.ADD.CURVE(C1338,"SOFR",$K$2:$K$7,$L$2:$L$7,,,"Actual360","LogLinear",TRUE)</f>
        <v>QSObject:ContextInput:w1~input.qs_context_add_curve.2359132437744.1337.3.0:38909</v>
      </c>
      <c r="E1338" s="6" t="str">
        <f>_xll.QS.INSTRUMENT.SWAP("swap.1336",H1338,B1338,"USD","SOFR",I1338,J1338,0,"Actual360","Simple","Annual","Annual","Annual")</f>
        <v>QSObject:Swap:w1~swap.1336:19506</v>
      </c>
      <c r="F1338" s="6" t="str">
        <f>_xll.QS.TRADE.CREATE("trade.1336",E1338,A1338,"Receive")</f>
        <v>QSObject:SwapTrade:w1~trade.1336:25704</v>
      </c>
      <c r="G1338" s="3">
        <f>_xll.QS.EVALUATE(C1338,F1338)</f>
        <v>34237.827871065732</v>
      </c>
      <c r="H1338" s="5" t="s">
        <v>2716</v>
      </c>
      <c r="I1338" s="7">
        <v>1133600</v>
      </c>
      <c r="J1338" s="8">
        <v>3.8600000000000002E-2</v>
      </c>
    </row>
    <row r="1339" spans="1:10" x14ac:dyDescent="0.25">
      <c r="A1339" s="5" t="s">
        <v>2704</v>
      </c>
      <c r="B1339" s="5" t="s">
        <v>2717</v>
      </c>
      <c r="C1339" s="6" t="str">
        <f>_xll.QS.CONTEXT.CREATE("market.1337",A1339,"USD","SOFR")</f>
        <v>QSObject:PricingContext:w1~market.1337:19505</v>
      </c>
      <c r="D1339" s="6" t="str">
        <f>_xll.QS.CONTEXT.ADD.CURVE(C1339,"SOFR",$K$2:$K$7,$L$2:$L$7,,,"Actual360","LogLinear",TRUE)</f>
        <v>QSObject:ContextInput:w1~input.qs_context_add_curve.2359132437744.1338.3.0:38908</v>
      </c>
      <c r="E1339" s="6" t="str">
        <f>_xll.QS.INSTRUMENT.SWAP("swap.1337",H1339,B1339,"USD","SOFR",I1339,J1339,0,"Actual360","Simple","Annual","Annual","Annual")</f>
        <v>QSObject:Swap:w1~swap.1337:19504</v>
      </c>
      <c r="F1339" s="6" t="str">
        <f>_xll.QS.TRADE.CREATE("trade.1337",E1339,A1339,"Receive")</f>
        <v>QSObject:SwapTrade:w1~trade.1337:24203</v>
      </c>
      <c r="G1339" s="3">
        <f>_xll.QS.EVALUATE(C1339,F1339)</f>
        <v>34813.160069403471</v>
      </c>
      <c r="H1339" s="5" t="s">
        <v>2718</v>
      </c>
      <c r="I1339" s="7">
        <v>1133700</v>
      </c>
      <c r="J1339" s="8">
        <v>3.8700000000000012E-2</v>
      </c>
    </row>
    <row r="1340" spans="1:10" x14ac:dyDescent="0.25">
      <c r="A1340" s="5" t="s">
        <v>2706</v>
      </c>
      <c r="B1340" s="5" t="s">
        <v>2719</v>
      </c>
      <c r="C1340" s="6" t="str">
        <f>_xll.QS.CONTEXT.CREATE("market.1338",A1340,"USD","SOFR")</f>
        <v>QSObject:PricingContext:w1~market.1338:19503</v>
      </c>
      <c r="D1340" s="6" t="str">
        <f>_xll.QS.CONTEXT.ADD.CURVE(C1340,"SOFR",$K$2:$K$7,$L$2:$L$7,,,"Actual360","LogLinear",TRUE)</f>
        <v>QSObject:ContextInput:w1~input.qs_context_add_curve.2359132437744.1339.3.0:38907</v>
      </c>
      <c r="E1340" s="6" t="str">
        <f>_xll.QS.INSTRUMENT.SWAP("swap.1338",H1340,B1340,"USD","SOFR",I1340,J1340,0,"Actual360","Simple","Annual","Annual","Annual")</f>
        <v>QSObject:Swap:w1~swap.1338:19502</v>
      </c>
      <c r="F1340" s="6" t="str">
        <f>_xll.QS.TRADE.CREATE("trade.1338",E1340,A1340,"Receive")</f>
        <v>QSObject:SwapTrade:w1~trade.1338:29608</v>
      </c>
      <c r="G1340" s="3">
        <f>_xll.QS.EVALUATE(C1340,F1340)</f>
        <v>35387.774331856526</v>
      </c>
      <c r="H1340" s="5" t="s">
        <v>2720</v>
      </c>
      <c r="I1340" s="7">
        <v>1133800</v>
      </c>
      <c r="J1340" s="8">
        <v>3.8800000000000001E-2</v>
      </c>
    </row>
    <row r="1341" spans="1:10" x14ac:dyDescent="0.25">
      <c r="A1341" s="5" t="s">
        <v>2708</v>
      </c>
      <c r="B1341" s="5" t="s">
        <v>2721</v>
      </c>
      <c r="C1341" s="6" t="str">
        <f>_xll.QS.CONTEXT.CREATE("market.1339",A1341,"USD","SOFR")</f>
        <v>QSObject:PricingContext:w1~market.1339:19501</v>
      </c>
      <c r="D1341" s="6" t="str">
        <f>_xll.QS.CONTEXT.ADD.CURVE(C1341,"SOFR",$K$2:$K$7,$L$2:$L$7,,,"Actual360","LogLinear",TRUE)</f>
        <v>QSObject:ContextInput:w1~input.qs_context_add_curve.2359132437744.1340.3.0:38906</v>
      </c>
      <c r="E1341" s="6" t="str">
        <f>_xll.QS.INSTRUMENT.SWAP("swap.1339",H1341,B1341,"USD","SOFR",I1341,J1341,0,"Actual360","Simple","Annual","Annual","Annual")</f>
        <v>QSObject:Swap:w1~swap.1339:19500</v>
      </c>
      <c r="F1341" s="6" t="str">
        <f>_xll.QS.TRADE.CREATE("trade.1339",E1341,A1341,"Receive")</f>
        <v>QSObject:SwapTrade:w1~trade.1339:24202</v>
      </c>
      <c r="G1341" s="3">
        <f>_xll.QS.EVALUATE(C1341,F1341)</f>
        <v>36064.067905511562</v>
      </c>
      <c r="H1341" s="5" t="s">
        <v>2722</v>
      </c>
      <c r="I1341" s="7">
        <v>1133900</v>
      </c>
      <c r="J1341" s="8">
        <v>3.8899999999999997E-2</v>
      </c>
    </row>
    <row r="1342" spans="1:10" x14ac:dyDescent="0.25">
      <c r="A1342" s="5" t="s">
        <v>2710</v>
      </c>
      <c r="B1342" s="5" t="s">
        <v>2723</v>
      </c>
      <c r="C1342" s="6" t="str">
        <f>_xll.QS.CONTEXT.CREATE("market.1340",A1342,"USD","SOFR")</f>
        <v>QSObject:PricingContext:w1~market.1340:19499</v>
      </c>
      <c r="D1342" s="6" t="str">
        <f>_xll.QS.CONTEXT.ADD.CURVE(C1342,"SOFR",$K$2:$K$7,$L$2:$L$7,,,"Actual360","LogLinear",TRUE)</f>
        <v>QSObject:ContextInput:w1~input.qs_context_add_curve.2359132437744.1341.3.0:38905</v>
      </c>
      <c r="E1342" s="6" t="str">
        <f>_xll.QS.INSTRUMENT.SWAP("swap.1340",H1342,B1342,"USD","SOFR",I1342,J1342,0,"Actual360","Simple","Annual","Annual","Annual")</f>
        <v>QSObject:Swap:w1~swap.1340:19498</v>
      </c>
      <c r="F1342" s="6" t="str">
        <f>_xll.QS.TRADE.CREATE("trade.1340",E1342,A1342,"Receive")</f>
        <v>QSObject:SwapTrade:w1~trade.1340:25017</v>
      </c>
      <c r="G1342" s="3">
        <f>_xll.QS.EVALUATE(C1342,F1342)</f>
        <v>36600.603443311462</v>
      </c>
      <c r="H1342" s="5" t="s">
        <v>2724</v>
      </c>
      <c r="I1342" s="7">
        <v>1134000</v>
      </c>
      <c r="J1342" s="8">
        <v>3.9000000000000007E-2</v>
      </c>
    </row>
    <row r="1343" spans="1:10" x14ac:dyDescent="0.25">
      <c r="A1343" s="5" t="s">
        <v>2712</v>
      </c>
      <c r="B1343" s="5" t="s">
        <v>2725</v>
      </c>
      <c r="C1343" s="6" t="str">
        <f>_xll.QS.CONTEXT.CREATE("market.1341",A1343,"USD","SOFR")</f>
        <v>QSObject:PricingContext:w1~market.1341:19497</v>
      </c>
      <c r="D1343" s="6" t="str">
        <f>_xll.QS.CONTEXT.ADD.CURVE(C1343,"SOFR",$K$2:$K$7,$L$2:$L$7,,,"Actual360","LogLinear",TRUE)</f>
        <v>QSObject:ContextInput:w1~input.qs_context_add_curve.2359132437744.1342.3.0:38904</v>
      </c>
      <c r="E1343" s="6" t="str">
        <f>_xll.QS.INSTRUMENT.SWAP("swap.1341",H1343,B1343,"USD","SOFR",I1343,J1343,0,"Actual360","Simple","Annual","Annual","Annual")</f>
        <v>QSObject:Swap:w1~swap.1341:19496</v>
      </c>
      <c r="F1343" s="6" t="str">
        <f>_xll.QS.TRADE.CREATE("trade.1341",E1343,A1343,"Receive")</f>
        <v>QSObject:SwapTrade:w1~trade.1341:28282</v>
      </c>
      <c r="G1343" s="3">
        <f>_xll.QS.EVALUATE(C1343,F1343)</f>
        <v>37126.035407727628</v>
      </c>
      <c r="H1343" s="5" t="s">
        <v>2726</v>
      </c>
      <c r="I1343" s="7">
        <v>1134100</v>
      </c>
      <c r="J1343" s="8">
        <v>3.9100000000000003E-2</v>
      </c>
    </row>
    <row r="1344" spans="1:10" x14ac:dyDescent="0.25">
      <c r="A1344" s="5" t="s">
        <v>2714</v>
      </c>
      <c r="B1344" s="5" t="s">
        <v>2727</v>
      </c>
      <c r="C1344" s="6" t="str">
        <f>_xll.QS.CONTEXT.CREATE("market.1342",A1344,"USD","SOFR")</f>
        <v>QSObject:PricingContext:w1~market.1342:19495</v>
      </c>
      <c r="D1344" s="6" t="str">
        <f>_xll.QS.CONTEXT.ADD.CURVE(C1344,"SOFR",$K$2:$K$7,$L$2:$L$7,,,"Actual360","LogLinear",TRUE)</f>
        <v>QSObject:ContextInput:w1~input.qs_context_add_curve.2359132437744.1343.3.0:38903</v>
      </c>
      <c r="E1344" s="6" t="str">
        <f>_xll.QS.INSTRUMENT.SWAP("swap.1342",H1344,B1344,"USD","SOFR",I1344,J1344,0,"Actual360","Simple","Annual","Annual","Annual")</f>
        <v>QSObject:Swap:w1~swap.1342:19494</v>
      </c>
      <c r="F1344" s="6" t="str">
        <f>_xll.QS.TRADE.CREATE("trade.1342",E1344,A1344,"Receive")</f>
        <v>QSObject:SwapTrade:w1~trade.1342:22301</v>
      </c>
      <c r="G1344" s="3">
        <f>_xll.QS.EVALUATE(C1344,F1344)</f>
        <v>37560.22512396716</v>
      </c>
      <c r="H1344" s="5" t="s">
        <v>2728</v>
      </c>
      <c r="I1344" s="7">
        <v>1134200</v>
      </c>
      <c r="J1344" s="8">
        <v>3.9200000000000013E-2</v>
      </c>
    </row>
    <row r="1345" spans="1:10" x14ac:dyDescent="0.25">
      <c r="A1345" s="5" t="s">
        <v>2716</v>
      </c>
      <c r="B1345" s="5" t="s">
        <v>2729</v>
      </c>
      <c r="C1345" s="6" t="str">
        <f>_xll.QS.CONTEXT.CREATE("market.1343",A1345,"USD","SOFR")</f>
        <v>QSObject:PricingContext:w1~market.1343:19493</v>
      </c>
      <c r="D1345" s="6" t="str">
        <f>_xll.QS.CONTEXT.ADD.CURVE(C1345,"SOFR",$K$2:$K$7,$L$2:$L$7,,,"Actual360","LogLinear",TRUE)</f>
        <v>QSObject:ContextInput:w1~input.qs_context_add_curve.2359132437744.1344.3.0:38902</v>
      </c>
      <c r="E1345" s="6" t="str">
        <f>_xll.QS.INSTRUMENT.SWAP("swap.1343",H1345,B1345,"USD","SOFR",I1345,J1345,0,"Actual360","Simple","Annual","Annual","Annual")</f>
        <v>QSObject:Swap:w1~swap.1343:19492</v>
      </c>
      <c r="F1345" s="6" t="str">
        <f>_xll.QS.TRADE.CREATE("trade.1343",E1345,A1345,"Receive")</f>
        <v>QSObject:SwapTrade:w1~trade.1343:27630</v>
      </c>
      <c r="G1345" s="3">
        <f>_xll.QS.EVALUATE(C1345,F1345)</f>
        <v>38016.103932312384</v>
      </c>
      <c r="H1345" s="5" t="s">
        <v>2730</v>
      </c>
      <c r="I1345" s="7">
        <v>1134300</v>
      </c>
      <c r="J1345" s="8">
        <v>3.9300000000000002E-2</v>
      </c>
    </row>
    <row r="1346" spans="1:10" x14ac:dyDescent="0.25">
      <c r="A1346" s="5" t="s">
        <v>2718</v>
      </c>
      <c r="B1346" s="5" t="s">
        <v>2731</v>
      </c>
      <c r="C1346" s="6" t="str">
        <f>_xll.QS.CONTEXT.CREATE("market.1344",A1346,"USD","SOFR")</f>
        <v>QSObject:PricingContext:w1~market.1344:19491</v>
      </c>
      <c r="D1346" s="6" t="str">
        <f>_xll.QS.CONTEXT.ADD.CURVE(C1346,"SOFR",$K$2:$K$7,$L$2:$L$7,,,"Actual360","LogLinear",TRUE)</f>
        <v>QSObject:ContextInput:w1~input.qs_context_add_curve.2359132437744.1345.3.0:38901</v>
      </c>
      <c r="E1346" s="6" t="str">
        <f>_xll.QS.INSTRUMENT.SWAP("swap.1344",H1346,B1346,"USD","SOFR",I1346,J1346,0,"Actual360","Simple","Annual","Annual","Annual")</f>
        <v>QSObject:Swap:w1~swap.1344:19490</v>
      </c>
      <c r="F1346" s="6" t="str">
        <f>_xll.QS.TRADE.CREATE("trade.1344",E1346,A1346,"Receive")</f>
        <v>QSObject:SwapTrade:w1~trade.1344:22952</v>
      </c>
      <c r="G1346" s="3">
        <f>_xll.QS.EVALUATE(C1346,F1346)</f>
        <v>38545.749263011647</v>
      </c>
      <c r="H1346" s="5" t="s">
        <v>2732</v>
      </c>
      <c r="I1346" s="7">
        <v>1134400</v>
      </c>
      <c r="J1346" s="8">
        <v>3.9399999999999998E-2</v>
      </c>
    </row>
    <row r="1347" spans="1:10" x14ac:dyDescent="0.25">
      <c r="A1347" s="5" t="s">
        <v>2720</v>
      </c>
      <c r="B1347" s="5" t="s">
        <v>2733</v>
      </c>
      <c r="C1347" s="6" t="str">
        <f>_xll.QS.CONTEXT.CREATE("market.1345",A1347,"USD","SOFR")</f>
        <v>QSObject:PricingContext:w1~market.1345:19489</v>
      </c>
      <c r="D1347" s="6" t="str">
        <f>_xll.QS.CONTEXT.ADD.CURVE(C1347,"SOFR",$K$2:$K$7,$L$2:$L$7,,,"Actual360","LogLinear",TRUE)</f>
        <v>QSObject:ContextInput:w1~input.qs_context_add_curve.2359132437744.1346.3.0:38900</v>
      </c>
      <c r="E1347" s="6" t="str">
        <f>_xll.QS.INSTRUMENT.SWAP("swap.1345",H1347,B1347,"USD","SOFR",I1347,J1347,0,"Actual360","Simple","Annual","Annual","Annual")</f>
        <v>QSObject:Swap:w1~swap.1345:19488</v>
      </c>
      <c r="F1347" s="6" t="str">
        <f>_xll.QS.TRADE.CREATE("trade.1345",E1347,A1347,"Receive")</f>
        <v>QSObject:SwapTrade:w1~trade.1345:29607</v>
      </c>
      <c r="G1347" s="3">
        <f>_xll.QS.EVALUATE(C1347,F1347)</f>
        <v>39096.77780491981</v>
      </c>
      <c r="H1347" s="5" t="s">
        <v>2734</v>
      </c>
      <c r="I1347" s="7">
        <v>1134500</v>
      </c>
      <c r="J1347" s="8">
        <v>3.9500000000000007E-2</v>
      </c>
    </row>
    <row r="1348" spans="1:10" x14ac:dyDescent="0.25">
      <c r="A1348" s="5" t="s">
        <v>2722</v>
      </c>
      <c r="B1348" s="5" t="s">
        <v>2735</v>
      </c>
      <c r="C1348" s="6" t="str">
        <f>_xll.QS.CONTEXT.CREATE("market.1346",A1348,"USD","SOFR")</f>
        <v>QSObject:PricingContext:w1~market.1346:19487</v>
      </c>
      <c r="D1348" s="6" t="str">
        <f>_xll.QS.CONTEXT.ADD.CURVE(C1348,"SOFR",$K$2:$K$7,$L$2:$L$7,,,"Actual360","LogLinear",TRUE)</f>
        <v>QSObject:ContextInput:w1~input.qs_context_add_curve.2359132437744.1347.3.0:38899</v>
      </c>
      <c r="E1348" s="6" t="str">
        <f>_xll.QS.INSTRUMENT.SWAP("swap.1346",H1348,B1348,"USD","SOFR",I1348,J1348,0,"Actual360","Simple","Annual","Annual","Annual")</f>
        <v>QSObject:Swap:w1~swap.1346:19486</v>
      </c>
      <c r="F1348" s="6" t="str">
        <f>_xll.QS.TRADE.CREATE("trade.1346",E1348,A1348,"Receive")</f>
        <v>QSObject:SwapTrade:w1~trade.1346:31121</v>
      </c>
      <c r="G1348" s="3">
        <f>_xll.QS.EVALUATE(C1348,F1348)</f>
        <v>39706.708213369508</v>
      </c>
      <c r="H1348" s="5" t="s">
        <v>2736</v>
      </c>
      <c r="I1348" s="7">
        <v>1134600</v>
      </c>
      <c r="J1348" s="8">
        <v>3.9600000000000003E-2</v>
      </c>
    </row>
    <row r="1349" spans="1:10" x14ac:dyDescent="0.25">
      <c r="A1349" s="5" t="s">
        <v>2724</v>
      </c>
      <c r="B1349" s="5" t="s">
        <v>2737</v>
      </c>
      <c r="C1349" s="6" t="str">
        <f>_xll.QS.CONTEXT.CREATE("market.1347",A1349,"USD","SOFR")</f>
        <v>QSObject:PricingContext:w1~market.1347:19485</v>
      </c>
      <c r="D1349" s="6" t="str">
        <f>_xll.QS.CONTEXT.ADD.CURVE(C1349,"SOFR",$K$2:$K$7,$L$2:$L$7,,,"Actual360","LogLinear",TRUE)</f>
        <v>QSObject:ContextInput:w1~input.qs_context_add_curve.2359132437744.1348.3.0:38898</v>
      </c>
      <c r="E1349" s="6" t="str">
        <f>_xll.QS.INSTRUMENT.SWAP("swap.1347",H1349,B1349,"USD","SOFR",I1349,J1349,0,"Actual360","Simple","Annual","Annual","Annual")</f>
        <v>QSObject:Swap:w1~swap.1347:19484</v>
      </c>
      <c r="F1349" s="6" t="str">
        <f>_xll.QS.TRADE.CREATE("trade.1347",E1349,A1349,"Receive")</f>
        <v>QSObject:SwapTrade:w1~trade.1347:31120</v>
      </c>
      <c r="G1349" s="3">
        <f>_xll.QS.EVALUATE(C1349,F1349)</f>
        <v>40283.164654971173</v>
      </c>
      <c r="H1349" s="5" t="s">
        <v>2738</v>
      </c>
      <c r="I1349" s="7">
        <v>1134700</v>
      </c>
      <c r="J1349" s="8">
        <v>3.9700000000000013E-2</v>
      </c>
    </row>
    <row r="1350" spans="1:10" x14ac:dyDescent="0.25">
      <c r="A1350" s="5" t="s">
        <v>2726</v>
      </c>
      <c r="B1350" s="5" t="s">
        <v>2739</v>
      </c>
      <c r="C1350" s="6" t="str">
        <f>_xll.QS.CONTEXT.CREATE("market.1348",A1350,"USD","SOFR")</f>
        <v>QSObject:PricingContext:w1~market.1348:19483</v>
      </c>
      <c r="D1350" s="6" t="str">
        <f>_xll.QS.CONTEXT.ADD.CURVE(C1350,"SOFR",$K$2:$K$7,$L$2:$L$7,,,"Actual360","LogLinear",TRUE)</f>
        <v>QSObject:ContextInput:w1~input.qs_context_add_curve.2359132437744.1349.3.0:38897</v>
      </c>
      <c r="E1350" s="6" t="str">
        <f>_xll.QS.INSTRUMENT.SWAP("swap.1348",H1350,B1350,"USD","SOFR",I1350,J1350,0,"Actual360","Simple","Annual","Annual","Annual")</f>
        <v>QSObject:Swap:w1~swap.1348:19482</v>
      </c>
      <c r="F1350" s="6" t="str">
        <f>_xll.QS.TRADE.CREATE("trade.1348",E1350,A1350,"Receive")</f>
        <v>QSObject:SwapTrade:w1~trade.1348:30281</v>
      </c>
      <c r="G1350" s="3">
        <f>_xll.QS.EVALUATE(C1350,F1350)</f>
        <v>40766.243045725852</v>
      </c>
      <c r="H1350" s="5" t="s">
        <v>2740</v>
      </c>
      <c r="I1350" s="7">
        <v>1134800</v>
      </c>
      <c r="J1350" s="8">
        <v>3.9800000000000002E-2</v>
      </c>
    </row>
    <row r="1351" spans="1:10" x14ac:dyDescent="0.25">
      <c r="A1351" s="5" t="s">
        <v>2728</v>
      </c>
      <c r="B1351" s="5" t="s">
        <v>2741</v>
      </c>
      <c r="C1351" s="6" t="str">
        <f>_xll.QS.CONTEXT.CREATE("market.1349",A1351,"USD","SOFR")</f>
        <v>QSObject:PricingContext:w1~market.1349:19481</v>
      </c>
      <c r="D1351" s="6" t="str">
        <f>_xll.QS.CONTEXT.ADD.CURVE(C1351,"SOFR",$K$2:$K$7,$L$2:$L$7,,,"Actual360","LogLinear",TRUE)</f>
        <v>QSObject:ContextInput:w1~input.qs_context_add_curve.2359132437744.1350.3.0:38896</v>
      </c>
      <c r="E1351" s="6" t="str">
        <f>_xll.QS.INSTRUMENT.SWAP("swap.1349",H1351,B1351,"USD","SOFR",I1351,J1351,0,"Actual360","Simple","Annual","Annual","Annual")</f>
        <v>QSObject:Swap:w1~swap.1349:19480</v>
      </c>
      <c r="F1351" s="6" t="str">
        <f>_xll.QS.TRADE.CREATE("trade.1349",E1351,A1351,"Receive")</f>
        <v>QSObject:SwapTrade:w1~trade.1349:29606</v>
      </c>
      <c r="G1351" s="3">
        <f>_xll.QS.EVALUATE(C1351,F1351)</f>
        <v>41196.713931614533</v>
      </c>
      <c r="H1351" s="5" t="s">
        <v>2742</v>
      </c>
      <c r="I1351" s="7">
        <v>1134900</v>
      </c>
      <c r="J1351" s="8">
        <v>3.9899999999999998E-2</v>
      </c>
    </row>
    <row r="1352" spans="1:10" x14ac:dyDescent="0.25">
      <c r="A1352" s="5" t="s">
        <v>2730</v>
      </c>
      <c r="B1352" s="5" t="s">
        <v>2743</v>
      </c>
      <c r="C1352" s="6" t="str">
        <f>_xll.QS.CONTEXT.CREATE("market.1350",A1352,"USD","SOFR")</f>
        <v>QSObject:PricingContext:w1~market.1350:19479</v>
      </c>
      <c r="D1352" s="6" t="str">
        <f>_xll.QS.CONTEXT.ADD.CURVE(C1352,"SOFR",$K$2:$K$7,$L$2:$L$7,,,"Actual360","LogLinear",TRUE)</f>
        <v>QSObject:ContextInput:w1~input.qs_context_add_curve.2359132437744.1351.3.0:38895</v>
      </c>
      <c r="E1352" s="6" t="str">
        <f>_xll.QS.INSTRUMENT.SWAP("swap.1350",H1352,B1352,"USD","SOFR",I1352,J1352,0,"Actual360","Simple","Annual","Annual","Annual")</f>
        <v>QSObject:Swap:w1~swap.1350:19478</v>
      </c>
      <c r="F1352" s="6" t="str">
        <f>_xll.QS.TRADE.CREATE("trade.1350",E1352,A1352,"Receive")</f>
        <v>QSObject:SwapTrade:w1~trade.1350:30389</v>
      </c>
      <c r="G1352" s="3">
        <f>_xll.QS.EVALUATE(C1352,F1352)</f>
        <v>15479.62104202979</v>
      </c>
      <c r="H1352" s="5" t="s">
        <v>2744</v>
      </c>
      <c r="I1352" s="7">
        <v>1135000</v>
      </c>
      <c r="J1352" s="8">
        <v>3.5000000000000003E-2</v>
      </c>
    </row>
    <row r="1353" spans="1:10" x14ac:dyDescent="0.25">
      <c r="A1353" s="5" t="s">
        <v>2732</v>
      </c>
      <c r="B1353" s="5" t="s">
        <v>2745</v>
      </c>
      <c r="C1353" s="6" t="str">
        <f>_xll.QS.CONTEXT.CREATE("market.1351",A1353,"USD","SOFR")</f>
        <v>QSObject:PricingContext:w1~market.1351:19477</v>
      </c>
      <c r="D1353" s="6" t="str">
        <f>_xll.QS.CONTEXT.ADD.CURVE(C1353,"SOFR",$K$2:$K$7,$L$2:$L$7,,,"Actual360","LogLinear",TRUE)</f>
        <v>QSObject:ContextInput:w1~input.qs_context_add_curve.2359132437744.1352.3.0:38894</v>
      </c>
      <c r="E1353" s="6" t="str">
        <f>_xll.QS.INSTRUMENT.SWAP("swap.1351",H1353,B1353,"USD","SOFR",I1353,J1353,0,"Actual360","Simple","Annual","Annual","Annual")</f>
        <v>QSObject:Swap:w1~swap.1351:19476</v>
      </c>
      <c r="F1353" s="6" t="str">
        <f>_xll.QS.TRADE.CREATE("trade.1351",E1353,A1353,"Receive")</f>
        <v>QSObject:SwapTrade:w1~trade.1351:28281</v>
      </c>
      <c r="G1353" s="3">
        <f>_xll.QS.EVALUATE(C1353,F1353)</f>
        <v>16051.087490534275</v>
      </c>
      <c r="H1353" s="5" t="s">
        <v>2746</v>
      </c>
      <c r="I1353" s="7">
        <v>1135100</v>
      </c>
      <c r="J1353" s="8">
        <v>3.5100000000000013E-2</v>
      </c>
    </row>
    <row r="1354" spans="1:10" x14ac:dyDescent="0.25">
      <c r="A1354" s="5" t="s">
        <v>2734</v>
      </c>
      <c r="B1354" s="5" t="s">
        <v>2747</v>
      </c>
      <c r="C1354" s="6" t="str">
        <f>_xll.QS.CONTEXT.CREATE("market.1352",A1354,"USD","SOFR")</f>
        <v>QSObject:PricingContext:w1~market.1352:19475</v>
      </c>
      <c r="D1354" s="6" t="str">
        <f>_xll.QS.CONTEXT.ADD.CURVE(C1354,"SOFR",$K$2:$K$7,$L$2:$L$7,,,"Actual360","LogLinear",TRUE)</f>
        <v>QSObject:ContextInput:w1~input.qs_context_add_curve.2359132437744.1353.3.0:38893</v>
      </c>
      <c r="E1354" s="6" t="str">
        <f>_xll.QS.INSTRUMENT.SWAP("swap.1352",H1354,B1354,"USD","SOFR",I1354,J1354,0,"Actual360","Simple","Annual","Annual","Annual")</f>
        <v>QSObject:Swap:w1~swap.1352:19474</v>
      </c>
      <c r="F1354" s="6" t="str">
        <f>_xll.QS.TRADE.CREATE("trade.1352",E1354,A1354,"Receive")</f>
        <v>QSObject:SwapTrade:w1~trade.1352:28280</v>
      </c>
      <c r="G1354" s="3">
        <f>_xll.QS.EVALUATE(C1354,F1354)</f>
        <v>16611.407493928695</v>
      </c>
      <c r="H1354" s="5" t="s">
        <v>2748</v>
      </c>
      <c r="I1354" s="7">
        <v>1135200</v>
      </c>
      <c r="J1354" s="8">
        <v>3.5200000000000002E-2</v>
      </c>
    </row>
    <row r="1355" spans="1:10" x14ac:dyDescent="0.25">
      <c r="A1355" s="5" t="s">
        <v>2736</v>
      </c>
      <c r="B1355" s="5" t="s">
        <v>2749</v>
      </c>
      <c r="C1355" s="6" t="str">
        <f>_xll.QS.CONTEXT.CREATE("market.1353",A1355,"USD","SOFR")</f>
        <v>QSObject:PricingContext:w1~market.1353:19473</v>
      </c>
      <c r="D1355" s="6" t="str">
        <f>_xll.QS.CONTEXT.ADD.CURVE(C1355,"SOFR",$K$2:$K$7,$L$2:$L$7,,,"Actual360","LogLinear",TRUE)</f>
        <v>QSObject:ContextInput:w1~input.qs_context_add_curve.2359132437744.1354.3.0:38892</v>
      </c>
      <c r="E1355" s="6" t="str">
        <f>_xll.QS.INSTRUMENT.SWAP("swap.1353",H1355,B1355,"USD","SOFR",I1355,J1355,0,"Actual360","Simple","Annual","Annual","Annual")</f>
        <v>QSObject:Swap:w1~swap.1353:19472</v>
      </c>
      <c r="F1355" s="6" t="str">
        <f>_xll.QS.TRADE.CREATE("trade.1353",E1355,A1355,"Receive")</f>
        <v>QSObject:SwapTrade:w1~trade.1353:26507</v>
      </c>
      <c r="G1355" s="3">
        <f>_xll.QS.EVALUATE(C1355,F1355)</f>
        <v>17219.372971336255</v>
      </c>
      <c r="H1355" s="5" t="s">
        <v>2750</v>
      </c>
      <c r="I1355" s="7">
        <v>1135300</v>
      </c>
      <c r="J1355" s="8">
        <v>3.5299999999999998E-2</v>
      </c>
    </row>
    <row r="1356" spans="1:10" x14ac:dyDescent="0.25">
      <c r="A1356" s="5" t="s">
        <v>2738</v>
      </c>
      <c r="B1356" s="5" t="s">
        <v>2751</v>
      </c>
      <c r="C1356" s="6" t="str">
        <f>_xll.QS.CONTEXT.CREATE("market.1354",A1356,"USD","SOFR")</f>
        <v>QSObject:PricingContext:w1~market.1354:19471</v>
      </c>
      <c r="D1356" s="6" t="str">
        <f>_xll.QS.CONTEXT.ADD.CURVE(C1356,"SOFR",$K$2:$K$7,$L$2:$L$7,,,"Actual360","LogLinear",TRUE)</f>
        <v>QSObject:ContextInput:w1~input.qs_context_add_curve.2359132437744.1355.3.0:38891</v>
      </c>
      <c r="E1356" s="6" t="str">
        <f>_xll.QS.INSTRUMENT.SWAP("swap.1354",H1356,B1356,"USD","SOFR",I1356,J1356,0,"Actual360","Simple","Annual","Annual","Annual")</f>
        <v>QSObject:Swap:w1~swap.1354:19470</v>
      </c>
      <c r="F1356" s="6" t="str">
        <f>_xll.QS.TRADE.CREATE("trade.1354",E1356,A1356,"Receive")</f>
        <v>QSObject:SwapTrade:w1~trade.1354:29605</v>
      </c>
      <c r="G1356" s="3">
        <f>_xll.QS.EVALUATE(C1356,F1356)</f>
        <v>17793.94154209541</v>
      </c>
      <c r="H1356" s="5" t="s">
        <v>2752</v>
      </c>
      <c r="I1356" s="7">
        <v>1135400</v>
      </c>
      <c r="J1356" s="8">
        <v>3.5400000000000001E-2</v>
      </c>
    </row>
    <row r="1357" spans="1:10" x14ac:dyDescent="0.25">
      <c r="A1357" s="5" t="s">
        <v>2740</v>
      </c>
      <c r="B1357" s="5" t="s">
        <v>2753</v>
      </c>
      <c r="C1357" s="6" t="str">
        <f>_xll.QS.CONTEXT.CREATE("market.1355",A1357,"USD","SOFR")</f>
        <v>QSObject:PricingContext:w1~market.1355:19469</v>
      </c>
      <c r="D1357" s="6" t="str">
        <f>_xll.QS.CONTEXT.ADD.CURVE(C1357,"SOFR",$K$2:$K$7,$L$2:$L$7,,,"Actual360","LogLinear",TRUE)</f>
        <v>QSObject:ContextInput:w1~input.qs_context_add_curve.2359132437744.1356.3.0:38890</v>
      </c>
      <c r="E1357" s="6" t="str">
        <f>_xll.QS.INSTRUMENT.SWAP("swap.1355",H1357,B1357,"USD","SOFR",I1357,J1357,0,"Actual360","Simple","Annual","Annual","Annual")</f>
        <v>QSObject:Swap:w1~swap.1355:19468</v>
      </c>
      <c r="F1357" s="6" t="str">
        <f>_xll.QS.TRADE.CREATE("trade.1355",E1357,A1357,"Receive")</f>
        <v>QSObject:SwapTrade:w1~trade.1355:29604</v>
      </c>
      <c r="G1357" s="3">
        <f>_xll.QS.EVALUATE(C1357,F1357)</f>
        <v>18275.580160641071</v>
      </c>
      <c r="H1357" s="5" t="s">
        <v>2754</v>
      </c>
      <c r="I1357" s="7">
        <v>1135500</v>
      </c>
      <c r="J1357" s="8">
        <v>3.5499999999999997E-2</v>
      </c>
    </row>
    <row r="1358" spans="1:10" x14ac:dyDescent="0.25">
      <c r="A1358" s="5" t="s">
        <v>2742</v>
      </c>
      <c r="B1358" s="5" t="s">
        <v>2755</v>
      </c>
      <c r="C1358" s="6" t="str">
        <f>_xll.QS.CONTEXT.CREATE("market.1356",A1358,"USD","SOFR")</f>
        <v>QSObject:PricingContext:w1~market.1356:19467</v>
      </c>
      <c r="D1358" s="6" t="str">
        <f>_xll.QS.CONTEXT.ADD.CURVE(C1358,"SOFR",$K$2:$K$7,$L$2:$L$7,,,"Actual360","LogLinear",TRUE)</f>
        <v>QSObject:ContextInput:w1~input.qs_context_add_curve.2359132437744.1357.3.0:38889</v>
      </c>
      <c r="E1358" s="6" t="str">
        <f>_xll.QS.INSTRUMENT.SWAP("swap.1356",H1358,B1358,"USD","SOFR",I1358,J1358,0,"Actual360","Simple","Annual","Annual","Annual")</f>
        <v>QSObject:Swap:w1~swap.1356:19466</v>
      </c>
      <c r="F1358" s="6" t="str">
        <f>_xll.QS.TRADE.CREATE("trade.1356",E1358,A1358,"Receive")</f>
        <v>QSObject:SwapTrade:w1~trade.1356:26506</v>
      </c>
      <c r="G1358" s="3">
        <f>_xll.QS.EVALUATE(C1358,F1358)</f>
        <v>18730.849636926043</v>
      </c>
      <c r="H1358" s="5" t="s">
        <v>2756</v>
      </c>
      <c r="I1358" s="7">
        <v>1135600</v>
      </c>
      <c r="J1358" s="8">
        <v>3.5600000000000007E-2</v>
      </c>
    </row>
    <row r="1359" spans="1:10" x14ac:dyDescent="0.25">
      <c r="A1359" s="5" t="s">
        <v>2744</v>
      </c>
      <c r="B1359" s="5" t="s">
        <v>2757</v>
      </c>
      <c r="C1359" s="6" t="str">
        <f>_xll.QS.CONTEXT.CREATE("market.1357",A1359,"USD","SOFR")</f>
        <v>QSObject:PricingContext:w1~market.1357:19465</v>
      </c>
      <c r="D1359" s="6" t="str">
        <f>_xll.QS.CONTEXT.ADD.CURVE(C1359,"SOFR",$K$2:$K$7,$L$2:$L$7,,,"Actual360","LogLinear",TRUE)</f>
        <v>QSObject:ContextInput:w1~input.qs_context_add_curve.2359132437744.1358.3.0:38888</v>
      </c>
      <c r="E1359" s="6" t="str">
        <f>_xll.QS.INSTRUMENT.SWAP("swap.1357",H1359,B1359,"USD","SOFR",I1359,J1359,0,"Actual360","Simple","Annual","Annual","Annual")</f>
        <v>QSObject:Swap:w1~swap.1357:19464</v>
      </c>
      <c r="F1359" s="6" t="str">
        <f>_xll.QS.TRADE.CREATE("trade.1357",E1359,A1359,"Receive")</f>
        <v>QSObject:SwapTrade:w1~trade.1357:31119</v>
      </c>
      <c r="G1359" s="3">
        <f>_xll.QS.EVALUATE(C1359,F1359)</f>
        <v>19156.544097441492</v>
      </c>
      <c r="H1359" s="5" t="s">
        <v>2758</v>
      </c>
      <c r="I1359" s="7">
        <v>1135700</v>
      </c>
      <c r="J1359" s="8">
        <v>3.5700000000000003E-2</v>
      </c>
    </row>
    <row r="1360" spans="1:10" x14ac:dyDescent="0.25">
      <c r="A1360" s="5" t="s">
        <v>2746</v>
      </c>
      <c r="B1360" s="5" t="s">
        <v>2759</v>
      </c>
      <c r="C1360" s="6" t="str">
        <f>_xll.QS.CONTEXT.CREATE("market.1358",A1360,"USD","SOFR")</f>
        <v>QSObject:PricingContext:w1~market.1358:19463</v>
      </c>
      <c r="D1360" s="6" t="str">
        <f>_xll.QS.CONTEXT.ADD.CURVE(C1360,"SOFR",$K$2:$K$7,$L$2:$L$7,,,"Actual360","LogLinear",TRUE)</f>
        <v>QSObject:ContextInput:w1~input.qs_context_add_curve.2359132437744.1359.3.0:38887</v>
      </c>
      <c r="E1360" s="6" t="str">
        <f>_xll.QS.INSTRUMENT.SWAP("swap.1358",H1360,B1360,"USD","SOFR",I1360,J1360,0,"Actual360","Simple","Annual","Annual","Annual")</f>
        <v>QSObject:Swap:w1~swap.1358:19462</v>
      </c>
      <c r="F1360" s="6" t="str">
        <f>_xll.QS.TRADE.CREATE("trade.1358",E1360,A1360,"Receive")</f>
        <v>QSObject:SwapTrade:w1~trade.1358:31118</v>
      </c>
      <c r="G1360" s="3">
        <f>_xll.QS.EVALUATE(C1360,F1360)</f>
        <v>19729.04031691936</v>
      </c>
      <c r="H1360" s="5" t="s">
        <v>2760</v>
      </c>
      <c r="I1360" s="7">
        <v>1135800</v>
      </c>
      <c r="J1360" s="8">
        <v>3.5800000000000012E-2</v>
      </c>
    </row>
    <row r="1361" spans="1:10" x14ac:dyDescent="0.25">
      <c r="A1361" s="5" t="s">
        <v>2748</v>
      </c>
      <c r="B1361" s="5" t="s">
        <v>2761</v>
      </c>
      <c r="C1361" s="6" t="str">
        <f>_xll.QS.CONTEXT.CREATE("market.1359",A1361,"USD","SOFR")</f>
        <v>QSObject:PricingContext:w1~market.1359:19461</v>
      </c>
      <c r="D1361" s="6" t="str">
        <f>_xll.QS.CONTEXT.ADD.CURVE(C1361,"SOFR",$K$2:$K$7,$L$2:$L$7,,,"Actual360","LogLinear",TRUE)</f>
        <v>QSObject:ContextInput:w1~input.qs_context_add_curve.2359132437744.1360.3.0:38886</v>
      </c>
      <c r="E1361" s="6" t="str">
        <f>_xll.QS.INSTRUMENT.SWAP("swap.1359",H1361,B1361,"USD","SOFR",I1361,J1361,0,"Actual360","Simple","Annual","Annual","Annual")</f>
        <v>QSObject:Swap:w1~swap.1359:19460</v>
      </c>
      <c r="F1361" s="6" t="str">
        <f>_xll.QS.TRADE.CREATE("trade.1359",E1361,A1361,"Receive")</f>
        <v>QSObject:SwapTrade:w1~trade.1359:31117</v>
      </c>
      <c r="G1361" s="3">
        <f>_xll.QS.EVALUATE(C1361,F1361)</f>
        <v>20288.246303967841</v>
      </c>
      <c r="H1361" s="5" t="s">
        <v>2762</v>
      </c>
      <c r="I1361" s="7">
        <v>1135900</v>
      </c>
      <c r="J1361" s="8">
        <v>3.5900000000000001E-2</v>
      </c>
    </row>
    <row r="1362" spans="1:10" x14ac:dyDescent="0.25">
      <c r="A1362" s="5" t="s">
        <v>2750</v>
      </c>
      <c r="B1362" s="5" t="s">
        <v>2763</v>
      </c>
      <c r="C1362" s="6" t="str">
        <f>_xll.QS.CONTEXT.CREATE("market.1360",A1362,"USD","SOFR")</f>
        <v>QSObject:PricingContext:w1~market.1360:19459</v>
      </c>
      <c r="D1362" s="6" t="str">
        <f>_xll.QS.CONTEXT.ADD.CURVE(C1362,"SOFR",$K$2:$K$7,$L$2:$L$7,,,"Actual360","LogLinear",TRUE)</f>
        <v>QSObject:ContextInput:w1~input.qs_context_add_curve.2359132437744.1361.3.0:38885</v>
      </c>
      <c r="E1362" s="6" t="str">
        <f>_xll.QS.INSTRUMENT.SWAP("swap.1360",H1362,B1362,"USD","SOFR",I1362,J1362,0,"Actual360","Simple","Annual","Annual","Annual")</f>
        <v>QSObject:Swap:w1~swap.1360:19458</v>
      </c>
      <c r="F1362" s="6" t="str">
        <f>_xll.QS.TRADE.CREATE("trade.1360",E1362,A1362,"Receive")</f>
        <v>QSObject:SwapTrade:w1~trade.1360:31116</v>
      </c>
      <c r="G1362" s="3">
        <f>_xll.QS.EVALUATE(C1362,F1362)</f>
        <v>20896.966557200882</v>
      </c>
      <c r="H1362" s="5" t="s">
        <v>2764</v>
      </c>
      <c r="I1362" s="7">
        <v>1136000</v>
      </c>
      <c r="J1362" s="8">
        <v>3.5999999999999997E-2</v>
      </c>
    </row>
    <row r="1363" spans="1:10" x14ac:dyDescent="0.25">
      <c r="A1363" s="5" t="s">
        <v>2752</v>
      </c>
      <c r="B1363" s="5" t="s">
        <v>2765</v>
      </c>
      <c r="C1363" s="6" t="str">
        <f>_xll.QS.CONTEXT.CREATE("market.1361",A1363,"USD","SOFR")</f>
        <v>QSObject:PricingContext:w1~market.1361:19457</v>
      </c>
      <c r="D1363" s="6" t="str">
        <f>_xll.QS.CONTEXT.ADD.CURVE(C1363,"SOFR",$K$2:$K$7,$L$2:$L$7,,,"Actual360","LogLinear",TRUE)</f>
        <v>QSObject:ContextInput:w1~input.qs_context_add_curve.2359132437744.1362.3.0:38884</v>
      </c>
      <c r="E1363" s="6" t="str">
        <f>_xll.QS.INSTRUMENT.SWAP("swap.1361",H1363,B1363,"USD","SOFR",I1363,J1363,0,"Actual360","Simple","Annual","Annual","Annual")</f>
        <v>QSObject:Swap:w1~swap.1361:19456</v>
      </c>
      <c r="F1363" s="6" t="str">
        <f>_xll.QS.TRADE.CREATE("trade.1361",E1363,A1363,"Receive")</f>
        <v>QSObject:SwapTrade:w1~trade.1361:31115</v>
      </c>
      <c r="G1363" s="3">
        <f>_xll.QS.EVALUATE(C1363,F1363)</f>
        <v>21472.415332976168</v>
      </c>
      <c r="H1363" s="5" t="s">
        <v>2766</v>
      </c>
      <c r="I1363" s="7">
        <v>1136100</v>
      </c>
      <c r="J1363" s="8">
        <v>3.61E-2</v>
      </c>
    </row>
    <row r="1364" spans="1:10" x14ac:dyDescent="0.25">
      <c r="A1364" s="5" t="s">
        <v>2754</v>
      </c>
      <c r="B1364" s="5" t="s">
        <v>2767</v>
      </c>
      <c r="C1364" s="6" t="str">
        <f>_xll.QS.CONTEXT.CREATE("market.1362",A1364,"USD","SOFR")</f>
        <v>QSObject:PricingContext:w1~market.1362:19455</v>
      </c>
      <c r="D1364" s="6" t="str">
        <f>_xll.QS.CONTEXT.ADD.CURVE(C1364,"SOFR",$K$2:$K$7,$L$2:$L$7,,,"Actual360","LogLinear",TRUE)</f>
        <v>QSObject:ContextInput:w1~input.qs_context_add_curve.2359132437744.1363.3.0:38883</v>
      </c>
      <c r="E1364" s="6" t="str">
        <f>_xll.QS.INSTRUMENT.SWAP("swap.1362",H1364,B1364,"USD","SOFR",I1364,J1364,0,"Actual360","Simple","Annual","Annual","Annual")</f>
        <v>QSObject:Swap:w1~swap.1362:19454</v>
      </c>
      <c r="F1364" s="6" t="str">
        <f>_xll.QS.TRADE.CREATE("trade.1362",E1364,A1364,"Receive")</f>
        <v>QSObject:SwapTrade:w1~trade.1362:31114</v>
      </c>
      <c r="G1364" s="3">
        <f>_xll.QS.EVALUATE(C1364,F1364)</f>
        <v>21954.470398129935</v>
      </c>
      <c r="H1364" s="5" t="s">
        <v>2768</v>
      </c>
      <c r="I1364" s="7">
        <v>1136200</v>
      </c>
      <c r="J1364" s="8">
        <v>3.6200000000000003E-2</v>
      </c>
    </row>
    <row r="1365" spans="1:10" x14ac:dyDescent="0.25">
      <c r="A1365" s="5" t="s">
        <v>2756</v>
      </c>
      <c r="B1365" s="5" t="s">
        <v>2769</v>
      </c>
      <c r="C1365" s="6" t="str">
        <f>_xll.QS.CONTEXT.CREATE("market.1363",A1365,"USD","SOFR")</f>
        <v>QSObject:PricingContext:w1~market.1363:19453</v>
      </c>
      <c r="D1365" s="6" t="str">
        <f>_xll.QS.CONTEXT.ADD.CURVE(C1365,"SOFR",$K$2:$K$7,$L$2:$L$7,,,"Actual360","LogLinear",TRUE)</f>
        <v>QSObject:ContextInput:w1~input.qs_context_add_curve.2359132437744.1364.3.0:38882</v>
      </c>
      <c r="E1365" s="6" t="str">
        <f>_xll.QS.INSTRUMENT.SWAP("swap.1363",H1365,B1365,"USD","SOFR",I1365,J1365,0,"Actual360","Simple","Annual","Annual","Annual")</f>
        <v>QSObject:Swap:w1~swap.1363:19452</v>
      </c>
      <c r="F1365" s="6" t="str">
        <f>_xll.QS.TRADE.CREATE("trade.1363",E1365,A1365,"Receive")</f>
        <v>QSObject:SwapTrade:w1~trade.1363:30280</v>
      </c>
      <c r="G1365" s="3">
        <f>_xll.QS.EVALUATE(C1365,F1365)</f>
        <v>22406.022738242758</v>
      </c>
      <c r="H1365" s="5" t="s">
        <v>2770</v>
      </c>
      <c r="I1365" s="7">
        <v>1136300</v>
      </c>
      <c r="J1365" s="8">
        <v>3.6300000000000013E-2</v>
      </c>
    </row>
    <row r="1366" spans="1:10" x14ac:dyDescent="0.25">
      <c r="A1366" s="5" t="s">
        <v>2758</v>
      </c>
      <c r="B1366" s="5" t="s">
        <v>2771</v>
      </c>
      <c r="C1366" s="6" t="str">
        <f>_xll.QS.CONTEXT.CREATE("market.1364",A1366,"USD","SOFR")</f>
        <v>QSObject:PricingContext:w1~market.1364:19451</v>
      </c>
      <c r="D1366" s="6" t="str">
        <f>_xll.QS.CONTEXT.ADD.CURVE(C1366,"SOFR",$K$2:$K$7,$L$2:$L$7,,,"Actual360","LogLinear",TRUE)</f>
        <v>QSObject:ContextInput:w1~input.qs_context_add_curve.2359132437744.1365.3.0:38881</v>
      </c>
      <c r="E1366" s="6" t="str">
        <f>_xll.QS.INSTRUMENT.SWAP("swap.1364",H1366,B1366,"USD","SOFR",I1366,J1366,0,"Actual360","Simple","Annual","Annual","Annual")</f>
        <v>QSObject:Swap:w1~swap.1364:19450</v>
      </c>
      <c r="F1366" s="6" t="str">
        <f>_xll.QS.TRADE.CREATE("trade.1364",E1366,A1366,"Receive")</f>
        <v>QSObject:SwapTrade:w1~trade.1364:29603</v>
      </c>
      <c r="G1366" s="3">
        <f>_xll.QS.EVALUATE(C1366,F1366)</f>
        <v>22837.98800044792</v>
      </c>
      <c r="H1366" s="5" t="s">
        <v>2772</v>
      </c>
      <c r="I1366" s="7">
        <v>1136400</v>
      </c>
      <c r="J1366" s="8">
        <v>3.6400000000000002E-2</v>
      </c>
    </row>
    <row r="1367" spans="1:10" x14ac:dyDescent="0.25">
      <c r="A1367" s="5" t="s">
        <v>2760</v>
      </c>
      <c r="B1367" s="5" t="s">
        <v>2773</v>
      </c>
      <c r="C1367" s="6" t="str">
        <f>_xll.QS.CONTEXT.CREATE("market.1365",A1367,"USD","SOFR")</f>
        <v>QSObject:PricingContext:w1~market.1365:19449</v>
      </c>
      <c r="D1367" s="6" t="str">
        <f>_xll.QS.CONTEXT.ADD.CURVE(C1367,"SOFR",$K$2:$K$7,$L$2:$L$7,,,"Actual360","LogLinear",TRUE)</f>
        <v>QSObject:ContextInput:w1~input.qs_context_add_curve.2359132437744.1366.3.0:38880</v>
      </c>
      <c r="E1367" s="6" t="str">
        <f>_xll.QS.INSTRUMENT.SWAP("swap.1365",H1367,B1367,"USD","SOFR",I1367,J1367,0,"Actual360","Simple","Annual","Annual","Annual")</f>
        <v>QSObject:Swap:w1~swap.1365:19448</v>
      </c>
      <c r="F1367" s="6" t="str">
        <f>_xll.QS.TRADE.CREATE("trade.1365",E1367,A1367,"Receive")</f>
        <v>QSObject:SwapTrade:w1~trade.1365:29602</v>
      </c>
      <c r="G1367" s="3">
        <f>_xll.QS.EVALUATE(C1367,F1367)</f>
        <v>23411.50883972408</v>
      </c>
      <c r="H1367" s="5" t="s">
        <v>2774</v>
      </c>
      <c r="I1367" s="7">
        <v>1136500</v>
      </c>
      <c r="J1367" s="8">
        <v>3.6499999999999998E-2</v>
      </c>
    </row>
    <row r="1368" spans="1:10" x14ac:dyDescent="0.25">
      <c r="A1368" s="5" t="s">
        <v>2762</v>
      </c>
      <c r="B1368" s="5" t="s">
        <v>2775</v>
      </c>
      <c r="C1368" s="6" t="str">
        <f>_xll.QS.CONTEXT.CREATE("market.1366",A1368,"USD","SOFR")</f>
        <v>QSObject:PricingContext:w1~market.1366:19447</v>
      </c>
      <c r="D1368" s="6" t="str">
        <f>_xll.QS.CONTEXT.ADD.CURVE(C1368,"SOFR",$K$2:$K$7,$L$2:$L$7,,,"Actual360","LogLinear",TRUE)</f>
        <v>QSObject:ContextInput:w1~input.qs_context_add_curve.2359132437744.1367.3.0:38879</v>
      </c>
      <c r="E1368" s="6" t="str">
        <f>_xll.QS.INSTRUMENT.SWAP("swap.1366",H1368,B1368,"USD","SOFR",I1368,J1368,0,"Actual360","Simple","Annual","Annual","Annual")</f>
        <v>QSObject:Swap:w1~swap.1366:19446</v>
      </c>
      <c r="F1368" s="6" t="str">
        <f>_xll.QS.TRADE.CREATE("trade.1366",E1368,A1368,"Receive")</f>
        <v>QSObject:SwapTrade:w1~trade.1366:28997</v>
      </c>
      <c r="G1368" s="3">
        <f>_xll.QS.EVALUATE(C1368,F1368)</f>
        <v>23968.979022257507</v>
      </c>
      <c r="H1368" s="5" t="s">
        <v>2776</v>
      </c>
      <c r="I1368" s="7">
        <v>1136600</v>
      </c>
      <c r="J1368" s="8">
        <v>3.6600000000000001E-2</v>
      </c>
    </row>
    <row r="1369" spans="1:10" x14ac:dyDescent="0.25">
      <c r="A1369" s="5" t="s">
        <v>2764</v>
      </c>
      <c r="B1369" s="5" t="s">
        <v>2777</v>
      </c>
      <c r="C1369" s="6" t="str">
        <f>_xll.QS.CONTEXT.CREATE("market.1367",A1369,"USD","SOFR")</f>
        <v>QSObject:PricingContext:w1~market.1367:19445</v>
      </c>
      <c r="D1369" s="6" t="str">
        <f>_xll.QS.CONTEXT.ADD.CURVE(C1369,"SOFR",$K$2:$K$7,$L$2:$L$7,,,"Actual360","LogLinear",TRUE)</f>
        <v>QSObject:ContextInput:w1~input.qs_context_add_curve.2359132437744.1368.3.0:38878</v>
      </c>
      <c r="E1369" s="6" t="str">
        <f>_xll.QS.INSTRUMENT.SWAP("swap.1367",H1369,B1369,"USD","SOFR",I1369,J1369,0,"Actual360","Simple","Annual","Annual","Annual")</f>
        <v>QSObject:Swap:w1~swap.1367:19444</v>
      </c>
      <c r="F1369" s="6" t="str">
        <f>_xll.QS.TRADE.CREATE("trade.1367",E1369,A1369,"Receive")</f>
        <v>QSObject:SwapTrade:w1~trade.1367:30279</v>
      </c>
      <c r="G1369" s="3">
        <f>_xll.QS.EVALUATE(C1369,F1369)</f>
        <v>24579.079304263061</v>
      </c>
      <c r="H1369" s="5" t="s">
        <v>2778</v>
      </c>
      <c r="I1369" s="7">
        <v>1136700</v>
      </c>
      <c r="J1369" s="8">
        <v>3.6700000000000003E-2</v>
      </c>
    </row>
    <row r="1370" spans="1:10" x14ac:dyDescent="0.25">
      <c r="A1370" s="5" t="s">
        <v>2766</v>
      </c>
      <c r="B1370" s="5" t="s">
        <v>2779</v>
      </c>
      <c r="C1370" s="6" t="str">
        <f>_xll.QS.CONTEXT.CREATE("market.1368",A1370,"USD","SOFR")</f>
        <v>QSObject:PricingContext:w1~market.1368:19443</v>
      </c>
      <c r="D1370" s="6" t="str">
        <f>_xll.QS.CONTEXT.ADD.CURVE(C1370,"SOFR",$K$2:$K$7,$L$2:$L$7,,,"Actual360","LogLinear",TRUE)</f>
        <v>QSObject:ContextInput:w1~input.qs_context_add_curve.2359132437744.1369.3.0:38877</v>
      </c>
      <c r="E1370" s="6" t="str">
        <f>_xll.QS.INSTRUMENT.SWAP("swap.1368",H1370,B1370,"USD","SOFR",I1370,J1370,0,"Actual360","Simple","Annual","Annual","Annual")</f>
        <v>QSObject:Swap:w1~swap.1368:19442</v>
      </c>
      <c r="F1370" s="6" t="str">
        <f>_xll.QS.TRADE.CREATE("trade.1368",E1370,A1370,"Receive")</f>
        <v>QSObject:SwapTrade:w1~trade.1368:31113</v>
      </c>
      <c r="G1370" s="3">
        <f>_xll.QS.EVALUATE(C1370,F1370)</f>
        <v>25154.991724709056</v>
      </c>
      <c r="H1370" s="5" t="s">
        <v>2780</v>
      </c>
      <c r="I1370" s="7">
        <v>1136800</v>
      </c>
      <c r="J1370" s="8">
        <v>3.6800000000000013E-2</v>
      </c>
    </row>
    <row r="1371" spans="1:10" x14ac:dyDescent="0.25">
      <c r="A1371" s="5" t="s">
        <v>2768</v>
      </c>
      <c r="B1371" s="5" t="s">
        <v>2781</v>
      </c>
      <c r="C1371" s="6" t="str">
        <f>_xll.QS.CONTEXT.CREATE("market.1369",A1371,"USD","SOFR")</f>
        <v>QSObject:PricingContext:w1~market.1369:19441</v>
      </c>
      <c r="D1371" s="6" t="str">
        <f>_xll.QS.CONTEXT.ADD.CURVE(C1371,"SOFR",$K$2:$K$7,$L$2:$L$7,,,"Actual360","LogLinear",TRUE)</f>
        <v>QSObject:ContextInput:w1~input.qs_context_add_curve.2359132437744.1370.3.0:38876</v>
      </c>
      <c r="E1371" s="6" t="str">
        <f>_xll.QS.INSTRUMENT.SWAP("swap.1369",H1371,B1371,"USD","SOFR",I1371,J1371,0,"Actual360","Simple","Annual","Annual","Annual")</f>
        <v>QSObject:Swap:w1~swap.1369:19440</v>
      </c>
      <c r="F1371" s="6" t="str">
        <f>_xll.QS.TRADE.CREATE("trade.1369",E1371,A1371,"Receive")</f>
        <v>QSObject:SwapTrade:w1~trade.1369:28279</v>
      </c>
      <c r="G1371" s="3">
        <f>_xll.QS.EVALUATE(C1371,F1371)</f>
        <v>25637.510586091437</v>
      </c>
      <c r="H1371" s="5" t="s">
        <v>2782</v>
      </c>
      <c r="I1371" s="7">
        <v>1136900</v>
      </c>
      <c r="J1371" s="8">
        <v>3.6900000000000002E-2</v>
      </c>
    </row>
    <row r="1372" spans="1:10" x14ac:dyDescent="0.25">
      <c r="A1372" s="5" t="s">
        <v>2770</v>
      </c>
      <c r="B1372" s="5" t="s">
        <v>2783</v>
      </c>
      <c r="C1372" s="6" t="str">
        <f>_xll.QS.CONTEXT.CREATE("market.1370",A1372,"USD","SOFR")</f>
        <v>QSObject:PricingContext:w1~market.1370:19439</v>
      </c>
      <c r="D1372" s="6" t="str">
        <f>_xll.QS.CONTEXT.ADD.CURVE(C1372,"SOFR",$K$2:$K$7,$L$2:$L$7,,,"Actual360","LogLinear",TRUE)</f>
        <v>QSObject:ContextInput:w1~input.qs_context_add_curve.2359132437744.1371.3.0:38875</v>
      </c>
      <c r="E1372" s="6" t="str">
        <f>_xll.QS.INSTRUMENT.SWAP("swap.1370",H1372,B1372,"USD","SOFR",I1372,J1372,0,"Actual360","Simple","Annual","Annual","Annual")</f>
        <v>QSObject:Swap:w1~swap.1370:19438</v>
      </c>
      <c r="F1372" s="6" t="str">
        <f>_xll.QS.TRADE.CREATE("trade.1370",E1372,A1372,"Receive")</f>
        <v>QSObject:SwapTrade:w1~trade.1370:30388</v>
      </c>
      <c r="G1372" s="3">
        <f>_xll.QS.EVALUATE(C1372,F1372)</f>
        <v>26068.493688346687</v>
      </c>
      <c r="H1372" s="5" t="s">
        <v>2784</v>
      </c>
      <c r="I1372" s="7">
        <v>1137000</v>
      </c>
      <c r="J1372" s="8">
        <v>3.7000000000000012E-2</v>
      </c>
    </row>
    <row r="1373" spans="1:10" x14ac:dyDescent="0.25">
      <c r="A1373" s="5" t="s">
        <v>2772</v>
      </c>
      <c r="B1373" s="5" t="s">
        <v>2785</v>
      </c>
      <c r="C1373" s="6" t="str">
        <f>_xll.QS.CONTEXT.CREATE("market.1371",A1373,"USD","SOFR")</f>
        <v>QSObject:PricingContext:w1~market.1371:19437</v>
      </c>
      <c r="D1373" s="6" t="str">
        <f>_xll.QS.CONTEXT.ADD.CURVE(C1373,"SOFR",$K$2:$K$7,$L$2:$L$7,,,"Actual360","LogLinear",TRUE)</f>
        <v>QSObject:ContextInput:w1~input.qs_context_add_curve.2359132437744.1372.3.0:38874</v>
      </c>
      <c r="E1373" s="6" t="str">
        <f>_xll.QS.INSTRUMENT.SWAP("swap.1371",H1373,B1373,"USD","SOFR",I1373,J1373,0,"Actual360","Simple","Annual","Annual","Annual")</f>
        <v>QSObject:Swap:w1~swap.1371:19436</v>
      </c>
      <c r="F1373" s="6" t="str">
        <f>_xll.QS.TRADE.CREATE("trade.1371",E1373,A1373,"Receive")</f>
        <v>QSObject:SwapTrade:w1~trade.1371:25703</v>
      </c>
      <c r="G1373" s="3">
        <f>_xll.QS.EVALUATE(C1373,F1373)</f>
        <v>26476.485232381692</v>
      </c>
      <c r="H1373" s="5" t="s">
        <v>2786</v>
      </c>
      <c r="I1373" s="7">
        <v>1137100</v>
      </c>
      <c r="J1373" s="8">
        <v>3.7100000000000001E-2</v>
      </c>
    </row>
    <row r="1374" spans="1:10" x14ac:dyDescent="0.25">
      <c r="A1374" s="5" t="s">
        <v>2774</v>
      </c>
      <c r="B1374" s="5" t="s">
        <v>2787</v>
      </c>
      <c r="C1374" s="6" t="str">
        <f>_xll.QS.CONTEXT.CREATE("market.1372",A1374,"USD","SOFR")</f>
        <v>QSObject:PricingContext:w1~market.1372:19435</v>
      </c>
      <c r="D1374" s="6" t="str">
        <f>_xll.QS.CONTEXT.ADD.CURVE(C1374,"SOFR",$K$2:$K$7,$L$2:$L$7,,,"Actual360","LogLinear",TRUE)</f>
        <v>QSObject:ContextInput:w1~input.qs_context_add_curve.2359132437744.1373.3.0:38873</v>
      </c>
      <c r="E1374" s="6" t="str">
        <f>_xll.QS.INSTRUMENT.SWAP("swap.1372",H1374,B1374,"USD","SOFR",I1374,J1374,0,"Actual360","Simple","Annual","Annual","Annual")</f>
        <v>QSObject:Swap:w1~swap.1372:19434</v>
      </c>
      <c r="F1374" s="6" t="str">
        <f>_xll.QS.TRADE.CREATE("trade.1372",E1374,A1374,"Receive")</f>
        <v>QSObject:SwapTrade:w1~trade.1372:25702</v>
      </c>
      <c r="G1374" s="3">
        <f>_xll.QS.EVALUATE(C1374,F1374)</f>
        <v>27051.338918076166</v>
      </c>
      <c r="H1374" s="5" t="s">
        <v>2788</v>
      </c>
      <c r="I1374" s="7">
        <v>1137200</v>
      </c>
      <c r="J1374" s="8">
        <v>3.7199999999999997E-2</v>
      </c>
    </row>
    <row r="1375" spans="1:10" x14ac:dyDescent="0.25">
      <c r="A1375" s="5" t="s">
        <v>2776</v>
      </c>
      <c r="B1375" s="5" t="s">
        <v>2789</v>
      </c>
      <c r="C1375" s="6" t="str">
        <f>_xll.QS.CONTEXT.CREATE("market.1373",A1375,"USD","SOFR")</f>
        <v>QSObject:PricingContext:w1~market.1373:19433</v>
      </c>
      <c r="D1375" s="6" t="str">
        <f>_xll.QS.CONTEXT.ADD.CURVE(C1375,"SOFR",$K$2:$K$7,$L$2:$L$7,,,"Actual360","LogLinear",TRUE)</f>
        <v>QSObject:ContextInput:w1~input.qs_context_add_curve.2359132437744.1374.3.0:38872</v>
      </c>
      <c r="E1375" s="6" t="str">
        <f>_xll.QS.INSTRUMENT.SWAP("swap.1373",H1375,B1375,"USD","SOFR",I1375,J1375,0,"Actual360","Simple","Annual","Annual","Annual")</f>
        <v>QSObject:Swap:w1~swap.1373:19432</v>
      </c>
      <c r="F1375" s="6" t="str">
        <f>_xll.QS.TRADE.CREATE("trade.1373",E1375,A1375,"Receive")</f>
        <v>QSObject:SwapTrade:w1~trade.1373:23460</v>
      </c>
      <c r="G1375" s="3">
        <f>_xll.QS.EVALUATE(C1375,F1375)</f>
        <v>27626.315039299556</v>
      </c>
      <c r="H1375" s="5" t="s">
        <v>2790</v>
      </c>
      <c r="I1375" s="7">
        <v>1137300</v>
      </c>
      <c r="J1375" s="8">
        <v>3.73E-2</v>
      </c>
    </row>
    <row r="1376" spans="1:10" x14ac:dyDescent="0.25">
      <c r="A1376" s="5" t="s">
        <v>2778</v>
      </c>
      <c r="B1376" s="5" t="s">
        <v>2791</v>
      </c>
      <c r="C1376" s="6" t="str">
        <f>_xll.QS.CONTEXT.CREATE("market.1374",A1376,"USD","SOFR")</f>
        <v>QSObject:PricingContext:w1~market.1374:19431</v>
      </c>
      <c r="D1376" s="6" t="str">
        <f>_xll.QS.CONTEXT.ADD.CURVE(C1376,"SOFR",$K$2:$K$7,$L$2:$L$7,,,"Actual360","LogLinear",TRUE)</f>
        <v>QSObject:ContextInput:w1~input.qs_context_add_curve.2359132437744.1375.3.0:38871</v>
      </c>
      <c r="E1376" s="6" t="str">
        <f>_xll.QS.INSTRUMENT.SWAP("swap.1374",H1376,B1376,"USD","SOFR",I1376,J1376,0,"Actual360","Simple","Annual","Annual","Annual")</f>
        <v>QSObject:Swap:w1~swap.1374:19430</v>
      </c>
      <c r="F1376" s="6" t="str">
        <f>_xll.QS.TRADE.CREATE("trade.1374",E1376,A1376,"Receive")</f>
        <v>QSObject:SwapTrade:w1~trade.1374:26997</v>
      </c>
      <c r="G1376" s="3">
        <f>_xll.QS.EVALUATE(C1376,F1376)</f>
        <v>28307.685260318452</v>
      </c>
      <c r="H1376" s="5" t="s">
        <v>2792</v>
      </c>
      <c r="I1376" s="7">
        <v>1137400</v>
      </c>
      <c r="J1376" s="8">
        <v>3.7400000000000003E-2</v>
      </c>
    </row>
    <row r="1377" spans="1:10" x14ac:dyDescent="0.25">
      <c r="A1377" s="5" t="s">
        <v>2780</v>
      </c>
      <c r="B1377" s="5" t="s">
        <v>2793</v>
      </c>
      <c r="C1377" s="6" t="str">
        <f>_xll.QS.CONTEXT.CREATE("market.1375",A1377,"USD","SOFR")</f>
        <v>QSObject:PricingContext:w1~market.1375:19429</v>
      </c>
      <c r="D1377" s="6" t="str">
        <f>_xll.QS.CONTEXT.ADD.CURVE(C1377,"SOFR",$K$2:$K$7,$L$2:$L$7,,,"Actual360","LogLinear",TRUE)</f>
        <v>QSObject:ContextInput:w1~input.qs_context_add_curve.2359132437744.1376.3.0:38870</v>
      </c>
      <c r="E1377" s="6" t="str">
        <f>_xll.QS.INSTRUMENT.SWAP("swap.1375",H1377,B1377,"USD","SOFR",I1377,J1377,0,"Actual360","Simple","Annual","Annual","Annual")</f>
        <v>QSObject:Swap:w1~swap.1375:19428</v>
      </c>
      <c r="F1377" s="6" t="str">
        <f>_xll.QS.TRADE.CREATE("trade.1375",E1377,A1377,"Receive")</f>
        <v>QSObject:SwapTrade:w1~trade.1375:22300</v>
      </c>
      <c r="G1377" s="3">
        <f>_xll.QS.EVALUATE(C1377,F1377)</f>
        <v>28845.358302579378</v>
      </c>
      <c r="H1377" s="5" t="s">
        <v>2794</v>
      </c>
      <c r="I1377" s="7">
        <v>1137500</v>
      </c>
      <c r="J1377" s="8">
        <v>3.7500000000000012E-2</v>
      </c>
    </row>
    <row r="1378" spans="1:10" x14ac:dyDescent="0.25">
      <c r="A1378" s="5" t="s">
        <v>2782</v>
      </c>
      <c r="B1378" s="5" t="s">
        <v>2795</v>
      </c>
      <c r="C1378" s="6" t="str">
        <f>_xll.QS.CONTEXT.CREATE("market.1376",A1378,"USD","SOFR")</f>
        <v>QSObject:PricingContext:w1~market.1376:19427</v>
      </c>
      <c r="D1378" s="6" t="str">
        <f>_xll.QS.CONTEXT.ADD.CURVE(C1378,"SOFR",$K$2:$K$7,$L$2:$L$7,,,"Actual360","LogLinear",TRUE)</f>
        <v>QSObject:ContextInput:w1~input.qs_context_add_curve.2359132437744.1377.3.0:38869</v>
      </c>
      <c r="E1378" s="6" t="str">
        <f>_xll.QS.INSTRUMENT.SWAP("swap.1376",H1378,B1378,"USD","SOFR",I1378,J1378,0,"Actual360","Simple","Annual","Annual","Annual")</f>
        <v>QSObject:Swap:w1~swap.1376:19426</v>
      </c>
      <c r="F1378" s="6" t="str">
        <f>_xll.QS.TRADE.CREATE("trade.1376",E1378,A1378,"Receive")</f>
        <v>QSObject:SwapTrade:w1~trade.1376:22299</v>
      </c>
      <c r="G1378" s="3">
        <f>_xll.QS.EVALUATE(C1378,F1378)</f>
        <v>29371.739470156961</v>
      </c>
      <c r="H1378" s="5" t="s">
        <v>2796</v>
      </c>
      <c r="I1378" s="7">
        <v>1137600</v>
      </c>
      <c r="J1378" s="8">
        <v>3.7600000000000001E-2</v>
      </c>
    </row>
    <row r="1379" spans="1:10" x14ac:dyDescent="0.25">
      <c r="A1379" s="5" t="s">
        <v>2784</v>
      </c>
      <c r="B1379" s="5" t="s">
        <v>2797</v>
      </c>
      <c r="C1379" s="6" t="str">
        <f>_xll.QS.CONTEXT.CREATE("market.1377",A1379,"USD","SOFR")</f>
        <v>QSObject:PricingContext:w1~market.1377:19425</v>
      </c>
      <c r="D1379" s="6" t="str">
        <f>_xll.QS.CONTEXT.ADD.CURVE(C1379,"SOFR",$K$2:$K$7,$L$2:$L$7,,,"Actual360","LogLinear",TRUE)</f>
        <v>QSObject:ContextInput:w1~input.qs_context_add_curve.2359132437744.1378.3.0:38868</v>
      </c>
      <c r="E1379" s="6" t="str">
        <f>_xll.QS.INSTRUMENT.SWAP("swap.1377",H1379,B1379,"USD","SOFR",I1379,J1379,0,"Actual360","Simple","Annual","Annual","Annual")</f>
        <v>QSObject:Swap:w1~swap.1377:19424</v>
      </c>
      <c r="F1379" s="6" t="str">
        <f>_xll.QS.TRADE.CREATE("trade.1377",E1379,A1379,"Receive")</f>
        <v>QSObject:SwapTrade:w1~trade.1377:29601</v>
      </c>
      <c r="G1379" s="3">
        <f>_xll.QS.EVALUATE(C1379,F1379)</f>
        <v>29815.847890808105</v>
      </c>
      <c r="H1379" s="5" t="s">
        <v>2798</v>
      </c>
      <c r="I1379" s="7">
        <v>1137700</v>
      </c>
      <c r="J1379" s="8">
        <v>3.7699999999999997E-2</v>
      </c>
    </row>
    <row r="1380" spans="1:10" x14ac:dyDescent="0.25">
      <c r="A1380" s="5" t="s">
        <v>2786</v>
      </c>
      <c r="B1380" s="5" t="s">
        <v>2799</v>
      </c>
      <c r="C1380" s="6" t="str">
        <f>_xll.QS.CONTEXT.CREATE("market.1378",A1380,"USD","SOFR")</f>
        <v>QSObject:PricingContext:w1~market.1378:19423</v>
      </c>
      <c r="D1380" s="6" t="str">
        <f>_xll.QS.CONTEXT.ADD.CURVE(C1380,"SOFR",$K$2:$K$7,$L$2:$L$7,,,"Actual360","LogLinear",TRUE)</f>
        <v>QSObject:ContextInput:w1~input.qs_context_add_curve.2359132437744.1379.3.0:38867</v>
      </c>
      <c r="E1380" s="6" t="str">
        <f>_xll.QS.INSTRUMENT.SWAP("swap.1378",H1380,B1380,"USD","SOFR",I1380,J1380,0,"Actual360","Simple","Annual","Annual","Annual")</f>
        <v>QSObject:Swap:w1~swap.1378:19422</v>
      </c>
      <c r="F1380" s="6" t="str">
        <f>_xll.QS.TRADE.CREATE("trade.1378",E1380,A1380,"Receive")</f>
        <v>QSObject:SwapTrade:w1~trade.1378:30387</v>
      </c>
      <c r="G1380" s="3">
        <f>_xll.QS.EVALUATE(C1380,F1380)</f>
        <v>30260.273375442845</v>
      </c>
      <c r="H1380" s="5" t="s">
        <v>2800</v>
      </c>
      <c r="I1380" s="7">
        <v>1137800</v>
      </c>
      <c r="J1380" s="8">
        <v>3.78E-2</v>
      </c>
    </row>
    <row r="1381" spans="1:10" x14ac:dyDescent="0.25">
      <c r="A1381" s="5" t="s">
        <v>2788</v>
      </c>
      <c r="B1381" s="5" t="s">
        <v>2801</v>
      </c>
      <c r="C1381" s="6" t="str">
        <f>_xll.QS.CONTEXT.CREATE("market.1379",A1381,"USD","SOFR")</f>
        <v>QSObject:PricingContext:w1~market.1379:19421</v>
      </c>
      <c r="D1381" s="6" t="str">
        <f>_xll.QS.CONTEXT.ADD.CURVE(C1381,"SOFR",$K$2:$K$7,$L$2:$L$7,,,"Actual360","LogLinear",TRUE)</f>
        <v>QSObject:ContextInput:w1~input.qs_context_add_curve.2359132437744.1380.3.0:38866</v>
      </c>
      <c r="E1381" s="6" t="str">
        <f>_xll.QS.INSTRUMENT.SWAP("swap.1379",H1381,B1381,"USD","SOFR",I1381,J1381,0,"Actual360","Simple","Annual","Annual","Annual")</f>
        <v>QSObject:Swap:w1~swap.1379:19420</v>
      </c>
      <c r="F1381" s="6" t="str">
        <f>_xll.QS.TRADE.CREATE("trade.1379",E1381,A1381,"Receive")</f>
        <v>QSObject:SwapTrade:w1~trade.1379:22298</v>
      </c>
      <c r="G1381" s="3">
        <f>_xll.QS.EVALUATE(C1381,F1381)</f>
        <v>30790.194100775971</v>
      </c>
      <c r="H1381" s="5" t="s">
        <v>2802</v>
      </c>
      <c r="I1381" s="7">
        <v>1137900</v>
      </c>
      <c r="J1381" s="8">
        <v>3.7900000000000003E-2</v>
      </c>
    </row>
    <row r="1382" spans="1:10" x14ac:dyDescent="0.25">
      <c r="A1382" s="5" t="s">
        <v>2790</v>
      </c>
      <c r="B1382" s="5" t="s">
        <v>2803</v>
      </c>
      <c r="C1382" s="6" t="str">
        <f>_xll.QS.CONTEXT.CREATE("market.1380",A1382,"USD","SOFR")</f>
        <v>QSObject:PricingContext:w1~market.1380:19419</v>
      </c>
      <c r="D1382" s="6" t="str">
        <f>_xll.QS.CONTEXT.ADD.CURVE(C1382,"SOFR",$K$2:$K$7,$L$2:$L$7,,,"Actual360","LogLinear",TRUE)</f>
        <v>QSObject:ContextInput:w1~input.qs_context_add_curve.2359132437744.1381.3.0:38865</v>
      </c>
      <c r="E1382" s="6" t="str">
        <f>_xll.QS.INSTRUMENT.SWAP("swap.1380",H1382,B1382,"USD","SOFR",I1382,J1382,0,"Actual360","Simple","Annual","Annual","Annual")</f>
        <v>QSObject:Swap:w1~swap.1380:19418</v>
      </c>
      <c r="F1382" s="6" t="str">
        <f>_xll.QS.TRADE.CREATE("trade.1380",E1382,A1382,"Receive")</f>
        <v>QSObject:SwapTrade:w1~trade.1380:26505</v>
      </c>
      <c r="G1382" s="3">
        <f>_xll.QS.EVALUATE(C1382,F1382)</f>
        <v>31345.924302921183</v>
      </c>
      <c r="H1382" s="5" t="s">
        <v>2804</v>
      </c>
      <c r="I1382" s="7">
        <v>1138000</v>
      </c>
      <c r="J1382" s="8">
        <v>3.8000000000000013E-2</v>
      </c>
    </row>
    <row r="1383" spans="1:10" x14ac:dyDescent="0.25">
      <c r="A1383" s="5" t="s">
        <v>2792</v>
      </c>
      <c r="B1383" s="5" t="s">
        <v>2805</v>
      </c>
      <c r="C1383" s="6" t="str">
        <f>_xll.QS.CONTEXT.CREATE("market.1381",A1383,"USD","SOFR")</f>
        <v>QSObject:PricingContext:w1~market.1381:19417</v>
      </c>
      <c r="D1383" s="6" t="str">
        <f>_xll.QS.CONTEXT.ADD.CURVE(C1383,"SOFR",$K$2:$K$7,$L$2:$L$7,,,"Actual360","LogLinear",TRUE)</f>
        <v>QSObject:ContextInput:w1~input.qs_context_add_curve.2359132437744.1382.3.0:38864</v>
      </c>
      <c r="E1383" s="6" t="str">
        <f>_xll.QS.INSTRUMENT.SWAP("swap.1381",H1383,B1383,"USD","SOFR",I1383,J1383,0,"Actual360","Simple","Annual","Annual","Annual")</f>
        <v>QSObject:Swap:w1~swap.1381:19416</v>
      </c>
      <c r="F1383" s="6" t="str">
        <f>_xll.QS.TRADE.CREATE("trade.1381",E1383,A1383,"Receive")</f>
        <v>QSObject:SwapTrade:w1~trade.1381:30278</v>
      </c>
      <c r="G1383" s="3">
        <f>_xll.QS.EVALUATE(C1383,F1383)</f>
        <v>31956.862281979971</v>
      </c>
      <c r="H1383" s="5" t="s">
        <v>2806</v>
      </c>
      <c r="I1383" s="7">
        <v>1138100</v>
      </c>
      <c r="J1383" s="8">
        <v>3.8100000000000002E-2</v>
      </c>
    </row>
    <row r="1384" spans="1:10" x14ac:dyDescent="0.25">
      <c r="A1384" s="5" t="s">
        <v>2794</v>
      </c>
      <c r="B1384" s="5" t="s">
        <v>2807</v>
      </c>
      <c r="C1384" s="6" t="str">
        <f>_xll.QS.CONTEXT.CREATE("market.1382",A1384,"USD","SOFR")</f>
        <v>QSObject:PricingContext:w1~market.1382:19415</v>
      </c>
      <c r="D1384" s="6" t="str">
        <f>_xll.QS.CONTEXT.ADD.CURVE(C1384,"SOFR",$K$2:$K$7,$L$2:$L$7,,,"Actual360","LogLinear",TRUE)</f>
        <v>QSObject:ContextInput:w1~input.qs_context_add_curve.2359132437744.1383.3.0:38863</v>
      </c>
      <c r="E1384" s="6" t="str">
        <f>_xll.QS.INSTRUMENT.SWAP("swap.1382",H1384,B1384,"USD","SOFR",I1384,J1384,0,"Actual360","Simple","Annual","Annual","Annual")</f>
        <v>QSObject:Swap:w1~swap.1382:19414</v>
      </c>
      <c r="F1384" s="6" t="str">
        <f>_xll.QS.TRADE.CREATE("trade.1382",E1384,A1384,"Receive")</f>
        <v>QSObject:SwapTrade:w1~trade.1382:30277</v>
      </c>
      <c r="G1384" s="3">
        <f>_xll.QS.EVALUATE(C1384,F1384)</f>
        <v>32534.30393638504</v>
      </c>
      <c r="H1384" s="5" t="s">
        <v>2808</v>
      </c>
      <c r="I1384" s="7">
        <v>1138200</v>
      </c>
      <c r="J1384" s="8">
        <v>3.8199999999999998E-2</v>
      </c>
    </row>
    <row r="1385" spans="1:10" x14ac:dyDescent="0.25">
      <c r="A1385" s="5" t="s">
        <v>2796</v>
      </c>
      <c r="B1385" s="5" t="s">
        <v>2809</v>
      </c>
      <c r="C1385" s="6" t="str">
        <f>_xll.QS.CONTEXT.CREATE("market.1383",A1385,"USD","SOFR")</f>
        <v>QSObject:PricingContext:w1~market.1383:19413</v>
      </c>
      <c r="D1385" s="6" t="str">
        <f>_xll.QS.CONTEXT.ADD.CURVE(C1385,"SOFR",$K$2:$K$7,$L$2:$L$7,,,"Actual360","LogLinear",TRUE)</f>
        <v>QSObject:ContextInput:w1~input.qs_context_add_curve.2359132437744.1384.3.0:38862</v>
      </c>
      <c r="E1385" s="6" t="str">
        <f>_xll.QS.INSTRUMENT.SWAP("swap.1383",H1385,B1385,"USD","SOFR",I1385,J1385,0,"Actual360","Simple","Annual","Annual","Annual")</f>
        <v>QSObject:Swap:w1~swap.1383:19412</v>
      </c>
      <c r="F1385" s="6" t="str">
        <f>_xll.QS.TRADE.CREATE("trade.1383",E1385,A1385,"Receive")</f>
        <v>QSObject:SwapTrade:w1~trade.1383:30276</v>
      </c>
      <c r="G1385" s="3">
        <f>_xll.QS.EVALUATE(C1385,F1385)</f>
        <v>33018.256091153002</v>
      </c>
      <c r="H1385" s="5" t="s">
        <v>2810</v>
      </c>
      <c r="I1385" s="7">
        <v>1138300</v>
      </c>
      <c r="J1385" s="8">
        <v>3.8300000000000001E-2</v>
      </c>
    </row>
    <row r="1386" spans="1:10" x14ac:dyDescent="0.25">
      <c r="A1386" s="5" t="s">
        <v>2798</v>
      </c>
      <c r="B1386" s="5" t="s">
        <v>2811</v>
      </c>
      <c r="C1386" s="6" t="str">
        <f>_xll.QS.CONTEXT.CREATE("market.1384",A1386,"USD","SOFR")</f>
        <v>QSObject:PricingContext:w1~market.1384:19411</v>
      </c>
      <c r="D1386" s="6" t="str">
        <f>_xll.QS.CONTEXT.ADD.CURVE(C1386,"SOFR",$K$2:$K$7,$L$2:$L$7,,,"Actual360","LogLinear",TRUE)</f>
        <v>QSObject:ContextInput:w1~input.qs_context_add_curve.2359132437744.1385.3.0:38861</v>
      </c>
      <c r="E1386" s="6" t="str">
        <f>_xll.QS.INSTRUMENT.SWAP("swap.1384",H1386,B1386,"USD","SOFR",I1386,J1386,0,"Actual360","Simple","Annual","Annual","Annual")</f>
        <v>QSObject:Swap:w1~swap.1384:19410</v>
      </c>
      <c r="F1386" s="6" t="str">
        <f>_xll.QS.TRADE.CREATE("trade.1384",E1386,A1386,"Receive")</f>
        <v>QSObject:SwapTrade:w1~trade.1384:31112</v>
      </c>
      <c r="G1386" s="3">
        <f>_xll.QS.EVALUATE(C1386,F1386)</f>
        <v>33458.625090655347</v>
      </c>
      <c r="H1386" s="5" t="s">
        <v>2812</v>
      </c>
      <c r="I1386" s="7">
        <v>1138400</v>
      </c>
      <c r="J1386" s="8">
        <v>3.8399999999999997E-2</v>
      </c>
    </row>
    <row r="1387" spans="1:10" x14ac:dyDescent="0.25">
      <c r="A1387" s="5" t="s">
        <v>2800</v>
      </c>
      <c r="B1387" s="5" t="s">
        <v>2813</v>
      </c>
      <c r="C1387" s="6" t="str">
        <f>_xll.QS.CONTEXT.CREATE("market.1385",A1387,"USD","SOFR")</f>
        <v>QSObject:PricingContext:w1~market.1385:19409</v>
      </c>
      <c r="D1387" s="6" t="str">
        <f>_xll.QS.CONTEXT.ADD.CURVE(C1387,"SOFR",$K$2:$K$7,$L$2:$L$7,,,"Actual360","LogLinear",TRUE)</f>
        <v>QSObject:ContextInput:w1~input.qs_context_add_curve.2359132437744.1386.3.0:38860</v>
      </c>
      <c r="E1387" s="6" t="str">
        <f>_xll.QS.INSTRUMENT.SWAP("swap.1385",H1387,B1387,"USD","SOFR",I1387,J1387,0,"Actual360","Simple","Annual","Annual","Annual")</f>
        <v>QSObject:Swap:w1~swap.1385:19408</v>
      </c>
      <c r="F1387" s="6" t="str">
        <f>_xll.QS.TRADE.CREATE("trade.1385",E1387,A1387,"Receive")</f>
        <v>QSObject:SwapTrade:w1~trade.1385:27629</v>
      </c>
      <c r="G1387" s="3">
        <f>_xll.QS.EVALUATE(C1387,F1387)</f>
        <v>33909.444795037547</v>
      </c>
      <c r="H1387" s="5" t="s">
        <v>2814</v>
      </c>
      <c r="I1387" s="7">
        <v>1138500</v>
      </c>
      <c r="J1387" s="8">
        <v>3.8500000000000013E-2</v>
      </c>
    </row>
    <row r="1388" spans="1:10" x14ac:dyDescent="0.25">
      <c r="A1388" s="5" t="s">
        <v>2802</v>
      </c>
      <c r="B1388" s="5" t="s">
        <v>2815</v>
      </c>
      <c r="C1388" s="6" t="str">
        <f>_xll.QS.CONTEXT.CREATE("market.1386",A1388,"USD","SOFR")</f>
        <v>QSObject:PricingContext:w1~market.1386:19407</v>
      </c>
      <c r="D1388" s="6" t="str">
        <f>_xll.QS.CONTEXT.ADD.CURVE(C1388,"SOFR",$K$2:$K$7,$L$2:$L$7,,,"Actual360","LogLinear",TRUE)</f>
        <v>QSObject:ContextInput:w1~input.qs_context_add_curve.2359132437744.1387.3.0:38859</v>
      </c>
      <c r="E1388" s="6" t="str">
        <f>_xll.QS.INSTRUMENT.SWAP("swap.1386",H1388,B1388,"USD","SOFR",I1388,J1388,0,"Actual360","Simple","Annual","Annual","Annual")</f>
        <v>QSObject:Swap:w1~swap.1386:19406</v>
      </c>
      <c r="F1388" s="6" t="str">
        <f>_xll.QS.TRADE.CREATE("trade.1386",E1388,A1388,"Receive")</f>
        <v>QSObject:SwapTrade:w1~trade.1386:29600</v>
      </c>
      <c r="G1388" s="3">
        <f>_xll.QS.EVALUATE(C1388,F1388)</f>
        <v>34486.064477620705</v>
      </c>
      <c r="H1388" s="5" t="s">
        <v>2816</v>
      </c>
      <c r="I1388" s="7">
        <v>1138600</v>
      </c>
      <c r="J1388" s="8">
        <v>3.8600000000000002E-2</v>
      </c>
    </row>
    <row r="1389" spans="1:10" x14ac:dyDescent="0.25">
      <c r="A1389" s="5" t="s">
        <v>2804</v>
      </c>
      <c r="B1389" s="5" t="s">
        <v>2817</v>
      </c>
      <c r="C1389" s="6" t="str">
        <f>_xll.QS.CONTEXT.CREATE("market.1387",A1389,"USD","SOFR")</f>
        <v>QSObject:PricingContext:w1~market.1387:19405</v>
      </c>
      <c r="D1389" s="6" t="str">
        <f>_xll.QS.CONTEXT.ADD.CURVE(C1389,"SOFR",$K$2:$K$7,$L$2:$L$7,,,"Actual360","LogLinear",TRUE)</f>
        <v>QSObject:ContextInput:w1~input.qs_context_add_curve.2359132437744.1388.3.0:38858</v>
      </c>
      <c r="E1389" s="6" t="str">
        <f>_xll.QS.INSTRUMENT.SWAP("swap.1387",H1389,B1389,"USD","SOFR",I1389,J1389,0,"Actual360","Simple","Annual","Annual","Annual")</f>
        <v>QSObject:Swap:w1~swap.1387:19404</v>
      </c>
      <c r="F1389" s="6" t="str">
        <f>_xll.QS.TRADE.CREATE("trade.1387",E1389,A1389,"Receive")</f>
        <v>QSObject:SwapTrade:w1~trade.1387:28996</v>
      </c>
      <c r="G1389" s="3">
        <f>_xll.QS.EVALUATE(C1389,F1389)</f>
        <v>35040.792440961814</v>
      </c>
      <c r="H1389" s="5" t="s">
        <v>2818</v>
      </c>
      <c r="I1389" s="7">
        <v>1138700</v>
      </c>
      <c r="J1389" s="8">
        <v>3.8700000000000012E-2</v>
      </c>
    </row>
    <row r="1390" spans="1:10" x14ac:dyDescent="0.25">
      <c r="A1390" s="5" t="s">
        <v>2806</v>
      </c>
      <c r="B1390" s="5" t="s">
        <v>2819</v>
      </c>
      <c r="C1390" s="6" t="str">
        <f>_xll.QS.CONTEXT.CREATE("market.1388",A1390,"USD","SOFR")</f>
        <v>QSObject:PricingContext:w1~market.1388:19403</v>
      </c>
      <c r="D1390" s="6" t="str">
        <f>_xll.QS.CONTEXT.ADD.CURVE(C1390,"SOFR",$K$2:$K$7,$L$2:$L$7,,,"Actual360","LogLinear",TRUE)</f>
        <v>QSObject:ContextInput:w1~input.qs_context_add_curve.2359132437744.1389.3.0:38857</v>
      </c>
      <c r="E1390" s="6" t="str">
        <f>_xll.QS.INSTRUMENT.SWAP("swap.1388",H1390,B1390,"USD","SOFR",I1390,J1390,0,"Actual360","Simple","Annual","Annual","Annual")</f>
        <v>QSObject:Swap:w1~swap.1388:19402</v>
      </c>
      <c r="F1390" s="6" t="str">
        <f>_xll.QS.TRADE.CREATE("trade.1388",E1390,A1390,"Receive")</f>
        <v>QSObject:SwapTrade:w1~trade.1388:30386</v>
      </c>
      <c r="G1390" s="3">
        <f>_xll.QS.EVALUATE(C1390,F1390)</f>
        <v>35652.532512634512</v>
      </c>
      <c r="H1390" s="5" t="s">
        <v>2820</v>
      </c>
      <c r="I1390" s="7">
        <v>1138800</v>
      </c>
      <c r="J1390" s="8">
        <v>3.8800000000000001E-2</v>
      </c>
    </row>
    <row r="1391" spans="1:10" x14ac:dyDescent="0.25">
      <c r="A1391" s="5" t="s">
        <v>2808</v>
      </c>
      <c r="B1391" s="5" t="s">
        <v>2821</v>
      </c>
      <c r="C1391" s="6" t="str">
        <f>_xll.QS.CONTEXT.CREATE("market.1389",A1391,"USD","SOFR")</f>
        <v>QSObject:PricingContext:w1~market.1389:19401</v>
      </c>
      <c r="D1391" s="6" t="str">
        <f>_xll.QS.CONTEXT.ADD.CURVE(C1391,"SOFR",$K$2:$K$7,$L$2:$L$7,,,"Actual360","LogLinear",TRUE)</f>
        <v>QSObject:ContextInput:w1~input.qs_context_add_curve.2359132437744.1390.3.0:38856</v>
      </c>
      <c r="E1391" s="6" t="str">
        <f>_xll.QS.INSTRUMENT.SWAP("swap.1389",H1391,B1391,"USD","SOFR",I1391,J1391,0,"Actual360","Simple","Annual","Annual","Annual")</f>
        <v>QSObject:Swap:w1~swap.1389:19400</v>
      </c>
      <c r="F1391" s="6" t="str">
        <f>_xll.QS.TRADE.CREATE("trade.1389",E1391,A1391,"Receive")</f>
        <v>QSObject:SwapTrade:w1~trade.1389:30385</v>
      </c>
      <c r="G1391" s="3">
        <f>_xll.QS.EVALUATE(C1391,F1391)</f>
        <v>36230.692567637954</v>
      </c>
      <c r="H1391" s="5" t="s">
        <v>2822</v>
      </c>
      <c r="I1391" s="7">
        <v>1138900</v>
      </c>
      <c r="J1391" s="8">
        <v>3.8899999999999997E-2</v>
      </c>
    </row>
    <row r="1392" spans="1:10" x14ac:dyDescent="0.25">
      <c r="A1392" s="5" t="s">
        <v>2810</v>
      </c>
      <c r="B1392" s="5" t="s">
        <v>2823</v>
      </c>
      <c r="C1392" s="6" t="str">
        <f>_xll.QS.CONTEXT.CREATE("market.1390",A1392,"USD","SOFR")</f>
        <v>QSObject:PricingContext:w1~market.1390:19399</v>
      </c>
      <c r="D1392" s="6" t="str">
        <f>_xll.QS.CONTEXT.ADD.CURVE(C1392,"SOFR",$K$2:$K$7,$L$2:$L$7,,,"Actual360","LogLinear",TRUE)</f>
        <v>QSObject:ContextInput:w1~input.qs_context_add_curve.2359132437744.1391.3.0:38855</v>
      </c>
      <c r="E1392" s="6" t="str">
        <f>_xll.QS.INSTRUMENT.SWAP("swap.1390",H1392,B1392,"USD","SOFR",I1392,J1392,0,"Actual360","Simple","Annual","Annual","Annual")</f>
        <v>QSObject:Swap:w1~swap.1390:19398</v>
      </c>
      <c r="F1392" s="6" t="str">
        <f>_xll.QS.TRADE.CREATE("trade.1390",E1392,A1392,"Receive")</f>
        <v>QSObject:SwapTrade:w1~trade.1390:28995</v>
      </c>
      <c r="G1392" s="3">
        <f>_xll.QS.EVALUATE(C1392,F1392)</f>
        <v>36715.222982346611</v>
      </c>
      <c r="H1392" s="5" t="s">
        <v>2824</v>
      </c>
      <c r="I1392" s="7">
        <v>1139000</v>
      </c>
      <c r="J1392" s="8">
        <v>3.9000000000000007E-2</v>
      </c>
    </row>
    <row r="1393" spans="1:10" x14ac:dyDescent="0.25">
      <c r="A1393" s="5" t="s">
        <v>2812</v>
      </c>
      <c r="B1393" s="5" t="s">
        <v>2825</v>
      </c>
      <c r="C1393" s="6" t="str">
        <f>_xll.QS.CONTEXT.CREATE("market.1391",A1393,"USD","SOFR")</f>
        <v>QSObject:PricingContext:w1~market.1391:19397</v>
      </c>
      <c r="D1393" s="6" t="str">
        <f>_xll.QS.CONTEXT.ADD.CURVE(C1393,"SOFR",$K$2:$K$7,$L$2:$L$7,,,"Actual360","LogLinear",TRUE)</f>
        <v>QSObject:ContextInput:w1~input.qs_context_add_curve.2359132437744.1392.3.0:38854</v>
      </c>
      <c r="E1393" s="6" t="str">
        <f>_xll.QS.INSTRUMENT.SWAP("swap.1391",H1393,B1393,"USD","SOFR",I1393,J1393,0,"Actual360","Simple","Annual","Annual","Annual")</f>
        <v>QSObject:Swap:w1~swap.1391:19396</v>
      </c>
      <c r="F1393" s="6" t="str">
        <f>_xll.QS.TRADE.CREATE("trade.1391",E1393,A1393,"Receive")</f>
        <v>QSObject:SwapTrade:w1~trade.1391:30275</v>
      </c>
      <c r="G1393" s="3">
        <f>_xll.QS.EVALUATE(C1393,F1393)</f>
        <v>37221.896709719847</v>
      </c>
      <c r="H1393" s="5" t="s">
        <v>2826</v>
      </c>
      <c r="I1393" s="7">
        <v>1139100</v>
      </c>
      <c r="J1393" s="8">
        <v>3.9100000000000003E-2</v>
      </c>
    </row>
    <row r="1394" spans="1:10" x14ac:dyDescent="0.25">
      <c r="A1394" s="5" t="s">
        <v>2814</v>
      </c>
      <c r="B1394" s="5" t="s">
        <v>2827</v>
      </c>
      <c r="C1394" s="6" t="str">
        <f>_xll.QS.CONTEXT.CREATE("market.1392",A1394,"USD","SOFR")</f>
        <v>QSObject:PricingContext:w1~market.1392:19395</v>
      </c>
      <c r="D1394" s="6" t="str">
        <f>_xll.QS.CONTEXT.ADD.CURVE(C1394,"SOFR",$K$2:$K$7,$L$2:$L$7,,,"Actual360","LogLinear",TRUE)</f>
        <v>QSObject:ContextInput:w1~input.qs_context_add_curve.2359132437744.1393.3.0:38853</v>
      </c>
      <c r="E1394" s="6" t="str">
        <f>_xll.QS.INSTRUMENT.SWAP("swap.1392",H1394,B1394,"USD","SOFR",I1394,J1394,0,"Actual360","Simple","Annual","Annual","Annual")</f>
        <v>QSObject:Swap:w1~swap.1392:19394</v>
      </c>
      <c r="F1394" s="6" t="str">
        <f>_xll.QS.TRADE.CREATE("trade.1392",E1394,A1394,"Receive")</f>
        <v>QSObject:SwapTrade:w1~trade.1392:30274</v>
      </c>
      <c r="G1394" s="3">
        <f>_xll.QS.EVALUATE(C1394,F1394)</f>
        <v>37753.834852505905</v>
      </c>
      <c r="H1394" s="5" t="s">
        <v>2828</v>
      </c>
      <c r="I1394" s="7">
        <v>1139200</v>
      </c>
      <c r="J1394" s="8">
        <v>3.9200000000000013E-2</v>
      </c>
    </row>
    <row r="1395" spans="1:10" x14ac:dyDescent="0.25">
      <c r="A1395" s="5" t="s">
        <v>2816</v>
      </c>
      <c r="B1395" s="5" t="s">
        <v>2829</v>
      </c>
      <c r="C1395" s="6" t="str">
        <f>_xll.QS.CONTEXT.CREATE("market.1393",A1395,"USD","SOFR")</f>
        <v>QSObject:PricingContext:w1~market.1393:19393</v>
      </c>
      <c r="D1395" s="6" t="str">
        <f>_xll.QS.CONTEXT.ADD.CURVE(C1395,"SOFR",$K$2:$K$7,$L$2:$L$7,,,"Actual360","LogLinear",TRUE)</f>
        <v>QSObject:ContextInput:w1~input.qs_context_add_curve.2359132437744.1394.3.0:38852</v>
      </c>
      <c r="E1395" s="6" t="str">
        <f>_xll.QS.INSTRUMENT.SWAP("swap.1393",H1395,B1395,"USD","SOFR",I1395,J1395,0,"Actual360","Simple","Annual","Annual","Annual")</f>
        <v>QSObject:Swap:w1~swap.1393:19392</v>
      </c>
      <c r="F1395" s="6" t="str">
        <f>_xll.QS.TRADE.CREATE("trade.1393",E1395,A1395,"Receive")</f>
        <v>QSObject:SwapTrade:w1~trade.1393:29599</v>
      </c>
      <c r="G1395" s="3">
        <f>_xll.QS.EVALUATE(C1395,F1395)</f>
        <v>38186.623731586209</v>
      </c>
      <c r="H1395" s="5" t="s">
        <v>2830</v>
      </c>
      <c r="I1395" s="7">
        <v>1139300</v>
      </c>
      <c r="J1395" s="8">
        <v>3.9300000000000002E-2</v>
      </c>
    </row>
    <row r="1396" spans="1:10" x14ac:dyDescent="0.25">
      <c r="A1396" s="5" t="s">
        <v>2818</v>
      </c>
      <c r="B1396" s="5" t="s">
        <v>2831</v>
      </c>
      <c r="C1396" s="6" t="str">
        <f>_xll.QS.CONTEXT.CREATE("market.1394",A1396,"USD","SOFR")</f>
        <v>QSObject:PricingContext:w1~market.1394:19391</v>
      </c>
      <c r="D1396" s="6" t="str">
        <f>_xll.QS.CONTEXT.ADD.CURVE(C1396,"SOFR",$K$2:$K$7,$L$2:$L$7,,,"Actual360","LogLinear",TRUE)</f>
        <v>QSObject:ContextInput:w1~input.qs_context_add_curve.2359132437744.1395.3.0:38851</v>
      </c>
      <c r="E1396" s="6" t="str">
        <f>_xll.QS.INSTRUMENT.SWAP("swap.1394",H1396,B1396,"USD","SOFR",I1396,J1396,0,"Actual360","Simple","Annual","Annual","Annual")</f>
        <v>QSObject:Swap:w1~swap.1394:19390</v>
      </c>
      <c r="F1396" s="6" t="str">
        <f>_xll.QS.TRADE.CREATE("trade.1394",E1396,A1396,"Receive")</f>
        <v>QSObject:SwapTrade:w1~trade.1394:30273</v>
      </c>
      <c r="G1396" s="3">
        <f>_xll.QS.EVALUATE(C1396,F1396)</f>
        <v>38740.226699419276</v>
      </c>
      <c r="H1396" s="5" t="s">
        <v>2832</v>
      </c>
      <c r="I1396" s="7">
        <v>1139400</v>
      </c>
      <c r="J1396" s="8">
        <v>3.9399999999999998E-2</v>
      </c>
    </row>
    <row r="1397" spans="1:10" x14ac:dyDescent="0.25">
      <c r="A1397" s="5" t="s">
        <v>2820</v>
      </c>
      <c r="B1397" s="5" t="s">
        <v>2833</v>
      </c>
      <c r="C1397" s="6" t="str">
        <f>_xll.QS.CONTEXT.CREATE("market.1395",A1397,"USD","SOFR")</f>
        <v>QSObject:PricingContext:w1~market.1395:19389</v>
      </c>
      <c r="D1397" s="6" t="str">
        <f>_xll.QS.CONTEXT.ADD.CURVE(C1397,"SOFR",$K$2:$K$7,$L$2:$L$7,,,"Actual360","LogLinear",TRUE)</f>
        <v>QSObject:ContextInput:w1~input.qs_context_add_curve.2359132437744.1396.3.0:38850</v>
      </c>
      <c r="E1397" s="6" t="str">
        <f>_xll.QS.INSTRUMENT.SWAP("swap.1395",H1397,B1397,"USD","SOFR",I1397,J1397,0,"Actual360","Simple","Annual","Annual","Annual")</f>
        <v>QSObject:Swap:w1~swap.1395:19388</v>
      </c>
      <c r="F1397" s="6" t="str">
        <f>_xll.QS.TRADE.CREATE("trade.1395",E1397,A1397,"Receive")</f>
        <v>QSObject:SwapTrade:w1~trade.1395:30384</v>
      </c>
      <c r="G1397" s="3">
        <f>_xll.QS.EVALUATE(C1397,F1397)</f>
        <v>39396.501432222671</v>
      </c>
      <c r="H1397" s="5" t="s">
        <v>2834</v>
      </c>
      <c r="I1397" s="7">
        <v>1139500</v>
      </c>
      <c r="J1397" s="8">
        <v>3.9500000000000007E-2</v>
      </c>
    </row>
    <row r="1398" spans="1:10" x14ac:dyDescent="0.25">
      <c r="A1398" s="5" t="s">
        <v>2822</v>
      </c>
      <c r="B1398" s="5" t="s">
        <v>2835</v>
      </c>
      <c r="C1398" s="6" t="str">
        <f>_xll.QS.CONTEXT.CREATE("market.1396",A1398,"USD","SOFR")</f>
        <v>QSObject:PricingContext:w1~market.1396:19387</v>
      </c>
      <c r="D1398" s="6" t="str">
        <f>_xll.QS.CONTEXT.ADD.CURVE(C1398,"SOFR",$K$2:$K$7,$L$2:$L$7,,,"Actual360","LogLinear",TRUE)</f>
        <v>QSObject:ContextInput:w1~input.qs_context_add_curve.2359132437744.1397.3.0:38849</v>
      </c>
      <c r="E1398" s="6" t="str">
        <f>_xll.QS.INSTRUMENT.SWAP("swap.1396",H1398,B1398,"USD","SOFR",I1398,J1398,0,"Actual360","Simple","Annual","Annual","Annual")</f>
        <v>QSObject:Swap:w1~swap.1396:19386</v>
      </c>
      <c r="F1398" s="6" t="str">
        <f>_xll.QS.TRADE.CREATE("trade.1396",E1398,A1398,"Receive")</f>
        <v>QSObject:SwapTrade:w1~trade.1396:29598</v>
      </c>
      <c r="G1398" s="3">
        <f>_xll.QS.EVALUATE(C1398,F1398)</f>
        <v>39931.6004119633</v>
      </c>
      <c r="H1398" s="5" t="s">
        <v>2836</v>
      </c>
      <c r="I1398" s="7">
        <v>1139600</v>
      </c>
      <c r="J1398" s="8">
        <v>3.9600000000000003E-2</v>
      </c>
    </row>
    <row r="1399" spans="1:10" x14ac:dyDescent="0.25">
      <c r="A1399" s="5" t="s">
        <v>2824</v>
      </c>
      <c r="B1399" s="5" t="s">
        <v>2837</v>
      </c>
      <c r="C1399" s="6" t="str">
        <f>_xll.QS.CONTEXT.CREATE("market.1397",A1399,"USD","SOFR")</f>
        <v>QSObject:PricingContext:w1~market.1397:19385</v>
      </c>
      <c r="D1399" s="6" t="str">
        <f>_xll.QS.CONTEXT.ADD.CURVE(C1399,"SOFR",$K$2:$K$7,$L$2:$L$7,,,"Actual360","LogLinear",TRUE)</f>
        <v>QSObject:ContextInput:w1~input.qs_context_add_curve.2359132437744.1398.3.0:38848</v>
      </c>
      <c r="E1399" s="6" t="str">
        <f>_xll.QS.INSTRUMENT.SWAP("swap.1397",H1399,B1399,"USD","SOFR",I1399,J1399,0,"Actual360","Simple","Annual","Annual","Annual")</f>
        <v>QSObject:Swap:w1~swap.1397:19384</v>
      </c>
      <c r="F1399" s="6" t="str">
        <f>_xll.QS.TRADE.CREATE("trade.1397",E1399,A1399,"Receive")</f>
        <v>QSObject:SwapTrade:w1~trade.1397:30272</v>
      </c>
      <c r="G1399" s="3">
        <f>_xll.QS.EVALUATE(C1399,F1399)</f>
        <v>40416.709036966131</v>
      </c>
      <c r="H1399" s="5" t="s">
        <v>2838</v>
      </c>
      <c r="I1399" s="7">
        <v>1139700</v>
      </c>
      <c r="J1399" s="8">
        <v>3.9700000000000013E-2</v>
      </c>
    </row>
    <row r="1400" spans="1:10" x14ac:dyDescent="0.25">
      <c r="A1400" s="5" t="s">
        <v>2826</v>
      </c>
      <c r="B1400" s="5" t="s">
        <v>2839</v>
      </c>
      <c r="C1400" s="6" t="str">
        <f>_xll.QS.CONTEXT.CREATE("market.1398",A1400,"USD","SOFR")</f>
        <v>QSObject:PricingContext:w1~market.1398:19383</v>
      </c>
      <c r="D1400" s="6" t="str">
        <f>_xll.QS.CONTEXT.ADD.CURVE(C1400,"SOFR",$K$2:$K$7,$L$2:$L$7,,,"Actual360","LogLinear",TRUE)</f>
        <v>QSObject:ContextInput:w1~input.qs_context_add_curve.2359132437744.1399.3.0:38847</v>
      </c>
      <c r="E1400" s="6" t="str">
        <f>_xll.QS.INSTRUMENT.SWAP("swap.1398",H1400,B1400,"USD","SOFR",I1400,J1400,0,"Actual360","Simple","Annual","Annual","Annual")</f>
        <v>QSObject:Swap:w1~swap.1398:19382</v>
      </c>
      <c r="F1400" s="6" t="str">
        <f>_xll.QS.TRADE.CREATE("trade.1398",E1400,A1400,"Receive")</f>
        <v>QSObject:SwapTrade:w1~trade.1398:30271</v>
      </c>
      <c r="G1400" s="3">
        <f>_xll.QS.EVALUATE(C1400,F1400)</f>
        <v>40849.595865982526</v>
      </c>
      <c r="H1400" s="5" t="s">
        <v>2840</v>
      </c>
      <c r="I1400" s="7">
        <v>1139800</v>
      </c>
      <c r="J1400" s="8">
        <v>3.9800000000000002E-2</v>
      </c>
    </row>
    <row r="1401" spans="1:10" x14ac:dyDescent="0.25">
      <c r="A1401" s="5" t="s">
        <v>2828</v>
      </c>
      <c r="B1401" s="5" t="s">
        <v>2841</v>
      </c>
      <c r="C1401" s="6" t="str">
        <f>_xll.QS.CONTEXT.CREATE("market.1399",A1401,"USD","SOFR")</f>
        <v>QSObject:PricingContext:w1~market.1399:19381</v>
      </c>
      <c r="D1401" s="6" t="str">
        <f>_xll.QS.CONTEXT.ADD.CURVE(C1401,"SOFR",$K$2:$K$7,$L$2:$L$7,,,"Actual360","LogLinear",TRUE)</f>
        <v>QSObject:ContextInput:w1~input.qs_context_add_curve.2359132437744.1400.3.0:38846</v>
      </c>
      <c r="E1401" s="6" t="str">
        <f>_xll.QS.INSTRUMENT.SWAP("swap.1399",H1401,B1401,"USD","SOFR",I1401,J1401,0,"Actual360","Simple","Annual","Annual","Annual")</f>
        <v>QSObject:Swap:w1~swap.1399:19380</v>
      </c>
      <c r="F1401" s="6" t="str">
        <f>_xll.QS.TRADE.CREATE("trade.1399",E1401,A1401,"Receive")</f>
        <v>QSObject:SwapTrade:w1~trade.1399:28994</v>
      </c>
      <c r="G1401" s="3">
        <f>_xll.QS.EVALUATE(C1401,F1401)</f>
        <v>41313.020229405432</v>
      </c>
      <c r="H1401" s="5" t="s">
        <v>2842</v>
      </c>
      <c r="I1401" s="7">
        <v>1139900</v>
      </c>
      <c r="J1401" s="8">
        <v>3.9899999999999998E-2</v>
      </c>
    </row>
    <row r="1402" spans="1:10" x14ac:dyDescent="0.25">
      <c r="A1402" s="5" t="s">
        <v>2830</v>
      </c>
      <c r="B1402" s="5" t="s">
        <v>2843</v>
      </c>
      <c r="C1402" s="6" t="str">
        <f>_xll.QS.CONTEXT.CREATE("market.1400",A1402,"USD","SOFR")</f>
        <v>QSObject:PricingContext:w1~market.1400:19379</v>
      </c>
      <c r="D1402" s="6" t="str">
        <f>_xll.QS.CONTEXT.ADD.CURVE(C1402,"SOFR",$K$2:$K$7,$L$2:$L$7,,,"Actual360","LogLinear",TRUE)</f>
        <v>QSObject:ContextInput:w1~input.qs_context_add_curve.2359132437744.1401.3.0:38845</v>
      </c>
      <c r="E1402" s="6" t="str">
        <f>_xll.QS.INSTRUMENT.SWAP("swap.1400",H1402,B1402,"USD","SOFR",I1402,J1402,0,"Actual360","Simple","Annual","Annual","Annual")</f>
        <v>QSObject:Swap:w1~swap.1400:19378</v>
      </c>
      <c r="F1402" s="6" t="str">
        <f>_xll.QS.TRADE.CREATE("trade.1400",E1402,A1402,"Receive")</f>
        <v>QSObject:SwapTrade:w1~trade.1400:29597</v>
      </c>
      <c r="G1402" s="3">
        <f>_xll.QS.EVALUATE(C1402,F1402)</f>
        <v>15594.431371547864</v>
      </c>
      <c r="H1402" s="5" t="s">
        <v>2844</v>
      </c>
      <c r="I1402" s="7">
        <v>1140000</v>
      </c>
      <c r="J1402" s="8">
        <v>3.5000000000000003E-2</v>
      </c>
    </row>
    <row r="1403" spans="1:10" x14ac:dyDescent="0.25">
      <c r="A1403" s="5" t="s">
        <v>2832</v>
      </c>
      <c r="B1403" s="5" t="s">
        <v>2845</v>
      </c>
      <c r="C1403" s="6" t="str">
        <f>_xll.QS.CONTEXT.CREATE("market.1401",A1403,"USD","SOFR")</f>
        <v>QSObject:PricingContext:w1~market.1401:19377</v>
      </c>
      <c r="D1403" s="6" t="str">
        <f>_xll.QS.CONTEXT.ADD.CURVE(C1403,"SOFR",$K$2:$K$7,$L$2:$L$7,,,"Actual360","LogLinear",TRUE)</f>
        <v>QSObject:ContextInput:w1~input.qs_context_add_curve.2359132437744.1402.3.0:38844</v>
      </c>
      <c r="E1403" s="6" t="str">
        <f>_xll.QS.INSTRUMENT.SWAP("swap.1401",H1403,B1403,"USD","SOFR",I1403,J1403,0,"Actual360","Simple","Annual","Annual","Annual")</f>
        <v>QSObject:Swap:w1~swap.1401:19376</v>
      </c>
      <c r="F1403" s="6" t="str">
        <f>_xll.QS.TRADE.CREATE("trade.1401",E1403,A1403,"Receive")</f>
        <v>QSObject:SwapTrade:w1~trade.1401:30270</v>
      </c>
      <c r="G1403" s="3">
        <f>_xll.QS.EVALUATE(C1403,F1403)</f>
        <v>16157.278558326267</v>
      </c>
      <c r="H1403" s="5" t="s">
        <v>2846</v>
      </c>
      <c r="I1403" s="7">
        <v>1140100</v>
      </c>
      <c r="J1403" s="8">
        <v>3.5100000000000013E-2</v>
      </c>
    </row>
    <row r="1404" spans="1:10" x14ac:dyDescent="0.25">
      <c r="A1404" s="5" t="s">
        <v>2834</v>
      </c>
      <c r="B1404" s="5" t="s">
        <v>2847</v>
      </c>
      <c r="C1404" s="6" t="str">
        <f>_xll.QS.CONTEXT.CREATE("market.1402",A1404,"USD","SOFR")</f>
        <v>QSObject:PricingContext:w1~market.1402:19375</v>
      </c>
      <c r="D1404" s="6" t="str">
        <f>_xll.QS.CONTEXT.ADD.CURVE(C1404,"SOFR",$K$2:$K$7,$L$2:$L$7,,,"Actual360","LogLinear",TRUE)</f>
        <v>QSObject:ContextInput:w1~input.qs_context_add_curve.2359132437744.1403.3.0:38843</v>
      </c>
      <c r="E1404" s="6" t="str">
        <f>_xll.QS.INSTRUMENT.SWAP("swap.1402",H1404,B1404,"USD","SOFR",I1404,J1404,0,"Actual360","Simple","Annual","Annual","Annual")</f>
        <v>QSObject:Swap:w1~swap.1402:19374</v>
      </c>
      <c r="F1404" s="6" t="str">
        <f>_xll.QS.TRADE.CREATE("trade.1402",E1404,A1404,"Receive")</f>
        <v>QSObject:SwapTrade:w1~trade.1402:30269</v>
      </c>
      <c r="G1404" s="3">
        <f>_xll.QS.EVALUATE(C1404,F1404)</f>
        <v>16767.815859415135</v>
      </c>
      <c r="H1404" s="5" t="s">
        <v>2848</v>
      </c>
      <c r="I1404" s="7">
        <v>1140200</v>
      </c>
      <c r="J1404" s="8">
        <v>3.5200000000000002E-2</v>
      </c>
    </row>
    <row r="1405" spans="1:10" x14ac:dyDescent="0.25">
      <c r="A1405" s="5" t="s">
        <v>2836</v>
      </c>
      <c r="B1405" s="5" t="s">
        <v>2849</v>
      </c>
      <c r="C1405" s="6" t="str">
        <f>_xll.QS.CONTEXT.CREATE("market.1403",A1405,"USD","SOFR")</f>
        <v>QSObject:PricingContext:w1~market.1403:19373</v>
      </c>
      <c r="D1405" s="6" t="str">
        <f>_xll.QS.CONTEXT.ADD.CURVE(C1405,"SOFR",$K$2:$K$7,$L$2:$L$7,,,"Actual360","LogLinear",TRUE)</f>
        <v>QSObject:ContextInput:w1~input.qs_context_add_curve.2359132437744.1404.3.0:38842</v>
      </c>
      <c r="E1405" s="6" t="str">
        <f>_xll.QS.INSTRUMENT.SWAP("swap.1403",H1405,B1405,"USD","SOFR",I1405,J1405,0,"Actual360","Simple","Annual","Annual","Annual")</f>
        <v>QSObject:Swap:w1~swap.1403:19372</v>
      </c>
      <c r="F1405" s="6" t="str">
        <f>_xll.QS.TRADE.CREATE("trade.1403",E1405,A1405,"Receive")</f>
        <v>QSObject:SwapTrade:w1~trade.1403:30383</v>
      </c>
      <c r="G1405" s="3">
        <f>_xll.QS.EVALUATE(C1405,F1405)</f>
        <v>17340.137932961879</v>
      </c>
      <c r="H1405" s="5" t="s">
        <v>2850</v>
      </c>
      <c r="I1405" s="7">
        <v>1140300</v>
      </c>
      <c r="J1405" s="8">
        <v>3.5299999999999998E-2</v>
      </c>
    </row>
    <row r="1406" spans="1:10" x14ac:dyDescent="0.25">
      <c r="A1406" s="5" t="s">
        <v>2838</v>
      </c>
      <c r="B1406" s="5" t="s">
        <v>2851</v>
      </c>
      <c r="C1406" s="6" t="str">
        <f>_xll.QS.CONTEXT.CREATE("market.1404",A1406,"USD","SOFR")</f>
        <v>QSObject:PricingContext:w1~market.1404:19371</v>
      </c>
      <c r="D1406" s="6" t="str">
        <f>_xll.QS.CONTEXT.ADD.CURVE(C1406,"SOFR",$K$2:$K$7,$L$2:$L$7,,,"Actual360","LogLinear",TRUE)</f>
        <v>QSObject:ContextInput:w1~input.qs_context_add_curve.2359132437744.1405.3.0:38841</v>
      </c>
      <c r="E1406" s="6" t="str">
        <f>_xll.QS.INSTRUMENT.SWAP("swap.1404",H1406,B1406,"USD","SOFR",I1406,J1406,0,"Actual360","Simple","Annual","Annual","Annual")</f>
        <v>QSObject:Swap:w1~swap.1404:19370</v>
      </c>
      <c r="F1406" s="6" t="str">
        <f>_xll.QS.TRADE.CREATE("trade.1404",E1406,A1406,"Receive")</f>
        <v>QSObject:SwapTrade:w1~trade.1404:29596</v>
      </c>
      <c r="G1406" s="3">
        <f>_xll.QS.EVALUATE(C1406,F1406)</f>
        <v>17871.519987776985</v>
      </c>
      <c r="H1406" s="5" t="s">
        <v>2852</v>
      </c>
      <c r="I1406" s="7">
        <v>1140400</v>
      </c>
      <c r="J1406" s="8">
        <v>3.5400000000000001E-2</v>
      </c>
    </row>
    <row r="1407" spans="1:10" x14ac:dyDescent="0.25">
      <c r="A1407" s="5" t="s">
        <v>2840</v>
      </c>
      <c r="B1407" s="5" t="s">
        <v>2853</v>
      </c>
      <c r="C1407" s="6" t="str">
        <f>_xll.QS.CONTEXT.CREATE("market.1405",A1407,"USD","SOFR")</f>
        <v>QSObject:PricingContext:w1~market.1405:19369</v>
      </c>
      <c r="D1407" s="6" t="str">
        <f>_xll.QS.CONTEXT.ADD.CURVE(C1407,"SOFR",$K$2:$K$7,$L$2:$L$7,,,"Actual360","LogLinear",TRUE)</f>
        <v>QSObject:ContextInput:w1~input.qs_context_add_curve.2359132437744.1406.3.0:38840</v>
      </c>
      <c r="E1407" s="6" t="str">
        <f>_xll.QS.INSTRUMENT.SWAP("swap.1405",H1407,B1407,"USD","SOFR",I1407,J1407,0,"Actual360","Simple","Annual","Annual","Annual")</f>
        <v>QSObject:Swap:w1~swap.1405:19368</v>
      </c>
      <c r="F1407" s="6" t="str">
        <f>_xll.QS.TRADE.CREATE("trade.1405",E1407,A1407,"Receive")</f>
        <v>QSObject:SwapTrade:w1~trade.1405:30268</v>
      </c>
      <c r="G1407" s="3">
        <f>_xll.QS.EVALUATE(C1407,F1407)</f>
        <v>18329.298329989659</v>
      </c>
      <c r="H1407" s="5" t="s">
        <v>2854</v>
      </c>
      <c r="I1407" s="7">
        <v>1140500</v>
      </c>
      <c r="J1407" s="8">
        <v>3.5499999999999997E-2</v>
      </c>
    </row>
    <row r="1408" spans="1:10" x14ac:dyDescent="0.25">
      <c r="A1408" s="5" t="s">
        <v>2842</v>
      </c>
      <c r="B1408" s="5" t="s">
        <v>2855</v>
      </c>
      <c r="C1408" s="6" t="str">
        <f>_xll.QS.CONTEXT.CREATE("market.1406",A1408,"USD","SOFR")</f>
        <v>QSObject:PricingContext:w1~market.1406:19367</v>
      </c>
      <c r="D1408" s="6" t="str">
        <f>_xll.QS.CONTEXT.ADD.CURVE(C1408,"SOFR",$K$2:$K$7,$L$2:$L$7,,,"Actual360","LogLinear",TRUE)</f>
        <v>QSObject:ContextInput:w1~input.qs_context_add_curve.2359132437744.1407.3.0:38839</v>
      </c>
      <c r="E1408" s="6" t="str">
        <f>_xll.QS.INSTRUMENT.SWAP("swap.1406",H1408,B1408,"USD","SOFR",I1408,J1408,0,"Actual360","Simple","Annual","Annual","Annual")</f>
        <v>QSObject:Swap:w1~swap.1406:19366</v>
      </c>
      <c r="F1408" s="6" t="str">
        <f>_xll.QS.TRADE.CREATE("trade.1406",E1408,A1408,"Receive")</f>
        <v>QSObject:SwapTrade:w1~trade.1406:30267</v>
      </c>
      <c r="G1408" s="3">
        <f>_xll.QS.EVALUATE(C1408,F1408)</f>
        <v>18755.892452539141</v>
      </c>
      <c r="H1408" s="5" t="s">
        <v>2856</v>
      </c>
      <c r="I1408" s="7">
        <v>1140600</v>
      </c>
      <c r="J1408" s="8">
        <v>3.5600000000000007E-2</v>
      </c>
    </row>
    <row r="1409" spans="1:10" x14ac:dyDescent="0.25">
      <c r="A1409" s="5" t="s">
        <v>2844</v>
      </c>
      <c r="B1409" s="5" t="s">
        <v>2857</v>
      </c>
      <c r="C1409" s="6" t="str">
        <f>_xll.QS.CONTEXT.CREATE("market.1407",A1409,"USD","SOFR")</f>
        <v>QSObject:PricingContext:w1~market.1407:19365</v>
      </c>
      <c r="D1409" s="6" t="str">
        <f>_xll.QS.CONTEXT.ADD.CURVE(C1409,"SOFR",$K$2:$K$7,$L$2:$L$7,,,"Actual360","LogLinear",TRUE)</f>
        <v>QSObject:ContextInput:w1~input.qs_context_add_curve.2359132437744.1408.3.0:38838</v>
      </c>
      <c r="E1409" s="6" t="str">
        <f>_xll.QS.INSTRUMENT.SWAP("swap.1407",H1409,B1409,"USD","SOFR",I1409,J1409,0,"Actual360","Simple","Annual","Annual","Annual")</f>
        <v>QSObject:Swap:w1~swap.1407:19364</v>
      </c>
      <c r="F1409" s="6" t="str">
        <f>_xll.QS.TRADE.CREATE("trade.1407",E1409,A1409,"Receive")</f>
        <v>QSObject:SwapTrade:w1~trade.1407:29595</v>
      </c>
      <c r="G1409" s="3">
        <f>_xll.QS.EVALUATE(C1409,F1409)</f>
        <v>19330.154619852816</v>
      </c>
      <c r="H1409" s="5" t="s">
        <v>2858</v>
      </c>
      <c r="I1409" s="7">
        <v>1140700</v>
      </c>
      <c r="J1409" s="8">
        <v>3.5700000000000003E-2</v>
      </c>
    </row>
    <row r="1410" spans="1:10" x14ac:dyDescent="0.25">
      <c r="A1410" s="5" t="s">
        <v>2846</v>
      </c>
      <c r="B1410" s="5" t="s">
        <v>2859</v>
      </c>
      <c r="C1410" s="6" t="str">
        <f>_xll.QS.CONTEXT.CREATE("market.1408",A1410,"USD","SOFR")</f>
        <v>QSObject:PricingContext:w1~market.1408:19363</v>
      </c>
      <c r="D1410" s="6" t="str">
        <f>_xll.QS.CONTEXT.ADD.CURVE(C1410,"SOFR",$K$2:$K$7,$L$2:$L$7,,,"Actual360","LogLinear",TRUE)</f>
        <v>QSObject:ContextInput:w1~input.qs_context_add_curve.2359132437744.1409.3.0:38837</v>
      </c>
      <c r="E1410" s="6" t="str">
        <f>_xll.QS.INSTRUMENT.SWAP("swap.1408",H1410,B1410,"USD","SOFR",I1410,J1410,0,"Actual360","Simple","Annual","Annual","Annual")</f>
        <v>QSObject:Swap:w1~swap.1408:19362</v>
      </c>
      <c r="F1410" s="6" t="str">
        <f>_xll.QS.TRADE.CREATE("trade.1408",E1410,A1410,"Receive")</f>
        <v>QSObject:SwapTrade:w1~trade.1408:30266</v>
      </c>
      <c r="G1410" s="3">
        <f>_xll.QS.EVALUATE(C1410,F1410)</f>
        <v>19978.255522487285</v>
      </c>
      <c r="H1410" s="5" t="s">
        <v>2860</v>
      </c>
      <c r="I1410" s="7">
        <v>1140800</v>
      </c>
      <c r="J1410" s="8">
        <v>3.5800000000000012E-2</v>
      </c>
    </row>
    <row r="1411" spans="1:10" x14ac:dyDescent="0.25">
      <c r="A1411" s="5" t="s">
        <v>2848</v>
      </c>
      <c r="B1411" s="5" t="s">
        <v>2861</v>
      </c>
      <c r="C1411" s="6" t="str">
        <f>_xll.QS.CONTEXT.CREATE("market.1409",A1411,"USD","SOFR")</f>
        <v>QSObject:PricingContext:w1~market.1409:19361</v>
      </c>
      <c r="D1411" s="6" t="str">
        <f>_xll.QS.CONTEXT.ADD.CURVE(C1411,"SOFR",$K$2:$K$7,$L$2:$L$7,,,"Actual360","LogLinear",TRUE)</f>
        <v>QSObject:ContextInput:w1~input.qs_context_add_curve.2359132437744.1410.3.0:38836</v>
      </c>
      <c r="E1411" s="6" t="str">
        <f>_xll.QS.INSTRUMENT.SWAP("swap.1409",H1411,B1411,"USD","SOFR",I1411,J1411,0,"Actual360","Simple","Annual","Annual","Annual")</f>
        <v>QSObject:Swap:w1~swap.1409:19360</v>
      </c>
      <c r="F1411" s="6" t="str">
        <f>_xll.QS.TRADE.CREATE("trade.1409",E1411,A1411,"Receive")</f>
        <v>QSObject:SwapTrade:w1~trade.1409:30382</v>
      </c>
      <c r="G1411" s="3">
        <f>_xll.QS.EVALUATE(C1411,F1411)</f>
        <v>20514.019200595634</v>
      </c>
      <c r="H1411" s="5" t="s">
        <v>2862</v>
      </c>
      <c r="I1411" s="7">
        <v>1140900</v>
      </c>
      <c r="J1411" s="8">
        <v>3.5900000000000001E-2</v>
      </c>
    </row>
    <row r="1412" spans="1:10" x14ac:dyDescent="0.25">
      <c r="A1412" s="5" t="s">
        <v>2850</v>
      </c>
      <c r="B1412" s="5" t="s">
        <v>2863</v>
      </c>
      <c r="C1412" s="6" t="str">
        <f>_xll.QS.CONTEXT.CREATE("market.1410",A1412,"USD","SOFR")</f>
        <v>QSObject:PricingContext:w1~market.1410:19359</v>
      </c>
      <c r="D1412" s="6" t="str">
        <f>_xll.QS.CONTEXT.ADD.CURVE(C1412,"SOFR",$K$2:$K$7,$L$2:$L$7,,,"Actual360","LogLinear",TRUE)</f>
        <v>QSObject:ContextInput:w1~input.qs_context_add_curve.2359132437744.1411.3.0:38835</v>
      </c>
      <c r="E1412" s="6" t="str">
        <f>_xll.QS.INSTRUMENT.SWAP("swap.1410",H1412,B1412,"USD","SOFR",I1412,J1412,0,"Actual360","Simple","Annual","Annual","Annual")</f>
        <v>QSObject:Swap:w1~swap.1410:19358</v>
      </c>
      <c r="F1412" s="6" t="str">
        <f>_xll.QS.TRADE.CREATE("trade.1410",E1412,A1412,"Receive")</f>
        <v>QSObject:SwapTrade:w1~trade.1410:29594</v>
      </c>
      <c r="G1412" s="3">
        <f>_xll.QS.EVALUATE(C1412,F1412)</f>
        <v>21038.697640884388</v>
      </c>
      <c r="H1412" s="5" t="s">
        <v>2864</v>
      </c>
      <c r="I1412" s="7">
        <v>1141000</v>
      </c>
      <c r="J1412" s="8">
        <v>3.5999999999999997E-2</v>
      </c>
    </row>
    <row r="1413" spans="1:10" x14ac:dyDescent="0.25">
      <c r="A1413" s="5" t="s">
        <v>2852</v>
      </c>
      <c r="B1413" s="5" t="s">
        <v>2865</v>
      </c>
      <c r="C1413" s="6" t="str">
        <f>_xll.QS.CONTEXT.CREATE("market.1411",A1413,"USD","SOFR")</f>
        <v>QSObject:PricingContext:w1~market.1411:19357</v>
      </c>
      <c r="D1413" s="6" t="str">
        <f>_xll.QS.CONTEXT.ADD.CURVE(C1413,"SOFR",$K$2:$K$7,$L$2:$L$7,,,"Actual360","LogLinear",TRUE)</f>
        <v>QSObject:ContextInput:w1~input.qs_context_add_curve.2359132437744.1412.3.0:38834</v>
      </c>
      <c r="E1413" s="6" t="str">
        <f>_xll.QS.INSTRUMENT.SWAP("swap.1411",H1413,B1413,"USD","SOFR",I1413,J1413,0,"Actual360","Simple","Annual","Annual","Annual")</f>
        <v>QSObject:Swap:w1~swap.1411:19356</v>
      </c>
      <c r="F1413" s="6" t="str">
        <f>_xll.QS.TRADE.CREATE("trade.1411",E1413,A1413,"Receive")</f>
        <v>QSObject:SwapTrade:w1~trade.1411:30381</v>
      </c>
      <c r="G1413" s="3">
        <f>_xll.QS.EVALUATE(C1413,F1413)</f>
        <v>21522.945852924186</v>
      </c>
      <c r="H1413" s="5" t="s">
        <v>2866</v>
      </c>
      <c r="I1413" s="7">
        <v>1141100</v>
      </c>
      <c r="J1413" s="8">
        <v>3.61E-2</v>
      </c>
    </row>
    <row r="1414" spans="1:10" x14ac:dyDescent="0.25">
      <c r="A1414" s="5" t="s">
        <v>2854</v>
      </c>
      <c r="B1414" s="5" t="s">
        <v>2867</v>
      </c>
      <c r="C1414" s="6" t="str">
        <f>_xll.QS.CONTEXT.CREATE("market.1412",A1414,"USD","SOFR")</f>
        <v>QSObject:PricingContext:w1~market.1412:19355</v>
      </c>
      <c r="D1414" s="6" t="str">
        <f>_xll.QS.CONTEXT.ADD.CURVE(C1414,"SOFR",$K$2:$K$7,$L$2:$L$7,,,"Actual360","LogLinear",TRUE)</f>
        <v>QSObject:ContextInput:w1~input.qs_context_add_curve.2359132437744.1413.3.0:38833</v>
      </c>
      <c r="E1414" s="6" t="str">
        <f>_xll.QS.INSTRUMENT.SWAP("swap.1412",H1414,B1414,"USD","SOFR",I1414,J1414,0,"Actual360","Simple","Annual","Annual","Annual")</f>
        <v>QSObject:Swap:w1~swap.1412:19354</v>
      </c>
      <c r="F1414" s="6" t="str">
        <f>_xll.QS.TRADE.CREATE("trade.1412",E1414,A1414,"Receive")</f>
        <v>QSObject:SwapTrade:w1~trade.1412:28993</v>
      </c>
      <c r="G1414" s="3">
        <f>_xll.QS.EVALUATE(C1414,F1414)</f>
        <v>21977.010692735923</v>
      </c>
      <c r="H1414" s="5" t="s">
        <v>2868</v>
      </c>
      <c r="I1414" s="7">
        <v>1141200</v>
      </c>
      <c r="J1414" s="8">
        <v>3.6200000000000003E-2</v>
      </c>
    </row>
    <row r="1415" spans="1:10" x14ac:dyDescent="0.25">
      <c r="A1415" s="5" t="s">
        <v>2856</v>
      </c>
      <c r="B1415" s="5" t="s">
        <v>2869</v>
      </c>
      <c r="C1415" s="6" t="str">
        <f>_xll.QS.CONTEXT.CREATE("market.1413",A1415,"USD","SOFR")</f>
        <v>QSObject:PricingContext:w1~market.1413:19353</v>
      </c>
      <c r="D1415" s="6" t="str">
        <f>_xll.QS.CONTEXT.ADD.CURVE(C1415,"SOFR",$K$2:$K$7,$L$2:$L$7,,,"Actual360","LogLinear",TRUE)</f>
        <v>QSObject:ContextInput:w1~input.qs_context_add_curve.2359132437744.1414.3.0:38832</v>
      </c>
      <c r="E1415" s="6" t="str">
        <f>_xll.QS.INSTRUMENT.SWAP("swap.1413",H1415,B1415,"USD","SOFR",I1415,J1415,0,"Actual360","Simple","Annual","Annual","Annual")</f>
        <v>QSObject:Swap:w1~swap.1413:19352</v>
      </c>
      <c r="F1415" s="6" t="str">
        <f>_xll.QS.TRADE.CREATE("trade.1413",E1415,A1415,"Receive")</f>
        <v>QSObject:SwapTrade:w1~trade.1413:30380</v>
      </c>
      <c r="G1415" s="3">
        <f>_xll.QS.EVALUATE(C1415,F1415)</f>
        <v>22409.968033109006</v>
      </c>
      <c r="H1415" s="5" t="s">
        <v>2870</v>
      </c>
      <c r="I1415" s="7">
        <v>1141300</v>
      </c>
      <c r="J1415" s="8">
        <v>3.6300000000000013E-2</v>
      </c>
    </row>
    <row r="1416" spans="1:10" x14ac:dyDescent="0.25">
      <c r="A1416" s="5" t="s">
        <v>2858</v>
      </c>
      <c r="B1416" s="5" t="s">
        <v>2871</v>
      </c>
      <c r="C1416" s="6" t="str">
        <f>_xll.QS.CONTEXT.CREATE("market.1414",A1416,"USD","SOFR")</f>
        <v>QSObject:PricingContext:w1~market.1414:19351</v>
      </c>
      <c r="D1416" s="6" t="str">
        <f>_xll.QS.CONTEXT.ADD.CURVE(C1416,"SOFR",$K$2:$K$7,$L$2:$L$7,,,"Actual360","LogLinear",TRUE)</f>
        <v>QSObject:ContextInput:w1~input.qs_context_add_curve.2359132437744.1415.3.0:38831</v>
      </c>
      <c r="E1416" s="6" t="str">
        <f>_xll.QS.INSTRUMENT.SWAP("swap.1414",H1416,B1416,"USD","SOFR",I1416,J1416,0,"Actual360","Simple","Annual","Annual","Annual")</f>
        <v>QSObject:Swap:w1~swap.1414:19350</v>
      </c>
      <c r="F1416" s="6" t="str">
        <f>_xll.QS.TRADE.CREATE("trade.1414",E1416,A1416,"Receive")</f>
        <v>QSObject:SwapTrade:w1~trade.1414:30265</v>
      </c>
      <c r="G1416" s="3">
        <f>_xll.QS.EVALUATE(C1416,F1416)</f>
        <v>22985.861410515943</v>
      </c>
      <c r="H1416" s="5" t="s">
        <v>2872</v>
      </c>
      <c r="I1416" s="7">
        <v>1141400</v>
      </c>
      <c r="J1416" s="8">
        <v>3.6400000000000002E-2</v>
      </c>
    </row>
    <row r="1417" spans="1:10" x14ac:dyDescent="0.25">
      <c r="A1417" s="5" t="s">
        <v>2860</v>
      </c>
      <c r="B1417" s="5" t="s">
        <v>2873</v>
      </c>
      <c r="C1417" s="6" t="str">
        <f>_xll.QS.CONTEXT.CREATE("market.1415",A1417,"USD","SOFR")</f>
        <v>QSObject:PricingContext:w1~market.1415:19349</v>
      </c>
      <c r="D1417" s="6" t="str">
        <f>_xll.QS.CONTEXT.ADD.CURVE(C1417,"SOFR",$K$2:$K$7,$L$2:$L$7,,,"Actual360","LogLinear",TRUE)</f>
        <v>QSObject:ContextInput:w1~input.qs_context_add_curve.2359132437744.1416.3.0:38830</v>
      </c>
      <c r="E1417" s="6" t="str">
        <f>_xll.QS.INSTRUMENT.SWAP("swap.1415",H1417,B1417,"USD","SOFR",I1417,J1417,0,"Actual360","Simple","Annual","Annual","Annual")</f>
        <v>QSObject:Swap:w1~swap.1415:19348</v>
      </c>
      <c r="F1417" s="6" t="str">
        <f>_xll.QS.TRADE.CREATE("trade.1415",E1417,A1417,"Receive")</f>
        <v>QSObject:SwapTrade:w1~trade.1415:28992</v>
      </c>
      <c r="G1417" s="3">
        <f>_xll.QS.EVALUATE(C1417,F1417)</f>
        <v>23546.521437046729</v>
      </c>
      <c r="H1417" s="5" t="s">
        <v>2874</v>
      </c>
      <c r="I1417" s="7">
        <v>1141500</v>
      </c>
      <c r="J1417" s="8">
        <v>3.6499999999999998E-2</v>
      </c>
    </row>
    <row r="1418" spans="1:10" x14ac:dyDescent="0.25">
      <c r="A1418" s="5" t="s">
        <v>2862</v>
      </c>
      <c r="B1418" s="5" t="s">
        <v>2875</v>
      </c>
      <c r="C1418" s="6" t="str">
        <f>_xll.QS.CONTEXT.CREATE("market.1416",A1418,"USD","SOFR")</f>
        <v>QSObject:PricingContext:w1~market.1416:19347</v>
      </c>
      <c r="D1418" s="6" t="str">
        <f>_xll.QS.CONTEXT.ADD.CURVE(C1418,"SOFR",$K$2:$K$7,$L$2:$L$7,,,"Actual360","LogLinear",TRUE)</f>
        <v>QSObject:ContextInput:w1~input.qs_context_add_curve.2359132437744.1417.3.0:38709</v>
      </c>
      <c r="E1418" s="6" t="str">
        <f>_xll.QS.INSTRUMENT.SWAP("swap.1416",H1418,B1418,"USD","SOFR",I1418,J1418,0,"Actual360","Simple","Annual","Annual","Annual")</f>
        <v>QSObject:Swap:w1~swap.1416:19346</v>
      </c>
      <c r="F1418" s="6" t="str">
        <f>_xll.QS.TRADE.CREATE("trade.1416",E1418,A1418,"Receive")</f>
        <v>QSObject:SwapTrade:w1~trade.1416:30264</v>
      </c>
      <c r="G1418" s="3">
        <f>_xll.QS.EVALUATE(C1418,F1418)</f>
        <v>24158.525722944698</v>
      </c>
      <c r="H1418" s="5" t="s">
        <v>2876</v>
      </c>
      <c r="I1418" s="7">
        <v>1141600</v>
      </c>
      <c r="J1418" s="8">
        <v>3.6600000000000001E-2</v>
      </c>
    </row>
    <row r="1419" spans="1:10" x14ac:dyDescent="0.25">
      <c r="A1419" s="5" t="s">
        <v>2864</v>
      </c>
      <c r="B1419" s="5" t="s">
        <v>2877</v>
      </c>
      <c r="C1419" s="6" t="str">
        <f>_xll.QS.CONTEXT.CREATE("market.1417",A1419,"USD","SOFR")</f>
        <v>QSObject:PricingContext:w1~market.1417:19345</v>
      </c>
      <c r="D1419" s="6" t="str">
        <f>_xll.QS.CONTEXT.ADD.CURVE(C1419,"SOFR",$K$2:$K$7,$L$2:$L$7,,,"Actual360","LogLinear",TRUE)</f>
        <v>QSObject:ContextInput:w1~input.qs_context_add_curve.2359132437744.1418.3.0:38708</v>
      </c>
      <c r="E1419" s="6" t="str">
        <f>_xll.QS.INSTRUMENT.SWAP("swap.1417",H1419,B1419,"USD","SOFR",I1419,J1419,0,"Actual360","Simple","Annual","Annual","Annual")</f>
        <v>QSObject:Swap:w1~swap.1417:19344</v>
      </c>
      <c r="F1419" s="6" t="str">
        <f>_xll.QS.TRADE.CREATE("trade.1417",E1419,A1419,"Receive")</f>
        <v>QSObject:SwapTrade:w1~trade.1417:30379</v>
      </c>
      <c r="G1419" s="3">
        <f>_xll.QS.EVALUATE(C1419,F1419)</f>
        <v>24720.636159959533</v>
      </c>
      <c r="H1419" s="5" t="s">
        <v>2878</v>
      </c>
      <c r="I1419" s="7">
        <v>1141700</v>
      </c>
      <c r="J1419" s="8">
        <v>3.6700000000000003E-2</v>
      </c>
    </row>
    <row r="1420" spans="1:10" x14ac:dyDescent="0.25">
      <c r="A1420" s="5" t="s">
        <v>2866</v>
      </c>
      <c r="B1420" s="5" t="s">
        <v>2879</v>
      </c>
      <c r="C1420" s="6" t="str">
        <f>_xll.QS.CONTEXT.CREATE("market.1418",A1420,"USD","SOFR")</f>
        <v>QSObject:PricingContext:w1~market.1418:19343</v>
      </c>
      <c r="D1420" s="6" t="str">
        <f>_xll.QS.CONTEXT.ADD.CURVE(C1420,"SOFR",$K$2:$K$7,$L$2:$L$7,,,"Actual360","LogLinear",TRUE)</f>
        <v>QSObject:ContextInput:w1~input.qs_context_add_curve.2359132437744.1419.3.0:38707</v>
      </c>
      <c r="E1420" s="6" t="str">
        <f>_xll.QS.INSTRUMENT.SWAP("swap.1418",H1420,B1420,"USD","SOFR",I1420,J1420,0,"Actual360","Simple","Annual","Annual","Annual")</f>
        <v>QSObject:Swap:w1~swap.1418:19342</v>
      </c>
      <c r="F1420" s="6" t="str">
        <f>_xll.QS.TRADE.CREATE("trade.1418",E1420,A1420,"Receive")</f>
        <v>QSObject:SwapTrade:w1~trade.1418:30263</v>
      </c>
      <c r="G1420" s="3">
        <f>_xll.QS.EVALUATE(C1420,F1420)</f>
        <v>25192.110235901491</v>
      </c>
      <c r="H1420" s="5" t="s">
        <v>2880</v>
      </c>
      <c r="I1420" s="7">
        <v>1141800</v>
      </c>
      <c r="J1420" s="8">
        <v>3.6800000000000013E-2</v>
      </c>
    </row>
    <row r="1421" spans="1:10" x14ac:dyDescent="0.25">
      <c r="A1421" s="5" t="s">
        <v>2868</v>
      </c>
      <c r="B1421" s="5" t="s">
        <v>2881</v>
      </c>
      <c r="C1421" s="6" t="str">
        <f>_xll.QS.CONTEXT.CREATE("market.1419",A1421,"USD","SOFR")</f>
        <v>QSObject:PricingContext:w1~market.1419:19341</v>
      </c>
      <c r="D1421" s="6" t="str">
        <f>_xll.QS.CONTEXT.ADD.CURVE(C1421,"SOFR",$K$2:$K$7,$L$2:$L$7,,,"Actual360","LogLinear",TRUE)</f>
        <v>QSObject:ContextInput:w1~input.qs_context_add_curve.2359132437744.1420.3.0:38706</v>
      </c>
      <c r="E1421" s="6" t="str">
        <f>_xll.QS.INSTRUMENT.SWAP("swap.1419",H1421,B1421,"USD","SOFR",I1421,J1421,0,"Actual360","Simple","Annual","Annual","Annual")</f>
        <v>QSObject:Swap:w1~swap.1419:19340</v>
      </c>
      <c r="F1421" s="6" t="str">
        <f>_xll.QS.TRADE.CREATE("trade.1419",E1421,A1421,"Receive")</f>
        <v>QSObject:SwapTrade:w1~trade.1419:28991</v>
      </c>
      <c r="G1421" s="3">
        <f>_xll.QS.EVALUATE(C1421,F1421)</f>
        <v>25673.2440989645</v>
      </c>
      <c r="H1421" s="5" t="s">
        <v>2882</v>
      </c>
      <c r="I1421" s="7">
        <v>1141900</v>
      </c>
      <c r="J1421" s="8">
        <v>3.6900000000000002E-2</v>
      </c>
    </row>
    <row r="1422" spans="1:10" x14ac:dyDescent="0.25">
      <c r="A1422" s="5" t="s">
        <v>2870</v>
      </c>
      <c r="B1422" s="5" t="s">
        <v>2883</v>
      </c>
      <c r="C1422" s="6" t="str">
        <f>_xll.QS.CONTEXT.CREATE("market.1420",A1422,"USD","SOFR")</f>
        <v>QSObject:PricingContext:w1~market.1420:19339</v>
      </c>
      <c r="D1422" s="6" t="str">
        <f>_xll.QS.CONTEXT.ADD.CURVE(C1422,"SOFR",$K$2:$K$7,$L$2:$L$7,,,"Actual360","LogLinear",TRUE)</f>
        <v>QSObject:ContextInput:w1~input.qs_context_add_curve.2359132437744.1421.3.0:38705</v>
      </c>
      <c r="E1422" s="6" t="str">
        <f>_xll.QS.INSTRUMENT.SWAP("swap.1420",H1422,B1422,"USD","SOFR",I1422,J1422,0,"Actual360","Simple","Annual","Annual","Annual")</f>
        <v>QSObject:Swap:w1~swap.1420:19338</v>
      </c>
      <c r="F1422" s="6" t="str">
        <f>_xll.QS.TRADE.CREATE("trade.1420",E1422,A1422,"Receive")</f>
        <v>QSObject:SwapTrade:w1~trade.1420:29593</v>
      </c>
      <c r="G1422" s="3">
        <f>_xll.QS.EVALUATE(C1422,F1422)</f>
        <v>26112.373928620658</v>
      </c>
      <c r="H1422" s="5" t="s">
        <v>2884</v>
      </c>
      <c r="I1422" s="7">
        <v>1142000</v>
      </c>
      <c r="J1422" s="8">
        <v>3.7000000000000012E-2</v>
      </c>
    </row>
    <row r="1423" spans="1:10" x14ac:dyDescent="0.25">
      <c r="A1423" s="5" t="s">
        <v>2872</v>
      </c>
      <c r="B1423" s="5" t="s">
        <v>2885</v>
      </c>
      <c r="C1423" s="6" t="str">
        <f>_xll.QS.CONTEXT.CREATE("market.1421",A1423,"USD","SOFR")</f>
        <v>QSObject:PricingContext:w1~market.1421:19337</v>
      </c>
      <c r="D1423" s="6" t="str">
        <f>_xll.QS.CONTEXT.ADD.CURVE(C1423,"SOFR",$K$2:$K$7,$L$2:$L$7,,,"Actual360","LogLinear",TRUE)</f>
        <v>QSObject:ContextInput:w1~input.qs_context_add_curve.2359132437744.1422.3.0:38704</v>
      </c>
      <c r="E1423" s="6" t="str">
        <f>_xll.QS.INSTRUMENT.SWAP("swap.1421",H1423,B1423,"USD","SOFR",I1423,J1423,0,"Actual360","Simple","Annual","Annual","Annual")</f>
        <v>QSObject:Swap:w1~swap.1421:19336</v>
      </c>
      <c r="F1423" s="6" t="str">
        <f>_xll.QS.TRADE.CREATE("trade.1421",E1423,A1423,"Receive")</f>
        <v>QSObject:SwapTrade:w1~trade.1421:30378</v>
      </c>
      <c r="G1423" s="3">
        <f>_xll.QS.EVALUATE(C1423,F1423)</f>
        <v>26730.534620050505</v>
      </c>
      <c r="H1423" s="5" t="s">
        <v>2886</v>
      </c>
      <c r="I1423" s="7">
        <v>1142100</v>
      </c>
      <c r="J1423" s="8">
        <v>3.7100000000000001E-2</v>
      </c>
    </row>
    <row r="1424" spans="1:10" x14ac:dyDescent="0.25">
      <c r="A1424" s="5" t="s">
        <v>2874</v>
      </c>
      <c r="B1424" s="5" t="s">
        <v>2887</v>
      </c>
      <c r="C1424" s="6" t="str">
        <f>_xll.QS.CONTEXT.CREATE("market.1422",A1424,"USD","SOFR")</f>
        <v>QSObject:PricingContext:w1~market.1422:19335</v>
      </c>
      <c r="D1424" s="6" t="str">
        <f>_xll.QS.CONTEXT.ADD.CURVE(C1424,"SOFR",$K$2:$K$7,$L$2:$L$7,,,"Actual360","LogLinear",TRUE)</f>
        <v>QSObject:ContextInput:w1~input.qs_context_add_curve.2359132437744.1423.3.0:38703</v>
      </c>
      <c r="E1424" s="6" t="str">
        <f>_xll.QS.INSTRUMENT.SWAP("swap.1422",H1424,B1424,"USD","SOFR",I1424,J1424,0,"Actual360","Simple","Annual","Annual","Annual")</f>
        <v>QSObject:Swap:w1~swap.1422:19334</v>
      </c>
      <c r="F1424" s="6" t="str">
        <f>_xll.QS.TRADE.CREATE("trade.1422",E1424,A1424,"Receive")</f>
        <v>QSObject:SwapTrade:w1~trade.1422:28990</v>
      </c>
      <c r="G1424" s="3">
        <f>_xll.QS.EVALUATE(C1424,F1424)</f>
        <v>27378.582697735732</v>
      </c>
      <c r="H1424" s="5" t="s">
        <v>2888</v>
      </c>
      <c r="I1424" s="7">
        <v>1142200</v>
      </c>
      <c r="J1424" s="8">
        <v>3.7199999999999997E-2</v>
      </c>
    </row>
    <row r="1425" spans="1:10" x14ac:dyDescent="0.25">
      <c r="A1425" s="5" t="s">
        <v>2876</v>
      </c>
      <c r="B1425" s="5" t="s">
        <v>2889</v>
      </c>
      <c r="C1425" s="6" t="str">
        <f>_xll.QS.CONTEXT.CREATE("market.1423",A1425,"USD","SOFR")</f>
        <v>QSObject:PricingContext:w1~market.1423:19333</v>
      </c>
      <c r="D1425" s="6" t="str">
        <f>_xll.QS.CONTEXT.ADD.CURVE(C1425,"SOFR",$K$2:$K$7,$L$2:$L$7,,,"Actual360","LogLinear",TRUE)</f>
        <v>QSObject:ContextInput:w1~input.qs_context_add_curve.2359132437744.1424.3.0:38702</v>
      </c>
      <c r="E1425" s="6" t="str">
        <f>_xll.QS.INSTRUMENT.SWAP("swap.1423",H1425,B1425,"USD","SOFR",I1425,J1425,0,"Actual360","Simple","Annual","Annual","Annual")</f>
        <v>QSObject:Swap:w1~swap.1423:19332</v>
      </c>
      <c r="F1425" s="6" t="str">
        <f>_xll.QS.TRADE.CREATE("trade.1423",E1425,A1425,"Receive")</f>
        <v>QSObject:SwapTrade:w1~trade.1423:30262</v>
      </c>
      <c r="G1425" s="3">
        <f>_xll.QS.EVALUATE(C1425,F1425)</f>
        <v>27913.792308109634</v>
      </c>
      <c r="H1425" s="5" t="s">
        <v>2890</v>
      </c>
      <c r="I1425" s="7">
        <v>1142300</v>
      </c>
      <c r="J1425" s="8">
        <v>3.73E-2</v>
      </c>
    </row>
    <row r="1426" spans="1:10" x14ac:dyDescent="0.25">
      <c r="A1426" s="5" t="s">
        <v>2878</v>
      </c>
      <c r="B1426" s="5" t="s">
        <v>2891</v>
      </c>
      <c r="C1426" s="6" t="str">
        <f>_xll.QS.CONTEXT.CREATE("market.1424",A1426,"USD","SOFR")</f>
        <v>QSObject:PricingContext:w1~market.1424:19331</v>
      </c>
      <c r="D1426" s="6" t="str">
        <f>_xll.QS.CONTEXT.ADD.CURVE(C1426,"SOFR",$K$2:$K$7,$L$2:$L$7,,,"Actual360","LogLinear",TRUE)</f>
        <v>QSObject:ContextInput:w1~input.qs_context_add_curve.2359132437744.1425.3.0:38701</v>
      </c>
      <c r="E1426" s="6" t="str">
        <f>_xll.QS.INSTRUMENT.SWAP("swap.1424",H1426,B1426,"USD","SOFR",I1426,J1426,0,"Actual360","Simple","Annual","Annual","Annual")</f>
        <v>QSObject:Swap:w1~swap.1424:19330</v>
      </c>
      <c r="F1426" s="6" t="str">
        <f>_xll.QS.TRADE.CREATE("trade.1424",E1426,A1426,"Receive")</f>
        <v>QSObject:SwapTrade:w1~trade.1424:28989</v>
      </c>
      <c r="G1426" s="3">
        <f>_xll.QS.EVALUATE(C1426,F1426)</f>
        <v>28439.73133597129</v>
      </c>
      <c r="H1426" s="5" t="s">
        <v>2892</v>
      </c>
      <c r="I1426" s="7">
        <v>1142400</v>
      </c>
      <c r="J1426" s="8">
        <v>3.7400000000000003E-2</v>
      </c>
    </row>
    <row r="1427" spans="1:10" x14ac:dyDescent="0.25">
      <c r="A1427" s="5" t="s">
        <v>2880</v>
      </c>
      <c r="B1427" s="5" t="s">
        <v>2893</v>
      </c>
      <c r="C1427" s="6" t="str">
        <f>_xll.QS.CONTEXT.CREATE("market.1425",A1427,"USD","SOFR")</f>
        <v>QSObject:PricingContext:w1~market.1425:19329</v>
      </c>
      <c r="D1427" s="6" t="str">
        <f>_xll.QS.CONTEXT.ADD.CURVE(C1427,"SOFR",$K$2:$K$7,$L$2:$L$7,,,"Actual360","LogLinear",TRUE)</f>
        <v>QSObject:ContextInput:w1~input.qs_context_add_curve.2359132437744.1426.3.0:38700</v>
      </c>
      <c r="E1427" s="6" t="str">
        <f>_xll.QS.INSTRUMENT.SWAP("swap.1425",H1427,B1427,"USD","SOFR",I1427,J1427,0,"Actual360","Simple","Annual","Annual","Annual")</f>
        <v>QSObject:Swap:w1~swap.1425:19328</v>
      </c>
      <c r="F1427" s="6" t="str">
        <f>_xll.QS.TRADE.CREATE("trade.1425",E1427,A1427,"Receive")</f>
        <v>QSObject:SwapTrade:w1~trade.1425:29592</v>
      </c>
      <c r="G1427" s="3">
        <f>_xll.QS.EVALUATE(C1427,F1427)</f>
        <v>28924.929646408145</v>
      </c>
      <c r="H1427" s="5" t="s">
        <v>2894</v>
      </c>
      <c r="I1427" s="7">
        <v>1142500</v>
      </c>
      <c r="J1427" s="8">
        <v>3.7500000000000012E-2</v>
      </c>
    </row>
    <row r="1428" spans="1:10" x14ac:dyDescent="0.25">
      <c r="A1428" s="5" t="s">
        <v>2882</v>
      </c>
      <c r="B1428" s="5" t="s">
        <v>2895</v>
      </c>
      <c r="C1428" s="6" t="str">
        <f>_xll.QS.CONTEXT.CREATE("market.1426",A1428,"USD","SOFR")</f>
        <v>QSObject:PricingContext:w1~market.1426:19327</v>
      </c>
      <c r="D1428" s="6" t="str">
        <f>_xll.QS.CONTEXT.ADD.CURVE(C1428,"SOFR",$K$2:$K$7,$L$2:$L$7,,,"Actual360","LogLinear",TRUE)</f>
        <v>QSObject:ContextInput:w1~input.qs_context_add_curve.2359132437744.1427.3.0:38699</v>
      </c>
      <c r="E1428" s="6" t="str">
        <f>_xll.QS.INSTRUMENT.SWAP("swap.1426",H1428,B1428,"USD","SOFR",I1428,J1428,0,"Actual360","Simple","Annual","Annual","Annual")</f>
        <v>QSObject:Swap:w1~swap.1426:19326</v>
      </c>
      <c r="F1428" s="6" t="str">
        <f>_xll.QS.TRADE.CREATE("trade.1426",E1428,A1428,"Receive")</f>
        <v>QSObject:SwapTrade:w1~trade.1426:30377</v>
      </c>
      <c r="G1428" s="3">
        <f>_xll.QS.EVALUATE(C1428,F1428)</f>
        <v>29371.468494803015</v>
      </c>
      <c r="H1428" s="5" t="s">
        <v>2896</v>
      </c>
      <c r="I1428" s="7">
        <v>1142600</v>
      </c>
      <c r="J1428" s="8">
        <v>3.7600000000000001E-2</v>
      </c>
    </row>
    <row r="1429" spans="1:10" x14ac:dyDescent="0.25">
      <c r="A1429" s="5" t="s">
        <v>2884</v>
      </c>
      <c r="B1429" s="5" t="s">
        <v>2897</v>
      </c>
      <c r="C1429" s="6" t="str">
        <f>_xll.QS.CONTEXT.CREATE("market.1427",A1429,"USD","SOFR")</f>
        <v>QSObject:PricingContext:w1~market.1427:19325</v>
      </c>
      <c r="D1429" s="6" t="str">
        <f>_xll.QS.CONTEXT.ADD.CURVE(C1429,"SOFR",$K$2:$K$7,$L$2:$L$7,,,"Actual360","LogLinear",TRUE)</f>
        <v>QSObject:ContextInput:w1~input.qs_context_add_curve.2359132437744.1428.3.0:38698</v>
      </c>
      <c r="E1429" s="6" t="str">
        <f>_xll.QS.INSTRUMENT.SWAP("swap.1427",H1429,B1429,"USD","SOFR",I1429,J1429,0,"Actual360","Simple","Annual","Annual","Annual")</f>
        <v>QSObject:Swap:w1~swap.1427:19324</v>
      </c>
      <c r="F1429" s="6" t="str">
        <f>_xll.QS.TRADE.CREATE("trade.1427",E1429,A1429,"Receive")</f>
        <v>QSObject:SwapTrade:w1~trade.1427:30261</v>
      </c>
      <c r="G1429" s="3">
        <f>_xll.QS.EVALUATE(C1429,F1429)</f>
        <v>29816.918944107649</v>
      </c>
      <c r="H1429" s="5" t="s">
        <v>2898</v>
      </c>
      <c r="I1429" s="7">
        <v>1142700</v>
      </c>
      <c r="J1429" s="8">
        <v>3.7699999999999997E-2</v>
      </c>
    </row>
    <row r="1430" spans="1:10" x14ac:dyDescent="0.25">
      <c r="A1430" s="5" t="s">
        <v>2886</v>
      </c>
      <c r="B1430" s="5" t="s">
        <v>2899</v>
      </c>
      <c r="C1430" s="6" t="str">
        <f>_xll.QS.CONTEXT.CREATE("market.1428",A1430,"USD","SOFR")</f>
        <v>QSObject:PricingContext:w1~market.1428:19323</v>
      </c>
      <c r="D1430" s="6" t="str">
        <f>_xll.QS.CONTEXT.ADD.CURVE(C1430,"SOFR",$K$2:$K$7,$L$2:$L$7,,,"Actual360","LogLinear",TRUE)</f>
        <v>QSObject:ContextInput:w1~input.qs_context_add_curve.2359132437744.1429.3.0:38697</v>
      </c>
      <c r="E1430" s="6" t="str">
        <f>_xll.QS.INSTRUMENT.SWAP("swap.1428",H1430,B1430,"USD","SOFR",I1430,J1430,0,"Actual360","Simple","Annual","Annual","Annual")</f>
        <v>QSObject:Swap:w1~swap.1428:19322</v>
      </c>
      <c r="F1430" s="6" t="str">
        <f>_xll.QS.TRADE.CREATE("trade.1428",E1430,A1430,"Receive")</f>
        <v>QSObject:SwapTrade:w1~trade.1428:29591</v>
      </c>
      <c r="G1430" s="3">
        <f>_xll.QS.EVALUATE(C1430,F1430)</f>
        <v>30395.376591548087</v>
      </c>
      <c r="H1430" s="5" t="s">
        <v>2900</v>
      </c>
      <c r="I1430" s="7">
        <v>1142800</v>
      </c>
      <c r="J1430" s="8">
        <v>3.78E-2</v>
      </c>
    </row>
    <row r="1431" spans="1:10" x14ac:dyDescent="0.25">
      <c r="A1431" s="5" t="s">
        <v>2888</v>
      </c>
      <c r="B1431" s="5" t="s">
        <v>2901</v>
      </c>
      <c r="C1431" s="6" t="str">
        <f>_xll.QS.CONTEXT.CREATE("market.1429",A1431,"USD","SOFR")</f>
        <v>QSObject:PricingContext:w1~market.1429:19321</v>
      </c>
      <c r="D1431" s="6" t="str">
        <f>_xll.QS.CONTEXT.ADD.CURVE(C1431,"SOFR",$K$2:$K$7,$L$2:$L$7,,,"Actual360","LogLinear",TRUE)</f>
        <v>QSObject:ContextInput:w1~input.qs_context_add_curve.2359132437744.1430.3.0:38696</v>
      </c>
      <c r="E1431" s="6" t="str">
        <f>_xll.QS.INSTRUMENT.SWAP("swap.1429",H1431,B1431,"USD","SOFR",I1431,J1431,0,"Actual360","Simple","Annual","Annual","Annual")</f>
        <v>QSObject:Swap:w1~swap.1429:19320</v>
      </c>
      <c r="F1431" s="6" t="str">
        <f>_xll.QS.TRADE.CREATE("trade.1429",E1431,A1431,"Receive")</f>
        <v>QSObject:SwapTrade:w1~trade.1429:29590</v>
      </c>
      <c r="G1431" s="3">
        <f>_xll.QS.EVALUATE(C1431,F1431)</f>
        <v>30953.819033458338</v>
      </c>
      <c r="H1431" s="5" t="s">
        <v>2902</v>
      </c>
      <c r="I1431" s="7">
        <v>1142900</v>
      </c>
      <c r="J1431" s="8">
        <v>3.7900000000000003E-2</v>
      </c>
    </row>
    <row r="1432" spans="1:10" x14ac:dyDescent="0.25">
      <c r="A1432" s="5" t="s">
        <v>2890</v>
      </c>
      <c r="B1432" s="5" t="s">
        <v>2903</v>
      </c>
      <c r="C1432" s="6" t="str">
        <f>_xll.QS.CONTEXT.CREATE("market.1430",A1432,"USD","SOFR")</f>
        <v>QSObject:PricingContext:w1~market.1430:19319</v>
      </c>
      <c r="D1432" s="6" t="str">
        <f>_xll.QS.CONTEXT.ADD.CURVE(C1432,"SOFR",$K$2:$K$7,$L$2:$L$7,,,"Actual360","LogLinear",TRUE)</f>
        <v>QSObject:ContextInput:w1~input.qs_context_add_curve.2359132437744.1431.3.0:38695</v>
      </c>
      <c r="E1432" s="6" t="str">
        <f>_xll.QS.INSTRUMENT.SWAP("swap.1430",H1432,B1432,"USD","SOFR",I1432,J1432,0,"Actual360","Simple","Annual","Annual","Annual")</f>
        <v>QSObject:Swap:w1~swap.1430:19318</v>
      </c>
      <c r="F1432" s="6" t="str">
        <f>_xll.QS.TRADE.CREATE("trade.1430",E1432,A1432,"Receive")</f>
        <v>QSObject:SwapTrade:w1~trade.1430:30376</v>
      </c>
      <c r="G1432" s="3">
        <f>_xll.QS.EVALUATE(C1432,F1432)</f>
        <v>31567.368277973725</v>
      </c>
      <c r="H1432" s="5" t="s">
        <v>2904</v>
      </c>
      <c r="I1432" s="7">
        <v>1143000</v>
      </c>
      <c r="J1432" s="8">
        <v>3.8000000000000013E-2</v>
      </c>
    </row>
    <row r="1433" spans="1:10" x14ac:dyDescent="0.25">
      <c r="A1433" s="5" t="s">
        <v>2892</v>
      </c>
      <c r="B1433" s="5" t="s">
        <v>2905</v>
      </c>
      <c r="C1433" s="6" t="str">
        <f>_xll.QS.CONTEXT.CREATE("market.1431",A1433,"USD","SOFR")</f>
        <v>QSObject:PricingContext:w1~market.1431:19317</v>
      </c>
      <c r="D1433" s="6" t="str">
        <f>_xll.QS.CONTEXT.ADD.CURVE(C1433,"SOFR",$K$2:$K$7,$L$2:$L$7,,,"Actual360","LogLinear",TRUE)</f>
        <v>QSObject:ContextInput:w1~input.qs_context_add_curve.2359132437744.1432.3.0:38694</v>
      </c>
      <c r="E1433" s="6" t="str">
        <f>_xll.QS.INSTRUMENT.SWAP("swap.1431",H1433,B1433,"USD","SOFR",I1433,J1433,0,"Actual360","Simple","Annual","Annual","Annual")</f>
        <v>QSObject:Swap:w1~swap.1431:19316</v>
      </c>
      <c r="F1433" s="6" t="str">
        <f>_xll.QS.TRADE.CREATE("trade.1431",E1433,A1433,"Receive")</f>
        <v>QSObject:SwapTrade:w1~trade.1431:28988</v>
      </c>
      <c r="G1433" s="3">
        <f>_xll.QS.EVALUATE(C1433,F1433)</f>
        <v>32147.231590666979</v>
      </c>
      <c r="H1433" s="5" t="s">
        <v>2906</v>
      </c>
      <c r="I1433" s="7">
        <v>1143100</v>
      </c>
      <c r="J1433" s="8">
        <v>3.8100000000000002E-2</v>
      </c>
    </row>
    <row r="1434" spans="1:10" x14ac:dyDescent="0.25">
      <c r="A1434" s="5" t="s">
        <v>2894</v>
      </c>
      <c r="B1434" s="5" t="s">
        <v>2907</v>
      </c>
      <c r="C1434" s="6" t="str">
        <f>_xll.QS.CONTEXT.CREATE("market.1432",A1434,"USD","SOFR")</f>
        <v>QSObject:PricingContext:w1~market.1432:19315</v>
      </c>
      <c r="D1434" s="6" t="str">
        <f>_xll.QS.CONTEXT.ADD.CURVE(C1434,"SOFR",$K$2:$K$7,$L$2:$L$7,,,"Actual360","LogLinear",TRUE)</f>
        <v>QSObject:ContextInput:w1~input.qs_context_add_curve.2359132437744.1433.3.0:38693</v>
      </c>
      <c r="E1434" s="6" t="str">
        <f>_xll.QS.INSTRUMENT.SWAP("swap.1432",H1434,B1434,"USD","SOFR",I1434,J1434,0,"Actual360","Simple","Annual","Annual","Annual")</f>
        <v>QSObject:Swap:w1~swap.1432:19314</v>
      </c>
      <c r="F1434" s="6" t="str">
        <f>_xll.QS.TRADE.CREATE("trade.1432",E1434,A1434,"Receive")</f>
        <v>QSObject:SwapTrade:w1~trade.1432:30260</v>
      </c>
      <c r="G1434" s="3">
        <f>_xll.QS.EVALUATE(C1434,F1434)</f>
        <v>32633.214369759215</v>
      </c>
      <c r="H1434" s="5" t="s">
        <v>2908</v>
      </c>
      <c r="I1434" s="7">
        <v>1143200</v>
      </c>
      <c r="J1434" s="8">
        <v>3.8199999999999998E-2</v>
      </c>
    </row>
    <row r="1435" spans="1:10" x14ac:dyDescent="0.25">
      <c r="A1435" s="5" t="s">
        <v>2896</v>
      </c>
      <c r="B1435" s="5" t="s">
        <v>2909</v>
      </c>
      <c r="C1435" s="6" t="str">
        <f>_xll.QS.CONTEXT.CREATE("market.1433",A1435,"USD","SOFR")</f>
        <v>QSObject:PricingContext:w1~market.1433:19313</v>
      </c>
      <c r="D1435" s="6" t="str">
        <f>_xll.QS.CONTEXT.ADD.CURVE(C1435,"SOFR",$K$2:$K$7,$L$2:$L$7,,,"Actual360","LogLinear",TRUE)</f>
        <v>QSObject:ContextInput:w1~input.qs_context_add_curve.2359132437744.1434.3.0:38692</v>
      </c>
      <c r="E1435" s="6" t="str">
        <f>_xll.QS.INSTRUMENT.SWAP("swap.1433",H1435,B1435,"USD","SOFR",I1435,J1435,0,"Actual360","Simple","Annual","Annual","Annual")</f>
        <v>QSObject:Swap:w1~swap.1433:19312</v>
      </c>
      <c r="F1435" s="6" t="str">
        <f>_xll.QS.TRADE.CREATE("trade.1433",E1435,A1435,"Receive")</f>
        <v>QSObject:SwapTrade:w1~trade.1433:29589</v>
      </c>
      <c r="G1435" s="3">
        <f>_xll.QS.EVALUATE(C1435,F1435)</f>
        <v>33076.041128227094</v>
      </c>
      <c r="H1435" s="5" t="s">
        <v>2910</v>
      </c>
      <c r="I1435" s="7">
        <v>1143300</v>
      </c>
      <c r="J1435" s="8">
        <v>3.8300000000000001E-2</v>
      </c>
    </row>
    <row r="1436" spans="1:10" x14ac:dyDescent="0.25">
      <c r="A1436" s="5" t="s">
        <v>2898</v>
      </c>
      <c r="B1436" s="5" t="s">
        <v>2911</v>
      </c>
      <c r="C1436" s="6" t="str">
        <f>_xll.QS.CONTEXT.CREATE("market.1434",A1436,"USD","SOFR")</f>
        <v>QSObject:PricingContext:w1~market.1434:19311</v>
      </c>
      <c r="D1436" s="6" t="str">
        <f>_xll.QS.CONTEXT.ADD.CURVE(C1436,"SOFR",$K$2:$K$7,$L$2:$L$7,,,"Actual360","LogLinear",TRUE)</f>
        <v>QSObject:ContextInput:w1~input.qs_context_add_curve.2359132437744.1435.3.0:38691</v>
      </c>
      <c r="E1436" s="6" t="str">
        <f>_xll.QS.INSTRUMENT.SWAP("swap.1434",H1436,B1436,"USD","SOFR",I1436,J1436,0,"Actual360","Simple","Annual","Annual","Annual")</f>
        <v>QSObject:Swap:w1~swap.1434:19310</v>
      </c>
      <c r="F1436" s="6" t="str">
        <f>_xll.QS.TRADE.CREATE("trade.1434",E1436,A1436,"Receive")</f>
        <v>QSObject:SwapTrade:w1~trade.1434:30259</v>
      </c>
      <c r="G1436" s="3">
        <f>_xll.QS.EVALUATE(C1436,F1436)</f>
        <v>33527.92497438936</v>
      </c>
      <c r="H1436" s="5" t="s">
        <v>2912</v>
      </c>
      <c r="I1436" s="7">
        <v>1143400</v>
      </c>
      <c r="J1436" s="8">
        <v>3.8399999999999997E-2</v>
      </c>
    </row>
    <row r="1437" spans="1:10" x14ac:dyDescent="0.25">
      <c r="A1437" s="5" t="s">
        <v>2900</v>
      </c>
      <c r="B1437" s="5" t="s">
        <v>2913</v>
      </c>
      <c r="C1437" s="6" t="str">
        <f>_xll.QS.CONTEXT.CREATE("market.1435",A1437,"USD","SOFR")</f>
        <v>QSObject:PricingContext:w1~market.1435:19309</v>
      </c>
      <c r="D1437" s="6" t="str">
        <f>_xll.QS.CONTEXT.ADD.CURVE(C1437,"SOFR",$K$2:$K$7,$L$2:$L$7,,,"Actual360","LogLinear",TRUE)</f>
        <v>QSObject:ContextInput:w1~input.qs_context_add_curve.2359132437744.1436.3.0:38690</v>
      </c>
      <c r="E1437" s="6" t="str">
        <f>_xll.QS.INSTRUMENT.SWAP("swap.1435",H1437,B1437,"USD","SOFR",I1437,J1437,0,"Actual360","Simple","Annual","Annual","Annual")</f>
        <v>QSObject:Swap:w1~swap.1435:19308</v>
      </c>
      <c r="F1437" s="6" t="str">
        <f>_xll.QS.TRADE.CREATE("trade.1435",E1437,A1437,"Receive")</f>
        <v>QSObject:SwapTrade:w1~trade.1435:30375</v>
      </c>
      <c r="G1437" s="3">
        <f>_xll.QS.EVALUATE(C1437,F1437)</f>
        <v>34106.916110338221</v>
      </c>
      <c r="H1437" s="5" t="s">
        <v>2914</v>
      </c>
      <c r="I1437" s="7">
        <v>1143500</v>
      </c>
      <c r="J1437" s="8">
        <v>3.8500000000000013E-2</v>
      </c>
    </row>
    <row r="1438" spans="1:10" x14ac:dyDescent="0.25">
      <c r="A1438" s="5" t="s">
        <v>2902</v>
      </c>
      <c r="B1438" s="5" t="s">
        <v>2915</v>
      </c>
      <c r="C1438" s="6" t="str">
        <f>_xll.QS.CONTEXT.CREATE("market.1436",A1438,"USD","SOFR")</f>
        <v>QSObject:PricingContext:w1~market.1436:19307</v>
      </c>
      <c r="D1438" s="6" t="str">
        <f>_xll.QS.CONTEXT.ADD.CURVE(C1438,"SOFR",$K$2:$K$7,$L$2:$L$7,,,"Actual360","LogLinear",TRUE)</f>
        <v>QSObject:ContextInput:w1~input.qs_context_add_curve.2359132437744.1437.3.0:38689</v>
      </c>
      <c r="E1438" s="6" t="str">
        <f>_xll.QS.INSTRUMENT.SWAP("swap.1436",H1438,B1438,"USD","SOFR",I1438,J1438,0,"Actual360","Simple","Annual","Annual","Annual")</f>
        <v>QSObject:Swap:w1~swap.1436:19306</v>
      </c>
      <c r="F1438" s="6" t="str">
        <f>_xll.QS.TRADE.CREATE("trade.1436",E1438,A1438,"Receive")</f>
        <v>QSObject:SwapTrade:w1~trade.1436:29588</v>
      </c>
      <c r="G1438" s="3">
        <f>_xll.QS.EVALUATE(C1438,F1438)</f>
        <v>34664.228224004895</v>
      </c>
      <c r="H1438" s="5" t="s">
        <v>2916</v>
      </c>
      <c r="I1438" s="7">
        <v>1143600</v>
      </c>
      <c r="J1438" s="8">
        <v>3.8600000000000002E-2</v>
      </c>
    </row>
    <row r="1439" spans="1:10" x14ac:dyDescent="0.25">
      <c r="A1439" s="5" t="s">
        <v>2904</v>
      </c>
      <c r="B1439" s="5" t="s">
        <v>2917</v>
      </c>
      <c r="C1439" s="6" t="str">
        <f>_xll.QS.CONTEXT.CREATE("market.1437",A1439,"USD","SOFR")</f>
        <v>QSObject:PricingContext:w1~market.1437:19305</v>
      </c>
      <c r="D1439" s="6" t="str">
        <f>_xll.QS.CONTEXT.ADD.CURVE(C1439,"SOFR",$K$2:$K$7,$L$2:$L$7,,,"Actual360","LogLinear",TRUE)</f>
        <v>QSObject:ContextInput:w1~input.qs_context_add_curve.2359132437744.1438.3.0:38688</v>
      </c>
      <c r="E1439" s="6" t="str">
        <f>_xll.QS.INSTRUMENT.SWAP("swap.1437",H1439,B1439,"USD","SOFR",I1439,J1439,0,"Actual360","Simple","Annual","Annual","Annual")</f>
        <v>QSObject:Swap:w1~swap.1437:19304</v>
      </c>
      <c r="F1439" s="6" t="str">
        <f>_xll.QS.TRADE.CREATE("trade.1437",E1439,A1439,"Receive")</f>
        <v>QSObject:SwapTrade:w1~trade.1437:30258</v>
      </c>
      <c r="G1439" s="3">
        <f>_xll.QS.EVALUATE(C1439,F1439)</f>
        <v>35278.532775591302</v>
      </c>
      <c r="H1439" s="5" t="s">
        <v>2918</v>
      </c>
      <c r="I1439" s="7">
        <v>1143700</v>
      </c>
      <c r="J1439" s="8">
        <v>3.8700000000000012E-2</v>
      </c>
    </row>
    <row r="1440" spans="1:10" x14ac:dyDescent="0.25">
      <c r="A1440" s="5" t="s">
        <v>2906</v>
      </c>
      <c r="B1440" s="5" t="s">
        <v>2919</v>
      </c>
      <c r="C1440" s="6" t="str">
        <f>_xll.QS.CONTEXT.CREATE("market.1438",A1440,"USD","SOFR")</f>
        <v>QSObject:PricingContext:w1~market.1438:19303</v>
      </c>
      <c r="D1440" s="6" t="str">
        <f>_xll.QS.CONTEXT.ADD.CURVE(C1440,"SOFR",$K$2:$K$7,$L$2:$L$7,,,"Actual360","LogLinear",TRUE)</f>
        <v>QSObject:ContextInput:w1~input.qs_context_add_curve.2359132437744.1439.3.0:38687</v>
      </c>
      <c r="E1440" s="6" t="str">
        <f>_xll.QS.INSTRUMENT.SWAP("swap.1438",H1440,B1440,"USD","SOFR",I1440,J1440,0,"Actual360","Simple","Annual","Annual","Annual")</f>
        <v>QSObject:Swap:w1~swap.1438:19302</v>
      </c>
      <c r="F1440" s="6" t="str">
        <f>_xll.QS.TRADE.CREATE("trade.1438",E1440,A1440,"Receive")</f>
        <v>QSObject:SwapTrade:w1~trade.1438:29587</v>
      </c>
      <c r="G1440" s="3">
        <f>_xll.QS.EVALUATE(C1440,F1440)</f>
        <v>35859.114666738751</v>
      </c>
      <c r="H1440" s="5" t="s">
        <v>2920</v>
      </c>
      <c r="I1440" s="7">
        <v>1143800</v>
      </c>
      <c r="J1440" s="8">
        <v>3.8800000000000001E-2</v>
      </c>
    </row>
    <row r="1441" spans="1:10" x14ac:dyDescent="0.25">
      <c r="A1441" s="5" t="s">
        <v>2908</v>
      </c>
      <c r="B1441" s="5" t="s">
        <v>2921</v>
      </c>
      <c r="C1441" s="6" t="str">
        <f>_xll.QS.CONTEXT.CREATE("market.1439",A1441,"USD","SOFR")</f>
        <v>QSObject:PricingContext:w1~market.1439:19301</v>
      </c>
      <c r="D1441" s="6" t="str">
        <f>_xll.QS.CONTEXT.ADD.CURVE(C1441,"SOFR",$K$2:$K$7,$L$2:$L$7,,,"Actual360","LogLinear",TRUE)</f>
        <v>QSObject:ContextInput:w1~input.qs_context_add_curve.2359132437744.1440.3.0:38686</v>
      </c>
      <c r="E1441" s="6" t="str">
        <f>_xll.QS.INSTRUMENT.SWAP("swap.1439",H1441,B1441,"USD","SOFR",I1441,J1441,0,"Actual360","Simple","Annual","Annual","Annual")</f>
        <v>QSObject:Swap:w1~swap.1439:19300</v>
      </c>
      <c r="F1441" s="6" t="str">
        <f>_xll.QS.TRADE.CREATE("trade.1439",E1441,A1441,"Receive")</f>
        <v>QSObject:SwapTrade:w1~trade.1439:30257</v>
      </c>
      <c r="G1441" s="3">
        <f>_xll.QS.EVALUATE(C1441,F1441)</f>
        <v>36345.67553555646</v>
      </c>
      <c r="H1441" s="5" t="s">
        <v>2922</v>
      </c>
      <c r="I1441" s="7">
        <v>1143900</v>
      </c>
      <c r="J1441" s="8">
        <v>3.8899999999999997E-2</v>
      </c>
    </row>
    <row r="1442" spans="1:10" x14ac:dyDescent="0.25">
      <c r="A1442" s="5" t="s">
        <v>2910</v>
      </c>
      <c r="B1442" s="5" t="s">
        <v>2923</v>
      </c>
      <c r="C1442" s="6" t="str">
        <f>_xll.QS.CONTEXT.CREATE("market.1440",A1442,"USD","SOFR")</f>
        <v>QSObject:PricingContext:w1~market.1440:19299</v>
      </c>
      <c r="D1442" s="6" t="str">
        <f>_xll.QS.CONTEXT.ADD.CURVE(C1442,"SOFR",$K$2:$K$7,$L$2:$L$7,,,"Actual360","LogLinear",TRUE)</f>
        <v>QSObject:ContextInput:w1~input.qs_context_add_curve.2359132437744.1441.3.0:38685</v>
      </c>
      <c r="E1442" s="6" t="str">
        <f>_xll.QS.INSTRUMENT.SWAP("swap.1440",H1442,B1442,"USD","SOFR",I1442,J1442,0,"Actual360","Simple","Annual","Annual","Annual")</f>
        <v>QSObject:Swap:w1~swap.1440:19298</v>
      </c>
      <c r="F1442" s="6" t="str">
        <f>_xll.QS.TRADE.CREATE("trade.1440",E1442,A1442,"Receive")</f>
        <v>QSObject:SwapTrade:w1~trade.1440:30374</v>
      </c>
      <c r="G1442" s="3">
        <f>_xll.QS.EVALUATE(C1442,F1442)</f>
        <v>36784.745622878429</v>
      </c>
      <c r="H1442" s="5" t="s">
        <v>2924</v>
      </c>
      <c r="I1442" s="7">
        <v>1144000</v>
      </c>
      <c r="J1442" s="8">
        <v>3.9000000000000007E-2</v>
      </c>
    </row>
    <row r="1443" spans="1:10" x14ac:dyDescent="0.25">
      <c r="A1443" s="5" t="s">
        <v>2912</v>
      </c>
      <c r="B1443" s="5" t="s">
        <v>2925</v>
      </c>
      <c r="C1443" s="6" t="str">
        <f>_xll.QS.CONTEXT.CREATE("market.1441",A1443,"USD","SOFR")</f>
        <v>QSObject:PricingContext:w1~market.1441:19297</v>
      </c>
      <c r="D1443" s="6" t="str">
        <f>_xll.QS.CONTEXT.ADD.CURVE(C1443,"SOFR",$K$2:$K$7,$L$2:$L$7,,,"Actual360","LogLinear",TRUE)</f>
        <v>QSObject:ContextInput:w1~input.qs_context_add_curve.2359132437744.1442.3.0:38684</v>
      </c>
      <c r="E1443" s="6" t="str">
        <f>_xll.QS.INSTRUMENT.SWAP("swap.1441",H1443,B1443,"USD","SOFR",I1443,J1443,0,"Actual360","Simple","Annual","Annual","Annual")</f>
        <v>QSObject:Swap:w1~swap.1441:19296</v>
      </c>
      <c r="F1443" s="6" t="str">
        <f>_xll.QS.TRADE.CREATE("trade.1441",E1443,A1443,"Receive")</f>
        <v>QSObject:SwapTrade:w1~trade.1441:28987</v>
      </c>
      <c r="G1443" s="3">
        <f>_xll.QS.EVALUATE(C1443,F1443)</f>
        <v>37242.95231667292</v>
      </c>
      <c r="H1443" s="5" t="s">
        <v>2926</v>
      </c>
      <c r="I1443" s="7">
        <v>1144100</v>
      </c>
      <c r="J1443" s="8">
        <v>3.9100000000000003E-2</v>
      </c>
    </row>
    <row r="1444" spans="1:10" x14ac:dyDescent="0.25">
      <c r="A1444" s="5" t="s">
        <v>2914</v>
      </c>
      <c r="B1444" s="5" t="s">
        <v>2927</v>
      </c>
      <c r="C1444" s="6" t="str">
        <f>_xll.QS.CONTEXT.CREATE("market.1442",A1444,"USD","SOFR")</f>
        <v>QSObject:PricingContext:w1~market.1442:19295</v>
      </c>
      <c r="D1444" s="6" t="str">
        <f>_xll.QS.CONTEXT.ADD.CURVE(C1444,"SOFR",$K$2:$K$7,$L$2:$L$7,,,"Actual360","LogLinear",TRUE)</f>
        <v>QSObject:ContextInput:w1~input.qs_context_add_curve.2359132437744.1443.3.0:38683</v>
      </c>
      <c r="E1444" s="6" t="str">
        <f>_xll.QS.INSTRUMENT.SWAP("swap.1442",H1444,B1444,"USD","SOFR",I1444,J1444,0,"Actual360","Simple","Annual","Annual","Annual")</f>
        <v>QSObject:Swap:w1~swap.1442:19294</v>
      </c>
      <c r="F1444" s="6" t="str">
        <f>_xll.QS.TRADE.CREATE("trade.1442",E1444,A1444,"Receive")</f>
        <v>QSObject:SwapTrade:w1~trade.1442:29586</v>
      </c>
      <c r="G1444" s="3">
        <f>_xll.QS.EVALUATE(C1444,F1444)</f>
        <v>37822.976914644503</v>
      </c>
      <c r="H1444" s="5" t="s">
        <v>2928</v>
      </c>
      <c r="I1444" s="7">
        <v>1144200</v>
      </c>
      <c r="J1444" s="8">
        <v>3.9200000000000013E-2</v>
      </c>
    </row>
    <row r="1445" spans="1:10" x14ac:dyDescent="0.25">
      <c r="A1445" s="5" t="s">
        <v>2916</v>
      </c>
      <c r="B1445" s="5" t="s">
        <v>2929</v>
      </c>
      <c r="C1445" s="6" t="str">
        <f>_xll.QS.CONTEXT.CREATE("market.1443",A1445,"USD","SOFR")</f>
        <v>QSObject:PricingContext:w1~market.1443:19293</v>
      </c>
      <c r="D1445" s="6" t="str">
        <f>_xll.QS.CONTEXT.ADD.CURVE(C1445,"SOFR",$K$2:$K$7,$L$2:$L$7,,,"Actual360","LogLinear",TRUE)</f>
        <v>QSObject:ContextInput:w1~input.qs_context_add_curve.2359132437744.1444.3.0:38682</v>
      </c>
      <c r="E1445" s="6" t="str">
        <f>_xll.QS.INSTRUMENT.SWAP("swap.1443",H1445,B1445,"USD","SOFR",I1445,J1445,0,"Actual360","Simple","Annual","Annual","Annual")</f>
        <v>QSObject:Swap:w1~swap.1443:19292</v>
      </c>
      <c r="F1445" s="6" t="str">
        <f>_xll.QS.TRADE.CREATE("trade.1443",E1445,A1445,"Receive")</f>
        <v>QSObject:SwapTrade:w1~trade.1443:30256</v>
      </c>
      <c r="G1445" s="3">
        <f>_xll.QS.EVALUATE(C1445,F1445)</f>
        <v>38379.156504235201</v>
      </c>
      <c r="H1445" s="5" t="s">
        <v>2930</v>
      </c>
      <c r="I1445" s="7">
        <v>1144300</v>
      </c>
      <c r="J1445" s="8">
        <v>3.9300000000000002E-2</v>
      </c>
    </row>
    <row r="1446" spans="1:10" x14ac:dyDescent="0.25">
      <c r="A1446" s="5" t="s">
        <v>2918</v>
      </c>
      <c r="B1446" s="5" t="s">
        <v>2931</v>
      </c>
      <c r="C1446" s="6" t="str">
        <f>_xll.QS.CONTEXT.CREATE("market.1444",A1446,"USD","SOFR")</f>
        <v>QSObject:PricingContext:w1~market.1444:19291</v>
      </c>
      <c r="D1446" s="6" t="str">
        <f>_xll.QS.CONTEXT.ADD.CURVE(C1446,"SOFR",$K$2:$K$7,$L$2:$L$7,,,"Actual360","LogLinear",TRUE)</f>
        <v>QSObject:ContextInput:w1~input.qs_context_add_curve.2359132437744.1445.3.0:38681</v>
      </c>
      <c r="E1446" s="6" t="str">
        <f>_xll.QS.INSTRUMENT.SWAP("swap.1444",H1446,B1446,"USD","SOFR",I1446,J1446,0,"Actual360","Simple","Annual","Annual","Annual")</f>
        <v>QSObject:Swap:w1~swap.1444:19290</v>
      </c>
      <c r="F1446" s="6" t="str">
        <f>_xll.QS.TRADE.CREATE("trade.1444",E1446,A1446,"Receive")</f>
        <v>QSObject:SwapTrade:w1~trade.1444:29585</v>
      </c>
      <c r="G1446" s="3">
        <f>_xll.QS.EVALUATE(C1446,F1446)</f>
        <v>38994.216434406262</v>
      </c>
      <c r="H1446" s="5" t="s">
        <v>2932</v>
      </c>
      <c r="I1446" s="7">
        <v>1144400</v>
      </c>
      <c r="J1446" s="8">
        <v>3.9399999999999998E-2</v>
      </c>
    </row>
    <row r="1447" spans="1:10" x14ac:dyDescent="0.25">
      <c r="A1447" s="5" t="s">
        <v>2920</v>
      </c>
      <c r="B1447" s="5" t="s">
        <v>2933</v>
      </c>
      <c r="C1447" s="6" t="str">
        <f>_xll.QS.CONTEXT.CREATE("market.1445",A1447,"USD","SOFR")</f>
        <v>QSObject:PricingContext:w1~market.1445:19289</v>
      </c>
      <c r="D1447" s="6" t="str">
        <f>_xll.QS.CONTEXT.ADD.CURVE(C1447,"SOFR",$K$2:$K$7,$L$2:$L$7,,,"Actual360","LogLinear",TRUE)</f>
        <v>QSObject:ContextInput:w1~input.qs_context_add_curve.2359132437744.1446.3.0:38680</v>
      </c>
      <c r="E1447" s="6" t="str">
        <f>_xll.QS.INSTRUMENT.SWAP("swap.1445",H1447,B1447,"USD","SOFR",I1447,J1447,0,"Actual360","Simple","Annual","Annual","Annual")</f>
        <v>QSObject:Swap:w1~swap.1445:19288</v>
      </c>
      <c r="F1447" s="6" t="str">
        <f>_xll.QS.TRADE.CREATE("trade.1445",E1447,A1447,"Receive")</f>
        <v>QSObject:SwapTrade:w1~trade.1445:30255</v>
      </c>
      <c r="G1447" s="3">
        <f>_xll.QS.EVALUATE(C1447,F1447)</f>
        <v>39575.416901175646</v>
      </c>
      <c r="H1447" s="5" t="s">
        <v>2934</v>
      </c>
      <c r="I1447" s="7">
        <v>1144500</v>
      </c>
      <c r="J1447" s="8">
        <v>3.9500000000000007E-2</v>
      </c>
    </row>
    <row r="1448" spans="1:10" x14ac:dyDescent="0.25">
      <c r="A1448" s="5" t="s">
        <v>2922</v>
      </c>
      <c r="B1448" s="5" t="s">
        <v>2935</v>
      </c>
      <c r="C1448" s="6" t="str">
        <f>_xll.QS.CONTEXT.CREATE("market.1446",A1448,"USD","SOFR")</f>
        <v>QSObject:PricingContext:w1~market.1446:19287</v>
      </c>
      <c r="D1448" s="6" t="str">
        <f>_xll.QS.CONTEXT.ADD.CURVE(C1448,"SOFR",$K$2:$K$7,$L$2:$L$7,,,"Actual360","LogLinear",TRUE)</f>
        <v>QSObject:ContextInput:w1~input.qs_context_add_curve.2359132437744.1447.3.0:38679</v>
      </c>
      <c r="E1448" s="6" t="str">
        <f>_xll.QS.INSTRUMENT.SWAP("swap.1446",H1448,B1448,"USD","SOFR",I1448,J1448,0,"Actual360","Simple","Annual","Annual","Annual")</f>
        <v>QSObject:Swap:w1~swap.1446:19286</v>
      </c>
      <c r="F1448" s="6" t="str">
        <f>_xll.QS.TRADE.CREATE("trade.1446",E1448,A1448,"Receive")</f>
        <v>QSObject:SwapTrade:w1~trade.1446:28986</v>
      </c>
      <c r="G1448" s="3">
        <f>_xll.QS.EVALUATE(C1448,F1448)</f>
        <v>39987.292693312062</v>
      </c>
      <c r="H1448" s="5" t="s">
        <v>2936</v>
      </c>
      <c r="I1448" s="7">
        <v>1144600</v>
      </c>
      <c r="J1448" s="8">
        <v>3.9600000000000003E-2</v>
      </c>
    </row>
    <row r="1449" spans="1:10" x14ac:dyDescent="0.25">
      <c r="A1449" s="5" t="s">
        <v>2924</v>
      </c>
      <c r="B1449" s="5" t="s">
        <v>2937</v>
      </c>
      <c r="C1449" s="6" t="str">
        <f>_xll.QS.CONTEXT.CREATE("market.1447",A1449,"USD","SOFR")</f>
        <v>QSObject:PricingContext:w1~market.1447:19285</v>
      </c>
      <c r="D1449" s="6" t="str">
        <f>_xll.QS.CONTEXT.ADD.CURVE(C1449,"SOFR",$K$2:$K$7,$L$2:$L$7,,,"Actual360","LogLinear",TRUE)</f>
        <v>QSObject:ContextInput:w1~input.qs_context_add_curve.2359132437744.1448.3.0:38678</v>
      </c>
      <c r="E1449" s="6" t="str">
        <f>_xll.QS.INSTRUMENT.SWAP("swap.1447",H1449,B1449,"USD","SOFR",I1449,J1449,0,"Actual360","Simple","Annual","Annual","Annual")</f>
        <v>QSObject:Swap:w1~swap.1447:19284</v>
      </c>
      <c r="F1449" s="6" t="str">
        <f>_xll.QS.TRADE.CREATE("trade.1447",E1449,A1449,"Receive")</f>
        <v>QSObject:SwapTrade:w1~trade.1447:30373</v>
      </c>
      <c r="G1449" s="3">
        <f>_xll.QS.EVALUATE(C1449,F1449)</f>
        <v>40427.1189716097</v>
      </c>
      <c r="H1449" s="5" t="s">
        <v>2938</v>
      </c>
      <c r="I1449" s="7">
        <v>1144700</v>
      </c>
      <c r="J1449" s="8">
        <v>3.9700000000000013E-2</v>
      </c>
    </row>
    <row r="1450" spans="1:10" x14ac:dyDescent="0.25">
      <c r="A1450" s="5" t="s">
        <v>2926</v>
      </c>
      <c r="B1450" s="5" t="s">
        <v>2939</v>
      </c>
      <c r="C1450" s="6" t="str">
        <f>_xll.QS.CONTEXT.CREATE("market.1448",A1450,"USD","SOFR")</f>
        <v>QSObject:PricingContext:w1~market.1448:19283</v>
      </c>
      <c r="D1450" s="6" t="str">
        <f>_xll.QS.CONTEXT.ADD.CURVE(C1450,"SOFR",$K$2:$K$7,$L$2:$L$7,,,"Actual360","LogLinear",TRUE)</f>
        <v>QSObject:ContextInput:w1~input.qs_context_add_curve.2359132437744.1449.3.0:38677</v>
      </c>
      <c r="E1450" s="6" t="str">
        <f>_xll.QS.INSTRUMENT.SWAP("swap.1448",H1450,B1450,"USD","SOFR",I1450,J1450,0,"Actual360","Simple","Annual","Annual","Annual")</f>
        <v>QSObject:Swap:w1~swap.1448:19282</v>
      </c>
      <c r="F1450" s="6" t="str">
        <f>_xll.QS.TRADE.CREATE("trade.1448",E1450,A1450,"Receive")</f>
        <v>QSObject:SwapTrade:w1~trade.1448:29584</v>
      </c>
      <c r="G1450" s="3">
        <f>_xll.QS.EVALUATE(C1450,F1450)</f>
        <v>40962.186753518807</v>
      </c>
      <c r="H1450" s="5" t="s">
        <v>2940</v>
      </c>
      <c r="I1450" s="7">
        <v>1144800</v>
      </c>
      <c r="J1450" s="8">
        <v>3.9800000000000002E-2</v>
      </c>
    </row>
    <row r="1451" spans="1:10" x14ac:dyDescent="0.25">
      <c r="A1451" s="5" t="s">
        <v>2928</v>
      </c>
      <c r="B1451" s="5" t="s">
        <v>2941</v>
      </c>
      <c r="C1451" s="6" t="str">
        <f>_xll.QS.CONTEXT.CREATE("market.1449",A1451,"USD","SOFR")</f>
        <v>QSObject:PricingContext:w1~market.1449:19281</v>
      </c>
      <c r="D1451" s="6" t="str">
        <f>_xll.QS.CONTEXT.ADD.CURVE(C1451,"SOFR",$K$2:$K$7,$L$2:$L$7,,,"Actual360","LogLinear",TRUE)</f>
        <v>QSObject:ContextInput:w1~input.qs_context_add_curve.2359132437744.1450.3.0:38676</v>
      </c>
      <c r="E1451" s="6" t="str">
        <f>_xll.QS.INSTRUMENT.SWAP("swap.1449",H1451,B1451,"USD","SOFR",I1451,J1451,0,"Actual360","Simple","Annual","Annual","Annual")</f>
        <v>QSObject:Swap:w1~swap.1449:19280</v>
      </c>
      <c r="F1451" s="6" t="str">
        <f>_xll.QS.TRADE.CREATE("trade.1449",E1451,A1451,"Receive")</f>
        <v>QSObject:SwapTrade:w1~trade.1449:30254</v>
      </c>
      <c r="G1451" s="3">
        <f>_xll.QS.EVALUATE(C1451,F1451)</f>
        <v>41543.646320934407</v>
      </c>
      <c r="H1451" s="5" t="s">
        <v>2942</v>
      </c>
      <c r="I1451" s="7">
        <v>1144900</v>
      </c>
      <c r="J1451" s="8">
        <v>3.9899999999999998E-2</v>
      </c>
    </row>
    <row r="1452" spans="1:10" x14ac:dyDescent="0.25">
      <c r="A1452" s="5" t="s">
        <v>2930</v>
      </c>
      <c r="B1452" s="5" t="s">
        <v>2943</v>
      </c>
      <c r="C1452" s="6" t="str">
        <f>_xll.QS.CONTEXT.CREATE("market.1450",A1452,"USD","SOFR")</f>
        <v>QSObject:PricingContext:w1~market.1450:19279</v>
      </c>
      <c r="D1452" s="6" t="str">
        <f>_xll.QS.CONTEXT.ADD.CURVE(C1452,"SOFR",$K$2:$K$7,$L$2:$L$7,,,"Actual360","LogLinear",TRUE)</f>
        <v>QSObject:ContextInput:w1~input.qs_context_add_curve.2359132437744.1451.3.0:38675</v>
      </c>
      <c r="E1452" s="6" t="str">
        <f>_xll.QS.INSTRUMENT.SWAP("swap.1450",H1452,B1452,"USD","SOFR",I1452,J1452,0,"Actual360","Simple","Annual","Annual","Annual")</f>
        <v>QSObject:Swap:w1~swap.1450:19278</v>
      </c>
      <c r="F1452" s="6" t="str">
        <f>_xll.QS.TRADE.CREATE("trade.1450",E1452,A1452,"Receive")</f>
        <v>QSObject:SwapTrade:w1~trade.1450:29583</v>
      </c>
      <c r="G1452" s="3">
        <f>_xll.QS.EVALUATE(C1452,F1452)</f>
        <v>15825.458358307707</v>
      </c>
      <c r="H1452" s="5" t="s">
        <v>2944</v>
      </c>
      <c r="I1452" s="7">
        <v>1145000</v>
      </c>
      <c r="J1452" s="8">
        <v>3.5000000000000003E-2</v>
      </c>
    </row>
    <row r="1453" spans="1:10" x14ac:dyDescent="0.25">
      <c r="A1453" s="5" t="s">
        <v>2932</v>
      </c>
      <c r="B1453" s="5" t="s">
        <v>2945</v>
      </c>
      <c r="C1453" s="6" t="str">
        <f>_xll.QS.CONTEXT.CREATE("market.1451",A1453,"USD","SOFR")</f>
        <v>QSObject:PricingContext:w1~market.1451:19277</v>
      </c>
      <c r="D1453" s="6" t="str">
        <f>_xll.QS.CONTEXT.ADD.CURVE(C1453,"SOFR",$K$2:$K$7,$L$2:$L$7,,,"Actual360","LogLinear",TRUE)</f>
        <v>QSObject:ContextInput:w1~input.qs_context_add_curve.2359132437744.1452.3.0:38674</v>
      </c>
      <c r="E1453" s="6" t="str">
        <f>_xll.QS.INSTRUMENT.SWAP("swap.1451",H1453,B1453,"USD","SOFR",I1453,J1453,0,"Actual360","Simple","Annual","Annual","Annual")</f>
        <v>QSObject:Swap:w1~swap.1451:19276</v>
      </c>
      <c r="F1453" s="6" t="str">
        <f>_xll.QS.TRADE.CREATE("trade.1451",E1453,A1453,"Receive")</f>
        <v>QSObject:SwapTrade:w1~trade.1451:28985</v>
      </c>
      <c r="G1453" s="3">
        <f>_xll.QS.EVALUATE(C1453,F1453)</f>
        <v>16365.072710535587</v>
      </c>
      <c r="H1453" s="5" t="s">
        <v>2946</v>
      </c>
      <c r="I1453" s="7">
        <v>1145100</v>
      </c>
      <c r="J1453" s="8">
        <v>3.5100000000000013E-2</v>
      </c>
    </row>
    <row r="1454" spans="1:10" x14ac:dyDescent="0.25">
      <c r="A1454" s="5" t="s">
        <v>2934</v>
      </c>
      <c r="B1454" s="5" t="s">
        <v>2947</v>
      </c>
      <c r="C1454" s="6" t="str">
        <f>_xll.QS.CONTEXT.CREATE("market.1452",A1454,"USD","SOFR")</f>
        <v>QSObject:PricingContext:w1~market.1452:19275</v>
      </c>
      <c r="D1454" s="6" t="str">
        <f>_xll.QS.CONTEXT.ADD.CURVE(C1454,"SOFR",$K$2:$K$7,$L$2:$L$7,,,"Actual360","LogLinear",TRUE)</f>
        <v>QSObject:ContextInput:w1~input.qs_context_add_curve.2359132437744.1453.3.0:38673</v>
      </c>
      <c r="E1454" s="6" t="str">
        <f>_xll.QS.INSTRUMENT.SWAP("swap.1452",H1454,B1454,"USD","SOFR",I1454,J1454,0,"Actual360","Simple","Annual","Annual","Annual")</f>
        <v>QSObject:Swap:w1~swap.1452:19274</v>
      </c>
      <c r="F1454" s="6" t="str">
        <f>_xll.QS.TRADE.CREATE("trade.1452",E1454,A1454,"Receive")</f>
        <v>QSObject:SwapTrade:w1~trade.1452:30372</v>
      </c>
      <c r="G1454" s="3">
        <f>_xll.QS.EVALUATE(C1454,F1454)</f>
        <v>16893.173152473821</v>
      </c>
      <c r="H1454" s="5" t="s">
        <v>2948</v>
      </c>
      <c r="I1454" s="7">
        <v>1145200</v>
      </c>
      <c r="J1454" s="8">
        <v>3.5200000000000002E-2</v>
      </c>
    </row>
    <row r="1455" spans="1:10" x14ac:dyDescent="0.25">
      <c r="A1455" s="5" t="s">
        <v>2936</v>
      </c>
      <c r="B1455" s="5" t="s">
        <v>2949</v>
      </c>
      <c r="C1455" s="6" t="str">
        <f>_xll.QS.CONTEXT.CREATE("market.1453",A1455,"USD","SOFR")</f>
        <v>QSObject:PricingContext:w1~market.1453:19273</v>
      </c>
      <c r="D1455" s="6" t="str">
        <f>_xll.QS.CONTEXT.ADD.CURVE(C1455,"SOFR",$K$2:$K$7,$L$2:$L$7,,,"Actual360","LogLinear",TRUE)</f>
        <v>QSObject:ContextInput:w1~input.qs_context_add_curve.2359132437744.1454.3.0:38672</v>
      </c>
      <c r="E1455" s="6" t="str">
        <f>_xll.QS.INSTRUMENT.SWAP("swap.1453",H1455,B1455,"USD","SOFR",I1455,J1455,0,"Actual360","Simple","Annual","Annual","Annual")</f>
        <v>QSObject:Swap:w1~swap.1453:19272</v>
      </c>
      <c r="F1455" s="6" t="str">
        <f>_xll.QS.TRADE.CREATE("trade.1453",E1455,A1455,"Receive")</f>
        <v>QSObject:SwapTrade:w1~trade.1453:30371</v>
      </c>
      <c r="G1455" s="3">
        <f>_xll.QS.EVALUATE(C1455,F1455)</f>
        <v>17377.547970894528</v>
      </c>
      <c r="H1455" s="5" t="s">
        <v>2950</v>
      </c>
      <c r="I1455" s="7">
        <v>1145300</v>
      </c>
      <c r="J1455" s="8">
        <v>3.5299999999999998E-2</v>
      </c>
    </row>
    <row r="1456" spans="1:10" x14ac:dyDescent="0.25">
      <c r="A1456" s="5" t="s">
        <v>2938</v>
      </c>
      <c r="B1456" s="5" t="s">
        <v>2951</v>
      </c>
      <c r="C1456" s="6" t="str">
        <f>_xll.QS.CONTEXT.CREATE("market.1454",A1456,"USD","SOFR")</f>
        <v>QSObject:PricingContext:w1~market.1454:19271</v>
      </c>
      <c r="D1456" s="6" t="str">
        <f>_xll.QS.CONTEXT.ADD.CURVE(C1456,"SOFR",$K$2:$K$7,$L$2:$L$7,,,"Actual360","LogLinear",TRUE)</f>
        <v>QSObject:ContextInput:w1~input.qs_context_add_curve.2359132437744.1455.3.0:38671</v>
      </c>
      <c r="E1456" s="6" t="str">
        <f>_xll.QS.INSTRUMENT.SWAP("swap.1454",H1456,B1456,"USD","SOFR",I1456,J1456,0,"Actual360","Simple","Annual","Annual","Annual")</f>
        <v>QSObject:Swap:w1~swap.1454:19270</v>
      </c>
      <c r="F1456" s="6" t="str">
        <f>_xll.QS.TRADE.CREATE("trade.1454",E1456,A1456,"Receive")</f>
        <v>QSObject:SwapTrade:w1~trade.1454:28984</v>
      </c>
      <c r="G1456" s="3">
        <f>_xll.QS.EVALUATE(C1456,F1456)</f>
        <v>17733.22020068685</v>
      </c>
      <c r="H1456" s="5" t="s">
        <v>2952</v>
      </c>
      <c r="I1456" s="7">
        <v>1145400</v>
      </c>
      <c r="J1456" s="8">
        <v>3.5400000000000001E-2</v>
      </c>
    </row>
    <row r="1457" spans="1:10" x14ac:dyDescent="0.25">
      <c r="A1457" s="5" t="s">
        <v>2940</v>
      </c>
      <c r="B1457" s="5" t="s">
        <v>2953</v>
      </c>
      <c r="C1457" s="6" t="str">
        <f>_xll.QS.CONTEXT.CREATE("market.1455",A1457,"USD","SOFR")</f>
        <v>QSObject:PricingContext:w1~market.1455:19269</v>
      </c>
      <c r="D1457" s="6" t="str">
        <f>_xll.QS.CONTEXT.ADD.CURVE(C1457,"SOFR",$K$2:$K$7,$L$2:$L$7,,,"Actual360","LogLinear",TRUE)</f>
        <v>QSObject:ContextInput:w1~input.qs_context_add_curve.2359132437744.1456.3.0:38670</v>
      </c>
      <c r="E1457" s="6" t="str">
        <f>_xll.QS.INSTRUMENT.SWAP("swap.1455",H1457,B1457,"USD","SOFR",I1457,J1457,0,"Actual360","Simple","Annual","Annual","Annual")</f>
        <v>QSObject:Swap:w1~swap.1455:19268</v>
      </c>
      <c r="F1457" s="6" t="str">
        <f>_xll.QS.TRADE.CREATE("trade.1455",E1457,A1457,"Receive")</f>
        <v>QSObject:SwapTrade:w1~trade.1455:30370</v>
      </c>
      <c r="G1457" s="3">
        <f>_xll.QS.EVALUATE(C1457,F1457)</f>
        <v>18264.703069171814</v>
      </c>
      <c r="H1457" s="5" t="s">
        <v>2954</v>
      </c>
      <c r="I1457" s="7">
        <v>1145500</v>
      </c>
      <c r="J1457" s="8">
        <v>3.5499999999999997E-2</v>
      </c>
    </row>
    <row r="1458" spans="1:10" x14ac:dyDescent="0.25">
      <c r="A1458" s="5" t="s">
        <v>2942</v>
      </c>
      <c r="B1458" s="5" t="s">
        <v>2955</v>
      </c>
      <c r="C1458" s="6" t="str">
        <f>_xll.QS.CONTEXT.CREATE("market.1456",A1458,"USD","SOFR")</f>
        <v>QSObject:PricingContext:w1~market.1456:19267</v>
      </c>
      <c r="D1458" s="6" t="str">
        <f>_xll.QS.CONTEXT.ADD.CURVE(C1458,"SOFR",$K$2:$K$7,$L$2:$L$7,,,"Actual360","LogLinear",TRUE)</f>
        <v>QSObject:ContextInput:w1~input.qs_context_add_curve.2359132437744.1457.3.0:38669</v>
      </c>
      <c r="E1458" s="6" t="str">
        <f>_xll.QS.INSTRUMENT.SWAP("swap.1456",H1458,B1458,"USD","SOFR",I1458,J1458,0,"Actual360","Simple","Annual","Annual","Annual")</f>
        <v>QSObject:Swap:w1~swap.1456:19266</v>
      </c>
      <c r="F1458" s="6" t="str">
        <f>_xll.QS.TRADE.CREATE("trade.1456",E1458,A1458,"Receive")</f>
        <v>QSObject:SwapTrade:w1~trade.1456:29582</v>
      </c>
      <c r="G1458" s="3">
        <f>_xll.QS.EVALUATE(C1458,F1458)</f>
        <v>18842.304560193192</v>
      </c>
      <c r="H1458" s="5" t="s">
        <v>2956</v>
      </c>
      <c r="I1458" s="7">
        <v>1145600</v>
      </c>
      <c r="J1458" s="8">
        <v>3.5600000000000007E-2</v>
      </c>
    </row>
    <row r="1459" spans="1:10" x14ac:dyDescent="0.25">
      <c r="A1459" s="5" t="s">
        <v>2944</v>
      </c>
      <c r="B1459" s="5" t="s">
        <v>2957</v>
      </c>
      <c r="C1459" s="6" t="str">
        <f>_xll.QS.CONTEXT.CREATE("market.1457",A1459,"USD","SOFR")</f>
        <v>QSObject:PricingContext:w1~market.1457:19265</v>
      </c>
      <c r="D1459" s="6" t="str">
        <f>_xll.QS.CONTEXT.ADD.CURVE(C1459,"SOFR",$K$2:$K$7,$L$2:$L$7,,,"Actual360","LogLinear",TRUE)</f>
        <v>QSObject:ContextInput:w1~input.qs_context_add_curve.2359132437744.1458.3.0:38668</v>
      </c>
      <c r="E1459" s="6" t="str">
        <f>_xll.QS.INSTRUMENT.SWAP("swap.1457",H1459,B1459,"USD","SOFR",I1459,J1459,0,"Actual360","Simple","Annual","Annual","Annual")</f>
        <v>QSObject:Swap:w1~swap.1457:19264</v>
      </c>
      <c r="F1459" s="6" t="str">
        <f>_xll.QS.TRADE.CREATE("trade.1457",E1459,A1459,"Receive")</f>
        <v>QSObject:SwapTrade:w1~trade.1457:28983</v>
      </c>
      <c r="G1459" s="3">
        <f>_xll.QS.EVALUATE(C1459,F1459)</f>
        <v>19532.584287456801</v>
      </c>
      <c r="H1459" s="5" t="s">
        <v>2958</v>
      </c>
      <c r="I1459" s="7">
        <v>1145700</v>
      </c>
      <c r="J1459" s="8">
        <v>3.5700000000000003E-2</v>
      </c>
    </row>
    <row r="1460" spans="1:10" x14ac:dyDescent="0.25">
      <c r="A1460" s="5" t="s">
        <v>2946</v>
      </c>
      <c r="B1460" s="5" t="s">
        <v>2959</v>
      </c>
      <c r="C1460" s="6" t="str">
        <f>_xll.QS.CONTEXT.CREATE("market.1458",A1460,"USD","SOFR")</f>
        <v>QSObject:PricingContext:w1~market.1458:19263</v>
      </c>
      <c r="D1460" s="6" t="str">
        <f>_xll.QS.CONTEXT.ADD.CURVE(C1460,"SOFR",$K$2:$K$7,$L$2:$L$7,,,"Actual360","LogLinear",TRUE)</f>
        <v>QSObject:ContextInput:w1~input.qs_context_add_curve.2359132437744.1459.3.0:38667</v>
      </c>
      <c r="E1460" s="6" t="str">
        <f>_xll.QS.INSTRUMENT.SWAP("swap.1458",H1460,B1460,"USD","SOFR",I1460,J1460,0,"Actual360","Simple","Annual","Annual","Annual")</f>
        <v>QSObject:Swap:w1~swap.1458:19262</v>
      </c>
      <c r="F1460" s="6" t="str">
        <f>_xll.QS.TRADE.CREATE("trade.1458",E1460,A1460,"Receive")</f>
        <v>QSObject:SwapTrade:w1~trade.1458:30253</v>
      </c>
      <c r="G1460" s="3">
        <f>_xll.QS.EVALUATE(C1460,F1460)</f>
        <v>20062.707705563182</v>
      </c>
      <c r="H1460" s="5" t="s">
        <v>2960</v>
      </c>
      <c r="I1460" s="7">
        <v>1145800</v>
      </c>
      <c r="J1460" s="8">
        <v>3.5800000000000012E-2</v>
      </c>
    </row>
    <row r="1461" spans="1:10" x14ac:dyDescent="0.25">
      <c r="A1461" s="5" t="s">
        <v>2948</v>
      </c>
      <c r="B1461" s="5" t="s">
        <v>2961</v>
      </c>
      <c r="C1461" s="6" t="str">
        <f>_xll.QS.CONTEXT.CREATE("market.1459",A1461,"USD","SOFR")</f>
        <v>QSObject:PricingContext:w1~market.1459:19261</v>
      </c>
      <c r="D1461" s="6" t="str">
        <f>_xll.QS.CONTEXT.ADD.CURVE(C1461,"SOFR",$K$2:$K$7,$L$2:$L$7,,,"Actual360","LogLinear",TRUE)</f>
        <v>QSObject:ContextInput:w1~input.qs_context_add_curve.2359132437744.1460.3.0:38666</v>
      </c>
      <c r="E1461" s="6" t="str">
        <f>_xll.QS.INSTRUMENT.SWAP("swap.1459",H1461,B1461,"USD","SOFR",I1461,J1461,0,"Actual360","Simple","Annual","Annual","Annual")</f>
        <v>QSObject:Swap:w1~swap.1459:19260</v>
      </c>
      <c r="F1461" s="6" t="str">
        <f>_xll.QS.TRADE.CREATE("trade.1459",E1461,A1461,"Receive")</f>
        <v>QSObject:SwapTrade:w1~trade.1459:30369</v>
      </c>
      <c r="G1461" s="3">
        <f>_xll.QS.EVALUATE(C1461,F1461)</f>
        <v>20600.622747636808</v>
      </c>
      <c r="H1461" s="5" t="s">
        <v>2962</v>
      </c>
      <c r="I1461" s="7">
        <v>1145900</v>
      </c>
      <c r="J1461" s="8">
        <v>3.5900000000000001E-2</v>
      </c>
    </row>
    <row r="1462" spans="1:10" x14ac:dyDescent="0.25">
      <c r="A1462" s="5" t="s">
        <v>2950</v>
      </c>
      <c r="B1462" s="5" t="s">
        <v>2963</v>
      </c>
      <c r="C1462" s="6" t="str">
        <f>_xll.QS.CONTEXT.CREATE("market.1460",A1462,"USD","SOFR")</f>
        <v>QSObject:PricingContext:w1~market.1460:19259</v>
      </c>
      <c r="D1462" s="6" t="str">
        <f>_xll.QS.CONTEXT.ADD.CURVE(C1462,"SOFR",$K$2:$K$7,$L$2:$L$7,,,"Actual360","LogLinear",TRUE)</f>
        <v>QSObject:ContextInput:w1~input.qs_context_add_curve.2359132437744.1461.3.0:38665</v>
      </c>
      <c r="E1462" s="6" t="str">
        <f>_xll.QS.INSTRUMENT.SWAP("swap.1460",H1462,B1462,"USD","SOFR",I1462,J1462,0,"Actual360","Simple","Annual","Annual","Annual")</f>
        <v>QSObject:Swap:w1~swap.1460:19258</v>
      </c>
      <c r="F1462" s="6" t="str">
        <f>_xll.QS.TRADE.CREATE("trade.1460",E1462,A1462,"Receive")</f>
        <v>QSObject:SwapTrade:w1~trade.1460:28982</v>
      </c>
      <c r="G1462" s="3">
        <f>_xll.QS.EVALUATE(C1462,F1462)</f>
        <v>21086.902144292439</v>
      </c>
      <c r="H1462" s="5" t="s">
        <v>2964</v>
      </c>
      <c r="I1462" s="7">
        <v>1146000</v>
      </c>
      <c r="J1462" s="8">
        <v>3.5999999999999997E-2</v>
      </c>
    </row>
    <row r="1463" spans="1:10" x14ac:dyDescent="0.25">
      <c r="A1463" s="5" t="s">
        <v>2952</v>
      </c>
      <c r="B1463" s="5" t="s">
        <v>2965</v>
      </c>
      <c r="C1463" s="6" t="str">
        <f>_xll.QS.CONTEXT.CREATE("market.1461",A1463,"USD","SOFR")</f>
        <v>QSObject:PricingContext:w1~market.1461:19257</v>
      </c>
      <c r="D1463" s="6" t="str">
        <f>_xll.QS.CONTEXT.ADD.CURVE(C1463,"SOFR",$K$2:$K$7,$L$2:$L$7,,,"Actual360","LogLinear",TRUE)</f>
        <v>QSObject:ContextInput:w1~input.qs_context_add_curve.2359132437744.1462.3.0:38664</v>
      </c>
      <c r="E1463" s="6" t="str">
        <f>_xll.QS.INSTRUMENT.SWAP("swap.1461",H1463,B1463,"USD","SOFR",I1463,J1463,0,"Actual360","Simple","Annual","Annual","Annual")</f>
        <v>QSObject:Swap:w1~swap.1461:19256</v>
      </c>
      <c r="F1463" s="6" t="str">
        <f>_xll.QS.TRADE.CREATE("trade.1461",E1463,A1463,"Receive")</f>
        <v>QSObject:SwapTrade:w1~trade.1461:30252</v>
      </c>
      <c r="G1463" s="3">
        <f>_xll.QS.EVALUATE(C1463,F1463)</f>
        <v>21543.484805818585</v>
      </c>
      <c r="H1463" s="5" t="s">
        <v>2966</v>
      </c>
      <c r="I1463" s="7">
        <v>1146100</v>
      </c>
      <c r="J1463" s="8">
        <v>3.61E-2</v>
      </c>
    </row>
    <row r="1464" spans="1:10" x14ac:dyDescent="0.25">
      <c r="A1464" s="5" t="s">
        <v>2954</v>
      </c>
      <c r="B1464" s="5" t="s">
        <v>2967</v>
      </c>
      <c r="C1464" s="6" t="str">
        <f>_xll.QS.CONTEXT.CREATE("market.1462",A1464,"USD","SOFR")</f>
        <v>QSObject:PricingContext:w1~market.1462:19255</v>
      </c>
      <c r="D1464" s="6" t="str">
        <f>_xll.QS.CONTEXT.ADD.CURVE(C1464,"SOFR",$K$2:$K$7,$L$2:$L$7,,,"Actual360","LogLinear",TRUE)</f>
        <v>QSObject:ContextInput:w1~input.qs_context_add_curve.2359132437744.1463.3.0:38663</v>
      </c>
      <c r="E1464" s="6" t="str">
        <f>_xll.QS.INSTRUMENT.SWAP("swap.1462",H1464,B1464,"USD","SOFR",I1464,J1464,0,"Actual360","Simple","Annual","Annual","Annual")</f>
        <v>QSObject:Swap:w1~swap.1462:19254</v>
      </c>
      <c r="F1464" s="6" t="str">
        <f>_xll.QS.TRADE.CREATE("trade.1462",E1464,A1464,"Receive")</f>
        <v>QSObject:SwapTrade:w1~trade.1462:28981</v>
      </c>
      <c r="G1464" s="3">
        <f>_xll.QS.EVALUATE(C1464,F1464)</f>
        <v>21977.427218175046</v>
      </c>
      <c r="H1464" s="5" t="s">
        <v>2968</v>
      </c>
      <c r="I1464" s="7">
        <v>1146200</v>
      </c>
      <c r="J1464" s="8">
        <v>3.6200000000000003E-2</v>
      </c>
    </row>
    <row r="1465" spans="1:10" x14ac:dyDescent="0.25">
      <c r="A1465" s="5" t="s">
        <v>2956</v>
      </c>
      <c r="B1465" s="5" t="s">
        <v>2969</v>
      </c>
      <c r="C1465" s="6" t="str">
        <f>_xll.QS.CONTEXT.CREATE("market.1463",A1465,"USD","SOFR")</f>
        <v>QSObject:PricingContext:w1~market.1463:19253</v>
      </c>
      <c r="D1465" s="6" t="str">
        <f>_xll.QS.CONTEXT.ADD.CURVE(C1465,"SOFR",$K$2:$K$7,$L$2:$L$7,,,"Actual360","LogLinear",TRUE)</f>
        <v>QSObject:ContextInput:w1~input.qs_context_add_curve.2359132437744.1464.3.0:38662</v>
      </c>
      <c r="E1465" s="6" t="str">
        <f>_xll.QS.INSTRUMENT.SWAP("swap.1463",H1465,B1465,"USD","SOFR",I1465,J1465,0,"Actual360","Simple","Annual","Annual","Annual")</f>
        <v>QSObject:Swap:w1~swap.1463:19252</v>
      </c>
      <c r="F1465" s="6" t="str">
        <f>_xll.QS.TRADE.CREATE("trade.1463",E1465,A1465,"Receive")</f>
        <v>QSObject:SwapTrade:w1~trade.1463:30368</v>
      </c>
      <c r="G1465" s="3">
        <f>_xll.QS.EVALUATE(C1465,F1465)</f>
        <v>22555.687106695139</v>
      </c>
      <c r="H1465" s="5" t="s">
        <v>2970</v>
      </c>
      <c r="I1465" s="7">
        <v>1146300</v>
      </c>
      <c r="J1465" s="8">
        <v>3.6300000000000013E-2</v>
      </c>
    </row>
    <row r="1466" spans="1:10" x14ac:dyDescent="0.25">
      <c r="A1466" s="5" t="s">
        <v>2958</v>
      </c>
      <c r="B1466" s="5" t="s">
        <v>2971</v>
      </c>
      <c r="C1466" s="6" t="str">
        <f>_xll.QS.CONTEXT.CREATE("market.1464",A1466,"USD","SOFR")</f>
        <v>QSObject:PricingContext:w1~market.1464:19251</v>
      </c>
      <c r="D1466" s="6" t="str">
        <f>_xll.QS.CONTEXT.ADD.CURVE(C1466,"SOFR",$K$2:$K$7,$L$2:$L$7,,,"Actual360","LogLinear",TRUE)</f>
        <v>QSObject:ContextInput:w1~input.qs_context_add_curve.2359132437744.1465.3.0:38661</v>
      </c>
      <c r="E1466" s="6" t="str">
        <f>_xll.QS.INSTRUMENT.SWAP("swap.1464",H1466,B1466,"USD","SOFR",I1466,J1466,0,"Actual360","Simple","Annual","Annual","Annual")</f>
        <v>QSObject:Swap:w1~swap.1464:19250</v>
      </c>
      <c r="F1466" s="6" t="str">
        <f>_xll.QS.TRADE.CREATE("trade.1464",E1466,A1466,"Receive")</f>
        <v>QSObject:SwapTrade:w1~trade.1464:29581</v>
      </c>
      <c r="G1466" s="3">
        <f>_xll.QS.EVALUATE(C1466,F1466)</f>
        <v>23118.992549457791</v>
      </c>
      <c r="H1466" s="5" t="s">
        <v>2972</v>
      </c>
      <c r="I1466" s="7">
        <v>1146400</v>
      </c>
      <c r="J1466" s="8">
        <v>3.6400000000000002E-2</v>
      </c>
    </row>
    <row r="1467" spans="1:10" x14ac:dyDescent="0.25">
      <c r="A1467" s="5" t="s">
        <v>2960</v>
      </c>
      <c r="B1467" s="5" t="s">
        <v>2973</v>
      </c>
      <c r="C1467" s="6" t="str">
        <f>_xll.QS.CONTEXT.CREATE("market.1465",A1467,"USD","SOFR")</f>
        <v>QSObject:PricingContext:w1~market.1465:19249</v>
      </c>
      <c r="D1467" s="6" t="str">
        <f>_xll.QS.CONTEXT.ADD.CURVE(C1467,"SOFR",$K$2:$K$7,$L$2:$L$7,,,"Actual360","LogLinear",TRUE)</f>
        <v>QSObject:ContextInput:w1~input.qs_context_add_curve.2359132437744.1466.3.0:38660</v>
      </c>
      <c r="E1467" s="6" t="str">
        <f>_xll.QS.INSTRUMENT.SWAP("swap.1465",H1467,B1467,"USD","SOFR",I1467,J1467,0,"Actual360","Simple","Annual","Annual","Annual")</f>
        <v>QSObject:Swap:w1~swap.1465:19248</v>
      </c>
      <c r="F1467" s="6" t="str">
        <f>_xll.QS.TRADE.CREATE("trade.1465",E1467,A1467,"Receive")</f>
        <v>QSObject:SwapTrade:w1~trade.1465:30367</v>
      </c>
      <c r="G1467" s="3">
        <f>_xll.QS.EVALUATE(C1467,F1467)</f>
        <v>23733.595067201943</v>
      </c>
      <c r="H1467" s="5" t="s">
        <v>2974</v>
      </c>
      <c r="I1467" s="7">
        <v>1146500</v>
      </c>
      <c r="J1467" s="8">
        <v>3.6499999999999998E-2</v>
      </c>
    </row>
    <row r="1468" spans="1:10" x14ac:dyDescent="0.25">
      <c r="A1468" s="5" t="s">
        <v>2962</v>
      </c>
      <c r="B1468" s="5" t="s">
        <v>2975</v>
      </c>
      <c r="C1468" s="6" t="str">
        <f>_xll.QS.CONTEXT.CREATE("market.1466",A1468,"USD","SOFR")</f>
        <v>QSObject:PricingContext:w1~market.1466:19247</v>
      </c>
      <c r="D1468" s="6" t="str">
        <f>_xll.QS.CONTEXT.ADD.CURVE(C1468,"SOFR",$K$2:$K$7,$L$2:$L$7,,,"Actual360","LogLinear",TRUE)</f>
        <v>QSObject:ContextInput:w1~input.qs_context_add_curve.2359132437744.1467.3.0:38659</v>
      </c>
      <c r="E1468" s="6" t="str">
        <f>_xll.QS.INSTRUMENT.SWAP("swap.1466",H1468,B1468,"USD","SOFR",I1468,J1468,0,"Actual360","Simple","Annual","Annual","Annual")</f>
        <v>QSObject:Swap:w1~swap.1466:19246</v>
      </c>
      <c r="F1468" s="6" t="str">
        <f>_xll.QS.TRADE.CREATE("trade.1466",E1468,A1468,"Receive")</f>
        <v>QSObject:SwapTrade:w1~trade.1466:28980</v>
      </c>
      <c r="G1468" s="3">
        <f>_xll.QS.EVALUATE(C1468,F1468)</f>
        <v>24314.349750284324</v>
      </c>
      <c r="H1468" s="5" t="s">
        <v>2976</v>
      </c>
      <c r="I1468" s="7">
        <v>1146600</v>
      </c>
      <c r="J1468" s="8">
        <v>3.6600000000000001E-2</v>
      </c>
    </row>
    <row r="1469" spans="1:10" x14ac:dyDescent="0.25">
      <c r="A1469" s="5" t="s">
        <v>2964</v>
      </c>
      <c r="B1469" s="5" t="s">
        <v>2977</v>
      </c>
      <c r="C1469" s="6" t="str">
        <f>_xll.QS.CONTEXT.CREATE("market.1467",A1469,"USD","SOFR")</f>
        <v>QSObject:PricingContext:w1~market.1467:19245</v>
      </c>
      <c r="D1469" s="6" t="str">
        <f>_xll.QS.CONTEXT.ADD.CURVE(C1469,"SOFR",$K$2:$K$7,$L$2:$L$7,,,"Actual360","LogLinear",TRUE)</f>
        <v>QSObject:ContextInput:w1~input.qs_context_add_curve.2359132437744.1468.3.0:38658</v>
      </c>
      <c r="E1469" s="6" t="str">
        <f>_xll.QS.INSTRUMENT.SWAP("swap.1467",H1469,B1469,"USD","SOFR",I1469,J1469,0,"Actual360","Simple","Annual","Annual","Annual")</f>
        <v>QSObject:Swap:w1~swap.1467:19244</v>
      </c>
      <c r="F1469" s="6" t="str">
        <f>_xll.QS.TRADE.CREATE("trade.1467",E1469,A1469,"Receive")</f>
        <v>QSObject:SwapTrade:w1~trade.1467:30366</v>
      </c>
      <c r="G1469" s="3">
        <f>_xll.QS.EVALUATE(C1469,F1469)</f>
        <v>24800.930348266687</v>
      </c>
      <c r="H1469" s="5" t="s">
        <v>2978</v>
      </c>
      <c r="I1469" s="7">
        <v>1146700</v>
      </c>
      <c r="J1469" s="8">
        <v>3.6700000000000003E-2</v>
      </c>
    </row>
    <row r="1470" spans="1:10" x14ac:dyDescent="0.25">
      <c r="A1470" s="5" t="s">
        <v>2966</v>
      </c>
      <c r="B1470" s="5" t="s">
        <v>2979</v>
      </c>
      <c r="C1470" s="6" t="str">
        <f>_xll.QS.CONTEXT.CREATE("market.1468",A1470,"USD","SOFR")</f>
        <v>QSObject:PricingContext:w1~market.1468:19243</v>
      </c>
      <c r="D1470" s="6" t="str">
        <f>_xll.QS.CONTEXT.ADD.CURVE(C1470,"SOFR",$K$2:$K$7,$L$2:$L$7,,,"Actual360","LogLinear",TRUE)</f>
        <v>QSObject:ContextInput:w1~input.qs_context_add_curve.2359132437744.1469.3.0:38657</v>
      </c>
      <c r="E1470" s="6" t="str">
        <f>_xll.QS.INSTRUMENT.SWAP("swap.1468",H1470,B1470,"USD","SOFR",I1470,J1470,0,"Actual360","Simple","Annual","Annual","Annual")</f>
        <v>QSObject:Swap:w1~swap.1468:19242</v>
      </c>
      <c r="F1470" s="6" t="str">
        <f>_xll.QS.TRADE.CREATE("trade.1468",E1470,A1470,"Receive")</f>
        <v>QSObject:SwapTrade:w1~trade.1468:30251</v>
      </c>
      <c r="G1470" s="3">
        <f>_xll.QS.EVALUATE(C1470,F1470)</f>
        <v>25237.379677597783</v>
      </c>
      <c r="H1470" s="5" t="s">
        <v>2980</v>
      </c>
      <c r="I1470" s="7">
        <v>1146800</v>
      </c>
      <c r="J1470" s="8">
        <v>3.6800000000000013E-2</v>
      </c>
    </row>
    <row r="1471" spans="1:10" x14ac:dyDescent="0.25">
      <c r="A1471" s="5" t="s">
        <v>2968</v>
      </c>
      <c r="B1471" s="5" t="s">
        <v>2981</v>
      </c>
      <c r="C1471" s="6" t="str">
        <f>_xll.QS.CONTEXT.CREATE("market.1469",A1471,"USD","SOFR")</f>
        <v>QSObject:PricingContext:w1~market.1469:19241</v>
      </c>
      <c r="D1471" s="6" t="str">
        <f>_xll.QS.CONTEXT.ADD.CURVE(C1471,"SOFR",$K$2:$K$7,$L$2:$L$7,,,"Actual360","LogLinear",TRUE)</f>
        <v>QSObject:ContextInput:w1~input.qs_context_add_curve.2359132437744.1470.3.0:38656</v>
      </c>
      <c r="E1471" s="6" t="str">
        <f>_xll.QS.INSTRUMENT.SWAP("swap.1469",H1471,B1471,"USD","SOFR",I1471,J1471,0,"Actual360","Simple","Annual","Annual","Annual")</f>
        <v>QSObject:Swap:w1~swap.1469:19240</v>
      </c>
      <c r="F1471" s="6" t="str">
        <f>_xll.QS.TRADE.CREATE("trade.1469",E1471,A1471,"Receive")</f>
        <v>QSObject:SwapTrade:w1~trade.1469:28979</v>
      </c>
      <c r="G1471" s="3">
        <f>_xll.QS.EVALUATE(C1471,F1471)</f>
        <v>25646.621236716313</v>
      </c>
      <c r="H1471" s="5" t="s">
        <v>2982</v>
      </c>
      <c r="I1471" s="7">
        <v>1146900</v>
      </c>
      <c r="J1471" s="8">
        <v>3.6900000000000002E-2</v>
      </c>
    </row>
    <row r="1472" spans="1:10" x14ac:dyDescent="0.25">
      <c r="A1472" s="5" t="s">
        <v>2970</v>
      </c>
      <c r="B1472" s="5" t="s">
        <v>2983</v>
      </c>
      <c r="C1472" s="6" t="str">
        <f>_xll.QS.CONTEXT.CREATE("market.1470",A1472,"USD","SOFR")</f>
        <v>QSObject:PricingContext:w1~market.1470:19239</v>
      </c>
      <c r="D1472" s="6" t="str">
        <f>_xll.QS.CONTEXT.ADD.CURVE(C1472,"SOFR",$K$2:$K$7,$L$2:$L$7,,,"Actual360","LogLinear",TRUE)</f>
        <v>QSObject:ContextInput:w1~input.qs_context_add_curve.2359132437744.1471.3.0:38655</v>
      </c>
      <c r="E1472" s="6" t="str">
        <f>_xll.QS.INSTRUMENT.SWAP("swap.1470",H1472,B1472,"USD","SOFR",I1472,J1472,0,"Actual360","Simple","Annual","Annual","Annual")</f>
        <v>QSObject:Swap:w1~swap.1470:19238</v>
      </c>
      <c r="F1472" s="6" t="str">
        <f>_xll.QS.TRADE.CREATE("trade.1470",E1472,A1472,"Receive")</f>
        <v>QSObject:SwapTrade:w1~trade.1470:30250</v>
      </c>
      <c r="G1472" s="3">
        <f>_xll.QS.EVALUATE(C1472,F1472)</f>
        <v>26226.208356727268</v>
      </c>
      <c r="H1472" s="5" t="s">
        <v>2984</v>
      </c>
      <c r="I1472" s="7">
        <v>1147000</v>
      </c>
      <c r="J1472" s="8">
        <v>3.7000000000000012E-2</v>
      </c>
    </row>
    <row r="1473" spans="1:10" x14ac:dyDescent="0.25">
      <c r="A1473" s="5" t="s">
        <v>2972</v>
      </c>
      <c r="B1473" s="5" t="s">
        <v>2985</v>
      </c>
      <c r="C1473" s="6" t="str">
        <f>_xll.QS.CONTEXT.CREATE("market.1471",A1473,"USD","SOFR")</f>
        <v>QSObject:PricingContext:w1~market.1471:19237</v>
      </c>
      <c r="D1473" s="6" t="str">
        <f>_xll.QS.CONTEXT.ADD.CURVE(C1473,"SOFR",$K$2:$K$7,$L$2:$L$7,,,"Actual360","LogLinear",TRUE)</f>
        <v>QSObject:ContextInput:w1~input.qs_context_add_curve.2359132437744.1472.3.0:38654</v>
      </c>
      <c r="E1473" s="6" t="str">
        <f>_xll.QS.INSTRUMENT.SWAP("swap.1471",H1473,B1473,"USD","SOFR",I1473,J1473,0,"Actual360","Simple","Annual","Annual","Annual")</f>
        <v>QSObject:Swap:w1~swap.1471:19236</v>
      </c>
      <c r="F1473" s="6" t="str">
        <f>_xll.QS.TRADE.CREATE("trade.1471",E1473,A1473,"Receive")</f>
        <v>QSObject:SwapTrade:w1~trade.1471:29580</v>
      </c>
      <c r="G1473" s="3">
        <f>_xll.QS.EVALUATE(C1473,F1473)</f>
        <v>26805.921438768943</v>
      </c>
      <c r="H1473" s="5" t="s">
        <v>2986</v>
      </c>
      <c r="I1473" s="7">
        <v>1147100</v>
      </c>
      <c r="J1473" s="8">
        <v>3.7100000000000001E-2</v>
      </c>
    </row>
    <row r="1474" spans="1:10" x14ac:dyDescent="0.25">
      <c r="A1474" s="5" t="s">
        <v>2974</v>
      </c>
      <c r="B1474" s="5" t="s">
        <v>2987</v>
      </c>
      <c r="C1474" s="6" t="str">
        <f>_xll.QS.CONTEXT.CREATE("market.1472",A1474,"USD","SOFR")</f>
        <v>QSObject:PricingContext:w1~market.1472:19235</v>
      </c>
      <c r="D1474" s="6" t="str">
        <f>_xll.QS.CONTEXT.ADD.CURVE(C1474,"SOFR",$K$2:$K$7,$L$2:$L$7,,,"Actual360","LogLinear",TRUE)</f>
        <v>QSObject:ContextInput:w1~input.qs_context_add_curve.2359132437744.1473.3.0:38653</v>
      </c>
      <c r="E1474" s="6" t="str">
        <f>_xll.QS.INSTRUMENT.SWAP("swap.1472",H1474,B1474,"USD","SOFR",I1474,J1474,0,"Actual360","Simple","Annual","Annual","Annual")</f>
        <v>QSObject:Swap:w1~swap.1472:19234</v>
      </c>
      <c r="F1474" s="6" t="str">
        <f>_xll.QS.TRADE.CREATE("trade.1472",E1474,A1474,"Receive")</f>
        <v>QSObject:SwapTrade:w1~trade.1472:30365</v>
      </c>
      <c r="G1474" s="3">
        <f>_xll.QS.EVALUATE(C1474,F1474)</f>
        <v>27493.541687222682</v>
      </c>
      <c r="H1474" s="5" t="s">
        <v>2988</v>
      </c>
      <c r="I1474" s="7">
        <v>1147200</v>
      </c>
      <c r="J1474" s="8">
        <v>3.7199999999999997E-2</v>
      </c>
    </row>
    <row r="1475" spans="1:10" x14ac:dyDescent="0.25">
      <c r="A1475" s="5" t="s">
        <v>2976</v>
      </c>
      <c r="B1475" s="5" t="s">
        <v>2989</v>
      </c>
      <c r="C1475" s="6" t="str">
        <f>_xll.QS.CONTEXT.CREATE("market.1473",A1475,"USD","SOFR")</f>
        <v>QSObject:PricingContext:w1~market.1473:19233</v>
      </c>
      <c r="D1475" s="6" t="str">
        <f>_xll.QS.CONTEXT.ADD.CURVE(C1475,"SOFR",$K$2:$K$7,$L$2:$L$7,,,"Actual360","LogLinear",TRUE)</f>
        <v>QSObject:ContextInput:w1~input.qs_context_add_curve.2359132437744.1474.3.0:38652</v>
      </c>
      <c r="E1475" s="6" t="str">
        <f>_xll.QS.INSTRUMENT.SWAP("swap.1473",H1475,B1475,"USD","SOFR",I1475,J1475,0,"Actual360","Simple","Annual","Annual","Annual")</f>
        <v>QSObject:Swap:w1~swap.1473:19232</v>
      </c>
      <c r="F1475" s="6" t="str">
        <f>_xll.QS.TRADE.CREATE("trade.1473",E1475,A1475,"Receive")</f>
        <v>QSObject:SwapTrade:w1~trade.1473:30249</v>
      </c>
      <c r="G1475" s="3">
        <f>_xll.QS.EVALUATE(C1475,F1475)</f>
        <v>28035.729930118541</v>
      </c>
      <c r="H1475" s="5" t="s">
        <v>2990</v>
      </c>
      <c r="I1475" s="7">
        <v>1147300</v>
      </c>
      <c r="J1475" s="8">
        <v>3.73E-2</v>
      </c>
    </row>
    <row r="1476" spans="1:10" x14ac:dyDescent="0.25">
      <c r="A1476" s="5" t="s">
        <v>2978</v>
      </c>
      <c r="B1476" s="5" t="s">
        <v>2991</v>
      </c>
      <c r="C1476" s="6" t="str">
        <f>_xll.QS.CONTEXT.CREATE("market.1474",A1476,"USD","SOFR")</f>
        <v>QSObject:PricingContext:w1~market.1474:19231</v>
      </c>
      <c r="D1476" s="6" t="str">
        <f>_xll.QS.CONTEXT.ADD.CURVE(C1476,"SOFR",$K$2:$K$7,$L$2:$L$7,,,"Actual360","LogLinear",TRUE)</f>
        <v>QSObject:ContextInput:w1~input.qs_context_add_curve.2359132437744.1475.3.0:38651</v>
      </c>
      <c r="E1476" s="6" t="str">
        <f>_xll.QS.INSTRUMENT.SWAP("swap.1474",H1476,B1476,"USD","SOFR",I1476,J1476,0,"Actual360","Simple","Annual","Annual","Annual")</f>
        <v>QSObject:Swap:w1~swap.1474:19230</v>
      </c>
      <c r="F1476" s="6" t="str">
        <f>_xll.QS.TRADE.CREATE("trade.1474",E1476,A1476,"Receive")</f>
        <v>QSObject:SwapTrade:w1~trade.1474:28978</v>
      </c>
      <c r="G1476" s="3">
        <f>_xll.QS.EVALUATE(C1476,F1476)</f>
        <v>28566.529052725058</v>
      </c>
      <c r="H1476" s="5" t="s">
        <v>2992</v>
      </c>
      <c r="I1476" s="7">
        <v>1147400</v>
      </c>
      <c r="J1476" s="8">
        <v>3.7400000000000003E-2</v>
      </c>
    </row>
    <row r="1477" spans="1:10" x14ac:dyDescent="0.25">
      <c r="A1477" s="5" t="s">
        <v>2980</v>
      </c>
      <c r="B1477" s="5" t="s">
        <v>2993</v>
      </c>
      <c r="C1477" s="6" t="str">
        <f>_xll.QS.CONTEXT.CREATE("market.1475",A1477,"USD","SOFR")</f>
        <v>QSObject:PricingContext:w1~market.1475:19229</v>
      </c>
      <c r="D1477" s="6" t="str">
        <f>_xll.QS.CONTEXT.ADD.CURVE(C1477,"SOFR",$K$2:$K$7,$L$2:$L$7,,,"Actual360","LogLinear",TRUE)</f>
        <v>QSObject:ContextInput:w1~input.qs_context_add_curve.2359132437744.1476.3.0:38650</v>
      </c>
      <c r="E1477" s="6" t="str">
        <f>_xll.QS.INSTRUMENT.SWAP("swap.1475",H1477,B1477,"USD","SOFR",I1477,J1477,0,"Actual360","Simple","Annual","Annual","Annual")</f>
        <v>QSObject:Swap:w1~swap.1475:19228</v>
      </c>
      <c r="F1477" s="6" t="str">
        <f>_xll.QS.TRADE.CREATE("trade.1475",E1477,A1477,"Receive")</f>
        <v>QSObject:SwapTrade:w1~trade.1475:29579</v>
      </c>
      <c r="G1477" s="3">
        <f>_xll.QS.EVALUATE(C1477,F1477)</f>
        <v>29015.594940783008</v>
      </c>
      <c r="H1477" s="5" t="s">
        <v>2994</v>
      </c>
      <c r="I1477" s="7">
        <v>1147500</v>
      </c>
      <c r="J1477" s="8">
        <v>3.7500000000000012E-2</v>
      </c>
    </row>
    <row r="1478" spans="1:10" x14ac:dyDescent="0.25">
      <c r="A1478" s="5" t="s">
        <v>2982</v>
      </c>
      <c r="B1478" s="5" t="s">
        <v>2995</v>
      </c>
      <c r="C1478" s="6" t="str">
        <f>_xll.QS.CONTEXT.CREATE("market.1476",A1478,"USD","SOFR")</f>
        <v>QSObject:PricingContext:w1~market.1476:19227</v>
      </c>
      <c r="D1478" s="6" t="str">
        <f>_xll.QS.CONTEXT.ADD.CURVE(C1478,"SOFR",$K$2:$K$7,$L$2:$L$7,,,"Actual360","LogLinear",TRUE)</f>
        <v>QSObject:ContextInput:w1~input.qs_context_add_curve.2359132437744.1477.3.0:38649</v>
      </c>
      <c r="E1478" s="6" t="str">
        <f>_xll.QS.INSTRUMENT.SWAP("swap.1476",H1478,B1478,"USD","SOFR",I1478,J1478,0,"Actual360","Simple","Annual","Annual","Annual")</f>
        <v>QSObject:Swap:w1~swap.1476:19226</v>
      </c>
      <c r="F1478" s="6" t="str">
        <f>_xll.QS.TRADE.CREATE("trade.1476",E1478,A1478,"Receive")</f>
        <v>QSObject:SwapTrade:w1~trade.1476:30364</v>
      </c>
      <c r="G1478" s="3">
        <f>_xll.QS.EVALUATE(C1478,F1478)</f>
        <v>29462.09357434636</v>
      </c>
      <c r="H1478" s="5" t="s">
        <v>2996</v>
      </c>
      <c r="I1478" s="7">
        <v>1147600</v>
      </c>
      <c r="J1478" s="8">
        <v>3.7600000000000001E-2</v>
      </c>
    </row>
    <row r="1479" spans="1:10" x14ac:dyDescent="0.25">
      <c r="A1479" s="5" t="s">
        <v>2984</v>
      </c>
      <c r="B1479" s="5" t="s">
        <v>2997</v>
      </c>
      <c r="C1479" s="6" t="str">
        <f>_xll.QS.CONTEXT.CREATE("market.1477",A1479,"USD","SOFR")</f>
        <v>QSObject:PricingContext:w1~market.1477:19225</v>
      </c>
      <c r="D1479" s="6" t="str">
        <f>_xll.QS.CONTEXT.ADD.CURVE(C1479,"SOFR",$K$2:$K$7,$L$2:$L$7,,,"Actual360","LogLinear",TRUE)</f>
        <v>QSObject:ContextInput:w1~input.qs_context_add_curve.2359132437744.1478.3.0:38648</v>
      </c>
      <c r="E1479" s="6" t="str">
        <f>_xll.QS.INSTRUMENT.SWAP("swap.1477",H1479,B1479,"USD","SOFR",I1479,J1479,0,"Actual360","Simple","Annual","Annual","Annual")</f>
        <v>QSObject:Swap:w1~swap.1477:19224</v>
      </c>
      <c r="F1479" s="6" t="str">
        <f>_xll.QS.TRADE.CREATE("trade.1477",E1479,A1479,"Receive")</f>
        <v>QSObject:SwapTrade:w1~trade.1477:30248</v>
      </c>
      <c r="G1479" s="3">
        <f>_xll.QS.EVALUATE(C1479,F1479)</f>
        <v>29996.37471525267</v>
      </c>
      <c r="H1479" s="5" t="s">
        <v>2998</v>
      </c>
      <c r="I1479" s="7">
        <v>1147700</v>
      </c>
      <c r="J1479" s="8">
        <v>3.7699999999999997E-2</v>
      </c>
    </row>
    <row r="1480" spans="1:10" x14ac:dyDescent="0.25">
      <c r="A1480" s="5" t="s">
        <v>2986</v>
      </c>
      <c r="B1480" s="5" t="s">
        <v>2999</v>
      </c>
      <c r="C1480" s="6" t="str">
        <f>_xll.QS.CONTEXT.CREATE("market.1478",A1480,"USD","SOFR")</f>
        <v>QSObject:PricingContext:w1~market.1478:19223</v>
      </c>
      <c r="D1480" s="6" t="str">
        <f>_xll.QS.CONTEXT.ADD.CURVE(C1480,"SOFR",$K$2:$K$7,$L$2:$L$7,,,"Actual360","LogLinear",TRUE)</f>
        <v>QSObject:ContextInput:w1~input.qs_context_add_curve.2359132437744.1479.3.0:38647</v>
      </c>
      <c r="E1480" s="6" t="str">
        <f>_xll.QS.INSTRUMENT.SWAP("swap.1478",H1480,B1480,"USD","SOFR",I1480,J1480,0,"Actual360","Simple","Annual","Annual","Annual")</f>
        <v>QSObject:Swap:w1~swap.1478:19222</v>
      </c>
      <c r="F1480" s="6" t="str">
        <f>_xll.QS.TRADE.CREATE("trade.1478",E1480,A1480,"Receive")</f>
        <v>QSObject:SwapTrade:w1~trade.1478:29578</v>
      </c>
      <c r="G1480" s="3">
        <f>_xll.QS.EVALUATE(C1480,F1480)</f>
        <v>30557.289314953752</v>
      </c>
      <c r="H1480" s="5" t="s">
        <v>3000</v>
      </c>
      <c r="I1480" s="7">
        <v>1147800</v>
      </c>
      <c r="J1480" s="8">
        <v>3.78E-2</v>
      </c>
    </row>
    <row r="1481" spans="1:10" x14ac:dyDescent="0.25">
      <c r="A1481" s="5" t="s">
        <v>2988</v>
      </c>
      <c r="B1481" s="5" t="s">
        <v>3001</v>
      </c>
      <c r="C1481" s="6" t="str">
        <f>_xll.QS.CONTEXT.CREATE("market.1479",A1481,"USD","SOFR")</f>
        <v>QSObject:PricingContext:w1~market.1479:19221</v>
      </c>
      <c r="D1481" s="6" t="str">
        <f>_xll.QS.CONTEXT.ADD.CURVE(C1481,"SOFR",$K$2:$K$7,$L$2:$L$7,,,"Actual360","LogLinear",TRUE)</f>
        <v>QSObject:ContextInput:w1~input.qs_context_add_curve.2359132437744.1480.3.0:38646</v>
      </c>
      <c r="E1481" s="6" t="str">
        <f>_xll.QS.INSTRUMENT.SWAP("swap.1479",H1481,B1481,"USD","SOFR",I1481,J1481,0,"Actual360","Simple","Annual","Annual","Annual")</f>
        <v>QSObject:Swap:w1~swap.1479:19220</v>
      </c>
      <c r="F1481" s="6" t="str">
        <f>_xll.QS.TRADE.CREATE("trade.1479",E1481,A1481,"Receive")</f>
        <v>QSObject:SwapTrade:w1~trade.1479:29577</v>
      </c>
      <c r="G1481" s="3">
        <f>_xll.QS.EVALUATE(C1481,F1481)</f>
        <v>31173.355177065219</v>
      </c>
      <c r="H1481" s="5" t="s">
        <v>3002</v>
      </c>
      <c r="I1481" s="7">
        <v>1147900</v>
      </c>
      <c r="J1481" s="8">
        <v>3.7900000000000003E-2</v>
      </c>
    </row>
    <row r="1482" spans="1:10" x14ac:dyDescent="0.25">
      <c r="A1482" s="5" t="s">
        <v>2990</v>
      </c>
      <c r="B1482" s="5" t="s">
        <v>3003</v>
      </c>
      <c r="C1482" s="6" t="str">
        <f>_xll.QS.CONTEXT.CREATE("market.1480",A1482,"USD","SOFR")</f>
        <v>QSObject:PricingContext:w1~market.1480:19219</v>
      </c>
      <c r="D1482" s="6" t="str">
        <f>_xll.QS.CONTEXT.ADD.CURVE(C1482,"SOFR",$K$2:$K$7,$L$2:$L$7,,,"Actual360","LogLinear",TRUE)</f>
        <v>QSObject:ContextInput:w1~input.qs_context_add_curve.2359132437744.1481.3.0:38645</v>
      </c>
      <c r="E1482" s="6" t="str">
        <f>_xll.QS.INSTRUMENT.SWAP("swap.1480",H1482,B1482,"USD","SOFR",I1482,J1482,0,"Actual360","Simple","Annual","Annual","Annual")</f>
        <v>QSObject:Swap:w1~swap.1480:19218</v>
      </c>
      <c r="F1482" s="6" t="str">
        <f>_xll.QS.TRADE.CREATE("trade.1480",E1482,A1482,"Receive")</f>
        <v>QSObject:SwapTrade:w1~trade.1480:28977</v>
      </c>
      <c r="G1482" s="3">
        <f>_xll.QS.EVALUATE(C1482,F1482)</f>
        <v>31755.640031876632</v>
      </c>
      <c r="H1482" s="5" t="s">
        <v>3004</v>
      </c>
      <c r="I1482" s="7">
        <v>1148000</v>
      </c>
      <c r="J1482" s="8">
        <v>3.8000000000000013E-2</v>
      </c>
    </row>
    <row r="1483" spans="1:10" x14ac:dyDescent="0.25">
      <c r="A1483" s="5" t="s">
        <v>2992</v>
      </c>
      <c r="B1483" s="5" t="s">
        <v>3005</v>
      </c>
      <c r="C1483" s="6" t="str">
        <f>_xll.QS.CONTEXT.CREATE("market.1481",A1483,"USD","SOFR")</f>
        <v>QSObject:PricingContext:w1~market.1481:19217</v>
      </c>
      <c r="D1483" s="6" t="str">
        <f>_xll.QS.CONTEXT.ADD.CURVE(C1483,"SOFR",$K$2:$K$7,$L$2:$L$7,,,"Actual360","LogLinear",TRUE)</f>
        <v>QSObject:ContextInput:w1~input.qs_context_add_curve.2359132437744.1482.3.0:38644</v>
      </c>
      <c r="E1483" s="6" t="str">
        <f>_xll.QS.INSTRUMENT.SWAP("swap.1481",H1483,B1483,"USD","SOFR",I1483,J1483,0,"Actual360","Simple","Annual","Annual","Annual")</f>
        <v>QSObject:Swap:w1~swap.1481:19216</v>
      </c>
      <c r="F1483" s="6" t="str">
        <f>_xll.QS.TRADE.CREATE("trade.1481",E1483,A1483,"Receive")</f>
        <v>QSObject:SwapTrade:w1~trade.1481:30247</v>
      </c>
      <c r="G1483" s="3">
        <f>_xll.QS.EVALUATE(C1483,F1483)</f>
        <v>32243.653484939146</v>
      </c>
      <c r="H1483" s="5" t="s">
        <v>3006</v>
      </c>
      <c r="I1483" s="7">
        <v>1148100</v>
      </c>
      <c r="J1483" s="8">
        <v>3.8100000000000002E-2</v>
      </c>
    </row>
    <row r="1484" spans="1:10" x14ac:dyDescent="0.25">
      <c r="A1484" s="5" t="s">
        <v>2994</v>
      </c>
      <c r="B1484" s="5" t="s">
        <v>3007</v>
      </c>
      <c r="C1484" s="6" t="str">
        <f>_xll.QS.CONTEXT.CREATE("market.1482",A1484,"USD","SOFR")</f>
        <v>QSObject:PricingContext:w1~market.1482:19215</v>
      </c>
      <c r="D1484" s="6" t="str">
        <f>_xll.QS.CONTEXT.ADD.CURVE(C1484,"SOFR",$K$2:$K$7,$L$2:$L$7,,,"Actual360","LogLinear",TRUE)</f>
        <v>QSObject:ContextInput:w1~input.qs_context_add_curve.2359132437744.1483.3.0:38643</v>
      </c>
      <c r="E1484" s="6" t="str">
        <f>_xll.QS.INSTRUMENT.SWAP("swap.1482",H1484,B1484,"USD","SOFR",I1484,J1484,0,"Actual360","Simple","Annual","Annual","Annual")</f>
        <v>QSObject:Swap:w1~swap.1482:19214</v>
      </c>
      <c r="F1484" s="6" t="str">
        <f>_xll.QS.TRADE.CREATE("trade.1482",E1484,A1484,"Receive")</f>
        <v>QSObject:SwapTrade:w1~trade.1482:30363</v>
      </c>
      <c r="G1484" s="3">
        <f>_xll.QS.EVALUATE(C1484,F1484)</f>
        <v>32688.943324388667</v>
      </c>
      <c r="H1484" s="5" t="s">
        <v>3008</v>
      </c>
      <c r="I1484" s="7">
        <v>1148200</v>
      </c>
      <c r="J1484" s="8">
        <v>3.8199999999999998E-2</v>
      </c>
    </row>
    <row r="1485" spans="1:10" x14ac:dyDescent="0.25">
      <c r="A1485" s="5" t="s">
        <v>2996</v>
      </c>
      <c r="B1485" s="5" t="s">
        <v>3009</v>
      </c>
      <c r="C1485" s="6" t="str">
        <f>_xll.QS.CONTEXT.CREATE("market.1483",A1485,"USD","SOFR")</f>
        <v>QSObject:PricingContext:w1~market.1483:19213</v>
      </c>
      <c r="D1485" s="6" t="str">
        <f>_xll.QS.CONTEXT.ADD.CURVE(C1485,"SOFR",$K$2:$K$7,$L$2:$L$7,,,"Actual360","LogLinear",TRUE)</f>
        <v>QSObject:ContextInput:w1~input.qs_context_add_curve.2359132437744.1484.3.0:38642</v>
      </c>
      <c r="E1485" s="6" t="str">
        <f>_xll.QS.INSTRUMENT.SWAP("swap.1483",H1485,B1485,"USD","SOFR",I1485,J1485,0,"Actual360","Simple","Annual","Annual","Annual")</f>
        <v>QSObject:Swap:w1~swap.1483:19212</v>
      </c>
      <c r="F1485" s="6" t="str">
        <f>_xll.QS.TRADE.CREATE("trade.1483",E1485,A1485,"Receive")</f>
        <v>QSObject:SwapTrade:w1~trade.1483:29576</v>
      </c>
      <c r="G1485" s="3">
        <f>_xll.QS.EVALUATE(C1485,F1485)</f>
        <v>33223.350779558692</v>
      </c>
      <c r="H1485" s="5" t="s">
        <v>3010</v>
      </c>
      <c r="I1485" s="7">
        <v>1148300</v>
      </c>
      <c r="J1485" s="8">
        <v>3.8300000000000001E-2</v>
      </c>
    </row>
    <row r="1486" spans="1:10" x14ac:dyDescent="0.25">
      <c r="A1486" s="5" t="s">
        <v>2998</v>
      </c>
      <c r="B1486" s="5" t="s">
        <v>3011</v>
      </c>
      <c r="C1486" s="6" t="str">
        <f>_xll.QS.CONTEXT.CREATE("market.1484",A1486,"USD","SOFR")</f>
        <v>QSObject:PricingContext:w1~market.1484:19211</v>
      </c>
      <c r="D1486" s="6" t="str">
        <f>_xll.QS.CONTEXT.ADD.CURVE(C1486,"SOFR",$K$2:$K$7,$L$2:$L$7,,,"Actual360","LogLinear",TRUE)</f>
        <v>QSObject:ContextInput:w1~input.qs_context_add_curve.2359132437744.1485.3.0:38641</v>
      </c>
      <c r="E1486" s="6" t="str">
        <f>_xll.QS.INSTRUMENT.SWAP("swap.1484",H1486,B1486,"USD","SOFR",I1486,J1486,0,"Actual360","Simple","Annual","Annual","Annual")</f>
        <v>QSObject:Swap:w1~swap.1484:19210</v>
      </c>
      <c r="F1486" s="6" t="str">
        <f>_xll.QS.TRADE.CREATE("trade.1484",E1486,A1486,"Receive")</f>
        <v>QSObject:SwapTrade:w1~trade.1484:28976</v>
      </c>
      <c r="G1486" s="3">
        <f>_xll.QS.EVALUATE(C1486,F1486)</f>
        <v>33804.097120089878</v>
      </c>
      <c r="H1486" s="5" t="s">
        <v>3012</v>
      </c>
      <c r="I1486" s="7">
        <v>1148400</v>
      </c>
      <c r="J1486" s="8">
        <v>3.8399999999999997E-2</v>
      </c>
    </row>
    <row r="1487" spans="1:10" x14ac:dyDescent="0.25">
      <c r="A1487" s="5" t="s">
        <v>3000</v>
      </c>
      <c r="B1487" s="5" t="s">
        <v>3013</v>
      </c>
      <c r="C1487" s="6" t="str">
        <f>_xll.QS.CONTEXT.CREATE("market.1485",A1487,"USD","SOFR")</f>
        <v>QSObject:PricingContext:w1~market.1485:19209</v>
      </c>
      <c r="D1487" s="6" t="str">
        <f>_xll.QS.CONTEXT.ADD.CURVE(C1487,"SOFR",$K$2:$K$7,$L$2:$L$7,,,"Actual360","LogLinear",TRUE)</f>
        <v>QSObject:ContextInput:w1~input.qs_context_add_curve.2359132437744.1486.3.0:38640</v>
      </c>
      <c r="E1487" s="6" t="str">
        <f>_xll.QS.INSTRUMENT.SWAP("swap.1485",H1487,B1487,"USD","SOFR",I1487,J1487,0,"Actual360","Simple","Annual","Annual","Annual")</f>
        <v>QSObject:Swap:w1~swap.1485:19208</v>
      </c>
      <c r="F1487" s="6" t="str">
        <f>_xll.QS.TRADE.CREATE("trade.1485",E1487,A1487,"Receive")</f>
        <v>QSObject:SwapTrade:w1~trade.1485:29575</v>
      </c>
      <c r="G1487" s="3">
        <f>_xll.QS.EVALUATE(C1487,F1487)</f>
        <v>34283.144917364552</v>
      </c>
      <c r="H1487" s="5" t="s">
        <v>3014</v>
      </c>
      <c r="I1487" s="7">
        <v>1148500</v>
      </c>
      <c r="J1487" s="8">
        <v>3.8500000000000013E-2</v>
      </c>
    </row>
    <row r="1488" spans="1:10" x14ac:dyDescent="0.25">
      <c r="A1488" s="5" t="s">
        <v>3002</v>
      </c>
      <c r="B1488" s="5" t="s">
        <v>3015</v>
      </c>
      <c r="C1488" s="6" t="str">
        <f>_xll.QS.CONTEXT.CREATE("market.1486",A1488,"USD","SOFR")</f>
        <v>QSObject:PricingContext:w1~market.1486:19207</v>
      </c>
      <c r="D1488" s="6" t="str">
        <f>_xll.QS.CONTEXT.ADD.CURVE(C1488,"SOFR",$K$2:$K$7,$L$2:$L$7,,,"Actual360","LogLinear",TRUE)</f>
        <v>QSObject:ContextInput:w1~input.qs_context_add_curve.2359132437744.1487.3.0:38639</v>
      </c>
      <c r="E1488" s="6" t="str">
        <f>_xll.QS.INSTRUMENT.SWAP("swap.1486",H1488,B1488,"USD","SOFR",I1488,J1488,0,"Actual360","Simple","Annual","Annual","Annual")</f>
        <v>QSObject:Swap:w1~swap.1486:19206</v>
      </c>
      <c r="F1488" s="6" t="str">
        <f>_xll.QS.TRADE.CREATE("trade.1486",E1488,A1488,"Receive")</f>
        <v>QSObject:SwapTrade:w1~trade.1486:29574</v>
      </c>
      <c r="G1488" s="3">
        <f>_xll.QS.EVALUATE(C1488,F1488)</f>
        <v>34900.013877350546</v>
      </c>
      <c r="H1488" s="5" t="s">
        <v>3016</v>
      </c>
      <c r="I1488" s="7">
        <v>1148600</v>
      </c>
      <c r="J1488" s="8">
        <v>3.8600000000000002E-2</v>
      </c>
    </row>
    <row r="1489" spans="1:10" x14ac:dyDescent="0.25">
      <c r="A1489" s="5" t="s">
        <v>3004</v>
      </c>
      <c r="B1489" s="5" t="s">
        <v>3017</v>
      </c>
      <c r="C1489" s="6" t="str">
        <f>_xll.QS.CONTEXT.CREATE("market.1487",A1489,"USD","SOFR")</f>
        <v>QSObject:PricingContext:w1~market.1487:19205</v>
      </c>
      <c r="D1489" s="6" t="str">
        <f>_xll.QS.CONTEXT.ADD.CURVE(C1489,"SOFR",$K$2:$K$7,$L$2:$L$7,,,"Actual360","LogLinear",TRUE)</f>
        <v>QSObject:ContextInput:w1~input.qs_context_add_curve.2359132437744.1488.3.0:38638</v>
      </c>
      <c r="E1489" s="6" t="str">
        <f>_xll.QS.INSTRUMENT.SWAP("swap.1487",H1489,B1489,"USD","SOFR",I1489,J1489,0,"Actual360","Simple","Annual","Annual","Annual")</f>
        <v>QSObject:Swap:w1~swap.1487:19204</v>
      </c>
      <c r="F1489" s="6" t="str">
        <f>_xll.QS.TRADE.CREATE("trade.1487",E1489,A1489,"Receive")</f>
        <v>QSObject:SwapTrade:w1~trade.1487:29573</v>
      </c>
      <c r="G1489" s="3">
        <f>_xll.QS.EVALUATE(C1489,F1489)</f>
        <v>35436.244208603566</v>
      </c>
      <c r="H1489" s="5" t="s">
        <v>3018</v>
      </c>
      <c r="I1489" s="7">
        <v>1148700</v>
      </c>
      <c r="J1489" s="8">
        <v>3.8700000000000012E-2</v>
      </c>
    </row>
    <row r="1490" spans="1:10" x14ac:dyDescent="0.25">
      <c r="A1490" s="5" t="s">
        <v>3006</v>
      </c>
      <c r="B1490" s="5" t="s">
        <v>3019</v>
      </c>
      <c r="C1490" s="6" t="str">
        <f>_xll.QS.CONTEXT.CREATE("market.1488",A1490,"USD","SOFR")</f>
        <v>QSObject:PricingContext:w1~market.1488:19203</v>
      </c>
      <c r="D1490" s="6" t="str">
        <f>_xll.QS.CONTEXT.ADD.CURVE(C1490,"SOFR",$K$2:$K$7,$L$2:$L$7,,,"Actual360","LogLinear",TRUE)</f>
        <v>QSObject:ContextInput:w1~input.qs_context_add_curve.2359132437744.1489.3.0:38637</v>
      </c>
      <c r="E1490" s="6" t="str">
        <f>_xll.QS.INSTRUMENT.SWAP("swap.1488",H1490,B1490,"USD","SOFR",I1490,J1490,0,"Actual360","Simple","Annual","Annual","Annual")</f>
        <v>QSObject:Swap:w1~swap.1488:19202</v>
      </c>
      <c r="F1490" s="6" t="str">
        <f>_xll.QS.TRADE.CREATE("trade.1488",E1490,A1490,"Receive")</f>
        <v>QSObject:SwapTrade:w1~trade.1488:28975</v>
      </c>
      <c r="G1490" s="3">
        <f>_xll.QS.EVALUATE(C1490,F1490)</f>
        <v>35971.608925340333</v>
      </c>
      <c r="H1490" s="5" t="s">
        <v>3020</v>
      </c>
      <c r="I1490" s="7">
        <v>1148800</v>
      </c>
      <c r="J1490" s="8">
        <v>3.8800000000000001E-2</v>
      </c>
    </row>
    <row r="1491" spans="1:10" x14ac:dyDescent="0.25">
      <c r="A1491" s="5" t="s">
        <v>3008</v>
      </c>
      <c r="B1491" s="5" t="s">
        <v>3021</v>
      </c>
      <c r="C1491" s="6" t="str">
        <f>_xll.QS.CONTEXT.CREATE("market.1489",A1491,"USD","SOFR")</f>
        <v>QSObject:PricingContext:w1~market.1489:19201</v>
      </c>
      <c r="D1491" s="6" t="str">
        <f>_xll.QS.CONTEXT.ADD.CURVE(C1491,"SOFR",$K$2:$K$7,$L$2:$L$7,,,"Actual360","LogLinear",TRUE)</f>
        <v>QSObject:ContextInput:w1~input.qs_context_add_curve.2359132437744.1490.3.0:38636</v>
      </c>
      <c r="E1491" s="6" t="str">
        <f>_xll.QS.INSTRUMENT.SWAP("swap.1489",H1491,B1491,"USD","SOFR",I1491,J1491,0,"Actual360","Simple","Annual","Annual","Annual")</f>
        <v>QSObject:Swap:w1~swap.1489:19200</v>
      </c>
      <c r="F1491" s="6" t="str">
        <f>_xll.QS.TRADE.CREATE("trade.1489",E1491,A1491,"Receive")</f>
        <v>QSObject:SwapTrade:w1~trade.1489:30246</v>
      </c>
      <c r="G1491" s="3">
        <f>_xll.QS.EVALUATE(C1491,F1491)</f>
        <v>36413.123846732939</v>
      </c>
      <c r="H1491" s="5" t="s">
        <v>3022</v>
      </c>
      <c r="I1491" s="7">
        <v>1148900</v>
      </c>
      <c r="J1491" s="8">
        <v>3.8899999999999997E-2</v>
      </c>
    </row>
    <row r="1492" spans="1:10" x14ac:dyDescent="0.25">
      <c r="A1492" s="5" t="s">
        <v>3010</v>
      </c>
      <c r="B1492" s="5" t="s">
        <v>3023</v>
      </c>
      <c r="C1492" s="6" t="str">
        <f>_xll.QS.CONTEXT.CREATE("market.1490",A1492,"USD","SOFR")</f>
        <v>QSObject:PricingContext:w1~market.1490:19199</v>
      </c>
      <c r="D1492" s="6" t="str">
        <f>_xll.QS.CONTEXT.ADD.CURVE(C1492,"SOFR",$K$2:$K$7,$L$2:$L$7,,,"Actual360","LogLinear",TRUE)</f>
        <v>QSObject:ContextInput:w1~input.qs_context_add_curve.2359132437744.1491.3.0:38635</v>
      </c>
      <c r="E1492" s="6" t="str">
        <f>_xll.QS.INSTRUMENT.SWAP("swap.1490",H1492,B1492,"USD","SOFR",I1492,J1492,0,"Actual360","Simple","Annual","Annual","Annual")</f>
        <v>QSObject:Swap:w1~swap.1490:19198</v>
      </c>
      <c r="F1492" s="6" t="str">
        <f>_xll.QS.TRADE.CREATE("trade.1490",E1492,A1492,"Receive")</f>
        <v>QSObject:SwapTrade:w1~trade.1490:30362</v>
      </c>
      <c r="G1492" s="3">
        <f>_xll.QS.EVALUATE(C1492,F1492)</f>
        <v>36872.411697326839</v>
      </c>
      <c r="H1492" s="5" t="s">
        <v>3024</v>
      </c>
      <c r="I1492" s="7">
        <v>1149000</v>
      </c>
      <c r="J1492" s="8">
        <v>3.9000000000000007E-2</v>
      </c>
    </row>
    <row r="1493" spans="1:10" x14ac:dyDescent="0.25">
      <c r="A1493" s="5" t="s">
        <v>3012</v>
      </c>
      <c r="B1493" s="5" t="s">
        <v>3025</v>
      </c>
      <c r="C1493" s="6" t="str">
        <f>_xll.QS.CONTEXT.CREATE("market.1491",A1493,"USD","SOFR")</f>
        <v>QSObject:PricingContext:w1~market.1491:19197</v>
      </c>
      <c r="D1493" s="6" t="str">
        <f>_xll.QS.CONTEXT.ADD.CURVE(C1493,"SOFR",$K$2:$K$7,$L$2:$L$7,,,"Actual360","LogLinear",TRUE)</f>
        <v>QSObject:ContextInput:w1~input.qs_context_add_curve.2359132437744.1492.3.0:38634</v>
      </c>
      <c r="E1493" s="6" t="str">
        <f>_xll.QS.INSTRUMENT.SWAP("swap.1491",H1493,B1493,"USD","SOFR",I1493,J1493,0,"Actual360","Simple","Annual","Annual","Annual")</f>
        <v>QSObject:Swap:w1~swap.1491:19196</v>
      </c>
      <c r="F1493" s="6" t="str">
        <f>_xll.QS.TRADE.CREATE("trade.1491",E1493,A1493,"Receive")</f>
        <v>QSObject:SwapTrade:w1~trade.1491:28974</v>
      </c>
      <c r="G1493" s="3">
        <f>_xll.QS.EVALUATE(C1493,F1493)</f>
        <v>37454.808812186704</v>
      </c>
      <c r="H1493" s="5" t="s">
        <v>3026</v>
      </c>
      <c r="I1493" s="7">
        <v>1149100</v>
      </c>
      <c r="J1493" s="8">
        <v>3.9100000000000003E-2</v>
      </c>
    </row>
    <row r="1494" spans="1:10" x14ac:dyDescent="0.25">
      <c r="A1494" s="5" t="s">
        <v>3014</v>
      </c>
      <c r="B1494" s="5" t="s">
        <v>3027</v>
      </c>
      <c r="C1494" s="6" t="str">
        <f>_xll.QS.CONTEXT.CREATE("market.1492",A1494,"USD","SOFR")</f>
        <v>QSObject:PricingContext:w1~market.1492:19195</v>
      </c>
      <c r="D1494" s="6" t="str">
        <f>_xll.QS.CONTEXT.ADD.CURVE(C1494,"SOFR",$K$2:$K$7,$L$2:$L$7,,,"Actual360","LogLinear",TRUE)</f>
        <v>QSObject:ContextInput:w1~input.qs_context_add_curve.2359132437744.1493.3.0:38633</v>
      </c>
      <c r="E1494" s="6" t="str">
        <f>_xll.QS.INSTRUMENT.SWAP("swap.1492",H1494,B1494,"USD","SOFR",I1494,J1494,0,"Actual360","Simple","Annual","Annual","Annual")</f>
        <v>QSObject:Swap:w1~swap.1492:19194</v>
      </c>
      <c r="F1494" s="6" t="str">
        <f>_xll.QS.TRADE.CREATE("trade.1492",E1494,A1494,"Receive")</f>
        <v>QSObject:SwapTrade:w1~trade.1492:29572</v>
      </c>
      <c r="G1494" s="3">
        <f>_xll.QS.EVALUATE(C1494,F1494)</f>
        <v>38013.567219367535</v>
      </c>
      <c r="H1494" s="5" t="s">
        <v>3028</v>
      </c>
      <c r="I1494" s="7">
        <v>1149200</v>
      </c>
      <c r="J1494" s="8">
        <v>3.9200000000000013E-2</v>
      </c>
    </row>
    <row r="1495" spans="1:10" x14ac:dyDescent="0.25">
      <c r="A1495" s="5" t="s">
        <v>3016</v>
      </c>
      <c r="B1495" s="5" t="s">
        <v>3029</v>
      </c>
      <c r="C1495" s="6" t="str">
        <f>_xll.QS.CONTEXT.CREATE("market.1493",A1495,"USD","SOFR")</f>
        <v>QSObject:PricingContext:w1~market.1493:19193</v>
      </c>
      <c r="D1495" s="6" t="str">
        <f>_xll.QS.CONTEXT.ADD.CURVE(C1495,"SOFR",$K$2:$K$7,$L$2:$L$7,,,"Actual360","LogLinear",TRUE)</f>
        <v>QSObject:ContextInput:w1~input.qs_context_add_curve.2359132437744.1494.3.0:38632</v>
      </c>
      <c r="E1495" s="6" t="str">
        <f>_xll.QS.INSTRUMENT.SWAP("swap.1493",H1495,B1495,"USD","SOFR",I1495,J1495,0,"Actual360","Simple","Annual","Annual","Annual")</f>
        <v>QSObject:Swap:w1~swap.1493:19192</v>
      </c>
      <c r="F1495" s="6" t="str">
        <f>_xll.QS.TRADE.CREATE("trade.1493",E1495,A1495,"Receive")</f>
        <v>QSObject:SwapTrade:w1~trade.1493:30361</v>
      </c>
      <c r="G1495" s="3">
        <f>_xll.QS.EVALUATE(C1495,F1495)</f>
        <v>38631.191803128386</v>
      </c>
      <c r="H1495" s="5" t="s">
        <v>3030</v>
      </c>
      <c r="I1495" s="7">
        <v>1149300</v>
      </c>
      <c r="J1495" s="8">
        <v>3.9300000000000002E-2</v>
      </c>
    </row>
    <row r="1496" spans="1:10" x14ac:dyDescent="0.25">
      <c r="A1496" s="5" t="s">
        <v>3018</v>
      </c>
      <c r="B1496" s="5" t="s">
        <v>3031</v>
      </c>
      <c r="C1496" s="6" t="str">
        <f>_xll.QS.CONTEXT.CREATE("market.1494",A1496,"USD","SOFR")</f>
        <v>QSObject:PricingContext:w1~market.1494:19191</v>
      </c>
      <c r="D1496" s="6" t="str">
        <f>_xll.QS.CONTEXT.ADD.CURVE(C1496,"SOFR",$K$2:$K$7,$L$2:$L$7,,,"Actual360","LogLinear",TRUE)</f>
        <v>QSObject:ContextInput:w1~input.qs_context_add_curve.2359132437744.1495.3.0:38631</v>
      </c>
      <c r="E1496" s="6" t="str">
        <f>_xll.QS.INSTRUMENT.SWAP("swap.1494",H1496,B1496,"USD","SOFR",I1496,J1496,0,"Actual360","Simple","Annual","Annual","Annual")</f>
        <v>QSObject:Swap:w1~swap.1494:19190</v>
      </c>
      <c r="F1496" s="6" t="str">
        <f>_xll.QS.TRADE.CREATE("trade.1494",E1496,A1496,"Receive")</f>
        <v>QSObject:SwapTrade:w1~trade.1494:30245</v>
      </c>
      <c r="G1496" s="3">
        <f>_xll.QS.EVALUATE(C1496,F1496)</f>
        <v>39214.914286730709</v>
      </c>
      <c r="H1496" s="5" t="s">
        <v>3032</v>
      </c>
      <c r="I1496" s="7">
        <v>1149400</v>
      </c>
      <c r="J1496" s="8">
        <v>3.9399999999999998E-2</v>
      </c>
    </row>
    <row r="1497" spans="1:10" x14ac:dyDescent="0.25">
      <c r="A1497" s="5" t="s">
        <v>3020</v>
      </c>
      <c r="B1497" s="5" t="s">
        <v>3033</v>
      </c>
      <c r="C1497" s="6" t="str">
        <f>_xll.QS.CONTEXT.CREATE("market.1495",A1497,"USD","SOFR")</f>
        <v>QSObject:PricingContext:w1~market.1495:19189</v>
      </c>
      <c r="D1497" s="6" t="str">
        <f>_xll.QS.CONTEXT.ADD.CURVE(C1497,"SOFR",$K$2:$K$7,$L$2:$L$7,,,"Actual360","LogLinear",TRUE)</f>
        <v>QSObject:ContextInput:w1~input.qs_context_add_curve.2359132437744.1496.3.0:38630</v>
      </c>
      <c r="E1497" s="6" t="str">
        <f>_xll.QS.INSTRUMENT.SWAP("swap.1495",H1497,B1497,"USD","SOFR",I1497,J1497,0,"Actual360","Simple","Annual","Annual","Annual")</f>
        <v>QSObject:Swap:w1~swap.1495:19188</v>
      </c>
      <c r="F1497" s="6" t="str">
        <f>_xll.QS.TRADE.CREATE("trade.1495",E1497,A1497,"Receive")</f>
        <v>QSObject:SwapTrade:w1~trade.1495:28973</v>
      </c>
      <c r="G1497" s="3">
        <f>_xll.QS.EVALUATE(C1497,F1497)</f>
        <v>39704.083529167845</v>
      </c>
      <c r="H1497" s="5" t="s">
        <v>3034</v>
      </c>
      <c r="I1497" s="7">
        <v>1149500</v>
      </c>
      <c r="J1497" s="8">
        <v>3.9500000000000007E-2</v>
      </c>
    </row>
    <row r="1498" spans="1:10" x14ac:dyDescent="0.25">
      <c r="A1498" s="5" t="s">
        <v>3022</v>
      </c>
      <c r="B1498" s="5" t="s">
        <v>3035</v>
      </c>
      <c r="C1498" s="6" t="str">
        <f>_xll.QS.CONTEXT.CREATE("market.1496",A1498,"USD","SOFR")</f>
        <v>QSObject:PricingContext:w1~market.1496:19187</v>
      </c>
      <c r="D1498" s="6" t="str">
        <f>_xll.QS.CONTEXT.ADD.CURVE(C1498,"SOFR",$K$2:$K$7,$L$2:$L$7,,,"Actual360","LogLinear",TRUE)</f>
        <v>QSObject:ContextInput:w1~input.qs_context_add_curve.2359132437744.1497.3.0:38629</v>
      </c>
      <c r="E1498" s="6" t="str">
        <f>_xll.QS.INSTRUMENT.SWAP("swap.1496",H1498,B1498,"USD","SOFR",I1498,J1498,0,"Actual360","Simple","Annual","Annual","Annual")</f>
        <v>QSObject:Swap:w1~swap.1496:19186</v>
      </c>
      <c r="F1498" s="6" t="str">
        <f>_xll.QS.TRADE.CREATE("trade.1496",E1498,A1498,"Receive")</f>
        <v>QSObject:SwapTrade:w1~trade.1496:30360</v>
      </c>
      <c r="G1498" s="3">
        <f>_xll.QS.EVALUATE(C1498,F1498)</f>
        <v>40141.818210487574</v>
      </c>
      <c r="H1498" s="5" t="s">
        <v>3036</v>
      </c>
      <c r="I1498" s="7">
        <v>1149600</v>
      </c>
      <c r="J1498" s="8">
        <v>3.9600000000000003E-2</v>
      </c>
    </row>
    <row r="1499" spans="1:10" x14ac:dyDescent="0.25">
      <c r="A1499" s="5" t="s">
        <v>3024</v>
      </c>
      <c r="B1499" s="5" t="s">
        <v>3037</v>
      </c>
      <c r="C1499" s="6" t="str">
        <f>_xll.QS.CONTEXT.CREATE("market.1497",A1499,"USD","SOFR")</f>
        <v>QSObject:PricingContext:w1~market.1497:19185</v>
      </c>
      <c r="D1499" s="6" t="str">
        <f>_xll.QS.CONTEXT.ADD.CURVE(C1499,"SOFR",$K$2:$K$7,$L$2:$L$7,,,"Actual360","LogLinear",TRUE)</f>
        <v>QSObject:ContextInput:w1~input.qs_context_add_curve.2359132437744.1498.3.0:38628</v>
      </c>
      <c r="E1499" s="6" t="str">
        <f>_xll.QS.INSTRUMENT.SWAP("swap.1497",H1499,B1499,"USD","SOFR",I1499,J1499,0,"Actual360","Simple","Annual","Annual","Annual")</f>
        <v>QSObject:Swap:w1~swap.1497:19184</v>
      </c>
      <c r="F1499" s="6" t="str">
        <f>_xll.QS.TRADE.CREATE("trade.1497",E1499,A1499,"Receive")</f>
        <v>QSObject:SwapTrade:w1~trade.1497:28972</v>
      </c>
      <c r="G1499" s="3">
        <f>_xll.QS.EVALUATE(C1499,F1499)</f>
        <v>40583.877662528248</v>
      </c>
      <c r="H1499" s="5" t="s">
        <v>3038</v>
      </c>
      <c r="I1499" s="7">
        <v>1149700</v>
      </c>
      <c r="J1499" s="8">
        <v>3.9700000000000013E-2</v>
      </c>
    </row>
    <row r="1500" spans="1:10" x14ac:dyDescent="0.25">
      <c r="A1500" s="5" t="s">
        <v>3026</v>
      </c>
      <c r="B1500" s="5" t="s">
        <v>3039</v>
      </c>
      <c r="C1500" s="6" t="str">
        <f>_xll.QS.CONTEXT.CREATE("market.1498",A1500,"USD","SOFR")</f>
        <v>QSObject:PricingContext:w1~market.1498:19183</v>
      </c>
      <c r="D1500" s="6" t="str">
        <f>_xll.QS.CONTEXT.ADD.CURVE(C1500,"SOFR",$K$2:$K$7,$L$2:$L$7,,,"Actual360","LogLinear",TRUE)</f>
        <v>QSObject:ContextInput:w1~input.qs_context_add_curve.2359132437744.1499.3.0:38627</v>
      </c>
      <c r="E1500" s="6" t="str">
        <f>_xll.QS.INSTRUMENT.SWAP("swap.1498",H1500,B1500,"USD","SOFR",I1500,J1500,0,"Actual360","Simple","Annual","Annual","Annual")</f>
        <v>QSObject:Swap:w1~swap.1498:19182</v>
      </c>
      <c r="F1500" s="6" t="str">
        <f>_xll.QS.TRADE.CREATE("trade.1498",E1500,A1500,"Receive")</f>
        <v>QSObject:SwapTrade:w1~trade.1498:29571</v>
      </c>
      <c r="G1500" s="3">
        <f>_xll.QS.EVALUATE(C1500,F1500)</f>
        <v>41167.53241478205</v>
      </c>
      <c r="H1500" s="5" t="s">
        <v>3040</v>
      </c>
      <c r="I1500" s="7">
        <v>1149800</v>
      </c>
      <c r="J1500" s="8">
        <v>3.9800000000000002E-2</v>
      </c>
    </row>
    <row r="1501" spans="1:10" x14ac:dyDescent="0.25">
      <c r="A1501" s="5" t="s">
        <v>3028</v>
      </c>
      <c r="B1501" s="5" t="s">
        <v>3041</v>
      </c>
      <c r="C1501" s="6" t="str">
        <f>_xll.QS.CONTEXT.CREATE("market.1499",A1501,"USD","SOFR")</f>
        <v>QSObject:PricingContext:w1~market.1499:19181</v>
      </c>
      <c r="D1501" s="6" t="str">
        <f>_xll.QS.CONTEXT.ADD.CURVE(C1501,"SOFR",$K$2:$K$7,$L$2:$L$7,,,"Actual360","LogLinear",TRUE)</f>
        <v>QSObject:ContextInput:w1~input.qs_context_add_curve.2359132437744.1500.3.0:38626</v>
      </c>
      <c r="E1501" s="6" t="str">
        <f>_xll.QS.INSTRUMENT.SWAP("swap.1499",H1501,B1501,"USD","SOFR",I1501,J1501,0,"Actual360","Simple","Annual","Annual","Annual")</f>
        <v>QSObject:Swap:w1~swap.1499:19180</v>
      </c>
      <c r="F1501" s="6" t="str">
        <f>_xll.QS.TRADE.CREATE("trade.1499",E1501,A1501,"Receive")</f>
        <v>QSObject:SwapTrade:w1~trade.1499:30359</v>
      </c>
      <c r="G1501" s="3">
        <f>_xll.QS.EVALUATE(C1501,F1501)</f>
        <v>41725.327858659381</v>
      </c>
      <c r="H1501" s="5" t="s">
        <v>3042</v>
      </c>
      <c r="I1501" s="7">
        <v>1149900</v>
      </c>
      <c r="J1501" s="8">
        <v>3.9899999999999998E-2</v>
      </c>
    </row>
    <row r="1502" spans="1:10" x14ac:dyDescent="0.25">
      <c r="A1502" s="5" t="s">
        <v>3030</v>
      </c>
      <c r="B1502" s="5" t="s">
        <v>3043</v>
      </c>
      <c r="C1502" s="6" t="str">
        <f>_xll.QS.CONTEXT.CREATE("market.1500",A1502,"USD","SOFR")</f>
        <v>QSObject:PricingContext:w1~market.1500:19179</v>
      </c>
      <c r="D1502" s="6" t="str">
        <f>_xll.QS.CONTEXT.ADD.CURVE(C1502,"SOFR",$K$2:$K$7,$L$2:$L$7,,,"Actual360","LogLinear",TRUE)</f>
        <v>QSObject:ContextInput:w1~input.qs_context_add_curve.2359132437744.1501.3.0:38625</v>
      </c>
      <c r="E1502" s="6" t="str">
        <f>_xll.QS.INSTRUMENT.SWAP("swap.1500",H1502,B1502,"USD","SOFR",I1502,J1502,0,"Actual360","Simple","Annual","Annual","Annual")</f>
        <v>QSObject:Swap:w1~swap.1500:19178</v>
      </c>
      <c r="F1502" s="6" t="str">
        <f>_xll.QS.TRADE.CREATE("trade.1500",E1502,A1502,"Receive")</f>
        <v>QSObject:SwapTrade:w1~trade.1500:30244</v>
      </c>
      <c r="G1502" s="3">
        <f>_xll.QS.EVALUATE(C1502,F1502)</f>
        <v>15893.597617264542</v>
      </c>
      <c r="H1502" s="5" t="s">
        <v>3044</v>
      </c>
      <c r="I1502" s="7">
        <v>1150000</v>
      </c>
      <c r="J1502" s="8">
        <v>3.5000000000000003E-2</v>
      </c>
    </row>
    <row r="1503" spans="1:10" x14ac:dyDescent="0.25">
      <c r="A1503" s="5" t="s">
        <v>3032</v>
      </c>
      <c r="B1503" s="5" t="s">
        <v>3045</v>
      </c>
      <c r="C1503" s="6" t="str">
        <f>_xll.QS.CONTEXT.CREATE("market.1501",A1503,"USD","SOFR")</f>
        <v>QSObject:PricingContext:w1~market.1501:19177</v>
      </c>
      <c r="D1503" s="6" t="str">
        <f>_xll.QS.CONTEXT.ADD.CURVE(C1503,"SOFR",$K$2:$K$7,$L$2:$L$7,,,"Actual360","LogLinear",TRUE)</f>
        <v>QSObject:ContextInput:w1~input.qs_context_add_curve.2359132437744.1502.3.0:38624</v>
      </c>
      <c r="E1503" s="6" t="str">
        <f>_xll.QS.INSTRUMENT.SWAP("swap.1501",H1503,B1503,"USD","SOFR",I1503,J1503,0,"Actual360","Simple","Annual","Annual","Annual")</f>
        <v>QSObject:Swap:w1~swap.1501:19176</v>
      </c>
      <c r="F1503" s="6" t="str">
        <f>_xll.QS.TRADE.CREATE("trade.1501",E1503,A1503,"Receive")</f>
        <v>QSObject:SwapTrade:w1~trade.1501:29570</v>
      </c>
      <c r="G1503" s="3">
        <f>_xll.QS.EVALUATE(C1503,F1503)</f>
        <v>16434.566455457934</v>
      </c>
      <c r="H1503" s="5" t="s">
        <v>3046</v>
      </c>
      <c r="I1503" s="7">
        <v>1150100</v>
      </c>
      <c r="J1503" s="8">
        <v>3.5100000000000013E-2</v>
      </c>
    </row>
    <row r="1504" spans="1:10" x14ac:dyDescent="0.25">
      <c r="A1504" s="5" t="s">
        <v>3034</v>
      </c>
      <c r="B1504" s="5" t="s">
        <v>3047</v>
      </c>
      <c r="C1504" s="6" t="str">
        <f>_xll.QS.CONTEXT.CREATE("market.1502",A1504,"USD","SOFR")</f>
        <v>QSObject:PricingContext:w1~market.1502:19175</v>
      </c>
      <c r="D1504" s="6" t="str">
        <f>_xll.QS.CONTEXT.ADD.CURVE(C1504,"SOFR",$K$2:$K$7,$L$2:$L$7,,,"Actual360","LogLinear",TRUE)</f>
        <v>QSObject:ContextInput:w1~input.qs_context_add_curve.2359132437744.1503.3.0:38623</v>
      </c>
      <c r="E1504" s="6" t="str">
        <f>_xll.QS.INSTRUMENT.SWAP("swap.1502",H1504,B1504,"USD","SOFR",I1504,J1504,0,"Actual360","Simple","Annual","Annual","Annual")</f>
        <v>QSObject:Swap:w1~swap.1502:19174</v>
      </c>
      <c r="F1504" s="6" t="str">
        <f>_xll.QS.TRADE.CREATE("trade.1502",E1504,A1504,"Receive")</f>
        <v>QSObject:SwapTrade:w1~trade.1502:30243</v>
      </c>
      <c r="G1504" s="3">
        <f>_xll.QS.EVALUATE(C1504,F1504)</f>
        <v>16964.412065981607</v>
      </c>
      <c r="H1504" s="5" t="s">
        <v>3048</v>
      </c>
      <c r="I1504" s="7">
        <v>1150200</v>
      </c>
      <c r="J1504" s="8">
        <v>3.5200000000000002E-2</v>
      </c>
    </row>
    <row r="1505" spans="1:10" x14ac:dyDescent="0.25">
      <c r="A1505" s="5" t="s">
        <v>3036</v>
      </c>
      <c r="B1505" s="5" t="s">
        <v>3049</v>
      </c>
      <c r="C1505" s="6" t="str">
        <f>_xll.QS.CONTEXT.CREATE("market.1503",A1505,"USD","SOFR")</f>
        <v>QSObject:PricingContext:w1~market.1503:19173</v>
      </c>
      <c r="D1505" s="6" t="str">
        <f>_xll.QS.CONTEXT.ADD.CURVE(C1505,"SOFR",$K$2:$K$7,$L$2:$L$7,,,"Actual360","LogLinear",TRUE)</f>
        <v>QSObject:ContextInput:w1~input.qs_context_add_curve.2359132437744.1504.3.0:38622</v>
      </c>
      <c r="E1505" s="6" t="str">
        <f>_xll.QS.INSTRUMENT.SWAP("swap.1503",H1505,B1505,"USD","SOFR",I1505,J1505,0,"Actual360","Simple","Annual","Annual","Annual")</f>
        <v>QSObject:Swap:w1~swap.1503:19172</v>
      </c>
      <c r="F1505" s="6" t="str">
        <f>_xll.QS.TRADE.CREATE("trade.1503",E1505,A1505,"Receive")</f>
        <v>QSObject:SwapTrade:w1~trade.1503:30358</v>
      </c>
      <c r="G1505" s="3">
        <f>_xll.QS.EVALUATE(C1505,F1505)</f>
        <v>17415.498826300493</v>
      </c>
      <c r="H1505" s="5" t="s">
        <v>3050</v>
      </c>
      <c r="I1505" s="7">
        <v>1150300</v>
      </c>
      <c r="J1505" s="8">
        <v>3.5299999999999998E-2</v>
      </c>
    </row>
    <row r="1506" spans="1:10" x14ac:dyDescent="0.25">
      <c r="A1506" s="5" t="s">
        <v>3038</v>
      </c>
      <c r="B1506" s="5" t="s">
        <v>3051</v>
      </c>
      <c r="C1506" s="6" t="str">
        <f>_xll.QS.CONTEXT.CREATE("market.1504",A1506,"USD","SOFR")</f>
        <v>QSObject:PricingContext:w1~market.1504:19171</v>
      </c>
      <c r="D1506" s="6" t="str">
        <f>_xll.QS.CONTEXT.ADD.CURVE(C1506,"SOFR",$K$2:$K$7,$L$2:$L$7,,,"Actual360","LogLinear",TRUE)</f>
        <v>QSObject:ContextInput:w1~input.qs_context_add_curve.2359132437744.1505.3.0:38621</v>
      </c>
      <c r="E1506" s="6" t="str">
        <f>_xll.QS.INSTRUMENT.SWAP("swap.1504",H1506,B1506,"USD","SOFR",I1506,J1506,0,"Actual360","Simple","Annual","Annual","Annual")</f>
        <v>QSObject:Swap:w1~swap.1504:19170</v>
      </c>
      <c r="F1506" s="6" t="str">
        <f>_xll.QS.TRADE.CREATE("trade.1504",E1506,A1506,"Receive")</f>
        <v>QSObject:SwapTrade:w1~trade.1504:28971</v>
      </c>
      <c r="G1506" s="3">
        <f>_xll.QS.EVALUATE(C1506,F1506)</f>
        <v>17843.767285517748</v>
      </c>
      <c r="H1506" s="5" t="s">
        <v>3052</v>
      </c>
      <c r="I1506" s="7">
        <v>1150400</v>
      </c>
      <c r="J1506" s="8">
        <v>3.5400000000000001E-2</v>
      </c>
    </row>
    <row r="1507" spans="1:10" x14ac:dyDescent="0.25">
      <c r="A1507" s="5" t="s">
        <v>3040</v>
      </c>
      <c r="B1507" s="5" t="s">
        <v>3053</v>
      </c>
      <c r="C1507" s="6" t="str">
        <f>_xll.QS.CONTEXT.CREATE("market.1505",A1507,"USD","SOFR")</f>
        <v>QSObject:PricingContext:w1~market.1505:19169</v>
      </c>
      <c r="D1507" s="6" t="str">
        <f>_xll.QS.CONTEXT.ADD.CURVE(C1507,"SOFR",$K$2:$K$7,$L$2:$L$7,,,"Actual360","LogLinear",TRUE)</f>
        <v>QSObject:ContextInput:w1~input.qs_context_add_curve.2359132437744.1506.3.0:38620</v>
      </c>
      <c r="E1507" s="6" t="str">
        <f>_xll.QS.INSTRUMENT.SWAP("swap.1505",H1507,B1507,"USD","SOFR",I1507,J1507,0,"Actual360","Simple","Annual","Annual","Annual")</f>
        <v>QSObject:Swap:w1~swap.1505:19168</v>
      </c>
      <c r="F1507" s="6" t="str">
        <f>_xll.QS.TRADE.CREATE("trade.1505",E1507,A1507,"Receive")</f>
        <v>QSObject:SwapTrade:w1~trade.1505:29569</v>
      </c>
      <c r="G1507" s="3">
        <f>_xll.QS.EVALUATE(C1507,F1507)</f>
        <v>18379.835312852621</v>
      </c>
      <c r="H1507" s="5" t="s">
        <v>3054</v>
      </c>
      <c r="I1507" s="7">
        <v>1150500</v>
      </c>
      <c r="J1507" s="8">
        <v>3.5499999999999997E-2</v>
      </c>
    </row>
    <row r="1508" spans="1:10" x14ac:dyDescent="0.25">
      <c r="A1508" s="5" t="s">
        <v>3042</v>
      </c>
      <c r="B1508" s="5" t="s">
        <v>3055</v>
      </c>
      <c r="C1508" s="6" t="str">
        <f>_xll.QS.CONTEXT.CREATE("market.1506",A1508,"USD","SOFR")</f>
        <v>QSObject:PricingContext:w1~market.1506:19167</v>
      </c>
      <c r="D1508" s="6" t="str">
        <f>_xll.QS.CONTEXT.ADD.CURVE(C1508,"SOFR",$K$2:$K$7,$L$2:$L$7,,,"Actual360","LogLinear",TRUE)</f>
        <v>QSObject:ContextInput:w1~input.qs_context_add_curve.2359132437744.1507.3.0:38619</v>
      </c>
      <c r="E1508" s="6" t="str">
        <f>_xll.QS.INSTRUMENT.SWAP("swap.1506",H1508,B1508,"USD","SOFR",I1508,J1508,0,"Actual360","Simple","Annual","Annual","Annual")</f>
        <v>QSObject:Swap:w1~swap.1506:19166</v>
      </c>
      <c r="F1508" s="6" t="str">
        <f>_xll.QS.TRADE.CREATE("trade.1506",E1508,A1508,"Receive")</f>
        <v>QSObject:SwapTrade:w1~trade.1506:30242</v>
      </c>
      <c r="G1508" s="3">
        <f>_xll.QS.EVALUATE(C1508,F1508)</f>
        <v>18959.513918032444</v>
      </c>
      <c r="H1508" s="5" t="s">
        <v>3056</v>
      </c>
      <c r="I1508" s="7">
        <v>1150600</v>
      </c>
      <c r="J1508" s="8">
        <v>3.5600000000000007E-2</v>
      </c>
    </row>
    <row r="1509" spans="1:10" x14ac:dyDescent="0.25">
      <c r="A1509" s="5" t="s">
        <v>3044</v>
      </c>
      <c r="B1509" s="5" t="s">
        <v>3057</v>
      </c>
      <c r="C1509" s="6" t="str">
        <f>_xll.QS.CONTEXT.CREATE("market.1507",A1509,"USD","SOFR")</f>
        <v>QSObject:PricingContext:w1~market.1507:19165</v>
      </c>
      <c r="D1509" s="6" t="str">
        <f>_xll.QS.CONTEXT.ADD.CURVE(C1509,"SOFR",$K$2:$K$7,$L$2:$L$7,,,"Actual360","LogLinear",TRUE)</f>
        <v>QSObject:ContextInput:w1~input.qs_context_add_curve.2359132437744.1508.3.0:38618</v>
      </c>
      <c r="E1509" s="6" t="str">
        <f>_xll.QS.INSTRUMENT.SWAP("swap.1507",H1509,B1509,"USD","SOFR",I1509,J1509,0,"Actual360","Simple","Annual","Annual","Annual")</f>
        <v>QSObject:Swap:w1~swap.1507:19164</v>
      </c>
      <c r="F1509" s="6" t="str">
        <f>_xll.QS.TRADE.CREATE("trade.1507",E1509,A1509,"Receive")</f>
        <v>QSObject:SwapTrade:w1~trade.1507:30357</v>
      </c>
      <c r="G1509" s="3">
        <f>_xll.QS.EVALUATE(C1509,F1509)</f>
        <v>19575.615632062174</v>
      </c>
      <c r="H1509" s="5" t="s">
        <v>3058</v>
      </c>
      <c r="I1509" s="7">
        <v>1150700</v>
      </c>
      <c r="J1509" s="8">
        <v>3.5700000000000003E-2</v>
      </c>
    </row>
    <row r="1510" spans="1:10" x14ac:dyDescent="0.25">
      <c r="A1510" s="5" t="s">
        <v>3046</v>
      </c>
      <c r="B1510" s="5" t="s">
        <v>3059</v>
      </c>
      <c r="C1510" s="6" t="str">
        <f>_xll.QS.CONTEXT.CREATE("market.1508",A1510,"USD","SOFR")</f>
        <v>QSObject:PricingContext:w1~market.1508:19163</v>
      </c>
      <c r="D1510" s="6" t="str">
        <f>_xll.QS.CONTEXT.ADD.CURVE(C1510,"SOFR",$K$2:$K$7,$L$2:$L$7,,,"Actual360","LogLinear",TRUE)</f>
        <v>QSObject:ContextInput:w1~input.qs_context_add_curve.2359132437744.1509.3.0:38617</v>
      </c>
      <c r="E1510" s="6" t="str">
        <f>_xll.QS.INSTRUMENT.SWAP("swap.1508",H1510,B1510,"USD","SOFR",I1510,J1510,0,"Actual360","Simple","Annual","Annual","Annual")</f>
        <v>QSObject:Swap:w1~swap.1508:19162</v>
      </c>
      <c r="F1510" s="6" t="str">
        <f>_xll.QS.TRADE.CREATE("trade.1508",E1510,A1510,"Receive")</f>
        <v>QSObject:SwapTrade:w1~trade.1508:29568</v>
      </c>
      <c r="G1510" s="3">
        <f>_xll.QS.EVALUATE(C1510,F1510)</f>
        <v>20159.512950359513</v>
      </c>
      <c r="H1510" s="5" t="s">
        <v>3060</v>
      </c>
      <c r="I1510" s="7">
        <v>1150800</v>
      </c>
      <c r="J1510" s="8">
        <v>3.5800000000000012E-2</v>
      </c>
    </row>
    <row r="1511" spans="1:10" x14ac:dyDescent="0.25">
      <c r="A1511" s="5" t="s">
        <v>3048</v>
      </c>
      <c r="B1511" s="5" t="s">
        <v>3061</v>
      </c>
      <c r="C1511" s="6" t="str">
        <f>_xll.QS.CONTEXT.CREATE("market.1509",A1511,"USD","SOFR")</f>
        <v>QSObject:PricingContext:w1~market.1509:19161</v>
      </c>
      <c r="D1511" s="6" t="str">
        <f>_xll.QS.CONTEXT.ADD.CURVE(C1511,"SOFR",$K$2:$K$7,$L$2:$L$7,,,"Actual360","LogLinear",TRUE)</f>
        <v>QSObject:ContextInput:w1~input.qs_context_add_curve.2359132437744.1510.3.0:38616</v>
      </c>
      <c r="E1511" s="6" t="str">
        <f>_xll.QS.INSTRUMENT.SWAP("swap.1509",H1511,B1511,"USD","SOFR",I1511,J1511,0,"Actual360","Simple","Annual","Annual","Annual")</f>
        <v>QSObject:Swap:w1~swap.1509:19160</v>
      </c>
      <c r="F1511" s="6" t="str">
        <f>_xll.QS.TRADE.CREATE("trade.1509",E1511,A1511,"Receive")</f>
        <v>QSObject:SwapTrade:w1~trade.1509:30241</v>
      </c>
      <c r="G1511" s="3">
        <f>_xll.QS.EVALUATE(C1511,F1511)</f>
        <v>20692.562571057548</v>
      </c>
      <c r="H1511" s="5" t="s">
        <v>3062</v>
      </c>
      <c r="I1511" s="7">
        <v>1150900</v>
      </c>
      <c r="J1511" s="8">
        <v>3.5900000000000001E-2</v>
      </c>
    </row>
    <row r="1512" spans="1:10" x14ac:dyDescent="0.25">
      <c r="A1512" s="5" t="s">
        <v>3050</v>
      </c>
      <c r="B1512" s="5" t="s">
        <v>3063</v>
      </c>
      <c r="C1512" s="6" t="str">
        <f>_xll.QS.CONTEXT.CREATE("market.1510",A1512,"USD","SOFR")</f>
        <v>QSObject:PricingContext:w1~market.1510:19159</v>
      </c>
      <c r="D1512" s="6" t="str">
        <f>_xll.QS.CONTEXT.ADD.CURVE(C1512,"SOFR",$K$2:$K$7,$L$2:$L$7,,,"Actual360","LogLinear",TRUE)</f>
        <v>QSObject:ContextInput:w1~input.qs_context_add_curve.2359132437744.1511.3.0:38615</v>
      </c>
      <c r="E1512" s="6" t="str">
        <f>_xll.QS.INSTRUMENT.SWAP("swap.1510",H1512,B1512,"USD","SOFR",I1512,J1512,0,"Actual360","Simple","Annual","Annual","Annual")</f>
        <v>QSObject:Swap:w1~swap.1510:19158</v>
      </c>
      <c r="F1512" s="6" t="str">
        <f>_xll.QS.TRADE.CREATE("trade.1510",E1512,A1512,"Receive")</f>
        <v>QSObject:SwapTrade:w1~trade.1510:29567</v>
      </c>
      <c r="G1512" s="3">
        <f>_xll.QS.EVALUATE(C1512,F1512)</f>
        <v>21151.662026290564</v>
      </c>
      <c r="H1512" s="5" t="s">
        <v>3064</v>
      </c>
      <c r="I1512" s="7">
        <v>1151000</v>
      </c>
      <c r="J1512" s="8">
        <v>3.5999999999999997E-2</v>
      </c>
    </row>
    <row r="1513" spans="1:10" x14ac:dyDescent="0.25">
      <c r="A1513" s="5" t="s">
        <v>3052</v>
      </c>
      <c r="B1513" s="5" t="s">
        <v>3065</v>
      </c>
      <c r="C1513" s="6" t="str">
        <f>_xll.QS.CONTEXT.CREATE("market.1511",A1513,"USD","SOFR")</f>
        <v>QSObject:PricingContext:w1~market.1511:19157</v>
      </c>
      <c r="D1513" s="6" t="str">
        <f>_xll.QS.CONTEXT.ADD.CURVE(C1513,"SOFR",$K$2:$K$7,$L$2:$L$7,,,"Actual360","LogLinear",TRUE)</f>
        <v>QSObject:ContextInput:w1~input.qs_context_add_curve.2359132437744.1512.3.0:38614</v>
      </c>
      <c r="E1513" s="6" t="str">
        <f>_xll.QS.INSTRUMENT.SWAP("swap.1511",H1513,B1513,"USD","SOFR",I1513,J1513,0,"Actual360","Simple","Annual","Annual","Annual")</f>
        <v>QSObject:Swap:w1~swap.1511:19156</v>
      </c>
      <c r="F1513" s="6" t="str">
        <f>_xll.QS.TRADE.CREATE("trade.1511",E1513,A1513,"Receive")</f>
        <v>QSObject:SwapTrade:w1~trade.1511:30356</v>
      </c>
      <c r="G1513" s="3">
        <f>_xll.QS.EVALUATE(C1513,F1513)</f>
        <v>21685.271401406768</v>
      </c>
      <c r="H1513" s="5" t="s">
        <v>3066</v>
      </c>
      <c r="I1513" s="7">
        <v>1151100</v>
      </c>
      <c r="J1513" s="8">
        <v>3.61E-2</v>
      </c>
    </row>
    <row r="1514" spans="1:10" x14ac:dyDescent="0.25">
      <c r="A1514" s="5" t="s">
        <v>3054</v>
      </c>
      <c r="B1514" s="5" t="s">
        <v>3067</v>
      </c>
      <c r="C1514" s="6" t="str">
        <f>_xll.QS.CONTEXT.CREATE("market.1512",A1514,"USD","SOFR")</f>
        <v>QSObject:PricingContext:w1~market.1512:19155</v>
      </c>
      <c r="D1514" s="6" t="str">
        <f>_xll.QS.CONTEXT.ADD.CURVE(C1514,"SOFR",$K$2:$K$7,$L$2:$L$7,,,"Actual360","LogLinear",TRUE)</f>
        <v>QSObject:ContextInput:w1~input.qs_context_add_curve.2359132437744.1513.3.0:38613</v>
      </c>
      <c r="E1514" s="6" t="str">
        <f>_xll.QS.INSTRUMENT.SWAP("swap.1512",H1514,B1514,"USD","SOFR",I1514,J1514,0,"Actual360","Simple","Annual","Annual","Annual")</f>
        <v>QSObject:Swap:w1~swap.1512:19154</v>
      </c>
      <c r="F1514" s="6" t="str">
        <f>_xll.QS.TRADE.CREATE("trade.1512",E1514,A1514,"Receive")</f>
        <v>QSObject:SwapTrade:w1~trade.1512:29566</v>
      </c>
      <c r="G1514" s="3">
        <f>_xll.QS.EVALUATE(C1514,F1514)</f>
        <v>22219.161387692388</v>
      </c>
      <c r="H1514" s="5" t="s">
        <v>3068</v>
      </c>
      <c r="I1514" s="7">
        <v>1151200</v>
      </c>
      <c r="J1514" s="8">
        <v>3.6200000000000003E-2</v>
      </c>
    </row>
    <row r="1515" spans="1:10" x14ac:dyDescent="0.25">
      <c r="A1515" s="5" t="s">
        <v>3056</v>
      </c>
      <c r="B1515" s="5" t="s">
        <v>3069</v>
      </c>
      <c r="C1515" s="6" t="str">
        <f>_xll.QS.CONTEXT.CREATE("market.1513",A1515,"USD","SOFR")</f>
        <v>QSObject:PricingContext:w1~market.1513:19153</v>
      </c>
      <c r="D1515" s="6" t="str">
        <f>_xll.QS.CONTEXT.ADD.CURVE(C1515,"SOFR",$K$2:$K$7,$L$2:$L$7,,,"Actual360","LogLinear",TRUE)</f>
        <v>QSObject:ContextInput:w1~input.qs_context_add_curve.2359132437744.1514.3.0:38612</v>
      </c>
      <c r="E1515" s="6" t="str">
        <f>_xll.QS.INSTRUMENT.SWAP("swap.1513",H1515,B1515,"USD","SOFR",I1515,J1515,0,"Actual360","Simple","Annual","Annual","Annual")</f>
        <v>QSObject:Swap:w1~swap.1513:19152</v>
      </c>
      <c r="F1515" s="6" t="str">
        <f>_xll.QS.TRADE.CREATE("trade.1513",E1515,A1515,"Receive")</f>
        <v>QSObject:SwapTrade:w1~trade.1513:30355</v>
      </c>
      <c r="G1515" s="3">
        <f>_xll.QS.EVALUATE(C1515,F1515)</f>
        <v>22686.871491851642</v>
      </c>
      <c r="H1515" s="5" t="s">
        <v>3070</v>
      </c>
      <c r="I1515" s="7">
        <v>1151300</v>
      </c>
      <c r="J1515" s="8">
        <v>3.6300000000000013E-2</v>
      </c>
    </row>
    <row r="1516" spans="1:10" x14ac:dyDescent="0.25">
      <c r="A1516" s="5" t="s">
        <v>3058</v>
      </c>
      <c r="B1516" s="5" t="s">
        <v>3071</v>
      </c>
      <c r="C1516" s="6" t="str">
        <f>_xll.QS.CONTEXT.CREATE("market.1514",A1516,"USD","SOFR")</f>
        <v>QSObject:PricingContext:w1~market.1514:19151</v>
      </c>
      <c r="D1516" s="6" t="str">
        <f>_xll.QS.CONTEXT.ADD.CURVE(C1516,"SOFR",$K$2:$K$7,$L$2:$L$7,,,"Actual360","LogLinear",TRUE)</f>
        <v>QSObject:ContextInput:w1~input.qs_context_add_curve.2359132437744.1515.3.0:38611</v>
      </c>
      <c r="E1516" s="6" t="str">
        <f>_xll.QS.INSTRUMENT.SWAP("swap.1514",H1516,B1516,"USD","SOFR",I1516,J1516,0,"Actual360","Simple","Annual","Annual","Annual")</f>
        <v>QSObject:Swap:w1~swap.1514:19150</v>
      </c>
      <c r="F1516" s="6" t="str">
        <f>_xll.QS.TRADE.CREATE("trade.1514",E1516,A1516,"Receive")</f>
        <v>QSObject:SwapTrade:w1~trade.1514:30240</v>
      </c>
      <c r="G1516" s="3">
        <f>_xll.QS.EVALUATE(C1516,F1516)</f>
        <v>23303.880015992527</v>
      </c>
      <c r="H1516" s="5" t="s">
        <v>3072</v>
      </c>
      <c r="I1516" s="7">
        <v>1151400</v>
      </c>
      <c r="J1516" s="8">
        <v>3.6400000000000002E-2</v>
      </c>
    </row>
    <row r="1517" spans="1:10" x14ac:dyDescent="0.25">
      <c r="A1517" s="5" t="s">
        <v>3060</v>
      </c>
      <c r="B1517" s="5" t="s">
        <v>3073</v>
      </c>
      <c r="C1517" s="6" t="str">
        <f>_xll.QS.CONTEXT.CREATE("market.1515",A1517,"USD","SOFR")</f>
        <v>QSObject:PricingContext:w1~market.1515:19149</v>
      </c>
      <c r="D1517" s="6" t="str">
        <f>_xll.QS.CONTEXT.ADD.CURVE(C1517,"SOFR",$K$2:$K$7,$L$2:$L$7,,,"Actual360","LogLinear",TRUE)</f>
        <v>QSObject:ContextInput:w1~input.qs_context_add_curve.2359132437744.1516.3.0:38610</v>
      </c>
      <c r="E1517" s="6" t="str">
        <f>_xll.QS.INSTRUMENT.SWAP("swap.1515",H1517,B1517,"USD","SOFR",I1517,J1517,0,"Actual360","Simple","Annual","Annual","Annual")</f>
        <v>QSObject:Swap:w1~swap.1515:19148</v>
      </c>
      <c r="F1517" s="6" t="str">
        <f>_xll.QS.TRADE.CREATE("trade.1515",E1517,A1517,"Receive")</f>
        <v>QSObject:SwapTrade:w1~trade.1515:29565</v>
      </c>
      <c r="G1517" s="3">
        <f>_xll.QS.EVALUATE(C1517,F1517)</f>
        <v>23840.188660474621</v>
      </c>
      <c r="H1517" s="5" t="s">
        <v>3074</v>
      </c>
      <c r="I1517" s="7">
        <v>1151500</v>
      </c>
      <c r="J1517" s="8">
        <v>3.6499999999999998E-2</v>
      </c>
    </row>
    <row r="1518" spans="1:10" x14ac:dyDescent="0.25">
      <c r="A1518" s="5" t="s">
        <v>3062</v>
      </c>
      <c r="B1518" s="5" t="s">
        <v>3075</v>
      </c>
      <c r="C1518" s="6" t="str">
        <f>_xll.QS.CONTEXT.CREATE("market.1516",A1518,"USD","SOFR")</f>
        <v>QSObject:PricingContext:w1~market.1516:19147</v>
      </c>
      <c r="D1518" s="6" t="str">
        <f>_xll.QS.CONTEXT.ADD.CURVE(C1518,"SOFR",$K$2:$K$7,$L$2:$L$7,,,"Actual360","LogLinear",TRUE)</f>
        <v>QSObject:ContextInput:w1~input.qs_context_add_curve.2359132437744.1517.3.0:38609</v>
      </c>
      <c r="E1518" s="6" t="str">
        <f>_xll.QS.INSTRUMENT.SWAP("swap.1516",H1518,B1518,"USD","SOFR",I1518,J1518,0,"Actual360","Simple","Annual","Annual","Annual")</f>
        <v>QSObject:Swap:w1~swap.1516:19146</v>
      </c>
      <c r="F1518" s="6" t="str">
        <f>_xll.QS.TRADE.CREATE("trade.1516",E1518,A1518,"Receive")</f>
        <v>QSObject:SwapTrade:w1~trade.1516:29564</v>
      </c>
      <c r="G1518" s="3">
        <f>_xll.QS.EVALUATE(C1518,F1518)</f>
        <v>24376.388255754482</v>
      </c>
      <c r="H1518" s="5" t="s">
        <v>3076</v>
      </c>
      <c r="I1518" s="7">
        <v>1151600</v>
      </c>
      <c r="J1518" s="8">
        <v>3.6600000000000001E-2</v>
      </c>
    </row>
    <row r="1519" spans="1:10" x14ac:dyDescent="0.25">
      <c r="A1519" s="5" t="s">
        <v>3064</v>
      </c>
      <c r="B1519" s="5" t="s">
        <v>3077</v>
      </c>
      <c r="C1519" s="6" t="str">
        <f>_xll.QS.CONTEXT.CREATE("market.1517",A1519,"USD","SOFR")</f>
        <v>QSObject:PricingContext:w1~market.1517:19145</v>
      </c>
      <c r="D1519" s="6" t="str">
        <f>_xll.QS.CONTEXT.ADD.CURVE(C1519,"SOFR",$K$2:$K$7,$L$2:$L$7,,,"Actual360","LogLinear",TRUE)</f>
        <v>QSObject:ContextInput:w1~input.qs_context_add_curve.2359132437744.1518.3.0:38608</v>
      </c>
      <c r="E1519" s="6" t="str">
        <f>_xll.QS.INSTRUMENT.SWAP("swap.1517",H1519,B1519,"USD","SOFR",I1519,J1519,0,"Actual360","Simple","Annual","Annual","Annual")</f>
        <v>QSObject:Swap:w1~swap.1517:19144</v>
      </c>
      <c r="F1519" s="6" t="str">
        <f>_xll.QS.TRADE.CREATE("trade.1517",E1519,A1519,"Receive")</f>
        <v>QSObject:SwapTrade:w1~trade.1517:30239</v>
      </c>
      <c r="G1519" s="3">
        <f>_xll.QS.EVALUATE(C1519,F1519)</f>
        <v>24831.558969021578</v>
      </c>
      <c r="H1519" s="5" t="s">
        <v>3078</v>
      </c>
      <c r="I1519" s="7">
        <v>1151700</v>
      </c>
      <c r="J1519" s="8">
        <v>3.6700000000000003E-2</v>
      </c>
    </row>
    <row r="1520" spans="1:10" x14ac:dyDescent="0.25">
      <c r="A1520" s="5" t="s">
        <v>3066</v>
      </c>
      <c r="B1520" s="5" t="s">
        <v>3079</v>
      </c>
      <c r="C1520" s="6" t="str">
        <f>_xll.QS.CONTEXT.CREATE("market.1518",A1520,"USD","SOFR")</f>
        <v>QSObject:PricingContext:w1~market.1518:19143</v>
      </c>
      <c r="D1520" s="6" t="str">
        <f>_xll.QS.CONTEXT.ADD.CURVE(C1520,"SOFR",$K$2:$K$7,$L$2:$L$7,,,"Actual360","LogLinear",TRUE)</f>
        <v>QSObject:ContextInput:w1~input.qs_context_add_curve.2359132437744.1519.3.0:38607</v>
      </c>
      <c r="E1520" s="6" t="str">
        <f>_xll.QS.INSTRUMENT.SWAP("swap.1518",H1520,B1520,"USD","SOFR",I1520,J1520,0,"Actual360","Simple","Annual","Annual","Annual")</f>
        <v>QSObject:Swap:w1~swap.1518:19142</v>
      </c>
      <c r="F1520" s="6" t="str">
        <f>_xll.QS.TRADE.CREATE("trade.1518",E1520,A1520,"Receive")</f>
        <v>QSObject:SwapTrade:w1~trade.1518:30354</v>
      </c>
      <c r="G1520" s="3">
        <f>_xll.QS.EVALUATE(C1520,F1520)</f>
        <v>25272.820044713044</v>
      </c>
      <c r="H1520" s="5" t="s">
        <v>3080</v>
      </c>
      <c r="I1520" s="7">
        <v>1151800</v>
      </c>
      <c r="J1520" s="8">
        <v>3.6800000000000013E-2</v>
      </c>
    </row>
    <row r="1521" spans="1:10" x14ac:dyDescent="0.25">
      <c r="A1521" s="5" t="s">
        <v>3068</v>
      </c>
      <c r="B1521" s="5" t="s">
        <v>3081</v>
      </c>
      <c r="C1521" s="6" t="str">
        <f>_xll.QS.CONTEXT.CREATE("market.1519",A1521,"USD","SOFR")</f>
        <v>QSObject:PricingContext:w1~market.1519:19141</v>
      </c>
      <c r="D1521" s="6" t="str">
        <f>_xll.QS.CONTEXT.ADD.CURVE(C1521,"SOFR",$K$2:$K$7,$L$2:$L$7,,,"Actual360","LogLinear",TRUE)</f>
        <v>QSObject:ContextInput:w1~input.qs_context_add_curve.2359132437744.1520.3.0:38606</v>
      </c>
      <c r="E1521" s="6" t="str">
        <f>_xll.QS.INSTRUMENT.SWAP("swap.1519",H1521,B1521,"USD","SOFR",I1521,J1521,0,"Actual360","Simple","Annual","Annual","Annual")</f>
        <v>QSObject:Swap:w1~swap.1519:19140</v>
      </c>
      <c r="F1521" s="6" t="str">
        <f>_xll.QS.TRADE.CREATE("trade.1519",E1521,A1521,"Receive")</f>
        <v>QSObject:SwapTrade:w1~trade.1519:29563</v>
      </c>
      <c r="G1521" s="3">
        <f>_xll.QS.EVALUATE(C1521,F1521)</f>
        <v>25855.137310235306</v>
      </c>
      <c r="H1521" s="5" t="s">
        <v>3082</v>
      </c>
      <c r="I1521" s="7">
        <v>1151900</v>
      </c>
      <c r="J1521" s="8">
        <v>3.6900000000000002E-2</v>
      </c>
    </row>
    <row r="1522" spans="1:10" x14ac:dyDescent="0.25">
      <c r="A1522" s="5" t="s">
        <v>3070</v>
      </c>
      <c r="B1522" s="5" t="s">
        <v>3083</v>
      </c>
      <c r="C1522" s="6" t="str">
        <f>_xll.QS.CONTEXT.CREATE("market.1520",A1522,"USD","SOFR")</f>
        <v>QSObject:PricingContext:w1~market.1520:19139</v>
      </c>
      <c r="D1522" s="6" t="str">
        <f>_xll.QS.CONTEXT.ADD.CURVE(C1522,"SOFR",$K$2:$K$7,$L$2:$L$7,,,"Actual360","LogLinear",TRUE)</f>
        <v>QSObject:ContextInput:w1~input.qs_context_add_curve.2359132437744.1521.3.0:38605</v>
      </c>
      <c r="E1522" s="6" t="str">
        <f>_xll.QS.INSTRUMENT.SWAP("swap.1520",H1522,B1522,"USD","SOFR",I1522,J1522,0,"Actual360","Simple","Annual","Annual","Annual")</f>
        <v>QSObject:Swap:w1~swap.1520:19138</v>
      </c>
      <c r="F1522" s="6" t="str">
        <f>_xll.QS.TRADE.CREATE("trade.1520",E1522,A1522,"Receive")</f>
        <v>QSObject:SwapTrade:w1~trade.1520:30238</v>
      </c>
      <c r="G1522" s="3">
        <f>_xll.QS.EVALUATE(C1522,F1522)</f>
        <v>26419.268484548367</v>
      </c>
      <c r="H1522" s="5" t="s">
        <v>3084</v>
      </c>
      <c r="I1522" s="7">
        <v>1152000</v>
      </c>
      <c r="J1522" s="8">
        <v>3.7000000000000012E-2</v>
      </c>
    </row>
    <row r="1523" spans="1:10" x14ac:dyDescent="0.25">
      <c r="A1523" s="5" t="s">
        <v>3072</v>
      </c>
      <c r="B1523" s="5" t="s">
        <v>3085</v>
      </c>
      <c r="C1523" s="6" t="str">
        <f>_xll.QS.CONTEXT.CREATE("market.1521",A1523,"USD","SOFR")</f>
        <v>QSObject:PricingContext:w1~market.1521:19137</v>
      </c>
      <c r="D1523" s="6" t="str">
        <f>_xll.QS.CONTEXT.ADD.CURVE(C1523,"SOFR",$K$2:$K$7,$L$2:$L$7,,,"Actual360","LogLinear",TRUE)</f>
        <v>QSObject:ContextInput:w1~input.qs_context_add_curve.2359132437744.1522.3.0:38604</v>
      </c>
      <c r="E1523" s="6" t="str">
        <f>_xll.QS.INSTRUMENT.SWAP("swap.1521",H1523,B1523,"USD","SOFR",I1523,J1523,0,"Actual360","Simple","Annual","Annual","Annual")</f>
        <v>QSObject:Swap:w1~swap.1521:19136</v>
      </c>
      <c r="F1523" s="6" t="str">
        <f>_xll.QS.TRADE.CREATE("trade.1521",E1523,A1523,"Receive")</f>
        <v>QSObject:SwapTrade:w1~trade.1521:30353</v>
      </c>
      <c r="G1523" s="3">
        <f>_xll.QS.EVALUATE(C1523,F1523)</f>
        <v>27037.004194572866</v>
      </c>
      <c r="H1523" s="5" t="s">
        <v>3086</v>
      </c>
      <c r="I1523" s="7">
        <v>1152100</v>
      </c>
      <c r="J1523" s="8">
        <v>3.7100000000000001E-2</v>
      </c>
    </row>
    <row r="1524" spans="1:10" x14ac:dyDescent="0.25">
      <c r="A1524" s="5" t="s">
        <v>3074</v>
      </c>
      <c r="B1524" s="5" t="s">
        <v>3087</v>
      </c>
      <c r="C1524" s="6" t="str">
        <f>_xll.QS.CONTEXT.CREATE("market.1522",A1524,"USD","SOFR")</f>
        <v>QSObject:PricingContext:w1~market.1522:19135</v>
      </c>
      <c r="D1524" s="6" t="str">
        <f>_xll.QS.CONTEXT.ADD.CURVE(C1524,"SOFR",$K$2:$K$7,$L$2:$L$7,,,"Actual360","LogLinear",TRUE)</f>
        <v>QSObject:ContextInput:w1~input.qs_context_add_curve.2359132437744.1523.3.0:38603</v>
      </c>
      <c r="E1524" s="6" t="str">
        <f>_xll.QS.INSTRUMENT.SWAP("swap.1522",H1524,B1524,"USD","SOFR",I1524,J1524,0,"Actual360","Simple","Annual","Annual","Annual")</f>
        <v>QSObject:Swap:w1~swap.1522:19134</v>
      </c>
      <c r="F1524" s="6" t="str">
        <f>_xll.QS.TRADE.CREATE("trade.1522",E1524,A1524,"Receive")</f>
        <v>QSObject:SwapTrade:w1~trade.1522:30237</v>
      </c>
      <c r="G1524" s="3">
        <f>_xll.QS.EVALUATE(C1524,F1524)</f>
        <v>27620.782811486511</v>
      </c>
      <c r="H1524" s="5" t="s">
        <v>3088</v>
      </c>
      <c r="I1524" s="7">
        <v>1152200</v>
      </c>
      <c r="J1524" s="8">
        <v>3.7199999999999997E-2</v>
      </c>
    </row>
    <row r="1525" spans="1:10" x14ac:dyDescent="0.25">
      <c r="A1525" s="5" t="s">
        <v>3076</v>
      </c>
      <c r="B1525" s="5" t="s">
        <v>3089</v>
      </c>
      <c r="C1525" s="6" t="str">
        <f>_xll.QS.CONTEXT.CREATE("market.1523",A1525,"USD","SOFR")</f>
        <v>QSObject:PricingContext:w1~market.1523:19133</v>
      </c>
      <c r="D1525" s="6" t="str">
        <f>_xll.QS.CONTEXT.ADD.CURVE(C1525,"SOFR",$K$2:$K$7,$L$2:$L$7,,,"Actual360","LogLinear",TRUE)</f>
        <v>QSObject:ContextInput:w1~input.qs_context_add_curve.2359132437744.1524.3.0:38602</v>
      </c>
      <c r="E1525" s="6" t="str">
        <f>_xll.QS.INSTRUMENT.SWAP("swap.1523",H1525,B1525,"USD","SOFR",I1525,J1525,0,"Actual360","Simple","Annual","Annual","Annual")</f>
        <v>QSObject:Swap:w1~swap.1523:19132</v>
      </c>
      <c r="F1525" s="6" t="str">
        <f>_xll.QS.TRADE.CREATE("trade.1523",E1525,A1525,"Receive")</f>
        <v>QSObject:SwapTrade:w1~trade.1523:30236</v>
      </c>
      <c r="G1525" s="3">
        <f>_xll.QS.EVALUATE(C1525,F1525)</f>
        <v>28110.803951899976</v>
      </c>
      <c r="H1525" s="5" t="s">
        <v>3090</v>
      </c>
      <c r="I1525" s="7">
        <v>1152300</v>
      </c>
      <c r="J1525" s="8">
        <v>3.73E-2</v>
      </c>
    </row>
    <row r="1526" spans="1:10" x14ac:dyDescent="0.25">
      <c r="A1526" s="5" t="s">
        <v>3078</v>
      </c>
      <c r="B1526" s="5" t="s">
        <v>3091</v>
      </c>
      <c r="C1526" s="6" t="str">
        <f>_xll.QS.CONTEXT.CREATE("market.1524",A1526,"USD","SOFR")</f>
        <v>QSObject:PricingContext:w1~market.1524:19131</v>
      </c>
      <c r="D1526" s="6" t="str">
        <f>_xll.QS.CONTEXT.ADD.CURVE(C1526,"SOFR",$K$2:$K$7,$L$2:$L$7,,,"Actual360","LogLinear",TRUE)</f>
        <v>QSObject:ContextInput:w1~input.qs_context_add_curve.2359132437744.1525.3.0:38601</v>
      </c>
      <c r="E1526" s="6" t="str">
        <f>_xll.QS.INSTRUMENT.SWAP("swap.1524",H1526,B1526,"USD","SOFR",I1526,J1526,0,"Actual360","Simple","Annual","Annual","Annual")</f>
        <v>QSObject:Swap:w1~swap.1524:19130</v>
      </c>
      <c r="F1526" s="6" t="str">
        <f>_xll.QS.TRADE.CREATE("trade.1524",E1526,A1526,"Receive")</f>
        <v>QSObject:SwapTrade:w1~trade.1524:30352</v>
      </c>
      <c r="G1526" s="3">
        <f>_xll.QS.EVALUATE(C1526,F1526)</f>
        <v>28562.18902214507</v>
      </c>
      <c r="H1526" s="5" t="s">
        <v>3092</v>
      </c>
      <c r="I1526" s="7">
        <v>1152400</v>
      </c>
      <c r="J1526" s="8">
        <v>3.7400000000000003E-2</v>
      </c>
    </row>
    <row r="1527" spans="1:10" x14ac:dyDescent="0.25">
      <c r="A1527" s="5" t="s">
        <v>3080</v>
      </c>
      <c r="B1527" s="5" t="s">
        <v>3093</v>
      </c>
      <c r="C1527" s="6" t="str">
        <f>_xll.QS.CONTEXT.CREATE("market.1525",A1527,"USD","SOFR")</f>
        <v>QSObject:PricingContext:w1~market.1525:19129</v>
      </c>
      <c r="D1527" s="6" t="str">
        <f>_xll.QS.CONTEXT.ADD.CURVE(C1527,"SOFR",$K$2:$K$7,$L$2:$L$7,,,"Actual360","LogLinear",TRUE)</f>
        <v>QSObject:ContextInput:w1~input.qs_context_add_curve.2359132437744.1526.3.0:38600</v>
      </c>
      <c r="E1527" s="6" t="str">
        <f>_xll.QS.INSTRUMENT.SWAP("swap.1525",H1527,B1527,"USD","SOFR",I1527,J1527,0,"Actual360","Simple","Annual","Annual","Annual")</f>
        <v>QSObject:Swap:w1~swap.1525:19128</v>
      </c>
      <c r="F1527" s="6" t="str">
        <f>_xll.QS.TRADE.CREATE("trade.1525",E1527,A1527,"Receive")</f>
        <v>QSObject:SwapTrade:w1~trade.1525:29562</v>
      </c>
      <c r="G1527" s="3">
        <f>_xll.QS.EVALUATE(C1527,F1527)</f>
        <v>29009.806786081816</v>
      </c>
      <c r="H1527" s="5" t="s">
        <v>3094</v>
      </c>
      <c r="I1527" s="7">
        <v>1152500</v>
      </c>
      <c r="J1527" s="8">
        <v>3.7500000000000012E-2</v>
      </c>
    </row>
    <row r="1528" spans="1:10" x14ac:dyDescent="0.25">
      <c r="A1528" s="5" t="s">
        <v>3082</v>
      </c>
      <c r="B1528" s="5" t="s">
        <v>3095</v>
      </c>
      <c r="C1528" s="6" t="str">
        <f>_xll.QS.CONTEXT.CREATE("market.1526",A1528,"USD","SOFR")</f>
        <v>QSObject:PricingContext:w1~market.1526:19127</v>
      </c>
      <c r="D1528" s="6" t="str">
        <f>_xll.QS.CONTEXT.ADD.CURVE(C1528,"SOFR",$K$2:$K$7,$L$2:$L$7,,,"Actual360","LogLinear",TRUE)</f>
        <v>QSObject:ContextInput:w1~input.qs_context_add_curve.2359132437744.1527.3.0:38599</v>
      </c>
      <c r="E1528" s="6" t="str">
        <f>_xll.QS.INSTRUMENT.SWAP("swap.1526",H1528,B1528,"USD","SOFR",I1528,J1528,0,"Actual360","Simple","Annual","Annual","Annual")</f>
        <v>QSObject:Swap:w1~swap.1526:19126</v>
      </c>
      <c r="F1528" s="6" t="str">
        <f>_xll.QS.TRADE.CREATE("trade.1526",E1528,A1528,"Receive")</f>
        <v>QSObject:SwapTrade:w1~trade.1526:30351</v>
      </c>
      <c r="G1528" s="3">
        <f>_xll.QS.EVALUATE(C1528,F1528)</f>
        <v>29593.172996914283</v>
      </c>
      <c r="H1528" s="5" t="s">
        <v>3096</v>
      </c>
      <c r="I1528" s="7">
        <v>1152600</v>
      </c>
      <c r="J1528" s="8">
        <v>3.7600000000000001E-2</v>
      </c>
    </row>
    <row r="1529" spans="1:10" x14ac:dyDescent="0.25">
      <c r="A1529" s="5" t="s">
        <v>3084</v>
      </c>
      <c r="B1529" s="5" t="s">
        <v>3097</v>
      </c>
      <c r="C1529" s="6" t="str">
        <f>_xll.QS.CONTEXT.CREATE("market.1527",A1529,"USD","SOFR")</f>
        <v>QSObject:PricingContext:w1~market.1527:19125</v>
      </c>
      <c r="D1529" s="6" t="str">
        <f>_xll.QS.CONTEXT.ADD.CURVE(C1529,"SOFR",$K$2:$K$7,$L$2:$L$7,,,"Actual360","LogLinear",TRUE)</f>
        <v>QSObject:ContextInput:w1~input.qs_context_add_curve.2359132437744.1528.3.0:38598</v>
      </c>
      <c r="E1529" s="6" t="str">
        <f>_xll.QS.INSTRUMENT.SWAP("swap.1527",H1529,B1529,"USD","SOFR",I1529,J1529,0,"Actual360","Simple","Annual","Annual","Annual")</f>
        <v>QSObject:Swap:w1~swap.1527:19124</v>
      </c>
      <c r="F1529" s="6" t="str">
        <f>_xll.QS.TRADE.CREATE("trade.1527",E1529,A1529,"Receive")</f>
        <v>QSObject:SwapTrade:w1~trade.1527:30350</v>
      </c>
      <c r="G1529" s="3">
        <f>_xll.QS.EVALUATE(C1529,F1529)</f>
        <v>30156.145949602957</v>
      </c>
      <c r="H1529" s="5" t="s">
        <v>3098</v>
      </c>
      <c r="I1529" s="7">
        <v>1152700</v>
      </c>
      <c r="J1529" s="8">
        <v>3.7699999999999997E-2</v>
      </c>
    </row>
    <row r="1530" spans="1:10" x14ac:dyDescent="0.25">
      <c r="A1530" s="5" t="s">
        <v>3086</v>
      </c>
      <c r="B1530" s="5" t="s">
        <v>3099</v>
      </c>
      <c r="C1530" s="6" t="str">
        <f>_xll.QS.CONTEXT.CREATE("market.1528",A1530,"USD","SOFR")</f>
        <v>QSObject:PricingContext:w1~market.1528:19123</v>
      </c>
      <c r="D1530" s="6" t="str">
        <f>_xll.QS.CONTEXT.ADD.CURVE(C1530,"SOFR",$K$2:$K$7,$L$2:$L$7,,,"Actual360","LogLinear",TRUE)</f>
        <v>QSObject:ContextInput:w1~input.qs_context_add_curve.2359132437744.1529.3.0:38597</v>
      </c>
      <c r="E1530" s="6" t="str">
        <f>_xll.QS.INSTRUMENT.SWAP("swap.1528",H1530,B1530,"USD","SOFR",I1530,J1530,0,"Actual360","Simple","Annual","Annual","Annual")</f>
        <v>QSObject:Swap:w1~swap.1528:19122</v>
      </c>
      <c r="F1530" s="6" t="str">
        <f>_xll.QS.TRADE.CREATE("trade.1528",E1530,A1530,"Receive")</f>
        <v>QSObject:SwapTrade:w1~trade.1528:30235</v>
      </c>
      <c r="G1530" s="3">
        <f>_xll.QS.EVALUATE(C1530,F1530)</f>
        <v>30774.634222822595</v>
      </c>
      <c r="H1530" s="5" t="s">
        <v>3100</v>
      </c>
      <c r="I1530" s="7">
        <v>1152800</v>
      </c>
      <c r="J1530" s="8">
        <v>3.78E-2</v>
      </c>
    </row>
    <row r="1531" spans="1:10" x14ac:dyDescent="0.25">
      <c r="A1531" s="5" t="s">
        <v>3088</v>
      </c>
      <c r="B1531" s="5" t="s">
        <v>3101</v>
      </c>
      <c r="C1531" s="6" t="str">
        <f>_xll.QS.CONTEXT.CREATE("market.1529",A1531,"USD","SOFR")</f>
        <v>QSObject:PricingContext:w1~market.1529:19121</v>
      </c>
      <c r="D1531" s="6" t="str">
        <f>_xll.QS.CONTEXT.ADD.CURVE(C1531,"SOFR",$K$2:$K$7,$L$2:$L$7,,,"Actual360","LogLinear",TRUE)</f>
        <v>QSObject:ContextInput:w1~input.qs_context_add_curve.2359132437744.1530.3.0:38596</v>
      </c>
      <c r="E1531" s="6" t="str">
        <f>_xll.QS.INSTRUMENT.SWAP("swap.1529",H1531,B1531,"USD","SOFR",I1531,J1531,0,"Actual360","Simple","Annual","Annual","Annual")</f>
        <v>QSObject:Swap:w1~swap.1529:19120</v>
      </c>
      <c r="F1531" s="6" t="str">
        <f>_xll.QS.TRADE.CREATE("trade.1529",E1531,A1531,"Receive")</f>
        <v>QSObject:SwapTrade:w1~trade.1529:30234</v>
      </c>
      <c r="G1531" s="3">
        <f>_xll.QS.EVALUATE(C1531,F1531)</f>
        <v>31359.128657103734</v>
      </c>
      <c r="H1531" s="5" t="s">
        <v>3102</v>
      </c>
      <c r="I1531" s="7">
        <v>1152900</v>
      </c>
      <c r="J1531" s="8">
        <v>3.7900000000000003E-2</v>
      </c>
    </row>
    <row r="1532" spans="1:10" x14ac:dyDescent="0.25">
      <c r="A1532" s="5" t="s">
        <v>3090</v>
      </c>
      <c r="B1532" s="5" t="s">
        <v>3103</v>
      </c>
      <c r="C1532" s="6" t="str">
        <f>_xll.QS.CONTEXT.CREATE("market.1530",A1532,"USD","SOFR")</f>
        <v>QSObject:PricingContext:w1~market.1530:19119</v>
      </c>
      <c r="D1532" s="6" t="str">
        <f>_xll.QS.CONTEXT.ADD.CURVE(C1532,"SOFR",$K$2:$K$7,$L$2:$L$7,,,"Actual360","LogLinear",TRUE)</f>
        <v>QSObject:ContextInput:w1~input.qs_context_add_curve.2359132437744.1531.3.0:38595</v>
      </c>
      <c r="E1532" s="6" t="str">
        <f>_xll.QS.INSTRUMENT.SWAP("swap.1530",H1532,B1532,"USD","SOFR",I1532,J1532,0,"Actual360","Simple","Annual","Annual","Annual")</f>
        <v>QSObject:Swap:w1~swap.1530:19118</v>
      </c>
      <c r="F1532" s="6" t="str">
        <f>_xll.QS.TRADE.CREATE("trade.1530",E1532,A1532,"Receive")</f>
        <v>QSObject:SwapTrade:w1~trade.1530:30233</v>
      </c>
      <c r="G1532" s="3">
        <f>_xll.QS.EVALUATE(C1532,F1532)</f>
        <v>31849.738816589732</v>
      </c>
      <c r="H1532" s="5" t="s">
        <v>3104</v>
      </c>
      <c r="I1532" s="7">
        <v>1153000</v>
      </c>
      <c r="J1532" s="8">
        <v>3.8000000000000013E-2</v>
      </c>
    </row>
    <row r="1533" spans="1:10" x14ac:dyDescent="0.25">
      <c r="A1533" s="5" t="s">
        <v>3092</v>
      </c>
      <c r="B1533" s="5" t="s">
        <v>3105</v>
      </c>
      <c r="C1533" s="6" t="str">
        <f>_xll.QS.CONTEXT.CREATE("market.1531",A1533,"USD","SOFR")</f>
        <v>QSObject:PricingContext:w1~market.1531:19117</v>
      </c>
      <c r="D1533" s="6" t="str">
        <f>_xll.QS.CONTEXT.ADD.CURVE(C1533,"SOFR",$K$2:$K$7,$L$2:$L$7,,,"Actual360","LogLinear",TRUE)</f>
        <v>QSObject:ContextInput:w1~input.qs_context_add_curve.2359132437744.1532.3.0:38594</v>
      </c>
      <c r="E1533" s="6" t="str">
        <f>_xll.QS.INSTRUMENT.SWAP("swap.1531",H1533,B1533,"USD","SOFR",I1533,J1533,0,"Actual360","Simple","Annual","Annual","Annual")</f>
        <v>QSObject:Swap:w1~swap.1531:19116</v>
      </c>
      <c r="F1533" s="6" t="str">
        <f>_xll.QS.TRADE.CREATE("trade.1531",E1533,A1533,"Receive")</f>
        <v>QSObject:SwapTrade:w1~trade.1531:30349</v>
      </c>
      <c r="G1533" s="3">
        <f>_xll.QS.EVALUATE(C1533,F1533)</f>
        <v>32297.332918120595</v>
      </c>
      <c r="H1533" s="5" t="s">
        <v>3106</v>
      </c>
      <c r="I1533" s="7">
        <v>1153100</v>
      </c>
      <c r="J1533" s="8">
        <v>3.8100000000000002E-2</v>
      </c>
    </row>
    <row r="1534" spans="1:10" x14ac:dyDescent="0.25">
      <c r="A1534" s="5" t="s">
        <v>3094</v>
      </c>
      <c r="B1534" s="5" t="s">
        <v>3107</v>
      </c>
      <c r="C1534" s="6" t="str">
        <f>_xll.QS.CONTEXT.CREATE("market.1532",A1534,"USD","SOFR")</f>
        <v>QSObject:PricingContext:w1~market.1532:19115</v>
      </c>
      <c r="D1534" s="6" t="str">
        <f>_xll.QS.CONTEXT.ADD.CURVE(C1534,"SOFR",$K$2:$K$7,$L$2:$L$7,,,"Actual360","LogLinear",TRUE)</f>
        <v>QSObject:ContextInput:w1~input.qs_context_add_curve.2359132437744.1533.3.0:38593</v>
      </c>
      <c r="E1534" s="6" t="str">
        <f>_xll.QS.INSTRUMENT.SWAP("swap.1532",H1534,B1534,"USD","SOFR",I1534,J1534,0,"Actual360","Simple","Annual","Annual","Annual")</f>
        <v>QSObject:Swap:w1~swap.1532:19114</v>
      </c>
      <c r="F1534" s="6" t="str">
        <f>_xll.QS.TRADE.CREATE("trade.1532",E1534,A1534,"Receive")</f>
        <v>QSObject:SwapTrade:w1~trade.1532:29561</v>
      </c>
      <c r="G1534" s="3">
        <f>_xll.QS.EVALUATE(C1534,F1534)</f>
        <v>32751.314376263432</v>
      </c>
      <c r="H1534" s="5" t="s">
        <v>3108</v>
      </c>
      <c r="I1534" s="7">
        <v>1153200</v>
      </c>
      <c r="J1534" s="8">
        <v>3.8199999999999998E-2</v>
      </c>
    </row>
    <row r="1535" spans="1:10" x14ac:dyDescent="0.25">
      <c r="A1535" s="5" t="s">
        <v>3096</v>
      </c>
      <c r="B1535" s="5" t="s">
        <v>3109</v>
      </c>
      <c r="C1535" s="6" t="str">
        <f>_xll.QS.CONTEXT.CREATE("market.1533",A1535,"USD","SOFR")</f>
        <v>QSObject:PricingContext:w1~market.1533:19113</v>
      </c>
      <c r="D1535" s="6" t="str">
        <f>_xll.QS.CONTEXT.ADD.CURVE(C1535,"SOFR",$K$2:$K$7,$L$2:$L$7,,,"Actual360","LogLinear",TRUE)</f>
        <v>QSObject:ContextInput:w1~input.qs_context_add_curve.2359132437744.1534.3.0:38592</v>
      </c>
      <c r="E1535" s="6" t="str">
        <f>_xll.QS.INSTRUMENT.SWAP("swap.1533",H1535,B1535,"USD","SOFR",I1535,J1535,0,"Actual360","Simple","Annual","Annual","Annual")</f>
        <v>QSObject:Swap:w1~swap.1533:19112</v>
      </c>
      <c r="F1535" s="6" t="str">
        <f>_xll.QS.TRADE.CREATE("trade.1533",E1535,A1535,"Receive")</f>
        <v>QSObject:SwapTrade:w1~trade.1533:30232</v>
      </c>
      <c r="G1535" s="3">
        <f>_xll.QS.EVALUATE(C1535,F1535)</f>
        <v>33335.729986066261</v>
      </c>
      <c r="H1535" s="5" t="s">
        <v>3110</v>
      </c>
      <c r="I1535" s="7">
        <v>1153300</v>
      </c>
      <c r="J1535" s="8">
        <v>3.8300000000000001E-2</v>
      </c>
    </row>
    <row r="1536" spans="1:10" x14ac:dyDescent="0.25">
      <c r="A1536" s="5" t="s">
        <v>3098</v>
      </c>
      <c r="B1536" s="5" t="s">
        <v>3111</v>
      </c>
      <c r="C1536" s="6" t="str">
        <f>_xll.QS.CONTEXT.CREATE("market.1534",A1536,"USD","SOFR")</f>
        <v>QSObject:PricingContext:w1~market.1534:19111</v>
      </c>
      <c r="D1536" s="6" t="str">
        <f>_xll.QS.CONTEXT.ADD.CURVE(C1536,"SOFR",$K$2:$K$7,$L$2:$L$7,,,"Actual360","LogLinear",TRUE)</f>
        <v>QSObject:ContextInput:w1~input.qs_context_add_curve.2359132437744.1535.3.0:38591</v>
      </c>
      <c r="E1536" s="6" t="str">
        <f>_xll.QS.INSTRUMENT.SWAP("swap.1534",H1536,B1536,"USD","SOFR",I1536,J1536,0,"Actual360","Simple","Annual","Annual","Annual")</f>
        <v>QSObject:Swap:w1~swap.1534:19110</v>
      </c>
      <c r="F1536" s="6" t="str">
        <f>_xll.QS.TRADE.CREATE("trade.1534",E1536,A1536,"Receive")</f>
        <v>QSObject:SwapTrade:w1~trade.1534:30348</v>
      </c>
      <c r="G1536" s="3">
        <f>_xll.QS.EVALUATE(C1536,F1536)</f>
        <v>33897.542503514989</v>
      </c>
      <c r="H1536" s="5" t="s">
        <v>3112</v>
      </c>
      <c r="I1536" s="7">
        <v>1153400</v>
      </c>
      <c r="J1536" s="8">
        <v>3.8399999999999997E-2</v>
      </c>
    </row>
    <row r="1537" spans="1:10" x14ac:dyDescent="0.25">
      <c r="A1537" s="5" t="s">
        <v>3100</v>
      </c>
      <c r="B1537" s="5" t="s">
        <v>3113</v>
      </c>
      <c r="C1537" s="6" t="str">
        <f>_xll.QS.CONTEXT.CREATE("market.1535",A1537,"USD","SOFR")</f>
        <v>QSObject:PricingContext:w1~market.1535:19109</v>
      </c>
      <c r="D1537" s="6" t="str">
        <f>_xll.QS.CONTEXT.ADD.CURVE(C1537,"SOFR",$K$2:$K$7,$L$2:$L$7,,,"Actual360","LogLinear",TRUE)</f>
        <v>QSObject:ContextInput:w1~input.qs_context_add_curve.2359132437744.1536.3.0:38590</v>
      </c>
      <c r="E1537" s="6" t="str">
        <f>_xll.QS.INSTRUMENT.SWAP("swap.1535",H1537,B1537,"USD","SOFR",I1537,J1537,0,"Actual360","Simple","Annual","Annual","Annual")</f>
        <v>QSObject:Swap:w1~swap.1535:19108</v>
      </c>
      <c r="F1537" s="6" t="str">
        <f>_xll.QS.TRADE.CREATE("trade.1535",E1537,A1537,"Receive")</f>
        <v>QSObject:SwapTrade:w1~trade.1535:30231</v>
      </c>
      <c r="G1537" s="3">
        <f>_xll.QS.EVALUATE(C1537,F1537)</f>
        <v>34516.783407740339</v>
      </c>
      <c r="H1537" s="5" t="s">
        <v>3114</v>
      </c>
      <c r="I1537" s="7">
        <v>1153500</v>
      </c>
      <c r="J1537" s="8">
        <v>3.8500000000000013E-2</v>
      </c>
    </row>
    <row r="1538" spans="1:10" x14ac:dyDescent="0.25">
      <c r="A1538" s="5" t="s">
        <v>3102</v>
      </c>
      <c r="B1538" s="5" t="s">
        <v>3115</v>
      </c>
      <c r="C1538" s="6" t="str">
        <f>_xll.QS.CONTEXT.CREATE("market.1536",A1538,"USD","SOFR")</f>
        <v>QSObject:PricingContext:w1~market.1536:19107</v>
      </c>
      <c r="D1538" s="6" t="str">
        <f>_xll.QS.CONTEXT.ADD.CURVE(C1538,"SOFR",$K$2:$K$7,$L$2:$L$7,,,"Actual360","LogLinear",TRUE)</f>
        <v>QSObject:ContextInput:w1~input.qs_context_add_curve.2359132437744.1537.3.0:38589</v>
      </c>
      <c r="E1538" s="6" t="str">
        <f>_xll.QS.INSTRUMENT.SWAP("swap.1536",H1538,B1538,"USD","SOFR",I1538,J1538,0,"Actual360","Simple","Annual","Annual","Annual")</f>
        <v>QSObject:Swap:w1~swap.1536:19106</v>
      </c>
      <c r="F1538" s="6" t="str">
        <f>_xll.QS.TRADE.CREATE("trade.1536",E1538,A1538,"Receive")</f>
        <v>QSObject:SwapTrade:w1~trade.1536:29560</v>
      </c>
      <c r="G1538" s="3">
        <f>_xll.QS.EVALUATE(C1538,F1538)</f>
        <v>35101.993707696049</v>
      </c>
      <c r="H1538" s="5" t="s">
        <v>3116</v>
      </c>
      <c r="I1538" s="7">
        <v>1153600</v>
      </c>
      <c r="J1538" s="8">
        <v>3.8600000000000002E-2</v>
      </c>
    </row>
    <row r="1539" spans="1:10" x14ac:dyDescent="0.25">
      <c r="A1539" s="5" t="s">
        <v>3104</v>
      </c>
      <c r="B1539" s="5" t="s">
        <v>3117</v>
      </c>
      <c r="C1539" s="6" t="str">
        <f>_xll.QS.CONTEXT.CREATE("market.1537",A1539,"USD","SOFR")</f>
        <v>QSObject:PricingContext:w1~market.1537:19105</v>
      </c>
      <c r="D1539" s="6" t="str">
        <f>_xll.QS.CONTEXT.ADD.CURVE(C1539,"SOFR",$K$2:$K$7,$L$2:$L$7,,,"Actual360","LogLinear",TRUE)</f>
        <v>QSObject:ContextInput:w1~input.qs_context_add_curve.2359132437744.1538.3.0:38588</v>
      </c>
      <c r="E1539" s="6" t="str">
        <f>_xll.QS.INSTRUMENT.SWAP("swap.1537",H1539,B1539,"USD","SOFR",I1539,J1539,0,"Actual360","Simple","Annual","Annual","Annual")</f>
        <v>QSObject:Swap:w1~swap.1537:19104</v>
      </c>
      <c r="F1539" s="6" t="str">
        <f>_xll.QS.TRADE.CREATE("trade.1537",E1539,A1539,"Receive")</f>
        <v>QSObject:SwapTrade:w1~trade.1537:30230</v>
      </c>
      <c r="G1539" s="3">
        <f>_xll.QS.EVALUATE(C1539,F1539)</f>
        <v>35593.192849823899</v>
      </c>
      <c r="H1539" s="5" t="s">
        <v>3118</v>
      </c>
      <c r="I1539" s="7">
        <v>1153700</v>
      </c>
      <c r="J1539" s="8">
        <v>3.8700000000000012E-2</v>
      </c>
    </row>
    <row r="1540" spans="1:10" x14ac:dyDescent="0.25">
      <c r="A1540" s="5" t="s">
        <v>3106</v>
      </c>
      <c r="B1540" s="5" t="s">
        <v>3119</v>
      </c>
      <c r="C1540" s="6" t="str">
        <f>_xll.QS.CONTEXT.CREATE("market.1538",A1540,"USD","SOFR")</f>
        <v>QSObject:PricingContext:w1~market.1538:19103</v>
      </c>
      <c r="D1540" s="6" t="str">
        <f>_xll.QS.CONTEXT.ADD.CURVE(C1540,"SOFR",$K$2:$K$7,$L$2:$L$7,,,"Actual360","LogLinear",TRUE)</f>
        <v>QSObject:ContextInput:w1~input.qs_context_add_curve.2359132437744.1539.3.0:38587</v>
      </c>
      <c r="E1540" s="6" t="str">
        <f>_xll.QS.INSTRUMENT.SWAP("swap.1538",H1540,B1540,"USD","SOFR",I1540,J1540,0,"Actual360","Simple","Annual","Annual","Annual")</f>
        <v>QSObject:Swap:w1~swap.1538:19102</v>
      </c>
      <c r="F1540" s="6" t="str">
        <f>_xll.QS.TRADE.CREATE("trade.1538",E1540,A1540,"Receive")</f>
        <v>QSObject:SwapTrade:w1~trade.1538:30347</v>
      </c>
      <c r="G1540" s="3">
        <f>_xll.QS.EVALUATE(C1540,F1540)</f>
        <v>36036.990656947964</v>
      </c>
      <c r="H1540" s="5" t="s">
        <v>3120</v>
      </c>
      <c r="I1540" s="7">
        <v>1153800</v>
      </c>
      <c r="J1540" s="8">
        <v>3.8800000000000001E-2</v>
      </c>
    </row>
    <row r="1541" spans="1:10" x14ac:dyDescent="0.25">
      <c r="A1541" s="5" t="s">
        <v>3108</v>
      </c>
      <c r="B1541" s="5" t="s">
        <v>3121</v>
      </c>
      <c r="C1541" s="6" t="str">
        <f>_xll.QS.CONTEXT.CREATE("market.1539",A1541,"USD","SOFR")</f>
        <v>QSObject:PricingContext:w1~market.1539:19101</v>
      </c>
      <c r="D1541" s="6" t="str">
        <f>_xll.QS.CONTEXT.ADD.CURVE(C1541,"SOFR",$K$2:$K$7,$L$2:$L$7,,,"Actual360","LogLinear",TRUE)</f>
        <v>QSObject:ContextInput:w1~input.qs_context_add_curve.2359132437744.1540.3.0:38586</v>
      </c>
      <c r="E1541" s="6" t="str">
        <f>_xll.QS.INSTRUMENT.SWAP("swap.1539",H1541,B1541,"USD","SOFR",I1541,J1541,0,"Actual360","Simple","Annual","Annual","Annual")</f>
        <v>QSObject:Swap:w1~swap.1539:19100</v>
      </c>
      <c r="F1541" s="6" t="str">
        <f>_xll.QS.TRADE.CREATE("trade.1539",E1541,A1541,"Receive")</f>
        <v>QSObject:SwapTrade:w1~trade.1539:29559</v>
      </c>
      <c r="G1541" s="3">
        <f>_xll.QS.EVALUATE(C1541,F1541)</f>
        <v>36497.342815258366</v>
      </c>
      <c r="H1541" s="5" t="s">
        <v>3122</v>
      </c>
      <c r="I1541" s="7">
        <v>1153900</v>
      </c>
      <c r="J1541" s="8">
        <v>3.8899999999999997E-2</v>
      </c>
    </row>
    <row r="1542" spans="1:10" x14ac:dyDescent="0.25">
      <c r="A1542" s="5" t="s">
        <v>3110</v>
      </c>
      <c r="B1542" s="5" t="s">
        <v>3123</v>
      </c>
      <c r="C1542" s="6" t="str">
        <f>_xll.QS.CONTEXT.CREATE("market.1540",A1542,"USD","SOFR")</f>
        <v>QSObject:PricingContext:w1~market.1540:19099</v>
      </c>
      <c r="D1542" s="6" t="str">
        <f>_xll.QS.CONTEXT.ADD.CURVE(C1542,"SOFR",$K$2:$K$7,$L$2:$L$7,,,"Actual360","LogLinear",TRUE)</f>
        <v>QSObject:ContextInput:w1~input.qs_context_add_curve.2359132437744.1541.3.0:38585</v>
      </c>
      <c r="E1542" s="6" t="str">
        <f>_xll.QS.INSTRUMENT.SWAP("swap.1540",H1542,B1542,"USD","SOFR",I1542,J1542,0,"Actual360","Simple","Annual","Annual","Annual")</f>
        <v>QSObject:Swap:w1~swap.1540:19098</v>
      </c>
      <c r="F1542" s="6" t="str">
        <f>_xll.QS.TRADE.CREATE("trade.1540",E1542,A1542,"Receive")</f>
        <v>QSObject:SwapTrade:w1~trade.1540:30229</v>
      </c>
      <c r="G1542" s="3">
        <f>_xll.QS.EVALUATE(C1542,F1542)</f>
        <v>37082.606304929235</v>
      </c>
      <c r="H1542" s="5" t="s">
        <v>3124</v>
      </c>
      <c r="I1542" s="7">
        <v>1154000</v>
      </c>
      <c r="J1542" s="8">
        <v>3.9000000000000007E-2</v>
      </c>
    </row>
    <row r="1543" spans="1:10" x14ac:dyDescent="0.25">
      <c r="A1543" s="5" t="s">
        <v>3112</v>
      </c>
      <c r="B1543" s="5" t="s">
        <v>3125</v>
      </c>
      <c r="C1543" s="6" t="str">
        <f>_xll.QS.CONTEXT.CREATE("market.1541",A1543,"USD","SOFR")</f>
        <v>QSObject:PricingContext:w1~market.1541:19097</v>
      </c>
      <c r="D1543" s="6" t="str">
        <f>_xll.QS.CONTEXT.ADD.CURVE(C1543,"SOFR",$K$2:$K$7,$L$2:$L$7,,,"Actual360","LogLinear",TRUE)</f>
        <v>QSObject:ContextInput:w1~input.qs_context_add_curve.2359132437744.1542.3.0:38584</v>
      </c>
      <c r="E1543" s="6" t="str">
        <f>_xll.QS.INSTRUMENT.SWAP("swap.1541",H1543,B1543,"USD","SOFR",I1543,J1543,0,"Actual360","Simple","Annual","Annual","Annual")</f>
        <v>QSObject:Swap:w1~swap.1541:19096</v>
      </c>
      <c r="F1543" s="6" t="str">
        <f>_xll.QS.TRADE.CREATE("trade.1541",E1543,A1543,"Receive")</f>
        <v>QSObject:SwapTrade:w1~trade.1541:30346</v>
      </c>
      <c r="G1543" s="3">
        <f>_xll.QS.EVALUATE(C1543,F1543)</f>
        <v>37643.458146284727</v>
      </c>
      <c r="H1543" s="5" t="s">
        <v>3126</v>
      </c>
      <c r="I1543" s="7">
        <v>1154100</v>
      </c>
      <c r="J1543" s="8">
        <v>3.9100000000000003E-2</v>
      </c>
    </row>
    <row r="1544" spans="1:10" x14ac:dyDescent="0.25">
      <c r="A1544" s="5" t="s">
        <v>3114</v>
      </c>
      <c r="B1544" s="5" t="s">
        <v>3127</v>
      </c>
      <c r="C1544" s="6" t="str">
        <f>_xll.QS.CONTEXT.CREATE("market.1542",A1544,"USD","SOFR")</f>
        <v>QSObject:PricingContext:w1~market.1542:19095</v>
      </c>
      <c r="D1544" s="6" t="str">
        <f>_xll.QS.CONTEXT.ADD.CURVE(C1544,"SOFR",$K$2:$K$7,$L$2:$L$7,,,"Actual360","LogLinear",TRUE)</f>
        <v>QSObject:ContextInput:w1~input.qs_context_add_curve.2359132437744.1543.3.0:38583</v>
      </c>
      <c r="E1544" s="6" t="str">
        <f>_xll.QS.INSTRUMENT.SWAP("swap.1542",H1544,B1544,"USD","SOFR",I1544,J1544,0,"Actual360","Simple","Annual","Annual","Annual")</f>
        <v>QSObject:Swap:w1~swap.1542:19094</v>
      </c>
      <c r="F1544" s="6" t="str">
        <f>_xll.QS.TRADE.CREATE("trade.1542",E1544,A1544,"Receive")</f>
        <v>QSObject:SwapTrade:w1~trade.1542:30228</v>
      </c>
      <c r="G1544" s="3">
        <f>_xll.QS.EVALUATE(C1544,F1544)</f>
        <v>38263.661386532563</v>
      </c>
      <c r="H1544" s="5" t="s">
        <v>3128</v>
      </c>
      <c r="I1544" s="7">
        <v>1154200</v>
      </c>
      <c r="J1544" s="8">
        <v>3.9200000000000013E-2</v>
      </c>
    </row>
    <row r="1545" spans="1:10" x14ac:dyDescent="0.25">
      <c r="A1545" s="5" t="s">
        <v>3116</v>
      </c>
      <c r="B1545" s="5" t="s">
        <v>3129</v>
      </c>
      <c r="C1545" s="6" t="str">
        <f>_xll.QS.CONTEXT.CREATE("market.1543",A1545,"USD","SOFR")</f>
        <v>QSObject:PricingContext:w1~market.1543:19093</v>
      </c>
      <c r="D1545" s="6" t="str">
        <f>_xll.QS.CONTEXT.ADD.CURVE(C1545,"SOFR",$K$2:$K$7,$L$2:$L$7,,,"Actual360","LogLinear",TRUE)</f>
        <v>QSObject:ContextInput:w1~input.qs_context_add_curve.2359132437744.1544.3.0:38582</v>
      </c>
      <c r="E1545" s="6" t="str">
        <f>_xll.QS.INSTRUMENT.SWAP("swap.1543",H1545,B1545,"USD","SOFR",I1545,J1545,0,"Actual360","Simple","Annual","Annual","Annual")</f>
        <v>QSObject:Swap:w1~swap.1543:19092</v>
      </c>
      <c r="F1545" s="6" t="str">
        <f>_xll.QS.TRADE.CREATE("trade.1543",E1545,A1545,"Receive")</f>
        <v>QSObject:SwapTrade:w1~trade.1543:29558</v>
      </c>
      <c r="G1545" s="3">
        <f>_xll.QS.EVALUATE(C1545,F1545)</f>
        <v>38850.089471118306</v>
      </c>
      <c r="H1545" s="5" t="s">
        <v>3130</v>
      </c>
      <c r="I1545" s="7">
        <v>1154300</v>
      </c>
      <c r="J1545" s="8">
        <v>3.9300000000000002E-2</v>
      </c>
    </row>
    <row r="1546" spans="1:10" x14ac:dyDescent="0.25">
      <c r="A1546" s="5" t="s">
        <v>3118</v>
      </c>
      <c r="B1546" s="5" t="s">
        <v>3131</v>
      </c>
      <c r="C1546" s="6" t="str">
        <f>_xll.QS.CONTEXT.CREATE("market.1544",A1546,"USD","SOFR")</f>
        <v>QSObject:PricingContext:w1~market.1544:19091</v>
      </c>
      <c r="D1546" s="6" t="str">
        <f>_xll.QS.CONTEXT.ADD.CURVE(C1546,"SOFR",$K$2:$K$7,$L$2:$L$7,,,"Actual360","LogLinear",TRUE)</f>
        <v>QSObject:ContextInput:w1~input.qs_context_add_curve.2359132437744.1545.3.0:38581</v>
      </c>
      <c r="E1546" s="6" t="str">
        <f>_xll.QS.INSTRUMENT.SWAP("swap.1544",H1546,B1546,"USD","SOFR",I1546,J1546,0,"Actual360","Simple","Annual","Annual","Annual")</f>
        <v>QSObject:Swap:w1~swap.1544:19090</v>
      </c>
      <c r="F1546" s="6" t="str">
        <f>_xll.QS.TRADE.CREATE("trade.1544",E1546,A1546,"Receive")</f>
        <v>QSObject:SwapTrade:w1~trade.1544:30227</v>
      </c>
      <c r="G1546" s="3">
        <f>_xll.QS.EVALUATE(C1546,F1546)</f>
        <v>39267.391581370117</v>
      </c>
      <c r="H1546" s="5" t="s">
        <v>3132</v>
      </c>
      <c r="I1546" s="7">
        <v>1154400</v>
      </c>
      <c r="J1546" s="8">
        <v>3.9399999999999998E-2</v>
      </c>
    </row>
    <row r="1547" spans="1:10" x14ac:dyDescent="0.25">
      <c r="A1547" s="5" t="s">
        <v>3120</v>
      </c>
      <c r="B1547" s="5" t="s">
        <v>3133</v>
      </c>
      <c r="C1547" s="6" t="str">
        <f>_xll.QS.CONTEXT.CREATE("market.1545",A1547,"USD","SOFR")</f>
        <v>QSObject:PricingContext:w1~market.1545:19089</v>
      </c>
      <c r="D1547" s="6" t="str">
        <f>_xll.QS.CONTEXT.ADD.CURVE(C1547,"SOFR",$K$2:$K$7,$L$2:$L$7,,,"Actual360","LogLinear",TRUE)</f>
        <v>QSObject:ContextInput:w1~input.qs_context_add_curve.2359132437744.1546.3.0:38580</v>
      </c>
      <c r="E1547" s="6" t="str">
        <f>_xll.QS.INSTRUMENT.SWAP("swap.1545",H1547,B1547,"USD","SOFR",I1547,J1547,0,"Actual360","Simple","Annual","Annual","Annual")</f>
        <v>QSObject:Swap:w1~swap.1545:19088</v>
      </c>
      <c r="F1547" s="6" t="str">
        <f>_xll.QS.TRADE.CREATE("trade.1545",E1547,A1547,"Receive")</f>
        <v>QSObject:SwapTrade:w1~trade.1545:30345</v>
      </c>
      <c r="G1547" s="3">
        <f>_xll.QS.EVALUATE(C1547,F1547)</f>
        <v>39708.58562109468</v>
      </c>
      <c r="H1547" s="5" t="s">
        <v>3134</v>
      </c>
      <c r="I1547" s="7">
        <v>1154500</v>
      </c>
      <c r="J1547" s="8">
        <v>3.9500000000000007E-2</v>
      </c>
    </row>
    <row r="1548" spans="1:10" x14ac:dyDescent="0.25">
      <c r="A1548" s="5" t="s">
        <v>3122</v>
      </c>
      <c r="B1548" s="5" t="s">
        <v>3135</v>
      </c>
      <c r="C1548" s="6" t="str">
        <f>_xll.QS.CONTEXT.CREATE("market.1546",A1548,"USD","SOFR")</f>
        <v>QSObject:PricingContext:w1~market.1546:19087</v>
      </c>
      <c r="D1548" s="6" t="str">
        <f>_xll.QS.CONTEXT.ADD.CURVE(C1548,"SOFR",$K$2:$K$7,$L$2:$L$7,,,"Actual360","LogLinear",TRUE)</f>
        <v>QSObject:ContextInput:w1~input.qs_context_add_curve.2359132437744.1547.3.0:38579</v>
      </c>
      <c r="E1548" s="6" t="str">
        <f>_xll.QS.INSTRUMENT.SWAP("swap.1546",H1548,B1548,"USD","SOFR",I1548,J1548,0,"Actual360","Simple","Annual","Annual","Annual")</f>
        <v>QSObject:Swap:w1~swap.1546:19086</v>
      </c>
      <c r="F1548" s="6" t="str">
        <f>_xll.QS.TRADE.CREATE("trade.1546",E1548,A1548,"Receive")</f>
        <v>QSObject:SwapTrade:w1~trade.1546:29557</v>
      </c>
      <c r="G1548" s="3">
        <f>_xll.QS.EVALUATE(C1548,F1548)</f>
        <v>40247.888838698447</v>
      </c>
      <c r="H1548" s="5" t="s">
        <v>3136</v>
      </c>
      <c r="I1548" s="7">
        <v>1154600</v>
      </c>
      <c r="J1548" s="8">
        <v>3.9600000000000003E-2</v>
      </c>
    </row>
    <row r="1549" spans="1:10" x14ac:dyDescent="0.25">
      <c r="A1549" s="5" t="s">
        <v>3124</v>
      </c>
      <c r="B1549" s="5" t="s">
        <v>3137</v>
      </c>
      <c r="C1549" s="6" t="str">
        <f>_xll.QS.CONTEXT.CREATE("market.1547",A1549,"USD","SOFR")</f>
        <v>QSObject:PricingContext:w1~market.1547:19085</v>
      </c>
      <c r="D1549" s="6" t="str">
        <f>_xll.QS.CONTEXT.ADD.CURVE(C1549,"SOFR",$K$2:$K$7,$L$2:$L$7,,,"Actual360","LogLinear",TRUE)</f>
        <v>QSObject:ContextInput:w1~input.qs_context_add_curve.2359132437744.1548.3.0:38578</v>
      </c>
      <c r="E1549" s="6" t="str">
        <f>_xll.QS.INSTRUMENT.SWAP("swap.1547",H1549,B1549,"USD","SOFR",I1549,J1549,0,"Actual360","Simple","Annual","Annual","Annual")</f>
        <v>QSObject:Swap:w1~swap.1547:19084</v>
      </c>
      <c r="F1549" s="6" t="str">
        <f>_xll.QS.TRADE.CREATE("trade.1547",E1549,A1549,"Receive")</f>
        <v>QSObject:SwapTrade:w1~trade.1547:30344</v>
      </c>
      <c r="G1549" s="3">
        <f>_xll.QS.EVALUATE(C1549,F1549)</f>
        <v>40833.682490543579</v>
      </c>
      <c r="H1549" s="5" t="s">
        <v>3138</v>
      </c>
      <c r="I1549" s="7">
        <v>1154700</v>
      </c>
      <c r="J1549" s="8">
        <v>3.9700000000000013E-2</v>
      </c>
    </row>
    <row r="1550" spans="1:10" x14ac:dyDescent="0.25">
      <c r="A1550" s="5" t="s">
        <v>3126</v>
      </c>
      <c r="B1550" s="5" t="s">
        <v>3139</v>
      </c>
      <c r="C1550" s="6" t="str">
        <f>_xll.QS.CONTEXT.CREATE("market.1548",A1550,"USD","SOFR")</f>
        <v>QSObject:PricingContext:w1~market.1548:19083</v>
      </c>
      <c r="D1550" s="6" t="str">
        <f>_xll.QS.CONTEXT.ADD.CURVE(C1550,"SOFR",$K$2:$K$7,$L$2:$L$7,,,"Actual360","LogLinear",TRUE)</f>
        <v>QSObject:ContextInput:w1~input.qs_context_add_curve.2359132437744.1549.3.0:38577</v>
      </c>
      <c r="E1550" s="6" t="str">
        <f>_xll.QS.INSTRUMENT.SWAP("swap.1548",H1550,B1550,"USD","SOFR",I1550,J1550,0,"Actual360","Simple","Annual","Annual","Annual")</f>
        <v>QSObject:Swap:w1~swap.1548:19082</v>
      </c>
      <c r="F1550" s="6" t="str">
        <f>_xll.QS.TRADE.CREATE("trade.1548",E1550,A1550,"Receive")</f>
        <v>QSObject:SwapTrade:w1~trade.1548:30226</v>
      </c>
      <c r="G1550" s="3">
        <f>_xll.QS.EVALUATE(C1550,F1550)</f>
        <v>41520.862673197662</v>
      </c>
      <c r="H1550" s="5" t="s">
        <v>3140</v>
      </c>
      <c r="I1550" s="7">
        <v>1154800</v>
      </c>
      <c r="J1550" s="8">
        <v>3.9800000000000002E-2</v>
      </c>
    </row>
    <row r="1551" spans="1:10" x14ac:dyDescent="0.25">
      <c r="A1551" s="5" t="s">
        <v>3128</v>
      </c>
      <c r="B1551" s="5" t="s">
        <v>3141</v>
      </c>
      <c r="C1551" s="6" t="str">
        <f>_xll.QS.CONTEXT.CREATE("market.1549",A1551,"USD","SOFR")</f>
        <v>QSObject:PricingContext:w1~market.1549:19081</v>
      </c>
      <c r="D1551" s="6" t="str">
        <f>_xll.QS.CONTEXT.ADD.CURVE(C1551,"SOFR",$K$2:$K$7,$L$2:$L$7,,,"Actual360","LogLinear",TRUE)</f>
        <v>QSObject:ContextInput:w1~input.qs_context_add_curve.2359132437744.1550.3.0:38576</v>
      </c>
      <c r="E1551" s="6" t="str">
        <f>_xll.QS.INSTRUMENT.SWAP("swap.1549",H1551,B1551,"USD","SOFR",I1551,J1551,0,"Actual360","Simple","Annual","Annual","Annual")</f>
        <v>QSObject:Swap:w1~swap.1549:19080</v>
      </c>
      <c r="F1551" s="6" t="str">
        <f>_xll.QS.TRADE.CREATE("trade.1549",E1551,A1551,"Receive")</f>
        <v>QSObject:SwapTrade:w1~trade.1549:29556</v>
      </c>
      <c r="G1551" s="3">
        <f>_xll.QS.EVALUATE(C1551,F1551)</f>
        <v>42068.07708606177</v>
      </c>
      <c r="H1551" s="5" t="s">
        <v>3142</v>
      </c>
      <c r="I1551" s="7">
        <v>1154900</v>
      </c>
      <c r="J1551" s="8">
        <v>3.9899999999999998E-2</v>
      </c>
    </row>
    <row r="1552" spans="1:10" x14ac:dyDescent="0.25">
      <c r="A1552" s="5" t="s">
        <v>3130</v>
      </c>
      <c r="B1552" s="5" t="s">
        <v>3143</v>
      </c>
      <c r="C1552" s="6" t="str">
        <f>_xll.QS.CONTEXT.CREATE("market.1550",A1552,"USD","SOFR")</f>
        <v>QSObject:PricingContext:w1~market.1550:19079</v>
      </c>
      <c r="D1552" s="6" t="str">
        <f>_xll.QS.CONTEXT.ADD.CURVE(C1552,"SOFR",$K$2:$K$7,$L$2:$L$7,,,"Actual360","LogLinear",TRUE)</f>
        <v>QSObject:ContextInput:w1~input.qs_context_add_curve.2359132437744.1551.3.0:38575</v>
      </c>
      <c r="E1552" s="6" t="str">
        <f>_xll.QS.INSTRUMENT.SWAP("swap.1550",H1552,B1552,"USD","SOFR",I1552,J1552,0,"Actual360","Simple","Annual","Annual","Annual")</f>
        <v>QSObject:Swap:w1~swap.1550:19078</v>
      </c>
      <c r="F1552" s="6" t="str">
        <f>_xll.QS.TRADE.CREATE("trade.1550",E1552,A1552,"Receive")</f>
        <v>QSObject:SwapTrade:w1~trade.1550:30343</v>
      </c>
      <c r="G1552" s="3">
        <f>_xll.QS.EVALUATE(C1552,F1552)</f>
        <v>15973.010677163307</v>
      </c>
      <c r="H1552" s="5" t="s">
        <v>3144</v>
      </c>
      <c r="I1552" s="7">
        <v>1155000</v>
      </c>
      <c r="J1552" s="8">
        <v>3.5000000000000003E-2</v>
      </c>
    </row>
    <row r="1553" spans="1:10" x14ac:dyDescent="0.25">
      <c r="A1553" s="5" t="s">
        <v>3132</v>
      </c>
      <c r="B1553" s="5" t="s">
        <v>3145</v>
      </c>
      <c r="C1553" s="6" t="str">
        <f>_xll.QS.CONTEXT.CREATE("market.1551",A1553,"USD","SOFR")</f>
        <v>QSObject:PricingContext:w1~market.1551:19077</v>
      </c>
      <c r="D1553" s="6" t="str">
        <f>_xll.QS.CONTEXT.ADD.CURVE(C1553,"SOFR",$K$2:$K$7,$L$2:$L$7,,,"Actual360","LogLinear",TRUE)</f>
        <v>QSObject:ContextInput:w1~input.qs_context_add_curve.2359132437744.1552.3.0:38574</v>
      </c>
      <c r="E1553" s="6" t="str">
        <f>_xll.QS.INSTRUMENT.SWAP("swap.1551",H1553,B1553,"USD","SOFR",I1553,J1553,0,"Actual360","Simple","Annual","Annual","Annual")</f>
        <v>QSObject:Swap:w1~swap.1551:19076</v>
      </c>
      <c r="F1553" s="6" t="str">
        <f>_xll.QS.TRADE.CREATE("trade.1551",E1553,A1553,"Receive")</f>
        <v>QSObject:SwapTrade:w1~trade.1551:29555</v>
      </c>
      <c r="G1553" s="3">
        <f>_xll.QS.EVALUATE(C1553,F1553)</f>
        <v>16461.289514958004</v>
      </c>
      <c r="H1553" s="5" t="s">
        <v>3146</v>
      </c>
      <c r="I1553" s="7">
        <v>1155100</v>
      </c>
      <c r="J1553" s="8">
        <v>3.5100000000000013E-2</v>
      </c>
    </row>
    <row r="1554" spans="1:10" x14ac:dyDescent="0.25">
      <c r="A1554" s="5" t="s">
        <v>3134</v>
      </c>
      <c r="B1554" s="5" t="s">
        <v>3147</v>
      </c>
      <c r="C1554" s="6" t="str">
        <f>_xll.QS.CONTEXT.CREATE("market.1552",A1554,"USD","SOFR")</f>
        <v>QSObject:PricingContext:w1~market.1552:19075</v>
      </c>
      <c r="D1554" s="6" t="str">
        <f>_xll.QS.CONTEXT.ADD.CURVE(C1554,"SOFR",$K$2:$K$7,$L$2:$L$7,,,"Actual360","LogLinear",TRUE)</f>
        <v>QSObject:ContextInput:w1~input.qs_context_add_curve.2359132437744.1553.3.0:38573</v>
      </c>
      <c r="E1554" s="6" t="str">
        <f>_xll.QS.INSTRUMENT.SWAP("swap.1552",H1554,B1554,"USD","SOFR",I1554,J1554,0,"Actual360","Simple","Annual","Annual","Annual")</f>
        <v>QSObject:Swap:w1~swap.1552:19074</v>
      </c>
      <c r="F1554" s="6" t="str">
        <f>_xll.QS.TRADE.CREATE("trade.1552",E1554,A1554,"Receive")</f>
        <v>QSObject:SwapTrade:w1~trade.1552:29554</v>
      </c>
      <c r="G1554" s="3">
        <f>_xll.QS.EVALUATE(C1554,F1554)</f>
        <v>16926.565611131558</v>
      </c>
      <c r="H1554" s="5" t="s">
        <v>3148</v>
      </c>
      <c r="I1554" s="7">
        <v>1155200</v>
      </c>
      <c r="J1554" s="8">
        <v>3.5200000000000002E-2</v>
      </c>
    </row>
    <row r="1555" spans="1:10" x14ac:dyDescent="0.25">
      <c r="A1555" s="5" t="s">
        <v>3136</v>
      </c>
      <c r="B1555" s="5" t="s">
        <v>3149</v>
      </c>
      <c r="C1555" s="6" t="str">
        <f>_xll.QS.CONTEXT.CREATE("market.1553",A1555,"USD","SOFR")</f>
        <v>QSObject:PricingContext:w1~market.1553:19073</v>
      </c>
      <c r="D1555" s="6" t="str">
        <f>_xll.QS.CONTEXT.ADD.CURVE(C1555,"SOFR",$K$2:$K$7,$L$2:$L$7,,,"Actual360","LogLinear",TRUE)</f>
        <v>QSObject:ContextInput:w1~input.qs_context_add_curve.2359132437744.1554.3.0:38572</v>
      </c>
      <c r="E1555" s="6" t="str">
        <f>_xll.QS.INSTRUMENT.SWAP("swap.1553",H1555,B1555,"USD","SOFR",I1555,J1555,0,"Actual360","Simple","Annual","Annual","Annual")</f>
        <v>QSObject:Swap:w1~swap.1553:19072</v>
      </c>
      <c r="F1555" s="6" t="str">
        <f>_xll.QS.TRADE.CREATE("trade.1553",E1555,A1555,"Receive")</f>
        <v>QSObject:SwapTrade:w1~trade.1553:30342</v>
      </c>
      <c r="G1555" s="3">
        <f>_xll.QS.EVALUATE(C1555,F1555)</f>
        <v>17355.85698169213</v>
      </c>
      <c r="H1555" s="5" t="s">
        <v>3150</v>
      </c>
      <c r="I1555" s="7">
        <v>1155300</v>
      </c>
      <c r="J1555" s="8">
        <v>3.5299999999999998E-2</v>
      </c>
    </row>
    <row r="1556" spans="1:10" x14ac:dyDescent="0.25">
      <c r="A1556" s="5" t="s">
        <v>3138</v>
      </c>
      <c r="B1556" s="5" t="s">
        <v>3151</v>
      </c>
      <c r="C1556" s="6" t="str">
        <f>_xll.QS.CONTEXT.CREATE("market.1554",A1556,"USD","SOFR")</f>
        <v>QSObject:PricingContext:w1~market.1554:19071</v>
      </c>
      <c r="D1556" s="6" t="str">
        <f>_xll.QS.CONTEXT.ADD.CURVE(C1556,"SOFR",$K$2:$K$7,$L$2:$L$7,,,"Actual360","LogLinear",TRUE)</f>
        <v>QSObject:ContextInput:w1~input.qs_context_add_curve.2359132437744.1555.3.0:38571</v>
      </c>
      <c r="E1556" s="6" t="str">
        <f>_xll.QS.INSTRUMENT.SWAP("swap.1554",H1556,B1556,"USD","SOFR",I1556,J1556,0,"Actual360","Simple","Annual","Annual","Annual")</f>
        <v>QSObject:Swap:w1~swap.1554:19070</v>
      </c>
      <c r="F1556" s="6" t="str">
        <f>_xll.QS.TRADE.CREATE("trade.1554",E1556,A1556,"Receive")</f>
        <v>QSObject:SwapTrade:w1~trade.1554:30225</v>
      </c>
      <c r="G1556" s="3">
        <f>_xll.QS.EVALUATE(C1556,F1556)</f>
        <v>17937.912048124486</v>
      </c>
      <c r="H1556" s="5" t="s">
        <v>3152</v>
      </c>
      <c r="I1556" s="7">
        <v>1155400</v>
      </c>
      <c r="J1556" s="8">
        <v>3.5400000000000001E-2</v>
      </c>
    </row>
    <row r="1557" spans="1:10" x14ac:dyDescent="0.25">
      <c r="A1557" s="5" t="s">
        <v>3140</v>
      </c>
      <c r="B1557" s="5" t="s">
        <v>3153</v>
      </c>
      <c r="C1557" s="6" t="str">
        <f>_xll.QS.CONTEXT.CREATE("market.1555",A1557,"USD","SOFR")</f>
        <v>QSObject:PricingContext:w1~market.1555:19069</v>
      </c>
      <c r="D1557" s="6" t="str">
        <f>_xll.QS.CONTEXT.ADD.CURVE(C1557,"SOFR",$K$2:$K$7,$L$2:$L$7,,,"Actual360","LogLinear",TRUE)</f>
        <v>QSObject:ContextInput:w1~input.qs_context_add_curve.2359132437744.1556.3.0:38570</v>
      </c>
      <c r="E1557" s="6" t="str">
        <f>_xll.QS.INSTRUMENT.SWAP("swap.1555",H1557,B1557,"USD","SOFR",I1557,J1557,0,"Actual360","Simple","Annual","Annual","Annual")</f>
        <v>QSObject:Swap:w1~swap.1555:19068</v>
      </c>
      <c r="F1557" s="6" t="str">
        <f>_xll.QS.TRADE.CREATE("trade.1555",E1557,A1557,"Receive")</f>
        <v>QSObject:SwapTrade:w1~trade.1555:30341</v>
      </c>
      <c r="G1557" s="3">
        <f>_xll.QS.EVALUATE(C1557,F1557)</f>
        <v>18506.968315732753</v>
      </c>
      <c r="H1557" s="5" t="s">
        <v>3154</v>
      </c>
      <c r="I1557" s="7">
        <v>1155500</v>
      </c>
      <c r="J1557" s="8">
        <v>3.5499999999999997E-2</v>
      </c>
    </row>
    <row r="1558" spans="1:10" x14ac:dyDescent="0.25">
      <c r="A1558" s="5" t="s">
        <v>3142</v>
      </c>
      <c r="B1558" s="5" t="s">
        <v>3155</v>
      </c>
      <c r="C1558" s="6" t="str">
        <f>_xll.QS.CONTEXT.CREATE("market.1556",A1558,"USD","SOFR")</f>
        <v>QSObject:PricingContext:w1~market.1556:19067</v>
      </c>
      <c r="D1558" s="6" t="str">
        <f>_xll.QS.CONTEXT.ADD.CURVE(C1558,"SOFR",$K$2:$K$7,$L$2:$L$7,,,"Actual360","LogLinear",TRUE)</f>
        <v>QSObject:ContextInput:w1~input.qs_context_add_curve.2359132437744.1557.3.0:38569</v>
      </c>
      <c r="E1558" s="6" t="str">
        <f>_xll.QS.INSTRUMENT.SWAP("swap.1556",H1558,B1558,"USD","SOFR",I1558,J1558,0,"Actual360","Simple","Annual","Annual","Annual")</f>
        <v>QSObject:Swap:w1~swap.1556:19066</v>
      </c>
      <c r="F1558" s="6" t="str">
        <f>_xll.QS.TRADE.CREATE("trade.1556",E1558,A1558,"Receive")</f>
        <v>QSObject:SwapTrade:w1~trade.1556:29553</v>
      </c>
      <c r="G1558" s="3">
        <f>_xll.QS.EVALUATE(C1558,F1558)</f>
        <v>19125.768290812895</v>
      </c>
      <c r="H1558" s="5" t="s">
        <v>3156</v>
      </c>
      <c r="I1558" s="7">
        <v>1155600</v>
      </c>
      <c r="J1558" s="8">
        <v>3.5600000000000007E-2</v>
      </c>
    </row>
    <row r="1559" spans="1:10" x14ac:dyDescent="0.25">
      <c r="A1559" s="5" t="s">
        <v>3144</v>
      </c>
      <c r="B1559" s="5" t="s">
        <v>3157</v>
      </c>
      <c r="C1559" s="6" t="str">
        <f>_xll.QS.CONTEXT.CREATE("market.1557",A1559,"USD","SOFR")</f>
        <v>QSObject:PricingContext:w1~market.1557:19065</v>
      </c>
      <c r="D1559" s="6" t="str">
        <f>_xll.QS.CONTEXT.ADD.CURVE(C1559,"SOFR",$K$2:$K$7,$L$2:$L$7,,,"Actual360","LogLinear",TRUE)</f>
        <v>QSObject:ContextInput:w1~input.qs_context_add_curve.2359132437744.1558.3.0:38568</v>
      </c>
      <c r="E1559" s="6" t="str">
        <f>_xll.QS.INSTRUMENT.SWAP("swap.1557",H1559,B1559,"USD","SOFR",I1559,J1559,0,"Actual360","Simple","Annual","Annual","Annual")</f>
        <v>QSObject:Swap:w1~swap.1557:19064</v>
      </c>
      <c r="F1559" s="6" t="str">
        <f>_xll.QS.TRADE.CREATE("trade.1557",E1559,A1559,"Receive")</f>
        <v>QSObject:SwapTrade:w1~trade.1557:30340</v>
      </c>
      <c r="G1559" s="3">
        <f>_xll.QS.EVALUATE(C1559,F1559)</f>
        <v>19710.325337472455</v>
      </c>
      <c r="H1559" s="5" t="s">
        <v>3158</v>
      </c>
      <c r="I1559" s="7">
        <v>1155700</v>
      </c>
      <c r="J1559" s="8">
        <v>3.5700000000000003E-2</v>
      </c>
    </row>
    <row r="1560" spans="1:10" x14ac:dyDescent="0.25">
      <c r="A1560" s="5" t="s">
        <v>3146</v>
      </c>
      <c r="B1560" s="5" t="s">
        <v>3159</v>
      </c>
      <c r="C1560" s="6" t="str">
        <f>_xll.QS.CONTEXT.CREATE("market.1558",A1560,"USD","SOFR")</f>
        <v>QSObject:PricingContext:w1~market.1558:19063</v>
      </c>
      <c r="D1560" s="6" t="str">
        <f>_xll.QS.CONTEXT.ADD.CURVE(C1560,"SOFR",$K$2:$K$7,$L$2:$L$7,,,"Actual360","LogLinear",TRUE)</f>
        <v>QSObject:ContextInput:w1~input.qs_context_add_curve.2359132437744.1559.3.0:38567</v>
      </c>
      <c r="E1560" s="6" t="str">
        <f>_xll.QS.INSTRUMENT.SWAP("swap.1558",H1560,B1560,"USD","SOFR",I1560,J1560,0,"Actual360","Simple","Annual","Annual","Annual")</f>
        <v>QSObject:Swap:w1~swap.1558:19062</v>
      </c>
      <c r="F1560" s="6" t="str">
        <f>_xll.QS.TRADE.CREATE("trade.1558",E1560,A1560,"Receive")</f>
        <v>QSObject:SwapTrade:w1~trade.1558:30224</v>
      </c>
      <c r="G1560" s="3">
        <f>_xll.QS.EVALUATE(C1560,F1560)</f>
        <v>20202.370551863041</v>
      </c>
      <c r="H1560" s="5" t="s">
        <v>3160</v>
      </c>
      <c r="I1560" s="7">
        <v>1155800</v>
      </c>
      <c r="J1560" s="8">
        <v>3.5800000000000012E-2</v>
      </c>
    </row>
    <row r="1561" spans="1:10" x14ac:dyDescent="0.25">
      <c r="A1561" s="5" t="s">
        <v>3148</v>
      </c>
      <c r="B1561" s="5" t="s">
        <v>3161</v>
      </c>
      <c r="C1561" s="6" t="str">
        <f>_xll.QS.CONTEXT.CREATE("market.1559",A1561,"USD","SOFR")</f>
        <v>QSObject:PricingContext:w1~market.1559:19061</v>
      </c>
      <c r="D1561" s="6" t="str">
        <f>_xll.QS.CONTEXT.ADD.CURVE(C1561,"SOFR",$K$2:$K$7,$L$2:$L$7,,,"Actual360","LogLinear",TRUE)</f>
        <v>QSObject:ContextInput:w1~input.qs_context_add_curve.2359132437744.1560.3.0:38566</v>
      </c>
      <c r="E1561" s="6" t="str">
        <f>_xll.QS.INSTRUMENT.SWAP("swap.1559",H1561,B1561,"USD","SOFR",I1561,J1561,0,"Actual360","Simple","Annual","Annual","Annual")</f>
        <v>QSObject:Swap:w1~swap.1559:19060</v>
      </c>
      <c r="F1561" s="6" t="str">
        <f>_xll.QS.TRADE.CREATE("trade.1559",E1561,A1561,"Receive")</f>
        <v>QSObject:SwapTrade:w1~trade.1559:30339</v>
      </c>
      <c r="G1561" s="3">
        <f>_xll.QS.EVALUATE(C1561,F1561)</f>
        <v>20663.845293138213</v>
      </c>
      <c r="H1561" s="5" t="s">
        <v>3162</v>
      </c>
      <c r="I1561" s="7">
        <v>1155900</v>
      </c>
      <c r="J1561" s="8">
        <v>3.5900000000000001E-2</v>
      </c>
    </row>
    <row r="1562" spans="1:10" x14ac:dyDescent="0.25">
      <c r="A1562" s="5" t="s">
        <v>3150</v>
      </c>
      <c r="B1562" s="5" t="s">
        <v>3163</v>
      </c>
      <c r="C1562" s="6" t="str">
        <f>_xll.QS.CONTEXT.CREATE("market.1560",A1562,"USD","SOFR")</f>
        <v>QSObject:PricingContext:w1~market.1560:19059</v>
      </c>
      <c r="D1562" s="6" t="str">
        <f>_xll.QS.CONTEXT.ADD.CURVE(C1562,"SOFR",$K$2:$K$7,$L$2:$L$7,,,"Actual360","LogLinear",TRUE)</f>
        <v>QSObject:ContextInput:w1~input.qs_context_add_curve.2359132437744.1561.3.0:38565</v>
      </c>
      <c r="E1562" s="6" t="str">
        <f>_xll.QS.INSTRUMENT.SWAP("swap.1560",H1562,B1562,"USD","SOFR",I1562,J1562,0,"Actual360","Simple","Annual","Annual","Annual")</f>
        <v>QSObject:Swap:w1~swap.1560:19058</v>
      </c>
      <c r="F1562" s="6" t="str">
        <f>_xll.QS.TRADE.CREATE("trade.1560",E1562,A1562,"Receive")</f>
        <v>QSObject:SwapTrade:w1~trade.1560:29552</v>
      </c>
      <c r="G1562" s="3">
        <f>_xll.QS.EVALUATE(C1562,F1562)</f>
        <v>21099.73175642543</v>
      </c>
      <c r="H1562" s="5" t="s">
        <v>3164</v>
      </c>
      <c r="I1562" s="7">
        <v>1156000</v>
      </c>
      <c r="J1562" s="8">
        <v>3.5999999999999997E-2</v>
      </c>
    </row>
    <row r="1563" spans="1:10" x14ac:dyDescent="0.25">
      <c r="A1563" s="5" t="s">
        <v>3152</v>
      </c>
      <c r="B1563" s="5" t="s">
        <v>3165</v>
      </c>
      <c r="C1563" s="6" t="str">
        <f>_xll.QS.CONTEXT.CREATE("market.1561",A1563,"USD","SOFR")</f>
        <v>QSObject:PricingContext:w1~market.1561:19057</v>
      </c>
      <c r="D1563" s="6" t="str">
        <f>_xll.QS.CONTEXT.ADD.CURVE(C1563,"SOFR",$K$2:$K$7,$L$2:$L$7,,,"Actual360","LogLinear",TRUE)</f>
        <v>QSObject:ContextInput:w1~input.qs_context_add_curve.2359132437744.1562.3.0:38564</v>
      </c>
      <c r="E1563" s="6" t="str">
        <f>_xll.QS.INSTRUMENT.SWAP("swap.1561",H1563,B1563,"USD","SOFR",I1563,J1563,0,"Actual360","Simple","Annual","Annual","Annual")</f>
        <v>QSObject:Swap:w1~swap.1561:19056</v>
      </c>
      <c r="F1563" s="6" t="str">
        <f>_xll.QS.TRADE.CREATE("trade.1561",E1563,A1563,"Receive")</f>
        <v>QSObject:SwapTrade:w1~trade.1561:30223</v>
      </c>
      <c r="G1563" s="3">
        <f>_xll.QS.EVALUATE(C1563,F1563)</f>
        <v>21682.736343261706</v>
      </c>
      <c r="H1563" s="5" t="s">
        <v>3166</v>
      </c>
      <c r="I1563" s="7">
        <v>1156100</v>
      </c>
      <c r="J1563" s="8">
        <v>3.61E-2</v>
      </c>
    </row>
    <row r="1564" spans="1:10" x14ac:dyDescent="0.25">
      <c r="A1564" s="5" t="s">
        <v>3154</v>
      </c>
      <c r="B1564" s="5" t="s">
        <v>3167</v>
      </c>
      <c r="C1564" s="6" t="str">
        <f>_xll.QS.CONTEXT.CREATE("market.1562",A1564,"USD","SOFR")</f>
        <v>QSObject:PricingContext:w1~market.1562:19055</v>
      </c>
      <c r="D1564" s="6" t="str">
        <f>_xll.QS.CONTEXT.ADD.CURVE(C1564,"SOFR",$K$2:$K$7,$L$2:$L$7,,,"Actual360","LogLinear",TRUE)</f>
        <v>QSObject:ContextInput:w1~input.qs_context_add_curve.2359132437744.1563.3.0:38563</v>
      </c>
      <c r="E1564" s="6" t="str">
        <f>_xll.QS.INSTRUMENT.SWAP("swap.1562",H1564,B1564,"USD","SOFR",I1564,J1564,0,"Actual360","Simple","Annual","Annual","Annual")</f>
        <v>QSObject:Swap:w1~swap.1562:19054</v>
      </c>
      <c r="F1564" s="6" t="str">
        <f>_xll.QS.TRADE.CREATE("trade.1562",E1564,A1564,"Receive")</f>
        <v>QSObject:SwapTrade:w1~trade.1562:30338</v>
      </c>
      <c r="G1564" s="3">
        <f>_xll.QS.EVALUATE(C1564,F1564)</f>
        <v>22249.869236711162</v>
      </c>
      <c r="H1564" s="5" t="s">
        <v>3168</v>
      </c>
      <c r="I1564" s="7">
        <v>1156200</v>
      </c>
      <c r="J1564" s="8">
        <v>3.6200000000000003E-2</v>
      </c>
    </row>
    <row r="1565" spans="1:10" x14ac:dyDescent="0.25">
      <c r="A1565" s="5" t="s">
        <v>3156</v>
      </c>
      <c r="B1565" s="5" t="s">
        <v>3169</v>
      </c>
      <c r="C1565" s="6" t="str">
        <f>_xll.QS.CONTEXT.CREATE("market.1563",A1565,"USD","SOFR")</f>
        <v>QSObject:PricingContext:w1~market.1563:19053</v>
      </c>
      <c r="D1565" s="6" t="str">
        <f>_xll.QS.CONTEXT.ADD.CURVE(C1565,"SOFR",$K$2:$K$7,$L$2:$L$7,,,"Actual360","LogLinear",TRUE)</f>
        <v>QSObject:ContextInput:w1~input.qs_context_add_curve.2359132437744.1564.3.0:38562</v>
      </c>
      <c r="E1565" s="6" t="str">
        <f>_xll.QS.INSTRUMENT.SWAP("swap.1563",H1565,B1565,"USD","SOFR",I1565,J1565,0,"Actual360","Simple","Annual","Annual","Annual")</f>
        <v>QSObject:Swap:w1~swap.1563:19052</v>
      </c>
      <c r="F1565" s="6" t="str">
        <f>_xll.QS.TRADE.CREATE("trade.1563",E1565,A1565,"Receive")</f>
        <v>QSObject:SwapTrade:w1~trade.1563:29551</v>
      </c>
      <c r="G1565" s="3">
        <f>_xll.QS.EVALUATE(C1565,F1565)</f>
        <v>22869.853066136231</v>
      </c>
      <c r="H1565" s="5" t="s">
        <v>3170</v>
      </c>
      <c r="I1565" s="7">
        <v>1156300</v>
      </c>
      <c r="J1565" s="8">
        <v>3.6300000000000013E-2</v>
      </c>
    </row>
    <row r="1566" spans="1:10" x14ac:dyDescent="0.25">
      <c r="A1566" s="5" t="s">
        <v>3158</v>
      </c>
      <c r="B1566" s="5" t="s">
        <v>3171</v>
      </c>
      <c r="C1566" s="6" t="str">
        <f>_xll.QS.CONTEXT.CREATE("market.1564",A1566,"USD","SOFR")</f>
        <v>QSObject:PricingContext:w1~market.1564:19051</v>
      </c>
      <c r="D1566" s="6" t="str">
        <f>_xll.QS.CONTEXT.ADD.CURVE(C1566,"SOFR",$K$2:$K$7,$L$2:$L$7,,,"Actual360","LogLinear",TRUE)</f>
        <v>QSObject:ContextInput:w1~input.qs_context_add_curve.2359132437744.1565.3.0:38561</v>
      </c>
      <c r="E1566" s="6" t="str">
        <f>_xll.QS.INSTRUMENT.SWAP("swap.1564",H1566,B1566,"USD","SOFR",I1566,J1566,0,"Actual360","Simple","Annual","Annual","Annual")</f>
        <v>QSObject:Swap:w1~swap.1564:19050</v>
      </c>
      <c r="F1566" s="6" t="str">
        <f>_xll.QS.TRADE.CREATE("trade.1564",E1566,A1566,"Receive")</f>
        <v>QSObject:SwapTrade:w1~trade.1564:30222</v>
      </c>
      <c r="G1566" s="3">
        <f>_xll.QS.EVALUATE(C1566,F1566)</f>
        <v>23455.336605767381</v>
      </c>
      <c r="H1566" s="5" t="s">
        <v>3172</v>
      </c>
      <c r="I1566" s="7">
        <v>1156400</v>
      </c>
      <c r="J1566" s="8">
        <v>3.6400000000000002E-2</v>
      </c>
    </row>
    <row r="1567" spans="1:10" x14ac:dyDescent="0.25">
      <c r="A1567" s="5" t="s">
        <v>3160</v>
      </c>
      <c r="B1567" s="5" t="s">
        <v>3173</v>
      </c>
      <c r="C1567" s="6" t="str">
        <f>_xll.QS.CONTEXT.CREATE("market.1565",A1567,"USD","SOFR")</f>
        <v>QSObject:PricingContext:w1~market.1565:19049</v>
      </c>
      <c r="D1567" s="6" t="str">
        <f>_xll.QS.CONTEXT.ADD.CURVE(C1567,"SOFR",$K$2:$K$7,$L$2:$L$7,,,"Actual360","LogLinear",TRUE)</f>
        <v>QSObject:ContextInput:w1~input.qs_context_add_curve.2359132437744.1566.3.0:38560</v>
      </c>
      <c r="E1567" s="6" t="str">
        <f>_xll.QS.INSTRUMENT.SWAP("swap.1565",H1567,B1567,"USD","SOFR",I1567,J1567,0,"Actual360","Simple","Annual","Annual","Annual")</f>
        <v>QSObject:Swap:w1~swap.1565:19048</v>
      </c>
      <c r="F1567" s="6" t="str">
        <f>_xll.QS.TRADE.CREATE("trade.1565",E1567,A1567,"Receive")</f>
        <v>QSObject:SwapTrade:w1~trade.1565:30337</v>
      </c>
      <c r="G1567" s="3">
        <f>_xll.QS.EVALUATE(C1567,F1567)</f>
        <v>23946.798544514273</v>
      </c>
      <c r="H1567" s="5" t="s">
        <v>3174</v>
      </c>
      <c r="I1567" s="7">
        <v>1156500</v>
      </c>
      <c r="J1567" s="8">
        <v>3.6499999999999998E-2</v>
      </c>
    </row>
    <row r="1568" spans="1:10" x14ac:dyDescent="0.25">
      <c r="A1568" s="5" t="s">
        <v>3162</v>
      </c>
      <c r="B1568" s="5" t="s">
        <v>3175</v>
      </c>
      <c r="C1568" s="6" t="str">
        <f>_xll.QS.CONTEXT.CREATE("market.1566",A1568,"USD","SOFR")</f>
        <v>QSObject:PricingContext:w1~market.1566:19047</v>
      </c>
      <c r="D1568" s="6" t="str">
        <f>_xll.QS.CONTEXT.ADD.CURVE(C1568,"SOFR",$K$2:$K$7,$L$2:$L$7,,,"Actual360","LogLinear",TRUE)</f>
        <v>QSObject:ContextInput:w1~input.qs_context_add_curve.2359132437744.1567.3.0:38559</v>
      </c>
      <c r="E1568" s="6" t="str">
        <f>_xll.QS.INSTRUMENT.SWAP("swap.1566",H1568,B1568,"USD","SOFR",I1568,J1568,0,"Actual360","Simple","Annual","Annual","Annual")</f>
        <v>QSObject:Swap:w1~swap.1566:19046</v>
      </c>
      <c r="F1568" s="6" t="str">
        <f>_xll.QS.TRADE.CREATE("trade.1566",E1568,A1568,"Receive")</f>
        <v>QSObject:SwapTrade:w1~trade.1566:29550</v>
      </c>
      <c r="G1568" s="3">
        <f>_xll.QS.EVALUATE(C1568,F1568)</f>
        <v>24404.477224751976</v>
      </c>
      <c r="H1568" s="5" t="s">
        <v>3176</v>
      </c>
      <c r="I1568" s="7">
        <v>1156600</v>
      </c>
      <c r="J1568" s="8">
        <v>3.6600000000000001E-2</v>
      </c>
    </row>
    <row r="1569" spans="1:10" x14ac:dyDescent="0.25">
      <c r="A1569" s="5" t="s">
        <v>3164</v>
      </c>
      <c r="B1569" s="5" t="s">
        <v>3177</v>
      </c>
      <c r="C1569" s="6" t="str">
        <f>_xll.QS.CONTEXT.CREATE("market.1567",A1569,"USD","SOFR")</f>
        <v>QSObject:PricingContext:w1~market.1567:19045</v>
      </c>
      <c r="D1569" s="6" t="str">
        <f>_xll.QS.CONTEXT.ADD.CURVE(C1569,"SOFR",$K$2:$K$7,$L$2:$L$7,,,"Actual360","LogLinear",TRUE)</f>
        <v>QSObject:ContextInput:w1~input.qs_context_add_curve.2359132437744.1568.3.0:38558</v>
      </c>
      <c r="E1569" s="6" t="str">
        <f>_xll.QS.INSTRUMENT.SWAP("swap.1567",H1569,B1569,"USD","SOFR",I1569,J1569,0,"Actual360","Simple","Annual","Annual","Annual")</f>
        <v>QSObject:Swap:w1~swap.1567:19044</v>
      </c>
      <c r="F1569" s="6" t="str">
        <f>_xll.QS.TRADE.CREATE("trade.1567",E1569,A1569,"Receive")</f>
        <v>QSObject:SwapTrade:w1~trade.1567:30336</v>
      </c>
      <c r="G1569" s="3">
        <f>_xll.QS.EVALUATE(C1569,F1569)</f>
        <v>24846.727326472723</v>
      </c>
      <c r="H1569" s="5" t="s">
        <v>3178</v>
      </c>
      <c r="I1569" s="7">
        <v>1156700</v>
      </c>
      <c r="J1569" s="8">
        <v>3.6700000000000003E-2</v>
      </c>
    </row>
    <row r="1570" spans="1:10" x14ac:dyDescent="0.25">
      <c r="A1570" s="5" t="s">
        <v>3166</v>
      </c>
      <c r="B1570" s="5" t="s">
        <v>3179</v>
      </c>
      <c r="C1570" s="6" t="str">
        <f>_xll.QS.CONTEXT.CREATE("market.1568",A1570,"USD","SOFR")</f>
        <v>QSObject:PricingContext:w1~market.1568:19043</v>
      </c>
      <c r="D1570" s="6" t="str">
        <f>_xll.QS.CONTEXT.ADD.CURVE(C1570,"SOFR",$K$2:$K$7,$L$2:$L$7,,,"Actual360","LogLinear",TRUE)</f>
        <v>QSObject:ContextInput:w1~input.qs_context_add_curve.2359132437744.1569.3.0:38557</v>
      </c>
      <c r="E1570" s="6" t="str">
        <f>_xll.QS.INSTRUMENT.SWAP("swap.1568",H1570,B1570,"USD","SOFR",I1570,J1570,0,"Actual360","Simple","Annual","Annual","Annual")</f>
        <v>QSObject:Swap:w1~swap.1568:19042</v>
      </c>
      <c r="F1570" s="6" t="str">
        <f>_xll.QS.TRADE.CREATE("trade.1568",E1570,A1570,"Receive")</f>
        <v>QSObject:SwapTrade:w1~trade.1568:30221</v>
      </c>
      <c r="G1570" s="3">
        <f>_xll.QS.EVALUATE(C1570,F1570)</f>
        <v>25431.420046411564</v>
      </c>
      <c r="H1570" s="5" t="s">
        <v>3180</v>
      </c>
      <c r="I1570" s="7">
        <v>1156800</v>
      </c>
      <c r="J1570" s="8">
        <v>3.6800000000000013E-2</v>
      </c>
    </row>
    <row r="1571" spans="1:10" x14ac:dyDescent="0.25">
      <c r="A1571" s="5" t="s">
        <v>3168</v>
      </c>
      <c r="B1571" s="5" t="s">
        <v>3181</v>
      </c>
      <c r="C1571" s="6" t="str">
        <f>_xll.QS.CONTEXT.CREATE("market.1569",A1571,"USD","SOFR")</f>
        <v>QSObject:PricingContext:w1~market.1569:19041</v>
      </c>
      <c r="D1571" s="6" t="str">
        <f>_xll.QS.CONTEXT.ADD.CURVE(C1571,"SOFR",$K$2:$K$7,$L$2:$L$7,,,"Actual360","LogLinear",TRUE)</f>
        <v>QSObject:ContextInput:w1~input.qs_context_add_curve.2359132437744.1570.3.0:38556</v>
      </c>
      <c r="E1571" s="6" t="str">
        <f>_xll.QS.INSTRUMENT.SWAP("swap.1569",H1571,B1571,"USD","SOFR",I1571,J1571,0,"Actual360","Simple","Annual","Annual","Annual")</f>
        <v>QSObject:Swap:w1~swap.1569:19040</v>
      </c>
      <c r="F1571" s="6" t="str">
        <f>_xll.QS.TRADE.CREATE("trade.1569",E1571,A1571,"Receive")</f>
        <v>QSObject:SwapTrade:w1~trade.1569:30335</v>
      </c>
      <c r="G1571" s="3">
        <f>_xll.QS.EVALUATE(C1571,F1571)</f>
        <v>25998.163879103577</v>
      </c>
      <c r="H1571" s="5" t="s">
        <v>3182</v>
      </c>
      <c r="I1571" s="7">
        <v>1156900</v>
      </c>
      <c r="J1571" s="8">
        <v>3.6900000000000002E-2</v>
      </c>
    </row>
    <row r="1572" spans="1:10" x14ac:dyDescent="0.25">
      <c r="A1572" s="5" t="s">
        <v>3170</v>
      </c>
      <c r="B1572" s="5" t="s">
        <v>3183</v>
      </c>
      <c r="C1572" s="6" t="str">
        <f>_xll.QS.CONTEXT.CREATE("market.1570",A1572,"USD","SOFR")</f>
        <v>QSObject:PricingContext:w1~market.1570:19039</v>
      </c>
      <c r="D1572" s="6" t="str">
        <f>_xll.QS.CONTEXT.ADD.CURVE(C1572,"SOFR",$K$2:$K$7,$L$2:$L$7,,,"Actual360","LogLinear",TRUE)</f>
        <v>QSObject:ContextInput:w1~input.qs_context_add_curve.2359132437744.1571.3.0:38555</v>
      </c>
      <c r="E1572" s="6" t="str">
        <f>_xll.QS.INSTRUMENT.SWAP("swap.1570",H1572,B1572,"USD","SOFR",I1572,J1572,0,"Actual360","Simple","Annual","Annual","Annual")</f>
        <v>QSObject:Swap:w1~swap.1570:19038</v>
      </c>
      <c r="F1572" s="6" t="str">
        <f>_xll.QS.TRADE.CREATE("trade.1570",E1572,A1572,"Receive")</f>
        <v>QSObject:SwapTrade:w1~trade.1570:30220</v>
      </c>
      <c r="G1572" s="3">
        <f>_xll.QS.EVALUATE(C1572,F1572)</f>
        <v>26618.458189150835</v>
      </c>
      <c r="H1572" s="5" t="s">
        <v>3184</v>
      </c>
      <c r="I1572" s="7">
        <v>1157000</v>
      </c>
      <c r="J1572" s="8">
        <v>3.7000000000000012E-2</v>
      </c>
    </row>
    <row r="1573" spans="1:10" x14ac:dyDescent="0.25">
      <c r="A1573" s="5" t="s">
        <v>3172</v>
      </c>
      <c r="B1573" s="5" t="s">
        <v>3185</v>
      </c>
      <c r="C1573" s="6" t="str">
        <f>_xll.QS.CONTEXT.CREATE("market.1571",A1573,"USD","SOFR")</f>
        <v>QSObject:PricingContext:w1~market.1571:19037</v>
      </c>
      <c r="D1573" s="6" t="str">
        <f>_xll.QS.CONTEXT.ADD.CURVE(C1573,"SOFR",$K$2:$K$7,$L$2:$L$7,,,"Actual360","LogLinear",TRUE)</f>
        <v>QSObject:ContextInput:w1~input.qs_context_add_curve.2359132437744.1572.3.0:38554</v>
      </c>
      <c r="E1573" s="6" t="str">
        <f>_xll.QS.INSTRUMENT.SWAP("swap.1571",H1573,B1573,"USD","SOFR",I1573,J1573,0,"Actual360","Simple","Annual","Annual","Annual")</f>
        <v>QSObject:Swap:w1~swap.1571:19036</v>
      </c>
      <c r="F1573" s="6" t="str">
        <f>_xll.QS.TRADE.CREATE("trade.1571",E1573,A1573,"Receive")</f>
        <v>QSObject:SwapTrade:w1~trade.1571:29549</v>
      </c>
      <c r="G1573" s="3">
        <f>_xll.QS.EVALUATE(C1573,F1573)</f>
        <v>27204.657663467144</v>
      </c>
      <c r="H1573" s="5" t="s">
        <v>3186</v>
      </c>
      <c r="I1573" s="7">
        <v>1157100</v>
      </c>
      <c r="J1573" s="8">
        <v>3.7100000000000001E-2</v>
      </c>
    </row>
    <row r="1574" spans="1:10" x14ac:dyDescent="0.25">
      <c r="A1574" s="5" t="s">
        <v>3174</v>
      </c>
      <c r="B1574" s="5" t="s">
        <v>3187</v>
      </c>
      <c r="C1574" s="6" t="str">
        <f>_xll.QS.CONTEXT.CREATE("market.1572",A1574,"USD","SOFR")</f>
        <v>QSObject:PricingContext:w1~market.1572:19035</v>
      </c>
      <c r="D1574" s="6" t="str">
        <f>_xll.QS.CONTEXT.ADD.CURVE(C1574,"SOFR",$K$2:$K$7,$L$2:$L$7,,,"Actual360","LogLinear",TRUE)</f>
        <v>QSObject:ContextInput:w1~input.qs_context_add_curve.2359132437744.1573.3.0:38553</v>
      </c>
      <c r="E1574" s="6" t="str">
        <f>_xll.QS.INSTRUMENT.SWAP("swap.1572",H1574,B1574,"USD","SOFR",I1574,J1574,0,"Actual360","Simple","Annual","Annual","Annual")</f>
        <v>QSObject:Swap:w1~swap.1572:19034</v>
      </c>
      <c r="F1574" s="6" t="str">
        <f>_xll.QS.TRADE.CREATE("trade.1572",E1574,A1574,"Receive")</f>
        <v>QSObject:SwapTrade:w1~trade.1572:30334</v>
      </c>
      <c r="G1574" s="3">
        <f>_xll.QS.EVALUATE(C1574,F1574)</f>
        <v>27696.897685943903</v>
      </c>
      <c r="H1574" s="5" t="s">
        <v>3188</v>
      </c>
      <c r="I1574" s="7">
        <v>1157200</v>
      </c>
      <c r="J1574" s="8">
        <v>3.7199999999999997E-2</v>
      </c>
    </row>
    <row r="1575" spans="1:10" x14ac:dyDescent="0.25">
      <c r="A1575" s="5" t="s">
        <v>3176</v>
      </c>
      <c r="B1575" s="5" t="s">
        <v>3189</v>
      </c>
      <c r="C1575" s="6" t="str">
        <f>_xll.QS.CONTEXT.CREATE("market.1573",A1575,"USD","SOFR")</f>
        <v>QSObject:PricingContext:w1~market.1573:19033</v>
      </c>
      <c r="D1575" s="6" t="str">
        <f>_xll.QS.CONTEXT.ADD.CURVE(C1575,"SOFR",$K$2:$K$7,$L$2:$L$7,,,"Actual360","LogLinear",TRUE)</f>
        <v>QSObject:ContextInput:w1~input.qs_context_add_curve.2359132437744.1574.3.0:38552</v>
      </c>
      <c r="E1575" s="6" t="str">
        <f>_xll.QS.INSTRUMENT.SWAP("swap.1573",H1575,B1575,"USD","SOFR",I1575,J1575,0,"Actual360","Simple","Annual","Annual","Annual")</f>
        <v>QSObject:Swap:w1~swap.1573:19032</v>
      </c>
      <c r="F1575" s="6" t="str">
        <f>_xll.QS.TRADE.CREATE("trade.1573",E1575,A1575,"Receive")</f>
        <v>QSObject:SwapTrade:w1~trade.1573:29548</v>
      </c>
      <c r="G1575" s="3">
        <f>_xll.QS.EVALUATE(C1575,F1575)</f>
        <v>28205.08802915526</v>
      </c>
      <c r="H1575" s="5" t="s">
        <v>3190</v>
      </c>
      <c r="I1575" s="7">
        <v>1157300</v>
      </c>
      <c r="J1575" s="8">
        <v>3.73E-2</v>
      </c>
    </row>
    <row r="1576" spans="1:10" x14ac:dyDescent="0.25">
      <c r="A1576" s="5" t="s">
        <v>3178</v>
      </c>
      <c r="B1576" s="5" t="s">
        <v>3191</v>
      </c>
      <c r="C1576" s="6" t="str">
        <f>_xll.QS.CONTEXT.CREATE("market.1574",A1576,"USD","SOFR")</f>
        <v>QSObject:PricingContext:w1~market.1574:19031</v>
      </c>
      <c r="D1576" s="6" t="str">
        <f>_xll.QS.CONTEXT.ADD.CURVE(C1576,"SOFR",$K$2:$K$7,$L$2:$L$7,,,"Actual360","LogLinear",TRUE)</f>
        <v>QSObject:ContextInput:w1~input.qs_context_add_curve.2359132437744.1575.3.0:38551</v>
      </c>
      <c r="E1576" s="6" t="str">
        <f>_xll.QS.INSTRUMENT.SWAP("swap.1574",H1576,B1576,"USD","SOFR",I1576,J1576,0,"Actual360","Simple","Annual","Annual","Annual")</f>
        <v>QSObject:Swap:w1~swap.1574:19030</v>
      </c>
      <c r="F1576" s="6" t="str">
        <f>_xll.QS.TRADE.CREATE("trade.1574",E1576,A1576,"Receive")</f>
        <v>QSObject:SwapTrade:w1~trade.1574:30219</v>
      </c>
      <c r="G1576" s="3">
        <f>_xll.QS.EVALUATE(C1576,F1576)</f>
        <v>28599.22418986939</v>
      </c>
      <c r="H1576" s="5" t="s">
        <v>3192</v>
      </c>
      <c r="I1576" s="7">
        <v>1157400</v>
      </c>
      <c r="J1576" s="8">
        <v>3.7400000000000003E-2</v>
      </c>
    </row>
    <row r="1577" spans="1:10" x14ac:dyDescent="0.25">
      <c r="A1577" s="5" t="s">
        <v>3180</v>
      </c>
      <c r="B1577" s="5" t="s">
        <v>3193</v>
      </c>
      <c r="C1577" s="6" t="str">
        <f>_xll.QS.CONTEXT.CREATE("market.1575",A1577,"USD","SOFR")</f>
        <v>QSObject:PricingContext:w1~market.1575:19029</v>
      </c>
      <c r="D1577" s="6" t="str">
        <f>_xll.QS.CONTEXT.ADD.CURVE(C1577,"SOFR",$K$2:$K$7,$L$2:$L$7,,,"Actual360","LogLinear",TRUE)</f>
        <v>QSObject:ContextInput:w1~input.qs_context_add_curve.2359132437744.1576.3.0:38550</v>
      </c>
      <c r="E1577" s="6" t="str">
        <f>_xll.QS.INSTRUMENT.SWAP("swap.1575",H1577,B1577,"USD","SOFR",I1577,J1577,0,"Actual360","Simple","Annual","Annual","Annual")</f>
        <v>QSObject:Swap:w1~swap.1575:19028</v>
      </c>
      <c r="F1577" s="6" t="str">
        <f>_xll.QS.TRADE.CREATE("trade.1575",E1577,A1577,"Receive")</f>
        <v>QSObject:SwapTrade:w1~trade.1575:30333</v>
      </c>
      <c r="G1577" s="3">
        <f>_xll.QS.EVALUATE(C1577,F1577)</f>
        <v>29184.960026178127</v>
      </c>
      <c r="H1577" s="5" t="s">
        <v>3194</v>
      </c>
      <c r="I1577" s="7">
        <v>1157500</v>
      </c>
      <c r="J1577" s="8">
        <v>3.7500000000000012E-2</v>
      </c>
    </row>
    <row r="1578" spans="1:10" x14ac:dyDescent="0.25">
      <c r="A1578" s="5" t="s">
        <v>3182</v>
      </c>
      <c r="B1578" s="5" t="s">
        <v>3195</v>
      </c>
      <c r="C1578" s="6" t="str">
        <f>_xll.QS.CONTEXT.CREATE("market.1576",A1578,"USD","SOFR")</f>
        <v>QSObject:PricingContext:w1~market.1576:19027</v>
      </c>
      <c r="D1578" s="6" t="str">
        <f>_xll.QS.CONTEXT.ADD.CURVE(C1578,"SOFR",$K$2:$K$7,$L$2:$L$7,,,"Actual360","LogLinear",TRUE)</f>
        <v>QSObject:ContextInput:w1~input.qs_context_add_curve.2359132437744.1577.3.0:38549</v>
      </c>
      <c r="E1578" s="6" t="str">
        <f>_xll.QS.INSTRUMENT.SWAP("swap.1576",H1578,B1578,"USD","SOFR",I1578,J1578,0,"Actual360","Simple","Annual","Annual","Annual")</f>
        <v>QSObject:Swap:w1~swap.1576:19026</v>
      </c>
      <c r="F1578" s="6" t="str">
        <f>_xll.QS.TRADE.CREATE("trade.1576",E1578,A1578,"Receive")</f>
        <v>QSObject:SwapTrade:w1~trade.1576:29547</v>
      </c>
      <c r="G1578" s="3">
        <f>_xll.QS.EVALUATE(C1578,F1578)</f>
        <v>29750.530542219403</v>
      </c>
      <c r="H1578" s="5" t="s">
        <v>3196</v>
      </c>
      <c r="I1578" s="7">
        <v>1157600</v>
      </c>
      <c r="J1578" s="8">
        <v>3.7600000000000001E-2</v>
      </c>
    </row>
    <row r="1579" spans="1:10" x14ac:dyDescent="0.25">
      <c r="A1579" s="5" t="s">
        <v>3184</v>
      </c>
      <c r="B1579" s="5" t="s">
        <v>3197</v>
      </c>
      <c r="C1579" s="6" t="str">
        <f>_xll.QS.CONTEXT.CREATE("market.1577",A1579,"USD","SOFR")</f>
        <v>QSObject:PricingContext:w1~market.1577:19025</v>
      </c>
      <c r="D1579" s="6" t="str">
        <f>_xll.QS.CONTEXT.ADD.CURVE(C1579,"SOFR",$K$2:$K$7,$L$2:$L$7,,,"Actual360","LogLinear",TRUE)</f>
        <v>QSObject:ContextInput:w1~input.qs_context_add_curve.2359132437744.1578.3.0:38548</v>
      </c>
      <c r="E1579" s="6" t="str">
        <f>_xll.QS.INSTRUMENT.SWAP("swap.1577",H1579,B1579,"USD","SOFR",I1579,J1579,0,"Actual360","Simple","Annual","Annual","Annual")</f>
        <v>QSObject:Swap:w1~swap.1577:19024</v>
      </c>
      <c r="F1579" s="6" t="str">
        <f>_xll.QS.TRADE.CREATE("trade.1577",E1579,A1579,"Receive")</f>
        <v>QSObject:SwapTrade:w1~trade.1577:30218</v>
      </c>
      <c r="G1579" s="3">
        <f>_xll.QS.EVALUATE(C1579,F1579)</f>
        <v>30416.335178961406</v>
      </c>
      <c r="H1579" s="5" t="s">
        <v>3198</v>
      </c>
      <c r="I1579" s="7">
        <v>1157700</v>
      </c>
      <c r="J1579" s="8">
        <v>3.7699999999999997E-2</v>
      </c>
    </row>
    <row r="1580" spans="1:10" x14ac:dyDescent="0.25">
      <c r="A1580" s="5" t="s">
        <v>3186</v>
      </c>
      <c r="B1580" s="5" t="s">
        <v>3199</v>
      </c>
      <c r="C1580" s="6" t="str">
        <f>_xll.QS.CONTEXT.CREATE("market.1578",A1580,"USD","SOFR")</f>
        <v>QSObject:PricingContext:w1~market.1578:19023</v>
      </c>
      <c r="D1580" s="6" t="str">
        <f>_xll.QS.CONTEXT.ADD.CURVE(C1580,"SOFR",$K$2:$K$7,$L$2:$L$7,,,"Actual360","LogLinear",TRUE)</f>
        <v>QSObject:ContextInput:w1~input.qs_context_add_curve.2359132437744.1579.3.0:38547</v>
      </c>
      <c r="E1580" s="6" t="str">
        <f>_xll.QS.INSTRUMENT.SWAP("swap.1578",H1580,B1580,"USD","SOFR",I1580,J1580,0,"Actual360","Simple","Annual","Annual","Annual")</f>
        <v>QSObject:Swap:w1~swap.1578:19022</v>
      </c>
      <c r="F1580" s="6" t="str">
        <f>_xll.QS.TRADE.CREATE("trade.1578",E1580,A1580,"Receive")</f>
        <v>QSObject:SwapTrade:w1~trade.1578:30217</v>
      </c>
      <c r="G1580" s="3">
        <f>_xll.QS.EVALUATE(C1580,F1580)</f>
        <v>30958.497926142365</v>
      </c>
      <c r="H1580" s="5" t="s">
        <v>3200</v>
      </c>
      <c r="I1580" s="7">
        <v>1157800</v>
      </c>
      <c r="J1580" s="8">
        <v>3.78E-2</v>
      </c>
    </row>
    <row r="1581" spans="1:10" x14ac:dyDescent="0.25">
      <c r="A1581" s="5" t="s">
        <v>3188</v>
      </c>
      <c r="B1581" s="5" t="s">
        <v>3201</v>
      </c>
      <c r="C1581" s="6" t="str">
        <f>_xll.QS.CONTEXT.CREATE("market.1579",A1581,"USD","SOFR")</f>
        <v>QSObject:PricingContext:w1~market.1579:19021</v>
      </c>
      <c r="D1581" s="6" t="str">
        <f>_xll.QS.CONTEXT.ADD.CURVE(C1581,"SOFR",$K$2:$K$7,$L$2:$L$7,,,"Actual360","LogLinear",TRUE)</f>
        <v>QSObject:ContextInput:w1~input.qs_context_add_curve.2359132437744.1580.3.0:38546</v>
      </c>
      <c r="E1581" s="6" t="str">
        <f>_xll.QS.INSTRUMENT.SWAP("swap.1579",H1581,B1581,"USD","SOFR",I1581,J1581,0,"Actual360","Simple","Annual","Annual","Annual")</f>
        <v>QSObject:Swap:w1~swap.1579:19020</v>
      </c>
      <c r="F1581" s="6" t="str">
        <f>_xll.QS.TRADE.CREATE("trade.1579",E1581,A1581,"Receive")</f>
        <v>QSObject:SwapTrade:w1~trade.1579:29546</v>
      </c>
      <c r="G1581" s="3">
        <f>_xll.QS.EVALUATE(C1581,F1581)</f>
        <v>31451.139703005934</v>
      </c>
      <c r="H1581" s="5" t="s">
        <v>3202</v>
      </c>
      <c r="I1581" s="7">
        <v>1157900</v>
      </c>
      <c r="J1581" s="8">
        <v>3.7900000000000003E-2</v>
      </c>
    </row>
    <row r="1582" spans="1:10" x14ac:dyDescent="0.25">
      <c r="A1582" s="5" t="s">
        <v>3190</v>
      </c>
      <c r="B1582" s="5" t="s">
        <v>3203</v>
      </c>
      <c r="C1582" s="6" t="str">
        <f>_xll.QS.CONTEXT.CREATE("market.1580",A1582,"USD","SOFR")</f>
        <v>QSObject:PricingContext:w1~market.1580:19019</v>
      </c>
      <c r="D1582" s="6" t="str">
        <f>_xll.QS.CONTEXT.ADD.CURVE(C1582,"SOFR",$K$2:$K$7,$L$2:$L$7,,,"Actual360","LogLinear",TRUE)</f>
        <v>QSObject:ContextInput:w1~input.qs_context_add_curve.2359132437744.1581.3.0:38545</v>
      </c>
      <c r="E1582" s="6" t="str">
        <f>_xll.QS.INSTRUMENT.SWAP("swap.1580",H1582,B1582,"USD","SOFR",I1582,J1582,0,"Actual360","Simple","Annual","Annual","Annual")</f>
        <v>QSObject:Swap:w1~swap.1580:19018</v>
      </c>
      <c r="F1582" s="6" t="str">
        <f>_xll.QS.TRADE.CREATE("trade.1580",E1582,A1582,"Receive")</f>
        <v>QSObject:SwapTrade:w1~trade.1580:30332</v>
      </c>
      <c r="G1582" s="3">
        <f>_xll.QS.EVALUATE(C1582,F1582)</f>
        <v>31901.207266388657</v>
      </c>
      <c r="H1582" s="5" t="s">
        <v>3204</v>
      </c>
      <c r="I1582" s="7">
        <v>1158000</v>
      </c>
      <c r="J1582" s="8">
        <v>3.8000000000000013E-2</v>
      </c>
    </row>
    <row r="1583" spans="1:10" x14ac:dyDescent="0.25">
      <c r="A1583" s="5" t="s">
        <v>3192</v>
      </c>
      <c r="B1583" s="5" t="s">
        <v>3205</v>
      </c>
      <c r="C1583" s="6" t="str">
        <f>_xll.QS.CONTEXT.CREATE("market.1581",A1583,"USD","SOFR")</f>
        <v>QSObject:PricingContext:w1~market.1581:19017</v>
      </c>
      <c r="D1583" s="6" t="str">
        <f>_xll.QS.CONTEXT.ADD.CURVE(C1583,"SOFR",$K$2:$K$7,$L$2:$L$7,,,"Actual360","LogLinear",TRUE)</f>
        <v>QSObject:ContextInput:w1~input.qs_context_add_curve.2359132437744.1582.3.0:38544</v>
      </c>
      <c r="E1583" s="6" t="str">
        <f>_xll.QS.INSTRUMENT.SWAP("swap.1581",H1583,B1583,"USD","SOFR",I1583,J1583,0,"Actual360","Simple","Annual","Annual","Annual")</f>
        <v>QSObject:Swap:w1~swap.1581:19016</v>
      </c>
      <c r="F1583" s="6" t="str">
        <f>_xll.QS.TRADE.CREATE("trade.1581",E1583,A1583,"Receive")</f>
        <v>QSObject:SwapTrade:w1~trade.1581:29545</v>
      </c>
      <c r="G1583" s="3">
        <f>_xll.QS.EVALUATE(C1583,F1583)</f>
        <v>32356.231833124788</v>
      </c>
      <c r="H1583" s="5" t="s">
        <v>3206</v>
      </c>
      <c r="I1583" s="7">
        <v>1158100</v>
      </c>
      <c r="J1583" s="8">
        <v>3.8100000000000002E-2</v>
      </c>
    </row>
    <row r="1584" spans="1:10" x14ac:dyDescent="0.25">
      <c r="A1584" s="5" t="s">
        <v>3194</v>
      </c>
      <c r="B1584" s="5" t="s">
        <v>3207</v>
      </c>
      <c r="C1584" s="6" t="str">
        <f>_xll.QS.CONTEXT.CREATE("market.1582",A1584,"USD","SOFR")</f>
        <v>QSObject:PricingContext:w1~market.1582:19015</v>
      </c>
      <c r="D1584" s="6" t="str">
        <f>_xll.QS.CONTEXT.ADD.CURVE(C1584,"SOFR",$K$2:$K$7,$L$2:$L$7,,,"Actual360","LogLinear",TRUE)</f>
        <v>QSObject:ContextInput:w1~input.qs_context_add_curve.2359132437744.1583.3.0:38543</v>
      </c>
      <c r="E1584" s="6" t="str">
        <f>_xll.QS.INSTRUMENT.SWAP("swap.1582",H1584,B1584,"USD","SOFR",I1584,J1584,0,"Actual360","Simple","Annual","Annual","Annual")</f>
        <v>QSObject:Swap:w1~swap.1582:19014</v>
      </c>
      <c r="F1584" s="6" t="str">
        <f>_xll.QS.TRADE.CREATE("trade.1582",E1584,A1584,"Receive")</f>
        <v>QSObject:SwapTrade:w1~trade.1582:30216</v>
      </c>
      <c r="G1584" s="3">
        <f>_xll.QS.EVALUATE(C1584,F1584)</f>
        <v>32943.018623808275</v>
      </c>
      <c r="H1584" s="5" t="s">
        <v>3208</v>
      </c>
      <c r="I1584" s="7">
        <v>1158200</v>
      </c>
      <c r="J1584" s="8">
        <v>3.8199999999999998E-2</v>
      </c>
    </row>
    <row r="1585" spans="1:10" x14ac:dyDescent="0.25">
      <c r="A1585" s="5" t="s">
        <v>3196</v>
      </c>
      <c r="B1585" s="5" t="s">
        <v>3209</v>
      </c>
      <c r="C1585" s="6" t="str">
        <f>_xll.QS.CONTEXT.CREATE("market.1583",A1585,"USD","SOFR")</f>
        <v>QSObject:PricingContext:w1~market.1583:19013</v>
      </c>
      <c r="D1585" s="6" t="str">
        <f>_xll.QS.CONTEXT.ADD.CURVE(C1585,"SOFR",$K$2:$K$7,$L$2:$L$7,,,"Actual360","LogLinear",TRUE)</f>
        <v>QSObject:ContextInput:w1~input.qs_context_add_curve.2359132437744.1584.3.0:38542</v>
      </c>
      <c r="E1585" s="6" t="str">
        <f>_xll.QS.INSTRUMENT.SWAP("swap.1583",H1585,B1585,"USD","SOFR",I1585,J1585,0,"Actual360","Simple","Annual","Annual","Annual")</f>
        <v>QSObject:Swap:w1~swap.1583:19012</v>
      </c>
      <c r="F1585" s="6" t="str">
        <f>_xll.QS.TRADE.CREATE("trade.1583",E1585,A1585,"Receive")</f>
        <v>QSObject:SwapTrade:w1~trade.1583:30215</v>
      </c>
      <c r="G1585" s="3">
        <f>_xll.QS.EVALUATE(C1585,F1585)</f>
        <v>33507.421115071833</v>
      </c>
      <c r="H1585" s="5" t="s">
        <v>3210</v>
      </c>
      <c r="I1585" s="7">
        <v>1158300</v>
      </c>
      <c r="J1585" s="8">
        <v>3.8300000000000001E-2</v>
      </c>
    </row>
    <row r="1586" spans="1:10" x14ac:dyDescent="0.25">
      <c r="A1586" s="5" t="s">
        <v>3198</v>
      </c>
      <c r="B1586" s="5" t="s">
        <v>3211</v>
      </c>
      <c r="C1586" s="6" t="str">
        <f>_xll.QS.CONTEXT.CREATE("market.1584",A1586,"USD","SOFR")</f>
        <v>QSObject:PricingContext:w1~market.1584:19011</v>
      </c>
      <c r="D1586" s="6" t="str">
        <f>_xll.QS.CONTEXT.ADD.CURVE(C1586,"SOFR",$K$2:$K$7,$L$2:$L$7,,,"Actual360","LogLinear",TRUE)</f>
        <v>QSObject:ContextInput:w1~input.qs_context_add_curve.2359132437744.1585.3.0:38541</v>
      </c>
      <c r="E1586" s="6" t="str">
        <f>_xll.QS.INSTRUMENT.SWAP("swap.1584",H1586,B1586,"USD","SOFR",I1586,J1586,0,"Actual360","Simple","Annual","Annual","Annual")</f>
        <v>QSObject:Swap:w1~swap.1584:19010</v>
      </c>
      <c r="F1586" s="6" t="str">
        <f>_xll.QS.TRADE.CREATE("trade.1584",E1586,A1586,"Receive")</f>
        <v>QSObject:SwapTrade:w1~trade.1584:30214</v>
      </c>
      <c r="G1586" s="3">
        <f>_xll.QS.EVALUATE(C1586,F1586)</f>
        <v>34129.225905183317</v>
      </c>
      <c r="H1586" s="5" t="s">
        <v>3212</v>
      </c>
      <c r="I1586" s="7">
        <v>1158400</v>
      </c>
      <c r="J1586" s="8">
        <v>3.8399999999999997E-2</v>
      </c>
    </row>
    <row r="1587" spans="1:10" x14ac:dyDescent="0.25">
      <c r="A1587" s="5" t="s">
        <v>3200</v>
      </c>
      <c r="B1587" s="5" t="s">
        <v>3213</v>
      </c>
      <c r="C1587" s="6" t="str">
        <f>_xll.QS.CONTEXT.CREATE("market.1585",A1587,"USD","SOFR")</f>
        <v>QSObject:PricingContext:w1~market.1585:19009</v>
      </c>
      <c r="D1587" s="6" t="str">
        <f>_xll.QS.CONTEXT.ADD.CURVE(C1587,"SOFR",$K$2:$K$7,$L$2:$L$7,,,"Actual360","LogLinear",TRUE)</f>
        <v>QSObject:ContextInput:w1~input.qs_context_add_curve.2359132437744.1586.3.0:38540</v>
      </c>
      <c r="E1587" s="6" t="str">
        <f>_xll.QS.INSTRUMENT.SWAP("swap.1585",H1587,B1587,"USD","SOFR",I1587,J1587,0,"Actual360","Simple","Annual","Annual","Annual")</f>
        <v>QSObject:Swap:w1~swap.1585:19008</v>
      </c>
      <c r="F1587" s="6" t="str">
        <f>_xll.QS.TRADE.CREATE("trade.1585",E1587,A1587,"Receive")</f>
        <v>QSObject:SwapTrade:w1~trade.1585:29544</v>
      </c>
      <c r="G1587" s="3">
        <f>_xll.QS.EVALUATE(C1587,F1587)</f>
        <v>34716.857393792729</v>
      </c>
      <c r="H1587" s="5" t="s">
        <v>3214</v>
      </c>
      <c r="I1587" s="7">
        <v>1158500</v>
      </c>
      <c r="J1587" s="8">
        <v>3.8500000000000013E-2</v>
      </c>
    </row>
    <row r="1588" spans="1:10" x14ac:dyDescent="0.25">
      <c r="A1588" s="5" t="s">
        <v>3202</v>
      </c>
      <c r="B1588" s="5" t="s">
        <v>3215</v>
      </c>
      <c r="C1588" s="6" t="str">
        <f>_xll.QS.CONTEXT.CREATE("market.1586",A1588,"USD","SOFR")</f>
        <v>QSObject:PricingContext:w1~market.1586:19007</v>
      </c>
      <c r="D1588" s="6" t="str">
        <f>_xll.QS.CONTEXT.ADD.CURVE(C1588,"SOFR",$K$2:$K$7,$L$2:$L$7,,,"Actual360","LogLinear",TRUE)</f>
        <v>QSObject:ContextInput:w1~input.qs_context_add_curve.2359132437744.1587.3.0:38539</v>
      </c>
      <c r="E1588" s="6" t="str">
        <f>_xll.QS.INSTRUMENT.SWAP("swap.1586",H1588,B1588,"USD","SOFR",I1588,J1588,0,"Actual360","Simple","Annual","Annual","Annual")</f>
        <v>QSObject:Swap:w1~swap.1586:19006</v>
      </c>
      <c r="F1588" s="6" t="str">
        <f>_xll.QS.TRADE.CREATE("trade.1586",E1588,A1588,"Receive")</f>
        <v>QSObject:SwapTrade:w1~trade.1586:30213</v>
      </c>
      <c r="G1588" s="3">
        <f>_xll.QS.EVALUATE(C1588,F1588)</f>
        <v>35210.088028392449</v>
      </c>
      <c r="H1588" s="5" t="s">
        <v>3216</v>
      </c>
      <c r="I1588" s="7">
        <v>1158600</v>
      </c>
      <c r="J1588" s="8">
        <v>3.8600000000000002E-2</v>
      </c>
    </row>
    <row r="1589" spans="1:10" x14ac:dyDescent="0.25">
      <c r="A1589" s="5" t="s">
        <v>3204</v>
      </c>
      <c r="B1589" s="5" t="s">
        <v>3217</v>
      </c>
      <c r="C1589" s="6" t="str">
        <f>_xll.QS.CONTEXT.CREATE("market.1587",A1589,"USD","SOFR")</f>
        <v>QSObject:PricingContext:w1~market.1587:19005</v>
      </c>
      <c r="D1589" s="6" t="str">
        <f>_xll.QS.CONTEXT.ADD.CURVE(C1589,"SOFR",$K$2:$K$7,$L$2:$L$7,,,"Actual360","LogLinear",TRUE)</f>
        <v>QSObject:ContextInput:w1~input.qs_context_add_curve.2359132437744.1588.3.0:38538</v>
      </c>
      <c r="E1589" s="6" t="str">
        <f>_xll.QS.INSTRUMENT.SWAP("swap.1587",H1589,B1589,"USD","SOFR",I1589,J1589,0,"Actual360","Simple","Annual","Annual","Annual")</f>
        <v>QSObject:Swap:w1~swap.1587:19004</v>
      </c>
      <c r="F1589" s="6" t="str">
        <f>_xll.QS.TRADE.CREATE("trade.1587",E1589,A1589,"Receive")</f>
        <v>QSObject:SwapTrade:w1~trade.1587:30212</v>
      </c>
      <c r="G1589" s="3">
        <f>_xll.QS.EVALUATE(C1589,F1589)</f>
        <v>35656.341037851402</v>
      </c>
      <c r="H1589" s="5" t="s">
        <v>3218</v>
      </c>
      <c r="I1589" s="7">
        <v>1158700</v>
      </c>
      <c r="J1589" s="8">
        <v>3.8700000000000012E-2</v>
      </c>
    </row>
    <row r="1590" spans="1:10" x14ac:dyDescent="0.25">
      <c r="A1590" s="5" t="s">
        <v>3206</v>
      </c>
      <c r="B1590" s="5" t="s">
        <v>3219</v>
      </c>
      <c r="C1590" s="6" t="str">
        <f>_xll.QS.CONTEXT.CREATE("market.1588",A1590,"USD","SOFR")</f>
        <v>QSObject:PricingContext:w1~market.1588:19003</v>
      </c>
      <c r="D1590" s="6" t="str">
        <f>_xll.QS.CONTEXT.ADD.CURVE(C1590,"SOFR",$K$2:$K$7,$L$2:$L$7,,,"Actual360","LogLinear",TRUE)</f>
        <v>QSObject:ContextInput:w1~input.qs_context_add_curve.2359132437744.1589.3.0:38537</v>
      </c>
      <c r="E1590" s="6" t="str">
        <f>_xll.QS.INSTRUMENT.SWAP("swap.1588",H1590,B1590,"USD","SOFR",I1590,J1590,0,"Actual360","Simple","Annual","Annual","Annual")</f>
        <v>QSObject:Swap:w1~swap.1588:19002</v>
      </c>
      <c r="F1590" s="6" t="str">
        <f>_xll.QS.TRADE.CREATE("trade.1588",E1590,A1590,"Receive")</f>
        <v>QSObject:SwapTrade:w1~trade.1588:29543</v>
      </c>
      <c r="G1590" s="3">
        <f>_xll.QS.EVALUATE(C1590,F1590)</f>
        <v>36117.760325193129</v>
      </c>
      <c r="H1590" s="5" t="s">
        <v>3220</v>
      </c>
      <c r="I1590" s="7">
        <v>1158800</v>
      </c>
      <c r="J1590" s="8">
        <v>3.8800000000000001E-2</v>
      </c>
    </row>
    <row r="1591" spans="1:10" x14ac:dyDescent="0.25">
      <c r="A1591" s="5" t="s">
        <v>3208</v>
      </c>
      <c r="B1591" s="5" t="s">
        <v>3221</v>
      </c>
      <c r="C1591" s="6" t="str">
        <f>_xll.QS.CONTEXT.CREATE("market.1589",A1591,"USD","SOFR")</f>
        <v>QSObject:PricingContext:w1~market.1589:19001</v>
      </c>
      <c r="D1591" s="6" t="str">
        <f>_xll.QS.CONTEXT.ADD.CURVE(C1591,"SOFR",$K$2:$K$7,$L$2:$L$7,,,"Actual360","LogLinear",TRUE)</f>
        <v>QSObject:ContextInput:w1~input.qs_context_add_curve.2359132437744.1590.3.0:38536</v>
      </c>
      <c r="E1591" s="6" t="str">
        <f>_xll.QS.INSTRUMENT.SWAP("swap.1589",H1591,B1591,"USD","SOFR",I1591,J1591,0,"Actual360","Simple","Annual","Annual","Annual")</f>
        <v>QSObject:Swap:w1~swap.1589:19000</v>
      </c>
      <c r="F1591" s="6" t="str">
        <f>_xll.QS.TRADE.CREATE("trade.1589",E1591,A1591,"Receive")</f>
        <v>QSObject:SwapTrade:w1~trade.1589:30211</v>
      </c>
      <c r="G1591" s="3">
        <f>_xll.QS.EVALUATE(C1591,F1591)</f>
        <v>36705.598523911438</v>
      </c>
      <c r="H1591" s="5" t="s">
        <v>3222</v>
      </c>
      <c r="I1591" s="7">
        <v>1158900</v>
      </c>
      <c r="J1591" s="8">
        <v>3.8899999999999997E-2</v>
      </c>
    </row>
    <row r="1592" spans="1:10" x14ac:dyDescent="0.25">
      <c r="A1592" s="5" t="s">
        <v>3210</v>
      </c>
      <c r="B1592" s="5" t="s">
        <v>3223</v>
      </c>
      <c r="C1592" s="6" t="str">
        <f>_xll.QS.CONTEXT.CREATE("market.1590",A1592,"USD","SOFR")</f>
        <v>QSObject:PricingContext:w1~market.1590:18999</v>
      </c>
      <c r="D1592" s="6" t="str">
        <f>_xll.QS.CONTEXT.ADD.CURVE(C1592,"SOFR",$K$2:$K$7,$L$2:$L$7,,,"Actual360","LogLinear",TRUE)</f>
        <v>QSObject:ContextInput:w1~input.qs_context_add_curve.2359132437744.1591.3.0:38535</v>
      </c>
      <c r="E1592" s="6" t="str">
        <f>_xll.QS.INSTRUMENT.SWAP("swap.1590",H1592,B1592,"USD","SOFR",I1592,J1592,0,"Actual360","Simple","Annual","Annual","Annual")</f>
        <v>QSObject:Swap:w1~swap.1590:18998</v>
      </c>
      <c r="F1592" s="6" t="str">
        <f>_xll.QS.TRADE.CREATE("trade.1590",E1592,A1592,"Receive")</f>
        <v>QSObject:SwapTrade:w1~trade.1590:30210</v>
      </c>
      <c r="G1592" s="3">
        <f>_xll.QS.EVALUATE(C1592,F1592)</f>
        <v>37268.83077678195</v>
      </c>
      <c r="H1592" s="5" t="s">
        <v>3224</v>
      </c>
      <c r="I1592" s="7">
        <v>1159000</v>
      </c>
      <c r="J1592" s="8">
        <v>3.9000000000000007E-2</v>
      </c>
    </row>
    <row r="1593" spans="1:10" x14ac:dyDescent="0.25">
      <c r="A1593" s="5" t="s">
        <v>3212</v>
      </c>
      <c r="B1593" s="5" t="s">
        <v>3225</v>
      </c>
      <c r="C1593" s="6" t="str">
        <f>_xll.QS.CONTEXT.CREATE("market.1591",A1593,"USD","SOFR")</f>
        <v>QSObject:PricingContext:w1~market.1591:18997</v>
      </c>
      <c r="D1593" s="6" t="str">
        <f>_xll.QS.CONTEXT.ADD.CURVE(C1593,"SOFR",$K$2:$K$7,$L$2:$L$7,,,"Actual360","LogLinear",TRUE)</f>
        <v>QSObject:ContextInput:w1~input.qs_context_add_curve.2359132437744.1592.3.0:38534</v>
      </c>
      <c r="E1593" s="6" t="str">
        <f>_xll.QS.INSTRUMENT.SWAP("swap.1591",H1593,B1593,"USD","SOFR",I1593,J1593,0,"Actual360","Simple","Annual","Annual","Annual")</f>
        <v>QSObject:Swap:w1~swap.1591:18996</v>
      </c>
      <c r="F1593" s="6" t="str">
        <f>_xll.QS.TRADE.CREATE("trade.1591",E1593,A1593,"Receive")</f>
        <v>QSObject:SwapTrade:w1~trade.1591:29542</v>
      </c>
      <c r="G1593" s="3">
        <f>_xll.QS.EVALUATE(C1593,F1593)</f>
        <v>37891.388498201224</v>
      </c>
      <c r="H1593" s="5" t="s">
        <v>3226</v>
      </c>
      <c r="I1593" s="7">
        <v>1159100</v>
      </c>
      <c r="J1593" s="8">
        <v>3.9100000000000003E-2</v>
      </c>
    </row>
    <row r="1594" spans="1:10" x14ac:dyDescent="0.25">
      <c r="A1594" s="5" t="s">
        <v>3214</v>
      </c>
      <c r="B1594" s="5" t="s">
        <v>3227</v>
      </c>
      <c r="C1594" s="6" t="str">
        <f>_xll.QS.CONTEXT.CREATE("market.1592",A1594,"USD","SOFR")</f>
        <v>QSObject:PricingContext:w1~market.1592:18995</v>
      </c>
      <c r="D1594" s="6" t="str">
        <f>_xll.QS.CONTEXT.ADD.CURVE(C1594,"SOFR",$K$2:$K$7,$L$2:$L$7,,,"Actual360","LogLinear",TRUE)</f>
        <v>QSObject:ContextInput:w1~input.qs_context_add_curve.2359132437744.1593.3.0:38533</v>
      </c>
      <c r="E1594" s="6" t="str">
        <f>_xll.QS.INSTRUMENT.SWAP("swap.1592",H1594,B1594,"USD","SOFR",I1594,J1594,0,"Actual360","Simple","Annual","Annual","Annual")</f>
        <v>QSObject:Swap:w1~swap.1592:18994</v>
      </c>
      <c r="F1594" s="6" t="str">
        <f>_xll.QS.TRADE.CREATE("trade.1592",E1594,A1594,"Receive")</f>
        <v>QSObject:SwapTrade:w1~trade.1592:29541</v>
      </c>
      <c r="G1594" s="3">
        <f>_xll.QS.EVALUATE(C1594,F1594)</f>
        <v>38479.736066418511</v>
      </c>
      <c r="H1594" s="5" t="s">
        <v>3228</v>
      </c>
      <c r="I1594" s="7">
        <v>1159200</v>
      </c>
      <c r="J1594" s="8">
        <v>3.9200000000000013E-2</v>
      </c>
    </row>
    <row r="1595" spans="1:10" x14ac:dyDescent="0.25">
      <c r="A1595" s="5" t="s">
        <v>3216</v>
      </c>
      <c r="B1595" s="5" t="s">
        <v>3229</v>
      </c>
      <c r="C1595" s="6" t="str">
        <f>_xll.QS.CONTEXT.CREATE("market.1593",A1595,"USD","SOFR")</f>
        <v>QSObject:PricingContext:w1~market.1593:18993</v>
      </c>
      <c r="D1595" s="6" t="str">
        <f>_xll.QS.CONTEXT.ADD.CURVE(C1595,"SOFR",$K$2:$K$7,$L$2:$L$7,,,"Actual360","LogLinear",TRUE)</f>
        <v>QSObject:ContextInput:w1~input.qs_context_add_curve.2359132437744.1594.3.0:38532</v>
      </c>
      <c r="E1595" s="6" t="str">
        <f>_xll.QS.INSTRUMENT.SWAP("swap.1593",H1595,B1595,"USD","SOFR",I1595,J1595,0,"Actual360","Simple","Annual","Annual","Annual")</f>
        <v>QSObject:Swap:w1~swap.1593:18992</v>
      </c>
      <c r="F1595" s="6" t="str">
        <f>_xll.QS.TRADE.CREATE("trade.1593",E1595,A1595,"Receive")</f>
        <v>QSObject:SwapTrade:w1~trade.1593:29540</v>
      </c>
      <c r="G1595" s="3">
        <f>_xll.QS.EVALUATE(C1595,F1595)</f>
        <v>38973.555522323571</v>
      </c>
      <c r="H1595" s="5" t="s">
        <v>3230</v>
      </c>
      <c r="I1595" s="7">
        <v>1159300</v>
      </c>
      <c r="J1595" s="8">
        <v>3.9300000000000002E-2</v>
      </c>
    </row>
    <row r="1596" spans="1:10" x14ac:dyDescent="0.25">
      <c r="A1596" s="5" t="s">
        <v>3218</v>
      </c>
      <c r="B1596" s="5" t="s">
        <v>3231</v>
      </c>
      <c r="C1596" s="6" t="str">
        <f>_xll.QS.CONTEXT.CREATE("market.1594",A1596,"USD","SOFR")</f>
        <v>QSObject:PricingContext:w1~market.1594:18991</v>
      </c>
      <c r="D1596" s="6" t="str">
        <f>_xll.QS.CONTEXT.ADD.CURVE(C1596,"SOFR",$K$2:$K$7,$L$2:$L$7,,,"Actual360","LogLinear",TRUE)</f>
        <v>QSObject:ContextInput:w1~input.qs_context_add_curve.2359132437744.1595.3.0:38531</v>
      </c>
      <c r="E1596" s="6" t="str">
        <f>_xll.QS.INSTRUMENT.SWAP("swap.1594",H1596,B1596,"USD","SOFR",I1596,J1596,0,"Actual360","Simple","Annual","Annual","Annual")</f>
        <v>QSObject:Swap:w1~swap.1594:18990</v>
      </c>
      <c r="F1596" s="6" t="str">
        <f>_xll.QS.TRADE.CREATE("trade.1594",E1596,A1596,"Receive")</f>
        <v>QSObject:SwapTrade:w1~trade.1594:30209</v>
      </c>
      <c r="G1596" s="3">
        <f>_xll.QS.EVALUATE(C1596,F1596)</f>
        <v>39415.988652166314</v>
      </c>
      <c r="H1596" s="5" t="s">
        <v>3232</v>
      </c>
      <c r="I1596" s="7">
        <v>1159400</v>
      </c>
      <c r="J1596" s="8">
        <v>3.9399999999999998E-2</v>
      </c>
    </row>
    <row r="1597" spans="1:10" x14ac:dyDescent="0.25">
      <c r="A1597" s="5" t="s">
        <v>3220</v>
      </c>
      <c r="B1597" s="5" t="s">
        <v>3233</v>
      </c>
      <c r="C1597" s="6" t="str">
        <f>_xll.QS.CONTEXT.CREATE("market.1595",A1597,"USD","SOFR")</f>
        <v>QSObject:PricingContext:w1~market.1595:18989</v>
      </c>
      <c r="D1597" s="6" t="str">
        <f>_xll.QS.CONTEXT.ADD.CURVE(C1597,"SOFR",$K$2:$K$7,$L$2:$L$7,,,"Actual360","LogLinear",TRUE)</f>
        <v>QSObject:ContextInput:w1~input.qs_context_add_curve.2359132437744.1596.3.0:38530</v>
      </c>
      <c r="E1597" s="6" t="str">
        <f>_xll.QS.INSTRUMENT.SWAP("swap.1595",H1597,B1597,"USD","SOFR",I1597,J1597,0,"Actual360","Simple","Annual","Annual","Annual")</f>
        <v>QSObject:Swap:w1~swap.1595:18988</v>
      </c>
      <c r="F1597" s="6" t="str">
        <f>_xll.QS.TRADE.CREATE("trade.1595",E1597,A1597,"Receive")</f>
        <v>QSObject:SwapTrade:w1~trade.1595:30208</v>
      </c>
      <c r="G1597" s="3">
        <f>_xll.QS.EVALUATE(C1597,F1597)</f>
        <v>39883.809666074885</v>
      </c>
      <c r="H1597" s="5" t="s">
        <v>3234</v>
      </c>
      <c r="I1597" s="7">
        <v>1159500</v>
      </c>
      <c r="J1597" s="8">
        <v>3.9500000000000007E-2</v>
      </c>
    </row>
    <row r="1598" spans="1:10" x14ac:dyDescent="0.25">
      <c r="A1598" s="5" t="s">
        <v>3222</v>
      </c>
      <c r="B1598" s="5" t="s">
        <v>3235</v>
      </c>
      <c r="C1598" s="6" t="str">
        <f>_xll.QS.CONTEXT.CREATE("market.1596",A1598,"USD","SOFR")</f>
        <v>QSObject:PricingContext:w1~market.1596:18987</v>
      </c>
      <c r="D1598" s="6" t="str">
        <f>_xll.QS.CONTEXT.ADD.CURVE(C1598,"SOFR",$K$2:$K$7,$L$2:$L$7,,,"Actual360","LogLinear",TRUE)</f>
        <v>QSObject:ContextInput:w1~input.qs_context_add_curve.2359132437744.1597.3.0:38529</v>
      </c>
      <c r="E1598" s="6" t="str">
        <f>_xll.QS.INSTRUMENT.SWAP("swap.1596",H1598,B1598,"USD","SOFR",I1598,J1598,0,"Actual360","Simple","Annual","Annual","Annual")</f>
        <v>QSObject:Swap:w1~swap.1596:18986</v>
      </c>
      <c r="F1598" s="6" t="str">
        <f>_xll.QS.TRADE.CREATE("trade.1596",E1598,A1598,"Receive")</f>
        <v>QSObject:SwapTrade:w1~trade.1596:29539</v>
      </c>
      <c r="G1598" s="3">
        <f>_xll.QS.EVALUATE(C1598,F1598)</f>
        <v>40472.622484883337</v>
      </c>
      <c r="H1598" s="5" t="s">
        <v>3236</v>
      </c>
      <c r="I1598" s="7">
        <v>1159600</v>
      </c>
      <c r="J1598" s="8">
        <v>3.9600000000000003E-2</v>
      </c>
    </row>
    <row r="1599" spans="1:10" x14ac:dyDescent="0.25">
      <c r="A1599" s="5" t="s">
        <v>3224</v>
      </c>
      <c r="B1599" s="5" t="s">
        <v>3237</v>
      </c>
      <c r="C1599" s="6" t="str">
        <f>_xll.QS.CONTEXT.CREATE("market.1597",A1599,"USD","SOFR")</f>
        <v>QSObject:PricingContext:w1~market.1597:18985</v>
      </c>
      <c r="D1599" s="6" t="str">
        <f>_xll.QS.CONTEXT.ADD.CURVE(C1599,"SOFR",$K$2:$K$7,$L$2:$L$7,,,"Actual360","LogLinear",TRUE)</f>
        <v>QSObject:ContextInput:w1~input.qs_context_add_curve.2359132437744.1598.3.0:38528</v>
      </c>
      <c r="E1599" s="6" t="str">
        <f>_xll.QS.INSTRUMENT.SWAP("swap.1597",H1599,B1599,"USD","SOFR",I1599,J1599,0,"Actual360","Simple","Annual","Annual","Annual")</f>
        <v>QSObject:Swap:w1~swap.1597:18984</v>
      </c>
      <c r="F1599" s="6" t="str">
        <f>_xll.QS.TRADE.CREATE("trade.1597",E1599,A1599,"Receive")</f>
        <v>QSObject:SwapTrade:w1~trade.1597:30207</v>
      </c>
      <c r="G1599" s="3">
        <f>_xll.QS.EVALUATE(C1599,F1599)</f>
        <v>41034.61819742946</v>
      </c>
      <c r="H1599" s="5" t="s">
        <v>3238</v>
      </c>
      <c r="I1599" s="7">
        <v>1159700</v>
      </c>
      <c r="J1599" s="8">
        <v>3.9700000000000013E-2</v>
      </c>
    </row>
    <row r="1600" spans="1:10" x14ac:dyDescent="0.25">
      <c r="A1600" s="5" t="s">
        <v>3226</v>
      </c>
      <c r="B1600" s="5" t="s">
        <v>3239</v>
      </c>
      <c r="C1600" s="6" t="str">
        <f>_xll.QS.CONTEXT.CREATE("market.1598",A1600,"USD","SOFR")</f>
        <v>QSObject:PricingContext:w1~market.1598:18983</v>
      </c>
      <c r="D1600" s="6" t="str">
        <f>_xll.QS.CONTEXT.ADD.CURVE(C1600,"SOFR",$K$2:$K$7,$L$2:$L$7,,,"Actual360","LogLinear",TRUE)</f>
        <v>QSObject:ContextInput:w1~input.qs_context_add_curve.2359132437744.1599.3.0:38527</v>
      </c>
      <c r="E1600" s="6" t="str">
        <f>_xll.QS.INSTRUMENT.SWAP("swap.1598",H1600,B1600,"USD","SOFR",I1600,J1600,0,"Actual360","Simple","Annual","Annual","Annual")</f>
        <v>QSObject:Swap:w1~swap.1598:18982</v>
      </c>
      <c r="F1600" s="6" t="str">
        <f>_xll.QS.TRADE.CREATE("trade.1598",E1600,A1600,"Receive")</f>
        <v>QSObject:SwapTrade:w1~trade.1598:30206</v>
      </c>
      <c r="G1600" s="3">
        <f>_xll.QS.EVALUATE(C1600,F1600)</f>
        <v>41657.857061349481</v>
      </c>
      <c r="H1600" s="5" t="s">
        <v>3240</v>
      </c>
      <c r="I1600" s="7">
        <v>1159800</v>
      </c>
      <c r="J1600" s="8">
        <v>3.9800000000000002E-2</v>
      </c>
    </row>
    <row r="1601" spans="1:10" x14ac:dyDescent="0.25">
      <c r="A1601" s="5" t="s">
        <v>3228</v>
      </c>
      <c r="B1601" s="5" t="s">
        <v>3241</v>
      </c>
      <c r="C1601" s="6" t="str">
        <f>_xll.QS.CONTEXT.CREATE("market.1599",A1601,"USD","SOFR")</f>
        <v>QSObject:PricingContext:w1~market.1599:18981</v>
      </c>
      <c r="D1601" s="6" t="str">
        <f>_xll.QS.CONTEXT.ADD.CURVE(C1601,"SOFR",$K$2:$K$7,$L$2:$L$7,,,"Actual360","LogLinear",TRUE)</f>
        <v>QSObject:ContextInput:w1~input.qs_context_add_curve.2359132437744.1600.3.0:38526</v>
      </c>
      <c r="E1601" s="6" t="str">
        <f>_xll.QS.INSTRUMENT.SWAP("swap.1599",H1601,B1601,"USD","SOFR",I1601,J1601,0,"Actual360","Simple","Annual","Annual","Annual")</f>
        <v>QSObject:Swap:w1~swap.1599:18980</v>
      </c>
      <c r="F1601" s="6" t="str">
        <f>_xll.QS.TRADE.CREATE("trade.1599",E1601,A1601,"Receive")</f>
        <v>QSObject:SwapTrade:w1~trade.1599:30205</v>
      </c>
      <c r="G1601" s="3">
        <f>_xll.QS.EVALUATE(C1601,F1601)</f>
        <v>42246.814033703748</v>
      </c>
      <c r="H1601" s="5" t="s">
        <v>3242</v>
      </c>
      <c r="I1601" s="7">
        <v>1159900</v>
      </c>
      <c r="J1601" s="8">
        <v>3.9899999999999998E-2</v>
      </c>
    </row>
    <row r="1602" spans="1:10" x14ac:dyDescent="0.25">
      <c r="A1602" s="5" t="s">
        <v>3230</v>
      </c>
      <c r="B1602" s="5" t="s">
        <v>3243</v>
      </c>
      <c r="C1602" s="6" t="str">
        <f>_xll.QS.CONTEXT.CREATE("market.1600",A1602,"USD","SOFR")</f>
        <v>QSObject:PricingContext:w1~market.1600:18979</v>
      </c>
      <c r="D1602" s="6" t="str">
        <f>_xll.QS.CONTEXT.ADD.CURVE(C1602,"SOFR",$K$2:$K$7,$L$2:$L$7,,,"Actual360","LogLinear",TRUE)</f>
        <v>QSObject:ContextInput:w1~input.qs_context_add_curve.2359132437744.1601.3.0:38525</v>
      </c>
      <c r="E1602" s="6" t="str">
        <f>_xll.QS.INSTRUMENT.SWAP("swap.1600",H1602,B1602,"USD","SOFR",I1602,J1602,0,"Actual360","Simple","Annual","Annual","Annual")</f>
        <v>QSObject:Swap:w1~swap.1600:18978</v>
      </c>
      <c r="F1602" s="6" t="str">
        <f>_xll.QS.TRADE.CREATE("trade.1600",E1602,A1602,"Receive")</f>
        <v>QSObject:SwapTrade:w1~trade.1600:30204</v>
      </c>
      <c r="G1602" s="3">
        <f>_xll.QS.EVALUATE(C1602,F1602)</f>
        <v>15995.212156848589</v>
      </c>
      <c r="H1602" s="5" t="s">
        <v>3244</v>
      </c>
      <c r="I1602" s="7">
        <v>1160000</v>
      </c>
      <c r="J1602" s="8">
        <v>3.5000000000000003E-2</v>
      </c>
    </row>
    <row r="1603" spans="1:10" x14ac:dyDescent="0.25">
      <c r="A1603" s="5" t="s">
        <v>3232</v>
      </c>
      <c r="B1603" s="5" t="s">
        <v>3245</v>
      </c>
      <c r="C1603" s="6" t="str">
        <f>_xll.QS.CONTEXT.CREATE("market.1601",A1603,"USD","SOFR")</f>
        <v>QSObject:PricingContext:w1~market.1601:18977</v>
      </c>
      <c r="D1603" s="6" t="str">
        <f>_xll.QS.CONTEXT.ADD.CURVE(C1603,"SOFR",$K$2:$K$7,$L$2:$L$7,,,"Actual360","LogLinear",TRUE)</f>
        <v>QSObject:ContextInput:w1~input.qs_context_add_curve.2359132437744.1602.3.0:38524</v>
      </c>
      <c r="E1603" s="6" t="str">
        <f>_xll.QS.INSTRUMENT.SWAP("swap.1601",H1603,B1603,"USD","SOFR",I1603,J1603,0,"Actual360","Simple","Annual","Annual","Annual")</f>
        <v>QSObject:Swap:w1~swap.1601:18976</v>
      </c>
      <c r="F1603" s="6" t="str">
        <f>_xll.QS.TRADE.CREATE("trade.1601",E1603,A1603,"Receive")</f>
        <v>QSObject:SwapTrade:w1~trade.1601:29538</v>
      </c>
      <c r="G1603" s="3">
        <f>_xll.QS.EVALUATE(C1603,F1603)</f>
        <v>16451.929800988877</v>
      </c>
      <c r="H1603" s="5" t="s">
        <v>3246</v>
      </c>
      <c r="I1603" s="7">
        <v>1160100</v>
      </c>
      <c r="J1603" s="8">
        <v>3.5100000000000013E-2</v>
      </c>
    </row>
    <row r="1604" spans="1:10" x14ac:dyDescent="0.25">
      <c r="A1604" s="5" t="s">
        <v>3234</v>
      </c>
      <c r="B1604" s="5" t="s">
        <v>3247</v>
      </c>
      <c r="C1604" s="6" t="str">
        <f>_xll.QS.CONTEXT.CREATE("market.1602",A1604,"USD","SOFR")</f>
        <v>QSObject:PricingContext:w1~market.1602:18975</v>
      </c>
      <c r="D1604" s="6" t="str">
        <f>_xll.QS.CONTEXT.ADD.CURVE(C1604,"SOFR",$K$2:$K$7,$L$2:$L$7,,,"Actual360","LogLinear",TRUE)</f>
        <v>QSObject:ContextInput:w1~input.qs_context_add_curve.2359132437744.1603.3.0:38523</v>
      </c>
      <c r="E1604" s="6" t="str">
        <f>_xll.QS.INSTRUMENT.SWAP("swap.1602",H1604,B1604,"USD","SOFR",I1604,J1604,0,"Actual360","Simple","Annual","Annual","Annual")</f>
        <v>QSObject:Swap:w1~swap.1602:18974</v>
      </c>
      <c r="F1604" s="6" t="str">
        <f>_xll.QS.TRADE.CREATE("trade.1602",E1604,A1604,"Receive")</f>
        <v>QSObject:SwapTrade:w1~trade.1602:29537</v>
      </c>
      <c r="G1604" s="3">
        <f>_xll.QS.EVALUATE(C1604,F1604)</f>
        <v>16988.603098504995</v>
      </c>
      <c r="H1604" s="5" t="s">
        <v>3248</v>
      </c>
      <c r="I1604" s="7">
        <v>1160200</v>
      </c>
      <c r="J1604" s="8">
        <v>3.5200000000000002E-2</v>
      </c>
    </row>
    <row r="1605" spans="1:10" x14ac:dyDescent="0.25">
      <c r="A1605" s="5" t="s">
        <v>3236</v>
      </c>
      <c r="B1605" s="5" t="s">
        <v>3249</v>
      </c>
      <c r="C1605" s="6" t="str">
        <f>_xll.QS.CONTEXT.CREATE("market.1603",A1605,"USD","SOFR")</f>
        <v>QSObject:PricingContext:w1~market.1603:18973</v>
      </c>
      <c r="D1605" s="6" t="str">
        <f>_xll.QS.CONTEXT.ADD.CURVE(C1605,"SOFR",$K$2:$K$7,$L$2:$L$7,,,"Actual360","LogLinear",TRUE)</f>
        <v>QSObject:ContextInput:w1~input.qs_context_add_curve.2359132437744.1604.3.0:38522</v>
      </c>
      <c r="E1605" s="6" t="str">
        <f>_xll.QS.INSTRUMENT.SWAP("swap.1603",H1605,B1605,"USD","SOFR",I1605,J1605,0,"Actual360","Simple","Annual","Annual","Annual")</f>
        <v>QSObject:Swap:w1~swap.1603:18972</v>
      </c>
      <c r="F1605" s="6" t="str">
        <f>_xll.QS.TRADE.CREATE("trade.1603",E1605,A1605,"Receive")</f>
        <v>QSObject:SwapTrade:w1~trade.1603:30203</v>
      </c>
      <c r="G1605" s="3">
        <f>_xll.QS.EVALUATE(C1605,F1605)</f>
        <v>17573.219414237952</v>
      </c>
      <c r="H1605" s="5" t="s">
        <v>3250</v>
      </c>
      <c r="I1605" s="7">
        <v>1160300</v>
      </c>
      <c r="J1605" s="8">
        <v>3.5299999999999998E-2</v>
      </c>
    </row>
    <row r="1606" spans="1:10" x14ac:dyDescent="0.25">
      <c r="A1606" s="5" t="s">
        <v>3238</v>
      </c>
      <c r="B1606" s="5" t="s">
        <v>3251</v>
      </c>
      <c r="C1606" s="6" t="str">
        <f>_xll.QS.CONTEXT.CREATE("market.1604",A1606,"USD","SOFR")</f>
        <v>QSObject:PricingContext:w1~market.1604:18971</v>
      </c>
      <c r="D1606" s="6" t="str">
        <f>_xll.QS.CONTEXT.ADD.CURVE(C1606,"SOFR",$K$2:$K$7,$L$2:$L$7,,,"Actual360","LogLinear",TRUE)</f>
        <v>QSObject:ContextInput:w1~input.qs_context_add_curve.2359132437744.1605.3.0:38521</v>
      </c>
      <c r="E1606" s="6" t="str">
        <f>_xll.QS.INSTRUMENT.SWAP("swap.1604",H1606,B1606,"USD","SOFR",I1606,J1606,0,"Actual360","Simple","Annual","Annual","Annual")</f>
        <v>QSObject:Swap:w1~swap.1604:18970</v>
      </c>
      <c r="F1606" s="6" t="str">
        <f>_xll.QS.TRADE.CREATE("trade.1604",E1606,A1606,"Receive")</f>
        <v>QSObject:SwapTrade:w1~trade.1604:29536</v>
      </c>
      <c r="G1606" s="3">
        <f>_xll.QS.EVALUATE(C1606,F1606)</f>
        <v>18156.181768746472</v>
      </c>
      <c r="H1606" s="5" t="s">
        <v>3252</v>
      </c>
      <c r="I1606" s="7">
        <v>1160400</v>
      </c>
      <c r="J1606" s="8">
        <v>3.5400000000000001E-2</v>
      </c>
    </row>
    <row r="1607" spans="1:10" x14ac:dyDescent="0.25">
      <c r="A1607" s="5" t="s">
        <v>3240</v>
      </c>
      <c r="B1607" s="5" t="s">
        <v>3253</v>
      </c>
      <c r="C1607" s="6" t="str">
        <f>_xll.QS.CONTEXT.CREATE("market.1605",A1607,"USD","SOFR")</f>
        <v>QSObject:PricingContext:w1~market.1605:18969</v>
      </c>
      <c r="D1607" s="6" t="str">
        <f>_xll.QS.CONTEXT.ADD.CURVE(C1607,"SOFR",$K$2:$K$7,$L$2:$L$7,,,"Actual360","LogLinear",TRUE)</f>
        <v>QSObject:ContextInput:w1~input.qs_context_add_curve.2359132437744.1606.3.0:38520</v>
      </c>
      <c r="E1607" s="6" t="str">
        <f>_xll.QS.INSTRUMENT.SWAP("swap.1605",H1607,B1607,"USD","SOFR",I1607,J1607,0,"Actual360","Simple","Annual","Annual","Annual")</f>
        <v>QSObject:Swap:w1~swap.1605:18968</v>
      </c>
      <c r="F1607" s="6" t="str">
        <f>_xll.QS.TRADE.CREATE("trade.1605",E1607,A1607,"Receive")</f>
        <v>QSObject:SwapTrade:w1~trade.1605:29535</v>
      </c>
      <c r="G1607" s="3">
        <f>_xll.QS.EVALUATE(C1607,F1607)</f>
        <v>18714.565150170241</v>
      </c>
      <c r="H1607" s="5" t="s">
        <v>3254</v>
      </c>
      <c r="I1607" s="7">
        <v>1160500</v>
      </c>
      <c r="J1607" s="8">
        <v>3.5499999999999997E-2</v>
      </c>
    </row>
    <row r="1608" spans="1:10" x14ac:dyDescent="0.25">
      <c r="A1608" s="5" t="s">
        <v>3242</v>
      </c>
      <c r="B1608" s="5" t="s">
        <v>3255</v>
      </c>
      <c r="C1608" s="6" t="str">
        <f>_xll.QS.CONTEXT.CREATE("market.1606",A1608,"USD","SOFR")</f>
        <v>QSObject:PricingContext:w1~market.1606:18967</v>
      </c>
      <c r="D1608" s="6" t="str">
        <f>_xll.QS.CONTEXT.ADD.CURVE(C1608,"SOFR",$K$2:$K$7,$L$2:$L$7,,,"Actual360","LogLinear",TRUE)</f>
        <v>QSObject:ContextInput:w1~input.qs_context_add_curve.2359132437744.1607.3.0:38519</v>
      </c>
      <c r="E1608" s="6" t="str">
        <f>_xll.QS.INSTRUMENT.SWAP("swap.1606",H1608,B1608,"USD","SOFR",I1608,J1608,0,"Actual360","Simple","Annual","Annual","Annual")</f>
        <v>QSObject:Swap:w1~swap.1606:18966</v>
      </c>
      <c r="F1608" s="6" t="str">
        <f>_xll.QS.TRADE.CREATE("trade.1606",E1608,A1608,"Receive")</f>
        <v>QSObject:SwapTrade:w1~trade.1606:29534</v>
      </c>
      <c r="G1608" s="3">
        <f>_xll.QS.EVALUATE(C1608,F1608)</f>
        <v>19256.3893413642</v>
      </c>
      <c r="H1608" s="5" t="s">
        <v>3256</v>
      </c>
      <c r="I1608" s="7">
        <v>1160600</v>
      </c>
      <c r="J1608" s="8">
        <v>3.5600000000000007E-2</v>
      </c>
    </row>
    <row r="1609" spans="1:10" x14ac:dyDescent="0.25">
      <c r="A1609" s="5" t="s">
        <v>3244</v>
      </c>
      <c r="B1609" s="5" t="s">
        <v>3257</v>
      </c>
      <c r="C1609" s="6" t="str">
        <f>_xll.QS.CONTEXT.CREATE("market.1607",A1609,"USD","SOFR")</f>
        <v>QSObject:PricingContext:w1~market.1607:18965</v>
      </c>
      <c r="D1609" s="6" t="str">
        <f>_xll.QS.CONTEXT.ADD.CURVE(C1609,"SOFR",$K$2:$K$7,$L$2:$L$7,,,"Actual360","LogLinear",TRUE)</f>
        <v>QSObject:ContextInput:w1~input.qs_context_add_curve.2359132437744.1608.3.0:38518</v>
      </c>
      <c r="E1609" s="6" t="str">
        <f>_xll.QS.INSTRUMENT.SWAP("swap.1607",H1609,B1609,"USD","SOFR",I1609,J1609,0,"Actual360","Simple","Annual","Annual","Annual")</f>
        <v>QSObject:Swap:w1~swap.1607:18964</v>
      </c>
      <c r="F1609" s="6" t="str">
        <f>_xll.QS.TRADE.CREATE("trade.1607",E1609,A1609,"Receive")</f>
        <v>QSObject:SwapTrade:w1~trade.1607:30202</v>
      </c>
      <c r="G1609" s="3">
        <f>_xll.QS.EVALUATE(C1609,F1609)</f>
        <v>19799.004256321539</v>
      </c>
      <c r="H1609" s="5" t="s">
        <v>3258</v>
      </c>
      <c r="I1609" s="7">
        <v>1160700</v>
      </c>
      <c r="J1609" s="8">
        <v>3.5700000000000003E-2</v>
      </c>
    </row>
    <row r="1610" spans="1:10" x14ac:dyDescent="0.25">
      <c r="A1610" s="5" t="s">
        <v>3246</v>
      </c>
      <c r="B1610" s="5" t="s">
        <v>3259</v>
      </c>
      <c r="C1610" s="6" t="str">
        <f>_xll.QS.CONTEXT.CREATE("market.1608",A1610,"USD","SOFR")</f>
        <v>QSObject:PricingContext:w1~market.1608:18963</v>
      </c>
      <c r="D1610" s="6" t="str">
        <f>_xll.QS.CONTEXT.ADD.CURVE(C1610,"SOFR",$K$2:$K$7,$L$2:$L$7,,,"Actual360","LogLinear",TRUE)</f>
        <v>QSObject:ContextInput:w1~input.qs_context_add_curve.2359132437744.1609.3.0:38517</v>
      </c>
      <c r="E1610" s="6" t="str">
        <f>_xll.QS.INSTRUMENT.SWAP("swap.1608",H1610,B1610,"USD","SOFR",I1610,J1610,0,"Actual360","Simple","Annual","Annual","Annual")</f>
        <v>QSObject:Swap:w1~swap.1608:18962</v>
      </c>
      <c r="F1610" s="6" t="str">
        <f>_xll.QS.TRADE.CREATE("trade.1608",E1610,A1610,"Receive")</f>
        <v>QSObject:SwapTrade:w1~trade.1608:29533</v>
      </c>
      <c r="G1610" s="3">
        <f>_xll.QS.EVALUATE(C1610,F1610)</f>
        <v>20263.023639964042</v>
      </c>
      <c r="H1610" s="5" t="s">
        <v>3260</v>
      </c>
      <c r="I1610" s="7">
        <v>1160800</v>
      </c>
      <c r="J1610" s="8">
        <v>3.5800000000000012E-2</v>
      </c>
    </row>
    <row r="1611" spans="1:10" x14ac:dyDescent="0.25">
      <c r="A1611" s="5" t="s">
        <v>3248</v>
      </c>
      <c r="B1611" s="5" t="s">
        <v>3261</v>
      </c>
      <c r="C1611" s="6" t="str">
        <f>_xll.QS.CONTEXT.CREATE("market.1609",A1611,"USD","SOFR")</f>
        <v>QSObject:PricingContext:w1~market.1609:18961</v>
      </c>
      <c r="D1611" s="6" t="str">
        <f>_xll.QS.CONTEXT.ADD.CURVE(C1611,"SOFR",$K$2:$K$7,$L$2:$L$7,,,"Actual360","LogLinear",TRUE)</f>
        <v>QSObject:ContextInput:w1~input.qs_context_add_curve.2359132437744.1610.3.0:38516</v>
      </c>
      <c r="E1611" s="6" t="str">
        <f>_xll.QS.INSTRUMENT.SWAP("swap.1609",H1611,B1611,"USD","SOFR",I1611,J1611,0,"Actual360","Simple","Annual","Annual","Annual")</f>
        <v>QSObject:Swap:w1~swap.1609:18960</v>
      </c>
      <c r="F1611" s="6" t="str">
        <f>_xll.QS.TRADE.CREATE("trade.1609",E1611,A1611,"Receive")</f>
        <v>QSObject:SwapTrade:w1~trade.1609:29532</v>
      </c>
      <c r="G1611" s="3">
        <f>_xll.QS.EVALUATE(C1611,F1611)</f>
        <v>20699.767380384252</v>
      </c>
      <c r="H1611" s="5" t="s">
        <v>3262</v>
      </c>
      <c r="I1611" s="7">
        <v>1160900</v>
      </c>
      <c r="J1611" s="8">
        <v>3.5900000000000001E-2</v>
      </c>
    </row>
    <row r="1612" spans="1:10" x14ac:dyDescent="0.25">
      <c r="A1612" s="5" t="s">
        <v>3250</v>
      </c>
      <c r="B1612" s="5" t="s">
        <v>3263</v>
      </c>
      <c r="C1612" s="6" t="str">
        <f>_xll.QS.CONTEXT.CREATE("market.1610",A1612,"USD","SOFR")</f>
        <v>QSObject:PricingContext:w1~market.1610:18959</v>
      </c>
      <c r="D1612" s="6" t="str">
        <f>_xll.QS.CONTEXT.ADD.CURVE(C1612,"SOFR",$K$2:$K$7,$L$2:$L$7,,,"Actual360","LogLinear",TRUE)</f>
        <v>QSObject:ContextInput:w1~input.qs_context_add_curve.2359132437744.1611.3.0:38515</v>
      </c>
      <c r="E1612" s="6" t="str">
        <f>_xll.QS.INSTRUMENT.SWAP("swap.1610",H1612,B1612,"USD","SOFR",I1612,J1612,0,"Actual360","Simple","Annual","Annual","Annual")</f>
        <v>QSObject:Swap:w1~swap.1610:18958</v>
      </c>
      <c r="F1612" s="6" t="str">
        <f>_xll.QS.TRADE.CREATE("trade.1610",E1612,A1612,"Receive")</f>
        <v>QSObject:SwapTrade:w1~trade.1610:30201</v>
      </c>
      <c r="G1612" s="3">
        <f>_xll.QS.EVALUATE(C1612,F1612)</f>
        <v>21238.669248169808</v>
      </c>
      <c r="H1612" s="5" t="s">
        <v>3264</v>
      </c>
      <c r="I1612" s="7">
        <v>1161000</v>
      </c>
      <c r="J1612" s="8">
        <v>3.5999999999999997E-2</v>
      </c>
    </row>
    <row r="1613" spans="1:10" x14ac:dyDescent="0.25">
      <c r="A1613" s="5" t="s">
        <v>3252</v>
      </c>
      <c r="B1613" s="5" t="s">
        <v>3265</v>
      </c>
      <c r="C1613" s="6" t="str">
        <f>_xll.QS.CONTEXT.CREATE("market.1611",A1613,"USD","SOFR")</f>
        <v>QSObject:PricingContext:w1~market.1611:18957</v>
      </c>
      <c r="D1613" s="6" t="str">
        <f>_xll.QS.CONTEXT.ADD.CURVE(C1613,"SOFR",$K$2:$K$7,$L$2:$L$7,,,"Actual360","LogLinear",TRUE)</f>
        <v>QSObject:ContextInput:w1~input.qs_context_add_curve.2359132437744.1612.3.0:38514</v>
      </c>
      <c r="E1613" s="6" t="str">
        <f>_xll.QS.INSTRUMENT.SWAP("swap.1611",H1613,B1613,"USD","SOFR",I1613,J1613,0,"Actual360","Simple","Annual","Annual","Annual")</f>
        <v>QSObject:Swap:w1~swap.1611:18956</v>
      </c>
      <c r="F1613" s="6" t="str">
        <f>_xll.QS.TRADE.CREATE("trade.1611",E1613,A1613,"Receive")</f>
        <v>QSObject:SwapTrade:w1~trade.1611:29531</v>
      </c>
      <c r="G1613" s="3">
        <f>_xll.QS.EVALUATE(C1613,F1613)</f>
        <v>21809.184128965633</v>
      </c>
      <c r="H1613" s="5" t="s">
        <v>3266</v>
      </c>
      <c r="I1613" s="7">
        <v>1161100</v>
      </c>
      <c r="J1613" s="8">
        <v>3.61E-2</v>
      </c>
    </row>
    <row r="1614" spans="1:10" x14ac:dyDescent="0.25">
      <c r="A1614" s="5" t="s">
        <v>3254</v>
      </c>
      <c r="B1614" s="5" t="s">
        <v>3267</v>
      </c>
      <c r="C1614" s="6" t="str">
        <f>_xll.QS.CONTEXT.CREATE("market.1612",A1614,"USD","SOFR")</f>
        <v>QSObject:PricingContext:w1~market.1612:18955</v>
      </c>
      <c r="D1614" s="6" t="str">
        <f>_xll.QS.CONTEXT.ADD.CURVE(C1614,"SOFR",$K$2:$K$7,$L$2:$L$7,,,"Actual360","LogLinear",TRUE)</f>
        <v>QSObject:ContextInput:w1~input.qs_context_add_curve.2359132437744.1613.3.0:38513</v>
      </c>
      <c r="E1614" s="6" t="str">
        <f>_xll.QS.INSTRUMENT.SWAP("swap.1612",H1614,B1614,"USD","SOFR",I1614,J1614,0,"Actual360","Simple","Annual","Annual","Annual")</f>
        <v>QSObject:Swap:w1~swap.1612:18954</v>
      </c>
      <c r="F1614" s="6" t="str">
        <f>_xll.QS.TRADE.CREATE("trade.1612",E1614,A1614,"Receive")</f>
        <v>QSObject:SwapTrade:w1~trade.1612:30200</v>
      </c>
      <c r="G1614" s="3">
        <f>_xll.QS.EVALUATE(C1614,F1614)</f>
        <v>22431.293652613735</v>
      </c>
      <c r="H1614" s="5" t="s">
        <v>3268</v>
      </c>
      <c r="I1614" s="7">
        <v>1161200</v>
      </c>
      <c r="J1614" s="8">
        <v>3.6200000000000003E-2</v>
      </c>
    </row>
    <row r="1615" spans="1:10" x14ac:dyDescent="0.25">
      <c r="A1615" s="5" t="s">
        <v>3256</v>
      </c>
      <c r="B1615" s="5" t="s">
        <v>3269</v>
      </c>
      <c r="C1615" s="6" t="str">
        <f>_xll.QS.CONTEXT.CREATE("market.1613",A1615,"USD","SOFR")</f>
        <v>QSObject:PricingContext:w1~market.1613:18953</v>
      </c>
      <c r="D1615" s="6" t="str">
        <f>_xll.QS.CONTEXT.ADD.CURVE(C1615,"SOFR",$K$2:$K$7,$L$2:$L$7,,,"Actual360","LogLinear",TRUE)</f>
        <v>QSObject:ContextInput:w1~input.qs_context_add_curve.2359132437744.1614.3.0:38512</v>
      </c>
      <c r="E1615" s="6" t="str">
        <f>_xll.QS.INSTRUMENT.SWAP("swap.1613",H1615,B1615,"USD","SOFR",I1615,J1615,0,"Actual360","Simple","Annual","Annual","Annual")</f>
        <v>QSObject:Swap:w1~swap.1613:18952</v>
      </c>
      <c r="F1615" s="6" t="str">
        <f>_xll.QS.TRADE.CREATE("trade.1613",E1615,A1615,"Receive")</f>
        <v>QSObject:SwapTrade:w1~trade.1613:29530</v>
      </c>
      <c r="G1615" s="3">
        <f>_xll.QS.EVALUATE(C1615,F1615)</f>
        <v>23019.19783571488</v>
      </c>
      <c r="H1615" s="5" t="s">
        <v>3270</v>
      </c>
      <c r="I1615" s="7">
        <v>1161300</v>
      </c>
      <c r="J1615" s="8">
        <v>3.6300000000000013E-2</v>
      </c>
    </row>
    <row r="1616" spans="1:10" x14ac:dyDescent="0.25">
      <c r="A1616" s="5" t="s">
        <v>3258</v>
      </c>
      <c r="B1616" s="5" t="s">
        <v>3271</v>
      </c>
      <c r="C1616" s="6" t="str">
        <f>_xll.QS.CONTEXT.CREATE("market.1614",A1616,"USD","SOFR")</f>
        <v>QSObject:PricingContext:w1~market.1614:18951</v>
      </c>
      <c r="D1616" s="6" t="str">
        <f>_xll.QS.CONTEXT.ADD.CURVE(C1616,"SOFR",$K$2:$K$7,$L$2:$L$7,,,"Actual360","LogLinear",TRUE)</f>
        <v>QSObject:ContextInput:w1~input.qs_context_add_curve.2359132437744.1615.3.0:38511</v>
      </c>
      <c r="E1616" s="6" t="str">
        <f>_xll.QS.INSTRUMENT.SWAP("swap.1614",H1616,B1616,"USD","SOFR",I1616,J1616,0,"Actual360","Simple","Annual","Annual","Annual")</f>
        <v>QSObject:Swap:w1~swap.1614:18950</v>
      </c>
      <c r="F1616" s="6" t="str">
        <f>_xll.QS.TRADE.CREATE("trade.1614",E1616,A1616,"Receive")</f>
        <v>QSObject:SwapTrade:w1~trade.1614:29529</v>
      </c>
      <c r="G1616" s="3">
        <f>_xll.QS.EVALUATE(C1616,F1616)</f>
        <v>23512.693691433669</v>
      </c>
      <c r="H1616" s="5" t="s">
        <v>3272</v>
      </c>
      <c r="I1616" s="7">
        <v>1161400</v>
      </c>
      <c r="J1616" s="8">
        <v>3.6400000000000002E-2</v>
      </c>
    </row>
    <row r="1617" spans="1:10" x14ac:dyDescent="0.25">
      <c r="A1617" s="5" t="s">
        <v>3260</v>
      </c>
      <c r="B1617" s="5" t="s">
        <v>3273</v>
      </c>
      <c r="C1617" s="6" t="str">
        <f>_xll.QS.CONTEXT.CREATE("market.1615",A1617,"USD","SOFR")</f>
        <v>QSObject:PricingContext:w1~market.1615:18949</v>
      </c>
      <c r="D1617" s="6" t="str">
        <f>_xll.QS.CONTEXT.ADD.CURVE(C1617,"SOFR",$K$2:$K$7,$L$2:$L$7,,,"Actual360","LogLinear",TRUE)</f>
        <v>QSObject:ContextInput:w1~input.qs_context_add_curve.2359132437744.1616.3.0:38510</v>
      </c>
      <c r="E1617" s="6" t="str">
        <f>_xll.QS.INSTRUMENT.SWAP("swap.1615",H1617,B1617,"USD","SOFR",I1617,J1617,0,"Actual360","Simple","Annual","Annual","Annual")</f>
        <v>QSObject:Swap:w1~swap.1615:18948</v>
      </c>
      <c r="F1617" s="6" t="str">
        <f>_xll.QS.TRADE.CREATE("trade.1615",E1617,A1617,"Receive")</f>
        <v>QSObject:SwapTrade:w1~trade.1615:30199</v>
      </c>
      <c r="G1617" s="3">
        <f>_xll.QS.EVALUATE(C1617,F1617)</f>
        <v>23972.889692164121</v>
      </c>
      <c r="H1617" s="5" t="s">
        <v>3274</v>
      </c>
      <c r="I1617" s="7">
        <v>1161500</v>
      </c>
      <c r="J1617" s="8">
        <v>3.6499999999999998E-2</v>
      </c>
    </row>
    <row r="1618" spans="1:10" x14ac:dyDescent="0.25">
      <c r="A1618" s="5" t="s">
        <v>3262</v>
      </c>
      <c r="B1618" s="5" t="s">
        <v>3275</v>
      </c>
      <c r="C1618" s="6" t="str">
        <f>_xll.QS.CONTEXT.CREATE("market.1616",A1618,"USD","SOFR")</f>
        <v>QSObject:PricingContext:w1~market.1616:18947</v>
      </c>
      <c r="D1618" s="6" t="str">
        <f>_xll.QS.CONTEXT.ADD.CURVE(C1618,"SOFR",$K$2:$K$7,$L$2:$L$7,,,"Actual360","LogLinear",TRUE)</f>
        <v>QSObject:ContextInput:w1~input.qs_context_add_curve.2359132437744.1617.3.0:38509</v>
      </c>
      <c r="E1618" s="6" t="str">
        <f>_xll.QS.INSTRUMENT.SWAP("swap.1616",H1618,B1618,"USD","SOFR",I1618,J1618,0,"Actual360","Simple","Annual","Annual","Annual")</f>
        <v>QSObject:Swap:w1~swap.1616:18946</v>
      </c>
      <c r="F1618" s="6" t="str">
        <f>_xll.QS.TRADE.CREATE("trade.1616",E1618,A1618,"Receive")</f>
        <v>QSObject:SwapTrade:w1~trade.1616:30198</v>
      </c>
      <c r="G1618" s="3">
        <f>_xll.QS.EVALUATE(C1618,F1618)</f>
        <v>24416.133897328084</v>
      </c>
      <c r="H1618" s="5" t="s">
        <v>3276</v>
      </c>
      <c r="I1618" s="7">
        <v>1161600</v>
      </c>
      <c r="J1618" s="8">
        <v>3.6600000000000001E-2</v>
      </c>
    </row>
    <row r="1619" spans="1:10" x14ac:dyDescent="0.25">
      <c r="A1619" s="5" t="s">
        <v>3264</v>
      </c>
      <c r="B1619" s="5" t="s">
        <v>3277</v>
      </c>
      <c r="C1619" s="6" t="str">
        <f>_xll.QS.CONTEXT.CREATE("market.1617",A1619,"USD","SOFR")</f>
        <v>QSObject:PricingContext:w1~market.1617:18945</v>
      </c>
      <c r="D1619" s="6" t="str">
        <f>_xll.QS.CONTEXT.ADD.CURVE(C1619,"SOFR",$K$2:$K$7,$L$2:$L$7,,,"Actual360","LogLinear",TRUE)</f>
        <v>QSObject:ContextInput:w1~input.qs_context_add_curve.2359132437744.1618.3.0:38508</v>
      </c>
      <c r="E1619" s="6" t="str">
        <f>_xll.QS.INSTRUMENT.SWAP("swap.1617",H1619,B1619,"USD","SOFR",I1619,J1619,0,"Actual360","Simple","Annual","Annual","Annual")</f>
        <v>QSObject:Swap:w1~swap.1617:18944</v>
      </c>
      <c r="F1619" s="6" t="str">
        <f>_xll.QS.TRADE.CREATE("trade.1617",E1619,A1619,"Receive")</f>
        <v>QSObject:SwapTrade:w1~trade.1617:29528</v>
      </c>
      <c r="G1619" s="3">
        <f>_xll.QS.EVALUATE(C1619,F1619)</f>
        <v>25003.186849332953</v>
      </c>
      <c r="H1619" s="5" t="s">
        <v>3278</v>
      </c>
      <c r="I1619" s="7">
        <v>1161700</v>
      </c>
      <c r="J1619" s="8">
        <v>3.6700000000000003E-2</v>
      </c>
    </row>
    <row r="1620" spans="1:10" x14ac:dyDescent="0.25">
      <c r="A1620" s="5" t="s">
        <v>3266</v>
      </c>
      <c r="B1620" s="5" t="s">
        <v>3279</v>
      </c>
      <c r="C1620" s="6" t="str">
        <f>_xll.QS.CONTEXT.CREATE("market.1618",A1620,"USD","SOFR")</f>
        <v>QSObject:PricingContext:w1~market.1618:18943</v>
      </c>
      <c r="D1620" s="6" t="str">
        <f>_xll.QS.CONTEXT.ADD.CURVE(C1620,"SOFR",$K$2:$K$7,$L$2:$L$7,,,"Actual360","LogLinear",TRUE)</f>
        <v>QSObject:ContextInput:w1~input.qs_context_add_curve.2359132437744.1619.3.0:38507</v>
      </c>
      <c r="E1620" s="6" t="str">
        <f>_xll.QS.INSTRUMENT.SWAP("swap.1618",H1620,B1620,"USD","SOFR",I1620,J1620,0,"Actual360","Simple","Annual","Annual","Annual")</f>
        <v>QSObject:Swap:w1~swap.1618:18942</v>
      </c>
      <c r="F1620" s="6" t="str">
        <f>_xll.QS.TRADE.CREATE("trade.1618",E1620,A1620,"Receive")</f>
        <v>QSObject:SwapTrade:w1~trade.1618:29527</v>
      </c>
      <c r="G1620" s="3">
        <f>_xll.QS.EVALUATE(C1620,F1620)</f>
        <v>25572.525468051976</v>
      </c>
      <c r="H1620" s="5" t="s">
        <v>3280</v>
      </c>
      <c r="I1620" s="7">
        <v>1161800</v>
      </c>
      <c r="J1620" s="8">
        <v>3.6800000000000013E-2</v>
      </c>
    </row>
    <row r="1621" spans="1:10" x14ac:dyDescent="0.25">
      <c r="A1621" s="5" t="s">
        <v>3268</v>
      </c>
      <c r="B1621" s="5" t="s">
        <v>3281</v>
      </c>
      <c r="C1621" s="6" t="str">
        <f>_xll.QS.CONTEXT.CREATE("market.1619",A1621,"USD","SOFR")</f>
        <v>QSObject:PricingContext:w1~market.1619:18941</v>
      </c>
      <c r="D1621" s="6" t="str">
        <f>_xll.QS.CONTEXT.ADD.CURVE(C1621,"SOFR",$K$2:$K$7,$L$2:$L$7,,,"Actual360","LogLinear",TRUE)</f>
        <v>QSObject:ContextInput:w1~input.qs_context_add_curve.2359132437744.1620.3.0:38506</v>
      </c>
      <c r="E1621" s="6" t="str">
        <f>_xll.QS.INSTRUMENT.SWAP("swap.1619",H1621,B1621,"USD","SOFR",I1621,J1621,0,"Actual360","Simple","Annual","Annual","Annual")</f>
        <v>QSObject:Swap:w1~swap.1619:18940</v>
      </c>
      <c r="F1621" s="6" t="str">
        <f>_xll.QS.TRADE.CREATE("trade.1619",E1621,A1621,"Receive")</f>
        <v>QSObject:SwapTrade:w1~trade.1619:30197</v>
      </c>
      <c r="G1621" s="3">
        <f>_xll.QS.EVALUATE(C1621,F1621)</f>
        <v>26195.392460973944</v>
      </c>
      <c r="H1621" s="5" t="s">
        <v>3282</v>
      </c>
      <c r="I1621" s="7">
        <v>1161900</v>
      </c>
      <c r="J1621" s="8">
        <v>3.6900000000000002E-2</v>
      </c>
    </row>
    <row r="1622" spans="1:10" x14ac:dyDescent="0.25">
      <c r="A1622" s="5" t="s">
        <v>3270</v>
      </c>
      <c r="B1622" s="5" t="s">
        <v>3283</v>
      </c>
      <c r="C1622" s="6" t="str">
        <f>_xll.QS.CONTEXT.CREATE("market.1620",A1622,"USD","SOFR")</f>
        <v>QSObject:PricingContext:w1~market.1620:18939</v>
      </c>
      <c r="D1622" s="6" t="str">
        <f>_xll.QS.CONTEXT.ADD.CURVE(C1622,"SOFR",$K$2:$K$7,$L$2:$L$7,,,"Actual360","LogLinear",TRUE)</f>
        <v>QSObject:ContextInput:w1~input.qs_context_add_curve.2359132437744.1621.3.0:38505</v>
      </c>
      <c r="E1622" s="6" t="str">
        <f>_xll.QS.INSTRUMENT.SWAP("swap.1620",H1622,B1622,"USD","SOFR",I1622,J1622,0,"Actual360","Simple","Annual","Annual","Annual")</f>
        <v>QSObject:Swap:w1~swap.1620:18938</v>
      </c>
      <c r="F1622" s="6" t="str">
        <f>_xll.QS.TRADE.CREATE("trade.1620",E1622,A1622,"Receive")</f>
        <v>QSObject:SwapTrade:w1~trade.1620:29526</v>
      </c>
      <c r="G1622" s="3">
        <f>_xll.QS.EVALUATE(C1622,F1622)</f>
        <v>26784.013310472572</v>
      </c>
      <c r="H1622" s="5" t="s">
        <v>3284</v>
      </c>
      <c r="I1622" s="7">
        <v>1162000</v>
      </c>
      <c r="J1622" s="8">
        <v>3.7000000000000012E-2</v>
      </c>
    </row>
    <row r="1623" spans="1:10" x14ac:dyDescent="0.25">
      <c r="A1623" s="5" t="s">
        <v>3272</v>
      </c>
      <c r="B1623" s="5" t="s">
        <v>3285</v>
      </c>
      <c r="C1623" s="6" t="str">
        <f>_xll.QS.CONTEXT.CREATE("market.1621",A1623,"USD","SOFR")</f>
        <v>QSObject:PricingContext:w1~market.1621:18937</v>
      </c>
      <c r="D1623" s="6" t="str">
        <f>_xll.QS.CONTEXT.ADD.CURVE(C1623,"SOFR",$K$2:$K$7,$L$2:$L$7,,,"Actual360","LogLinear",TRUE)</f>
        <v>QSObject:ContextInput:w1~input.qs_context_add_curve.2359132437744.1622.3.0:38504</v>
      </c>
      <c r="E1623" s="6" t="str">
        <f>_xll.QS.INSTRUMENT.SWAP("swap.1621",H1623,B1623,"USD","SOFR",I1623,J1623,0,"Actual360","Simple","Annual","Annual","Annual")</f>
        <v>QSObject:Swap:w1~swap.1621:18936</v>
      </c>
      <c r="F1623" s="6" t="str">
        <f>_xll.QS.TRADE.CREATE("trade.1621",E1623,A1623,"Receive")</f>
        <v>QSObject:SwapTrade:w1~trade.1621:29525</v>
      </c>
      <c r="G1623" s="3">
        <f>_xll.QS.EVALUATE(C1623,F1623)</f>
        <v>27278.097971883588</v>
      </c>
      <c r="H1623" s="5" t="s">
        <v>3286</v>
      </c>
      <c r="I1623" s="7">
        <v>1162100</v>
      </c>
      <c r="J1623" s="8">
        <v>3.7100000000000001E-2</v>
      </c>
    </row>
    <row r="1624" spans="1:10" x14ac:dyDescent="0.25">
      <c r="A1624" s="5" t="s">
        <v>3274</v>
      </c>
      <c r="B1624" s="5" t="s">
        <v>3287</v>
      </c>
      <c r="C1624" s="6" t="str">
        <f>_xll.QS.CONTEXT.CREATE("market.1622",A1624,"USD","SOFR")</f>
        <v>QSObject:PricingContext:w1~market.1622:18935</v>
      </c>
      <c r="D1624" s="6" t="str">
        <f>_xll.QS.CONTEXT.ADD.CURVE(C1624,"SOFR",$K$2:$K$7,$L$2:$L$7,,,"Actual360","LogLinear",TRUE)</f>
        <v>QSObject:ContextInput:w1~input.qs_context_add_curve.2359132437744.1623.3.0:38503</v>
      </c>
      <c r="E1624" s="6" t="str">
        <f>_xll.QS.INSTRUMENT.SWAP("swap.1622",H1624,B1624,"USD","SOFR",I1624,J1624,0,"Actual360","Simple","Annual","Annual","Annual")</f>
        <v>QSObject:Swap:w1~swap.1622:18934</v>
      </c>
      <c r="F1624" s="6" t="str">
        <f>_xll.QS.TRADE.CREATE("trade.1622",E1624,A1624,"Receive")</f>
        <v>QSObject:SwapTrade:w1~trade.1622:30196</v>
      </c>
      <c r="G1624" s="3">
        <f>_xll.QS.EVALUATE(C1624,F1624)</f>
        <v>27734.471810558254</v>
      </c>
      <c r="H1624" s="5" t="s">
        <v>3288</v>
      </c>
      <c r="I1624" s="7">
        <v>1162200</v>
      </c>
      <c r="J1624" s="8">
        <v>3.7199999999999997E-2</v>
      </c>
    </row>
    <row r="1625" spans="1:10" x14ac:dyDescent="0.25">
      <c r="A1625" s="5" t="s">
        <v>3276</v>
      </c>
      <c r="B1625" s="5" t="s">
        <v>3289</v>
      </c>
      <c r="C1625" s="6" t="str">
        <f>_xll.QS.CONTEXT.CREATE("market.1623",A1625,"USD","SOFR")</f>
        <v>QSObject:PricingContext:w1~market.1623:18933</v>
      </c>
      <c r="D1625" s="6" t="str">
        <f>_xll.QS.CONTEXT.ADD.CURVE(C1625,"SOFR",$K$2:$K$7,$L$2:$L$7,,,"Actual360","LogLinear",TRUE)</f>
        <v>QSObject:ContextInput:w1~input.qs_context_add_curve.2359132437744.1624.3.0:38502</v>
      </c>
      <c r="E1625" s="6" t="str">
        <f>_xll.QS.INSTRUMENT.SWAP("swap.1623",H1625,B1625,"USD","SOFR",I1625,J1625,0,"Actual360","Simple","Annual","Annual","Annual")</f>
        <v>QSObject:Swap:w1~swap.1623:18932</v>
      </c>
      <c r="F1625" s="6" t="str">
        <f>_xll.QS.TRADE.CREATE("trade.1623",E1625,A1625,"Receive")</f>
        <v>QSObject:SwapTrade:w1~trade.1623:29524</v>
      </c>
      <c r="G1625" s="3">
        <f>_xll.QS.EVALUATE(C1625,F1625)</f>
        <v>28184.120744843942</v>
      </c>
      <c r="H1625" s="5" t="s">
        <v>3290</v>
      </c>
      <c r="I1625" s="7">
        <v>1162300</v>
      </c>
      <c r="J1625" s="8">
        <v>3.73E-2</v>
      </c>
    </row>
    <row r="1626" spans="1:10" x14ac:dyDescent="0.25">
      <c r="A1626" s="5" t="s">
        <v>3278</v>
      </c>
      <c r="B1626" s="5" t="s">
        <v>3291</v>
      </c>
      <c r="C1626" s="6" t="str">
        <f>_xll.QS.CONTEXT.CREATE("market.1624",A1626,"USD","SOFR")</f>
        <v>QSObject:PricingContext:w1~market.1624:18931</v>
      </c>
      <c r="D1626" s="6" t="str">
        <f>_xll.QS.CONTEXT.ADD.CURVE(C1626,"SOFR",$K$2:$K$7,$L$2:$L$7,,,"Actual360","LogLinear",TRUE)</f>
        <v>QSObject:ContextInput:w1~input.qs_context_add_curve.2359132437744.1625.3.0:38501</v>
      </c>
      <c r="E1626" s="6" t="str">
        <f>_xll.QS.INSTRUMENT.SWAP("swap.1624",H1626,B1626,"USD","SOFR",I1626,J1626,0,"Actual360","Simple","Annual","Annual","Annual")</f>
        <v>QSObject:Swap:w1~swap.1624:18930</v>
      </c>
      <c r="F1626" s="6" t="str">
        <f>_xll.QS.TRADE.CREATE("trade.1624",E1626,A1626,"Receive")</f>
        <v>QSObject:SwapTrade:w1~trade.1624:30195</v>
      </c>
      <c r="G1626" s="3">
        <f>_xll.QS.EVALUATE(C1626,F1626)</f>
        <v>28772.225752968683</v>
      </c>
      <c r="H1626" s="5" t="s">
        <v>3292</v>
      </c>
      <c r="I1626" s="7">
        <v>1162400</v>
      </c>
      <c r="J1626" s="8">
        <v>3.7400000000000003E-2</v>
      </c>
    </row>
    <row r="1627" spans="1:10" x14ac:dyDescent="0.25">
      <c r="A1627" s="5" t="s">
        <v>3280</v>
      </c>
      <c r="B1627" s="5" t="s">
        <v>3293</v>
      </c>
      <c r="C1627" s="6" t="str">
        <f>_xll.QS.CONTEXT.CREATE("market.1625",A1627,"USD","SOFR")</f>
        <v>QSObject:PricingContext:w1~market.1625:18929</v>
      </c>
      <c r="D1627" s="6" t="str">
        <f>_xll.QS.CONTEXT.ADD.CURVE(C1627,"SOFR",$K$2:$K$7,$L$2:$L$7,,,"Actual360","LogLinear",TRUE)</f>
        <v>QSObject:ContextInput:w1~input.qs_context_add_curve.2359132437744.1626.3.0:38500</v>
      </c>
      <c r="E1627" s="6" t="str">
        <f>_xll.QS.INSTRUMENT.SWAP("swap.1625",H1627,B1627,"USD","SOFR",I1627,J1627,0,"Actual360","Simple","Annual","Annual","Annual")</f>
        <v>QSObject:Swap:w1~swap.1625:18928</v>
      </c>
      <c r="F1627" s="6" t="str">
        <f>_xll.QS.TRADE.CREATE("trade.1625",E1627,A1627,"Receive")</f>
        <v>QSObject:SwapTrade:w1~trade.1625:29523</v>
      </c>
      <c r="G1627" s="3">
        <f>_xll.QS.EVALUATE(C1627,F1627)</f>
        <v>29340.396045978363</v>
      </c>
      <c r="H1627" s="5" t="s">
        <v>3294</v>
      </c>
      <c r="I1627" s="7">
        <v>1162500</v>
      </c>
      <c r="J1627" s="8">
        <v>3.7500000000000012E-2</v>
      </c>
    </row>
    <row r="1628" spans="1:10" x14ac:dyDescent="0.25">
      <c r="A1628" s="5" t="s">
        <v>3282</v>
      </c>
      <c r="B1628" s="5" t="s">
        <v>3295</v>
      </c>
      <c r="C1628" s="6" t="str">
        <f>_xll.QS.CONTEXT.CREATE("market.1626",A1628,"USD","SOFR")</f>
        <v>QSObject:PricingContext:w1~market.1626:18927</v>
      </c>
      <c r="D1628" s="6" t="str">
        <f>_xll.QS.CONTEXT.ADD.CURVE(C1628,"SOFR",$K$2:$K$7,$L$2:$L$7,,,"Actual360","LogLinear",TRUE)</f>
        <v>QSObject:ContextInput:w1~input.qs_context_add_curve.2359132437744.1627.3.0:38499</v>
      </c>
      <c r="E1628" s="6" t="str">
        <f>_xll.QS.INSTRUMENT.SWAP("swap.1626",H1628,B1628,"USD","SOFR",I1628,J1628,0,"Actual360","Simple","Annual","Annual","Annual")</f>
        <v>QSObject:Swap:w1~swap.1626:18926</v>
      </c>
      <c r="F1628" s="6" t="str">
        <f>_xll.QS.TRADE.CREATE("trade.1626",E1628,A1628,"Receive")</f>
        <v>QSObject:SwapTrade:w1~trade.1626:30194</v>
      </c>
      <c r="G1628" s="3">
        <f>_xll.QS.EVALUATE(C1628,F1628)</f>
        <v>29964.011558175771</v>
      </c>
      <c r="H1628" s="5" t="s">
        <v>3296</v>
      </c>
      <c r="I1628" s="7">
        <v>1162600</v>
      </c>
      <c r="J1628" s="8">
        <v>3.7600000000000001E-2</v>
      </c>
    </row>
    <row r="1629" spans="1:10" x14ac:dyDescent="0.25">
      <c r="A1629" s="5" t="s">
        <v>3284</v>
      </c>
      <c r="B1629" s="5" t="s">
        <v>3297</v>
      </c>
      <c r="C1629" s="6" t="str">
        <f>_xll.QS.CONTEXT.CREATE("market.1627",A1629,"USD","SOFR")</f>
        <v>QSObject:PricingContext:w1~market.1627:18925</v>
      </c>
      <c r="D1629" s="6" t="str">
        <f>_xll.QS.CONTEXT.ADD.CURVE(C1629,"SOFR",$K$2:$K$7,$L$2:$L$7,,,"Actual360","LogLinear",TRUE)</f>
        <v>QSObject:ContextInput:w1~input.qs_context_add_curve.2359132437744.1628.3.0:38498</v>
      </c>
      <c r="E1629" s="6" t="str">
        <f>_xll.QS.INSTRUMENT.SWAP("swap.1627",H1629,B1629,"USD","SOFR",I1629,J1629,0,"Actual360","Simple","Annual","Annual","Annual")</f>
        <v>QSObject:Swap:w1~swap.1627:18924</v>
      </c>
      <c r="F1629" s="6" t="str">
        <f>_xll.QS.TRADE.CREATE("trade.1627",E1629,A1629,"Receive")</f>
        <v>QSObject:SwapTrade:w1~trade.1627:29522</v>
      </c>
      <c r="G1629" s="3">
        <f>_xll.QS.EVALUATE(C1629,F1629)</f>
        <v>30553.347990205817</v>
      </c>
      <c r="H1629" s="5" t="s">
        <v>3298</v>
      </c>
      <c r="I1629" s="7">
        <v>1162700</v>
      </c>
      <c r="J1629" s="8">
        <v>3.7699999999999997E-2</v>
      </c>
    </row>
    <row r="1630" spans="1:10" x14ac:dyDescent="0.25">
      <c r="A1630" s="5" t="s">
        <v>3286</v>
      </c>
      <c r="B1630" s="5" t="s">
        <v>3299</v>
      </c>
      <c r="C1630" s="6" t="str">
        <f>_xll.QS.CONTEXT.CREATE("market.1628",A1630,"USD","SOFR")</f>
        <v>QSObject:PricingContext:w1~market.1628:18923</v>
      </c>
      <c r="D1630" s="6" t="str">
        <f>_xll.QS.CONTEXT.ADD.CURVE(C1630,"SOFR",$K$2:$K$7,$L$2:$L$7,,,"Actual360","LogLinear",TRUE)</f>
        <v>QSObject:ContextInput:w1~input.qs_context_add_curve.2359132437744.1629.3.0:38497</v>
      </c>
      <c r="E1630" s="6" t="str">
        <f>_xll.QS.INSTRUMENT.SWAP("swap.1628",H1630,B1630,"USD","SOFR",I1630,J1630,0,"Actual360","Simple","Annual","Annual","Annual")</f>
        <v>QSObject:Swap:w1~swap.1628:18922</v>
      </c>
      <c r="F1630" s="6" t="str">
        <f>_xll.QS.TRADE.CREATE("trade.1628",E1630,A1630,"Receive")</f>
        <v>QSObject:SwapTrade:w1~trade.1628:30193</v>
      </c>
      <c r="G1630" s="3">
        <f>_xll.QS.EVALUATE(C1630,F1630)</f>
        <v>31048.021420877831</v>
      </c>
      <c r="H1630" s="5" t="s">
        <v>3300</v>
      </c>
      <c r="I1630" s="7">
        <v>1162800</v>
      </c>
      <c r="J1630" s="8">
        <v>3.78E-2</v>
      </c>
    </row>
    <row r="1631" spans="1:10" x14ac:dyDescent="0.25">
      <c r="A1631" s="5" t="s">
        <v>3288</v>
      </c>
      <c r="B1631" s="5" t="s">
        <v>3301</v>
      </c>
      <c r="C1631" s="6" t="str">
        <f>_xll.QS.CONTEXT.CREATE("market.1629",A1631,"USD","SOFR")</f>
        <v>QSObject:PricingContext:w1~market.1629:18921</v>
      </c>
      <c r="D1631" s="6" t="str">
        <f>_xll.QS.CONTEXT.ADD.CURVE(C1631,"SOFR",$K$2:$K$7,$L$2:$L$7,,,"Actual360","LogLinear",TRUE)</f>
        <v>QSObject:ContextInput:w1~input.qs_context_add_curve.2359132437744.1630.3.0:38496</v>
      </c>
      <c r="E1631" s="6" t="str">
        <f>_xll.QS.INSTRUMENT.SWAP("swap.1629",H1631,B1631,"USD","SOFR",I1631,J1631,0,"Actual360","Simple","Annual","Annual","Annual")</f>
        <v>QSObject:Swap:w1~swap.1629:18920</v>
      </c>
      <c r="F1631" s="6" t="str">
        <f>_xll.QS.TRADE.CREATE("trade.1629",E1631,A1631,"Receive")</f>
        <v>QSObject:SwapTrade:w1~trade.1629:29521</v>
      </c>
      <c r="G1631" s="3">
        <f>_xll.QS.EVALUATE(C1631,F1631)</f>
        <v>31500.567771804523</v>
      </c>
      <c r="H1631" s="5" t="s">
        <v>3302</v>
      </c>
      <c r="I1631" s="7">
        <v>1162900</v>
      </c>
      <c r="J1631" s="8">
        <v>3.7900000000000003E-2</v>
      </c>
    </row>
    <row r="1632" spans="1:10" x14ac:dyDescent="0.25">
      <c r="A1632" s="5" t="s">
        <v>3290</v>
      </c>
      <c r="B1632" s="5" t="s">
        <v>3303</v>
      </c>
      <c r="C1632" s="6" t="str">
        <f>_xll.QS.CONTEXT.CREATE("market.1630",A1632,"USD","SOFR")</f>
        <v>QSObject:PricingContext:w1~market.1630:18919</v>
      </c>
      <c r="D1632" s="6" t="str">
        <f>_xll.QS.CONTEXT.ADD.CURVE(C1632,"SOFR",$K$2:$K$7,$L$2:$L$7,,,"Actual360","LogLinear",TRUE)</f>
        <v>QSObject:ContextInput:w1~input.qs_context_add_curve.2359132437744.1631.3.0:38495</v>
      </c>
      <c r="E1632" s="6" t="str">
        <f>_xll.QS.INSTRUMENT.SWAP("swap.1630",H1632,B1632,"USD","SOFR",I1632,J1632,0,"Actual360","Simple","Annual","Annual","Annual")</f>
        <v>QSObject:Swap:w1~swap.1630:18918</v>
      </c>
      <c r="F1632" s="6" t="str">
        <f>_xll.QS.TRADE.CREATE("trade.1630",E1632,A1632,"Receive")</f>
        <v>QSObject:SwapTrade:w1~trade.1630:30192</v>
      </c>
      <c r="G1632" s="3">
        <f>_xll.QS.EVALUATE(C1632,F1632)</f>
        <v>31956.628441172739</v>
      </c>
      <c r="H1632" s="5" t="s">
        <v>3304</v>
      </c>
      <c r="I1632" s="7">
        <v>1163000</v>
      </c>
      <c r="J1632" s="8">
        <v>3.8000000000000013E-2</v>
      </c>
    </row>
    <row r="1633" spans="1:10" x14ac:dyDescent="0.25">
      <c r="A1633" s="5" t="s">
        <v>3292</v>
      </c>
      <c r="B1633" s="5" t="s">
        <v>3305</v>
      </c>
      <c r="C1633" s="6" t="str">
        <f>_xll.QS.CONTEXT.CREATE("market.1631",A1633,"USD","SOFR")</f>
        <v>QSObject:PricingContext:w1~market.1631:18917</v>
      </c>
      <c r="D1633" s="6" t="str">
        <f>_xll.QS.CONTEXT.ADD.CURVE(C1633,"SOFR",$K$2:$K$7,$L$2:$L$7,,,"Actual360","LogLinear",TRUE)</f>
        <v>QSObject:ContextInput:w1~input.qs_context_add_curve.2359132437744.1632.3.0:38494</v>
      </c>
      <c r="E1633" s="6" t="str">
        <f>_xll.QS.INSTRUMENT.SWAP("swap.1631",H1633,B1633,"USD","SOFR",I1633,J1633,0,"Actual360","Simple","Annual","Annual","Annual")</f>
        <v>QSObject:Swap:w1~swap.1631:18916</v>
      </c>
      <c r="F1633" s="6" t="str">
        <f>_xll.QS.TRADE.CREATE("trade.1631",E1633,A1633,"Receive")</f>
        <v>QSObject:SwapTrade:w1~trade.1631:29520</v>
      </c>
      <c r="G1633" s="3">
        <f>_xll.QS.EVALUATE(C1633,F1633)</f>
        <v>32545.785959077573</v>
      </c>
      <c r="H1633" s="5" t="s">
        <v>3306</v>
      </c>
      <c r="I1633" s="7">
        <v>1163100</v>
      </c>
      <c r="J1633" s="8">
        <v>3.8100000000000002E-2</v>
      </c>
    </row>
    <row r="1634" spans="1:10" x14ac:dyDescent="0.25">
      <c r="A1634" s="5" t="s">
        <v>3294</v>
      </c>
      <c r="B1634" s="5" t="s">
        <v>3307</v>
      </c>
      <c r="C1634" s="6" t="str">
        <f>_xll.QS.CONTEXT.CREATE("market.1632",A1634,"USD","SOFR")</f>
        <v>QSObject:PricingContext:w1~market.1632:18915</v>
      </c>
      <c r="D1634" s="6" t="str">
        <f>_xll.QS.CONTEXT.ADD.CURVE(C1634,"SOFR",$K$2:$K$7,$L$2:$L$7,,,"Actual360","LogLinear",TRUE)</f>
        <v>QSObject:ContextInput:w1~input.qs_context_add_curve.2359132437744.1633.3.0:38493</v>
      </c>
      <c r="E1634" s="6" t="str">
        <f>_xll.QS.INSTRUMENT.SWAP("swap.1632",H1634,B1634,"USD","SOFR",I1634,J1634,0,"Actual360","Simple","Annual","Annual","Annual")</f>
        <v>QSObject:Swap:w1~swap.1632:18914</v>
      </c>
      <c r="F1634" s="6" t="str">
        <f>_xll.QS.TRADE.CREATE("trade.1632",E1634,A1634,"Receive")</f>
        <v>QSObject:SwapTrade:w1~trade.1632:30191</v>
      </c>
      <c r="G1634" s="3">
        <f>_xll.QS.EVALUATE(C1634,F1634)</f>
        <v>33112.780637771008</v>
      </c>
      <c r="H1634" s="5" t="s">
        <v>3308</v>
      </c>
      <c r="I1634" s="7">
        <v>1163200</v>
      </c>
      <c r="J1634" s="8">
        <v>3.8199999999999998E-2</v>
      </c>
    </row>
    <row r="1635" spans="1:10" x14ac:dyDescent="0.25">
      <c r="A1635" s="5" t="s">
        <v>3296</v>
      </c>
      <c r="B1635" s="5" t="s">
        <v>3309</v>
      </c>
      <c r="C1635" s="6" t="str">
        <f>_xll.QS.CONTEXT.CREATE("market.1633",A1635,"USD","SOFR")</f>
        <v>QSObject:PricingContext:w1~market.1633:18913</v>
      </c>
      <c r="D1635" s="6" t="str">
        <f>_xll.QS.CONTEXT.ADD.CURVE(C1635,"SOFR",$K$2:$K$7,$L$2:$L$7,,,"Actual360","LogLinear",TRUE)</f>
        <v>QSObject:ContextInput:w1~input.qs_context_add_curve.2359132437744.1634.3.0:38492</v>
      </c>
      <c r="E1635" s="6" t="str">
        <f>_xll.QS.INSTRUMENT.SWAP("swap.1633",H1635,B1635,"USD","SOFR",I1635,J1635,0,"Actual360","Simple","Annual","Annual","Annual")</f>
        <v>QSObject:Swap:w1~swap.1633:18912</v>
      </c>
      <c r="F1635" s="6" t="str">
        <f>_xll.QS.TRADE.CREATE("trade.1633",E1635,A1635,"Receive")</f>
        <v>QSObject:SwapTrade:w1~trade.1633:30190</v>
      </c>
      <c r="G1635" s="3">
        <f>_xll.QS.EVALUATE(C1635,F1635)</f>
        <v>33737.3556849503</v>
      </c>
      <c r="H1635" s="5" t="s">
        <v>3310</v>
      </c>
      <c r="I1635" s="7">
        <v>1163300</v>
      </c>
      <c r="J1635" s="8">
        <v>3.8300000000000001E-2</v>
      </c>
    </row>
    <row r="1636" spans="1:10" x14ac:dyDescent="0.25">
      <c r="A1636" s="5" t="s">
        <v>3298</v>
      </c>
      <c r="B1636" s="5" t="s">
        <v>3311</v>
      </c>
      <c r="C1636" s="6" t="str">
        <f>_xll.QS.CONTEXT.CREATE("market.1634",A1636,"USD","SOFR")</f>
        <v>QSObject:PricingContext:w1~market.1634:18911</v>
      </c>
      <c r="D1636" s="6" t="str">
        <f>_xll.QS.CONTEXT.ADD.CURVE(C1636,"SOFR",$K$2:$K$7,$L$2:$L$7,,,"Actual360","LogLinear",TRUE)</f>
        <v>QSObject:ContextInput:w1~input.qs_context_add_curve.2359132437744.1635.3.0:38491</v>
      </c>
      <c r="E1636" s="6" t="str">
        <f>_xll.QS.INSTRUMENT.SWAP("swap.1634",H1636,B1636,"USD","SOFR",I1636,J1636,0,"Actual360","Simple","Annual","Annual","Annual")</f>
        <v>QSObject:Swap:w1~swap.1634:18910</v>
      </c>
      <c r="F1636" s="6" t="str">
        <f>_xll.QS.TRADE.CREATE("trade.1634",E1636,A1636,"Receive")</f>
        <v>QSObject:SwapTrade:w1~trade.1634:29519</v>
      </c>
      <c r="G1636" s="3">
        <f>_xll.QS.EVALUATE(C1636,F1636)</f>
        <v>34327.735401395039</v>
      </c>
      <c r="H1636" s="5" t="s">
        <v>3312</v>
      </c>
      <c r="I1636" s="7">
        <v>1163400</v>
      </c>
      <c r="J1636" s="8">
        <v>3.8399999999999997E-2</v>
      </c>
    </row>
    <row r="1637" spans="1:10" x14ac:dyDescent="0.25">
      <c r="A1637" s="5" t="s">
        <v>3300</v>
      </c>
      <c r="B1637" s="5" t="s">
        <v>3313</v>
      </c>
      <c r="C1637" s="6" t="str">
        <f>_xll.QS.CONTEXT.CREATE("market.1635",A1637,"USD","SOFR")</f>
        <v>QSObject:PricingContext:w1~market.1635:18909</v>
      </c>
      <c r="D1637" s="6" t="str">
        <f>_xll.QS.CONTEXT.ADD.CURVE(C1637,"SOFR",$K$2:$K$7,$L$2:$L$7,,,"Actual360","LogLinear",TRUE)</f>
        <v>QSObject:ContextInput:w1~input.qs_context_add_curve.2359132437744.1636.3.0:38490</v>
      </c>
      <c r="E1637" s="6" t="str">
        <f>_xll.QS.INSTRUMENT.SWAP("swap.1635",H1637,B1637,"USD","SOFR",I1637,J1637,0,"Actual360","Simple","Annual","Annual","Annual")</f>
        <v>QSObject:Swap:w1~swap.1635:18908</v>
      </c>
      <c r="F1637" s="6" t="str">
        <f>_xll.QS.TRADE.CREATE("trade.1635",E1637,A1637,"Receive")</f>
        <v>QSObject:SwapTrade:w1~trade.1635:30189</v>
      </c>
      <c r="G1637" s="3">
        <f>_xll.QS.EVALUATE(C1637,F1637)</f>
        <v>34822.464038416918</v>
      </c>
      <c r="H1637" s="5" t="s">
        <v>3314</v>
      </c>
      <c r="I1637" s="7">
        <v>1163500</v>
      </c>
      <c r="J1637" s="8">
        <v>3.8500000000000013E-2</v>
      </c>
    </row>
    <row r="1638" spans="1:10" x14ac:dyDescent="0.25">
      <c r="A1638" s="5" t="s">
        <v>3302</v>
      </c>
      <c r="B1638" s="5" t="s">
        <v>3315</v>
      </c>
      <c r="C1638" s="6" t="str">
        <f>_xll.QS.CONTEXT.CREATE("market.1636",A1638,"USD","SOFR")</f>
        <v>QSObject:PricingContext:w1~market.1636:18907</v>
      </c>
      <c r="D1638" s="6" t="str">
        <f>_xll.QS.CONTEXT.ADD.CURVE(C1638,"SOFR",$K$2:$K$7,$L$2:$L$7,,,"Actual360","LogLinear",TRUE)</f>
        <v>QSObject:ContextInput:w1~input.qs_context_add_curve.2359132437744.1637.3.0:38489</v>
      </c>
      <c r="E1638" s="6" t="str">
        <f>_xll.QS.INSTRUMENT.SWAP("swap.1636",H1638,B1638,"USD","SOFR",I1638,J1638,0,"Actual360","Simple","Annual","Annual","Annual")</f>
        <v>QSObject:Swap:w1~swap.1636:18906</v>
      </c>
      <c r="F1638" s="6" t="str">
        <f>_xll.QS.TRADE.CREATE("trade.1636",E1638,A1638,"Receive")</f>
        <v>QSObject:SwapTrade:w1~trade.1636:29518</v>
      </c>
      <c r="G1638" s="3">
        <f>_xll.QS.EVALUATE(C1638,F1638)</f>
        <v>35248.876744871486</v>
      </c>
      <c r="H1638" s="5" t="s">
        <v>3316</v>
      </c>
      <c r="I1638" s="7">
        <v>1163600</v>
      </c>
      <c r="J1638" s="8">
        <v>3.8600000000000002E-2</v>
      </c>
    </row>
    <row r="1639" spans="1:10" x14ac:dyDescent="0.25">
      <c r="A1639" s="5" t="s">
        <v>3304</v>
      </c>
      <c r="B1639" s="5" t="s">
        <v>3317</v>
      </c>
      <c r="C1639" s="6" t="str">
        <f>_xll.QS.CONTEXT.CREATE("market.1637",A1639,"USD","SOFR")</f>
        <v>QSObject:PricingContext:w1~market.1637:18905</v>
      </c>
      <c r="D1639" s="6" t="str">
        <f>_xll.QS.CONTEXT.ADD.CURVE(C1639,"SOFR",$K$2:$K$7,$L$2:$L$7,,,"Actual360","LogLinear",TRUE)</f>
        <v>QSObject:ContextInput:w1~input.qs_context_add_curve.2359132437744.1638.3.0:38488</v>
      </c>
      <c r="E1639" s="6" t="str">
        <f>_xll.QS.INSTRUMENT.SWAP("swap.1637",H1639,B1639,"USD","SOFR",I1639,J1639,0,"Actual360","Simple","Annual","Annual","Annual")</f>
        <v>QSObject:Swap:w1~swap.1637:18904</v>
      </c>
      <c r="F1639" s="6" t="str">
        <f>_xll.QS.TRADE.CREATE("trade.1637",E1639,A1639,"Receive")</f>
        <v>QSObject:SwapTrade:w1~trade.1637:29517</v>
      </c>
      <c r="G1639" s="3">
        <f>_xll.QS.EVALUATE(C1639,F1639)</f>
        <v>35684.460217577347</v>
      </c>
      <c r="H1639" s="5" t="s">
        <v>3318</v>
      </c>
      <c r="I1639" s="7">
        <v>1163700</v>
      </c>
      <c r="J1639" s="8">
        <v>3.8700000000000012E-2</v>
      </c>
    </row>
    <row r="1640" spans="1:10" x14ac:dyDescent="0.25">
      <c r="A1640" s="5" t="s">
        <v>3306</v>
      </c>
      <c r="B1640" s="5" t="s">
        <v>3319</v>
      </c>
      <c r="C1640" s="6" t="str">
        <f>_xll.QS.CONTEXT.CREATE("market.1638",A1640,"USD","SOFR")</f>
        <v>QSObject:PricingContext:w1~market.1638:18903</v>
      </c>
      <c r="D1640" s="6" t="str">
        <f>_xll.QS.CONTEXT.ADD.CURVE(C1640,"SOFR",$K$2:$K$7,$L$2:$L$7,,,"Actual360","LogLinear",TRUE)</f>
        <v>QSObject:ContextInput:w1~input.qs_context_add_curve.2359132437744.1639.3.0:38487</v>
      </c>
      <c r="E1640" s="6" t="str">
        <f>_xll.QS.INSTRUMENT.SWAP("swap.1638",H1640,B1640,"USD","SOFR",I1640,J1640,0,"Actual360","Simple","Annual","Annual","Annual")</f>
        <v>QSObject:Swap:w1~swap.1638:18902</v>
      </c>
      <c r="F1640" s="6" t="str">
        <f>_xll.QS.TRADE.CREATE("trade.1638",E1640,A1640,"Receive")</f>
        <v>QSObject:SwapTrade:w1~trade.1638:29516</v>
      </c>
      <c r="G1640" s="3">
        <f>_xll.QS.EVALUATE(C1640,F1640)</f>
        <v>36273.741349795571</v>
      </c>
      <c r="H1640" s="5" t="s">
        <v>3320</v>
      </c>
      <c r="I1640" s="7">
        <v>1163800</v>
      </c>
      <c r="J1640" s="8">
        <v>3.8800000000000001E-2</v>
      </c>
    </row>
    <row r="1641" spans="1:10" x14ac:dyDescent="0.25">
      <c r="A1641" s="5" t="s">
        <v>3308</v>
      </c>
      <c r="B1641" s="5" t="s">
        <v>3321</v>
      </c>
      <c r="C1641" s="6" t="str">
        <f>_xll.QS.CONTEXT.CREATE("market.1639",A1641,"USD","SOFR")</f>
        <v>QSObject:PricingContext:w1~market.1639:18901</v>
      </c>
      <c r="D1641" s="6" t="str">
        <f>_xll.QS.CONTEXT.ADD.CURVE(C1641,"SOFR",$K$2:$K$7,$L$2:$L$7,,,"Actual360","LogLinear",TRUE)</f>
        <v>QSObject:ContextInput:w1~input.qs_context_add_curve.2359132437744.1640.3.0:38486</v>
      </c>
      <c r="E1641" s="6" t="str">
        <f>_xll.QS.INSTRUMENT.SWAP("swap.1639",H1641,B1641,"USD","SOFR",I1641,J1641,0,"Actual360","Simple","Annual","Annual","Annual")</f>
        <v>QSObject:Swap:w1~swap.1639:18900</v>
      </c>
      <c r="F1641" s="6" t="str">
        <f>_xll.QS.TRADE.CREATE("trade.1639",E1641,A1641,"Receive")</f>
        <v>QSObject:SwapTrade:w1~trade.1639:29515</v>
      </c>
      <c r="G1641" s="3">
        <f>_xll.QS.EVALUATE(C1641,F1641)</f>
        <v>36863.399498279294</v>
      </c>
      <c r="H1641" s="5" t="s">
        <v>3322</v>
      </c>
      <c r="I1641" s="7">
        <v>1163900</v>
      </c>
      <c r="J1641" s="8">
        <v>3.8899999999999997E-2</v>
      </c>
    </row>
    <row r="1642" spans="1:10" x14ac:dyDescent="0.25">
      <c r="A1642" s="5" t="s">
        <v>3310</v>
      </c>
      <c r="B1642" s="5" t="s">
        <v>3323</v>
      </c>
      <c r="C1642" s="6" t="str">
        <f>_xll.QS.CONTEXT.CREATE("market.1640",A1642,"USD","SOFR")</f>
        <v>QSObject:PricingContext:w1~market.1640:18899</v>
      </c>
      <c r="D1642" s="6" t="str">
        <f>_xll.QS.CONTEXT.ADD.CURVE(C1642,"SOFR",$K$2:$K$7,$L$2:$L$7,,,"Actual360","LogLinear",TRUE)</f>
        <v>QSObject:ContextInput:w1~input.qs_context_add_curve.2359132437744.1641.3.0:38485</v>
      </c>
      <c r="E1642" s="6" t="str">
        <f>_xll.QS.INSTRUMENT.SWAP("swap.1640",H1642,B1642,"USD","SOFR",I1642,J1642,0,"Actual360","Simple","Annual","Annual","Annual")</f>
        <v>QSObject:Swap:w1~swap.1640:18898</v>
      </c>
      <c r="F1642" s="6" t="str">
        <f>_xll.QS.TRADE.CREATE("trade.1640",E1642,A1642,"Receive")</f>
        <v>QSObject:SwapTrade:w1~trade.1640:30188</v>
      </c>
      <c r="G1642" s="3">
        <f>_xll.QS.EVALUATE(C1642,F1642)</f>
        <v>37558.144150178137</v>
      </c>
      <c r="H1642" s="5" t="s">
        <v>3324</v>
      </c>
      <c r="I1642" s="7">
        <v>1164000</v>
      </c>
      <c r="J1642" s="8">
        <v>3.9000000000000007E-2</v>
      </c>
    </row>
    <row r="1643" spans="1:10" x14ac:dyDescent="0.25">
      <c r="A1643" s="5" t="s">
        <v>3312</v>
      </c>
      <c r="B1643" s="5" t="s">
        <v>3325</v>
      </c>
      <c r="C1643" s="6" t="str">
        <f>_xll.QS.CONTEXT.CREATE("market.1641",A1643,"USD","SOFR")</f>
        <v>QSObject:PricingContext:w1~market.1641:18897</v>
      </c>
      <c r="D1643" s="6" t="str">
        <f>_xll.QS.CONTEXT.ADD.CURVE(C1643,"SOFR",$K$2:$K$7,$L$2:$L$7,,,"Actual360","LogLinear",TRUE)</f>
        <v>QSObject:ContextInput:w1~input.qs_context_add_curve.2359132437744.1642.3.0:38484</v>
      </c>
      <c r="E1643" s="6" t="str">
        <f>_xll.QS.INSTRUMENT.SWAP("swap.1641",H1643,B1643,"USD","SOFR",I1643,J1643,0,"Actual360","Simple","Annual","Annual","Annual")</f>
        <v>QSObject:Swap:w1~swap.1641:18896</v>
      </c>
      <c r="F1643" s="6" t="str">
        <f>_xll.QS.TRADE.CREATE("trade.1641",E1643,A1643,"Receive")</f>
        <v>QSObject:SwapTrade:w1~trade.1641:29514</v>
      </c>
      <c r="G1643" s="3">
        <f>_xll.QS.EVALUATE(C1643,F1643)</f>
        <v>38109.09438001916</v>
      </c>
      <c r="H1643" s="5" t="s">
        <v>3326</v>
      </c>
      <c r="I1643" s="7">
        <v>1164100</v>
      </c>
      <c r="J1643" s="8">
        <v>3.9100000000000003E-2</v>
      </c>
    </row>
    <row r="1644" spans="1:10" x14ac:dyDescent="0.25">
      <c r="A1644" s="5" t="s">
        <v>3314</v>
      </c>
      <c r="B1644" s="5" t="s">
        <v>3327</v>
      </c>
      <c r="C1644" s="6" t="str">
        <f>_xll.QS.CONTEXT.CREATE("market.1642",A1644,"USD","SOFR")</f>
        <v>QSObject:PricingContext:w1~market.1642:18895</v>
      </c>
      <c r="D1644" s="6" t="str">
        <f>_xll.QS.CONTEXT.ADD.CURVE(C1644,"SOFR",$K$2:$K$7,$L$2:$L$7,,,"Actual360","LogLinear",TRUE)</f>
        <v>QSObject:ContextInput:w1~input.qs_context_add_curve.2359132437744.1643.3.0:38483</v>
      </c>
      <c r="E1644" s="6" t="str">
        <f>_xll.QS.INSTRUMENT.SWAP("swap.1642",H1644,B1644,"USD","SOFR",I1644,J1644,0,"Actual360","Simple","Annual","Annual","Annual")</f>
        <v>QSObject:Swap:w1~swap.1642:18894</v>
      </c>
      <c r="F1644" s="6" t="str">
        <f>_xll.QS.TRADE.CREATE("trade.1642",E1644,A1644,"Receive")</f>
        <v>QSObject:SwapTrade:w1~trade.1642:30187</v>
      </c>
      <c r="G1644" s="3">
        <f>_xll.QS.EVALUATE(C1644,F1644)</f>
        <v>38649.093393054951</v>
      </c>
      <c r="H1644" s="5" t="s">
        <v>3328</v>
      </c>
      <c r="I1644" s="7">
        <v>1164200</v>
      </c>
      <c r="J1644" s="8">
        <v>3.9200000000000013E-2</v>
      </c>
    </row>
    <row r="1645" spans="1:10" x14ac:dyDescent="0.25">
      <c r="A1645" s="5" t="s">
        <v>3316</v>
      </c>
      <c r="B1645" s="5" t="s">
        <v>3329</v>
      </c>
      <c r="C1645" s="6" t="str">
        <f>_xll.QS.CONTEXT.CREATE("market.1643",A1645,"USD","SOFR")</f>
        <v>QSObject:PricingContext:w1~market.1643:18893</v>
      </c>
      <c r="D1645" s="6" t="str">
        <f>_xll.QS.CONTEXT.ADD.CURVE(C1645,"SOFR",$K$2:$K$7,$L$2:$L$7,,,"Actual360","LogLinear",TRUE)</f>
        <v>QSObject:ContextInput:w1~input.qs_context_add_curve.2359132437744.1644.3.0:38482</v>
      </c>
      <c r="E1645" s="6" t="str">
        <f>_xll.QS.INSTRUMENT.SWAP("swap.1643",H1645,B1645,"USD","SOFR",I1645,J1645,0,"Actual360","Simple","Annual","Annual","Annual")</f>
        <v>QSObject:Swap:w1~swap.1643:18892</v>
      </c>
      <c r="F1645" s="6" t="str">
        <f>_xll.QS.TRADE.CREATE("trade.1643",E1645,A1645,"Receive")</f>
        <v>QSObject:SwapTrade:w1~trade.1643:29513</v>
      </c>
      <c r="G1645" s="3">
        <f>_xll.QS.EVALUATE(C1645,F1645)</f>
        <v>39093.974897947257</v>
      </c>
      <c r="H1645" s="5" t="s">
        <v>3330</v>
      </c>
      <c r="I1645" s="7">
        <v>1164300</v>
      </c>
      <c r="J1645" s="8">
        <v>3.9300000000000002E-2</v>
      </c>
    </row>
    <row r="1646" spans="1:10" x14ac:dyDescent="0.25">
      <c r="A1646" s="5" t="s">
        <v>3318</v>
      </c>
      <c r="B1646" s="5" t="s">
        <v>3331</v>
      </c>
      <c r="C1646" s="6" t="str">
        <f>_xll.QS.CONTEXT.CREATE("market.1644",A1646,"USD","SOFR")</f>
        <v>QSObject:PricingContext:w1~market.1644:18891</v>
      </c>
      <c r="D1646" s="6" t="str">
        <f>_xll.QS.CONTEXT.ADD.CURVE(C1646,"SOFR",$K$2:$K$7,$L$2:$L$7,,,"Actual360","LogLinear",TRUE)</f>
        <v>QSObject:ContextInput:w1~input.qs_context_add_curve.2359132437744.1645.3.0:38481</v>
      </c>
      <c r="E1646" s="6" t="str">
        <f>_xll.QS.INSTRUMENT.SWAP("swap.1644",H1646,B1646,"USD","SOFR",I1646,J1646,0,"Actual360","Simple","Annual","Annual","Annual")</f>
        <v>QSObject:Swap:w1~swap.1644:18890</v>
      </c>
      <c r="F1646" s="6" t="str">
        <f>_xll.QS.TRADE.CREATE("trade.1644",E1646,A1646,"Receive")</f>
        <v>QSObject:SwapTrade:w1~trade.1644:30186</v>
      </c>
      <c r="G1646" s="3">
        <f>_xll.QS.EVALUATE(C1646,F1646)</f>
        <v>39562.766988964941</v>
      </c>
      <c r="H1646" s="5" t="s">
        <v>3332</v>
      </c>
      <c r="I1646" s="7">
        <v>1164400</v>
      </c>
      <c r="J1646" s="8">
        <v>3.9399999999999998E-2</v>
      </c>
    </row>
    <row r="1647" spans="1:10" x14ac:dyDescent="0.25">
      <c r="A1647" s="5" t="s">
        <v>3320</v>
      </c>
      <c r="B1647" s="5" t="s">
        <v>3333</v>
      </c>
      <c r="C1647" s="6" t="str">
        <f>_xll.QS.CONTEXT.CREATE("market.1645",A1647,"USD","SOFR")</f>
        <v>QSObject:PricingContext:w1~market.1645:18889</v>
      </c>
      <c r="D1647" s="6" t="str">
        <f>_xll.QS.CONTEXT.ADD.CURVE(C1647,"SOFR",$K$2:$K$7,$L$2:$L$7,,,"Actual360","LogLinear",TRUE)</f>
        <v>QSObject:ContextInput:w1~input.qs_context_add_curve.2359132437744.1646.3.0:38480</v>
      </c>
      <c r="E1647" s="6" t="str">
        <f>_xll.QS.INSTRUMENT.SWAP("swap.1645",H1647,B1647,"USD","SOFR",I1647,J1647,0,"Actual360","Simple","Annual","Annual","Annual")</f>
        <v>QSObject:Swap:w1~swap.1645:18888</v>
      </c>
      <c r="F1647" s="6" t="str">
        <f>_xll.QS.TRADE.CREATE("trade.1645",E1647,A1647,"Receive")</f>
        <v>QSObject:SwapTrade:w1~trade.1645:29512</v>
      </c>
      <c r="G1647" s="3">
        <f>_xll.QS.EVALUATE(C1647,F1647)</f>
        <v>40106.470278713678</v>
      </c>
      <c r="H1647" s="5" t="s">
        <v>3334</v>
      </c>
      <c r="I1647" s="7">
        <v>1164500</v>
      </c>
      <c r="J1647" s="8">
        <v>3.9500000000000007E-2</v>
      </c>
    </row>
    <row r="1648" spans="1:10" x14ac:dyDescent="0.25">
      <c r="A1648" s="5" t="s">
        <v>3322</v>
      </c>
      <c r="B1648" s="5" t="s">
        <v>3335</v>
      </c>
      <c r="C1648" s="6" t="str">
        <f>_xll.QS.CONTEXT.CREATE("market.1646",A1648,"USD","SOFR")</f>
        <v>QSObject:PricingContext:w1~market.1646:18887</v>
      </c>
      <c r="D1648" s="6" t="str">
        <f>_xll.QS.CONTEXT.ADD.CURVE(C1648,"SOFR",$K$2:$K$7,$L$2:$L$7,,,"Actual360","LogLinear",TRUE)</f>
        <v>QSObject:ContextInput:w1~input.qs_context_add_curve.2359132437744.1647.3.0:38479</v>
      </c>
      <c r="E1648" s="6" t="str">
        <f>_xll.QS.INSTRUMENT.SWAP("swap.1646",H1648,B1648,"USD","SOFR",I1648,J1648,0,"Actual360","Simple","Annual","Annual","Annual")</f>
        <v>QSObject:Swap:w1~swap.1646:18886</v>
      </c>
      <c r="F1648" s="6" t="str">
        <f>_xll.QS.TRADE.CREATE("trade.1646",E1648,A1648,"Receive")</f>
        <v>QSObject:SwapTrade:w1~trade.1646:30185</v>
      </c>
      <c r="G1648" s="3">
        <f>_xll.QS.EVALUATE(C1648,F1648)</f>
        <v>40671.107087929391</v>
      </c>
      <c r="H1648" s="5" t="s">
        <v>3336</v>
      </c>
      <c r="I1648" s="7">
        <v>1164600</v>
      </c>
      <c r="J1648" s="8">
        <v>3.9600000000000003E-2</v>
      </c>
    </row>
    <row r="1649" spans="1:10" x14ac:dyDescent="0.25">
      <c r="A1649" s="5" t="s">
        <v>3324</v>
      </c>
      <c r="B1649" s="5" t="s">
        <v>3337</v>
      </c>
      <c r="C1649" s="6" t="str">
        <f>_xll.QS.CONTEXT.CREATE("market.1647",A1649,"USD","SOFR")</f>
        <v>QSObject:PricingContext:w1~market.1647:18885</v>
      </c>
      <c r="D1649" s="6" t="str">
        <f>_xll.QS.CONTEXT.ADD.CURVE(C1649,"SOFR",$K$2:$K$7,$L$2:$L$7,,,"Actual360","LogLinear",TRUE)</f>
        <v>QSObject:ContextInput:w1~input.qs_context_add_curve.2359132437744.1648.3.0:38478</v>
      </c>
      <c r="E1649" s="6" t="str">
        <f>_xll.QS.INSTRUMENT.SWAP("swap.1647",H1649,B1649,"USD","SOFR",I1649,J1649,0,"Actual360","Simple","Annual","Annual","Annual")</f>
        <v>QSObject:Swap:w1~swap.1647:18884</v>
      </c>
      <c r="F1649" s="6" t="str">
        <f>_xll.QS.TRADE.CREATE("trade.1647",E1649,A1649,"Receive")</f>
        <v>QSObject:SwapTrade:w1~trade.1647:30184</v>
      </c>
      <c r="G1649" s="3">
        <f>_xll.QS.EVALUATE(C1649,F1649)</f>
        <v>41296.98209152733</v>
      </c>
      <c r="H1649" s="5" t="s">
        <v>3338</v>
      </c>
      <c r="I1649" s="7">
        <v>1164700</v>
      </c>
      <c r="J1649" s="8">
        <v>3.9700000000000013E-2</v>
      </c>
    </row>
    <row r="1650" spans="1:10" x14ac:dyDescent="0.25">
      <c r="A1650" s="5" t="s">
        <v>3326</v>
      </c>
      <c r="B1650" s="5" t="s">
        <v>3339</v>
      </c>
      <c r="C1650" s="6" t="str">
        <f>_xll.QS.CONTEXT.CREATE("market.1648",A1650,"USD","SOFR")</f>
        <v>QSObject:PricingContext:w1~market.1648:18883</v>
      </c>
      <c r="D1650" s="6" t="str">
        <f>_xll.QS.CONTEXT.ADD.CURVE(C1650,"SOFR",$K$2:$K$7,$L$2:$L$7,,,"Actual360","LogLinear",TRUE)</f>
        <v>QSObject:ContextInput:w1~input.qs_context_add_curve.2359132437744.1649.3.0:38477</v>
      </c>
      <c r="E1650" s="6" t="str">
        <f>_xll.QS.INSTRUMENT.SWAP("swap.1648",H1650,B1650,"USD","SOFR",I1650,J1650,0,"Actual360","Simple","Annual","Annual","Annual")</f>
        <v>QSObject:Swap:w1~swap.1648:18882</v>
      </c>
      <c r="F1650" s="6" t="str">
        <f>_xll.QS.TRADE.CREATE("trade.1648",E1650,A1650,"Receive")</f>
        <v>QSObject:SwapTrade:w1~trade.1648:29511</v>
      </c>
      <c r="G1650" s="3">
        <f>_xll.QS.EVALUATE(C1650,F1650)</f>
        <v>41888.467259256897</v>
      </c>
      <c r="H1650" s="5" t="s">
        <v>3340</v>
      </c>
      <c r="I1650" s="7">
        <v>1164800</v>
      </c>
      <c r="J1650" s="8">
        <v>3.9800000000000002E-2</v>
      </c>
    </row>
    <row r="1651" spans="1:10" x14ac:dyDescent="0.25">
      <c r="A1651" s="5" t="s">
        <v>3328</v>
      </c>
      <c r="B1651" s="5" t="s">
        <v>3341</v>
      </c>
      <c r="C1651" s="6" t="str">
        <f>_xll.QS.CONTEXT.CREATE("market.1649",A1651,"USD","SOFR")</f>
        <v>QSObject:PricingContext:w1~market.1649:18881</v>
      </c>
      <c r="D1651" s="6" t="str">
        <f>_xll.QS.CONTEXT.ADD.CURVE(C1651,"SOFR",$K$2:$K$7,$L$2:$L$7,,,"Actual360","LogLinear",TRUE)</f>
        <v>QSObject:ContextInput:w1~input.qs_context_add_curve.2359132437744.1650.3.0:38476</v>
      </c>
      <c r="E1651" s="6" t="str">
        <f>_xll.QS.INSTRUMENT.SWAP("swap.1649",H1651,B1651,"USD","SOFR",I1651,J1651,0,"Actual360","Simple","Annual","Annual","Annual")</f>
        <v>QSObject:Swap:w1~swap.1649:18880</v>
      </c>
      <c r="F1651" s="6" t="str">
        <f>_xll.QS.TRADE.CREATE("trade.1649",E1651,A1651,"Receive")</f>
        <v>QSObject:SwapTrade:w1~trade.1649:29510</v>
      </c>
      <c r="G1651" s="3">
        <f>_xll.QS.EVALUATE(C1651,F1651)</f>
        <v>42384.906779127632</v>
      </c>
      <c r="H1651" s="5" t="s">
        <v>3342</v>
      </c>
      <c r="I1651" s="7">
        <v>1164900</v>
      </c>
      <c r="J1651" s="8">
        <v>3.9899999999999998E-2</v>
      </c>
    </row>
    <row r="1652" spans="1:10" x14ac:dyDescent="0.25">
      <c r="A1652" s="5" t="s">
        <v>3330</v>
      </c>
      <c r="B1652" s="5" t="s">
        <v>3343</v>
      </c>
      <c r="C1652" s="6" t="str">
        <f>_xll.QS.CONTEXT.CREATE("market.1650",A1652,"USD","SOFR")</f>
        <v>QSObject:PricingContext:w1~market.1650:18879</v>
      </c>
      <c r="D1652" s="6" t="str">
        <f>_xll.QS.CONTEXT.ADD.CURVE(C1652,"SOFR",$K$2:$K$7,$L$2:$L$7,,,"Actual360","LogLinear",TRUE)</f>
        <v>QSObject:ContextInput:w1~input.qs_context_add_curve.2359132437744.1651.3.0:38475</v>
      </c>
      <c r="E1652" s="6" t="str">
        <f>_xll.QS.INSTRUMENT.SWAP("swap.1650",H1652,B1652,"USD","SOFR",I1652,J1652,0,"Actual360","Simple","Annual","Annual","Annual")</f>
        <v>QSObject:Swap:w1~swap.1650:18878</v>
      </c>
      <c r="F1652" s="6" t="str">
        <f>_xll.QS.TRADE.CREATE("trade.1650",E1652,A1652,"Receive")</f>
        <v>QSObject:SwapTrade:w1~trade.1650:30183</v>
      </c>
      <c r="G1652" s="3">
        <f>_xll.QS.EVALUATE(C1652,F1652)</f>
        <v>15996.209515954146</v>
      </c>
      <c r="H1652" s="5" t="s">
        <v>3344</v>
      </c>
      <c r="I1652" s="7">
        <v>1165000</v>
      </c>
      <c r="J1652" s="8">
        <v>3.5000000000000003E-2</v>
      </c>
    </row>
    <row r="1653" spans="1:10" x14ac:dyDescent="0.25">
      <c r="A1653" s="5" t="s">
        <v>3332</v>
      </c>
      <c r="B1653" s="5" t="s">
        <v>3345</v>
      </c>
      <c r="C1653" s="6" t="str">
        <f>_xll.QS.CONTEXT.CREATE("market.1651",A1653,"USD","SOFR")</f>
        <v>QSObject:PricingContext:w1~market.1651:18877</v>
      </c>
      <c r="D1653" s="6" t="str">
        <f>_xll.QS.CONTEXT.ADD.CURVE(C1653,"SOFR",$K$2:$K$7,$L$2:$L$7,,,"Actual360","LogLinear",TRUE)</f>
        <v>QSObject:ContextInput:w1~input.qs_context_add_curve.2359132437744.1652.3.0:38474</v>
      </c>
      <c r="E1653" s="6" t="str">
        <f>_xll.QS.INSTRUMENT.SWAP("swap.1651",H1653,B1653,"USD","SOFR",I1653,J1653,0,"Actual360","Simple","Annual","Annual","Annual")</f>
        <v>QSObject:Swap:w1~swap.1651:18876</v>
      </c>
      <c r="F1653" s="6" t="str">
        <f>_xll.QS.TRADE.CREATE("trade.1651",E1653,A1653,"Receive")</f>
        <v>QSObject:SwapTrade:w1~trade.1651:29509</v>
      </c>
      <c r="G1653" s="3">
        <f>_xll.QS.EVALUATE(C1653,F1653)</f>
        <v>16427.598295676773</v>
      </c>
      <c r="H1653" s="5" t="s">
        <v>3346</v>
      </c>
      <c r="I1653" s="7">
        <v>1165100</v>
      </c>
      <c r="J1653" s="8">
        <v>3.5100000000000013E-2</v>
      </c>
    </row>
    <row r="1654" spans="1:10" x14ac:dyDescent="0.25">
      <c r="A1654" s="5" t="s">
        <v>3334</v>
      </c>
      <c r="B1654" s="5" t="s">
        <v>3347</v>
      </c>
      <c r="C1654" s="6" t="str">
        <f>_xll.QS.CONTEXT.CREATE("market.1652",A1654,"USD","SOFR")</f>
        <v>QSObject:PricingContext:w1~market.1652:18875</v>
      </c>
      <c r="D1654" s="6" t="str">
        <f>_xll.QS.CONTEXT.ADD.CURVE(C1654,"SOFR",$K$2:$K$7,$L$2:$L$7,,,"Actual360","LogLinear",TRUE)</f>
        <v>QSObject:ContextInput:w1~input.qs_context_add_curve.2359132437744.1653.3.0:38473</v>
      </c>
      <c r="E1654" s="6" t="str">
        <f>_xll.QS.INSTRUMENT.SWAP("swap.1652",H1654,B1654,"USD","SOFR",I1654,J1654,0,"Actual360","Simple","Annual","Annual","Annual")</f>
        <v>QSObject:Swap:w1~swap.1652:18874</v>
      </c>
      <c r="F1654" s="6" t="str">
        <f>_xll.QS.TRADE.CREATE("trade.1652",E1654,A1654,"Receive")</f>
        <v>QSObject:SwapTrade:w1~trade.1652:30182</v>
      </c>
      <c r="G1654" s="3">
        <f>_xll.QS.EVALUATE(C1654,F1654)</f>
        <v>17014.912548362365</v>
      </c>
      <c r="H1654" s="5" t="s">
        <v>3348</v>
      </c>
      <c r="I1654" s="7">
        <v>1165200</v>
      </c>
      <c r="J1654" s="8">
        <v>3.5200000000000002E-2</v>
      </c>
    </row>
    <row r="1655" spans="1:10" x14ac:dyDescent="0.25">
      <c r="A1655" s="5" t="s">
        <v>3336</v>
      </c>
      <c r="B1655" s="5" t="s">
        <v>3349</v>
      </c>
      <c r="C1655" s="6" t="str">
        <f>_xll.QS.CONTEXT.CREATE("market.1653",A1655,"USD","SOFR")</f>
        <v>QSObject:PricingContext:w1~market.1653:18873</v>
      </c>
      <c r="D1655" s="6" t="str">
        <f>_xll.QS.CONTEXT.ADD.CURVE(C1655,"SOFR",$K$2:$K$7,$L$2:$L$7,,,"Actual360","LogLinear",TRUE)</f>
        <v>QSObject:ContextInput:w1~input.qs_context_add_curve.2359132437744.1654.3.0:38472</v>
      </c>
      <c r="E1655" s="6" t="str">
        <f>_xll.QS.INSTRUMENT.SWAP("swap.1653",H1655,B1655,"USD","SOFR",I1655,J1655,0,"Actual360","Simple","Annual","Annual","Annual")</f>
        <v>QSObject:Swap:w1~swap.1653:18872</v>
      </c>
      <c r="F1655" s="6" t="str">
        <f>_xll.QS.TRADE.CREATE("trade.1653",E1655,A1655,"Receive")</f>
        <v>QSObject:SwapTrade:w1~trade.1653:30181</v>
      </c>
      <c r="G1655" s="3">
        <f>_xll.QS.EVALUATE(C1655,F1655)</f>
        <v>17589.221161825786</v>
      </c>
      <c r="H1655" s="5" t="s">
        <v>3350</v>
      </c>
      <c r="I1655" s="7">
        <v>1165300</v>
      </c>
      <c r="J1655" s="8">
        <v>3.5299999999999998E-2</v>
      </c>
    </row>
    <row r="1656" spans="1:10" x14ac:dyDescent="0.25">
      <c r="A1656" s="5" t="s">
        <v>3338</v>
      </c>
      <c r="B1656" s="5" t="s">
        <v>3351</v>
      </c>
      <c r="C1656" s="6" t="str">
        <f>_xll.QS.CONTEXT.CREATE("market.1654",A1656,"USD","SOFR")</f>
        <v>QSObject:PricingContext:w1~market.1654:18871</v>
      </c>
      <c r="D1656" s="6" t="str">
        <f>_xll.QS.CONTEXT.ADD.CURVE(C1656,"SOFR",$K$2:$K$7,$L$2:$L$7,,,"Actual360","LogLinear",TRUE)</f>
        <v>QSObject:ContextInput:w1~input.qs_context_add_curve.2359132437744.1655.3.0:38471</v>
      </c>
      <c r="E1656" s="6" t="str">
        <f>_xll.QS.INSTRUMENT.SWAP("swap.1654",H1656,B1656,"USD","SOFR",I1656,J1656,0,"Actual360","Simple","Annual","Annual","Annual")</f>
        <v>QSObject:Swap:w1~swap.1654:18870</v>
      </c>
      <c r="F1656" s="6" t="str">
        <f>_xll.QS.TRADE.CREATE("trade.1654",E1656,A1656,"Receive")</f>
        <v>QSObject:SwapTrade:w1~trade.1654:30180</v>
      </c>
      <c r="G1656" s="3">
        <f>_xll.QS.EVALUATE(C1656,F1656)</f>
        <v>18213.140613211628</v>
      </c>
      <c r="H1656" s="5" t="s">
        <v>3352</v>
      </c>
      <c r="I1656" s="7">
        <v>1165400</v>
      </c>
      <c r="J1656" s="8">
        <v>3.5400000000000001E-2</v>
      </c>
    </row>
    <row r="1657" spans="1:10" x14ac:dyDescent="0.25">
      <c r="A1657" s="5" t="s">
        <v>3340</v>
      </c>
      <c r="B1657" s="5" t="s">
        <v>3353</v>
      </c>
      <c r="C1657" s="6" t="str">
        <f>_xll.QS.CONTEXT.CREATE("market.1655",A1657,"USD","SOFR")</f>
        <v>QSObject:PricingContext:w1~market.1655:18869</v>
      </c>
      <c r="D1657" s="6" t="str">
        <f>_xll.QS.CONTEXT.ADD.CURVE(C1657,"SOFR",$K$2:$K$7,$L$2:$L$7,,,"Actual360","LogLinear",TRUE)</f>
        <v>QSObject:ContextInput:w1~input.qs_context_add_curve.2359132437744.1656.3.0:38470</v>
      </c>
      <c r="E1657" s="6" t="str">
        <f>_xll.QS.INSTRUMENT.SWAP("swap.1655",H1657,B1657,"USD","SOFR",I1657,J1657,0,"Actual360","Simple","Annual","Annual","Annual")</f>
        <v>QSObject:Swap:w1~swap.1655:18868</v>
      </c>
      <c r="F1657" s="6" t="str">
        <f>_xll.QS.TRADE.CREATE("trade.1655",E1657,A1657,"Receive")</f>
        <v>QSObject:SwapTrade:w1~trade.1655:30179</v>
      </c>
      <c r="G1657" s="3">
        <f>_xll.QS.EVALUATE(C1657,F1657)</f>
        <v>18802.749173845936</v>
      </c>
      <c r="H1657" s="5" t="s">
        <v>3354</v>
      </c>
      <c r="I1657" s="7">
        <v>1165500</v>
      </c>
      <c r="J1657" s="8">
        <v>3.5499999999999997E-2</v>
      </c>
    </row>
    <row r="1658" spans="1:10" x14ac:dyDescent="0.25">
      <c r="A1658" s="5" t="s">
        <v>3342</v>
      </c>
      <c r="B1658" s="5" t="s">
        <v>3355</v>
      </c>
      <c r="C1658" s="6" t="str">
        <f>_xll.QS.CONTEXT.CREATE("market.1656",A1658,"USD","SOFR")</f>
        <v>QSObject:PricingContext:w1~market.1656:18867</v>
      </c>
      <c r="D1658" s="6" t="str">
        <f>_xll.QS.CONTEXT.ADD.CURVE(C1658,"SOFR",$K$2:$K$7,$L$2:$L$7,,,"Actual360","LogLinear",TRUE)</f>
        <v>QSObject:ContextInput:w1~input.qs_context_add_curve.2359132437744.1657.3.0:38469</v>
      </c>
      <c r="E1658" s="6" t="str">
        <f>_xll.QS.INSTRUMENT.SWAP("swap.1656",H1658,B1658,"USD","SOFR",I1658,J1658,0,"Actual360","Simple","Annual","Annual","Annual")</f>
        <v>QSObject:Swap:w1~swap.1656:18866</v>
      </c>
      <c r="F1658" s="6" t="str">
        <f>_xll.QS.TRADE.CREATE("trade.1656",E1658,A1658,"Receive")</f>
        <v>QSObject:SwapTrade:w1~trade.1656:30178</v>
      </c>
      <c r="G1658" s="3">
        <f>_xll.QS.EVALUATE(C1658,F1658)</f>
        <v>19297.688252398479</v>
      </c>
      <c r="H1658" s="5" t="s">
        <v>3356</v>
      </c>
      <c r="I1658" s="7">
        <v>1165600</v>
      </c>
      <c r="J1658" s="8">
        <v>3.5600000000000007E-2</v>
      </c>
    </row>
    <row r="1659" spans="1:10" x14ac:dyDescent="0.25">
      <c r="A1659" s="5" t="s">
        <v>3344</v>
      </c>
      <c r="B1659" s="5" t="s">
        <v>3357</v>
      </c>
      <c r="C1659" s="6" t="str">
        <f>_xll.QS.CONTEXT.CREATE("market.1657",A1659,"USD","SOFR")</f>
        <v>QSObject:PricingContext:w1~market.1657:18865</v>
      </c>
      <c r="D1659" s="6" t="str">
        <f>_xll.QS.CONTEXT.ADD.CURVE(C1659,"SOFR",$K$2:$K$7,$L$2:$L$7,,,"Actual360","LogLinear",TRUE)</f>
        <v>QSObject:ContextInput:w1~input.qs_context_add_curve.2359132437744.1658.3.0:38468</v>
      </c>
      <c r="E1659" s="6" t="str">
        <f>_xll.QS.INSTRUMENT.SWAP("swap.1657",H1659,B1659,"USD","SOFR",I1659,J1659,0,"Actual360","Simple","Annual","Annual","Annual")</f>
        <v>QSObject:Swap:w1~swap.1657:18864</v>
      </c>
      <c r="F1659" s="6" t="str">
        <f>_xll.QS.TRADE.CREATE("trade.1657",E1659,A1659,"Receive")</f>
        <v>QSObject:SwapTrade:w1~trade.1657:29508</v>
      </c>
      <c r="G1659" s="3">
        <f>_xll.QS.EVALUATE(C1659,F1659)</f>
        <v>19764.239981279756</v>
      </c>
      <c r="H1659" s="5" t="s">
        <v>3358</v>
      </c>
      <c r="I1659" s="7">
        <v>1165700</v>
      </c>
      <c r="J1659" s="8">
        <v>3.5700000000000003E-2</v>
      </c>
    </row>
    <row r="1660" spans="1:10" x14ac:dyDescent="0.25">
      <c r="A1660" s="5" t="s">
        <v>3346</v>
      </c>
      <c r="B1660" s="5" t="s">
        <v>3359</v>
      </c>
      <c r="C1660" s="6" t="str">
        <f>_xll.QS.CONTEXT.CREATE("market.1658",A1660,"USD","SOFR")</f>
        <v>QSObject:PricingContext:w1~market.1658:18863</v>
      </c>
      <c r="D1660" s="6" t="str">
        <f>_xll.QS.CONTEXT.ADD.CURVE(C1660,"SOFR",$K$2:$K$7,$L$2:$L$7,,,"Actual360","LogLinear",TRUE)</f>
        <v>QSObject:ContextInput:w1~input.qs_context_add_curve.2359132437744.1659.3.0:38467</v>
      </c>
      <c r="E1660" s="6" t="str">
        <f>_xll.QS.INSTRUMENT.SWAP("swap.1658",H1660,B1660,"USD","SOFR",I1660,J1660,0,"Actual360","Simple","Annual","Annual","Annual")</f>
        <v>QSObject:Swap:w1~swap.1658:18862</v>
      </c>
      <c r="F1660" s="6" t="str">
        <f>_xll.QS.TRADE.CREATE("trade.1658",E1660,A1660,"Receive")</f>
        <v>QSObject:SwapTrade:w1~trade.1658:30177</v>
      </c>
      <c r="G1660" s="3">
        <f>_xll.QS.EVALUATE(C1660,F1660)</f>
        <v>20202.043498639734</v>
      </c>
      <c r="H1660" s="5" t="s">
        <v>3360</v>
      </c>
      <c r="I1660" s="7">
        <v>1165800</v>
      </c>
      <c r="J1660" s="8">
        <v>3.5800000000000012E-2</v>
      </c>
    </row>
    <row r="1661" spans="1:10" x14ac:dyDescent="0.25">
      <c r="A1661" s="5" t="s">
        <v>3348</v>
      </c>
      <c r="B1661" s="5" t="s">
        <v>3361</v>
      </c>
      <c r="C1661" s="6" t="str">
        <f>_xll.QS.CONTEXT.CREATE("market.1659",A1661,"USD","SOFR")</f>
        <v>QSObject:PricingContext:w1~market.1659:18861</v>
      </c>
      <c r="D1661" s="6" t="str">
        <f>_xll.QS.CONTEXT.ADD.CURVE(C1661,"SOFR",$K$2:$K$7,$L$2:$L$7,,,"Actual360","LogLinear",TRUE)</f>
        <v>QSObject:ContextInput:w1~input.qs_context_add_curve.2359132437744.1660.3.0:38466</v>
      </c>
      <c r="E1661" s="6" t="str">
        <f>_xll.QS.INSTRUMENT.SWAP("swap.1659",H1661,B1661,"USD","SOFR",I1661,J1661,0,"Actual360","Simple","Annual","Annual","Annual")</f>
        <v>QSObject:Swap:w1~swap.1659:18860</v>
      </c>
      <c r="F1661" s="6" t="str">
        <f>_xll.QS.TRADE.CREATE("trade.1659",E1661,A1661,"Receive")</f>
        <v>QSObject:SwapTrade:w1~trade.1659:30176</v>
      </c>
      <c r="G1661" s="3">
        <f>_xll.QS.EVALUATE(C1661,F1661)</f>
        <v>20790.410455530844</v>
      </c>
      <c r="H1661" s="5" t="s">
        <v>3362</v>
      </c>
      <c r="I1661" s="7">
        <v>1165900</v>
      </c>
      <c r="J1661" s="8">
        <v>3.5900000000000001E-2</v>
      </c>
    </row>
    <row r="1662" spans="1:10" x14ac:dyDescent="0.25">
      <c r="A1662" s="5" t="s">
        <v>3350</v>
      </c>
      <c r="B1662" s="5" t="s">
        <v>3363</v>
      </c>
      <c r="C1662" s="6" t="str">
        <f>_xll.QS.CONTEXT.CREATE("market.1660",A1662,"USD","SOFR")</f>
        <v>QSObject:PricingContext:w1~market.1660:18859</v>
      </c>
      <c r="D1662" s="6" t="str">
        <f>_xll.QS.CONTEXT.ADD.CURVE(C1662,"SOFR",$K$2:$K$7,$L$2:$L$7,,,"Actual360","LogLinear",TRUE)</f>
        <v>QSObject:ContextInput:w1~input.qs_context_add_curve.2359132437744.1661.3.0:38465</v>
      </c>
      <c r="E1662" s="6" t="str">
        <f>_xll.QS.INSTRUMENT.SWAP("swap.1660",H1662,B1662,"USD","SOFR",I1662,J1662,0,"Actual360","Simple","Annual","Annual","Annual")</f>
        <v>QSObject:Swap:w1~swap.1660:18858</v>
      </c>
      <c r="F1662" s="6" t="str">
        <f>_xll.QS.TRADE.CREATE("trade.1660",E1662,A1662,"Receive")</f>
        <v>QSObject:SwapTrade:w1~trade.1660:30175</v>
      </c>
      <c r="G1662" s="3">
        <f>_xll.QS.EVALUATE(C1662,F1662)</f>
        <v>21363.54250598621</v>
      </c>
      <c r="H1662" s="5" t="s">
        <v>3364</v>
      </c>
      <c r="I1662" s="7">
        <v>1166000</v>
      </c>
      <c r="J1662" s="8">
        <v>3.5999999999999997E-2</v>
      </c>
    </row>
    <row r="1663" spans="1:10" x14ac:dyDescent="0.25">
      <c r="A1663" s="5" t="s">
        <v>3352</v>
      </c>
      <c r="B1663" s="5" t="s">
        <v>3365</v>
      </c>
      <c r="C1663" s="6" t="str">
        <f>_xll.QS.CONTEXT.CREATE("market.1661",A1663,"USD","SOFR")</f>
        <v>QSObject:PricingContext:w1~market.1661:18857</v>
      </c>
      <c r="D1663" s="6" t="str">
        <f>_xll.QS.CONTEXT.ADD.CURVE(C1663,"SOFR",$K$2:$K$7,$L$2:$L$7,,,"Actual360","LogLinear",TRUE)</f>
        <v>QSObject:ContextInput:w1~input.qs_context_add_curve.2359132437744.1662.3.0:38464</v>
      </c>
      <c r="E1663" s="6" t="str">
        <f>_xll.QS.INSTRUMENT.SWAP("swap.1661",H1663,B1663,"USD","SOFR",I1663,J1663,0,"Actual360","Simple","Annual","Annual","Annual")</f>
        <v>QSObject:Swap:w1~swap.1661:18856</v>
      </c>
      <c r="F1663" s="6" t="str">
        <f>_xll.QS.TRADE.CREATE("trade.1661",E1663,A1663,"Receive")</f>
        <v>QSObject:SwapTrade:w1~trade.1661:30174</v>
      </c>
      <c r="G1663" s="3">
        <f>_xll.QS.EVALUATE(C1663,F1663)</f>
        <v>21988.21508242354</v>
      </c>
      <c r="H1663" s="5" t="s">
        <v>3366</v>
      </c>
      <c r="I1663" s="7">
        <v>1166100</v>
      </c>
      <c r="J1663" s="8">
        <v>3.61E-2</v>
      </c>
    </row>
    <row r="1664" spans="1:10" x14ac:dyDescent="0.25">
      <c r="A1664" s="5" t="s">
        <v>3354</v>
      </c>
      <c r="B1664" s="5" t="s">
        <v>3367</v>
      </c>
      <c r="C1664" s="6" t="str">
        <f>_xll.QS.CONTEXT.CREATE("market.1662",A1664,"USD","SOFR")</f>
        <v>QSObject:PricingContext:w1~market.1662:18855</v>
      </c>
      <c r="D1664" s="6" t="str">
        <f>_xll.QS.CONTEXT.ADD.CURVE(C1664,"SOFR",$K$2:$K$7,$L$2:$L$7,,,"Actual360","LogLinear",TRUE)</f>
        <v>QSObject:ContextInput:w1~input.qs_context_add_curve.2359132437744.1663.3.0:38463</v>
      </c>
      <c r="E1664" s="6" t="str">
        <f>_xll.QS.INSTRUMENT.SWAP("swap.1662",H1664,B1664,"USD","SOFR",I1664,J1664,0,"Actual360","Simple","Annual","Annual","Annual")</f>
        <v>QSObject:Swap:w1~swap.1662:18854</v>
      </c>
      <c r="F1664" s="6" t="str">
        <f>_xll.QS.TRADE.CREATE("trade.1662",E1664,A1664,"Receive")</f>
        <v>QSObject:SwapTrade:w1~trade.1662:30173</v>
      </c>
      <c r="G1664" s="3">
        <f>_xll.QS.EVALUATE(C1664,F1664)</f>
        <v>22578.53986068688</v>
      </c>
      <c r="H1664" s="5" t="s">
        <v>3368</v>
      </c>
      <c r="I1664" s="7">
        <v>1166200</v>
      </c>
      <c r="J1664" s="8">
        <v>3.6200000000000003E-2</v>
      </c>
    </row>
    <row r="1665" spans="1:10" x14ac:dyDescent="0.25">
      <c r="A1665" s="5" t="s">
        <v>3356</v>
      </c>
      <c r="B1665" s="5" t="s">
        <v>3369</v>
      </c>
      <c r="C1665" s="6" t="str">
        <f>_xll.QS.CONTEXT.CREATE("market.1663",A1665,"USD","SOFR")</f>
        <v>QSObject:PricingContext:w1~market.1663:18853</v>
      </c>
      <c r="D1665" s="6" t="str">
        <f>_xll.QS.CONTEXT.ADD.CURVE(C1665,"SOFR",$K$2:$K$7,$L$2:$L$7,,,"Actual360","LogLinear",TRUE)</f>
        <v>QSObject:ContextInput:w1~input.qs_context_add_curve.2359132437744.1664.3.0:38462</v>
      </c>
      <c r="E1665" s="6" t="str">
        <f>_xll.QS.INSTRUMENT.SWAP("swap.1663",H1665,B1665,"USD","SOFR",I1665,J1665,0,"Actual360","Simple","Annual","Annual","Annual")</f>
        <v>QSObject:Swap:w1~swap.1663:18852</v>
      </c>
      <c r="F1665" s="6" t="str">
        <f>_xll.QS.TRADE.CREATE("trade.1663",E1665,A1665,"Receive")</f>
        <v>QSObject:SwapTrade:w1~trade.1663:30172</v>
      </c>
      <c r="G1665" s="3">
        <f>_xll.QS.EVALUATE(C1665,F1665)</f>
        <v>23074.067656456566</v>
      </c>
      <c r="H1665" s="5" t="s">
        <v>3370</v>
      </c>
      <c r="I1665" s="7">
        <v>1166300</v>
      </c>
      <c r="J1665" s="8">
        <v>3.6300000000000013E-2</v>
      </c>
    </row>
    <row r="1666" spans="1:10" x14ac:dyDescent="0.25">
      <c r="A1666" s="5" t="s">
        <v>3358</v>
      </c>
      <c r="B1666" s="5" t="s">
        <v>3371</v>
      </c>
      <c r="C1666" s="6" t="str">
        <f>_xll.QS.CONTEXT.CREATE("market.1664",A1666,"USD","SOFR")</f>
        <v>QSObject:PricingContext:w1~market.1664:18851</v>
      </c>
      <c r="D1666" s="6" t="str">
        <f>_xll.QS.CONTEXT.ADD.CURVE(C1666,"SOFR",$K$2:$K$7,$L$2:$L$7,,,"Actual360","LogLinear",TRUE)</f>
        <v>QSObject:ContextInput:w1~input.qs_context_add_curve.2359132437744.1665.3.0:38461</v>
      </c>
      <c r="E1666" s="6" t="str">
        <f>_xll.QS.INSTRUMENT.SWAP("swap.1664",H1666,B1666,"USD","SOFR",I1666,J1666,0,"Actual360","Simple","Annual","Annual","Annual")</f>
        <v>QSObject:Swap:w1~swap.1664:18850</v>
      </c>
      <c r="F1666" s="6" t="str">
        <f>_xll.QS.TRADE.CREATE("trade.1664",E1666,A1666,"Receive")</f>
        <v>QSObject:SwapTrade:w1~trade.1664:29507</v>
      </c>
      <c r="G1666" s="3">
        <f>_xll.QS.EVALUATE(C1666,F1666)</f>
        <v>23583.079526041653</v>
      </c>
      <c r="H1666" s="5" t="s">
        <v>3372</v>
      </c>
      <c r="I1666" s="7">
        <v>1166400</v>
      </c>
      <c r="J1666" s="8">
        <v>3.6400000000000002E-2</v>
      </c>
    </row>
    <row r="1667" spans="1:10" x14ac:dyDescent="0.25">
      <c r="A1667" s="5" t="s">
        <v>3360</v>
      </c>
      <c r="B1667" s="5" t="s">
        <v>3373</v>
      </c>
      <c r="C1667" s="6" t="str">
        <f>_xll.QS.CONTEXT.CREATE("market.1665",A1667,"USD","SOFR")</f>
        <v>QSObject:PricingContext:w1~market.1665:18849</v>
      </c>
      <c r="D1667" s="6" t="str">
        <f>_xll.QS.CONTEXT.ADD.CURVE(C1667,"SOFR",$K$2:$K$7,$L$2:$L$7,,,"Actual360","LogLinear",TRUE)</f>
        <v>QSObject:ContextInput:w1~input.qs_context_add_curve.2359132437744.1666.3.0:38460</v>
      </c>
      <c r="E1667" s="6" t="str">
        <f>_xll.QS.INSTRUMENT.SWAP("swap.1665",H1667,B1667,"USD","SOFR",I1667,J1667,0,"Actual360","Simple","Annual","Annual","Annual")</f>
        <v>QSObject:Swap:w1~swap.1665:18848</v>
      </c>
      <c r="F1667" s="6" t="str">
        <f>_xll.QS.TRADE.CREATE("trade.1665",E1667,A1667,"Receive")</f>
        <v>QSObject:SwapTrade:w1~trade.1665:30171</v>
      </c>
      <c r="G1667" s="3">
        <f>_xll.QS.EVALUATE(C1667,F1667)</f>
        <v>24125.210709086132</v>
      </c>
      <c r="H1667" s="5" t="s">
        <v>3374</v>
      </c>
      <c r="I1667" s="7">
        <v>1166500</v>
      </c>
      <c r="J1667" s="8">
        <v>3.6499999999999998E-2</v>
      </c>
    </row>
    <row r="1668" spans="1:10" x14ac:dyDescent="0.25">
      <c r="A1668" s="5" t="s">
        <v>3362</v>
      </c>
      <c r="B1668" s="5" t="s">
        <v>3375</v>
      </c>
      <c r="C1668" s="6" t="str">
        <f>_xll.QS.CONTEXT.CREATE("market.1666",A1668,"USD","SOFR")</f>
        <v>QSObject:PricingContext:w1~market.1666:18847</v>
      </c>
      <c r="D1668" s="6" t="str">
        <f>_xll.QS.CONTEXT.ADD.CURVE(C1668,"SOFR",$K$2:$K$7,$L$2:$L$7,,,"Actual360","LogLinear",TRUE)</f>
        <v>QSObject:ContextInput:w1~input.qs_context_add_curve.2359132437744.1667.3.0:38459</v>
      </c>
      <c r="E1668" s="6" t="str">
        <f>_xll.QS.INSTRUMENT.SWAP("swap.1666",H1668,B1668,"USD","SOFR",I1668,J1668,0,"Actual360","Simple","Annual","Annual","Annual")</f>
        <v>QSObject:Swap:w1~swap.1666:18846</v>
      </c>
      <c r="F1668" s="6" t="str">
        <f>_xll.QS.TRADE.CREATE("trade.1666",E1668,A1668,"Receive")</f>
        <v>QSObject:SwapTrade:w1~trade.1666:29506</v>
      </c>
      <c r="G1668" s="3">
        <f>_xll.QS.EVALUATE(C1668,F1668)</f>
        <v>24570.429665172389</v>
      </c>
      <c r="H1668" s="5" t="s">
        <v>3376</v>
      </c>
      <c r="I1668" s="7">
        <v>1166600</v>
      </c>
      <c r="J1668" s="8">
        <v>3.6600000000000001E-2</v>
      </c>
    </row>
    <row r="1669" spans="1:10" x14ac:dyDescent="0.25">
      <c r="A1669" s="5" t="s">
        <v>3364</v>
      </c>
      <c r="B1669" s="5" t="s">
        <v>3377</v>
      </c>
      <c r="C1669" s="6" t="str">
        <f>_xll.QS.CONTEXT.CREATE("market.1667",A1669,"USD","SOFR")</f>
        <v>QSObject:PricingContext:w1~market.1667:18845</v>
      </c>
      <c r="D1669" s="6" t="str">
        <f>_xll.QS.CONTEXT.ADD.CURVE(C1669,"SOFR",$K$2:$K$7,$L$2:$L$7,,,"Actual360","LogLinear",TRUE)</f>
        <v>QSObject:ContextInput:w1~input.qs_context_add_curve.2359132437744.1668.3.0:38458</v>
      </c>
      <c r="E1669" s="6" t="str">
        <f>_xll.QS.INSTRUMENT.SWAP("swap.1667",H1669,B1669,"USD","SOFR",I1669,J1669,0,"Actual360","Simple","Annual","Annual","Annual")</f>
        <v>QSObject:Swap:w1~swap.1667:18844</v>
      </c>
      <c r="F1669" s="6" t="str">
        <f>_xll.QS.TRADE.CREATE("trade.1667",E1669,A1669,"Receive")</f>
        <v>QSObject:SwapTrade:w1~trade.1667:29505</v>
      </c>
      <c r="G1669" s="3">
        <f>_xll.QS.EVALUATE(C1669,F1669)</f>
        <v>25142.382939003994</v>
      </c>
      <c r="H1669" s="5" t="s">
        <v>3378</v>
      </c>
      <c r="I1669" s="7">
        <v>1166700</v>
      </c>
      <c r="J1669" s="8">
        <v>3.6700000000000003E-2</v>
      </c>
    </row>
    <row r="1670" spans="1:10" x14ac:dyDescent="0.25">
      <c r="A1670" s="5" t="s">
        <v>3366</v>
      </c>
      <c r="B1670" s="5" t="s">
        <v>3379</v>
      </c>
      <c r="C1670" s="6" t="str">
        <f>_xll.QS.CONTEXT.CREATE("market.1668",A1670,"USD","SOFR")</f>
        <v>QSObject:PricingContext:w1~market.1668:18843</v>
      </c>
      <c r="D1670" s="6" t="str">
        <f>_xll.QS.CONTEXT.ADD.CURVE(C1670,"SOFR",$K$2:$K$7,$L$2:$L$7,,,"Actual360","LogLinear",TRUE)</f>
        <v>QSObject:ContextInput:w1~input.qs_context_add_curve.2359132437744.1669.3.0:38457</v>
      </c>
      <c r="E1670" s="6" t="str">
        <f>_xll.QS.INSTRUMENT.SWAP("swap.1668",H1670,B1670,"USD","SOFR",I1670,J1670,0,"Actual360","Simple","Annual","Annual","Annual")</f>
        <v>QSObject:Swap:w1~swap.1668:18842</v>
      </c>
      <c r="F1670" s="6" t="str">
        <f>_xll.QS.TRADE.CREATE("trade.1668",E1670,A1670,"Receive")</f>
        <v>QSObject:SwapTrade:w1~trade.1668:29504</v>
      </c>
      <c r="G1670" s="3">
        <f>_xll.QS.EVALUATE(C1670,F1670)</f>
        <v>25812.552031251176</v>
      </c>
      <c r="H1670" s="5" t="s">
        <v>3380</v>
      </c>
      <c r="I1670" s="7">
        <v>1166800</v>
      </c>
      <c r="J1670" s="8">
        <v>3.6800000000000013E-2</v>
      </c>
    </row>
    <row r="1671" spans="1:10" x14ac:dyDescent="0.25">
      <c r="A1671" s="5" t="s">
        <v>3368</v>
      </c>
      <c r="B1671" s="5" t="s">
        <v>3381</v>
      </c>
      <c r="C1671" s="6" t="str">
        <f>_xll.QS.CONTEXT.CREATE("market.1669",A1671,"USD","SOFR")</f>
        <v>QSObject:PricingContext:w1~market.1669:18841</v>
      </c>
      <c r="D1671" s="6" t="str">
        <f>_xll.QS.CONTEXT.ADD.CURVE(C1671,"SOFR",$K$2:$K$7,$L$2:$L$7,,,"Actual360","LogLinear",TRUE)</f>
        <v>QSObject:ContextInput:w1~input.qs_context_add_curve.2359132437744.1670.3.0:38456</v>
      </c>
      <c r="E1671" s="6" t="str">
        <f>_xll.QS.INSTRUMENT.SWAP("swap.1669",H1671,B1671,"USD","SOFR",I1671,J1671,0,"Actual360","Simple","Annual","Annual","Annual")</f>
        <v>QSObject:Swap:w1~swap.1669:18840</v>
      </c>
      <c r="F1671" s="6" t="str">
        <f>_xll.QS.TRADE.CREATE("trade.1669",E1671,A1671,"Receive")</f>
        <v>QSObject:SwapTrade:w1~trade.1669:30170</v>
      </c>
      <c r="G1671" s="3">
        <f>_xll.QS.EVALUATE(C1671,F1671)</f>
        <v>26358.849752502803</v>
      </c>
      <c r="H1671" s="5" t="s">
        <v>3382</v>
      </c>
      <c r="I1671" s="7">
        <v>1166900</v>
      </c>
      <c r="J1671" s="8">
        <v>3.6900000000000002E-2</v>
      </c>
    </row>
    <row r="1672" spans="1:10" x14ac:dyDescent="0.25">
      <c r="A1672" s="5" t="s">
        <v>3370</v>
      </c>
      <c r="B1672" s="5" t="s">
        <v>3383</v>
      </c>
      <c r="C1672" s="6" t="str">
        <f>_xll.QS.CONTEXT.CREATE("market.1670",A1672,"USD","SOFR")</f>
        <v>QSObject:PricingContext:w1~market.1670:18839</v>
      </c>
      <c r="D1672" s="6" t="str">
        <f>_xll.QS.CONTEXT.ADD.CURVE(C1672,"SOFR",$K$2:$K$7,$L$2:$L$7,,,"Actual360","LogLinear",TRUE)</f>
        <v>QSObject:ContextInput:w1~input.qs_context_add_curve.2359132437744.1671.3.0:38455</v>
      </c>
      <c r="E1672" s="6" t="str">
        <f>_xll.QS.INSTRUMENT.SWAP("swap.1670",H1672,B1672,"USD","SOFR",I1672,J1672,0,"Actual360","Simple","Annual","Annual","Annual")</f>
        <v>QSObject:Swap:w1~swap.1670:18838</v>
      </c>
      <c r="F1672" s="6" t="str">
        <f>_xll.QS.TRADE.CREATE("trade.1670",E1672,A1672,"Receive")</f>
        <v>QSObject:SwapTrade:w1~trade.1670:30169</v>
      </c>
      <c r="G1672" s="3">
        <f>_xll.QS.EVALUATE(C1672,F1672)</f>
        <v>26854.966229058839</v>
      </c>
      <c r="H1672" s="5" t="s">
        <v>3384</v>
      </c>
      <c r="I1672" s="7">
        <v>1167000</v>
      </c>
      <c r="J1672" s="8">
        <v>3.7000000000000012E-2</v>
      </c>
    </row>
    <row r="1673" spans="1:10" x14ac:dyDescent="0.25">
      <c r="A1673" s="5" t="s">
        <v>3372</v>
      </c>
      <c r="B1673" s="5" t="s">
        <v>3385</v>
      </c>
      <c r="C1673" s="6" t="str">
        <f>_xll.QS.CONTEXT.CREATE("market.1671",A1673,"USD","SOFR")</f>
        <v>QSObject:PricingContext:w1~market.1671:18837</v>
      </c>
      <c r="D1673" s="6" t="str">
        <f>_xll.QS.CONTEXT.ADD.CURVE(C1673,"SOFR",$K$2:$K$7,$L$2:$L$7,,,"Actual360","LogLinear",TRUE)</f>
        <v>QSObject:ContextInput:w1~input.qs_context_add_curve.2359132437744.1672.3.0:38454</v>
      </c>
      <c r="E1673" s="6" t="str">
        <f>_xll.QS.INSTRUMENT.SWAP("swap.1671",H1673,B1673,"USD","SOFR",I1673,J1673,0,"Actual360","Simple","Annual","Annual","Annual")</f>
        <v>QSObject:Swap:w1~swap.1671:18836</v>
      </c>
      <c r="F1673" s="6" t="str">
        <f>_xll.QS.TRADE.CREATE("trade.1671",E1673,A1673,"Receive")</f>
        <v>QSObject:SwapTrade:w1~trade.1671:29503</v>
      </c>
      <c r="G1673" s="3">
        <f>_xll.QS.EVALUATE(C1673,F1673)</f>
        <v>27313.842440486878</v>
      </c>
      <c r="H1673" s="5" t="s">
        <v>3386</v>
      </c>
      <c r="I1673" s="7">
        <v>1167100</v>
      </c>
      <c r="J1673" s="8">
        <v>3.7100000000000001E-2</v>
      </c>
    </row>
    <row r="1674" spans="1:10" x14ac:dyDescent="0.25">
      <c r="A1674" s="5" t="s">
        <v>3374</v>
      </c>
      <c r="B1674" s="5" t="s">
        <v>3387</v>
      </c>
      <c r="C1674" s="6" t="str">
        <f>_xll.QS.CONTEXT.CREATE("market.1672",A1674,"USD","SOFR")</f>
        <v>QSObject:PricingContext:w1~market.1672:18835</v>
      </c>
      <c r="D1674" s="6" t="str">
        <f>_xll.QS.CONTEXT.ADD.CURVE(C1674,"SOFR",$K$2:$K$7,$L$2:$L$7,,,"Actual360","LogLinear",TRUE)</f>
        <v>QSObject:ContextInput:w1~input.qs_context_add_curve.2359132437744.1673.3.0:38453</v>
      </c>
      <c r="E1674" s="6" t="str">
        <f>_xll.QS.INSTRUMENT.SWAP("swap.1672",H1674,B1674,"USD","SOFR",I1674,J1674,0,"Actual360","Simple","Annual","Annual","Annual")</f>
        <v>QSObject:Swap:w1~swap.1672:18834</v>
      </c>
      <c r="F1674" s="6" t="str">
        <f>_xll.QS.TRADE.CREATE("trade.1672",E1674,A1674,"Receive")</f>
        <v>QSObject:SwapTrade:w1~trade.1672:30168</v>
      </c>
      <c r="G1674" s="3">
        <f>_xll.QS.EVALUATE(C1674,F1674)</f>
        <v>27764.496451005216</v>
      </c>
      <c r="H1674" s="5" t="s">
        <v>3388</v>
      </c>
      <c r="I1674" s="7">
        <v>1167200</v>
      </c>
      <c r="J1674" s="8">
        <v>3.7199999999999997E-2</v>
      </c>
    </row>
    <row r="1675" spans="1:10" x14ac:dyDescent="0.25">
      <c r="A1675" s="5" t="s">
        <v>3376</v>
      </c>
      <c r="B1675" s="5" t="s">
        <v>3389</v>
      </c>
      <c r="C1675" s="6" t="str">
        <f>_xll.QS.CONTEXT.CREATE("market.1673",A1675,"USD","SOFR")</f>
        <v>QSObject:PricingContext:w1~market.1673:18833</v>
      </c>
      <c r="D1675" s="6" t="str">
        <f>_xll.QS.CONTEXT.ADD.CURVE(C1675,"SOFR",$K$2:$K$7,$L$2:$L$7,,,"Actual360","LogLinear",TRUE)</f>
        <v>QSObject:ContextInput:w1~input.qs_context_add_curve.2359132437744.1674.3.0:38452</v>
      </c>
      <c r="E1675" s="6" t="str">
        <f>_xll.QS.INSTRUMENT.SWAP("swap.1673",H1675,B1675,"USD","SOFR",I1675,J1675,0,"Actual360","Simple","Annual","Annual","Annual")</f>
        <v>QSObject:Swap:w1~swap.1673:18832</v>
      </c>
      <c r="F1675" s="6" t="str">
        <f>_xll.QS.TRADE.CREATE("trade.1673",E1675,A1675,"Receive")</f>
        <v>QSObject:SwapTrade:w1~trade.1673:30167</v>
      </c>
      <c r="G1675" s="3">
        <f>_xll.QS.EVALUATE(C1675,F1675)</f>
        <v>28354.970177286545</v>
      </c>
      <c r="H1675" s="5" t="s">
        <v>3390</v>
      </c>
      <c r="I1675" s="7">
        <v>1167300</v>
      </c>
      <c r="J1675" s="8">
        <v>3.73E-2</v>
      </c>
    </row>
    <row r="1676" spans="1:10" x14ac:dyDescent="0.25">
      <c r="A1676" s="5" t="s">
        <v>3378</v>
      </c>
      <c r="B1676" s="5" t="s">
        <v>3391</v>
      </c>
      <c r="C1676" s="6" t="str">
        <f>_xll.QS.CONTEXT.CREATE("market.1674",A1676,"USD","SOFR")</f>
        <v>QSObject:PricingContext:w1~market.1674:18831</v>
      </c>
      <c r="D1676" s="6" t="str">
        <f>_xll.QS.CONTEXT.ADD.CURVE(C1676,"SOFR",$K$2:$K$7,$L$2:$L$7,,,"Actual360","LogLinear",TRUE)</f>
        <v>QSObject:ContextInput:w1~input.qs_context_add_curve.2359132437744.1675.3.0:38451</v>
      </c>
      <c r="E1676" s="6" t="str">
        <f>_xll.QS.INSTRUMENT.SWAP("swap.1674",H1676,B1676,"USD","SOFR",I1676,J1676,0,"Actual360","Simple","Annual","Annual","Annual")</f>
        <v>QSObject:Swap:w1~swap.1674:18830</v>
      </c>
      <c r="F1676" s="6" t="str">
        <f>_xll.QS.TRADE.CREATE("trade.1674",E1676,A1676,"Receive")</f>
        <v>QSObject:SwapTrade:w1~trade.1674:29502</v>
      </c>
      <c r="G1676" s="3">
        <f>_xll.QS.EVALUATE(C1676,F1676)</f>
        <v>28925.742460879697</v>
      </c>
      <c r="H1676" s="5" t="s">
        <v>3392</v>
      </c>
      <c r="I1676" s="7">
        <v>1167400</v>
      </c>
      <c r="J1676" s="8">
        <v>3.7400000000000003E-2</v>
      </c>
    </row>
    <row r="1677" spans="1:10" x14ac:dyDescent="0.25">
      <c r="A1677" s="5" t="s">
        <v>3380</v>
      </c>
      <c r="B1677" s="5" t="s">
        <v>3393</v>
      </c>
      <c r="C1677" s="6" t="str">
        <f>_xll.QS.CONTEXT.CREATE("market.1675",A1677,"USD","SOFR")</f>
        <v>QSObject:PricingContext:w1~market.1675:18829</v>
      </c>
      <c r="D1677" s="6" t="str">
        <f>_xll.QS.CONTEXT.ADD.CURVE(C1677,"SOFR",$K$2:$K$7,$L$2:$L$7,,,"Actual360","LogLinear",TRUE)</f>
        <v>QSObject:ContextInput:w1~input.qs_context_add_curve.2359132437744.1676.3.0:38450</v>
      </c>
      <c r="E1677" s="6" t="str">
        <f>_xll.QS.INSTRUMENT.SWAP("swap.1675",H1677,B1677,"USD","SOFR",I1677,J1677,0,"Actual360","Simple","Annual","Annual","Annual")</f>
        <v>QSObject:Swap:w1~swap.1675:18828</v>
      </c>
      <c r="F1677" s="6" t="str">
        <f>_xll.QS.TRADE.CREATE("trade.1675",E1677,A1677,"Receive")</f>
        <v>QSObject:SwapTrade:w1~trade.1675:30166</v>
      </c>
      <c r="G1677" s="3">
        <f>_xll.QS.EVALUATE(C1677,F1677)</f>
        <v>29551.921490850589</v>
      </c>
      <c r="H1677" s="5" t="s">
        <v>3394</v>
      </c>
      <c r="I1677" s="7">
        <v>1167500</v>
      </c>
      <c r="J1677" s="8">
        <v>3.7500000000000012E-2</v>
      </c>
    </row>
    <row r="1678" spans="1:10" x14ac:dyDescent="0.25">
      <c r="A1678" s="5" t="s">
        <v>3382</v>
      </c>
      <c r="B1678" s="5" t="s">
        <v>3395</v>
      </c>
      <c r="C1678" s="6" t="str">
        <f>_xll.QS.CONTEXT.CREATE("market.1676",A1678,"USD","SOFR")</f>
        <v>QSObject:PricingContext:w1~market.1676:18827</v>
      </c>
      <c r="D1678" s="6" t="str">
        <f>_xll.QS.CONTEXT.ADD.CURVE(C1678,"SOFR",$K$2:$K$7,$L$2:$L$7,,,"Actual360","LogLinear",TRUE)</f>
        <v>QSObject:ContextInput:w1~input.qs_context_add_curve.2359132437744.1677.3.0:38449</v>
      </c>
      <c r="E1678" s="6" t="str">
        <f>_xll.QS.INSTRUMENT.SWAP("swap.1676",H1678,B1678,"USD","SOFR",I1678,J1678,0,"Actual360","Simple","Annual","Annual","Annual")</f>
        <v>QSObject:Swap:w1~swap.1676:18826</v>
      </c>
      <c r="F1678" s="6" t="str">
        <f>_xll.QS.TRADE.CREATE("trade.1676",E1678,A1678,"Receive")</f>
        <v>QSObject:SwapTrade:w1~trade.1676:29501</v>
      </c>
      <c r="G1678" s="3">
        <f>_xll.QS.EVALUATE(C1678,F1678)</f>
        <v>30143.678849293945</v>
      </c>
      <c r="H1678" s="5" t="s">
        <v>3396</v>
      </c>
      <c r="I1678" s="7">
        <v>1167600</v>
      </c>
      <c r="J1678" s="8">
        <v>3.7600000000000001E-2</v>
      </c>
    </row>
    <row r="1679" spans="1:10" x14ac:dyDescent="0.25">
      <c r="A1679" s="5" t="s">
        <v>3384</v>
      </c>
      <c r="B1679" s="5" t="s">
        <v>3397</v>
      </c>
      <c r="C1679" s="6" t="str">
        <f>_xll.QS.CONTEXT.CREATE("market.1677",A1679,"USD","SOFR")</f>
        <v>QSObject:PricingContext:w1~market.1677:18825</v>
      </c>
      <c r="D1679" s="6" t="str">
        <f>_xll.QS.CONTEXT.ADD.CURVE(C1679,"SOFR",$K$2:$K$7,$L$2:$L$7,,,"Actual360","LogLinear",TRUE)</f>
        <v>QSObject:ContextInput:w1~input.qs_context_add_curve.2359132437744.1678.3.0:38448</v>
      </c>
      <c r="E1679" s="6" t="str">
        <f>_xll.QS.INSTRUMENT.SWAP("swap.1677",H1679,B1679,"USD","SOFR",I1679,J1679,0,"Actual360","Simple","Annual","Annual","Annual")</f>
        <v>QSObject:Swap:w1~swap.1677:18824</v>
      </c>
      <c r="F1679" s="6" t="str">
        <f>_xll.QS.TRADE.CREATE("trade.1677",E1679,A1679,"Receive")</f>
        <v>QSObject:SwapTrade:w1~trade.1677:30165</v>
      </c>
      <c r="G1679" s="3">
        <f>_xll.QS.EVALUATE(C1679,F1679)</f>
        <v>30640.38397020541</v>
      </c>
      <c r="H1679" s="5" t="s">
        <v>3398</v>
      </c>
      <c r="I1679" s="7">
        <v>1167700</v>
      </c>
      <c r="J1679" s="8">
        <v>3.7699999999999997E-2</v>
      </c>
    </row>
    <row r="1680" spans="1:10" x14ac:dyDescent="0.25">
      <c r="A1680" s="5" t="s">
        <v>3386</v>
      </c>
      <c r="B1680" s="5" t="s">
        <v>3399</v>
      </c>
      <c r="C1680" s="6" t="str">
        <f>_xll.QS.CONTEXT.CREATE("market.1678",A1680,"USD","SOFR")</f>
        <v>QSObject:PricingContext:w1~market.1678:18823</v>
      </c>
      <c r="D1680" s="6" t="str">
        <f>_xll.QS.CONTEXT.ADD.CURVE(C1680,"SOFR",$K$2:$K$7,$L$2:$L$7,,,"Actual360","LogLinear",TRUE)</f>
        <v>QSObject:ContextInput:w1~input.qs_context_add_curve.2359132437744.1679.3.0:38447</v>
      </c>
      <c r="E1680" s="6" t="str">
        <f>_xll.QS.INSTRUMENT.SWAP("swap.1678",H1680,B1680,"USD","SOFR",I1680,J1680,0,"Actual360","Simple","Annual","Annual","Annual")</f>
        <v>QSObject:Swap:w1~swap.1678:18822</v>
      </c>
      <c r="F1680" s="6" t="str">
        <f>_xll.QS.TRADE.CREATE("trade.1678",E1680,A1680,"Receive")</f>
        <v>QSObject:SwapTrade:w1~trade.1678:29500</v>
      </c>
      <c r="G1680" s="3">
        <f>_xll.QS.EVALUATE(C1680,F1680)</f>
        <v>31095.41443436862</v>
      </c>
      <c r="H1680" s="5" t="s">
        <v>3400</v>
      </c>
      <c r="I1680" s="7">
        <v>1167800</v>
      </c>
      <c r="J1680" s="8">
        <v>3.78E-2</v>
      </c>
    </row>
    <row r="1681" spans="1:10" x14ac:dyDescent="0.25">
      <c r="A1681" s="5" t="s">
        <v>3388</v>
      </c>
      <c r="B1681" s="5" t="s">
        <v>3401</v>
      </c>
      <c r="C1681" s="6" t="str">
        <f>_xll.QS.CONTEXT.CREATE("market.1679",A1681,"USD","SOFR")</f>
        <v>QSObject:PricingContext:w1~market.1679:18821</v>
      </c>
      <c r="D1681" s="6" t="str">
        <f>_xll.QS.CONTEXT.ADD.CURVE(C1681,"SOFR",$K$2:$K$7,$L$2:$L$7,,,"Actual360","LogLinear",TRUE)</f>
        <v>QSObject:ContextInput:w1~input.qs_context_add_curve.2359132437744.1680.3.0:38446</v>
      </c>
      <c r="E1681" s="6" t="str">
        <f>_xll.QS.INSTRUMENT.SWAP("swap.1679",H1681,B1681,"USD","SOFR",I1681,J1681,0,"Actual360","Simple","Annual","Annual","Annual")</f>
        <v>QSObject:Swap:w1~swap.1679:18820</v>
      </c>
      <c r="F1681" s="6" t="str">
        <f>_xll.QS.TRADE.CREATE("trade.1679",E1681,A1681,"Receive")</f>
        <v>QSObject:SwapTrade:w1~trade.1679:30164</v>
      </c>
      <c r="G1681" s="3">
        <f>_xll.QS.EVALUATE(C1681,F1681)</f>
        <v>31552.504200407868</v>
      </c>
      <c r="H1681" s="5" t="s">
        <v>3402</v>
      </c>
      <c r="I1681" s="7">
        <v>1167900</v>
      </c>
      <c r="J1681" s="8">
        <v>3.7900000000000003E-2</v>
      </c>
    </row>
    <row r="1682" spans="1:10" x14ac:dyDescent="0.25">
      <c r="A1682" s="5" t="s">
        <v>3390</v>
      </c>
      <c r="B1682" s="5" t="s">
        <v>3403</v>
      </c>
      <c r="C1682" s="6" t="str">
        <f>_xll.QS.CONTEXT.CREATE("market.1680",A1682,"USD","SOFR")</f>
        <v>QSObject:PricingContext:w1~market.1680:18819</v>
      </c>
      <c r="D1682" s="6" t="str">
        <f>_xll.QS.CONTEXT.ADD.CURVE(C1682,"SOFR",$K$2:$K$7,$L$2:$L$7,,,"Actual360","LogLinear",TRUE)</f>
        <v>QSObject:ContextInput:w1~input.qs_context_add_curve.2359132437744.1681.3.0:38445</v>
      </c>
      <c r="E1682" s="6" t="str">
        <f>_xll.QS.INSTRUMENT.SWAP("swap.1680",H1682,B1682,"USD","SOFR",I1682,J1682,0,"Actual360","Simple","Annual","Annual","Annual")</f>
        <v>QSObject:Swap:w1~swap.1680:18818</v>
      </c>
      <c r="F1682" s="6" t="str">
        <f>_xll.QS.TRADE.CREATE("trade.1680",E1682,A1682,"Receive")</f>
        <v>QSObject:SwapTrade:w1~trade.1680:29499</v>
      </c>
      <c r="G1682" s="3">
        <f>_xll.QS.EVALUATE(C1682,F1682)</f>
        <v>32144.031991873919</v>
      </c>
      <c r="H1682" s="5" t="s">
        <v>3404</v>
      </c>
      <c r="I1682" s="7">
        <v>1168000</v>
      </c>
      <c r="J1682" s="8">
        <v>3.8000000000000013E-2</v>
      </c>
    </row>
    <row r="1683" spans="1:10" x14ac:dyDescent="0.25">
      <c r="A1683" s="5" t="s">
        <v>3392</v>
      </c>
      <c r="B1683" s="5" t="s">
        <v>3405</v>
      </c>
      <c r="C1683" s="6" t="str">
        <f>_xll.QS.CONTEXT.CREATE("market.1681",A1683,"USD","SOFR")</f>
        <v>QSObject:PricingContext:w1~market.1681:18817</v>
      </c>
      <c r="D1683" s="6" t="str">
        <f>_xll.QS.CONTEXT.ADD.CURVE(C1683,"SOFR",$K$2:$K$7,$L$2:$L$7,,,"Actual360","LogLinear",TRUE)</f>
        <v>QSObject:ContextInput:w1~input.qs_context_add_curve.2359132437744.1682.3.0:38444</v>
      </c>
      <c r="E1683" s="6" t="str">
        <f>_xll.QS.INSTRUMENT.SWAP("swap.1681",H1683,B1683,"USD","SOFR",I1683,J1683,0,"Actual360","Simple","Annual","Annual","Annual")</f>
        <v>QSObject:Swap:w1~swap.1681:18816</v>
      </c>
      <c r="F1683" s="6" t="str">
        <f>_xll.QS.TRADE.CREATE("trade.1681",E1683,A1683,"Receive")</f>
        <v>QSObject:SwapTrade:w1~trade.1681:30163</v>
      </c>
      <c r="G1683" s="3">
        <f>_xll.QS.EVALUATE(C1683,F1683)</f>
        <v>32713.621071612597</v>
      </c>
      <c r="H1683" s="5" t="s">
        <v>3406</v>
      </c>
      <c r="I1683" s="7">
        <v>1168100</v>
      </c>
      <c r="J1683" s="8">
        <v>3.8100000000000002E-2</v>
      </c>
    </row>
    <row r="1684" spans="1:10" x14ac:dyDescent="0.25">
      <c r="A1684" s="5" t="s">
        <v>3394</v>
      </c>
      <c r="B1684" s="5" t="s">
        <v>3407</v>
      </c>
      <c r="C1684" s="6" t="str">
        <f>_xll.QS.CONTEXT.CREATE("market.1682",A1684,"USD","SOFR")</f>
        <v>QSObject:PricingContext:w1~market.1682:18815</v>
      </c>
      <c r="D1684" s="6" t="str">
        <f>_xll.QS.CONTEXT.ADD.CURVE(C1684,"SOFR",$K$2:$K$7,$L$2:$L$7,,,"Actual360","LogLinear",TRUE)</f>
        <v>QSObject:ContextInput:w1~input.qs_context_add_curve.2359132437744.1683.3.0:38443</v>
      </c>
      <c r="E1684" s="6" t="str">
        <f>_xll.QS.INSTRUMENT.SWAP("swap.1682",H1684,B1684,"USD","SOFR",I1684,J1684,0,"Actual360","Simple","Annual","Annual","Annual")</f>
        <v>QSObject:Swap:w1~swap.1682:18814</v>
      </c>
      <c r="F1684" s="6" t="str">
        <f>_xll.QS.TRADE.CREATE("trade.1682",E1684,A1684,"Receive")</f>
        <v>QSObject:SwapTrade:w1~trade.1682:30162</v>
      </c>
      <c r="G1684" s="3">
        <f>_xll.QS.EVALUATE(C1684,F1684)</f>
        <v>33340.553430065658</v>
      </c>
      <c r="H1684" s="5" t="s">
        <v>3408</v>
      </c>
      <c r="I1684" s="7">
        <v>1168200</v>
      </c>
      <c r="J1684" s="8">
        <v>3.8199999999999998E-2</v>
      </c>
    </row>
    <row r="1685" spans="1:10" x14ac:dyDescent="0.25">
      <c r="A1685" s="5" t="s">
        <v>3396</v>
      </c>
      <c r="B1685" s="5" t="s">
        <v>3409</v>
      </c>
      <c r="C1685" s="6" t="str">
        <f>_xll.QS.CONTEXT.CREATE("market.1683",A1685,"USD","SOFR")</f>
        <v>QSObject:PricingContext:w1~market.1683:18813</v>
      </c>
      <c r="D1685" s="6" t="str">
        <f>_xll.QS.CONTEXT.ADD.CURVE(C1685,"SOFR",$K$2:$K$7,$L$2:$L$7,,,"Actual360","LogLinear",TRUE)</f>
        <v>QSObject:ContextInput:w1~input.qs_context_add_curve.2359132437744.1684.3.0:38442</v>
      </c>
      <c r="E1685" s="6" t="str">
        <f>_xll.QS.INSTRUMENT.SWAP("swap.1683",H1685,B1685,"USD","SOFR",I1685,J1685,0,"Actual360","Simple","Annual","Annual","Annual")</f>
        <v>QSObject:Swap:w1~swap.1683:18812</v>
      </c>
      <c r="F1685" s="6" t="str">
        <f>_xll.QS.TRADE.CREATE("trade.1683",E1685,A1685,"Receive")</f>
        <v>QSObject:SwapTrade:w1~trade.1683:29498</v>
      </c>
      <c r="G1685" s="3">
        <f>_xll.QS.EVALUATE(C1685,F1685)</f>
        <v>33933.027151060436</v>
      </c>
      <c r="H1685" s="5" t="s">
        <v>3410</v>
      </c>
      <c r="I1685" s="7">
        <v>1168300</v>
      </c>
      <c r="J1685" s="8">
        <v>3.8300000000000001E-2</v>
      </c>
    </row>
    <row r="1686" spans="1:10" x14ac:dyDescent="0.25">
      <c r="A1686" s="5" t="s">
        <v>3398</v>
      </c>
      <c r="B1686" s="5" t="s">
        <v>3411</v>
      </c>
      <c r="C1686" s="6" t="str">
        <f>_xll.QS.CONTEXT.CREATE("market.1684",A1686,"USD","SOFR")</f>
        <v>QSObject:PricingContext:w1~market.1684:18811</v>
      </c>
      <c r="D1686" s="6" t="str">
        <f>_xll.QS.CONTEXT.ADD.CURVE(C1686,"SOFR",$K$2:$K$7,$L$2:$L$7,,,"Actual360","LogLinear",TRUE)</f>
        <v>QSObject:ContextInput:w1~input.qs_context_add_curve.2359132437744.1685.3.0:38441</v>
      </c>
      <c r="E1686" s="6" t="str">
        <f>_xll.QS.INSTRUMENT.SWAP("swap.1684",H1686,B1686,"USD","SOFR",I1686,J1686,0,"Actual360","Simple","Annual","Annual","Annual")</f>
        <v>QSObject:Swap:w1~swap.1684:18810</v>
      </c>
      <c r="F1686" s="6" t="str">
        <f>_xll.QS.TRADE.CREATE("trade.1684",E1686,A1686,"Receive")</f>
        <v>QSObject:SwapTrade:w1~trade.1684:30161</v>
      </c>
      <c r="G1686" s="3">
        <f>_xll.QS.EVALUATE(C1686,F1686)</f>
        <v>34430.320879896593</v>
      </c>
      <c r="H1686" s="5" t="s">
        <v>3412</v>
      </c>
      <c r="I1686" s="7">
        <v>1168400</v>
      </c>
      <c r="J1686" s="8">
        <v>3.8399999999999997E-2</v>
      </c>
    </row>
    <row r="1687" spans="1:10" x14ac:dyDescent="0.25">
      <c r="A1687" s="5" t="s">
        <v>3400</v>
      </c>
      <c r="B1687" s="5" t="s">
        <v>3413</v>
      </c>
      <c r="C1687" s="6" t="str">
        <f>_xll.QS.CONTEXT.CREATE("market.1685",A1687,"USD","SOFR")</f>
        <v>QSObject:PricingContext:w1~market.1685:18809</v>
      </c>
      <c r="D1687" s="6" t="str">
        <f>_xll.QS.CONTEXT.ADD.CURVE(C1687,"SOFR",$K$2:$K$7,$L$2:$L$7,,,"Actual360","LogLinear",TRUE)</f>
        <v>QSObject:ContextInput:w1~input.qs_context_add_curve.2359132437744.1686.3.0:38440</v>
      </c>
      <c r="E1687" s="6" t="str">
        <f>_xll.QS.INSTRUMENT.SWAP("swap.1685",H1687,B1687,"USD","SOFR",I1687,J1687,0,"Actual360","Simple","Annual","Annual","Annual")</f>
        <v>QSObject:Swap:w1~swap.1685:18808</v>
      </c>
      <c r="F1687" s="6" t="str">
        <f>_xll.QS.TRADE.CREATE("trade.1685",E1687,A1687,"Receive")</f>
        <v>QSObject:SwapTrade:w1~trade.1685:29497</v>
      </c>
      <c r="G1687" s="3">
        <f>_xll.QS.EVALUATE(C1687,F1687)</f>
        <v>34881.500271102122</v>
      </c>
      <c r="H1687" s="5" t="s">
        <v>3414</v>
      </c>
      <c r="I1687" s="7">
        <v>1168500</v>
      </c>
      <c r="J1687" s="8">
        <v>3.8500000000000013E-2</v>
      </c>
    </row>
    <row r="1688" spans="1:10" x14ac:dyDescent="0.25">
      <c r="A1688" s="5" t="s">
        <v>3402</v>
      </c>
      <c r="B1688" s="5" t="s">
        <v>3415</v>
      </c>
      <c r="C1688" s="6" t="str">
        <f>_xll.QS.CONTEXT.CREATE("market.1686",A1688,"USD","SOFR")</f>
        <v>QSObject:PricingContext:w1~market.1686:18807</v>
      </c>
      <c r="D1688" s="6" t="str">
        <f>_xll.QS.CONTEXT.ADD.CURVE(C1688,"SOFR",$K$2:$K$7,$L$2:$L$7,,,"Actual360","LogLinear",TRUE)</f>
        <v>QSObject:ContextInput:w1~input.qs_context_add_curve.2359132437744.1687.3.0:38439</v>
      </c>
      <c r="E1688" s="6" t="str">
        <f>_xll.QS.INSTRUMENT.SWAP("swap.1686",H1688,B1688,"USD","SOFR",I1688,J1688,0,"Actual360","Simple","Annual","Annual","Annual")</f>
        <v>QSObject:Swap:w1~swap.1686:18806</v>
      </c>
      <c r="F1688" s="6" t="str">
        <f>_xll.QS.TRADE.CREATE("trade.1686",E1688,A1688,"Receive")</f>
        <v>QSObject:SwapTrade:w1~trade.1686:29496</v>
      </c>
      <c r="G1688" s="3">
        <f>_xll.QS.EVALUATE(C1688,F1688)</f>
        <v>35345.032798623215</v>
      </c>
      <c r="H1688" s="5" t="s">
        <v>3416</v>
      </c>
      <c r="I1688" s="7">
        <v>1168600</v>
      </c>
      <c r="J1688" s="8">
        <v>3.8600000000000002E-2</v>
      </c>
    </row>
    <row r="1689" spans="1:10" x14ac:dyDescent="0.25">
      <c r="A1689" s="5" t="s">
        <v>3404</v>
      </c>
      <c r="B1689" s="5" t="s">
        <v>3417</v>
      </c>
      <c r="C1689" s="6" t="str">
        <f>_xll.QS.CONTEXT.CREATE("market.1687",A1689,"USD","SOFR")</f>
        <v>QSObject:PricingContext:w1~market.1687:18805</v>
      </c>
      <c r="D1689" s="6" t="str">
        <f>_xll.QS.CONTEXT.ADD.CURVE(C1689,"SOFR",$K$2:$K$7,$L$2:$L$7,,,"Actual360","LogLinear",TRUE)</f>
        <v>QSObject:ContextInput:w1~input.qs_context_add_curve.2359132437744.1688.3.0:38438</v>
      </c>
      <c r="E1689" s="6" t="str">
        <f>_xll.QS.INSTRUMENT.SWAP("swap.1687",H1689,B1689,"USD","SOFR",I1689,J1689,0,"Actual360","Simple","Annual","Annual","Annual")</f>
        <v>QSObject:Swap:w1~swap.1687:18804</v>
      </c>
      <c r="F1689" s="6" t="str">
        <f>_xll.QS.TRADE.CREATE("trade.1687",E1689,A1689,"Receive")</f>
        <v>QSObject:SwapTrade:w1~trade.1687:30160</v>
      </c>
      <c r="G1689" s="3">
        <f>_xll.QS.EVALUATE(C1689,F1689)</f>
        <v>35937.615108933853</v>
      </c>
      <c r="H1689" s="5" t="s">
        <v>3418</v>
      </c>
      <c r="I1689" s="7">
        <v>1168700</v>
      </c>
      <c r="J1689" s="8">
        <v>3.8700000000000012E-2</v>
      </c>
    </row>
    <row r="1690" spans="1:10" x14ac:dyDescent="0.25">
      <c r="A1690" s="5" t="s">
        <v>3406</v>
      </c>
      <c r="B1690" s="5" t="s">
        <v>3419</v>
      </c>
      <c r="C1690" s="6" t="str">
        <f>_xll.QS.CONTEXT.CREATE("market.1688",A1690,"USD","SOFR")</f>
        <v>QSObject:PricingContext:w1~market.1688:18803</v>
      </c>
      <c r="D1690" s="6" t="str">
        <f>_xll.QS.CONTEXT.ADD.CURVE(C1690,"SOFR",$K$2:$K$7,$L$2:$L$7,,,"Actual360","LogLinear",TRUE)</f>
        <v>QSObject:ContextInput:w1~input.qs_context_add_curve.2359132437744.1689.3.0:38437</v>
      </c>
      <c r="E1690" s="6" t="str">
        <f>_xll.QS.INSTRUMENT.SWAP("swap.1688",H1690,B1690,"USD","SOFR",I1690,J1690,0,"Actual360","Simple","Annual","Annual","Annual")</f>
        <v>QSObject:Swap:w1~swap.1688:18802</v>
      </c>
      <c r="F1690" s="6" t="str">
        <f>_xll.QS.TRADE.CREATE("trade.1688",E1690,A1690,"Receive")</f>
        <v>QSObject:SwapTrade:w1~trade.1688:30159</v>
      </c>
      <c r="G1690" s="3">
        <f>_xll.QS.EVALUATE(C1690,F1690)</f>
        <v>36506.018771203468</v>
      </c>
      <c r="H1690" s="5" t="s">
        <v>3420</v>
      </c>
      <c r="I1690" s="7">
        <v>1168800</v>
      </c>
      <c r="J1690" s="8">
        <v>3.8800000000000001E-2</v>
      </c>
    </row>
    <row r="1691" spans="1:10" x14ac:dyDescent="0.25">
      <c r="A1691" s="5" t="s">
        <v>3408</v>
      </c>
      <c r="B1691" s="5" t="s">
        <v>3421</v>
      </c>
      <c r="C1691" s="6" t="str">
        <f>_xll.QS.CONTEXT.CREATE("market.1689",A1691,"USD","SOFR")</f>
        <v>QSObject:PricingContext:w1~market.1689:18801</v>
      </c>
      <c r="D1691" s="6" t="str">
        <f>_xll.QS.CONTEXT.ADD.CURVE(C1691,"SOFR",$K$2:$K$7,$L$2:$L$7,,,"Actual360","LogLinear",TRUE)</f>
        <v>QSObject:ContextInput:w1~input.qs_context_add_curve.2359132437744.1690.3.0:38436</v>
      </c>
      <c r="E1691" s="6" t="str">
        <f>_xll.QS.INSTRUMENT.SWAP("swap.1689",H1691,B1691,"USD","SOFR",I1691,J1691,0,"Actual360","Simple","Annual","Annual","Annual")</f>
        <v>QSObject:Swap:w1~swap.1689:18800</v>
      </c>
      <c r="F1691" s="6" t="str">
        <f>_xll.QS.TRADE.CREATE("trade.1689",E1691,A1691,"Receive")</f>
        <v>QSObject:SwapTrade:w1~trade.1689:30158</v>
      </c>
      <c r="G1691" s="3">
        <f>_xll.QS.EVALUATE(C1691,F1691)</f>
        <v>37133.70452594883</v>
      </c>
      <c r="H1691" s="5" t="s">
        <v>3422</v>
      </c>
      <c r="I1691" s="7">
        <v>1168900</v>
      </c>
      <c r="J1691" s="8">
        <v>3.8899999999999997E-2</v>
      </c>
    </row>
    <row r="1692" spans="1:10" x14ac:dyDescent="0.25">
      <c r="A1692" s="5" t="s">
        <v>3410</v>
      </c>
      <c r="B1692" s="5" t="s">
        <v>3423</v>
      </c>
      <c r="C1692" s="6" t="str">
        <f>_xll.QS.CONTEXT.CREATE("market.1690",A1692,"USD","SOFR")</f>
        <v>QSObject:PricingContext:w1~market.1690:18799</v>
      </c>
      <c r="D1692" s="6" t="str">
        <f>_xll.QS.CONTEXT.ADD.CURVE(C1692,"SOFR",$K$2:$K$7,$L$2:$L$7,,,"Actual360","LogLinear",TRUE)</f>
        <v>QSObject:ContextInput:w1~input.qs_context_add_curve.2359132437744.1691.3.0:38435</v>
      </c>
      <c r="E1692" s="6" t="str">
        <f>_xll.QS.INSTRUMENT.SWAP("swap.1690",H1692,B1692,"USD","SOFR",I1692,J1692,0,"Actual360","Simple","Annual","Annual","Annual")</f>
        <v>QSObject:Swap:w1~swap.1690:18798</v>
      </c>
      <c r="F1692" s="6" t="str">
        <f>_xll.QS.TRADE.CREATE("trade.1690",E1692,A1692,"Receive")</f>
        <v>QSObject:SwapTrade:w1~trade.1690:29495</v>
      </c>
      <c r="G1692" s="3">
        <f>_xll.QS.EVALUATE(C1692,F1692)</f>
        <v>37726.894657802157</v>
      </c>
      <c r="H1692" s="5" t="s">
        <v>3424</v>
      </c>
      <c r="I1692" s="7">
        <v>1169000</v>
      </c>
      <c r="J1692" s="8">
        <v>3.9000000000000007E-2</v>
      </c>
    </row>
    <row r="1693" spans="1:10" x14ac:dyDescent="0.25">
      <c r="A1693" s="5" t="s">
        <v>3412</v>
      </c>
      <c r="B1693" s="5" t="s">
        <v>3425</v>
      </c>
      <c r="C1693" s="6" t="str">
        <f>_xll.QS.CONTEXT.CREATE("market.1691",A1693,"USD","SOFR")</f>
        <v>QSObject:PricingContext:w1~market.1691:18797</v>
      </c>
      <c r="D1693" s="6" t="str">
        <f>_xll.QS.CONTEXT.ADD.CURVE(C1693,"SOFR",$K$2:$K$7,$L$2:$L$7,,,"Actual360","LogLinear",TRUE)</f>
        <v>QSObject:ContextInput:w1~input.qs_context_add_curve.2359132437744.1692.3.0:38434</v>
      </c>
      <c r="E1693" s="6" t="str">
        <f>_xll.QS.INSTRUMENT.SWAP("swap.1691",H1693,B1693,"USD","SOFR",I1693,J1693,0,"Actual360","Simple","Annual","Annual","Annual")</f>
        <v>QSObject:Swap:w1~swap.1691:18796</v>
      </c>
      <c r="F1693" s="6" t="str">
        <f>_xll.QS.TRADE.CREATE("trade.1691",E1693,A1693,"Receive")</f>
        <v>QSObject:SwapTrade:w1~trade.1691:30157</v>
      </c>
      <c r="G1693" s="3">
        <f>_xll.QS.EVALUATE(C1693,F1693)</f>
        <v>38224.776958132177</v>
      </c>
      <c r="H1693" s="5" t="s">
        <v>3426</v>
      </c>
      <c r="I1693" s="7">
        <v>1169100</v>
      </c>
      <c r="J1693" s="8">
        <v>3.9100000000000003E-2</v>
      </c>
    </row>
    <row r="1694" spans="1:10" x14ac:dyDescent="0.25">
      <c r="A1694" s="5" t="s">
        <v>3414</v>
      </c>
      <c r="B1694" s="5" t="s">
        <v>3427</v>
      </c>
      <c r="C1694" s="6" t="str">
        <f>_xll.QS.CONTEXT.CREATE("market.1692",A1694,"USD","SOFR")</f>
        <v>QSObject:PricingContext:w1~market.1692:18795</v>
      </c>
      <c r="D1694" s="6" t="str">
        <f>_xll.QS.CONTEXT.ADD.CURVE(C1694,"SOFR",$K$2:$K$7,$L$2:$L$7,,,"Actual360","LogLinear",TRUE)</f>
        <v>QSObject:ContextInput:w1~input.qs_context_add_curve.2359132437744.1693.3.0:38433</v>
      </c>
      <c r="E1694" s="6" t="str">
        <f>_xll.QS.INSTRUMENT.SWAP("swap.1692",H1694,B1694,"USD","SOFR",I1694,J1694,0,"Actual360","Simple","Annual","Annual","Annual")</f>
        <v>QSObject:Swap:w1~swap.1692:18794</v>
      </c>
      <c r="F1694" s="6" t="str">
        <f>_xll.QS.TRADE.CREATE("trade.1692",E1694,A1694,"Receive")</f>
        <v>QSObject:SwapTrade:w1~trade.1692:29494</v>
      </c>
      <c r="G1694" s="3">
        <f>_xll.QS.EVALUATE(C1694,F1694)</f>
        <v>38672.099950687669</v>
      </c>
      <c r="H1694" s="5" t="s">
        <v>3428</v>
      </c>
      <c r="I1694" s="7">
        <v>1169200</v>
      </c>
      <c r="J1694" s="8">
        <v>3.9200000000000013E-2</v>
      </c>
    </row>
    <row r="1695" spans="1:10" x14ac:dyDescent="0.25">
      <c r="A1695" s="5" t="s">
        <v>3416</v>
      </c>
      <c r="B1695" s="5" t="s">
        <v>3429</v>
      </c>
      <c r="C1695" s="6" t="str">
        <f>_xll.QS.CONTEXT.CREATE("market.1693",A1695,"USD","SOFR")</f>
        <v>QSObject:PricingContext:w1~market.1693:18793</v>
      </c>
      <c r="D1695" s="6" t="str">
        <f>_xll.QS.CONTEXT.ADD.CURVE(C1695,"SOFR",$K$2:$K$7,$L$2:$L$7,,,"Actual360","LogLinear",TRUE)</f>
        <v>QSObject:ContextInput:w1~input.qs_context_add_curve.2359132437744.1694.3.0:38432</v>
      </c>
      <c r="E1695" s="6" t="str">
        <f>_xll.QS.INSTRUMENT.SWAP("swap.1693",H1695,B1695,"USD","SOFR",I1695,J1695,0,"Actual360","Simple","Annual","Annual","Annual")</f>
        <v>QSObject:Swap:w1~swap.1693:18792</v>
      </c>
      <c r="F1695" s="6" t="str">
        <f>_xll.QS.TRADE.CREATE("trade.1693",E1695,A1695,"Receive")</f>
        <v>QSObject:SwapTrade:w1~trade.1693:29493</v>
      </c>
      <c r="G1695" s="3">
        <f>_xll.QS.EVALUATE(C1695,F1695)</f>
        <v>39142.082245652127</v>
      </c>
      <c r="H1695" s="5" t="s">
        <v>3430</v>
      </c>
      <c r="I1695" s="7">
        <v>1169300</v>
      </c>
      <c r="J1695" s="8">
        <v>3.9300000000000002E-2</v>
      </c>
    </row>
    <row r="1696" spans="1:10" x14ac:dyDescent="0.25">
      <c r="A1696" s="5" t="s">
        <v>3418</v>
      </c>
      <c r="B1696" s="5" t="s">
        <v>3431</v>
      </c>
      <c r="C1696" s="6" t="str">
        <f>_xll.QS.CONTEXT.CREATE("market.1694",A1696,"USD","SOFR")</f>
        <v>QSObject:PricingContext:w1~market.1694:18791</v>
      </c>
      <c r="D1696" s="6" t="str">
        <f>_xll.QS.CONTEXT.ADD.CURVE(C1696,"SOFR",$K$2:$K$7,$L$2:$L$7,,,"Actual360","LogLinear",TRUE)</f>
        <v>QSObject:ContextInput:w1~input.qs_context_add_curve.2359132437744.1695.3.0:38431</v>
      </c>
      <c r="E1696" s="6" t="str">
        <f>_xll.QS.INSTRUMENT.SWAP("swap.1694",H1696,B1696,"USD","SOFR",I1696,J1696,0,"Actual360","Simple","Annual","Annual","Annual")</f>
        <v>QSObject:Swap:w1~swap.1694:18790</v>
      </c>
      <c r="F1696" s="6" t="str">
        <f>_xll.QS.TRADE.CREATE("trade.1694",E1696,A1696,"Receive")</f>
        <v>QSObject:SwapTrade:w1~trade.1694:30156</v>
      </c>
      <c r="G1696" s="3">
        <f>_xll.QS.EVALUATE(C1696,F1696)</f>
        <v>39735.719528466798</v>
      </c>
      <c r="H1696" s="5" t="s">
        <v>3432</v>
      </c>
      <c r="I1696" s="7">
        <v>1169400</v>
      </c>
      <c r="J1696" s="8">
        <v>3.9399999999999998E-2</v>
      </c>
    </row>
    <row r="1697" spans="1:10" x14ac:dyDescent="0.25">
      <c r="A1697" s="5" t="s">
        <v>3420</v>
      </c>
      <c r="B1697" s="5" t="s">
        <v>3433</v>
      </c>
      <c r="C1697" s="6" t="str">
        <f>_xll.QS.CONTEXT.CREATE("market.1695",A1697,"USD","SOFR")</f>
        <v>QSObject:PricingContext:w1~market.1695:18789</v>
      </c>
      <c r="D1697" s="6" t="str">
        <f>_xll.QS.CONTEXT.ADD.CURVE(C1697,"SOFR",$K$2:$K$7,$L$2:$L$7,,,"Actual360","LogLinear",TRUE)</f>
        <v>QSObject:ContextInput:w1~input.qs_context_add_curve.2359132437744.1696.3.0:38430</v>
      </c>
      <c r="E1697" s="6" t="str">
        <f>_xll.QS.INSTRUMENT.SWAP("swap.1695",H1697,B1697,"USD","SOFR",I1697,J1697,0,"Actual360","Simple","Annual","Annual","Annual")</f>
        <v>QSObject:Swap:w1~swap.1695:18788</v>
      </c>
      <c r="F1697" s="6" t="str">
        <f>_xll.QS.TRADE.CREATE("trade.1695",E1697,A1697,"Receive")</f>
        <v>QSObject:SwapTrade:w1~trade.1695:29492</v>
      </c>
      <c r="G1697" s="3">
        <f>_xll.QS.EVALUATE(C1697,F1697)</f>
        <v>40303.112307415038</v>
      </c>
      <c r="H1697" s="5" t="s">
        <v>3434</v>
      </c>
      <c r="I1697" s="7">
        <v>1169500</v>
      </c>
      <c r="J1697" s="8">
        <v>3.9500000000000007E-2</v>
      </c>
    </row>
    <row r="1698" spans="1:10" x14ac:dyDescent="0.25">
      <c r="A1698" s="5" t="s">
        <v>3422</v>
      </c>
      <c r="B1698" s="5" t="s">
        <v>3435</v>
      </c>
      <c r="C1698" s="6" t="str">
        <f>_xll.QS.CONTEXT.CREATE("market.1696",A1698,"USD","SOFR")</f>
        <v>QSObject:PricingContext:w1~market.1696:18787</v>
      </c>
      <c r="D1698" s="6" t="str">
        <f>_xll.QS.CONTEXT.ADD.CURVE(C1698,"SOFR",$K$2:$K$7,$L$2:$L$7,,,"Actual360","LogLinear",TRUE)</f>
        <v>QSObject:ContextInput:w1~input.qs_context_add_curve.2359132437744.1697.3.0:38429</v>
      </c>
      <c r="E1698" s="6" t="str">
        <f>_xll.QS.INSTRUMENT.SWAP("swap.1696",H1698,B1698,"USD","SOFR",I1698,J1698,0,"Actual360","Simple","Annual","Annual","Annual")</f>
        <v>QSObject:Swap:w1~swap.1696:18786</v>
      </c>
      <c r="F1698" s="6" t="str">
        <f>_xll.QS.TRADE.CREATE("trade.1696",E1698,A1698,"Receive")</f>
        <v>QSObject:SwapTrade:w1~trade.1696:30155</v>
      </c>
      <c r="G1698" s="3">
        <f>_xll.QS.EVALUATE(C1698,F1698)</f>
        <v>40931.766600742267</v>
      </c>
      <c r="H1698" s="5" t="s">
        <v>3436</v>
      </c>
      <c r="I1698" s="7">
        <v>1169600</v>
      </c>
      <c r="J1698" s="8">
        <v>3.9600000000000003E-2</v>
      </c>
    </row>
    <row r="1699" spans="1:10" x14ac:dyDescent="0.25">
      <c r="A1699" s="5" t="s">
        <v>3424</v>
      </c>
      <c r="B1699" s="5" t="s">
        <v>3437</v>
      </c>
      <c r="C1699" s="6" t="str">
        <f>_xll.QS.CONTEXT.CREATE("market.1697",A1699,"USD","SOFR")</f>
        <v>QSObject:PricingContext:w1~market.1697:18785</v>
      </c>
      <c r="D1699" s="6" t="str">
        <f>_xll.QS.CONTEXT.ADD.CURVE(C1699,"SOFR",$K$2:$K$7,$L$2:$L$7,,,"Actual360","LogLinear",TRUE)</f>
        <v>QSObject:ContextInput:w1~input.qs_context_add_curve.2359132437744.1698.3.0:38428</v>
      </c>
      <c r="E1699" s="6" t="str">
        <f>_xll.QS.INSTRUMENT.SWAP("swap.1697",H1699,B1699,"USD","SOFR",I1699,J1699,0,"Actual360","Simple","Annual","Annual","Annual")</f>
        <v>QSObject:Swap:w1~swap.1697:18784</v>
      </c>
      <c r="F1699" s="6" t="str">
        <f>_xll.QS.TRADE.CREATE("trade.1697",E1699,A1699,"Receive")</f>
        <v>QSObject:SwapTrade:w1~trade.1697:30154</v>
      </c>
      <c r="G1699" s="3">
        <f>_xll.QS.EVALUATE(C1699,F1699)</f>
        <v>41524.881738038297</v>
      </c>
      <c r="H1699" s="5" t="s">
        <v>3438</v>
      </c>
      <c r="I1699" s="7">
        <v>1169700</v>
      </c>
      <c r="J1699" s="8">
        <v>3.9700000000000013E-2</v>
      </c>
    </row>
    <row r="1700" spans="1:10" x14ac:dyDescent="0.25">
      <c r="A1700" s="5" t="s">
        <v>3426</v>
      </c>
      <c r="B1700" s="5" t="s">
        <v>3439</v>
      </c>
      <c r="C1700" s="6" t="str">
        <f>_xll.QS.CONTEXT.CREATE("market.1698",A1700,"USD","SOFR")</f>
        <v>QSObject:PricingContext:w1~market.1698:18783</v>
      </c>
      <c r="D1700" s="6" t="str">
        <f>_xll.QS.CONTEXT.ADD.CURVE(C1700,"SOFR",$K$2:$K$7,$L$2:$L$7,,,"Actual360","LogLinear",TRUE)</f>
        <v>QSObject:ContextInput:w1~input.qs_context_add_curve.2359132437744.1699.3.0:38427</v>
      </c>
      <c r="E1700" s="6" t="str">
        <f>_xll.QS.INSTRUMENT.SWAP("swap.1698",H1700,B1700,"USD","SOFR",I1700,J1700,0,"Actual360","Simple","Annual","Annual","Annual")</f>
        <v>QSObject:Swap:w1~swap.1698:18782</v>
      </c>
      <c r="F1700" s="6" t="str">
        <f>_xll.QS.TRADE.CREATE("trade.1698",E1700,A1700,"Receive")</f>
        <v>QSObject:SwapTrade:w1~trade.1698:29491</v>
      </c>
      <c r="G1700" s="3">
        <f>_xll.QS.EVALUATE(C1700,F1700)</f>
        <v>42023.19430259458</v>
      </c>
      <c r="H1700" s="5" t="s">
        <v>3440</v>
      </c>
      <c r="I1700" s="7">
        <v>1169800</v>
      </c>
      <c r="J1700" s="8">
        <v>3.9800000000000002E-2</v>
      </c>
    </row>
    <row r="1701" spans="1:10" x14ac:dyDescent="0.25">
      <c r="A1701" s="5" t="s">
        <v>3428</v>
      </c>
      <c r="B1701" s="5" t="s">
        <v>3441</v>
      </c>
      <c r="C1701" s="6" t="str">
        <f>_xll.QS.CONTEXT.CREATE("market.1699",A1701,"USD","SOFR")</f>
        <v>QSObject:PricingContext:w1~market.1699:18781</v>
      </c>
      <c r="D1701" s="6" t="str">
        <f>_xll.QS.CONTEXT.ADD.CURVE(C1701,"SOFR",$K$2:$K$7,$L$2:$L$7,,,"Actual360","LogLinear",TRUE)</f>
        <v>QSObject:ContextInput:w1~input.qs_context_add_curve.2359132437744.1700.3.0:38426</v>
      </c>
      <c r="E1701" s="6" t="str">
        <f>_xll.QS.INSTRUMENT.SWAP("swap.1699",H1701,B1701,"USD","SOFR",I1701,J1701,0,"Actual360","Simple","Annual","Annual","Annual")</f>
        <v>QSObject:Swap:w1~swap.1699:18780</v>
      </c>
      <c r="F1701" s="6" t="str">
        <f>_xll.QS.TRADE.CREATE("trade.1699",E1701,A1701,"Receive")</f>
        <v>QSObject:SwapTrade:w1~trade.1699:29490</v>
      </c>
      <c r="G1701" s="3">
        <f>_xll.QS.EVALUATE(C1701,F1701)</f>
        <v>42440.369035451164</v>
      </c>
      <c r="H1701" s="5" t="s">
        <v>3442</v>
      </c>
      <c r="I1701" s="7">
        <v>1169900</v>
      </c>
      <c r="J1701" s="8">
        <v>3.9899999999999998E-2</v>
      </c>
    </row>
    <row r="1702" spans="1:10" x14ac:dyDescent="0.25">
      <c r="A1702" s="5" t="s">
        <v>3430</v>
      </c>
      <c r="B1702" s="5" t="s">
        <v>3443</v>
      </c>
      <c r="C1702" s="6" t="str">
        <f>_xll.QS.CONTEXT.CREATE("market.1700",A1702,"USD","SOFR")</f>
        <v>QSObject:PricingContext:w1~market.1700:18779</v>
      </c>
      <c r="D1702" s="6" t="str">
        <f>_xll.QS.CONTEXT.ADD.CURVE(C1702,"SOFR",$K$2:$K$7,$L$2:$L$7,,,"Actual360","LogLinear",TRUE)</f>
        <v>QSObject:ContextInput:w1~input.qs_context_add_curve.2359132437744.1701.3.0:38425</v>
      </c>
      <c r="E1702" s="6" t="str">
        <f>_xll.QS.INSTRUMENT.SWAP("swap.1700",H1702,B1702,"USD","SOFR",I1702,J1702,0,"Actual360","Simple","Annual","Annual","Annual")</f>
        <v>QSObject:Swap:w1~swap.1700:18778</v>
      </c>
      <c r="F1702" s="6" t="str">
        <f>_xll.QS.TRADE.CREATE("trade.1700",E1702,A1702,"Receive")</f>
        <v>QSObject:SwapTrade:w1~trade.1700:30153</v>
      </c>
      <c r="G1702" s="3">
        <f>_xll.QS.EVALUATE(C1702,F1702)</f>
        <v>15909.065020239665</v>
      </c>
      <c r="H1702" s="5" t="s">
        <v>3444</v>
      </c>
      <c r="I1702" s="7">
        <v>1170000</v>
      </c>
      <c r="J1702" s="8">
        <v>3.5000000000000003E-2</v>
      </c>
    </row>
    <row r="1703" spans="1:10" x14ac:dyDescent="0.25">
      <c r="A1703" s="5" t="s">
        <v>3432</v>
      </c>
      <c r="B1703" s="5" t="s">
        <v>3445</v>
      </c>
      <c r="C1703" s="6" t="str">
        <f>_xll.QS.CONTEXT.CREATE("market.1701",A1703,"USD","SOFR")</f>
        <v>QSObject:PricingContext:w1~market.1701:18777</v>
      </c>
      <c r="D1703" s="6" t="str">
        <f>_xll.QS.CONTEXT.ADD.CURVE(C1703,"SOFR",$K$2:$K$7,$L$2:$L$7,,,"Actual360","LogLinear",TRUE)</f>
        <v>QSObject:ContextInput:w1~input.qs_context_add_curve.2359132437744.1702.3.0:38424</v>
      </c>
      <c r="E1703" s="6" t="str">
        <f>_xll.QS.INSTRUMENT.SWAP("swap.1701",H1703,B1703,"USD","SOFR",I1703,J1703,0,"Actual360","Simple","Annual","Annual","Annual")</f>
        <v>QSObject:Swap:w1~swap.1701:18776</v>
      </c>
      <c r="F1703" s="6" t="str">
        <f>_xll.QS.TRADE.CREATE("trade.1701",E1703,A1703,"Receive")</f>
        <v>QSObject:SwapTrade:w1~trade.1701:29489</v>
      </c>
      <c r="G1703" s="3">
        <f>_xll.QS.EVALUATE(C1703,F1703)</f>
        <v>16498.394000782566</v>
      </c>
      <c r="H1703" s="5" t="s">
        <v>3446</v>
      </c>
      <c r="I1703" s="7">
        <v>1170100</v>
      </c>
      <c r="J1703" s="8">
        <v>3.5100000000000013E-2</v>
      </c>
    </row>
    <row r="1704" spans="1:10" x14ac:dyDescent="0.25">
      <c r="A1704" s="5" t="s">
        <v>3434</v>
      </c>
      <c r="B1704" s="5" t="s">
        <v>3447</v>
      </c>
      <c r="C1704" s="6" t="str">
        <f>_xll.QS.CONTEXT.CREATE("market.1702",A1704,"USD","SOFR")</f>
        <v>QSObject:PricingContext:w1~market.1702:18775</v>
      </c>
      <c r="D1704" s="6" t="str">
        <f>_xll.QS.CONTEXT.ADD.CURVE(C1704,"SOFR",$K$2:$K$7,$L$2:$L$7,,,"Actual360","LogLinear",TRUE)</f>
        <v>QSObject:ContextInput:w1~input.qs_context_add_curve.2359132437744.1703.3.0:38423</v>
      </c>
      <c r="E1704" s="6" t="str">
        <f>_xll.QS.INSTRUMENT.SWAP("swap.1702",H1704,B1704,"USD","SOFR",I1704,J1704,0,"Actual360","Simple","Annual","Annual","Annual")</f>
        <v>QSObject:Swap:w1~swap.1702:18774</v>
      </c>
      <c r="F1704" s="6" t="str">
        <f>_xll.QS.TRADE.CREATE("trade.1702",E1704,A1704,"Receive")</f>
        <v>QSObject:SwapTrade:w1~trade.1702:30152</v>
      </c>
      <c r="G1704" s="3">
        <f>_xll.QS.EVALUATE(C1704,F1704)</f>
        <v>17088.144984432791</v>
      </c>
      <c r="H1704" s="5" t="s">
        <v>3448</v>
      </c>
      <c r="I1704" s="7">
        <v>1170200</v>
      </c>
      <c r="J1704" s="8">
        <v>3.5200000000000002E-2</v>
      </c>
    </row>
    <row r="1705" spans="1:10" x14ac:dyDescent="0.25">
      <c r="A1705" s="5" t="s">
        <v>3436</v>
      </c>
      <c r="B1705" s="5" t="s">
        <v>3449</v>
      </c>
      <c r="C1705" s="6" t="str">
        <f>_xll.QS.CONTEXT.CREATE("market.1703",A1705,"USD","SOFR")</f>
        <v>QSObject:PricingContext:w1~market.1703:18773</v>
      </c>
      <c r="D1705" s="6" t="str">
        <f>_xll.QS.CONTEXT.ADD.CURVE(C1705,"SOFR",$K$2:$K$7,$L$2:$L$7,,,"Actual360","LogLinear",TRUE)</f>
        <v>QSObject:ContextInput:w1~input.qs_context_add_curve.2359132437744.1704.3.0:38422</v>
      </c>
      <c r="E1705" s="6" t="str">
        <f>_xll.QS.INSTRUMENT.SWAP("swap.1703",H1705,B1705,"USD","SOFR",I1705,J1705,0,"Actual360","Simple","Annual","Annual","Annual")</f>
        <v>QSObject:Swap:w1~swap.1703:18772</v>
      </c>
      <c r="F1705" s="6" t="str">
        <f>_xll.QS.TRADE.CREATE("trade.1703",E1705,A1705,"Receive")</f>
        <v>QSObject:SwapTrade:w1~trade.1703:29488</v>
      </c>
      <c r="G1705" s="3">
        <f>_xll.QS.EVALUATE(C1705,F1705)</f>
        <v>17793.20100952396</v>
      </c>
      <c r="H1705" s="5" t="s">
        <v>3450</v>
      </c>
      <c r="I1705" s="7">
        <v>1170300</v>
      </c>
      <c r="J1705" s="8">
        <v>3.5299999999999998E-2</v>
      </c>
    </row>
    <row r="1706" spans="1:10" x14ac:dyDescent="0.25">
      <c r="A1706" s="5" t="s">
        <v>3438</v>
      </c>
      <c r="B1706" s="5" t="s">
        <v>3451</v>
      </c>
      <c r="C1706" s="6" t="str">
        <f>_xll.QS.CONTEXT.CREATE("market.1704",A1706,"USD","SOFR")</f>
        <v>QSObject:PricingContext:w1~market.1704:18771</v>
      </c>
      <c r="D1706" s="6" t="str">
        <f>_xll.QS.CONTEXT.ADD.CURVE(C1706,"SOFR",$K$2:$K$7,$L$2:$L$7,,,"Actual360","LogLinear",TRUE)</f>
        <v>QSObject:ContextInput:w1~input.qs_context_add_curve.2359132437744.1705.3.0:38421</v>
      </c>
      <c r="E1706" s="6" t="str">
        <f>_xll.QS.INSTRUMENT.SWAP("swap.1704",H1706,B1706,"USD","SOFR",I1706,J1706,0,"Actual360","Simple","Annual","Annual","Annual")</f>
        <v>QSObject:Swap:w1~swap.1704:18770</v>
      </c>
      <c r="F1706" s="6" t="str">
        <f>_xll.QS.TRADE.CREATE("trade.1704",E1706,A1706,"Receive")</f>
        <v>QSObject:SwapTrade:w1~trade.1704:30151</v>
      </c>
      <c r="G1706" s="3">
        <f>_xll.QS.EVALUATE(C1706,F1706)</f>
        <v>18345.584920516409</v>
      </c>
      <c r="H1706" s="5" t="s">
        <v>3452</v>
      </c>
      <c r="I1706" s="7">
        <v>1170400</v>
      </c>
      <c r="J1706" s="8">
        <v>3.5400000000000001E-2</v>
      </c>
    </row>
    <row r="1707" spans="1:10" x14ac:dyDescent="0.25">
      <c r="A1707" s="5" t="s">
        <v>3440</v>
      </c>
      <c r="B1707" s="5" t="s">
        <v>3453</v>
      </c>
      <c r="C1707" s="6" t="str">
        <f>_xll.QS.CONTEXT.CREATE("market.1705",A1707,"USD","SOFR")</f>
        <v>QSObject:PricingContext:w1~market.1705:18769</v>
      </c>
      <c r="D1707" s="6" t="str">
        <f>_xll.QS.CONTEXT.ADD.CURVE(C1707,"SOFR",$K$2:$K$7,$L$2:$L$7,,,"Actual360","LogLinear",TRUE)</f>
        <v>QSObject:ContextInput:w1~input.qs_context_add_curve.2359132437744.1706.3.0:38420</v>
      </c>
      <c r="E1707" s="6" t="str">
        <f>_xll.QS.INSTRUMENT.SWAP("swap.1705",H1707,B1707,"USD","SOFR",I1707,J1707,0,"Actual360","Simple","Annual","Annual","Annual")</f>
        <v>QSObject:Swap:w1~swap.1705:18768</v>
      </c>
      <c r="F1707" s="6" t="str">
        <f>_xll.QS.TRADE.CREATE("trade.1705",E1707,A1707,"Receive")</f>
        <v>QSObject:SwapTrade:w1~trade.1705:30150</v>
      </c>
      <c r="G1707" s="3">
        <f>_xll.QS.EVALUATE(C1707,F1707)</f>
        <v>18886.670403286211</v>
      </c>
      <c r="H1707" s="5" t="s">
        <v>3454</v>
      </c>
      <c r="I1707" s="7">
        <v>1170500</v>
      </c>
      <c r="J1707" s="8">
        <v>3.5499999999999997E-2</v>
      </c>
    </row>
    <row r="1708" spans="1:10" x14ac:dyDescent="0.25">
      <c r="A1708" s="5" t="s">
        <v>3442</v>
      </c>
      <c r="B1708" s="5" t="s">
        <v>3455</v>
      </c>
      <c r="C1708" s="6" t="str">
        <f>_xll.QS.CONTEXT.CREATE("market.1706",A1708,"USD","SOFR")</f>
        <v>QSObject:PricingContext:w1~market.1706:18767</v>
      </c>
      <c r="D1708" s="6" t="str">
        <f>_xll.QS.CONTEXT.ADD.CURVE(C1708,"SOFR",$K$2:$K$7,$L$2:$L$7,,,"Actual360","LogLinear",TRUE)</f>
        <v>QSObject:ContextInput:w1~input.qs_context_add_curve.2359132437744.1707.3.0:38419</v>
      </c>
      <c r="E1708" s="6" t="str">
        <f>_xll.QS.INSTRUMENT.SWAP("swap.1706",H1708,B1708,"USD","SOFR",I1708,J1708,0,"Actual360","Simple","Annual","Annual","Annual")</f>
        <v>QSObject:Swap:w1~swap.1706:18766</v>
      </c>
      <c r="F1708" s="6" t="str">
        <f>_xll.QS.TRADE.CREATE("trade.1706",E1708,A1708,"Receive")</f>
        <v>QSObject:SwapTrade:w1~trade.1706:29487</v>
      </c>
      <c r="G1708" s="3">
        <f>_xll.QS.EVALUATE(C1708,F1708)</f>
        <v>19355.772963798081</v>
      </c>
      <c r="H1708" s="5" t="s">
        <v>3456</v>
      </c>
      <c r="I1708" s="7">
        <v>1170600</v>
      </c>
      <c r="J1708" s="8">
        <v>3.5600000000000007E-2</v>
      </c>
    </row>
    <row r="1709" spans="1:10" x14ac:dyDescent="0.25">
      <c r="A1709" s="5" t="s">
        <v>3444</v>
      </c>
      <c r="B1709" s="5" t="s">
        <v>3457</v>
      </c>
      <c r="C1709" s="6" t="str">
        <f>_xll.QS.CONTEXT.CREATE("market.1707",A1709,"USD","SOFR")</f>
        <v>QSObject:PricingContext:w1~market.1707:18765</v>
      </c>
      <c r="D1709" s="6" t="str">
        <f>_xll.QS.CONTEXT.ADD.CURVE(C1709,"SOFR",$K$2:$K$7,$L$2:$L$7,,,"Actual360","LogLinear",TRUE)</f>
        <v>QSObject:ContextInput:w1~input.qs_context_add_curve.2359132437744.1708.3.0:38418</v>
      </c>
      <c r="E1709" s="6" t="str">
        <f>_xll.QS.INSTRUMENT.SWAP("swap.1707",H1709,B1709,"USD","SOFR",I1709,J1709,0,"Actual360","Simple","Annual","Annual","Annual")</f>
        <v>QSObject:Swap:w1~swap.1707:18764</v>
      </c>
      <c r="F1709" s="6" t="str">
        <f>_xll.QS.TRADE.CREATE("trade.1707",E1709,A1709,"Receive")</f>
        <v>QSObject:SwapTrade:w1~trade.1707:30149</v>
      </c>
      <c r="G1709" s="3">
        <f>_xll.QS.EVALUATE(C1709,F1709)</f>
        <v>19794.42347402405</v>
      </c>
      <c r="H1709" s="5" t="s">
        <v>3458</v>
      </c>
      <c r="I1709" s="7">
        <v>1170700</v>
      </c>
      <c r="J1709" s="8">
        <v>3.5700000000000003E-2</v>
      </c>
    </row>
    <row r="1710" spans="1:10" x14ac:dyDescent="0.25">
      <c r="A1710" s="5" t="s">
        <v>3446</v>
      </c>
      <c r="B1710" s="5" t="s">
        <v>3459</v>
      </c>
      <c r="C1710" s="6" t="str">
        <f>_xll.QS.CONTEXT.CREATE("market.1708",A1710,"USD","SOFR")</f>
        <v>QSObject:PricingContext:w1~market.1708:18763</v>
      </c>
      <c r="D1710" s="6" t="str">
        <f>_xll.QS.CONTEXT.ADD.CURVE(C1710,"SOFR",$K$2:$K$7,$L$2:$L$7,,,"Actual360","LogLinear",TRUE)</f>
        <v>QSObject:ContextInput:w1~input.qs_context_add_curve.2359132437744.1709.3.0:38417</v>
      </c>
      <c r="E1710" s="6" t="str">
        <f>_xll.QS.INSTRUMENT.SWAP("swap.1708",H1710,B1710,"USD","SOFR",I1710,J1710,0,"Actual360","Simple","Annual","Annual","Annual")</f>
        <v>QSObject:Swap:w1~swap.1708:18762</v>
      </c>
      <c r="F1710" s="6" t="str">
        <f>_xll.QS.TRADE.CREATE("trade.1708",E1710,A1710,"Receive")</f>
        <v>QSObject:SwapTrade:w1~trade.1708:29486</v>
      </c>
      <c r="G1710" s="3">
        <f>_xll.QS.EVALUATE(C1710,F1710)</f>
        <v>20337.676853569486</v>
      </c>
      <c r="H1710" s="5" t="s">
        <v>3460</v>
      </c>
      <c r="I1710" s="7">
        <v>1170800</v>
      </c>
      <c r="J1710" s="8">
        <v>3.5800000000000012E-2</v>
      </c>
    </row>
    <row r="1711" spans="1:10" x14ac:dyDescent="0.25">
      <c r="A1711" s="5" t="s">
        <v>3448</v>
      </c>
      <c r="B1711" s="5" t="s">
        <v>3461</v>
      </c>
      <c r="C1711" s="6" t="str">
        <f>_xll.QS.CONTEXT.CREATE("market.1709",A1711,"USD","SOFR")</f>
        <v>QSObject:PricingContext:w1~market.1709:18761</v>
      </c>
      <c r="D1711" s="6" t="str">
        <f>_xll.QS.CONTEXT.ADD.CURVE(C1711,"SOFR",$K$2:$K$7,$L$2:$L$7,,,"Actual360","LogLinear",TRUE)</f>
        <v>QSObject:ContextInput:w1~input.qs_context_add_curve.2359132437744.1710.3.0:38416</v>
      </c>
      <c r="E1711" s="6" t="str">
        <f>_xll.QS.INSTRUMENT.SWAP("swap.1709",H1711,B1711,"USD","SOFR",I1711,J1711,0,"Actual360","Simple","Annual","Annual","Annual")</f>
        <v>QSObject:Swap:w1~swap.1709:18760</v>
      </c>
      <c r="F1711" s="6" t="str">
        <f>_xll.QS.TRADE.CREATE("trade.1709",E1711,A1711,"Receive")</f>
        <v>QSObject:SwapTrade:w1~trade.1709:30148</v>
      </c>
      <c r="G1711" s="3">
        <f>_xll.QS.EVALUATE(C1711,F1711)</f>
        <v>20913.381794149234</v>
      </c>
      <c r="H1711" s="5" t="s">
        <v>3462</v>
      </c>
      <c r="I1711" s="7">
        <v>1170900</v>
      </c>
      <c r="J1711" s="8">
        <v>3.5900000000000001E-2</v>
      </c>
    </row>
    <row r="1712" spans="1:10" x14ac:dyDescent="0.25">
      <c r="A1712" s="5" t="s">
        <v>3450</v>
      </c>
      <c r="B1712" s="5" t="s">
        <v>3463</v>
      </c>
      <c r="C1712" s="6" t="str">
        <f>_xll.QS.CONTEXT.CREATE("market.1710",A1712,"USD","SOFR")</f>
        <v>QSObject:PricingContext:w1~market.1710:18759</v>
      </c>
      <c r="D1712" s="6" t="str">
        <f>_xll.QS.CONTEXT.ADD.CURVE(C1712,"SOFR",$K$2:$K$7,$L$2:$L$7,,,"Actual360","LogLinear",TRUE)</f>
        <v>QSObject:ContextInput:w1~input.qs_context_add_curve.2359132437744.1711.3.0:38415</v>
      </c>
      <c r="E1712" s="6" t="str">
        <f>_xll.QS.INSTRUMENT.SWAP("swap.1710",H1712,B1712,"USD","SOFR",I1712,J1712,0,"Actual360","Simple","Annual","Annual","Annual")</f>
        <v>QSObject:Swap:w1~swap.1710:18758</v>
      </c>
      <c r="F1712" s="6" t="str">
        <f>_xll.QS.TRADE.CREATE("trade.1710",E1712,A1712,"Receive")</f>
        <v>QSObject:SwapTrade:w1~trade.1710:30147</v>
      </c>
      <c r="G1712" s="3">
        <f>_xll.QS.EVALUATE(C1712,F1712)</f>
        <v>21540.61735556534</v>
      </c>
      <c r="H1712" s="5" t="s">
        <v>3464</v>
      </c>
      <c r="I1712" s="7">
        <v>1171000</v>
      </c>
      <c r="J1712" s="8">
        <v>3.5999999999999997E-2</v>
      </c>
    </row>
    <row r="1713" spans="1:10" x14ac:dyDescent="0.25">
      <c r="A1713" s="5" t="s">
        <v>3452</v>
      </c>
      <c r="B1713" s="5" t="s">
        <v>3465</v>
      </c>
      <c r="C1713" s="6" t="str">
        <f>_xll.QS.CONTEXT.CREATE("market.1711",A1713,"USD","SOFR")</f>
        <v>QSObject:PricingContext:w1~market.1711:18757</v>
      </c>
      <c r="D1713" s="6" t="str">
        <f>_xll.QS.CONTEXT.ADD.CURVE(C1713,"SOFR",$K$2:$K$7,$L$2:$L$7,,,"Actual360","LogLinear",TRUE)</f>
        <v>QSObject:ContextInput:w1~input.qs_context_add_curve.2359132437744.1712.3.0:38414</v>
      </c>
      <c r="E1713" s="6" t="str">
        <f>_xll.QS.INSTRUMENT.SWAP("swap.1711",H1713,B1713,"USD","SOFR",I1713,J1713,0,"Actual360","Simple","Annual","Annual","Annual")</f>
        <v>QSObject:Swap:w1~swap.1711:18756</v>
      </c>
      <c r="F1713" s="6" t="str">
        <f>_xll.QS.TRADE.CREATE("trade.1711",E1713,A1713,"Receive")</f>
        <v>QSObject:SwapTrade:w1~trade.1711:29485</v>
      </c>
      <c r="G1713" s="3">
        <f>_xll.QS.EVALUATE(C1713,F1713)</f>
        <v>22133.362680683658</v>
      </c>
      <c r="H1713" s="5" t="s">
        <v>3466</v>
      </c>
      <c r="I1713" s="7">
        <v>1171100</v>
      </c>
      <c r="J1713" s="8">
        <v>3.61E-2</v>
      </c>
    </row>
    <row r="1714" spans="1:10" x14ac:dyDescent="0.25">
      <c r="A1714" s="5" t="s">
        <v>3454</v>
      </c>
      <c r="B1714" s="5" t="s">
        <v>3467</v>
      </c>
      <c r="C1714" s="6" t="str">
        <f>_xll.QS.CONTEXT.CREATE("market.1712",A1714,"USD","SOFR")</f>
        <v>QSObject:PricingContext:w1~market.1712:18755</v>
      </c>
      <c r="D1714" s="6" t="str">
        <f>_xll.QS.CONTEXT.ADD.CURVE(C1714,"SOFR",$K$2:$K$7,$L$2:$L$7,,,"Actual360","LogLinear",TRUE)</f>
        <v>QSObject:ContextInput:w1~input.qs_context_add_curve.2359132437744.1713.3.0:38413</v>
      </c>
      <c r="E1714" s="6" t="str">
        <f>_xll.QS.INSTRUMENT.SWAP("swap.1712",H1714,B1714,"USD","SOFR",I1714,J1714,0,"Actual360","Simple","Annual","Annual","Annual")</f>
        <v>QSObject:Swap:w1~swap.1712:18754</v>
      </c>
      <c r="F1714" s="6" t="str">
        <f>_xll.QS.TRADE.CREATE("trade.1712",E1714,A1714,"Receive")</f>
        <v>QSObject:SwapTrade:w1~trade.1712:30146</v>
      </c>
      <c r="G1714" s="3">
        <f>_xll.QS.EVALUATE(C1714,F1714)</f>
        <v>22630.922452934949</v>
      </c>
      <c r="H1714" s="5" t="s">
        <v>3468</v>
      </c>
      <c r="I1714" s="7">
        <v>1171200</v>
      </c>
      <c r="J1714" s="8">
        <v>3.6200000000000003E-2</v>
      </c>
    </row>
    <row r="1715" spans="1:10" x14ac:dyDescent="0.25">
      <c r="A1715" s="5" t="s">
        <v>3456</v>
      </c>
      <c r="B1715" s="5" t="s">
        <v>3469</v>
      </c>
      <c r="C1715" s="6" t="str">
        <f>_xll.QS.CONTEXT.CREATE("market.1713",A1715,"USD","SOFR")</f>
        <v>QSObject:PricingContext:w1~market.1713:18753</v>
      </c>
      <c r="D1715" s="6" t="str">
        <f>_xll.QS.CONTEXT.ADD.CURVE(C1715,"SOFR",$K$2:$K$7,$L$2:$L$7,,,"Actual360","LogLinear",TRUE)</f>
        <v>QSObject:ContextInput:w1~input.qs_context_add_curve.2359132437744.1714.3.0:38412</v>
      </c>
      <c r="E1715" s="6" t="str">
        <f>_xll.QS.INSTRUMENT.SWAP("swap.1713",H1715,B1715,"USD","SOFR",I1715,J1715,0,"Actual360","Simple","Annual","Annual","Annual")</f>
        <v>QSObject:Swap:w1~swap.1713:18752</v>
      </c>
      <c r="F1715" s="6" t="str">
        <f>_xll.QS.TRADE.CREATE("trade.1713",E1715,A1715,"Receive")</f>
        <v>QSObject:SwapTrade:w1~trade.1713:30145</v>
      </c>
      <c r="G1715" s="3">
        <f>_xll.QS.EVALUATE(C1715,F1715)</f>
        <v>23096.165043898793</v>
      </c>
      <c r="H1715" s="5" t="s">
        <v>3470</v>
      </c>
      <c r="I1715" s="7">
        <v>1171300</v>
      </c>
      <c r="J1715" s="8">
        <v>3.6300000000000013E-2</v>
      </c>
    </row>
    <row r="1716" spans="1:10" x14ac:dyDescent="0.25">
      <c r="A1716" s="5" t="s">
        <v>3458</v>
      </c>
      <c r="B1716" s="5" t="s">
        <v>3471</v>
      </c>
      <c r="C1716" s="6" t="str">
        <f>_xll.QS.CONTEXT.CREATE("market.1714",A1716,"USD","SOFR")</f>
        <v>QSObject:PricingContext:w1~market.1714:18751</v>
      </c>
      <c r="D1716" s="6" t="str">
        <f>_xll.QS.CONTEXT.ADD.CURVE(C1716,"SOFR",$K$2:$K$7,$L$2:$L$7,,,"Actual360","LogLinear",TRUE)</f>
        <v>QSObject:ContextInput:w1~input.qs_context_add_curve.2359132437744.1715.3.0:38411</v>
      </c>
      <c r="E1716" s="6" t="str">
        <f>_xll.QS.INSTRUMENT.SWAP("swap.1714",H1716,B1716,"USD","SOFR",I1716,J1716,0,"Actual360","Simple","Annual","Annual","Annual")</f>
        <v>QSObject:Swap:w1~swap.1714:18750</v>
      </c>
      <c r="F1716" s="6" t="str">
        <f>_xll.QS.TRADE.CREATE("trade.1714",E1716,A1716,"Receive")</f>
        <v>QSObject:SwapTrade:w1~trade.1714:29484</v>
      </c>
      <c r="G1716" s="3">
        <f>_xll.QS.EVALUATE(C1716,F1716)</f>
        <v>23541.364354690853</v>
      </c>
      <c r="H1716" s="5" t="s">
        <v>3472</v>
      </c>
      <c r="I1716" s="7">
        <v>1171400</v>
      </c>
      <c r="J1716" s="8">
        <v>3.6400000000000002E-2</v>
      </c>
    </row>
    <row r="1717" spans="1:10" x14ac:dyDescent="0.25">
      <c r="A1717" s="5" t="s">
        <v>3460</v>
      </c>
      <c r="B1717" s="5" t="s">
        <v>3473</v>
      </c>
      <c r="C1717" s="6" t="str">
        <f>_xll.QS.CONTEXT.CREATE("market.1715",A1717,"USD","SOFR")</f>
        <v>QSObject:PricingContext:w1~market.1715:18749</v>
      </c>
      <c r="D1717" s="6" t="str">
        <f>_xll.QS.CONTEXT.ADD.CURVE(C1717,"SOFR",$K$2:$K$7,$L$2:$L$7,,,"Actual360","LogLinear",TRUE)</f>
        <v>QSObject:ContextInput:w1~input.qs_context_add_curve.2359132437744.1716.3.0:38410</v>
      </c>
      <c r="E1717" s="6" t="str">
        <f>_xll.QS.INSTRUMENT.SWAP("swap.1715",H1717,B1717,"USD","SOFR",I1717,J1717,0,"Actual360","Simple","Annual","Annual","Annual")</f>
        <v>QSObject:Swap:w1~swap.1715:18748</v>
      </c>
      <c r="F1717" s="6" t="str">
        <f>_xll.QS.TRADE.CREATE("trade.1715",E1717,A1717,"Receive")</f>
        <v>QSObject:SwapTrade:w1~trade.1715:29483</v>
      </c>
      <c r="G1717" s="3">
        <f>_xll.QS.EVALUATE(C1717,F1717)</f>
        <v>24133.151178538865</v>
      </c>
      <c r="H1717" s="5" t="s">
        <v>3474</v>
      </c>
      <c r="I1717" s="7">
        <v>1171500</v>
      </c>
      <c r="J1717" s="8">
        <v>3.6499999999999998E-2</v>
      </c>
    </row>
    <row r="1718" spans="1:10" x14ac:dyDescent="0.25">
      <c r="A1718" s="5" t="s">
        <v>3462</v>
      </c>
      <c r="B1718" s="5" t="s">
        <v>3475</v>
      </c>
      <c r="C1718" s="6" t="str">
        <f>_xll.QS.CONTEXT.CREATE("market.1716",A1718,"USD","SOFR")</f>
        <v>QSObject:PricingContext:w1~market.1716:18747</v>
      </c>
      <c r="D1718" s="6" t="str">
        <f>_xll.QS.CONTEXT.ADD.CURVE(C1718,"SOFR",$K$2:$K$7,$L$2:$L$7,,,"Actual360","LogLinear",TRUE)</f>
        <v>QSObject:ContextInput:w1~input.qs_context_add_curve.2359132437744.1717.3.0:38409</v>
      </c>
      <c r="E1718" s="6" t="str">
        <f>_xll.QS.INSTRUMENT.SWAP("swap.1716",H1718,B1718,"USD","SOFR",I1718,J1718,0,"Actual360","Simple","Annual","Annual","Annual")</f>
        <v>QSObject:Swap:w1~swap.1716:18746</v>
      </c>
      <c r="F1718" s="6" t="str">
        <f>_xll.QS.TRADE.CREATE("trade.1716",E1718,A1718,"Receive")</f>
        <v>QSObject:SwapTrade:w1~trade.1716:29482</v>
      </c>
      <c r="G1718" s="3">
        <f>_xll.QS.EVALUATE(C1718,F1718)</f>
        <v>24707.716246107502</v>
      </c>
      <c r="H1718" s="5" t="s">
        <v>3476</v>
      </c>
      <c r="I1718" s="7">
        <v>1171600</v>
      </c>
      <c r="J1718" s="8">
        <v>3.6600000000000001E-2</v>
      </c>
    </row>
    <row r="1719" spans="1:10" x14ac:dyDescent="0.25">
      <c r="A1719" s="5" t="s">
        <v>3464</v>
      </c>
      <c r="B1719" s="5" t="s">
        <v>3477</v>
      </c>
      <c r="C1719" s="6" t="str">
        <f>_xll.QS.CONTEXT.CREATE("market.1717",A1719,"USD","SOFR")</f>
        <v>QSObject:PricingContext:w1~market.1717:18745</v>
      </c>
      <c r="D1719" s="6" t="str">
        <f>_xll.QS.CONTEXT.ADD.CURVE(C1719,"SOFR",$K$2:$K$7,$L$2:$L$7,,,"Actual360","LogLinear",TRUE)</f>
        <v>QSObject:ContextInput:w1~input.qs_context_add_curve.2359132437744.1718.3.0:38408</v>
      </c>
      <c r="E1719" s="6" t="str">
        <f>_xll.QS.INSTRUMENT.SWAP("swap.1717",H1719,B1719,"USD","SOFR",I1719,J1719,0,"Actual360","Simple","Annual","Annual","Annual")</f>
        <v>QSObject:Swap:w1~swap.1717:18744</v>
      </c>
      <c r="F1719" s="6" t="str">
        <f>_xll.QS.TRADE.CREATE("trade.1717",E1719,A1719,"Receive")</f>
        <v>QSObject:SwapTrade:w1~trade.1717:30144</v>
      </c>
      <c r="G1719" s="3">
        <f>_xll.QS.EVALUATE(C1719,F1719)</f>
        <v>25335.705232877463</v>
      </c>
      <c r="H1719" s="5" t="s">
        <v>3478</v>
      </c>
      <c r="I1719" s="7">
        <v>1171700</v>
      </c>
      <c r="J1719" s="8">
        <v>3.6700000000000003E-2</v>
      </c>
    </row>
    <row r="1720" spans="1:10" x14ac:dyDescent="0.25">
      <c r="A1720" s="5" t="s">
        <v>3466</v>
      </c>
      <c r="B1720" s="5" t="s">
        <v>3479</v>
      </c>
      <c r="C1720" s="6" t="str">
        <f>_xll.QS.CONTEXT.CREATE("market.1718",A1720,"USD","SOFR")</f>
        <v>QSObject:PricingContext:w1~market.1718:18743</v>
      </c>
      <c r="D1720" s="6" t="str">
        <f>_xll.QS.CONTEXT.ADD.CURVE(C1720,"SOFR",$K$2:$K$7,$L$2:$L$7,,,"Actual360","LogLinear",TRUE)</f>
        <v>QSObject:ContextInput:w1~input.qs_context_add_curve.2359132437744.1719.3.0:38407</v>
      </c>
      <c r="E1720" s="6" t="str">
        <f>_xll.QS.INSTRUMENT.SWAP("swap.1718",H1720,B1720,"USD","SOFR",I1720,J1720,0,"Actual360","Simple","Annual","Annual","Annual")</f>
        <v>QSObject:Swap:w1~swap.1718:18742</v>
      </c>
      <c r="F1720" s="6" t="str">
        <f>_xll.QS.TRADE.CREATE("trade.1718",E1720,A1720,"Receive")</f>
        <v>QSObject:SwapTrade:w1~trade.1718:29481</v>
      </c>
      <c r="G1720" s="3">
        <f>_xll.QS.EVALUATE(C1720,F1720)</f>
        <v>25929.166989557551</v>
      </c>
      <c r="H1720" s="5" t="s">
        <v>3480</v>
      </c>
      <c r="I1720" s="7">
        <v>1171800</v>
      </c>
      <c r="J1720" s="8">
        <v>3.6800000000000013E-2</v>
      </c>
    </row>
    <row r="1721" spans="1:10" x14ac:dyDescent="0.25">
      <c r="A1721" s="5" t="s">
        <v>3468</v>
      </c>
      <c r="B1721" s="5" t="s">
        <v>3481</v>
      </c>
      <c r="C1721" s="6" t="str">
        <f>_xll.QS.CONTEXT.CREATE("market.1719",A1721,"USD","SOFR")</f>
        <v>QSObject:PricingContext:w1~market.1719:18741</v>
      </c>
      <c r="D1721" s="6" t="str">
        <f>_xll.QS.CONTEXT.ADD.CURVE(C1721,"SOFR",$K$2:$K$7,$L$2:$L$7,,,"Actual360","LogLinear",TRUE)</f>
        <v>QSObject:ContextInput:w1~input.qs_context_add_curve.2359132437744.1720.3.0:38406</v>
      </c>
      <c r="E1721" s="6" t="str">
        <f>_xll.QS.INSTRUMENT.SWAP("swap.1719",H1721,B1721,"USD","SOFR",I1721,J1721,0,"Actual360","Simple","Annual","Annual","Annual")</f>
        <v>QSObject:Swap:w1~swap.1719:18740</v>
      </c>
      <c r="F1721" s="6" t="str">
        <f>_xll.QS.TRADE.CREATE("trade.1719",E1721,A1721,"Receive")</f>
        <v>QSObject:SwapTrade:w1~trade.1719:29480</v>
      </c>
      <c r="G1721" s="3">
        <f>_xll.QS.EVALUATE(C1721,F1721)</f>
        <v>26427.315317689474</v>
      </c>
      <c r="H1721" s="5" t="s">
        <v>3482</v>
      </c>
      <c r="I1721" s="7">
        <v>1171900</v>
      </c>
      <c r="J1721" s="8">
        <v>3.6900000000000002E-2</v>
      </c>
    </row>
    <row r="1722" spans="1:10" x14ac:dyDescent="0.25">
      <c r="A1722" s="5" t="s">
        <v>3470</v>
      </c>
      <c r="B1722" s="5" t="s">
        <v>3483</v>
      </c>
      <c r="C1722" s="6" t="str">
        <f>_xll.QS.CONTEXT.CREATE("market.1720",A1722,"USD","SOFR")</f>
        <v>QSObject:PricingContext:w1~market.1720:18739</v>
      </c>
      <c r="D1722" s="6" t="str">
        <f>_xll.QS.CONTEXT.ADD.CURVE(C1722,"SOFR",$K$2:$K$7,$L$2:$L$7,,,"Actual360","LogLinear",TRUE)</f>
        <v>QSObject:ContextInput:w1~input.qs_context_add_curve.2359132437744.1721.3.0:38405</v>
      </c>
      <c r="E1722" s="6" t="str">
        <f>_xll.QS.INSTRUMENT.SWAP("swap.1720",H1722,B1722,"USD","SOFR",I1722,J1722,0,"Actual360","Simple","Annual","Annual","Annual")</f>
        <v>QSObject:Swap:w1~swap.1720:18738</v>
      </c>
      <c r="F1722" s="6" t="str">
        <f>_xll.QS.TRADE.CREATE("trade.1720",E1722,A1722,"Receive")</f>
        <v>QSObject:SwapTrade:w1~trade.1720:29479</v>
      </c>
      <c r="G1722" s="3">
        <f>_xll.QS.EVALUATE(C1722,F1722)</f>
        <v>26888.699227563589</v>
      </c>
      <c r="H1722" s="5" t="s">
        <v>3484</v>
      </c>
      <c r="I1722" s="7">
        <v>1172000</v>
      </c>
      <c r="J1722" s="8">
        <v>3.7000000000000012E-2</v>
      </c>
    </row>
    <row r="1723" spans="1:10" x14ac:dyDescent="0.25">
      <c r="A1723" s="5" t="s">
        <v>3472</v>
      </c>
      <c r="B1723" s="5" t="s">
        <v>3485</v>
      </c>
      <c r="C1723" s="6" t="str">
        <f>_xll.QS.CONTEXT.CREATE("market.1721",A1723,"USD","SOFR")</f>
        <v>QSObject:PricingContext:w1~market.1721:18737</v>
      </c>
      <c r="D1723" s="6" t="str">
        <f>_xll.QS.CONTEXT.ADD.CURVE(C1723,"SOFR",$K$2:$K$7,$L$2:$L$7,,,"Actual360","LogLinear",TRUE)</f>
        <v>QSObject:ContextInput:w1~input.qs_context_add_curve.2359132437744.1722.3.0:38404</v>
      </c>
      <c r="E1723" s="6" t="str">
        <f>_xll.QS.INSTRUMENT.SWAP("swap.1721",H1723,B1723,"USD","SOFR",I1723,J1723,0,"Actual360","Simple","Annual","Annual","Annual")</f>
        <v>QSObject:Swap:w1~swap.1721:18736</v>
      </c>
      <c r="F1723" s="6" t="str">
        <f>_xll.QS.TRADE.CREATE("trade.1721",E1723,A1723,"Receive")</f>
        <v>QSObject:SwapTrade:w1~trade.1721:30143</v>
      </c>
      <c r="G1723" s="3">
        <f>_xll.QS.EVALUATE(C1723,F1723)</f>
        <v>27340.351308353522</v>
      </c>
      <c r="H1723" s="5" t="s">
        <v>3486</v>
      </c>
      <c r="I1723" s="7">
        <v>1172100</v>
      </c>
      <c r="J1723" s="8">
        <v>3.7100000000000001E-2</v>
      </c>
    </row>
    <row r="1724" spans="1:10" x14ac:dyDescent="0.25">
      <c r="A1724" s="5" t="s">
        <v>3474</v>
      </c>
      <c r="B1724" s="5" t="s">
        <v>3487</v>
      </c>
      <c r="C1724" s="6" t="str">
        <f>_xll.QS.CONTEXT.CREATE("market.1722",A1724,"USD","SOFR")</f>
        <v>QSObject:PricingContext:w1~market.1722:18735</v>
      </c>
      <c r="D1724" s="6" t="str">
        <f>_xll.QS.CONTEXT.ADD.CURVE(C1724,"SOFR",$K$2:$K$7,$L$2:$L$7,,,"Actual360","LogLinear",TRUE)</f>
        <v>QSObject:ContextInput:w1~input.qs_context_add_curve.2359132437744.1723.3.0:38403</v>
      </c>
      <c r="E1724" s="6" t="str">
        <f>_xll.QS.INSTRUMENT.SWAP("swap.1722",H1724,B1724,"USD","SOFR",I1724,J1724,0,"Actual360","Simple","Annual","Annual","Annual")</f>
        <v>QSObject:Swap:w1~swap.1722:18734</v>
      </c>
      <c r="F1724" s="6" t="str">
        <f>_xll.QS.TRADE.CREATE("trade.1722",E1724,A1724,"Receive")</f>
        <v>QSObject:SwapTrade:w1~trade.1722:29478</v>
      </c>
      <c r="G1724" s="3">
        <f>_xll.QS.EVALUATE(C1724,F1724)</f>
        <v>27933.193299131544</v>
      </c>
      <c r="H1724" s="5" t="s">
        <v>3488</v>
      </c>
      <c r="I1724" s="7">
        <v>1172200</v>
      </c>
      <c r="J1724" s="8">
        <v>3.7199999999999997E-2</v>
      </c>
    </row>
    <row r="1725" spans="1:10" x14ac:dyDescent="0.25">
      <c r="A1725" s="5" t="s">
        <v>3476</v>
      </c>
      <c r="B1725" s="5" t="s">
        <v>3489</v>
      </c>
      <c r="C1725" s="6" t="str">
        <f>_xll.QS.CONTEXT.CREATE("market.1723",A1725,"USD","SOFR")</f>
        <v>QSObject:PricingContext:w1~market.1723:18733</v>
      </c>
      <c r="D1725" s="6" t="str">
        <f>_xll.QS.CONTEXT.ADD.CURVE(C1725,"SOFR",$K$2:$K$7,$L$2:$L$7,,,"Actual360","LogLinear",TRUE)</f>
        <v>QSObject:ContextInput:w1~input.qs_context_add_curve.2359132437744.1724.3.0:38402</v>
      </c>
      <c r="E1725" s="6" t="str">
        <f>_xll.QS.INSTRUMENT.SWAP("swap.1723",H1725,B1725,"USD","SOFR",I1725,J1725,0,"Actual360","Simple","Annual","Annual","Annual")</f>
        <v>QSObject:Swap:w1~swap.1723:18732</v>
      </c>
      <c r="F1725" s="6" t="str">
        <f>_xll.QS.TRADE.CREATE("trade.1723",E1725,A1725,"Receive")</f>
        <v>QSObject:SwapTrade:w1~trade.1723:30142</v>
      </c>
      <c r="G1725" s="3">
        <f>_xll.QS.EVALUATE(C1725,F1725)</f>
        <v>28506.569786923214</v>
      </c>
      <c r="H1725" s="5" t="s">
        <v>3490</v>
      </c>
      <c r="I1725" s="7">
        <v>1172300</v>
      </c>
      <c r="J1725" s="8">
        <v>3.73E-2</v>
      </c>
    </row>
    <row r="1726" spans="1:10" x14ac:dyDescent="0.25">
      <c r="A1726" s="5" t="s">
        <v>3478</v>
      </c>
      <c r="B1726" s="5" t="s">
        <v>3491</v>
      </c>
      <c r="C1726" s="6" t="str">
        <f>_xll.QS.CONTEXT.CREATE("market.1724",A1726,"USD","SOFR")</f>
        <v>QSObject:PricingContext:w1~market.1724:18731</v>
      </c>
      <c r="D1726" s="6" t="str">
        <f>_xll.QS.CONTEXT.ADD.CURVE(C1726,"SOFR",$K$2:$K$7,$L$2:$L$7,,,"Actual360","LogLinear",TRUE)</f>
        <v>QSObject:ContextInput:w1~input.qs_context_add_curve.2359132437744.1725.3.0:38401</v>
      </c>
      <c r="E1726" s="6" t="str">
        <f>_xll.QS.INSTRUMENT.SWAP("swap.1724",H1726,B1726,"USD","SOFR",I1726,J1726,0,"Actual360","Simple","Annual","Annual","Annual")</f>
        <v>QSObject:Swap:w1~swap.1724:18730</v>
      </c>
      <c r="F1726" s="6" t="str">
        <f>_xll.QS.TRADE.CREATE("trade.1724",E1726,A1726,"Receive")</f>
        <v>QSObject:SwapTrade:w1~trade.1724:30141</v>
      </c>
      <c r="G1726" s="3">
        <f>_xll.QS.EVALUATE(C1726,F1726)</f>
        <v>29135.312266857585</v>
      </c>
      <c r="H1726" s="5" t="s">
        <v>3492</v>
      </c>
      <c r="I1726" s="7">
        <v>1172400</v>
      </c>
      <c r="J1726" s="8">
        <v>3.7400000000000003E-2</v>
      </c>
    </row>
    <row r="1727" spans="1:10" x14ac:dyDescent="0.25">
      <c r="A1727" s="5" t="s">
        <v>3480</v>
      </c>
      <c r="B1727" s="5" t="s">
        <v>3493</v>
      </c>
      <c r="C1727" s="6" t="str">
        <f>_xll.QS.CONTEXT.CREATE("market.1725",A1727,"USD","SOFR")</f>
        <v>QSObject:PricingContext:w1~market.1725:18729</v>
      </c>
      <c r="D1727" s="6" t="str">
        <f>_xll.QS.CONTEXT.ADD.CURVE(C1727,"SOFR",$K$2:$K$7,$L$2:$L$7,,,"Actual360","LogLinear",TRUE)</f>
        <v>QSObject:ContextInput:w1~input.qs_context_add_curve.2359132437744.1726.3.0:38400</v>
      </c>
      <c r="E1727" s="6" t="str">
        <f>_xll.QS.INSTRUMENT.SWAP("swap.1725",H1727,B1727,"USD","SOFR",I1727,J1727,0,"Actual360","Simple","Annual","Annual","Annual")</f>
        <v>QSObject:Swap:w1~swap.1725:18728</v>
      </c>
      <c r="F1727" s="6" t="str">
        <f>_xll.QS.TRADE.CREATE("trade.1725",E1727,A1727,"Receive")</f>
        <v>QSObject:SwapTrade:w1~trade.1725:30140</v>
      </c>
      <c r="G1727" s="3">
        <f>_xll.QS.EVALUATE(C1727,F1727)</f>
        <v>29729.490503407011</v>
      </c>
      <c r="H1727" s="5" t="s">
        <v>3494</v>
      </c>
      <c r="I1727" s="7">
        <v>1172500</v>
      </c>
      <c r="J1727" s="8">
        <v>3.7500000000000012E-2</v>
      </c>
    </row>
    <row r="1728" spans="1:10" x14ac:dyDescent="0.25">
      <c r="A1728" s="5" t="s">
        <v>3482</v>
      </c>
      <c r="B1728" s="5" t="s">
        <v>3495</v>
      </c>
      <c r="C1728" s="6" t="str">
        <f>_xll.QS.CONTEXT.CREATE("market.1726",A1728,"USD","SOFR")</f>
        <v>QSObject:PricingContext:w1~market.1726:18727</v>
      </c>
      <c r="D1728" s="6" t="str">
        <f>_xll.QS.CONTEXT.ADD.CURVE(C1728,"SOFR",$K$2:$K$7,$L$2:$L$7,,,"Actual360","LogLinear",TRUE)</f>
        <v>QSObject:ContextInput:w1~input.qs_context_add_curve.2359132437744.1727.3.0:38399</v>
      </c>
      <c r="E1728" s="6" t="str">
        <f>_xll.QS.INSTRUMENT.SWAP("swap.1726",H1728,B1728,"USD","SOFR",I1728,J1728,0,"Actual360","Simple","Annual","Annual","Annual")</f>
        <v>QSObject:Swap:w1~swap.1726:18726</v>
      </c>
      <c r="F1728" s="6" t="str">
        <f>_xll.QS.TRADE.CREATE("trade.1726",E1728,A1728,"Receive")</f>
        <v>QSObject:SwapTrade:w1~trade.1726:29477</v>
      </c>
      <c r="G1728" s="3">
        <f>_xll.QS.EVALUATE(C1728,F1728)</f>
        <v>30228.419020256806</v>
      </c>
      <c r="H1728" s="5" t="s">
        <v>3496</v>
      </c>
      <c r="I1728" s="7">
        <v>1172600</v>
      </c>
      <c r="J1728" s="8">
        <v>3.7600000000000001E-2</v>
      </c>
    </row>
    <row r="1729" spans="1:10" x14ac:dyDescent="0.25">
      <c r="A1729" s="5" t="s">
        <v>3484</v>
      </c>
      <c r="B1729" s="5" t="s">
        <v>3497</v>
      </c>
      <c r="C1729" s="6" t="str">
        <f>_xll.QS.CONTEXT.CREATE("market.1727",A1729,"USD","SOFR")</f>
        <v>QSObject:PricingContext:w1~market.1727:18725</v>
      </c>
      <c r="D1729" s="6" t="str">
        <f>_xll.QS.CONTEXT.ADD.CURVE(C1729,"SOFR",$K$2:$K$7,$L$2:$L$7,,,"Actual360","LogLinear",TRUE)</f>
        <v>QSObject:ContextInput:w1~input.qs_context_add_curve.2359132437744.1728.3.0:38398</v>
      </c>
      <c r="E1729" s="6" t="str">
        <f>_xll.QS.INSTRUMENT.SWAP("swap.1727",H1729,B1729,"USD","SOFR",I1729,J1729,0,"Actual360","Simple","Annual","Annual","Annual")</f>
        <v>QSObject:Swap:w1~swap.1727:18724</v>
      </c>
      <c r="F1729" s="6" t="str">
        <f>_xll.QS.TRADE.CREATE("trade.1727",E1729,A1729,"Receive")</f>
        <v>QSObject:SwapTrade:w1~trade.1727:29476</v>
      </c>
      <c r="G1729" s="3">
        <f>_xll.QS.EVALUATE(C1729,F1729)</f>
        <v>30685.747254080427</v>
      </c>
      <c r="H1729" s="5" t="s">
        <v>3498</v>
      </c>
      <c r="I1729" s="7">
        <v>1172700</v>
      </c>
      <c r="J1729" s="8">
        <v>3.7699999999999997E-2</v>
      </c>
    </row>
    <row r="1730" spans="1:10" x14ac:dyDescent="0.25">
      <c r="A1730" s="5" t="s">
        <v>3486</v>
      </c>
      <c r="B1730" s="5" t="s">
        <v>3499</v>
      </c>
      <c r="C1730" s="6" t="str">
        <f>_xll.QS.CONTEXT.CREATE("market.1728",A1730,"USD","SOFR")</f>
        <v>QSObject:PricingContext:w1~market.1728:18723</v>
      </c>
      <c r="D1730" s="6" t="str">
        <f>_xll.QS.CONTEXT.ADD.CURVE(C1730,"SOFR",$K$2:$K$7,$L$2:$L$7,,,"Actual360","LogLinear",TRUE)</f>
        <v>QSObject:ContextInput:w1~input.qs_context_add_curve.2359132437744.1729.3.0:38397</v>
      </c>
      <c r="E1730" s="6" t="str">
        <f>_xll.QS.INSTRUMENT.SWAP("swap.1728",H1730,B1730,"USD","SOFR",I1730,J1730,0,"Actual360","Simple","Annual","Annual","Annual")</f>
        <v>QSObject:Swap:w1~swap.1728:18722</v>
      </c>
      <c r="F1730" s="6" t="str">
        <f>_xll.QS.TRADE.CREATE("trade.1728",E1730,A1730,"Receive")</f>
        <v>QSObject:SwapTrade:w1~trade.1728:30139</v>
      </c>
      <c r="G1730" s="3">
        <f>_xll.QS.EVALUATE(C1730,F1730)</f>
        <v>31143.859110829704</v>
      </c>
      <c r="H1730" s="5" t="s">
        <v>3500</v>
      </c>
      <c r="I1730" s="7">
        <v>1172800</v>
      </c>
      <c r="J1730" s="8">
        <v>3.78E-2</v>
      </c>
    </row>
    <row r="1731" spans="1:10" x14ac:dyDescent="0.25">
      <c r="A1731" s="5" t="s">
        <v>3488</v>
      </c>
      <c r="B1731" s="5" t="s">
        <v>3501</v>
      </c>
      <c r="C1731" s="6" t="str">
        <f>_xll.QS.CONTEXT.CREATE("market.1729",A1731,"USD","SOFR")</f>
        <v>QSObject:PricingContext:w1~market.1729:18721</v>
      </c>
      <c r="D1731" s="6" t="str">
        <f>_xll.QS.CONTEXT.ADD.CURVE(C1731,"SOFR",$K$2:$K$7,$L$2:$L$7,,,"Actual360","LogLinear",TRUE)</f>
        <v>QSObject:ContextInput:w1~input.qs_context_add_curve.2359132437744.1730.3.0:38396</v>
      </c>
      <c r="E1731" s="6" t="str">
        <f>_xll.QS.INSTRUMENT.SWAP("swap.1729",H1731,B1731,"USD","SOFR",I1731,J1731,0,"Actual360","Simple","Annual","Annual","Annual")</f>
        <v>QSObject:Swap:w1~swap.1729:18720</v>
      </c>
      <c r="F1731" s="6" t="str">
        <f>_xll.QS.TRADE.CREATE("trade.1729",E1731,A1731,"Receive")</f>
        <v>QSObject:SwapTrade:w1~trade.1729:29475</v>
      </c>
      <c r="G1731" s="3">
        <f>_xll.QS.EVALUATE(C1731,F1731)</f>
        <v>31737.756722197246</v>
      </c>
      <c r="H1731" s="5" t="s">
        <v>3502</v>
      </c>
      <c r="I1731" s="7">
        <v>1172900</v>
      </c>
      <c r="J1731" s="8">
        <v>3.7900000000000003E-2</v>
      </c>
    </row>
    <row r="1732" spans="1:10" x14ac:dyDescent="0.25">
      <c r="A1732" s="5" t="s">
        <v>3490</v>
      </c>
      <c r="B1732" s="5" t="s">
        <v>3503</v>
      </c>
      <c r="C1732" s="6" t="str">
        <f>_xll.QS.CONTEXT.CREATE("market.1730",A1732,"USD","SOFR")</f>
        <v>QSObject:PricingContext:w1~market.1730:18719</v>
      </c>
      <c r="D1732" s="6" t="str">
        <f>_xll.QS.CONTEXT.ADD.CURVE(C1732,"SOFR",$K$2:$K$7,$L$2:$L$7,,,"Actual360","LogLinear",TRUE)</f>
        <v>QSObject:ContextInput:w1~input.qs_context_add_curve.2359132437744.1731.3.0:38395</v>
      </c>
      <c r="E1732" s="6" t="str">
        <f>_xll.QS.INSTRUMENT.SWAP("swap.1730",H1732,B1732,"USD","SOFR",I1732,J1732,0,"Actual360","Simple","Annual","Annual","Annual")</f>
        <v>QSObject:Swap:w1~swap.1730:18718</v>
      </c>
      <c r="F1732" s="6" t="str">
        <f>_xll.QS.TRADE.CREATE("trade.1730",E1732,A1732,"Receive")</f>
        <v>QSObject:SwapTrade:w1~trade.1730:30138</v>
      </c>
      <c r="G1732" s="3">
        <f>_xll.QS.EVALUATE(C1732,F1732)</f>
        <v>32309.937878814599</v>
      </c>
      <c r="H1732" s="5" t="s">
        <v>3504</v>
      </c>
      <c r="I1732" s="7">
        <v>1173000</v>
      </c>
      <c r="J1732" s="8">
        <v>3.8000000000000013E-2</v>
      </c>
    </row>
    <row r="1733" spans="1:10" x14ac:dyDescent="0.25">
      <c r="A1733" s="5" t="s">
        <v>3492</v>
      </c>
      <c r="B1733" s="5" t="s">
        <v>3505</v>
      </c>
      <c r="C1733" s="6" t="str">
        <f>_xll.QS.CONTEXT.CREATE("market.1731",A1733,"USD","SOFR")</f>
        <v>QSObject:PricingContext:w1~market.1731:18717</v>
      </c>
      <c r="D1733" s="6" t="str">
        <f>_xll.QS.CONTEXT.ADD.CURVE(C1733,"SOFR",$K$2:$K$7,$L$2:$L$7,,,"Actual360","LogLinear",TRUE)</f>
        <v>QSObject:ContextInput:w1~input.qs_context_add_curve.2359132437744.1732.3.0:38394</v>
      </c>
      <c r="E1733" s="6" t="str">
        <f>_xll.QS.INSTRUMENT.SWAP("swap.1731",H1733,B1733,"USD","SOFR",I1733,J1733,0,"Actual360","Simple","Annual","Annual","Annual")</f>
        <v>QSObject:Swap:w1~swap.1731:18716</v>
      </c>
      <c r="F1733" s="6" t="str">
        <f>_xll.QS.TRADE.CREATE("trade.1731",E1733,A1733,"Receive")</f>
        <v>QSObject:SwapTrade:w1~trade.1731:29474</v>
      </c>
      <c r="G1733" s="3">
        <f>_xll.QS.EVALUATE(C1733,F1733)</f>
        <v>32939.887906211006</v>
      </c>
      <c r="H1733" s="5" t="s">
        <v>3506</v>
      </c>
      <c r="I1733" s="7">
        <v>1173100</v>
      </c>
      <c r="J1733" s="8">
        <v>3.8100000000000002E-2</v>
      </c>
    </row>
    <row r="1734" spans="1:10" x14ac:dyDescent="0.25">
      <c r="A1734" s="5" t="s">
        <v>3494</v>
      </c>
      <c r="B1734" s="5" t="s">
        <v>3507</v>
      </c>
      <c r="C1734" s="6" t="str">
        <f>_xll.QS.CONTEXT.CREATE("market.1732",A1734,"USD","SOFR")</f>
        <v>QSObject:PricingContext:w1~market.1732:18715</v>
      </c>
      <c r="D1734" s="6" t="str">
        <f>_xll.QS.CONTEXT.ADD.CURVE(C1734,"SOFR",$K$2:$K$7,$L$2:$L$7,,,"Actual360","LogLinear",TRUE)</f>
        <v>QSObject:ContextInput:w1~input.qs_context_add_curve.2359132437744.1733.3.0:38393</v>
      </c>
      <c r="E1734" s="6" t="str">
        <f>_xll.QS.INSTRUMENT.SWAP("swap.1732",H1734,B1734,"USD","SOFR",I1734,J1734,0,"Actual360","Simple","Annual","Annual","Annual")</f>
        <v>QSObject:Swap:w1~swap.1732:18714</v>
      </c>
      <c r="F1734" s="6" t="str">
        <f>_xll.QS.TRADE.CREATE("trade.1732",E1734,A1734,"Receive")</f>
        <v>QSObject:SwapTrade:w1~trade.1732:30137</v>
      </c>
      <c r="G1734" s="3">
        <f>_xll.QS.EVALUATE(C1734,F1734)</f>
        <v>33534.333222231202</v>
      </c>
      <c r="H1734" s="5" t="s">
        <v>3508</v>
      </c>
      <c r="I1734" s="7">
        <v>1173200</v>
      </c>
      <c r="J1734" s="8">
        <v>3.8199999999999998E-2</v>
      </c>
    </row>
    <row r="1735" spans="1:10" x14ac:dyDescent="0.25">
      <c r="A1735" s="5" t="s">
        <v>3496</v>
      </c>
      <c r="B1735" s="5" t="s">
        <v>3509</v>
      </c>
      <c r="C1735" s="6" t="str">
        <f>_xll.QS.CONTEXT.CREATE("market.1733",A1735,"USD","SOFR")</f>
        <v>QSObject:PricingContext:w1~market.1733:18713</v>
      </c>
      <c r="D1735" s="6" t="str">
        <f>_xll.QS.CONTEXT.ADD.CURVE(C1735,"SOFR",$K$2:$K$7,$L$2:$L$7,,,"Actual360","LogLinear",TRUE)</f>
        <v>QSObject:ContextInput:w1~input.qs_context_add_curve.2359132437744.1734.3.0:38392</v>
      </c>
      <c r="E1735" s="6" t="str">
        <f>_xll.QS.INSTRUMENT.SWAP("swap.1733",H1735,B1735,"USD","SOFR",I1735,J1735,0,"Actual360","Simple","Annual","Annual","Annual")</f>
        <v>QSObject:Swap:w1~swap.1733:18712</v>
      </c>
      <c r="F1735" s="6" t="str">
        <f>_xll.QS.TRADE.CREATE("trade.1733",E1735,A1735,"Receive")</f>
        <v>QSObject:SwapTrade:w1~trade.1733:30136</v>
      </c>
      <c r="G1735" s="3">
        <f>_xll.QS.EVALUATE(C1735,F1735)</f>
        <v>34033.549831766883</v>
      </c>
      <c r="H1735" s="5" t="s">
        <v>3510</v>
      </c>
      <c r="I1735" s="7">
        <v>1173300</v>
      </c>
      <c r="J1735" s="8">
        <v>3.8300000000000001E-2</v>
      </c>
    </row>
    <row r="1736" spans="1:10" x14ac:dyDescent="0.25">
      <c r="A1736" s="5" t="s">
        <v>3498</v>
      </c>
      <c r="B1736" s="5" t="s">
        <v>3511</v>
      </c>
      <c r="C1736" s="6" t="str">
        <f>_xll.QS.CONTEXT.CREATE("market.1734",A1736,"USD","SOFR")</f>
        <v>QSObject:PricingContext:w1~market.1734:18711</v>
      </c>
      <c r="D1736" s="6" t="str">
        <f>_xll.QS.CONTEXT.ADD.CURVE(C1736,"SOFR",$K$2:$K$7,$L$2:$L$7,,,"Actual360","LogLinear",TRUE)</f>
        <v>QSObject:ContextInput:w1~input.qs_context_add_curve.2359132437744.1735.3.0:38391</v>
      </c>
      <c r="E1736" s="6" t="str">
        <f>_xll.QS.INSTRUMENT.SWAP("swap.1734",H1736,B1736,"USD","SOFR",I1736,J1736,0,"Actual360","Simple","Annual","Annual","Annual")</f>
        <v>QSObject:Swap:w1~swap.1734:18710</v>
      </c>
      <c r="F1736" s="6" t="str">
        <f>_xll.QS.TRADE.CREATE("trade.1734",E1736,A1736,"Receive")</f>
        <v>QSObject:SwapTrade:w1~trade.1734:29473</v>
      </c>
      <c r="G1736" s="3">
        <f>_xll.QS.EVALUATE(C1736,F1736)</f>
        <v>34465.396759745599</v>
      </c>
      <c r="H1736" s="5" t="s">
        <v>3512</v>
      </c>
      <c r="I1736" s="7">
        <v>1173400</v>
      </c>
      <c r="J1736" s="8">
        <v>3.8399999999999997E-2</v>
      </c>
    </row>
    <row r="1737" spans="1:10" x14ac:dyDescent="0.25">
      <c r="A1737" s="5" t="s">
        <v>3500</v>
      </c>
      <c r="B1737" s="5" t="s">
        <v>3513</v>
      </c>
      <c r="C1737" s="6" t="str">
        <f>_xll.QS.CONTEXT.CREATE("market.1735",A1737,"USD","SOFR")</f>
        <v>QSObject:PricingContext:w1~market.1735:18709</v>
      </c>
      <c r="D1737" s="6" t="str">
        <f>_xll.QS.CONTEXT.ADD.CURVE(C1737,"SOFR",$K$2:$K$7,$L$2:$L$7,,,"Actual360","LogLinear",TRUE)</f>
        <v>QSObject:ContextInput:w1~input.qs_context_add_curve.2359132437744.1736.3.0:38390</v>
      </c>
      <c r="E1737" s="6" t="str">
        <f>_xll.QS.INSTRUMENT.SWAP("swap.1735",H1737,B1737,"USD","SOFR",I1737,J1737,0,"Actual360","Simple","Annual","Annual","Annual")</f>
        <v>QSObject:Swap:w1~swap.1735:18708</v>
      </c>
      <c r="F1737" s="6" t="str">
        <f>_xll.QS.TRADE.CREATE("trade.1735",E1737,A1737,"Receive")</f>
        <v>QSObject:SwapTrade:w1~trade.1735:30135</v>
      </c>
      <c r="G1737" s="3">
        <f>_xll.QS.EVALUATE(C1737,F1737)</f>
        <v>34902.420460568559</v>
      </c>
      <c r="H1737" s="5" t="s">
        <v>3514</v>
      </c>
      <c r="I1737" s="7">
        <v>1173500</v>
      </c>
      <c r="J1737" s="8">
        <v>3.8500000000000013E-2</v>
      </c>
    </row>
    <row r="1738" spans="1:10" x14ac:dyDescent="0.25">
      <c r="A1738" s="5" t="s">
        <v>3502</v>
      </c>
      <c r="B1738" s="5" t="s">
        <v>3515</v>
      </c>
      <c r="C1738" s="6" t="str">
        <f>_xll.QS.CONTEXT.CREATE("market.1736",A1738,"USD","SOFR")</f>
        <v>QSObject:PricingContext:w1~market.1736:18707</v>
      </c>
      <c r="D1738" s="6" t="str">
        <f>_xll.QS.CONTEXT.ADD.CURVE(C1738,"SOFR",$K$2:$K$7,$L$2:$L$7,,,"Actual360","LogLinear",TRUE)</f>
        <v>QSObject:ContextInput:w1~input.qs_context_add_curve.2359132437744.1737.3.0:38389</v>
      </c>
      <c r="E1738" s="6" t="str">
        <f>_xll.QS.INSTRUMENT.SWAP("swap.1736",H1738,B1738,"USD","SOFR",I1738,J1738,0,"Actual360","Simple","Annual","Annual","Annual")</f>
        <v>QSObject:Swap:w1~swap.1736:18706</v>
      </c>
      <c r="F1738" s="6" t="str">
        <f>_xll.QS.TRADE.CREATE("trade.1736",E1738,A1738,"Receive")</f>
        <v>QSObject:SwapTrade:w1~trade.1736:29472</v>
      </c>
      <c r="G1738" s="3">
        <f>_xll.QS.EVALUATE(C1738,F1738)</f>
        <v>35497.687004375235</v>
      </c>
      <c r="H1738" s="5" t="s">
        <v>3516</v>
      </c>
      <c r="I1738" s="7">
        <v>1173600</v>
      </c>
      <c r="J1738" s="8">
        <v>3.8600000000000002E-2</v>
      </c>
    </row>
    <row r="1739" spans="1:10" x14ac:dyDescent="0.25">
      <c r="A1739" s="5" t="s">
        <v>3504</v>
      </c>
      <c r="B1739" s="5" t="s">
        <v>3517</v>
      </c>
      <c r="C1739" s="6" t="str">
        <f>_xll.QS.CONTEXT.CREATE("market.1737",A1739,"USD","SOFR")</f>
        <v>QSObject:PricingContext:w1~market.1737:18705</v>
      </c>
      <c r="D1739" s="6" t="str">
        <f>_xll.QS.CONTEXT.ADD.CURVE(C1739,"SOFR",$K$2:$K$7,$L$2:$L$7,,,"Actual360","LogLinear",TRUE)</f>
        <v>QSObject:ContextInput:w1~input.qs_context_add_curve.2359132437744.1738.3.0:38388</v>
      </c>
      <c r="E1739" s="6" t="str">
        <f>_xll.QS.INSTRUMENT.SWAP("swap.1737",H1739,B1739,"USD","SOFR",I1739,J1739,0,"Actual360","Simple","Annual","Annual","Annual")</f>
        <v>QSObject:Swap:w1~swap.1737:18704</v>
      </c>
      <c r="F1739" s="6" t="str">
        <f>_xll.QS.TRADE.CREATE("trade.1737",E1739,A1739,"Receive")</f>
        <v>QSObject:SwapTrade:w1~trade.1737:29471</v>
      </c>
      <c r="G1739" s="3">
        <f>_xll.QS.EVALUATE(C1739,F1739)</f>
        <v>36091.369744056123</v>
      </c>
      <c r="H1739" s="5" t="s">
        <v>3518</v>
      </c>
      <c r="I1739" s="7">
        <v>1173700</v>
      </c>
      <c r="J1739" s="8">
        <v>3.8700000000000012E-2</v>
      </c>
    </row>
    <row r="1740" spans="1:10" x14ac:dyDescent="0.25">
      <c r="A1740" s="5" t="s">
        <v>3506</v>
      </c>
      <c r="B1740" s="5" t="s">
        <v>3519</v>
      </c>
      <c r="C1740" s="6" t="str">
        <f>_xll.QS.CONTEXT.CREATE("market.1738",A1740,"USD","SOFR")</f>
        <v>QSObject:PricingContext:w1~market.1738:18703</v>
      </c>
      <c r="D1740" s="6" t="str">
        <f>_xll.QS.CONTEXT.ADD.CURVE(C1740,"SOFR",$K$2:$K$7,$L$2:$L$7,,,"Actual360","LogLinear",TRUE)</f>
        <v>QSObject:ContextInput:w1~input.qs_context_add_curve.2359132437744.1739.3.0:38387</v>
      </c>
      <c r="E1740" s="6" t="str">
        <f>_xll.QS.INSTRUMENT.SWAP("swap.1738",H1740,B1740,"USD","SOFR",I1740,J1740,0,"Actual360","Simple","Annual","Annual","Annual")</f>
        <v>QSObject:Swap:w1~swap.1738:18702</v>
      </c>
      <c r="F1740" s="6" t="str">
        <f>_xll.QS.TRADE.CREATE("trade.1738",E1740,A1740,"Receive")</f>
        <v>QSObject:SwapTrade:w1~trade.1738:30134</v>
      </c>
      <c r="G1740" s="3">
        <f>_xll.QS.EVALUATE(C1740,F1740)</f>
        <v>36791.331172993538</v>
      </c>
      <c r="H1740" s="5" t="s">
        <v>3520</v>
      </c>
      <c r="I1740" s="7">
        <v>1173800</v>
      </c>
      <c r="J1740" s="8">
        <v>3.8800000000000001E-2</v>
      </c>
    </row>
    <row r="1741" spans="1:10" x14ac:dyDescent="0.25">
      <c r="A1741" s="5" t="s">
        <v>3508</v>
      </c>
      <c r="B1741" s="5" t="s">
        <v>3521</v>
      </c>
      <c r="C1741" s="6" t="str">
        <f>_xll.QS.CONTEXT.CREATE("market.1739",A1741,"USD","SOFR")</f>
        <v>QSObject:PricingContext:w1~market.1739:18701</v>
      </c>
      <c r="D1741" s="6" t="str">
        <f>_xll.QS.CONTEXT.ADD.CURVE(C1741,"SOFR",$K$2:$K$7,$L$2:$L$7,,,"Actual360","LogLinear",TRUE)</f>
        <v>QSObject:ContextInput:w1~input.qs_context_add_curve.2359132437744.1740.3.0:38386</v>
      </c>
      <c r="E1741" s="6" t="str">
        <f>_xll.QS.INSTRUMENT.SWAP("swap.1739",H1741,B1741,"USD","SOFR",I1741,J1741,0,"Actual360","Simple","Annual","Annual","Annual")</f>
        <v>QSObject:Swap:w1~swap.1739:18700</v>
      </c>
      <c r="F1741" s="6" t="str">
        <f>_xll.QS.TRADE.CREATE("trade.1739",E1741,A1741,"Receive")</f>
        <v>QSObject:SwapTrade:w1~trade.1739:30133</v>
      </c>
      <c r="G1741" s="3">
        <f>_xll.QS.EVALUATE(C1741,F1741)</f>
        <v>37346.965964991876</v>
      </c>
      <c r="H1741" s="5" t="s">
        <v>3522</v>
      </c>
      <c r="I1741" s="7">
        <v>1173900</v>
      </c>
      <c r="J1741" s="8">
        <v>3.8899999999999997E-2</v>
      </c>
    </row>
    <row r="1742" spans="1:10" x14ac:dyDescent="0.25">
      <c r="A1742" s="5" t="s">
        <v>3510</v>
      </c>
      <c r="B1742" s="5" t="s">
        <v>3523</v>
      </c>
      <c r="C1742" s="6" t="str">
        <f>_xll.QS.CONTEXT.CREATE("market.1740",A1742,"USD","SOFR")</f>
        <v>QSObject:PricingContext:w1~market.1740:18699</v>
      </c>
      <c r="D1742" s="6" t="str">
        <f>_xll.QS.CONTEXT.ADD.CURVE(C1742,"SOFR",$K$2:$K$7,$L$2:$L$7,,,"Actual360","LogLinear",TRUE)</f>
        <v>QSObject:ContextInput:w1~input.qs_context_add_curve.2359132437744.1741.3.0:38385</v>
      </c>
      <c r="E1742" s="6" t="str">
        <f>_xll.QS.INSTRUMENT.SWAP("swap.1740",H1742,B1742,"USD","SOFR",I1742,J1742,0,"Actual360","Simple","Annual","Annual","Annual")</f>
        <v>QSObject:Swap:w1~swap.1740:18698</v>
      </c>
      <c r="F1742" s="6" t="str">
        <f>_xll.QS.TRADE.CREATE("trade.1740",E1742,A1742,"Receive")</f>
        <v>QSObject:SwapTrade:w1~trade.1740:30132</v>
      </c>
      <c r="G1742" s="3">
        <f>_xll.QS.EVALUATE(C1742,F1742)</f>
        <v>37891.795757481668</v>
      </c>
      <c r="H1742" s="5" t="s">
        <v>3524</v>
      </c>
      <c r="I1742" s="7">
        <v>1174000</v>
      </c>
      <c r="J1742" s="8">
        <v>3.9000000000000007E-2</v>
      </c>
    </row>
    <row r="1743" spans="1:10" x14ac:dyDescent="0.25">
      <c r="A1743" s="5" t="s">
        <v>3512</v>
      </c>
      <c r="B1743" s="5" t="s">
        <v>3525</v>
      </c>
      <c r="C1743" s="6" t="str">
        <f>_xll.QS.CONTEXT.CREATE("market.1741",A1743,"USD","SOFR")</f>
        <v>QSObject:PricingContext:w1~market.1741:18697</v>
      </c>
      <c r="D1743" s="6" t="str">
        <f>_xll.QS.CONTEXT.ADD.CURVE(C1743,"SOFR",$K$2:$K$7,$L$2:$L$7,,,"Actual360","LogLinear",TRUE)</f>
        <v>QSObject:ContextInput:w1~input.qs_context_add_curve.2359132437744.1742.3.0:38384</v>
      </c>
      <c r="E1743" s="6" t="str">
        <f>_xll.QS.INSTRUMENT.SWAP("swap.1741",H1743,B1743,"USD","SOFR",I1743,J1743,0,"Actual360","Simple","Annual","Annual","Annual")</f>
        <v>QSObject:Swap:w1~swap.1741:18696</v>
      </c>
      <c r="F1743" s="6" t="str">
        <f>_xll.QS.TRADE.CREATE("trade.1741",E1743,A1743,"Receive")</f>
        <v>QSObject:SwapTrade:w1~trade.1741:30131</v>
      </c>
      <c r="G1743" s="3">
        <f>_xll.QS.EVALUATE(C1743,F1743)</f>
        <v>38341.76014335081</v>
      </c>
      <c r="H1743" s="5" t="s">
        <v>3526</v>
      </c>
      <c r="I1743" s="7">
        <v>1174100</v>
      </c>
      <c r="J1743" s="8">
        <v>3.9100000000000003E-2</v>
      </c>
    </row>
    <row r="1744" spans="1:10" x14ac:dyDescent="0.25">
      <c r="A1744" s="5" t="s">
        <v>3514</v>
      </c>
      <c r="B1744" s="5" t="s">
        <v>3527</v>
      </c>
      <c r="C1744" s="6" t="str">
        <f>_xll.QS.CONTEXT.CREATE("market.1742",A1744,"USD","SOFR")</f>
        <v>QSObject:PricingContext:w1~market.1742:18695</v>
      </c>
      <c r="D1744" s="6" t="str">
        <f>_xll.QS.CONTEXT.ADD.CURVE(C1744,"SOFR",$K$2:$K$7,$L$2:$L$7,,,"Actual360","LogLinear",TRUE)</f>
        <v>QSObject:ContextInput:w1~input.qs_context_add_curve.2359132437744.1743.3.0:38383</v>
      </c>
      <c r="E1744" s="6" t="str">
        <f>_xll.QS.INSTRUMENT.SWAP("swap.1742",H1744,B1744,"USD","SOFR",I1744,J1744,0,"Actual360","Simple","Annual","Annual","Annual")</f>
        <v>QSObject:Swap:w1~swap.1742:18694</v>
      </c>
      <c r="F1744" s="6" t="str">
        <f>_xll.QS.TRADE.CREATE("trade.1742",E1744,A1744,"Receive")</f>
        <v>QSObject:SwapTrade:w1~trade.1742:29470</v>
      </c>
      <c r="G1744" s="3">
        <f>_xll.QS.EVALUATE(C1744,F1744)</f>
        <v>38812.701153124566</v>
      </c>
      <c r="H1744" s="5" t="s">
        <v>3528</v>
      </c>
      <c r="I1744" s="7">
        <v>1174200</v>
      </c>
      <c r="J1744" s="8">
        <v>3.9200000000000013E-2</v>
      </c>
    </row>
    <row r="1745" spans="1:10" x14ac:dyDescent="0.25">
      <c r="A1745" s="5" t="s">
        <v>3516</v>
      </c>
      <c r="B1745" s="5" t="s">
        <v>3529</v>
      </c>
      <c r="C1745" s="6" t="str">
        <f>_xll.QS.CONTEXT.CREATE("market.1743",A1745,"USD","SOFR")</f>
        <v>QSObject:PricingContext:w1~market.1743:18693</v>
      </c>
      <c r="D1745" s="6" t="str">
        <f>_xll.QS.CONTEXT.ADD.CURVE(C1745,"SOFR",$K$2:$K$7,$L$2:$L$7,,,"Actual360","LogLinear",TRUE)</f>
        <v>QSObject:ContextInput:w1~input.qs_context_add_curve.2359132437744.1744.3.0:38382</v>
      </c>
      <c r="E1745" s="6" t="str">
        <f>_xll.QS.INSTRUMENT.SWAP("swap.1743",H1745,B1745,"USD","SOFR",I1745,J1745,0,"Actual360","Simple","Annual","Annual","Annual")</f>
        <v>QSObject:Swap:w1~swap.1743:18692</v>
      </c>
      <c r="F1745" s="6" t="str">
        <f>_xll.QS.TRADE.CREATE("trade.1743",E1745,A1745,"Receive")</f>
        <v>QSObject:SwapTrade:w1~trade.1743:30130</v>
      </c>
      <c r="G1745" s="3">
        <f>_xll.QS.EVALUATE(C1745,F1745)</f>
        <v>39360.646972767303</v>
      </c>
      <c r="H1745" s="5" t="s">
        <v>3530</v>
      </c>
      <c r="I1745" s="7">
        <v>1174300</v>
      </c>
      <c r="J1745" s="8">
        <v>3.9300000000000002E-2</v>
      </c>
    </row>
    <row r="1746" spans="1:10" x14ac:dyDescent="0.25">
      <c r="A1746" s="5" t="s">
        <v>3518</v>
      </c>
      <c r="B1746" s="5" t="s">
        <v>3531</v>
      </c>
      <c r="C1746" s="6" t="str">
        <f>_xll.QS.CONTEXT.CREATE("market.1744",A1746,"USD","SOFR")</f>
        <v>QSObject:PricingContext:w1~market.1744:18691</v>
      </c>
      <c r="D1746" s="6" t="str">
        <f>_xll.QS.CONTEXT.ADD.CURVE(C1746,"SOFR",$K$2:$K$7,$L$2:$L$7,,,"Actual360","LogLinear",TRUE)</f>
        <v>QSObject:ContextInput:w1~input.qs_context_add_curve.2359132437744.1745.3.0:38381</v>
      </c>
      <c r="E1746" s="6" t="str">
        <f>_xll.QS.INSTRUMENT.SWAP("swap.1744",H1746,B1746,"USD","SOFR",I1746,J1746,0,"Actual360","Simple","Annual","Annual","Annual")</f>
        <v>QSObject:Swap:w1~swap.1744:18690</v>
      </c>
      <c r="F1746" s="6" t="str">
        <f>_xll.QS.TRADE.CREATE("trade.1744",E1746,A1746,"Receive")</f>
        <v>QSObject:SwapTrade:w1~trade.1744:30129</v>
      </c>
      <c r="G1746" s="3">
        <f>_xll.QS.EVALUATE(C1746,F1746)</f>
        <v>39930.388748569589</v>
      </c>
      <c r="H1746" s="5" t="s">
        <v>3532</v>
      </c>
      <c r="I1746" s="7">
        <v>1174400</v>
      </c>
      <c r="J1746" s="8">
        <v>3.9399999999999998E-2</v>
      </c>
    </row>
    <row r="1747" spans="1:10" x14ac:dyDescent="0.25">
      <c r="A1747" s="5" t="s">
        <v>3520</v>
      </c>
      <c r="B1747" s="5" t="s">
        <v>3533</v>
      </c>
      <c r="C1747" s="6" t="str">
        <f>_xll.QS.CONTEXT.CREATE("market.1745",A1747,"USD","SOFR")</f>
        <v>QSObject:PricingContext:w1~market.1745:18689</v>
      </c>
      <c r="D1747" s="6" t="str">
        <f>_xll.QS.CONTEXT.ADD.CURVE(C1747,"SOFR",$K$2:$K$7,$L$2:$L$7,,,"Actual360","LogLinear",TRUE)</f>
        <v>QSObject:ContextInput:w1~input.qs_context_add_curve.2359132437744.1746.3.0:38380</v>
      </c>
      <c r="E1747" s="6" t="str">
        <f>_xll.QS.INSTRUMENT.SWAP("swap.1745",H1747,B1747,"USD","SOFR",I1747,J1747,0,"Actual360","Simple","Annual","Annual","Annual")</f>
        <v>QSObject:Swap:w1~swap.1745:18688</v>
      </c>
      <c r="F1747" s="6" t="str">
        <f>_xll.QS.TRADE.CREATE("trade.1745",E1747,A1747,"Receive")</f>
        <v>QSObject:SwapTrade:w1~trade.1745:30128</v>
      </c>
      <c r="G1747" s="3">
        <f>_xll.QS.EVALUATE(C1747,F1747)</f>
        <v>40561.314658070594</v>
      </c>
      <c r="H1747" s="5" t="s">
        <v>3534</v>
      </c>
      <c r="I1747" s="7">
        <v>1174500</v>
      </c>
      <c r="J1747" s="8">
        <v>3.9500000000000007E-2</v>
      </c>
    </row>
    <row r="1748" spans="1:10" x14ac:dyDescent="0.25">
      <c r="A1748" s="5" t="s">
        <v>3522</v>
      </c>
      <c r="B1748" s="5" t="s">
        <v>3535</v>
      </c>
      <c r="C1748" s="6" t="str">
        <f>_xll.QS.CONTEXT.CREATE("market.1746",A1748,"USD","SOFR")</f>
        <v>QSObject:PricingContext:w1~market.1746:18687</v>
      </c>
      <c r="D1748" s="6" t="str">
        <f>_xll.QS.CONTEXT.ADD.CURVE(C1748,"SOFR",$K$2:$K$7,$L$2:$L$7,,,"Actual360","LogLinear",TRUE)</f>
        <v>QSObject:ContextInput:w1~input.qs_context_add_curve.2359132437744.1747.3.0:38379</v>
      </c>
      <c r="E1748" s="6" t="str">
        <f>_xll.QS.INSTRUMENT.SWAP("swap.1746",H1748,B1748,"USD","SOFR",I1748,J1748,0,"Actual360","Simple","Annual","Annual","Annual")</f>
        <v>QSObject:Swap:w1~swap.1746:18686</v>
      </c>
      <c r="F1748" s="6" t="str">
        <f>_xll.QS.TRADE.CREATE("trade.1746",E1748,A1748,"Receive")</f>
        <v>QSObject:SwapTrade:w1~trade.1746:29469</v>
      </c>
      <c r="G1748" s="3">
        <f>_xll.QS.EVALUATE(C1748,F1748)</f>
        <v>41157.576274806081</v>
      </c>
      <c r="H1748" s="5" t="s">
        <v>3536</v>
      </c>
      <c r="I1748" s="7">
        <v>1174600</v>
      </c>
      <c r="J1748" s="8">
        <v>3.9600000000000003E-2</v>
      </c>
    </row>
    <row r="1749" spans="1:10" x14ac:dyDescent="0.25">
      <c r="A1749" s="5" t="s">
        <v>3524</v>
      </c>
      <c r="B1749" s="5" t="s">
        <v>3537</v>
      </c>
      <c r="C1749" s="6" t="str">
        <f>_xll.QS.CONTEXT.CREATE("market.1747",A1749,"USD","SOFR")</f>
        <v>QSObject:PricingContext:w1~market.1747:18685</v>
      </c>
      <c r="D1749" s="6" t="str">
        <f>_xll.QS.CONTEXT.ADD.CURVE(C1749,"SOFR",$K$2:$K$7,$L$2:$L$7,,,"Actual360","LogLinear",TRUE)</f>
        <v>QSObject:ContextInput:w1~input.qs_context_add_curve.2359132437744.1748.3.0:38378</v>
      </c>
      <c r="E1749" s="6" t="str">
        <f>_xll.QS.INSTRUMENT.SWAP("swap.1747",H1749,B1749,"USD","SOFR",I1749,J1749,0,"Actual360","Simple","Annual","Annual","Annual")</f>
        <v>QSObject:Swap:w1~swap.1747:18684</v>
      </c>
      <c r="F1749" s="6" t="str">
        <f>_xll.QS.TRADE.CREATE("trade.1747",E1749,A1749,"Receive")</f>
        <v>QSObject:SwapTrade:w1~trade.1747:30127</v>
      </c>
      <c r="G1749" s="3">
        <f>_xll.QS.EVALUATE(C1749,F1749)</f>
        <v>41658.078462152291</v>
      </c>
      <c r="H1749" s="5" t="s">
        <v>3538</v>
      </c>
      <c r="I1749" s="7">
        <v>1174700</v>
      </c>
      <c r="J1749" s="8">
        <v>3.9700000000000013E-2</v>
      </c>
    </row>
    <row r="1750" spans="1:10" x14ac:dyDescent="0.25">
      <c r="A1750" s="5" t="s">
        <v>3526</v>
      </c>
      <c r="B1750" s="5" t="s">
        <v>3539</v>
      </c>
      <c r="C1750" s="6" t="str">
        <f>_xll.QS.CONTEXT.CREATE("market.1748",A1750,"USD","SOFR")</f>
        <v>QSObject:PricingContext:w1~market.1748:18683</v>
      </c>
      <c r="D1750" s="6" t="str">
        <f>_xll.QS.CONTEXT.ADD.CURVE(C1750,"SOFR",$K$2:$K$7,$L$2:$L$7,,,"Actual360","LogLinear",TRUE)</f>
        <v>QSObject:ContextInput:w1~input.qs_context_add_curve.2359132437744.1749.3.0:38377</v>
      </c>
      <c r="E1750" s="6" t="str">
        <f>_xll.QS.INSTRUMENT.SWAP("swap.1748",H1750,B1750,"USD","SOFR",I1750,J1750,0,"Actual360","Simple","Annual","Annual","Annual")</f>
        <v>QSObject:Swap:w1~swap.1748:18682</v>
      </c>
      <c r="F1750" s="6" t="str">
        <f>_xll.QS.TRADE.CREATE("trade.1748",E1750,A1750,"Receive")</f>
        <v>QSObject:SwapTrade:w1~trade.1748:29468</v>
      </c>
      <c r="G1750" s="3">
        <f>_xll.QS.EVALUATE(C1750,F1750)</f>
        <v>42103.974390743184</v>
      </c>
      <c r="H1750" s="5" t="s">
        <v>3540</v>
      </c>
      <c r="I1750" s="7">
        <v>1174800</v>
      </c>
      <c r="J1750" s="8">
        <v>3.9800000000000002E-2</v>
      </c>
    </row>
    <row r="1751" spans="1:10" x14ac:dyDescent="0.25">
      <c r="A1751" s="5" t="s">
        <v>3528</v>
      </c>
      <c r="B1751" s="5" t="s">
        <v>3541</v>
      </c>
      <c r="C1751" s="6" t="str">
        <f>_xll.QS.CONTEXT.CREATE("market.1749",A1751,"USD","SOFR")</f>
        <v>QSObject:PricingContext:w1~market.1749:18681</v>
      </c>
      <c r="D1751" s="6" t="str">
        <f>_xll.QS.CONTEXT.ADD.CURVE(C1751,"SOFR",$K$2:$K$7,$L$2:$L$7,,,"Actual360","LogLinear",TRUE)</f>
        <v>QSObject:ContextInput:w1~input.qs_context_add_curve.2359132437744.1750.3.0:38376</v>
      </c>
      <c r="E1751" s="6" t="str">
        <f>_xll.QS.INSTRUMENT.SWAP("swap.1749",H1751,B1751,"USD","SOFR",I1751,J1751,0,"Actual360","Simple","Annual","Annual","Annual")</f>
        <v>QSObject:Swap:w1~swap.1749:18680</v>
      </c>
      <c r="F1751" s="6" t="str">
        <f>_xll.QS.TRADE.CREATE("trade.1749",E1751,A1751,"Receive")</f>
        <v>QSObject:SwapTrade:w1~trade.1749:30126</v>
      </c>
      <c r="G1751" s="3">
        <f>_xll.QS.EVALUATE(C1751,F1751)</f>
        <v>42581.50761113628</v>
      </c>
      <c r="H1751" s="5" t="s">
        <v>3542</v>
      </c>
      <c r="I1751" s="7">
        <v>1174900</v>
      </c>
      <c r="J1751" s="8">
        <v>3.9899999999999998E-2</v>
      </c>
    </row>
    <row r="1752" spans="1:10" x14ac:dyDescent="0.25">
      <c r="A1752" s="5" t="s">
        <v>3530</v>
      </c>
      <c r="B1752" s="5" t="s">
        <v>3543</v>
      </c>
      <c r="C1752" s="6" t="str">
        <f>_xll.QS.CONTEXT.CREATE("market.1750",A1752,"USD","SOFR")</f>
        <v>QSObject:PricingContext:w1~market.1750:18679</v>
      </c>
      <c r="D1752" s="6" t="str">
        <f>_xll.QS.CONTEXT.ADD.CURVE(C1752,"SOFR",$K$2:$K$7,$L$2:$L$7,,,"Actual360","LogLinear",TRUE)</f>
        <v>QSObject:ContextInput:w1~input.qs_context_add_curve.2359132437744.1751.3.0:38375</v>
      </c>
      <c r="E1752" s="6" t="str">
        <f>_xll.QS.INSTRUMENT.SWAP("swap.1750",H1752,B1752,"USD","SOFR",I1752,J1752,0,"Actual360","Simple","Annual","Annual","Annual")</f>
        <v>QSObject:Swap:w1~swap.1750:18678</v>
      </c>
      <c r="F1752" s="6" t="str">
        <f>_xll.QS.TRADE.CREATE("trade.1750",E1752,A1752,"Receive")</f>
        <v>QSObject:SwapTrade:w1~trade.1750:30125</v>
      </c>
      <c r="G1752" s="3">
        <f>_xll.QS.EVALUATE(C1752,F1752)</f>
        <v>16073.82783870869</v>
      </c>
      <c r="H1752" s="5" t="s">
        <v>3544</v>
      </c>
      <c r="I1752" s="7">
        <v>1175000</v>
      </c>
      <c r="J1752" s="8">
        <v>3.5000000000000003E-2</v>
      </c>
    </row>
    <row r="1753" spans="1:10" x14ac:dyDescent="0.25">
      <c r="A1753" s="5" t="s">
        <v>3532</v>
      </c>
      <c r="B1753" s="5" t="s">
        <v>3545</v>
      </c>
      <c r="C1753" s="6" t="str">
        <f>_xll.QS.CONTEXT.CREATE("market.1751",A1753,"USD","SOFR")</f>
        <v>QSObject:PricingContext:w1~market.1751:18677</v>
      </c>
      <c r="D1753" s="6" t="str">
        <f>_xll.QS.CONTEXT.ADD.CURVE(C1753,"SOFR",$K$2:$K$7,$L$2:$L$7,,,"Actual360","LogLinear",TRUE)</f>
        <v>QSObject:ContextInput:w1~input.qs_context_add_curve.2359132437744.1752.3.0:38374</v>
      </c>
      <c r="E1753" s="6" t="str">
        <f>_xll.QS.INSTRUMENT.SWAP("swap.1751",H1753,B1753,"USD","SOFR",I1753,J1753,0,"Actual360","Simple","Annual","Annual","Annual")</f>
        <v>QSObject:Swap:w1~swap.1751:18676</v>
      </c>
      <c r="F1753" s="6" t="str">
        <f>_xll.QS.TRADE.CREATE("trade.1751",E1753,A1753,"Receive")</f>
        <v>QSObject:SwapTrade:w1~trade.1751:29467</v>
      </c>
      <c r="G1753" s="3">
        <f>_xll.QS.EVALUATE(C1753,F1753)</f>
        <v>16653.392611413874</v>
      </c>
      <c r="H1753" s="5" t="s">
        <v>3546</v>
      </c>
      <c r="I1753" s="7">
        <v>1175100</v>
      </c>
      <c r="J1753" s="8">
        <v>3.5100000000000013E-2</v>
      </c>
    </row>
    <row r="1754" spans="1:10" x14ac:dyDescent="0.25">
      <c r="A1754" s="5" t="s">
        <v>3534</v>
      </c>
      <c r="B1754" s="5" t="s">
        <v>3547</v>
      </c>
      <c r="C1754" s="6" t="str">
        <f>_xll.QS.CONTEXT.CREATE("market.1752",A1754,"USD","SOFR")</f>
        <v>QSObject:PricingContext:w1~market.1752:18675</v>
      </c>
      <c r="D1754" s="6" t="str">
        <f>_xll.QS.CONTEXT.ADD.CURVE(C1754,"SOFR",$K$2:$K$7,$L$2:$L$7,,,"Actual360","LogLinear",TRUE)</f>
        <v>QSObject:ContextInput:w1~input.qs_context_add_curve.2359132437744.1753.3.0:38373</v>
      </c>
      <c r="E1754" s="6" t="str">
        <f>_xll.QS.INSTRUMENT.SWAP("swap.1752",H1754,B1754,"USD","SOFR",I1754,J1754,0,"Actual360","Simple","Annual","Annual","Annual")</f>
        <v>QSObject:Swap:w1~swap.1752:18674</v>
      </c>
      <c r="F1754" s="6" t="str">
        <f>_xll.QS.TRADE.CREATE("trade.1752",E1754,A1754,"Receive")</f>
        <v>QSObject:SwapTrade:w1~trade.1752:29466</v>
      </c>
      <c r="G1754" s="3">
        <f>_xll.QS.EVALUATE(C1754,F1754)</f>
        <v>17282.43749996282</v>
      </c>
      <c r="H1754" s="5" t="s">
        <v>3548</v>
      </c>
      <c r="I1754" s="7">
        <v>1175200</v>
      </c>
      <c r="J1754" s="8">
        <v>3.5200000000000002E-2</v>
      </c>
    </row>
    <row r="1755" spans="1:10" x14ac:dyDescent="0.25">
      <c r="A1755" s="5" t="s">
        <v>3536</v>
      </c>
      <c r="B1755" s="5" t="s">
        <v>3549</v>
      </c>
      <c r="C1755" s="6" t="str">
        <f>_xll.QS.CONTEXT.CREATE("market.1753",A1755,"USD","SOFR")</f>
        <v>QSObject:PricingContext:w1~market.1753:18673</v>
      </c>
      <c r="D1755" s="6" t="str">
        <f>_xll.QS.CONTEXT.ADD.CURVE(C1755,"SOFR",$K$2:$K$7,$L$2:$L$7,,,"Actual360","LogLinear",TRUE)</f>
        <v>QSObject:ContextInput:w1~input.qs_context_add_curve.2359132437744.1754.3.0:38372</v>
      </c>
      <c r="E1755" s="6" t="str">
        <f>_xll.QS.INSTRUMENT.SWAP("swap.1753",H1755,B1755,"USD","SOFR",I1755,J1755,0,"Actual360","Simple","Annual","Annual","Annual")</f>
        <v>QSObject:Swap:w1~swap.1753:18672</v>
      </c>
      <c r="F1755" s="6" t="str">
        <f>_xll.QS.TRADE.CREATE("trade.1753",E1755,A1755,"Receive")</f>
        <v>QSObject:SwapTrade:w1~trade.1753:30124</v>
      </c>
      <c r="G1755" s="3">
        <f>_xll.QS.EVALUATE(C1755,F1755)</f>
        <v>17876.886774748426</v>
      </c>
      <c r="H1755" s="5" t="s">
        <v>3550</v>
      </c>
      <c r="I1755" s="7">
        <v>1175300</v>
      </c>
      <c r="J1755" s="8">
        <v>3.5299999999999998E-2</v>
      </c>
    </row>
    <row r="1756" spans="1:10" x14ac:dyDescent="0.25">
      <c r="A1756" s="5" t="s">
        <v>3538</v>
      </c>
      <c r="B1756" s="5" t="s">
        <v>3551</v>
      </c>
      <c r="C1756" s="6" t="str">
        <f>_xll.QS.CONTEXT.CREATE("market.1754",A1756,"USD","SOFR")</f>
        <v>QSObject:PricingContext:w1~market.1754:18671</v>
      </c>
      <c r="D1756" s="6" t="str">
        <f>_xll.QS.CONTEXT.ADD.CURVE(C1756,"SOFR",$K$2:$K$7,$L$2:$L$7,,,"Actual360","LogLinear",TRUE)</f>
        <v>QSObject:ContextInput:w1~input.qs_context_add_curve.2359132437744.1755.3.0:38371</v>
      </c>
      <c r="E1756" s="6" t="str">
        <f>_xll.QS.INSTRUMENT.SWAP("swap.1754",H1756,B1756,"USD","SOFR",I1756,J1756,0,"Actual360","Simple","Annual","Annual","Annual")</f>
        <v>QSObject:Swap:w1~swap.1754:18670</v>
      </c>
      <c r="F1756" s="6" t="str">
        <f>_xll.QS.TRADE.CREATE("trade.1754",E1756,A1756,"Receive")</f>
        <v>QSObject:SwapTrade:w1~trade.1754:30123</v>
      </c>
      <c r="G1756" s="3">
        <f>_xll.QS.EVALUATE(C1756,F1756)</f>
        <v>18375.890092506514</v>
      </c>
      <c r="H1756" s="5" t="s">
        <v>3552</v>
      </c>
      <c r="I1756" s="7">
        <v>1175400</v>
      </c>
      <c r="J1756" s="8">
        <v>3.5400000000000001E-2</v>
      </c>
    </row>
    <row r="1757" spans="1:10" x14ac:dyDescent="0.25">
      <c r="A1757" s="5" t="s">
        <v>3540</v>
      </c>
      <c r="B1757" s="5" t="s">
        <v>3553</v>
      </c>
      <c r="C1757" s="6" t="str">
        <f>_xll.QS.CONTEXT.CREATE("market.1755",A1757,"USD","SOFR")</f>
        <v>QSObject:PricingContext:w1~market.1755:18669</v>
      </c>
      <c r="D1757" s="6" t="str">
        <f>_xll.QS.CONTEXT.ADD.CURVE(C1757,"SOFR",$K$2:$K$7,$L$2:$L$7,,,"Actual360","LogLinear",TRUE)</f>
        <v>QSObject:ContextInput:w1~input.qs_context_add_curve.2359132437744.1756.3.0:38370</v>
      </c>
      <c r="E1757" s="6" t="str">
        <f>_xll.QS.INSTRUMENT.SWAP("swap.1755",H1757,B1757,"USD","SOFR",I1757,J1757,0,"Actual360","Simple","Annual","Annual","Annual")</f>
        <v>QSObject:Swap:w1~swap.1755:18668</v>
      </c>
      <c r="F1757" s="6" t="str">
        <f>_xll.QS.TRADE.CREATE("trade.1755",E1757,A1757,"Receive")</f>
        <v>QSObject:SwapTrade:w1~trade.1755:30122</v>
      </c>
      <c r="G1757" s="3">
        <f>_xll.QS.EVALUATE(C1757,F1757)</f>
        <v>18847.535582039596</v>
      </c>
      <c r="H1757" s="5" t="s">
        <v>3554</v>
      </c>
      <c r="I1757" s="7">
        <v>1175500</v>
      </c>
      <c r="J1757" s="8">
        <v>3.5499999999999997E-2</v>
      </c>
    </row>
    <row r="1758" spans="1:10" x14ac:dyDescent="0.25">
      <c r="A1758" s="5" t="s">
        <v>3542</v>
      </c>
      <c r="B1758" s="5" t="s">
        <v>3555</v>
      </c>
      <c r="C1758" s="6" t="str">
        <f>_xll.QS.CONTEXT.CREATE("market.1756",A1758,"USD","SOFR")</f>
        <v>QSObject:PricingContext:w1~market.1756:18667</v>
      </c>
      <c r="D1758" s="6" t="str">
        <f>_xll.QS.CONTEXT.ADD.CURVE(C1758,"SOFR",$K$2:$K$7,$L$2:$L$7,,,"Actual360","LogLinear",TRUE)</f>
        <v>QSObject:ContextInput:w1~input.qs_context_add_curve.2359132437744.1757.3.0:38369</v>
      </c>
      <c r="E1758" s="6" t="str">
        <f>_xll.QS.INSTRUMENT.SWAP("swap.1756",H1758,B1758,"USD","SOFR",I1758,J1758,0,"Actual360","Simple","Annual","Annual","Annual")</f>
        <v>QSObject:Swap:w1~swap.1756:18666</v>
      </c>
      <c r="F1758" s="6" t="str">
        <f>_xll.QS.TRADE.CREATE("trade.1756",E1758,A1758,"Receive")</f>
        <v>QSObject:SwapTrade:w1~trade.1756:30121</v>
      </c>
      <c r="G1758" s="3">
        <f>_xll.QS.EVALUATE(C1758,F1758)</f>
        <v>19392.099380687869</v>
      </c>
      <c r="H1758" s="5" t="s">
        <v>3556</v>
      </c>
      <c r="I1758" s="7">
        <v>1175600</v>
      </c>
      <c r="J1758" s="8">
        <v>3.5600000000000007E-2</v>
      </c>
    </row>
    <row r="1759" spans="1:10" x14ac:dyDescent="0.25">
      <c r="A1759" s="5" t="s">
        <v>3544</v>
      </c>
      <c r="B1759" s="5" t="s">
        <v>3557</v>
      </c>
      <c r="C1759" s="6" t="str">
        <f>_xll.QS.CONTEXT.CREATE("market.1757",A1759,"USD","SOFR")</f>
        <v>QSObject:PricingContext:w1~market.1757:18665</v>
      </c>
      <c r="D1759" s="6" t="str">
        <f>_xll.QS.CONTEXT.ADD.CURVE(C1759,"SOFR",$K$2:$K$7,$L$2:$L$7,,,"Actual360","LogLinear",TRUE)</f>
        <v>QSObject:ContextInput:w1~input.qs_context_add_curve.2359132437744.1758.3.0:38368</v>
      </c>
      <c r="E1759" s="6" t="str">
        <f>_xll.QS.INSTRUMENT.SWAP("swap.1757",H1759,B1759,"USD","SOFR",I1759,J1759,0,"Actual360","Simple","Annual","Annual","Annual")</f>
        <v>QSObject:Swap:w1~swap.1757:18664</v>
      </c>
      <c r="F1759" s="6" t="str">
        <f>_xll.QS.TRADE.CREATE("trade.1757",E1759,A1759,"Receive")</f>
        <v>QSObject:SwapTrade:w1~trade.1757:29465</v>
      </c>
      <c r="G1759" s="3">
        <f>_xll.QS.EVALUATE(C1759,F1759)</f>
        <v>19984.529776327341</v>
      </c>
      <c r="H1759" s="5" t="s">
        <v>3558</v>
      </c>
      <c r="I1759" s="7">
        <v>1175700</v>
      </c>
      <c r="J1759" s="8">
        <v>3.5700000000000003E-2</v>
      </c>
    </row>
    <row r="1760" spans="1:10" x14ac:dyDescent="0.25">
      <c r="A1760" s="5" t="s">
        <v>3546</v>
      </c>
      <c r="B1760" s="5" t="s">
        <v>3559</v>
      </c>
      <c r="C1760" s="6" t="str">
        <f>_xll.QS.CONTEXT.CREATE("market.1758",A1760,"USD","SOFR")</f>
        <v>QSObject:PricingContext:w1~market.1758:18663</v>
      </c>
      <c r="D1760" s="6" t="str">
        <f>_xll.QS.CONTEXT.ADD.CURVE(C1760,"SOFR",$K$2:$K$7,$L$2:$L$7,,,"Actual360","LogLinear",TRUE)</f>
        <v>QSObject:ContextInput:w1~input.qs_context_add_curve.2359132437744.1759.3.0:38367</v>
      </c>
      <c r="E1760" s="6" t="str">
        <f>_xll.QS.INSTRUMENT.SWAP("swap.1758",H1760,B1760,"USD","SOFR",I1760,J1760,0,"Actual360","Simple","Annual","Annual","Annual")</f>
        <v>QSObject:Swap:w1~swap.1758:18662</v>
      </c>
      <c r="F1760" s="6" t="str">
        <f>_xll.QS.TRADE.CREATE("trade.1758",E1760,A1760,"Receive")</f>
        <v>QSObject:SwapTrade:w1~trade.1758:30120</v>
      </c>
      <c r="G1760" s="3">
        <f>_xll.QS.EVALUATE(C1760,F1760)</f>
        <v>20458.701993454684</v>
      </c>
      <c r="H1760" s="5" t="s">
        <v>3560</v>
      </c>
      <c r="I1760" s="7">
        <v>1175800</v>
      </c>
      <c r="J1760" s="8">
        <v>3.5800000000000012E-2</v>
      </c>
    </row>
    <row r="1761" spans="1:10" x14ac:dyDescent="0.25">
      <c r="A1761" s="5" t="s">
        <v>3548</v>
      </c>
      <c r="B1761" s="5" t="s">
        <v>3561</v>
      </c>
      <c r="C1761" s="6" t="str">
        <f>_xll.QS.CONTEXT.CREATE("market.1759",A1761,"USD","SOFR")</f>
        <v>QSObject:PricingContext:w1~market.1759:18661</v>
      </c>
      <c r="D1761" s="6" t="str">
        <f>_xll.QS.CONTEXT.ADD.CURVE(C1761,"SOFR",$K$2:$K$7,$L$2:$L$7,,,"Actual360","LogLinear",TRUE)</f>
        <v>QSObject:ContextInput:w1~input.qs_context_add_curve.2359132437744.1760.3.0:38366</v>
      </c>
      <c r="E1761" s="6" t="str">
        <f>_xll.QS.INSTRUMENT.SWAP("swap.1759",H1761,B1761,"USD","SOFR",I1761,J1761,0,"Actual360","Simple","Annual","Annual","Annual")</f>
        <v>QSObject:Swap:w1~swap.1759:18660</v>
      </c>
      <c r="F1761" s="6" t="str">
        <f>_xll.QS.TRADE.CREATE("trade.1759",E1761,A1761,"Receive")</f>
        <v>QSObject:SwapTrade:w1~trade.1759:29464</v>
      </c>
      <c r="G1761" s="3">
        <f>_xll.QS.EVALUATE(C1761,F1761)</f>
        <v>21088.500472039665</v>
      </c>
      <c r="H1761" s="5" t="s">
        <v>3562</v>
      </c>
      <c r="I1761" s="7">
        <v>1175900</v>
      </c>
      <c r="J1761" s="8">
        <v>3.5900000000000001E-2</v>
      </c>
    </row>
    <row r="1762" spans="1:10" x14ac:dyDescent="0.25">
      <c r="A1762" s="5" t="s">
        <v>3550</v>
      </c>
      <c r="B1762" s="5" t="s">
        <v>3563</v>
      </c>
      <c r="C1762" s="6" t="str">
        <f>_xll.QS.CONTEXT.CREATE("market.1760",A1762,"USD","SOFR")</f>
        <v>QSObject:PricingContext:w1~market.1760:18659</v>
      </c>
      <c r="D1762" s="6" t="str">
        <f>_xll.QS.CONTEXT.ADD.CURVE(C1762,"SOFR",$K$2:$K$7,$L$2:$L$7,,,"Actual360","LogLinear",TRUE)</f>
        <v>QSObject:ContextInput:w1~input.qs_context_add_curve.2359132437744.1761.3.0:38365</v>
      </c>
      <c r="E1762" s="6" t="str">
        <f>_xll.QS.INSTRUMENT.SWAP("swap.1760",H1762,B1762,"USD","SOFR",I1762,J1762,0,"Actual360","Simple","Annual","Annual","Annual")</f>
        <v>QSObject:Swap:w1~swap.1760:18658</v>
      </c>
      <c r="F1762" s="6" t="str">
        <f>_xll.QS.TRADE.CREATE("trade.1760",E1762,A1762,"Receive")</f>
        <v>QSObject:SwapTrade:w1~trade.1760:30119</v>
      </c>
      <c r="G1762" s="3">
        <f>_xll.QS.EVALUATE(C1762,F1762)</f>
        <v>21635.929192064948</v>
      </c>
      <c r="H1762" s="5" t="s">
        <v>3564</v>
      </c>
      <c r="I1762" s="7">
        <v>1176000</v>
      </c>
      <c r="J1762" s="8">
        <v>3.5999999999999997E-2</v>
      </c>
    </row>
    <row r="1763" spans="1:10" x14ac:dyDescent="0.25">
      <c r="A1763" s="5" t="s">
        <v>3552</v>
      </c>
      <c r="B1763" s="5" t="s">
        <v>3565</v>
      </c>
      <c r="C1763" s="6" t="str">
        <f>_xll.QS.CONTEXT.CREATE("market.1761",A1763,"USD","SOFR")</f>
        <v>QSObject:PricingContext:w1~market.1761:18657</v>
      </c>
      <c r="D1763" s="6" t="str">
        <f>_xll.QS.CONTEXT.ADD.CURVE(C1763,"SOFR",$K$2:$K$7,$L$2:$L$7,,,"Actual360","LogLinear",TRUE)</f>
        <v>QSObject:ContextInput:w1~input.qs_context_add_curve.2359132437744.1762.3.0:38364</v>
      </c>
      <c r="E1763" s="6" t="str">
        <f>_xll.QS.INSTRUMENT.SWAP("swap.1761",H1763,B1763,"USD","SOFR",I1763,J1763,0,"Actual360","Simple","Annual","Annual","Annual")</f>
        <v>QSObject:Swap:w1~swap.1761:18656</v>
      </c>
      <c r="F1763" s="6" t="str">
        <f>_xll.QS.TRADE.CREATE("trade.1761",E1763,A1763,"Receive")</f>
        <v>QSObject:SwapTrade:w1~trade.1761:29463</v>
      </c>
      <c r="G1763" s="3">
        <f>_xll.QS.EVALUATE(C1763,F1763)</f>
        <v>22183.258080868927</v>
      </c>
      <c r="H1763" s="5" t="s">
        <v>3566</v>
      </c>
      <c r="I1763" s="7">
        <v>1176100</v>
      </c>
      <c r="J1763" s="8">
        <v>3.61E-2</v>
      </c>
    </row>
    <row r="1764" spans="1:10" x14ac:dyDescent="0.25">
      <c r="A1764" s="5" t="s">
        <v>3554</v>
      </c>
      <c r="B1764" s="5" t="s">
        <v>3567</v>
      </c>
      <c r="C1764" s="6" t="str">
        <f>_xll.QS.CONTEXT.CREATE("market.1762",A1764,"USD","SOFR")</f>
        <v>QSObject:PricingContext:w1~market.1762:18655</v>
      </c>
      <c r="D1764" s="6" t="str">
        <f>_xll.QS.CONTEXT.ADD.CURVE(C1764,"SOFR",$K$2:$K$7,$L$2:$L$7,,,"Actual360","LogLinear",TRUE)</f>
        <v>QSObject:ContextInput:w1~input.qs_context_add_curve.2359132437744.1763.3.0:38363</v>
      </c>
      <c r="E1764" s="6" t="str">
        <f>_xll.QS.INSTRUMENT.SWAP("swap.1762",H1764,B1764,"USD","SOFR",I1764,J1764,0,"Actual360","Simple","Annual","Annual","Annual")</f>
        <v>QSObject:Swap:w1~swap.1762:18654</v>
      </c>
      <c r="F1764" s="6" t="str">
        <f>_xll.QS.TRADE.CREATE("trade.1762",E1764,A1764,"Receive")</f>
        <v>QSObject:SwapTrade:w1~trade.1762:30118</v>
      </c>
      <c r="G1764" s="3">
        <f>_xll.QS.EVALUATE(C1764,F1764)</f>
        <v>22651.031955487986</v>
      </c>
      <c r="H1764" s="5" t="s">
        <v>3568</v>
      </c>
      <c r="I1764" s="7">
        <v>1176200</v>
      </c>
      <c r="J1764" s="8">
        <v>3.6200000000000003E-2</v>
      </c>
    </row>
    <row r="1765" spans="1:10" x14ac:dyDescent="0.25">
      <c r="A1765" s="5" t="s">
        <v>3556</v>
      </c>
      <c r="B1765" s="5" t="s">
        <v>3569</v>
      </c>
      <c r="C1765" s="6" t="str">
        <f>_xll.QS.CONTEXT.CREATE("market.1763",A1765,"USD","SOFR")</f>
        <v>QSObject:PricingContext:w1~market.1763:18653</v>
      </c>
      <c r="D1765" s="6" t="str">
        <f>_xll.QS.CONTEXT.ADD.CURVE(C1765,"SOFR",$K$2:$K$7,$L$2:$L$7,,,"Actual360","LogLinear",TRUE)</f>
        <v>QSObject:ContextInput:w1~input.qs_context_add_curve.2359132437744.1764.3.0:38362</v>
      </c>
      <c r="E1765" s="6" t="str">
        <f>_xll.QS.INSTRUMENT.SWAP("swap.1763",H1765,B1765,"USD","SOFR",I1765,J1765,0,"Actual360","Simple","Annual","Annual","Annual")</f>
        <v>QSObject:Swap:w1~swap.1763:18652</v>
      </c>
      <c r="F1765" s="6" t="str">
        <f>_xll.QS.TRADE.CREATE("trade.1763",E1765,A1765,"Receive")</f>
        <v>QSObject:SwapTrade:w1~trade.1763:29462</v>
      </c>
      <c r="G1765" s="3">
        <f>_xll.QS.EVALUATE(C1765,F1765)</f>
        <v>23097.198310152446</v>
      </c>
      <c r="H1765" s="5" t="s">
        <v>3570</v>
      </c>
      <c r="I1765" s="7">
        <v>1176300</v>
      </c>
      <c r="J1765" s="8">
        <v>3.6300000000000013E-2</v>
      </c>
    </row>
    <row r="1766" spans="1:10" x14ac:dyDescent="0.25">
      <c r="A1766" s="5" t="s">
        <v>3558</v>
      </c>
      <c r="B1766" s="5" t="s">
        <v>3571</v>
      </c>
      <c r="C1766" s="6" t="str">
        <f>_xll.QS.CONTEXT.CREATE("market.1764",A1766,"USD","SOFR")</f>
        <v>QSObject:PricingContext:w1~market.1764:18651</v>
      </c>
      <c r="D1766" s="6" t="str">
        <f>_xll.QS.CONTEXT.ADD.CURVE(C1766,"SOFR",$K$2:$K$7,$L$2:$L$7,,,"Actual360","LogLinear",TRUE)</f>
        <v>QSObject:ContextInput:w1~input.qs_context_add_curve.2359132437744.1765.3.0:38361</v>
      </c>
      <c r="E1766" s="6" t="str">
        <f>_xll.QS.INSTRUMENT.SWAP("swap.1764",H1766,B1766,"USD","SOFR",I1766,J1766,0,"Actual360","Simple","Annual","Annual","Annual")</f>
        <v>QSObject:Swap:w1~swap.1764:18650</v>
      </c>
      <c r="F1766" s="6" t="str">
        <f>_xll.QS.TRADE.CREATE("trade.1764",E1766,A1766,"Receive")</f>
        <v>QSObject:SwapTrade:w1~trade.1764:30117</v>
      </c>
      <c r="G1766" s="3">
        <f>_xll.QS.EVALUATE(C1766,F1766)</f>
        <v>23691.351389432439</v>
      </c>
      <c r="H1766" s="5" t="s">
        <v>3572</v>
      </c>
      <c r="I1766" s="7">
        <v>1176400</v>
      </c>
      <c r="J1766" s="8">
        <v>3.6400000000000002E-2</v>
      </c>
    </row>
    <row r="1767" spans="1:10" x14ac:dyDescent="0.25">
      <c r="A1767" s="5" t="s">
        <v>3560</v>
      </c>
      <c r="B1767" s="5" t="s">
        <v>3573</v>
      </c>
      <c r="C1767" s="6" t="str">
        <f>_xll.QS.CONTEXT.CREATE("market.1765",A1767,"USD","SOFR")</f>
        <v>QSObject:PricingContext:w1~market.1765:18649</v>
      </c>
      <c r="D1767" s="6" t="str">
        <f>_xll.QS.CONTEXT.ADD.CURVE(C1767,"SOFR",$K$2:$K$7,$L$2:$L$7,,,"Actual360","LogLinear",TRUE)</f>
        <v>QSObject:ContextInput:w1~input.qs_context_add_curve.2359132437744.1766.3.0:38360</v>
      </c>
      <c r="E1767" s="6" t="str">
        <f>_xll.QS.INSTRUMENT.SWAP("swap.1765",H1767,B1767,"USD","SOFR",I1767,J1767,0,"Actual360","Simple","Annual","Annual","Annual")</f>
        <v>QSObject:Swap:w1~swap.1765:18648</v>
      </c>
      <c r="F1767" s="6" t="str">
        <f>_xll.QS.TRADE.CREATE("trade.1765",E1767,A1767,"Receive")</f>
        <v>QSObject:SwapTrade:w1~trade.1765:29461</v>
      </c>
      <c r="G1767" s="3">
        <f>_xll.QS.EVALUATE(C1767,F1767)</f>
        <v>24268.530464353207</v>
      </c>
      <c r="H1767" s="5" t="s">
        <v>3574</v>
      </c>
      <c r="I1767" s="7">
        <v>1176500</v>
      </c>
      <c r="J1767" s="8">
        <v>3.6499999999999998E-2</v>
      </c>
    </row>
    <row r="1768" spans="1:10" x14ac:dyDescent="0.25">
      <c r="A1768" s="5" t="s">
        <v>3562</v>
      </c>
      <c r="B1768" s="5" t="s">
        <v>3575</v>
      </c>
      <c r="C1768" s="6" t="str">
        <f>_xll.QS.CONTEXT.CREATE("market.1766",A1768,"USD","SOFR")</f>
        <v>QSObject:PricingContext:w1~market.1766:18647</v>
      </c>
      <c r="D1768" s="6" t="str">
        <f>_xll.QS.CONTEXT.ADD.CURVE(C1768,"SOFR",$K$2:$K$7,$L$2:$L$7,,,"Actual360","LogLinear",TRUE)</f>
        <v>QSObject:ContextInput:w1~input.qs_context_add_curve.2359132437744.1767.3.0:38359</v>
      </c>
      <c r="E1768" s="6" t="str">
        <f>_xll.QS.INSTRUMENT.SWAP("swap.1766",H1768,B1768,"USD","SOFR",I1768,J1768,0,"Actual360","Simple","Annual","Annual","Annual")</f>
        <v>QSObject:Swap:w1~swap.1766:18646</v>
      </c>
      <c r="F1768" s="6" t="str">
        <f>_xll.QS.TRADE.CREATE("trade.1766",E1768,A1768,"Receive")</f>
        <v>QSObject:SwapTrade:w1~trade.1766:30116</v>
      </c>
      <c r="G1768" s="3">
        <f>_xll.QS.EVALUATE(C1768,F1768)</f>
        <v>24898.977489099281</v>
      </c>
      <c r="H1768" s="5" t="s">
        <v>3576</v>
      </c>
      <c r="I1768" s="7">
        <v>1176600</v>
      </c>
      <c r="J1768" s="8">
        <v>3.6600000000000001E-2</v>
      </c>
    </row>
    <row r="1769" spans="1:10" x14ac:dyDescent="0.25">
      <c r="A1769" s="5" t="s">
        <v>3564</v>
      </c>
      <c r="B1769" s="5" t="s">
        <v>3577</v>
      </c>
      <c r="C1769" s="6" t="str">
        <f>_xll.QS.CONTEXT.CREATE("market.1767",A1769,"USD","SOFR")</f>
        <v>QSObject:PricingContext:w1~market.1767:18645</v>
      </c>
      <c r="D1769" s="6" t="str">
        <f>_xll.QS.CONTEXT.ADD.CURVE(C1769,"SOFR",$K$2:$K$7,$L$2:$L$7,,,"Actual360","LogLinear",TRUE)</f>
        <v>QSObject:ContextInput:w1~input.qs_context_add_curve.2359132437744.1768.3.0:38358</v>
      </c>
      <c r="E1769" s="6" t="str">
        <f>_xll.QS.INSTRUMENT.SWAP("swap.1767",H1769,B1769,"USD","SOFR",I1769,J1769,0,"Actual360","Simple","Annual","Annual","Annual")</f>
        <v>QSObject:Swap:w1~swap.1767:18644</v>
      </c>
      <c r="F1769" s="6" t="str">
        <f>_xll.QS.TRADE.CREATE("trade.1767",E1769,A1769,"Receive")</f>
        <v>QSObject:SwapTrade:w1~trade.1767:30115</v>
      </c>
      <c r="G1769" s="3">
        <f>_xll.QS.EVALUATE(C1769,F1769)</f>
        <v>25494.639108057982</v>
      </c>
      <c r="H1769" s="5" t="s">
        <v>3578</v>
      </c>
      <c r="I1769" s="7">
        <v>1176700</v>
      </c>
      <c r="J1769" s="8">
        <v>3.6700000000000003E-2</v>
      </c>
    </row>
    <row r="1770" spans="1:10" x14ac:dyDescent="0.25">
      <c r="A1770" s="5" t="s">
        <v>3566</v>
      </c>
      <c r="B1770" s="5" t="s">
        <v>3579</v>
      </c>
      <c r="C1770" s="6" t="str">
        <f>_xll.QS.CONTEXT.CREATE("market.1768",A1770,"USD","SOFR")</f>
        <v>QSObject:PricingContext:w1~market.1768:18643</v>
      </c>
      <c r="D1770" s="6" t="str">
        <f>_xll.QS.CONTEXT.ADD.CURVE(C1770,"SOFR",$K$2:$K$7,$L$2:$L$7,,,"Actual360","LogLinear",TRUE)</f>
        <v>QSObject:ContextInput:w1~input.qs_context_add_curve.2359132437744.1769.3.0:38357</v>
      </c>
      <c r="E1770" s="6" t="str">
        <f>_xll.QS.INSTRUMENT.SWAP("swap.1768",H1770,B1770,"USD","SOFR",I1770,J1770,0,"Actual360","Simple","Annual","Annual","Annual")</f>
        <v>QSObject:Swap:w1~swap.1768:18642</v>
      </c>
      <c r="F1770" s="6" t="str">
        <f>_xll.QS.TRADE.CREATE("trade.1768",E1770,A1770,"Receive")</f>
        <v>QSObject:SwapTrade:w1~trade.1768:29460</v>
      </c>
      <c r="G1770" s="3">
        <f>_xll.QS.EVALUATE(C1770,F1770)</f>
        <v>25912.451919774881</v>
      </c>
      <c r="H1770" s="5" t="s">
        <v>3580</v>
      </c>
      <c r="I1770" s="7">
        <v>1176800</v>
      </c>
      <c r="J1770" s="8">
        <v>3.6800000000000013E-2</v>
      </c>
    </row>
    <row r="1771" spans="1:10" x14ac:dyDescent="0.25">
      <c r="A1771" s="5" t="s">
        <v>3568</v>
      </c>
      <c r="B1771" s="5" t="s">
        <v>3581</v>
      </c>
      <c r="C1771" s="6" t="str">
        <f>_xll.QS.CONTEXT.CREATE("market.1769",A1771,"USD","SOFR")</f>
        <v>QSObject:PricingContext:w1~market.1769:18641</v>
      </c>
      <c r="D1771" s="6" t="str">
        <f>_xll.QS.CONTEXT.ADD.CURVE(C1771,"SOFR",$K$2:$K$7,$L$2:$L$7,,,"Actual360","LogLinear",TRUE)</f>
        <v>QSObject:ContextInput:w1~input.qs_context_add_curve.2359132437744.1770.3.0:38356</v>
      </c>
      <c r="E1771" s="6" t="str">
        <f>_xll.QS.INSTRUMENT.SWAP("swap.1769",H1771,B1771,"USD","SOFR",I1771,J1771,0,"Actual360","Simple","Annual","Annual","Annual")</f>
        <v>QSObject:Swap:w1~swap.1769:18640</v>
      </c>
      <c r="F1771" s="6" t="str">
        <f>_xll.QS.TRADE.CREATE("trade.1769",E1771,A1771,"Receive")</f>
        <v>QSObject:SwapTrade:w1~trade.1769:29459</v>
      </c>
      <c r="G1771" s="3">
        <f>_xll.QS.EVALUATE(C1771,F1771)</f>
        <v>26458.926501294187</v>
      </c>
      <c r="H1771" s="5" t="s">
        <v>3582</v>
      </c>
      <c r="I1771" s="7">
        <v>1176900</v>
      </c>
      <c r="J1771" s="8">
        <v>3.6900000000000002E-2</v>
      </c>
    </row>
    <row r="1772" spans="1:10" x14ac:dyDescent="0.25">
      <c r="A1772" s="5" t="s">
        <v>3570</v>
      </c>
      <c r="B1772" s="5" t="s">
        <v>3583</v>
      </c>
      <c r="C1772" s="6" t="str">
        <f>_xll.QS.CONTEXT.CREATE("market.1770",A1772,"USD","SOFR")</f>
        <v>QSObject:PricingContext:w1~market.1770:18639</v>
      </c>
      <c r="D1772" s="6" t="str">
        <f>_xll.QS.CONTEXT.ADD.CURVE(C1772,"SOFR",$K$2:$K$7,$L$2:$L$7,,,"Actual360","LogLinear",TRUE)</f>
        <v>QSObject:ContextInput:w1~input.qs_context_add_curve.2359132437744.1771.3.0:38355</v>
      </c>
      <c r="E1772" s="6" t="str">
        <f>_xll.QS.INSTRUMENT.SWAP("swap.1770",H1772,B1772,"USD","SOFR",I1772,J1772,0,"Actual360","Simple","Annual","Annual","Annual")</f>
        <v>QSObject:Swap:w1~swap.1770:18638</v>
      </c>
      <c r="F1772" s="6" t="str">
        <f>_xll.QS.TRADE.CREATE("trade.1770",E1772,A1772,"Receive")</f>
        <v>QSObject:SwapTrade:w1~trade.1770:29458</v>
      </c>
      <c r="G1772" s="3">
        <f>_xll.QS.EVALUATE(C1772,F1772)</f>
        <v>26911.451162363737</v>
      </c>
      <c r="H1772" s="5" t="s">
        <v>3584</v>
      </c>
      <c r="I1772" s="7">
        <v>1177000</v>
      </c>
      <c r="J1772" s="8">
        <v>3.7000000000000012E-2</v>
      </c>
    </row>
    <row r="1773" spans="1:10" x14ac:dyDescent="0.25">
      <c r="A1773" s="5" t="s">
        <v>3572</v>
      </c>
      <c r="B1773" s="5" t="s">
        <v>3585</v>
      </c>
      <c r="C1773" s="6" t="str">
        <f>_xll.QS.CONTEXT.CREATE("market.1771",A1773,"USD","SOFR")</f>
        <v>QSObject:PricingContext:w1~market.1771:18637</v>
      </c>
      <c r="D1773" s="6" t="str">
        <f>_xll.QS.CONTEXT.ADD.CURVE(C1773,"SOFR",$K$2:$K$7,$L$2:$L$7,,,"Actual360","LogLinear",TRUE)</f>
        <v>QSObject:ContextInput:w1~input.qs_context_add_curve.2359132437744.1772.3.0:38354</v>
      </c>
      <c r="E1773" s="6" t="str">
        <f>_xll.QS.INSTRUMENT.SWAP("swap.1771",H1773,B1773,"USD","SOFR",I1773,J1773,0,"Actual360","Simple","Annual","Annual","Annual")</f>
        <v>QSObject:Swap:w1~swap.1771:18636</v>
      </c>
      <c r="F1773" s="6" t="str">
        <f>_xll.QS.TRADE.CREATE("trade.1771",E1773,A1773,"Receive")</f>
        <v>QSObject:SwapTrade:w1~trade.1771:29457</v>
      </c>
      <c r="G1773" s="3">
        <f>_xll.QS.EVALUATE(C1773,F1773)</f>
        <v>27550.249429016043</v>
      </c>
      <c r="H1773" s="5" t="s">
        <v>3586</v>
      </c>
      <c r="I1773" s="7">
        <v>1177100</v>
      </c>
      <c r="J1773" s="8">
        <v>3.7100000000000001E-2</v>
      </c>
    </row>
    <row r="1774" spans="1:10" x14ac:dyDescent="0.25">
      <c r="A1774" s="5" t="s">
        <v>3574</v>
      </c>
      <c r="B1774" s="5" t="s">
        <v>3587</v>
      </c>
      <c r="C1774" s="6" t="str">
        <f>_xll.QS.CONTEXT.CREATE("market.1772",A1774,"USD","SOFR")</f>
        <v>QSObject:PricingContext:w1~market.1772:18635</v>
      </c>
      <c r="D1774" s="6" t="str">
        <f>_xll.QS.CONTEXT.ADD.CURVE(C1774,"SOFR",$K$2:$K$7,$L$2:$L$7,,,"Actual360","LogLinear",TRUE)</f>
        <v>QSObject:ContextInput:w1~input.qs_context_add_curve.2359132437744.1773.3.0:38353</v>
      </c>
      <c r="E1774" s="6" t="str">
        <f>_xll.QS.INSTRUMENT.SWAP("swap.1772",H1774,B1774,"USD","SOFR",I1774,J1774,0,"Actual360","Simple","Annual","Annual","Annual")</f>
        <v>QSObject:Swap:w1~swap.1772:18634</v>
      </c>
      <c r="F1774" s="6" t="str">
        <f>_xll.QS.TRADE.CREATE("trade.1772",E1774,A1774,"Receive")</f>
        <v>QSObject:SwapTrade:w1~trade.1772:29456</v>
      </c>
      <c r="G1774" s="3">
        <f>_xll.QS.EVALUATE(C1774,F1774)</f>
        <v>28213.003630322142</v>
      </c>
      <c r="H1774" s="5" t="s">
        <v>3588</v>
      </c>
      <c r="I1774" s="7">
        <v>1177200</v>
      </c>
      <c r="J1774" s="8">
        <v>3.7199999999999997E-2</v>
      </c>
    </row>
    <row r="1775" spans="1:10" x14ac:dyDescent="0.25">
      <c r="A1775" s="5" t="s">
        <v>3576</v>
      </c>
      <c r="B1775" s="5" t="s">
        <v>3589</v>
      </c>
      <c r="C1775" s="6" t="str">
        <f>_xll.QS.CONTEXT.CREATE("market.1773",A1775,"USD","SOFR")</f>
        <v>QSObject:PricingContext:w1~market.1773:18633</v>
      </c>
      <c r="D1775" s="6" t="str">
        <f>_xll.QS.CONTEXT.ADD.CURVE(C1775,"SOFR",$K$2:$K$7,$L$2:$L$7,,,"Actual360","LogLinear",TRUE)</f>
        <v>QSObject:ContextInput:w1~input.qs_context_add_curve.2359132437744.1774.3.0:38352</v>
      </c>
      <c r="E1775" s="6" t="str">
        <f>_xll.QS.INSTRUMENT.SWAP("swap.1773",H1775,B1775,"USD","SOFR",I1775,J1775,0,"Actual360","Simple","Annual","Annual","Annual")</f>
        <v>QSObject:Swap:w1~swap.1773:18632</v>
      </c>
      <c r="F1775" s="6" t="str">
        <f>_xll.QS.TRADE.CREATE("trade.1773",E1775,A1775,"Receive")</f>
        <v>QSObject:SwapTrade:w1~trade.1773:30114</v>
      </c>
      <c r="G1775" s="3">
        <f>_xll.QS.EVALUATE(C1775,F1775)</f>
        <v>28768.597742927861</v>
      </c>
      <c r="H1775" s="5" t="s">
        <v>3590</v>
      </c>
      <c r="I1775" s="7">
        <v>1177300</v>
      </c>
      <c r="J1775" s="8">
        <v>3.73E-2</v>
      </c>
    </row>
    <row r="1776" spans="1:10" x14ac:dyDescent="0.25">
      <c r="A1776" s="5" t="s">
        <v>3578</v>
      </c>
      <c r="B1776" s="5" t="s">
        <v>3591</v>
      </c>
      <c r="C1776" s="6" t="str">
        <f>_xll.QS.CONTEXT.CREATE("market.1774",A1776,"USD","SOFR")</f>
        <v>QSObject:PricingContext:w1~market.1774:18631</v>
      </c>
      <c r="D1776" s="6" t="str">
        <f>_xll.QS.CONTEXT.ADD.CURVE(C1776,"SOFR",$K$2:$K$7,$L$2:$L$7,,,"Actual360","LogLinear",TRUE)</f>
        <v>QSObject:ContextInput:w1~input.qs_context_add_curve.2359132437744.1775.3.0:38351</v>
      </c>
      <c r="E1776" s="6" t="str">
        <f>_xll.QS.INSTRUMENT.SWAP("swap.1774",H1776,B1776,"USD","SOFR",I1776,J1776,0,"Actual360","Simple","Annual","Annual","Annual")</f>
        <v>QSObject:Swap:w1~swap.1774:18630</v>
      </c>
      <c r="F1776" s="6" t="str">
        <f>_xll.QS.TRADE.CREATE("trade.1774",E1776,A1776,"Receive")</f>
        <v>QSObject:SwapTrade:w1~trade.1774:29455</v>
      </c>
      <c r="G1776" s="3">
        <f>_xll.QS.EVALUATE(C1776,F1776)</f>
        <v>29312.874780750662</v>
      </c>
      <c r="H1776" s="5" t="s">
        <v>3592</v>
      </c>
      <c r="I1776" s="7">
        <v>1177400</v>
      </c>
      <c r="J1776" s="8">
        <v>3.7400000000000003E-2</v>
      </c>
    </row>
    <row r="1777" spans="1:10" x14ac:dyDescent="0.25">
      <c r="A1777" s="5" t="s">
        <v>3580</v>
      </c>
      <c r="B1777" s="5" t="s">
        <v>3593</v>
      </c>
      <c r="C1777" s="6" t="str">
        <f>_xll.QS.CONTEXT.CREATE("market.1775",A1777,"USD","SOFR")</f>
        <v>QSObject:PricingContext:w1~market.1775:18629</v>
      </c>
      <c r="D1777" s="6" t="str">
        <f>_xll.QS.CONTEXT.ADD.CURVE(C1777,"SOFR",$K$2:$K$7,$L$2:$L$7,,,"Actual360","LogLinear",TRUE)</f>
        <v>QSObject:ContextInput:w1~input.qs_context_add_curve.2359132437744.1776.3.0:38350</v>
      </c>
      <c r="E1777" s="6" t="str">
        <f>_xll.QS.INSTRUMENT.SWAP("swap.1775",H1777,B1777,"USD","SOFR",I1777,J1777,0,"Actual360","Simple","Annual","Annual","Annual")</f>
        <v>QSObject:Swap:w1~swap.1775:18628</v>
      </c>
      <c r="F1777" s="6" t="str">
        <f>_xll.QS.TRADE.CREATE("trade.1775",E1777,A1777,"Receive")</f>
        <v>QSObject:SwapTrade:w1~trade.1775:29454</v>
      </c>
      <c r="G1777" s="3">
        <f>_xll.QS.EVALUATE(C1777,F1777)</f>
        <v>29811.551563227331</v>
      </c>
      <c r="H1777" s="5" t="s">
        <v>3594</v>
      </c>
      <c r="I1777" s="7">
        <v>1177500</v>
      </c>
      <c r="J1777" s="8">
        <v>3.7500000000000012E-2</v>
      </c>
    </row>
    <row r="1778" spans="1:10" x14ac:dyDescent="0.25">
      <c r="A1778" s="5" t="s">
        <v>3582</v>
      </c>
      <c r="B1778" s="5" t="s">
        <v>3595</v>
      </c>
      <c r="C1778" s="6" t="str">
        <f>_xll.QS.CONTEXT.CREATE("market.1776",A1778,"USD","SOFR")</f>
        <v>QSObject:PricingContext:w1~market.1776:18627</v>
      </c>
      <c r="D1778" s="6" t="str">
        <f>_xll.QS.CONTEXT.ADD.CURVE(C1778,"SOFR",$K$2:$K$7,$L$2:$L$7,,,"Actual360","LogLinear",TRUE)</f>
        <v>QSObject:ContextInput:w1~input.qs_context_add_curve.2359132437744.1777.3.0:38349</v>
      </c>
      <c r="E1778" s="6" t="str">
        <f>_xll.QS.INSTRUMENT.SWAP("swap.1776",H1778,B1778,"USD","SOFR",I1778,J1778,0,"Actual360","Simple","Annual","Annual","Annual")</f>
        <v>QSObject:Swap:w1~swap.1776:18626</v>
      </c>
      <c r="F1778" s="6" t="str">
        <f>_xll.QS.TRADE.CREATE("trade.1776",E1778,A1778,"Receive")</f>
        <v>QSObject:SwapTrade:w1~trade.1776:30113</v>
      </c>
      <c r="G1778" s="3">
        <f>_xll.QS.EVALUATE(C1778,F1778)</f>
        <v>30271.566230940603</v>
      </c>
      <c r="H1778" s="5" t="s">
        <v>3596</v>
      </c>
      <c r="I1778" s="7">
        <v>1177600</v>
      </c>
      <c r="J1778" s="8">
        <v>3.7600000000000001E-2</v>
      </c>
    </row>
    <row r="1779" spans="1:10" x14ac:dyDescent="0.25">
      <c r="A1779" s="5" t="s">
        <v>3584</v>
      </c>
      <c r="B1779" s="5" t="s">
        <v>3597</v>
      </c>
      <c r="C1779" s="6" t="str">
        <f>_xll.QS.CONTEXT.CREATE("market.1777",A1779,"USD","SOFR")</f>
        <v>QSObject:PricingContext:w1~market.1777:18625</v>
      </c>
      <c r="D1779" s="6" t="str">
        <f>_xll.QS.CONTEXT.ADD.CURVE(C1779,"SOFR",$K$2:$K$7,$L$2:$L$7,,,"Actual360","LogLinear",TRUE)</f>
        <v>QSObject:ContextInput:w1~input.qs_context_add_curve.2359132437744.1778.3.0:38348</v>
      </c>
      <c r="E1779" s="6" t="str">
        <f>_xll.QS.INSTRUMENT.SWAP("swap.1777",H1779,B1779,"USD","SOFR",I1779,J1779,0,"Actual360","Simple","Annual","Annual","Annual")</f>
        <v>QSObject:Swap:w1~swap.1777:18624</v>
      </c>
      <c r="F1779" s="6" t="str">
        <f>_xll.QS.TRADE.CREATE("trade.1777",E1779,A1779,"Receive")</f>
        <v>QSObject:SwapTrade:w1~trade.1777:29453</v>
      </c>
      <c r="G1779" s="3">
        <f>_xll.QS.EVALUATE(C1779,F1779)</f>
        <v>30730.693172438405</v>
      </c>
      <c r="H1779" s="5" t="s">
        <v>3598</v>
      </c>
      <c r="I1779" s="7">
        <v>1177700</v>
      </c>
      <c r="J1779" s="8">
        <v>3.7699999999999997E-2</v>
      </c>
    </row>
    <row r="1780" spans="1:10" x14ac:dyDescent="0.25">
      <c r="A1780" s="5" t="s">
        <v>3586</v>
      </c>
      <c r="B1780" s="5" t="s">
        <v>3599</v>
      </c>
      <c r="C1780" s="6" t="str">
        <f>_xll.QS.CONTEXT.CREATE("market.1778",A1780,"USD","SOFR")</f>
        <v>QSObject:PricingContext:w1~market.1778:18623</v>
      </c>
      <c r="D1780" s="6" t="str">
        <f>_xll.QS.CONTEXT.ADD.CURVE(C1780,"SOFR",$K$2:$K$7,$L$2:$L$7,,,"Actual360","LogLinear",TRUE)</f>
        <v>QSObject:ContextInput:w1~input.qs_context_add_curve.2359132437744.1779.3.0:38347</v>
      </c>
      <c r="E1780" s="6" t="str">
        <f>_xll.QS.INSTRUMENT.SWAP("swap.1778",H1780,B1780,"USD","SOFR",I1780,J1780,0,"Actual360","Simple","Annual","Annual","Annual")</f>
        <v>QSObject:Swap:w1~swap.1778:18622</v>
      </c>
      <c r="F1780" s="6" t="str">
        <f>_xll.QS.TRADE.CREATE("trade.1778",E1780,A1780,"Receive")</f>
        <v>QSObject:SwapTrade:w1~trade.1778:30112</v>
      </c>
      <c r="G1780" s="3">
        <f>_xll.QS.EVALUATE(C1780,F1780)</f>
        <v>31326.960150047791</v>
      </c>
      <c r="H1780" s="5" t="s">
        <v>3600</v>
      </c>
      <c r="I1780" s="7">
        <v>1177800</v>
      </c>
      <c r="J1780" s="8">
        <v>3.78E-2</v>
      </c>
    </row>
    <row r="1781" spans="1:10" x14ac:dyDescent="0.25">
      <c r="A1781" s="5" t="s">
        <v>3588</v>
      </c>
      <c r="B1781" s="5" t="s">
        <v>3601</v>
      </c>
      <c r="C1781" s="6" t="str">
        <f>_xll.QS.CONTEXT.CREATE("market.1779",A1781,"USD","SOFR")</f>
        <v>QSObject:PricingContext:w1~market.1779:18621</v>
      </c>
      <c r="D1781" s="6" t="str">
        <f>_xll.QS.CONTEXT.ADD.CURVE(C1781,"SOFR",$K$2:$K$7,$L$2:$L$7,,,"Actual360","LogLinear",TRUE)</f>
        <v>QSObject:ContextInput:w1~input.qs_context_add_curve.2359132437744.1780.3.0:38346</v>
      </c>
      <c r="E1781" s="6" t="str">
        <f>_xll.QS.INSTRUMENT.SWAP("swap.1779",H1781,B1781,"USD","SOFR",I1781,J1781,0,"Actual360","Simple","Annual","Annual","Annual")</f>
        <v>QSObject:Swap:w1~swap.1779:18620</v>
      </c>
      <c r="F1781" s="6" t="str">
        <f>_xll.QS.TRADE.CREATE("trade.1779",E1781,A1781,"Receive")</f>
        <v>QSObject:SwapTrade:w1~trade.1779:29452</v>
      </c>
      <c r="G1781" s="3">
        <f>_xll.QS.EVALUATE(C1781,F1781)</f>
        <v>31901.744672723056</v>
      </c>
      <c r="H1781" s="5" t="s">
        <v>3602</v>
      </c>
      <c r="I1781" s="7">
        <v>1177900</v>
      </c>
      <c r="J1781" s="8">
        <v>3.7900000000000003E-2</v>
      </c>
    </row>
    <row r="1782" spans="1:10" x14ac:dyDescent="0.25">
      <c r="A1782" s="5" t="s">
        <v>3590</v>
      </c>
      <c r="B1782" s="5" t="s">
        <v>3603</v>
      </c>
      <c r="C1782" s="6" t="str">
        <f>_xll.QS.CONTEXT.CREATE("market.1780",A1782,"USD","SOFR")</f>
        <v>QSObject:PricingContext:w1~market.1780:18619</v>
      </c>
      <c r="D1782" s="6" t="str">
        <f>_xll.QS.CONTEXT.ADD.CURVE(C1782,"SOFR",$K$2:$K$7,$L$2:$L$7,,,"Actual360","LogLinear",TRUE)</f>
        <v>QSObject:ContextInput:w1~input.qs_context_add_curve.2359132437744.1781.3.0:38345</v>
      </c>
      <c r="E1782" s="6" t="str">
        <f>_xll.QS.INSTRUMENT.SWAP("swap.1780",H1782,B1782,"USD","SOFR",I1782,J1782,0,"Actual360","Simple","Annual","Annual","Annual")</f>
        <v>QSObject:Swap:w1~swap.1780:18618</v>
      </c>
      <c r="F1782" s="6" t="str">
        <f>_xll.QS.TRADE.CREATE("trade.1780",E1782,A1782,"Receive")</f>
        <v>QSObject:SwapTrade:w1~trade.1780:30111</v>
      </c>
      <c r="G1782" s="3">
        <f>_xll.QS.EVALUATE(C1782,F1782)</f>
        <v>32533.758803220229</v>
      </c>
      <c r="H1782" s="5" t="s">
        <v>3604</v>
      </c>
      <c r="I1782" s="7">
        <v>1178000</v>
      </c>
      <c r="J1782" s="8">
        <v>3.8000000000000013E-2</v>
      </c>
    </row>
    <row r="1783" spans="1:10" x14ac:dyDescent="0.25">
      <c r="A1783" s="5" t="s">
        <v>3592</v>
      </c>
      <c r="B1783" s="5" t="s">
        <v>3605</v>
      </c>
      <c r="C1783" s="6" t="str">
        <f>_xll.QS.CONTEXT.CREATE("market.1781",A1783,"USD","SOFR")</f>
        <v>QSObject:PricingContext:w1~market.1781:18617</v>
      </c>
      <c r="D1783" s="6" t="str">
        <f>_xll.QS.CONTEXT.ADD.CURVE(C1783,"SOFR",$K$2:$K$7,$L$2:$L$7,,,"Actual360","LogLinear",TRUE)</f>
        <v>QSObject:ContextInput:w1~input.qs_context_add_curve.2359132437744.1782.3.0:38344</v>
      </c>
      <c r="E1783" s="6" t="str">
        <f>_xll.QS.INSTRUMENT.SWAP("swap.1781",H1783,B1783,"USD","SOFR",I1783,J1783,0,"Actual360","Simple","Annual","Annual","Annual")</f>
        <v>QSObject:Swap:w1~swap.1781:18616</v>
      </c>
      <c r="F1783" s="6" t="str">
        <f>_xll.QS.TRADE.CREATE("trade.1781",E1783,A1783,"Receive")</f>
        <v>QSObject:SwapTrade:w1~trade.1781:29451</v>
      </c>
      <c r="G1783" s="3">
        <f>_xll.QS.EVALUATE(C1783,F1783)</f>
        <v>33110.470956161516</v>
      </c>
      <c r="H1783" s="5" t="s">
        <v>3606</v>
      </c>
      <c r="I1783" s="7">
        <v>1178100</v>
      </c>
      <c r="J1783" s="8">
        <v>3.8100000000000002E-2</v>
      </c>
    </row>
    <row r="1784" spans="1:10" x14ac:dyDescent="0.25">
      <c r="A1784" s="5" t="s">
        <v>3594</v>
      </c>
      <c r="B1784" s="5" t="s">
        <v>3607</v>
      </c>
      <c r="C1784" s="6" t="str">
        <f>_xll.QS.CONTEXT.CREATE("market.1782",A1784,"USD","SOFR")</f>
        <v>QSObject:PricingContext:w1~market.1782:18615</v>
      </c>
      <c r="D1784" s="6" t="str">
        <f>_xll.QS.CONTEXT.ADD.CURVE(C1784,"SOFR",$K$2:$K$7,$L$2:$L$7,,,"Actual360","LogLinear",TRUE)</f>
        <v>QSObject:ContextInput:w1~input.qs_context_add_curve.2359132437744.1783.3.0:38343</v>
      </c>
      <c r="E1784" s="6" t="str">
        <f>_xll.QS.INSTRUMENT.SWAP("swap.1782",H1784,B1784,"USD","SOFR",I1784,J1784,0,"Actual360","Simple","Annual","Annual","Annual")</f>
        <v>QSObject:Swap:w1~swap.1782:18614</v>
      </c>
      <c r="F1784" s="6" t="str">
        <f>_xll.QS.TRADE.CREATE("trade.1782",E1784,A1784,"Receive")</f>
        <v>QSObject:SwapTrade:w1~trade.1782:30110</v>
      </c>
      <c r="G1784" s="3">
        <f>_xll.QS.EVALUATE(C1784,F1784)</f>
        <v>33605.371778769244</v>
      </c>
      <c r="H1784" s="5" t="s">
        <v>3608</v>
      </c>
      <c r="I1784" s="7">
        <v>1178200</v>
      </c>
      <c r="J1784" s="8">
        <v>3.8199999999999998E-2</v>
      </c>
    </row>
    <row r="1785" spans="1:10" x14ac:dyDescent="0.25">
      <c r="A1785" s="5" t="s">
        <v>3596</v>
      </c>
      <c r="B1785" s="5" t="s">
        <v>3609</v>
      </c>
      <c r="C1785" s="6" t="str">
        <f>_xll.QS.CONTEXT.CREATE("market.1783",A1785,"USD","SOFR")</f>
        <v>QSObject:PricingContext:w1~market.1783:18613</v>
      </c>
      <c r="D1785" s="6" t="str">
        <f>_xll.QS.CONTEXT.ADD.CURVE(C1785,"SOFR",$K$2:$K$7,$L$2:$L$7,,,"Actual360","LogLinear",TRUE)</f>
        <v>QSObject:ContextInput:w1~input.qs_context_add_curve.2359132437744.1784.3.0:38342</v>
      </c>
      <c r="E1785" s="6" t="str">
        <f>_xll.QS.INSTRUMENT.SWAP("swap.1783",H1785,B1785,"USD","SOFR",I1785,J1785,0,"Actual360","Simple","Annual","Annual","Annual")</f>
        <v>QSObject:Swap:w1~swap.1783:18612</v>
      </c>
      <c r="F1785" s="6" t="str">
        <f>_xll.QS.TRADE.CREATE("trade.1783",E1785,A1785,"Receive")</f>
        <v>QSObject:SwapTrade:w1~trade.1783:29450</v>
      </c>
      <c r="G1785" s="3">
        <f>_xll.QS.EVALUATE(C1785,F1785)</f>
        <v>34089.5674916801</v>
      </c>
      <c r="H1785" s="5" t="s">
        <v>3610</v>
      </c>
      <c r="I1785" s="7">
        <v>1178300</v>
      </c>
      <c r="J1785" s="8">
        <v>3.8300000000000001E-2</v>
      </c>
    </row>
    <row r="1786" spans="1:10" x14ac:dyDescent="0.25">
      <c r="A1786" s="5" t="s">
        <v>3598</v>
      </c>
      <c r="B1786" s="5" t="s">
        <v>3611</v>
      </c>
      <c r="C1786" s="6" t="str">
        <f>_xll.QS.CONTEXT.CREATE("market.1784",A1786,"USD","SOFR")</f>
        <v>QSObject:PricingContext:w1~market.1784:18611</v>
      </c>
      <c r="D1786" s="6" t="str">
        <f>_xll.QS.CONTEXT.ADD.CURVE(C1786,"SOFR",$K$2:$K$7,$L$2:$L$7,,,"Actual360","LogLinear",TRUE)</f>
        <v>QSObject:ContextInput:w1~input.qs_context_add_curve.2359132437744.1785.3.0:38341</v>
      </c>
      <c r="E1786" s="6" t="str">
        <f>_xll.QS.INSTRUMENT.SWAP("swap.1784",H1786,B1786,"USD","SOFR",I1786,J1786,0,"Actual360","Simple","Annual","Annual","Annual")</f>
        <v>QSObject:Swap:w1~swap.1784:18610</v>
      </c>
      <c r="F1786" s="6" t="str">
        <f>_xll.QS.TRADE.CREATE("trade.1784",E1786,A1786,"Receive")</f>
        <v>QSObject:SwapTrade:w1~trade.1784:30109</v>
      </c>
      <c r="G1786" s="3">
        <f>_xll.QS.EVALUATE(C1786,F1786)</f>
        <v>34555.174201726782</v>
      </c>
      <c r="H1786" s="5" t="s">
        <v>3612</v>
      </c>
      <c r="I1786" s="7">
        <v>1178400</v>
      </c>
      <c r="J1786" s="8">
        <v>3.8399999999999997E-2</v>
      </c>
    </row>
    <row r="1787" spans="1:10" x14ac:dyDescent="0.25">
      <c r="A1787" s="5" t="s">
        <v>3600</v>
      </c>
      <c r="B1787" s="5" t="s">
        <v>3613</v>
      </c>
      <c r="C1787" s="6" t="str">
        <f>_xll.QS.CONTEXT.CREATE("market.1785",A1787,"USD","SOFR")</f>
        <v>QSObject:PricingContext:w1~market.1785:18609</v>
      </c>
      <c r="D1787" s="6" t="str">
        <f>_xll.QS.CONTEXT.ADD.CURVE(C1787,"SOFR",$K$2:$K$7,$L$2:$L$7,,,"Actual360","LogLinear",TRUE)</f>
        <v>QSObject:ContextInput:w1~input.qs_context_add_curve.2359132437744.1786.3.0:38340</v>
      </c>
      <c r="E1787" s="6" t="str">
        <f>_xll.QS.INSTRUMENT.SWAP("swap.1785",H1787,B1787,"USD","SOFR",I1787,J1787,0,"Actual360","Simple","Annual","Annual","Annual")</f>
        <v>QSObject:Swap:w1~swap.1785:18608</v>
      </c>
      <c r="F1787" s="6" t="str">
        <f>_xll.QS.TRADE.CREATE("trade.1785",E1787,A1787,"Receive")</f>
        <v>QSObject:SwapTrade:w1~trade.1785:30108</v>
      </c>
      <c r="G1787" s="3">
        <f>_xll.QS.EVALUATE(C1787,F1787)</f>
        <v>35194.891371487756</v>
      </c>
      <c r="H1787" s="5" t="s">
        <v>3614</v>
      </c>
      <c r="I1787" s="7">
        <v>1178500</v>
      </c>
      <c r="J1787" s="8">
        <v>3.8500000000000013E-2</v>
      </c>
    </row>
    <row r="1788" spans="1:10" x14ac:dyDescent="0.25">
      <c r="A1788" s="5" t="s">
        <v>3602</v>
      </c>
      <c r="B1788" s="5" t="s">
        <v>3615</v>
      </c>
      <c r="C1788" s="6" t="str">
        <f>_xll.QS.CONTEXT.CREATE("market.1786",A1788,"USD","SOFR")</f>
        <v>QSObject:PricingContext:w1~market.1786:18607</v>
      </c>
      <c r="D1788" s="6" t="str">
        <f>_xll.QS.CONTEXT.ADD.CURVE(C1788,"SOFR",$K$2:$K$7,$L$2:$L$7,,,"Actual360","LogLinear",TRUE)</f>
        <v>QSObject:ContextInput:w1~input.qs_context_add_curve.2359132437744.1787.3.0:38339</v>
      </c>
      <c r="E1788" s="6" t="str">
        <f>_xll.QS.INSTRUMENT.SWAP("swap.1786",H1788,B1788,"USD","SOFR",I1788,J1788,0,"Actual360","Simple","Annual","Annual","Annual")</f>
        <v>QSObject:Swap:w1~swap.1786:18606</v>
      </c>
      <c r="F1788" s="6" t="str">
        <f>_xll.QS.TRADE.CREATE("trade.1786",E1788,A1788,"Receive")</f>
        <v>QSObject:SwapTrade:w1~trade.1786:29449</v>
      </c>
      <c r="G1788" s="3">
        <f>_xll.QS.EVALUATE(C1788,F1788)</f>
        <v>35859.926752268366</v>
      </c>
      <c r="H1788" s="5" t="s">
        <v>3616</v>
      </c>
      <c r="I1788" s="7">
        <v>1178600</v>
      </c>
      <c r="J1788" s="8">
        <v>3.8600000000000002E-2</v>
      </c>
    </row>
    <row r="1789" spans="1:10" x14ac:dyDescent="0.25">
      <c r="A1789" s="5" t="s">
        <v>3604</v>
      </c>
      <c r="B1789" s="5" t="s">
        <v>3617</v>
      </c>
      <c r="C1789" s="6" t="str">
        <f>_xll.QS.CONTEXT.CREATE("market.1787",A1789,"USD","SOFR")</f>
        <v>QSObject:PricingContext:w1~market.1787:18605</v>
      </c>
      <c r="D1789" s="6" t="str">
        <f>_xll.QS.CONTEXT.ADD.CURVE(C1789,"SOFR",$K$2:$K$7,$L$2:$L$7,,,"Actual360","LogLinear",TRUE)</f>
        <v>QSObject:ContextInput:w1~input.qs_context_add_curve.2359132437744.1788.3.0:38338</v>
      </c>
      <c r="E1789" s="6" t="str">
        <f>_xll.QS.INSTRUMENT.SWAP("swap.1787",H1789,B1789,"USD","SOFR",I1789,J1789,0,"Actual360","Simple","Annual","Annual","Annual")</f>
        <v>QSObject:Swap:w1~swap.1787:18604</v>
      </c>
      <c r="F1789" s="6" t="str">
        <f>_xll.QS.TRADE.CREATE("trade.1787",E1789,A1789,"Receive")</f>
        <v>QSObject:SwapTrade:w1~trade.1787:30107</v>
      </c>
      <c r="G1789" s="3">
        <f>_xll.QS.EVALUATE(C1789,F1789)</f>
        <v>36413.480977755142</v>
      </c>
      <c r="H1789" s="5" t="s">
        <v>3618</v>
      </c>
      <c r="I1789" s="7">
        <v>1178700</v>
      </c>
      <c r="J1789" s="8">
        <v>3.8700000000000012E-2</v>
      </c>
    </row>
    <row r="1790" spans="1:10" x14ac:dyDescent="0.25">
      <c r="A1790" s="5" t="s">
        <v>3606</v>
      </c>
      <c r="B1790" s="5" t="s">
        <v>3619</v>
      </c>
      <c r="C1790" s="6" t="str">
        <f>_xll.QS.CONTEXT.CREATE("market.1788",A1790,"USD","SOFR")</f>
        <v>QSObject:PricingContext:w1~market.1788:18603</v>
      </c>
      <c r="D1790" s="6" t="str">
        <f>_xll.QS.CONTEXT.ADD.CURVE(C1790,"SOFR",$K$2:$K$7,$L$2:$L$7,,,"Actual360","LogLinear",TRUE)</f>
        <v>QSObject:ContextInput:w1~input.qs_context_add_curve.2359132437744.1789.3.0:38337</v>
      </c>
      <c r="E1790" s="6" t="str">
        <f>_xll.QS.INSTRUMENT.SWAP("swap.1788",H1790,B1790,"USD","SOFR",I1790,J1790,0,"Actual360","Simple","Annual","Annual","Annual")</f>
        <v>QSObject:Swap:w1~swap.1788:18602</v>
      </c>
      <c r="F1790" s="6" t="str">
        <f>_xll.QS.TRADE.CREATE("trade.1788",E1790,A1790,"Receive")</f>
        <v>QSObject:SwapTrade:w1~trade.1788:29448</v>
      </c>
      <c r="G1790" s="3">
        <f>_xll.QS.EVALUATE(C1790,F1790)</f>
        <v>36956.184495505382</v>
      </c>
      <c r="H1790" s="5" t="s">
        <v>3620</v>
      </c>
      <c r="I1790" s="7">
        <v>1178800</v>
      </c>
      <c r="J1790" s="8">
        <v>3.8800000000000001E-2</v>
      </c>
    </row>
    <row r="1791" spans="1:10" x14ac:dyDescent="0.25">
      <c r="A1791" s="5" t="s">
        <v>3608</v>
      </c>
      <c r="B1791" s="5" t="s">
        <v>3621</v>
      </c>
      <c r="C1791" s="6" t="str">
        <f>_xll.QS.CONTEXT.CREATE("market.1789",A1791,"USD","SOFR")</f>
        <v>QSObject:PricingContext:w1~market.1789:18601</v>
      </c>
      <c r="D1791" s="6" t="str">
        <f>_xll.QS.CONTEXT.ADD.CURVE(C1791,"SOFR",$K$2:$K$7,$L$2:$L$7,,,"Actual360","LogLinear",TRUE)</f>
        <v>QSObject:ContextInput:w1~input.qs_context_add_curve.2359132437744.1790.3.0:38336</v>
      </c>
      <c r="E1791" s="6" t="str">
        <f>_xll.QS.INSTRUMENT.SWAP("swap.1789",H1791,B1791,"USD","SOFR",I1791,J1791,0,"Actual360","Simple","Annual","Annual","Annual")</f>
        <v>QSObject:Swap:w1~swap.1789:18600</v>
      </c>
      <c r="F1791" s="6" t="str">
        <f>_xll.QS.TRADE.CREATE("trade.1789",E1791,A1791,"Receive")</f>
        <v>QSObject:SwapTrade:w1~trade.1789:30106</v>
      </c>
      <c r="G1791" s="3">
        <f>_xll.QS.EVALUATE(C1791,F1791)</f>
        <v>37457.773452806068</v>
      </c>
      <c r="H1791" s="5" t="s">
        <v>3622</v>
      </c>
      <c r="I1791" s="7">
        <v>1178900</v>
      </c>
      <c r="J1791" s="8">
        <v>3.8899999999999997E-2</v>
      </c>
    </row>
    <row r="1792" spans="1:10" x14ac:dyDescent="0.25">
      <c r="A1792" s="5" t="s">
        <v>3610</v>
      </c>
      <c r="B1792" s="5" t="s">
        <v>3623</v>
      </c>
      <c r="C1792" s="6" t="str">
        <f>_xll.QS.CONTEXT.CREATE("market.1790",A1792,"USD","SOFR")</f>
        <v>QSObject:PricingContext:w1~market.1790:18599</v>
      </c>
      <c r="D1792" s="6" t="str">
        <f>_xll.QS.CONTEXT.ADD.CURVE(C1792,"SOFR",$K$2:$K$7,$L$2:$L$7,,,"Actual360","LogLinear",TRUE)</f>
        <v>QSObject:ContextInput:w1~input.qs_context_add_curve.2359132437744.1791.3.0:38335</v>
      </c>
      <c r="E1792" s="6" t="str">
        <f>_xll.QS.INSTRUMENT.SWAP("swap.1790",H1792,B1792,"USD","SOFR",I1792,J1792,0,"Actual360","Simple","Annual","Annual","Annual")</f>
        <v>QSObject:Swap:w1~swap.1790:18598</v>
      </c>
      <c r="F1792" s="6" t="str">
        <f>_xll.QS.TRADE.CREATE("trade.1790",E1792,A1792,"Receive")</f>
        <v>QSObject:SwapTrade:w1~trade.1790:29447</v>
      </c>
      <c r="G1792" s="3">
        <f>_xll.QS.EVALUATE(C1792,F1792)</f>
        <v>37910.007007098102</v>
      </c>
      <c r="H1792" s="5" t="s">
        <v>3624</v>
      </c>
      <c r="I1792" s="7">
        <v>1179000</v>
      </c>
      <c r="J1792" s="8">
        <v>3.9000000000000007E-2</v>
      </c>
    </row>
    <row r="1793" spans="1:10" x14ac:dyDescent="0.25">
      <c r="A1793" s="5" t="s">
        <v>3612</v>
      </c>
      <c r="B1793" s="5" t="s">
        <v>3625</v>
      </c>
      <c r="C1793" s="6" t="str">
        <f>_xll.QS.CONTEXT.CREATE("market.1791",A1793,"USD","SOFR")</f>
        <v>QSObject:PricingContext:w1~market.1791:18597</v>
      </c>
      <c r="D1793" s="6" t="str">
        <f>_xll.QS.CONTEXT.ADD.CURVE(C1793,"SOFR",$K$2:$K$7,$L$2:$L$7,,,"Actual360","LogLinear",TRUE)</f>
        <v>QSObject:ContextInput:w1~input.qs_context_add_curve.2359132437744.1792.3.0:38334</v>
      </c>
      <c r="E1793" s="6" t="str">
        <f>_xll.QS.INSTRUMENT.SWAP("swap.1791",H1793,B1793,"USD","SOFR",I1793,J1793,0,"Actual360","Simple","Annual","Annual","Annual")</f>
        <v>QSObject:Swap:w1~swap.1791:18596</v>
      </c>
      <c r="F1793" s="6" t="str">
        <f>_xll.QS.TRADE.CREATE("trade.1791",E1793,A1793,"Receive")</f>
        <v>QSObject:SwapTrade:w1~trade.1791:30105</v>
      </c>
      <c r="G1793" s="3">
        <f>_xll.QS.EVALUATE(C1793,F1793)</f>
        <v>38382.120839333715</v>
      </c>
      <c r="H1793" s="5" t="s">
        <v>3626</v>
      </c>
      <c r="I1793" s="7">
        <v>1179100</v>
      </c>
      <c r="J1793" s="8">
        <v>3.9100000000000003E-2</v>
      </c>
    </row>
    <row r="1794" spans="1:10" x14ac:dyDescent="0.25">
      <c r="A1794" s="5" t="s">
        <v>3614</v>
      </c>
      <c r="B1794" s="5" t="s">
        <v>3627</v>
      </c>
      <c r="C1794" s="6" t="str">
        <f>_xll.QS.CONTEXT.CREATE("market.1792",A1794,"USD","SOFR")</f>
        <v>QSObject:PricingContext:w1~market.1792:18595</v>
      </c>
      <c r="D1794" s="6" t="str">
        <f>_xll.QS.CONTEXT.ADD.CURVE(C1794,"SOFR",$K$2:$K$7,$L$2:$L$7,,,"Actual360","LogLinear",TRUE)</f>
        <v>QSObject:ContextInput:w1~input.qs_context_add_curve.2359132437744.1793.3.0:38333</v>
      </c>
      <c r="E1794" s="6" t="str">
        <f>_xll.QS.INSTRUMENT.SWAP("swap.1792",H1794,B1794,"USD","SOFR",I1794,J1794,0,"Actual360","Simple","Annual","Annual","Annual")</f>
        <v>QSObject:Swap:w1~swap.1792:18594</v>
      </c>
      <c r="F1794" s="6" t="str">
        <f>_xll.QS.TRADE.CREATE("trade.1792",E1794,A1794,"Receive")</f>
        <v>QSObject:SwapTrade:w1~trade.1792:29446</v>
      </c>
      <c r="G1794" s="3">
        <f>_xll.QS.EVALUATE(C1794,F1794)</f>
        <v>38979.776996456814</v>
      </c>
      <c r="H1794" s="5" t="s">
        <v>3628</v>
      </c>
      <c r="I1794" s="7">
        <v>1179200</v>
      </c>
      <c r="J1794" s="8">
        <v>3.9200000000000013E-2</v>
      </c>
    </row>
    <row r="1795" spans="1:10" x14ac:dyDescent="0.25">
      <c r="A1795" s="5" t="s">
        <v>3616</v>
      </c>
      <c r="B1795" s="5" t="s">
        <v>3629</v>
      </c>
      <c r="C1795" s="6" t="str">
        <f>_xll.QS.CONTEXT.CREATE("market.1793",A1795,"USD","SOFR")</f>
        <v>QSObject:PricingContext:w1~market.1793:18593</v>
      </c>
      <c r="D1795" s="6" t="str">
        <f>_xll.QS.CONTEXT.ADD.CURVE(C1795,"SOFR",$K$2:$K$7,$L$2:$L$7,,,"Actual360","LogLinear",TRUE)</f>
        <v>QSObject:ContextInput:w1~input.qs_context_add_curve.2359132437744.1794.3.0:38332</v>
      </c>
      <c r="E1795" s="6" t="str">
        <f>_xll.QS.INSTRUMENT.SWAP("swap.1793",H1795,B1795,"USD","SOFR",I1795,J1795,0,"Actual360","Simple","Annual","Annual","Annual")</f>
        <v>QSObject:Swap:w1~swap.1793:18592</v>
      </c>
      <c r="F1795" s="6" t="str">
        <f>_xll.QS.TRADE.CREATE("trade.1793",E1795,A1795,"Receive")</f>
        <v>QSObject:SwapTrade:w1~trade.1793:30104</v>
      </c>
      <c r="G1795" s="3">
        <f>_xll.QS.EVALUATE(C1795,F1795)</f>
        <v>39553.03523652345</v>
      </c>
      <c r="H1795" s="5" t="s">
        <v>3630</v>
      </c>
      <c r="I1795" s="7">
        <v>1179300</v>
      </c>
      <c r="J1795" s="8">
        <v>3.9300000000000002E-2</v>
      </c>
    </row>
    <row r="1796" spans="1:10" x14ac:dyDescent="0.25">
      <c r="A1796" s="5" t="s">
        <v>3618</v>
      </c>
      <c r="B1796" s="5" t="s">
        <v>3631</v>
      </c>
      <c r="C1796" s="6" t="str">
        <f>_xll.QS.CONTEXT.CREATE("market.1794",A1796,"USD","SOFR")</f>
        <v>QSObject:PricingContext:w1~market.1794:18591</v>
      </c>
      <c r="D1796" s="6" t="str">
        <f>_xll.QS.CONTEXT.ADD.CURVE(C1796,"SOFR",$K$2:$K$7,$L$2:$L$7,,,"Actual360","LogLinear",TRUE)</f>
        <v>QSObject:ContextInput:w1~input.qs_context_add_curve.2359132437744.1795.3.0:38331</v>
      </c>
      <c r="E1796" s="6" t="str">
        <f>_xll.QS.INSTRUMENT.SWAP("swap.1794",H1796,B1796,"USD","SOFR",I1796,J1796,0,"Actual360","Simple","Annual","Annual","Annual")</f>
        <v>QSObject:Swap:w1~swap.1794:18590</v>
      </c>
      <c r="F1796" s="6" t="str">
        <f>_xll.QS.TRADE.CREATE("trade.1794",E1796,A1796,"Receive")</f>
        <v>QSObject:SwapTrade:w1~trade.1794:30103</v>
      </c>
      <c r="G1796" s="3">
        <f>_xll.QS.EVALUATE(C1796,F1796)</f>
        <v>40186.602682440804</v>
      </c>
      <c r="H1796" s="5" t="s">
        <v>3632</v>
      </c>
      <c r="I1796" s="7">
        <v>1179400</v>
      </c>
      <c r="J1796" s="8">
        <v>3.9399999999999998E-2</v>
      </c>
    </row>
    <row r="1797" spans="1:10" x14ac:dyDescent="0.25">
      <c r="A1797" s="5" t="s">
        <v>3620</v>
      </c>
      <c r="B1797" s="5" t="s">
        <v>3633</v>
      </c>
      <c r="C1797" s="6" t="str">
        <f>_xll.QS.CONTEXT.CREATE("market.1795",A1797,"USD","SOFR")</f>
        <v>QSObject:PricingContext:w1~market.1795:18589</v>
      </c>
      <c r="D1797" s="6" t="str">
        <f>_xll.QS.CONTEXT.ADD.CURVE(C1797,"SOFR",$K$2:$K$7,$L$2:$L$7,,,"Actual360","LogLinear",TRUE)</f>
        <v>QSObject:ContextInput:w1~input.qs_context_add_curve.2359132437744.1796.3.0:38330</v>
      </c>
      <c r="E1797" s="6" t="str">
        <f>_xll.QS.INSTRUMENT.SWAP("swap.1795",H1797,B1797,"USD","SOFR",I1797,J1797,0,"Actual360","Simple","Annual","Annual","Annual")</f>
        <v>QSObject:Swap:w1~swap.1795:18588</v>
      </c>
      <c r="F1797" s="6" t="str">
        <f>_xll.QS.TRADE.CREATE("trade.1795",E1797,A1797,"Receive")</f>
        <v>QSObject:SwapTrade:w1~trade.1795:30102</v>
      </c>
      <c r="G1797" s="3">
        <f>_xll.QS.EVALUATE(C1797,F1797)</f>
        <v>40785.351975117926</v>
      </c>
      <c r="H1797" s="5" t="s">
        <v>3634</v>
      </c>
      <c r="I1797" s="7">
        <v>1179500</v>
      </c>
      <c r="J1797" s="8">
        <v>3.9500000000000007E-2</v>
      </c>
    </row>
    <row r="1798" spans="1:10" x14ac:dyDescent="0.25">
      <c r="A1798" s="5" t="s">
        <v>3622</v>
      </c>
      <c r="B1798" s="5" t="s">
        <v>3635</v>
      </c>
      <c r="C1798" s="6" t="str">
        <f>_xll.QS.CONTEXT.CREATE("market.1796",A1798,"USD","SOFR")</f>
        <v>QSObject:PricingContext:w1~market.1796:18587</v>
      </c>
      <c r="D1798" s="6" t="str">
        <f>_xll.QS.CONTEXT.ADD.CURVE(C1798,"SOFR",$K$2:$K$7,$L$2:$L$7,,,"Actual360","LogLinear",TRUE)</f>
        <v>QSObject:ContextInput:w1~input.qs_context_add_curve.2359132437744.1797.3.0:38329</v>
      </c>
      <c r="E1798" s="6" t="str">
        <f>_xll.QS.INSTRUMENT.SWAP("swap.1796",H1798,B1798,"USD","SOFR",I1798,J1798,0,"Actual360","Simple","Annual","Annual","Annual")</f>
        <v>QSObject:Swap:w1~swap.1796:18586</v>
      </c>
      <c r="F1798" s="6" t="str">
        <f>_xll.QS.TRADE.CREATE("trade.1796",E1798,A1798,"Receive")</f>
        <v>QSObject:SwapTrade:w1~trade.1796:29445</v>
      </c>
      <c r="G1798" s="3">
        <f>_xll.QS.EVALUATE(C1798,F1798)</f>
        <v>41287.885550847765</v>
      </c>
      <c r="H1798" s="5" t="s">
        <v>3636</v>
      </c>
      <c r="I1798" s="7">
        <v>1179600</v>
      </c>
      <c r="J1798" s="8">
        <v>3.9600000000000003E-2</v>
      </c>
    </row>
    <row r="1799" spans="1:10" x14ac:dyDescent="0.25">
      <c r="A1799" s="5" t="s">
        <v>3624</v>
      </c>
      <c r="B1799" s="5" t="s">
        <v>3637</v>
      </c>
      <c r="C1799" s="6" t="str">
        <f>_xll.QS.CONTEXT.CREATE("market.1797",A1799,"USD","SOFR")</f>
        <v>QSObject:PricingContext:w1~market.1797:18585</v>
      </c>
      <c r="D1799" s="6" t="str">
        <f>_xll.QS.CONTEXT.ADD.CURVE(C1799,"SOFR",$K$2:$K$7,$L$2:$L$7,,,"Actual360","LogLinear",TRUE)</f>
        <v>QSObject:ContextInput:w1~input.qs_context_add_curve.2359132437744.1798.3.0:38328</v>
      </c>
      <c r="E1799" s="6" t="str">
        <f>_xll.QS.INSTRUMENT.SWAP("swap.1797",H1799,B1799,"USD","SOFR",I1799,J1799,0,"Actual360","Simple","Annual","Annual","Annual")</f>
        <v>QSObject:Swap:w1~swap.1797:18584</v>
      </c>
      <c r="F1799" s="6" t="str">
        <f>_xll.QS.TRADE.CREATE("trade.1797",E1799,A1799,"Receive")</f>
        <v>QSObject:SwapTrade:w1~trade.1797:30101</v>
      </c>
      <c r="G1799" s="3">
        <f>_xll.QS.EVALUATE(C1799,F1799)</f>
        <v>41736.221465509341</v>
      </c>
      <c r="H1799" s="5" t="s">
        <v>3638</v>
      </c>
      <c r="I1799" s="7">
        <v>1179700</v>
      </c>
      <c r="J1799" s="8">
        <v>3.9700000000000013E-2</v>
      </c>
    </row>
    <row r="1800" spans="1:10" x14ac:dyDescent="0.25">
      <c r="A1800" s="5" t="s">
        <v>3626</v>
      </c>
      <c r="B1800" s="5" t="s">
        <v>3639</v>
      </c>
      <c r="C1800" s="6" t="str">
        <f>_xll.QS.CONTEXT.CREATE("market.1798",A1800,"USD","SOFR")</f>
        <v>QSObject:PricingContext:w1~market.1798:18583</v>
      </c>
      <c r="D1800" s="6" t="str">
        <f>_xll.QS.CONTEXT.ADD.CURVE(C1800,"SOFR",$K$2:$K$7,$L$2:$L$7,,,"Actual360","LogLinear",TRUE)</f>
        <v>QSObject:ContextInput:w1~input.qs_context_add_curve.2359132437744.1799.3.0:38327</v>
      </c>
      <c r="E1800" s="6" t="str">
        <f>_xll.QS.INSTRUMENT.SWAP("swap.1798",H1800,B1800,"USD","SOFR",I1800,J1800,0,"Actual360","Simple","Annual","Annual","Annual")</f>
        <v>QSObject:Swap:w1~swap.1798:18582</v>
      </c>
      <c r="F1800" s="6" t="str">
        <f>_xll.QS.TRADE.CREATE("trade.1798",E1800,A1800,"Receive")</f>
        <v>QSObject:SwapTrade:w1~trade.1798:29444</v>
      </c>
      <c r="G1800" s="3">
        <f>_xll.QS.EVALUATE(C1800,F1800)</f>
        <v>42214.84183196567</v>
      </c>
      <c r="H1800" s="5" t="s">
        <v>3640</v>
      </c>
      <c r="I1800" s="7">
        <v>1179800</v>
      </c>
      <c r="J1800" s="8">
        <v>3.9800000000000002E-2</v>
      </c>
    </row>
    <row r="1801" spans="1:10" x14ac:dyDescent="0.25">
      <c r="A1801" s="5" t="s">
        <v>3628</v>
      </c>
      <c r="B1801" s="5" t="s">
        <v>3641</v>
      </c>
      <c r="C1801" s="6" t="str">
        <f>_xll.QS.CONTEXT.CREATE("market.1799",A1801,"USD","SOFR")</f>
        <v>QSObject:PricingContext:w1~market.1799:18581</v>
      </c>
      <c r="D1801" s="6" t="str">
        <f>_xll.QS.CONTEXT.ADD.CURVE(C1801,"SOFR",$K$2:$K$7,$L$2:$L$7,,,"Actual360","LogLinear",TRUE)</f>
        <v>QSObject:ContextInput:w1~input.qs_context_add_curve.2359132437744.1800.3.0:38326</v>
      </c>
      <c r="E1801" s="6" t="str">
        <f>_xll.QS.INSTRUMENT.SWAP("swap.1799",H1801,B1801,"USD","SOFR",I1801,J1801,0,"Actual360","Simple","Annual","Annual","Annual")</f>
        <v>QSObject:Swap:w1~swap.1799:18580</v>
      </c>
      <c r="F1801" s="6" t="str">
        <f>_xll.QS.TRADE.CREATE("trade.1799",E1801,A1801,"Receive")</f>
        <v>QSObject:SwapTrade:w1~trade.1799:30100</v>
      </c>
      <c r="G1801" s="3">
        <f>_xll.QS.EVALUATE(C1801,F1801)</f>
        <v>42814.283059517213</v>
      </c>
      <c r="H1801" s="5" t="s">
        <v>3642</v>
      </c>
      <c r="I1801" s="7">
        <v>1179900</v>
      </c>
      <c r="J1801" s="8">
        <v>3.9899999999999998E-2</v>
      </c>
    </row>
    <row r="1802" spans="1:10" x14ac:dyDescent="0.25">
      <c r="A1802" s="5" t="s">
        <v>3630</v>
      </c>
      <c r="B1802" s="5" t="s">
        <v>3643</v>
      </c>
      <c r="C1802" s="6" t="str">
        <f>_xll.QS.CONTEXT.CREATE("market.1800",A1802,"USD","SOFR")</f>
        <v>QSObject:PricingContext:w1~market.1800:18579</v>
      </c>
      <c r="D1802" s="6" t="str">
        <f>_xll.QS.CONTEXT.ADD.CURVE(C1802,"SOFR",$K$2:$K$7,$L$2:$L$7,,,"Actual360","LogLinear",TRUE)</f>
        <v>QSObject:ContextInput:w1~input.qs_context_add_curve.2359132437744.1801.3.0:38325</v>
      </c>
      <c r="E1802" s="6" t="str">
        <f>_xll.QS.INSTRUMENT.SWAP("swap.1800",H1802,B1802,"USD","SOFR",I1802,J1802,0,"Actual360","Simple","Annual","Annual","Annual")</f>
        <v>QSObject:Swap:w1~swap.1800:18578</v>
      </c>
      <c r="F1802" s="6" t="str">
        <f>_xll.QS.TRADE.CREATE("trade.1800",E1802,A1802,"Receive")</f>
        <v>QSObject:SwapTrade:w1~trade.1800:30099</v>
      </c>
      <c r="G1802" s="3">
        <f>_xll.QS.EVALUATE(C1802,F1802)</f>
        <v>16178.699702921276</v>
      </c>
      <c r="H1802" s="5" t="s">
        <v>3644</v>
      </c>
      <c r="I1802" s="7">
        <v>1180000</v>
      </c>
      <c r="J1802" s="8">
        <v>3.5000000000000003E-2</v>
      </c>
    </row>
    <row r="1803" spans="1:10" x14ac:dyDescent="0.25">
      <c r="A1803" s="5" t="s">
        <v>3632</v>
      </c>
      <c r="B1803" s="5" t="s">
        <v>3645</v>
      </c>
      <c r="C1803" s="6" t="str">
        <f>_xll.QS.CONTEXT.CREATE("market.1801",A1803,"USD","SOFR")</f>
        <v>QSObject:PricingContext:w1~market.1801:18577</v>
      </c>
      <c r="D1803" s="6" t="str">
        <f>_xll.QS.CONTEXT.ADD.CURVE(C1803,"SOFR",$K$2:$K$7,$L$2:$L$7,,,"Actual360","LogLinear",TRUE)</f>
        <v>QSObject:ContextInput:w1~input.qs_context_add_curve.2359132437744.1802.3.0:38324</v>
      </c>
      <c r="E1803" s="6" t="str">
        <f>_xll.QS.INSTRUMENT.SWAP("swap.1801",H1803,B1803,"USD","SOFR",I1803,J1803,0,"Actual360","Simple","Annual","Annual","Annual")</f>
        <v>QSObject:Swap:w1~swap.1801:18576</v>
      </c>
      <c r="F1803" s="6" t="str">
        <f>_xll.QS.TRADE.CREATE("trade.1801",E1803,A1803,"Receive")</f>
        <v>QSObject:SwapTrade:w1~trade.1801:30098</v>
      </c>
      <c r="G1803" s="3">
        <f>_xll.QS.EVALUATE(C1803,F1803)</f>
        <v>16810.307208336613</v>
      </c>
      <c r="H1803" s="5" t="s">
        <v>3646</v>
      </c>
      <c r="I1803" s="7">
        <v>1180100</v>
      </c>
      <c r="J1803" s="8">
        <v>3.5100000000000013E-2</v>
      </c>
    </row>
    <row r="1804" spans="1:10" x14ac:dyDescent="0.25">
      <c r="A1804" s="5" t="s">
        <v>3634</v>
      </c>
      <c r="B1804" s="5" t="s">
        <v>3647</v>
      </c>
      <c r="C1804" s="6" t="str">
        <f>_xll.QS.CONTEXT.CREATE("market.1802",A1804,"USD","SOFR")</f>
        <v>QSObject:PricingContext:w1~market.1802:18575</v>
      </c>
      <c r="D1804" s="6" t="str">
        <f>_xll.QS.CONTEXT.ADD.CURVE(C1804,"SOFR",$K$2:$K$7,$L$2:$L$7,,,"Actual360","LogLinear",TRUE)</f>
        <v>QSObject:ContextInput:w1~input.qs_context_add_curve.2359132437744.1803.3.0:38323</v>
      </c>
      <c r="E1804" s="6" t="str">
        <f>_xll.QS.INSTRUMENT.SWAP("swap.1802",H1804,B1804,"USD","SOFR",I1804,J1804,0,"Actual360","Simple","Annual","Annual","Annual")</f>
        <v>QSObject:Swap:w1~swap.1802:18574</v>
      </c>
      <c r="F1804" s="6" t="str">
        <f>_xll.QS.TRADE.CREATE("trade.1802",E1804,A1804,"Receive")</f>
        <v>QSObject:SwapTrade:w1~trade.1802:29443</v>
      </c>
      <c r="G1804" s="3">
        <f>_xll.QS.EVALUATE(C1804,F1804)</f>
        <v>17407.176767736586</v>
      </c>
      <c r="H1804" s="5" t="s">
        <v>3648</v>
      </c>
      <c r="I1804" s="7">
        <v>1180200</v>
      </c>
      <c r="J1804" s="8">
        <v>3.5200000000000002E-2</v>
      </c>
    </row>
    <row r="1805" spans="1:10" x14ac:dyDescent="0.25">
      <c r="A1805" s="5" t="s">
        <v>3636</v>
      </c>
      <c r="B1805" s="5" t="s">
        <v>3649</v>
      </c>
      <c r="C1805" s="6" t="str">
        <f>_xll.QS.CONTEXT.CREATE("market.1803",A1805,"USD","SOFR")</f>
        <v>QSObject:PricingContext:w1~market.1803:18573</v>
      </c>
      <c r="D1805" s="6" t="str">
        <f>_xll.QS.CONTEXT.ADD.CURVE(C1805,"SOFR",$K$2:$K$7,$L$2:$L$7,,,"Actual360","LogLinear",TRUE)</f>
        <v>QSObject:ContextInput:w1~input.qs_context_add_curve.2359132437744.1804.3.0:38322</v>
      </c>
      <c r="E1805" s="6" t="str">
        <f>_xll.QS.INSTRUMENT.SWAP("swap.1803",H1805,B1805,"USD","SOFR",I1805,J1805,0,"Actual360","Simple","Annual","Annual","Annual")</f>
        <v>QSObject:Swap:w1~swap.1803:18572</v>
      </c>
      <c r="F1805" s="6" t="str">
        <f>_xll.QS.TRADE.CREATE("trade.1803",E1805,A1805,"Receive")</f>
        <v>QSObject:SwapTrade:w1~trade.1803:30097</v>
      </c>
      <c r="G1805" s="3">
        <f>_xll.QS.EVALUATE(C1805,F1805)</f>
        <v>17908.212259743817</v>
      </c>
      <c r="H1805" s="5" t="s">
        <v>3650</v>
      </c>
      <c r="I1805" s="7">
        <v>1180300</v>
      </c>
      <c r="J1805" s="8">
        <v>3.5299999999999998E-2</v>
      </c>
    </row>
    <row r="1806" spans="1:10" x14ac:dyDescent="0.25">
      <c r="A1806" s="5" t="s">
        <v>3638</v>
      </c>
      <c r="B1806" s="5" t="s">
        <v>3651</v>
      </c>
      <c r="C1806" s="6" t="str">
        <f>_xll.QS.CONTEXT.CREATE("market.1804",A1806,"USD","SOFR")</f>
        <v>QSObject:PricingContext:w1~market.1804:18571</v>
      </c>
      <c r="D1806" s="6" t="str">
        <f>_xll.QS.CONTEXT.ADD.CURVE(C1806,"SOFR",$K$2:$K$7,$L$2:$L$7,,,"Actual360","LogLinear",TRUE)</f>
        <v>QSObject:ContextInput:w1~input.qs_context_add_curve.2359132437744.1805.3.0:38321</v>
      </c>
      <c r="E1806" s="6" t="str">
        <f>_xll.QS.INSTRUMENT.SWAP("swap.1804",H1806,B1806,"USD","SOFR",I1806,J1806,0,"Actual360","Simple","Annual","Annual","Annual")</f>
        <v>QSObject:Swap:w1~swap.1804:18570</v>
      </c>
      <c r="F1806" s="6" t="str">
        <f>_xll.QS.TRADE.CREATE("trade.1804",E1806,A1806,"Receive")</f>
        <v>QSObject:SwapTrade:w1~trade.1804:29442</v>
      </c>
      <c r="G1806" s="3">
        <f>_xll.QS.EVALUATE(C1806,F1806)</f>
        <v>18382.412618141727</v>
      </c>
      <c r="H1806" s="5" t="s">
        <v>3652</v>
      </c>
      <c r="I1806" s="7">
        <v>1180400</v>
      </c>
      <c r="J1806" s="8">
        <v>3.5400000000000001E-2</v>
      </c>
    </row>
    <row r="1807" spans="1:10" x14ac:dyDescent="0.25">
      <c r="A1807" s="5" t="s">
        <v>3640</v>
      </c>
      <c r="B1807" s="5" t="s">
        <v>3653</v>
      </c>
      <c r="C1807" s="6" t="str">
        <f>_xll.QS.CONTEXT.CREATE("market.1805",A1807,"USD","SOFR")</f>
        <v>QSObject:PricingContext:w1~market.1805:18569</v>
      </c>
      <c r="D1807" s="6" t="str">
        <f>_xll.QS.CONTEXT.ADD.CURVE(C1807,"SOFR",$K$2:$K$7,$L$2:$L$7,,,"Actual360","LogLinear",TRUE)</f>
        <v>QSObject:ContextInput:w1~input.qs_context_add_curve.2359132437744.1806.3.0:38320</v>
      </c>
      <c r="E1807" s="6" t="str">
        <f>_xll.QS.INSTRUMENT.SWAP("swap.1805",H1807,B1807,"USD","SOFR",I1807,J1807,0,"Actual360","Simple","Annual","Annual","Annual")</f>
        <v>QSObject:Swap:w1~swap.1805:18568</v>
      </c>
      <c r="F1807" s="6" t="str">
        <f>_xll.QS.TRADE.CREATE("trade.1805",E1807,A1807,"Receive")</f>
        <v>QSObject:SwapTrade:w1~trade.1805:30096</v>
      </c>
      <c r="G1807" s="3">
        <f>_xll.QS.EVALUATE(C1807,F1807)</f>
        <v>18823.045205804061</v>
      </c>
      <c r="H1807" s="5" t="s">
        <v>3654</v>
      </c>
      <c r="I1807" s="7">
        <v>1180500</v>
      </c>
      <c r="J1807" s="8">
        <v>3.5499999999999997E-2</v>
      </c>
    </row>
    <row r="1808" spans="1:10" x14ac:dyDescent="0.25">
      <c r="A1808" s="5" t="s">
        <v>3642</v>
      </c>
      <c r="B1808" s="5" t="s">
        <v>3655</v>
      </c>
      <c r="C1808" s="6" t="str">
        <f>_xll.QS.CONTEXT.CREATE("market.1806",A1808,"USD","SOFR")</f>
        <v>QSObject:PricingContext:w1~market.1806:18567</v>
      </c>
      <c r="D1808" s="6" t="str">
        <f>_xll.QS.CONTEXT.ADD.CURVE(C1808,"SOFR",$K$2:$K$7,$L$2:$L$7,,,"Actual360","LogLinear",TRUE)</f>
        <v>QSObject:ContextInput:w1~input.qs_context_add_curve.2359132437744.1807.3.0:38319</v>
      </c>
      <c r="E1808" s="6" t="str">
        <f>_xll.QS.INSTRUMENT.SWAP("swap.1806",H1808,B1808,"USD","SOFR",I1808,J1808,0,"Actual360","Simple","Annual","Annual","Annual")</f>
        <v>QSObject:Swap:w1~swap.1806:18566</v>
      </c>
      <c r="F1808" s="6" t="str">
        <f>_xll.QS.TRADE.CREATE("trade.1806",E1808,A1808,"Receive")</f>
        <v>QSObject:SwapTrade:w1~trade.1806:29441</v>
      </c>
      <c r="G1808" s="3">
        <f>_xll.QS.EVALUATE(C1808,F1808)</f>
        <v>19418.506262776536</v>
      </c>
      <c r="H1808" s="5" t="s">
        <v>3656</v>
      </c>
      <c r="I1808" s="7">
        <v>1180600</v>
      </c>
      <c r="J1808" s="8">
        <v>3.5600000000000007E-2</v>
      </c>
    </row>
    <row r="1809" spans="1:10" x14ac:dyDescent="0.25">
      <c r="A1809" s="5" t="s">
        <v>3644</v>
      </c>
      <c r="B1809" s="5" t="s">
        <v>3657</v>
      </c>
      <c r="C1809" s="6" t="str">
        <f>_xll.QS.CONTEXT.CREATE("market.1807",A1809,"USD","SOFR")</f>
        <v>QSObject:PricingContext:w1~market.1807:18565</v>
      </c>
      <c r="D1809" s="6" t="str">
        <f>_xll.QS.CONTEXT.ADD.CURVE(C1809,"SOFR",$K$2:$K$7,$L$2:$L$7,,,"Actual360","LogLinear",TRUE)</f>
        <v>QSObject:ContextInput:w1~input.qs_context_add_curve.2359132437744.1808.3.0:38318</v>
      </c>
      <c r="E1809" s="6" t="str">
        <f>_xll.QS.INSTRUMENT.SWAP("swap.1807",H1809,B1809,"USD","SOFR",I1809,J1809,0,"Actual360","Simple","Annual","Annual","Annual")</f>
        <v>QSObject:Swap:w1~swap.1807:18564</v>
      </c>
      <c r="F1809" s="6" t="str">
        <f>_xll.QS.TRADE.CREATE("trade.1807",E1809,A1809,"Receive")</f>
        <v>QSObject:SwapTrade:w1~trade.1807:30095</v>
      </c>
      <c r="G1809" s="3">
        <f>_xll.QS.EVALUATE(C1809,F1809)</f>
        <v>19999.503103902567</v>
      </c>
      <c r="H1809" s="5" t="s">
        <v>3658</v>
      </c>
      <c r="I1809" s="7">
        <v>1180700</v>
      </c>
      <c r="J1809" s="8">
        <v>3.5700000000000003E-2</v>
      </c>
    </row>
    <row r="1810" spans="1:10" x14ac:dyDescent="0.25">
      <c r="A1810" s="5" t="s">
        <v>3646</v>
      </c>
      <c r="B1810" s="5" t="s">
        <v>3659</v>
      </c>
      <c r="C1810" s="6" t="str">
        <f>_xll.QS.CONTEXT.CREATE("market.1808",A1810,"USD","SOFR")</f>
        <v>QSObject:PricingContext:w1~market.1808:18563</v>
      </c>
      <c r="D1810" s="6" t="str">
        <f>_xll.QS.CONTEXT.ADD.CURVE(C1810,"SOFR",$K$2:$K$7,$L$2:$L$7,,,"Actual360","LogLinear",TRUE)</f>
        <v>QSObject:ContextInput:w1~input.qs_context_add_curve.2359132437744.1809.3.0:38317</v>
      </c>
      <c r="E1810" s="6" t="str">
        <f>_xll.QS.INSTRUMENT.SWAP("swap.1808",H1810,B1810,"USD","SOFR",I1810,J1810,0,"Actual360","Simple","Annual","Annual","Annual")</f>
        <v>QSObject:Swap:w1~swap.1808:18562</v>
      </c>
      <c r="F1810" s="6" t="str">
        <f>_xll.QS.TRADE.CREATE("trade.1808",E1810,A1810,"Receive")</f>
        <v>QSObject:SwapTrade:w1~trade.1808:29440</v>
      </c>
      <c r="G1810" s="3">
        <f>_xll.QS.EVALUATE(C1810,F1810)</f>
        <v>20631.864431845948</v>
      </c>
      <c r="H1810" s="5" t="s">
        <v>3660</v>
      </c>
      <c r="I1810" s="7">
        <v>1180800</v>
      </c>
      <c r="J1810" s="8">
        <v>3.5800000000000012E-2</v>
      </c>
    </row>
    <row r="1811" spans="1:10" x14ac:dyDescent="0.25">
      <c r="A1811" s="5" t="s">
        <v>3648</v>
      </c>
      <c r="B1811" s="5" t="s">
        <v>3661</v>
      </c>
      <c r="C1811" s="6" t="str">
        <f>_xll.QS.CONTEXT.CREATE("market.1809",A1811,"USD","SOFR")</f>
        <v>QSObject:PricingContext:w1~market.1809:18561</v>
      </c>
      <c r="D1811" s="6" t="str">
        <f>_xll.QS.CONTEXT.ADD.CURVE(C1811,"SOFR",$K$2:$K$7,$L$2:$L$7,,,"Actual360","LogLinear",TRUE)</f>
        <v>QSObject:ContextInput:w1~input.qs_context_add_curve.2359132437744.1810.3.0:38316</v>
      </c>
      <c r="E1811" s="6" t="str">
        <f>_xll.QS.INSTRUMENT.SWAP("swap.1809",H1811,B1811,"USD","SOFR",I1811,J1811,0,"Actual360","Simple","Annual","Annual","Annual")</f>
        <v>QSObject:Swap:w1~swap.1809:18560</v>
      </c>
      <c r="F1811" s="6" t="str">
        <f>_xll.QS.TRADE.CREATE("trade.1809",E1811,A1811,"Receive")</f>
        <v>QSObject:SwapTrade:w1~trade.1809:30094</v>
      </c>
      <c r="G1811" s="3">
        <f>_xll.QS.EVALUATE(C1811,F1811)</f>
        <v>21229.450705751286</v>
      </c>
      <c r="H1811" s="5" t="s">
        <v>3662</v>
      </c>
      <c r="I1811" s="7">
        <v>1180900</v>
      </c>
      <c r="J1811" s="8">
        <v>3.5900000000000001E-2</v>
      </c>
    </row>
    <row r="1812" spans="1:10" x14ac:dyDescent="0.25">
      <c r="A1812" s="5" t="s">
        <v>3650</v>
      </c>
      <c r="B1812" s="5" t="s">
        <v>3663</v>
      </c>
      <c r="C1812" s="6" t="str">
        <f>_xll.QS.CONTEXT.CREATE("market.1810",A1812,"USD","SOFR")</f>
        <v>QSObject:PricingContext:w1~market.1810:18559</v>
      </c>
      <c r="D1812" s="6" t="str">
        <f>_xll.QS.CONTEXT.ADD.CURVE(C1812,"SOFR",$K$2:$K$7,$L$2:$L$7,,,"Actual360","LogLinear",TRUE)</f>
        <v>QSObject:ContextInput:w1~input.qs_context_add_curve.2359132437744.1811.3.0:38315</v>
      </c>
      <c r="E1812" s="6" t="str">
        <f>_xll.QS.INSTRUMENT.SWAP("swap.1810",H1812,B1812,"USD","SOFR",I1812,J1812,0,"Actual360","Simple","Annual","Annual","Annual")</f>
        <v>QSObject:Swap:w1~swap.1810:18558</v>
      </c>
      <c r="F1812" s="6" t="str">
        <f>_xll.QS.TRADE.CREATE("trade.1810",E1812,A1812,"Receive")</f>
        <v>QSObject:SwapTrade:w1~trade.1810:29439</v>
      </c>
      <c r="G1812" s="3">
        <f>_xll.QS.EVALUATE(C1812,F1812)</f>
        <v>21730.972297245677</v>
      </c>
      <c r="H1812" s="5" t="s">
        <v>3664</v>
      </c>
      <c r="I1812" s="7">
        <v>1181000</v>
      </c>
      <c r="J1812" s="8">
        <v>3.5999999999999997E-2</v>
      </c>
    </row>
    <row r="1813" spans="1:10" x14ac:dyDescent="0.25">
      <c r="A1813" s="5" t="s">
        <v>3652</v>
      </c>
      <c r="B1813" s="5" t="s">
        <v>3665</v>
      </c>
      <c r="C1813" s="6" t="str">
        <f>_xll.QS.CONTEXT.CREATE("market.1811",A1813,"USD","SOFR")</f>
        <v>QSObject:PricingContext:w1~market.1811:18557</v>
      </c>
      <c r="D1813" s="6" t="str">
        <f>_xll.QS.CONTEXT.ADD.CURVE(C1813,"SOFR",$K$2:$K$7,$L$2:$L$7,,,"Actual360","LogLinear",TRUE)</f>
        <v>QSObject:ContextInput:w1~input.qs_context_add_curve.2359132437744.1812.3.0:38314</v>
      </c>
      <c r="E1813" s="6" t="str">
        <f>_xll.QS.INSTRUMENT.SWAP("swap.1811",H1813,B1813,"USD","SOFR",I1813,J1813,0,"Actual360","Simple","Annual","Annual","Annual")</f>
        <v>QSObject:Swap:w1~swap.1811:18556</v>
      </c>
      <c r="F1813" s="6" t="str">
        <f>_xll.QS.TRADE.CREATE("trade.1811",E1813,A1813,"Receive")</f>
        <v>QSObject:SwapTrade:w1~trade.1811:30093</v>
      </c>
      <c r="G1813" s="3">
        <f>_xll.QS.EVALUATE(C1813,F1813)</f>
        <v>22085.249449215677</v>
      </c>
      <c r="H1813" s="5" t="s">
        <v>3666</v>
      </c>
      <c r="I1813" s="7">
        <v>1181100</v>
      </c>
      <c r="J1813" s="8">
        <v>3.61E-2</v>
      </c>
    </row>
    <row r="1814" spans="1:10" x14ac:dyDescent="0.25">
      <c r="A1814" s="5" t="s">
        <v>3654</v>
      </c>
      <c r="B1814" s="5" t="s">
        <v>3667</v>
      </c>
      <c r="C1814" s="6" t="str">
        <f>_xll.QS.CONTEXT.CREATE("market.1812",A1814,"USD","SOFR")</f>
        <v>QSObject:PricingContext:w1~market.1812:18555</v>
      </c>
      <c r="D1814" s="6" t="str">
        <f>_xll.QS.CONTEXT.ADD.CURVE(C1814,"SOFR",$K$2:$K$7,$L$2:$L$7,,,"Actual360","LogLinear",TRUE)</f>
        <v>QSObject:ContextInput:w1~input.qs_context_add_curve.2359132437744.1813.3.0:38313</v>
      </c>
      <c r="E1814" s="6" t="str">
        <f>_xll.QS.INSTRUMENT.SWAP("swap.1812",H1814,B1814,"USD","SOFR",I1814,J1814,0,"Actual360","Simple","Annual","Annual","Annual")</f>
        <v>QSObject:Swap:w1~swap.1812:18554</v>
      </c>
      <c r="F1814" s="6" t="str">
        <f>_xll.QS.TRADE.CREATE("trade.1812",E1814,A1814,"Receive")</f>
        <v>QSObject:SwapTrade:w1~trade.1812:29438</v>
      </c>
      <c r="G1814" s="3">
        <f>_xll.QS.EVALUATE(C1814,F1814)</f>
        <v>22633.244747171102</v>
      </c>
      <c r="H1814" s="5" t="s">
        <v>3668</v>
      </c>
      <c r="I1814" s="7">
        <v>1181200</v>
      </c>
      <c r="J1814" s="8">
        <v>3.6200000000000003E-2</v>
      </c>
    </row>
    <row r="1815" spans="1:10" x14ac:dyDescent="0.25">
      <c r="A1815" s="5" t="s">
        <v>3656</v>
      </c>
      <c r="B1815" s="5" t="s">
        <v>3669</v>
      </c>
      <c r="C1815" s="6" t="str">
        <f>_xll.QS.CONTEXT.CREATE("market.1813",A1815,"USD","SOFR")</f>
        <v>QSObject:PricingContext:w1~market.1813:18553</v>
      </c>
      <c r="D1815" s="6" t="str">
        <f>_xll.QS.CONTEXT.ADD.CURVE(C1815,"SOFR",$K$2:$K$7,$L$2:$L$7,,,"Actual360","LogLinear",TRUE)</f>
        <v>QSObject:ContextInput:w1~input.qs_context_add_curve.2359132437744.1814.3.0:38312</v>
      </c>
      <c r="E1815" s="6" t="str">
        <f>_xll.QS.INSTRUMENT.SWAP("swap.1813",H1815,B1815,"USD","SOFR",I1815,J1815,0,"Actual360","Simple","Annual","Annual","Annual")</f>
        <v>QSObject:Swap:w1~swap.1813:18552</v>
      </c>
      <c r="F1815" s="6" t="str">
        <f>_xll.QS.TRADE.CREATE("trade.1813",E1815,A1815,"Receive")</f>
        <v>QSObject:SwapTrade:w1~trade.1813:30092</v>
      </c>
      <c r="G1815" s="3">
        <f>_xll.QS.EVALUATE(C1815,F1815)</f>
        <v>23229.805685436546</v>
      </c>
      <c r="H1815" s="5" t="s">
        <v>3670</v>
      </c>
      <c r="I1815" s="7">
        <v>1181300</v>
      </c>
      <c r="J1815" s="8">
        <v>3.6300000000000013E-2</v>
      </c>
    </row>
    <row r="1816" spans="1:10" x14ac:dyDescent="0.25">
      <c r="A1816" s="5" t="s">
        <v>3658</v>
      </c>
      <c r="B1816" s="5" t="s">
        <v>3671</v>
      </c>
      <c r="C1816" s="6" t="str">
        <f>_xll.QS.CONTEXT.CREATE("market.1814",A1816,"USD","SOFR")</f>
        <v>QSObject:PricingContext:w1~market.1814:18551</v>
      </c>
      <c r="D1816" s="6" t="str">
        <f>_xll.QS.CONTEXT.ADD.CURVE(C1816,"SOFR",$K$2:$K$7,$L$2:$L$7,,,"Actual360","LogLinear",TRUE)</f>
        <v>QSObject:ContextInput:w1~input.qs_context_add_curve.2359132437744.1815.3.0:38311</v>
      </c>
      <c r="E1816" s="6" t="str">
        <f>_xll.QS.INSTRUMENT.SWAP("swap.1814",H1816,B1816,"USD","SOFR",I1816,J1816,0,"Actual360","Simple","Annual","Annual","Annual")</f>
        <v>QSObject:Swap:w1~swap.1814:18550</v>
      </c>
      <c r="F1816" s="6" t="str">
        <f>_xll.QS.TRADE.CREATE("trade.1814",E1816,A1816,"Receive")</f>
        <v>QSObject:SwapTrade:w1~trade.1814:30091</v>
      </c>
      <c r="G1816" s="3">
        <f>_xll.QS.EVALUATE(C1816,F1816)</f>
        <v>23955.33219389365</v>
      </c>
      <c r="H1816" s="5" t="s">
        <v>3672</v>
      </c>
      <c r="I1816" s="7">
        <v>1181400</v>
      </c>
      <c r="J1816" s="8">
        <v>3.6400000000000002E-2</v>
      </c>
    </row>
    <row r="1817" spans="1:10" x14ac:dyDescent="0.25">
      <c r="A1817" s="5" t="s">
        <v>3660</v>
      </c>
      <c r="B1817" s="5" t="s">
        <v>3673</v>
      </c>
      <c r="C1817" s="6" t="str">
        <f>_xll.QS.CONTEXT.CREATE("market.1815",A1817,"USD","SOFR")</f>
        <v>QSObject:PricingContext:w1~market.1815:18549</v>
      </c>
      <c r="D1817" s="6" t="str">
        <f>_xll.QS.CONTEXT.ADD.CURVE(C1817,"SOFR",$K$2:$K$7,$L$2:$L$7,,,"Actual360","LogLinear",TRUE)</f>
        <v>QSObject:ContextInput:w1~input.qs_context_add_curve.2359132437744.1816.3.0:38310</v>
      </c>
      <c r="E1817" s="6" t="str">
        <f>_xll.QS.INSTRUMENT.SWAP("swap.1815",H1817,B1817,"USD","SOFR",I1817,J1817,0,"Actual360","Simple","Annual","Annual","Annual")</f>
        <v>QSObject:Swap:w1~swap.1815:18548</v>
      </c>
      <c r="F1817" s="6" t="str">
        <f>_xll.QS.TRADE.CREATE("trade.1815",E1817,A1817,"Receive")</f>
        <v>QSObject:SwapTrade:w1~trade.1815:29437</v>
      </c>
      <c r="G1817" s="3">
        <f>_xll.QS.EVALUATE(C1817,F1817)</f>
        <v>24501.351306125562</v>
      </c>
      <c r="H1817" s="5" t="s">
        <v>3674</v>
      </c>
      <c r="I1817" s="7">
        <v>1181500</v>
      </c>
      <c r="J1817" s="8">
        <v>3.6499999999999998E-2</v>
      </c>
    </row>
    <row r="1818" spans="1:10" x14ac:dyDescent="0.25">
      <c r="A1818" s="5" t="s">
        <v>3662</v>
      </c>
      <c r="B1818" s="5" t="s">
        <v>3675</v>
      </c>
      <c r="C1818" s="6" t="str">
        <f>_xll.QS.CONTEXT.CREATE("market.1816",A1818,"USD","SOFR")</f>
        <v>QSObject:PricingContext:w1~market.1816:18547</v>
      </c>
      <c r="D1818" s="6" t="str">
        <f>_xll.QS.CONTEXT.ADD.CURVE(C1818,"SOFR",$K$2:$K$7,$L$2:$L$7,,,"Actual360","LogLinear",TRUE)</f>
        <v>QSObject:ContextInput:w1~input.qs_context_add_curve.2359132437744.1817.3.0:38309</v>
      </c>
      <c r="E1818" s="6" t="str">
        <f>_xll.QS.INSTRUMENT.SWAP("swap.1816",H1818,B1818,"USD","SOFR",I1818,J1818,0,"Actual360","Simple","Annual","Annual","Annual")</f>
        <v>QSObject:Swap:w1~swap.1816:18546</v>
      </c>
      <c r="F1818" s="6" t="str">
        <f>_xll.QS.TRADE.CREATE("trade.1816",E1818,A1818,"Receive")</f>
        <v>QSObject:SwapTrade:w1~trade.1816:30090</v>
      </c>
      <c r="G1818" s="3">
        <f>_xll.QS.EVALUATE(C1818,F1818)</f>
        <v>25058.328436370124</v>
      </c>
      <c r="H1818" s="5" t="s">
        <v>3676</v>
      </c>
      <c r="I1818" s="7">
        <v>1181600</v>
      </c>
      <c r="J1818" s="8">
        <v>3.6600000000000001E-2</v>
      </c>
    </row>
    <row r="1819" spans="1:10" x14ac:dyDescent="0.25">
      <c r="A1819" s="5" t="s">
        <v>3664</v>
      </c>
      <c r="B1819" s="5" t="s">
        <v>3677</v>
      </c>
      <c r="C1819" s="6" t="str">
        <f>_xll.QS.CONTEXT.CREATE("market.1817",A1819,"USD","SOFR")</f>
        <v>QSObject:PricingContext:w1~market.1817:18545</v>
      </c>
      <c r="D1819" s="6" t="str">
        <f>_xll.QS.CONTEXT.ADD.CURVE(C1819,"SOFR",$K$2:$K$7,$L$2:$L$7,,,"Actual360","LogLinear",TRUE)</f>
        <v>QSObject:ContextInput:w1~input.qs_context_add_curve.2359132437744.1818.3.0:38308</v>
      </c>
      <c r="E1819" s="6" t="str">
        <f>_xll.QS.INSTRUMENT.SWAP("swap.1817",H1819,B1819,"USD","SOFR",I1819,J1819,0,"Actual360","Simple","Annual","Annual","Annual")</f>
        <v>QSObject:Swap:w1~swap.1817:18544</v>
      </c>
      <c r="F1819" s="6" t="str">
        <f>_xll.QS.TRADE.CREATE("trade.1817",E1819,A1819,"Receive")</f>
        <v>QSObject:SwapTrade:w1~trade.1817:29436</v>
      </c>
      <c r="G1819" s="3">
        <f>_xll.QS.EVALUATE(C1819,F1819)</f>
        <v>25606.074594332775</v>
      </c>
      <c r="H1819" s="5" t="s">
        <v>3678</v>
      </c>
      <c r="I1819" s="7">
        <v>1181700</v>
      </c>
      <c r="J1819" s="8">
        <v>3.6700000000000003E-2</v>
      </c>
    </row>
    <row r="1820" spans="1:10" x14ac:dyDescent="0.25">
      <c r="A1820" s="5" t="s">
        <v>3666</v>
      </c>
      <c r="B1820" s="5" t="s">
        <v>3679</v>
      </c>
      <c r="C1820" s="6" t="str">
        <f>_xll.QS.CONTEXT.CREATE("market.1818",A1820,"USD","SOFR")</f>
        <v>QSObject:PricingContext:w1~market.1818:18543</v>
      </c>
      <c r="D1820" s="6" t="str">
        <f>_xll.QS.CONTEXT.ADD.CURVE(C1820,"SOFR",$K$2:$K$7,$L$2:$L$7,,,"Actual360","LogLinear",TRUE)</f>
        <v>QSObject:ContextInput:w1~input.qs_context_add_curve.2359132437744.1819.3.0:38307</v>
      </c>
      <c r="E1820" s="6" t="str">
        <f>_xll.QS.INSTRUMENT.SWAP("swap.1818",H1820,B1820,"USD","SOFR",I1820,J1820,0,"Actual360","Simple","Annual","Annual","Annual")</f>
        <v>QSObject:Swap:w1~swap.1818:18542</v>
      </c>
      <c r="F1820" s="6" t="str">
        <f>_xll.QS.TRADE.CREATE("trade.1818",E1820,A1820,"Receive")</f>
        <v>QSObject:SwapTrade:w1~trade.1818:29435</v>
      </c>
      <c r="G1820" s="3">
        <f>_xll.QS.EVALUATE(C1820,F1820)</f>
        <v>26123.19129493467</v>
      </c>
      <c r="H1820" s="5" t="s">
        <v>3680</v>
      </c>
      <c r="I1820" s="7">
        <v>1181800</v>
      </c>
      <c r="J1820" s="8">
        <v>3.6800000000000013E-2</v>
      </c>
    </row>
    <row r="1821" spans="1:10" x14ac:dyDescent="0.25">
      <c r="A1821" s="5" t="s">
        <v>3668</v>
      </c>
      <c r="B1821" s="5" t="s">
        <v>3681</v>
      </c>
      <c r="C1821" s="6" t="str">
        <f>_xll.QS.CONTEXT.CREATE("market.1819",A1821,"USD","SOFR")</f>
        <v>QSObject:PricingContext:w1~market.1819:18541</v>
      </c>
      <c r="D1821" s="6" t="str">
        <f>_xll.QS.CONTEXT.ADD.CURVE(C1821,"SOFR",$K$2:$K$7,$L$2:$L$7,,,"Actual360","LogLinear",TRUE)</f>
        <v>QSObject:ContextInput:w1~input.qs_context_add_curve.2359132437744.1820.3.0:38306</v>
      </c>
      <c r="E1821" s="6" t="str">
        <f>_xll.QS.INSTRUMENT.SWAP("swap.1819",H1821,B1821,"USD","SOFR",I1821,J1821,0,"Actual360","Simple","Annual","Annual","Annual")</f>
        <v>QSObject:Swap:w1~swap.1819:18540</v>
      </c>
      <c r="F1821" s="6" t="str">
        <f>_xll.QS.TRADE.CREATE("trade.1819",E1821,A1821,"Receive")</f>
        <v>QSObject:SwapTrade:w1~trade.1819:29434</v>
      </c>
      <c r="G1821" s="3">
        <f>_xll.QS.EVALUATE(C1821,F1821)</f>
        <v>26509.118093223296</v>
      </c>
      <c r="H1821" s="5" t="s">
        <v>3682</v>
      </c>
      <c r="I1821" s="7">
        <v>1181900</v>
      </c>
      <c r="J1821" s="8">
        <v>3.6900000000000002E-2</v>
      </c>
    </row>
    <row r="1822" spans="1:10" x14ac:dyDescent="0.25">
      <c r="A1822" s="5" t="s">
        <v>3670</v>
      </c>
      <c r="B1822" s="5" t="s">
        <v>3683</v>
      </c>
      <c r="C1822" s="6" t="str">
        <f>_xll.QS.CONTEXT.CREATE("market.1820",A1822,"USD","SOFR")</f>
        <v>QSObject:PricingContext:w1~market.1820:18539</v>
      </c>
      <c r="D1822" s="6" t="str">
        <f>_xll.QS.CONTEXT.ADD.CURVE(C1822,"SOFR",$K$2:$K$7,$L$2:$L$7,,,"Actual360","LogLinear",TRUE)</f>
        <v>QSObject:ContextInput:w1~input.qs_context_add_curve.2359132437744.1821.3.0:38305</v>
      </c>
      <c r="E1822" s="6" t="str">
        <f>_xll.QS.INSTRUMENT.SWAP("swap.1820",H1822,B1822,"USD","SOFR",I1822,J1822,0,"Actual360","Simple","Annual","Annual","Annual")</f>
        <v>QSObject:Swap:w1~swap.1820:18538</v>
      </c>
      <c r="F1822" s="6" t="str">
        <f>_xll.QS.TRADE.CREATE("trade.1820",E1822,A1822,"Receive")</f>
        <v>QSObject:SwapTrade:w1~trade.1820:30089</v>
      </c>
      <c r="G1822" s="3">
        <f>_xll.QS.EVALUATE(C1822,F1822)</f>
        <v>27058.615222805642</v>
      </c>
      <c r="H1822" s="5" t="s">
        <v>3684</v>
      </c>
      <c r="I1822" s="7">
        <v>1182000</v>
      </c>
      <c r="J1822" s="8">
        <v>3.7000000000000012E-2</v>
      </c>
    </row>
    <row r="1823" spans="1:10" x14ac:dyDescent="0.25">
      <c r="A1823" s="5" t="s">
        <v>3672</v>
      </c>
      <c r="B1823" s="5" t="s">
        <v>3685</v>
      </c>
      <c r="C1823" s="6" t="str">
        <f>_xll.QS.CONTEXT.CREATE("market.1821",A1823,"USD","SOFR")</f>
        <v>QSObject:PricingContext:w1~market.1821:18537</v>
      </c>
      <c r="D1823" s="6" t="str">
        <f>_xll.QS.CONTEXT.ADD.CURVE(C1823,"SOFR",$K$2:$K$7,$L$2:$L$7,,,"Actual360","LogLinear",TRUE)</f>
        <v>QSObject:ContextInput:w1~input.qs_context_add_curve.2359132437744.1822.3.0:38304</v>
      </c>
      <c r="E1823" s="6" t="str">
        <f>_xll.QS.INSTRUMENT.SWAP("swap.1821",H1823,B1823,"USD","SOFR",I1823,J1823,0,"Actual360","Simple","Annual","Annual","Annual")</f>
        <v>QSObject:Swap:w1~swap.1821:18536</v>
      </c>
      <c r="F1823" s="6" t="str">
        <f>_xll.QS.TRADE.CREATE("trade.1821",E1823,A1823,"Receive")</f>
        <v>QSObject:SwapTrade:w1~trade.1821:29433</v>
      </c>
      <c r="G1823" s="3">
        <f>_xll.QS.EVALUATE(C1823,F1823)</f>
        <v>27654.766776021173</v>
      </c>
      <c r="H1823" s="5" t="s">
        <v>3686</v>
      </c>
      <c r="I1823" s="7">
        <v>1182100</v>
      </c>
      <c r="J1823" s="8">
        <v>3.7100000000000001E-2</v>
      </c>
    </row>
    <row r="1824" spans="1:10" x14ac:dyDescent="0.25">
      <c r="A1824" s="5" t="s">
        <v>3674</v>
      </c>
      <c r="B1824" s="5" t="s">
        <v>3687</v>
      </c>
      <c r="C1824" s="6" t="str">
        <f>_xll.QS.CONTEXT.CREATE("market.1822",A1824,"USD","SOFR")</f>
        <v>QSObject:PricingContext:w1~market.1822:18535</v>
      </c>
      <c r="D1824" s="6" t="str">
        <f>_xll.QS.CONTEXT.ADD.CURVE(C1824,"SOFR",$K$2:$K$7,$L$2:$L$7,,,"Actual360","LogLinear",TRUE)</f>
        <v>QSObject:ContextInput:w1~input.qs_context_add_curve.2359132437744.1823.3.0:38303</v>
      </c>
      <c r="E1824" s="6" t="str">
        <f>_xll.QS.INSTRUMENT.SWAP("swap.1822",H1824,B1824,"USD","SOFR",I1824,J1824,0,"Actual360","Simple","Annual","Annual","Annual")</f>
        <v>QSObject:Swap:w1~swap.1822:18534</v>
      </c>
      <c r="F1824" s="6" t="str">
        <f>_xll.QS.TRADE.CREATE("trade.1822",E1824,A1824,"Receive")</f>
        <v>QSObject:SwapTrade:w1~trade.1822:29432</v>
      </c>
      <c r="G1824" s="3">
        <f>_xll.QS.EVALUATE(C1824,F1824)</f>
        <v>28334.322464822104</v>
      </c>
      <c r="H1824" s="5" t="s">
        <v>3688</v>
      </c>
      <c r="I1824" s="7">
        <v>1182200</v>
      </c>
      <c r="J1824" s="8">
        <v>3.7199999999999997E-2</v>
      </c>
    </row>
    <row r="1825" spans="1:10" x14ac:dyDescent="0.25">
      <c r="A1825" s="5" t="s">
        <v>3676</v>
      </c>
      <c r="B1825" s="5" t="s">
        <v>3689</v>
      </c>
      <c r="C1825" s="6" t="str">
        <f>_xll.QS.CONTEXT.CREATE("market.1823",A1825,"USD","SOFR")</f>
        <v>QSObject:PricingContext:w1~market.1823:18533</v>
      </c>
      <c r="D1825" s="6" t="str">
        <f>_xll.QS.CONTEXT.ADD.CURVE(C1825,"SOFR",$K$2:$K$7,$L$2:$L$7,,,"Actual360","LogLinear",TRUE)</f>
        <v>QSObject:ContextInput:w1~input.qs_context_add_curve.2359132437744.1824.3.0:38302</v>
      </c>
      <c r="E1825" s="6" t="str">
        <f>_xll.QS.INSTRUMENT.SWAP("swap.1823",H1825,B1825,"USD","SOFR",I1825,J1825,0,"Actual360","Simple","Annual","Annual","Annual")</f>
        <v>QSObject:Swap:w1~swap.1823:18532</v>
      </c>
      <c r="F1825" s="6" t="str">
        <f>_xll.QS.TRADE.CREATE("trade.1823",E1825,A1825,"Receive")</f>
        <v>QSObject:SwapTrade:w1~trade.1823:30088</v>
      </c>
      <c r="G1825" s="3">
        <f>_xll.QS.EVALUATE(C1825,F1825)</f>
        <v>28889.654891597715</v>
      </c>
      <c r="H1825" s="5" t="s">
        <v>3690</v>
      </c>
      <c r="I1825" s="7">
        <v>1182300</v>
      </c>
      <c r="J1825" s="8">
        <v>3.73E-2</v>
      </c>
    </row>
    <row r="1826" spans="1:10" x14ac:dyDescent="0.25">
      <c r="A1826" s="5" t="s">
        <v>3678</v>
      </c>
      <c r="B1826" s="5" t="s">
        <v>3691</v>
      </c>
      <c r="C1826" s="6" t="str">
        <f>_xll.QS.CONTEXT.CREATE("market.1824",A1826,"USD","SOFR")</f>
        <v>QSObject:PricingContext:w1~market.1824:18531</v>
      </c>
      <c r="D1826" s="6" t="str">
        <f>_xll.QS.CONTEXT.ADD.CURVE(C1826,"SOFR",$K$2:$K$7,$L$2:$L$7,,,"Actual360","LogLinear",TRUE)</f>
        <v>QSObject:ContextInput:w1~input.qs_context_add_curve.2359132437744.1825.3.0:38301</v>
      </c>
      <c r="E1826" s="6" t="str">
        <f>_xll.QS.INSTRUMENT.SWAP("swap.1824",H1826,B1826,"USD","SOFR",I1826,J1826,0,"Actual360","Simple","Annual","Annual","Annual")</f>
        <v>QSObject:Swap:w1~swap.1824:18530</v>
      </c>
      <c r="F1826" s="6" t="str">
        <f>_xll.QS.TRADE.CREATE("trade.1824",E1826,A1826,"Receive")</f>
        <v>QSObject:SwapTrade:w1~trade.1824:29431</v>
      </c>
      <c r="G1826" s="3">
        <f>_xll.QS.EVALUATE(C1826,F1826)</f>
        <v>29438.597218651463</v>
      </c>
      <c r="H1826" s="5" t="s">
        <v>3692</v>
      </c>
      <c r="I1826" s="7">
        <v>1182400</v>
      </c>
      <c r="J1826" s="8">
        <v>3.7400000000000003E-2</v>
      </c>
    </row>
    <row r="1827" spans="1:10" x14ac:dyDescent="0.25">
      <c r="A1827" s="5" t="s">
        <v>3680</v>
      </c>
      <c r="B1827" s="5" t="s">
        <v>3693</v>
      </c>
      <c r="C1827" s="6" t="str">
        <f>_xll.QS.CONTEXT.CREATE("market.1825",A1827,"USD","SOFR")</f>
        <v>QSObject:PricingContext:w1~market.1825:18529</v>
      </c>
      <c r="D1827" s="6" t="str">
        <f>_xll.QS.CONTEXT.ADD.CURVE(C1827,"SOFR",$K$2:$K$7,$L$2:$L$7,,,"Actual360","LogLinear",TRUE)</f>
        <v>QSObject:ContextInput:w1~input.qs_context_add_curve.2359132437744.1826.3.0:38300</v>
      </c>
      <c r="E1827" s="6" t="str">
        <f>_xll.QS.INSTRUMENT.SWAP("swap.1825",H1827,B1827,"USD","SOFR",I1827,J1827,0,"Actual360","Simple","Annual","Annual","Annual")</f>
        <v>QSObject:Swap:w1~swap.1825:18528</v>
      </c>
      <c r="F1827" s="6" t="str">
        <f>_xll.QS.TRADE.CREATE("trade.1825",E1827,A1827,"Receive")</f>
        <v>QSObject:SwapTrade:w1~trade.1825:30087</v>
      </c>
      <c r="G1827" s="3">
        <f>_xll.QS.EVALUATE(C1827,F1827)</f>
        <v>29901.118348632321</v>
      </c>
      <c r="H1827" s="5" t="s">
        <v>3694</v>
      </c>
      <c r="I1827" s="7">
        <v>1182500</v>
      </c>
      <c r="J1827" s="8">
        <v>3.7500000000000012E-2</v>
      </c>
    </row>
    <row r="1828" spans="1:10" x14ac:dyDescent="0.25">
      <c r="A1828" s="5" t="s">
        <v>3682</v>
      </c>
      <c r="B1828" s="5" t="s">
        <v>3695</v>
      </c>
      <c r="C1828" s="6" t="str">
        <f>_xll.QS.CONTEXT.CREATE("market.1826",A1828,"USD","SOFR")</f>
        <v>QSObject:PricingContext:w1~market.1826:18527</v>
      </c>
      <c r="D1828" s="6" t="str">
        <f>_xll.QS.CONTEXT.ADD.CURVE(C1828,"SOFR",$K$2:$K$7,$L$2:$L$7,,,"Actual360","LogLinear",TRUE)</f>
        <v>QSObject:ContextInput:w1~input.qs_context_add_curve.2359132437744.1827.3.0:38299</v>
      </c>
      <c r="E1828" s="6" t="str">
        <f>_xll.QS.INSTRUMENT.SWAP("swap.1826",H1828,B1828,"USD","SOFR",I1828,J1828,0,"Actual360","Simple","Annual","Annual","Annual")</f>
        <v>QSObject:Swap:w1~swap.1826:18526</v>
      </c>
      <c r="F1828" s="6" t="str">
        <f>_xll.QS.TRADE.CREATE("trade.1826",E1828,A1828,"Receive")</f>
        <v>QSObject:SwapTrade:w1~trade.1826:30086</v>
      </c>
      <c r="G1828" s="3">
        <f>_xll.QS.EVALUATE(C1828,F1828)</f>
        <v>30361.14369618053</v>
      </c>
      <c r="H1828" s="5" t="s">
        <v>38</v>
      </c>
      <c r="I1828" s="7">
        <v>1182600</v>
      </c>
      <c r="J1828" s="8">
        <v>3.7600000000000001E-2</v>
      </c>
    </row>
    <row r="1829" spans="1:10" x14ac:dyDescent="0.25">
      <c r="A1829" s="5" t="s">
        <v>3684</v>
      </c>
      <c r="B1829" s="5" t="s">
        <v>3696</v>
      </c>
      <c r="C1829" s="6" t="str">
        <f>_xll.QS.CONTEXT.CREATE("market.1827",A1829,"USD","SOFR")</f>
        <v>QSObject:PricingContext:w1~market.1827:18525</v>
      </c>
      <c r="D1829" s="6" t="str">
        <f>_xll.QS.CONTEXT.ADD.CURVE(C1829,"SOFR",$K$2:$K$7,$L$2:$L$7,,,"Actual360","LogLinear",TRUE)</f>
        <v>QSObject:ContextInput:w1~input.qs_context_add_curve.2359132437744.1828.3.0:38298</v>
      </c>
      <c r="E1829" s="6" t="str">
        <f>_xll.QS.INSTRUMENT.SWAP("swap.1827",H1829,B1829,"USD","SOFR",I1829,J1829,0,"Actual360","Simple","Annual","Annual","Annual")</f>
        <v>QSObject:Swap:w1~swap.1827:18524</v>
      </c>
      <c r="F1829" s="6" t="str">
        <f>_xll.QS.TRADE.CREATE("trade.1827",E1829,A1829,"Receive")</f>
        <v>QSObject:SwapTrade:w1~trade.1827:29430</v>
      </c>
      <c r="G1829" s="3">
        <f>_xll.QS.EVALUATE(C1829,F1829)</f>
        <v>30911.64227542546</v>
      </c>
      <c r="H1829" s="5" t="s">
        <v>41</v>
      </c>
      <c r="I1829" s="7">
        <v>1182700</v>
      </c>
      <c r="J1829" s="8">
        <v>3.7699999999999997E-2</v>
      </c>
    </row>
    <row r="1830" spans="1:10" x14ac:dyDescent="0.25">
      <c r="A1830" s="5" t="s">
        <v>3686</v>
      </c>
      <c r="B1830" s="5" t="s">
        <v>3697</v>
      </c>
      <c r="C1830" s="6" t="str">
        <f>_xll.QS.CONTEXT.CREATE("market.1828",A1830,"USD","SOFR")</f>
        <v>QSObject:PricingContext:w1~market.1828:18523</v>
      </c>
      <c r="D1830" s="6" t="str">
        <f>_xll.QS.CONTEXT.ADD.CURVE(C1830,"SOFR",$K$2:$K$7,$L$2:$L$7,,,"Actual360","LogLinear",TRUE)</f>
        <v>QSObject:ContextInput:w1~input.qs_context_add_curve.2359132437744.1829.3.0:38297</v>
      </c>
      <c r="E1830" s="6" t="str">
        <f>_xll.QS.INSTRUMENT.SWAP("swap.1828",H1830,B1830,"USD","SOFR",I1830,J1830,0,"Actual360","Simple","Annual","Annual","Annual")</f>
        <v>QSObject:Swap:w1~swap.1828:18522</v>
      </c>
      <c r="F1830" s="6" t="str">
        <f>_xll.QS.TRADE.CREATE("trade.1828",E1830,A1830,"Receive")</f>
        <v>QSObject:SwapTrade:w1~trade.1828:30085</v>
      </c>
      <c r="G1830" s="3">
        <f>_xll.QS.EVALUATE(C1830,F1830)</f>
        <v>31489.027839991944</v>
      </c>
      <c r="H1830" s="5" t="s">
        <v>44</v>
      </c>
      <c r="I1830" s="7">
        <v>1182800</v>
      </c>
      <c r="J1830" s="8">
        <v>3.78E-2</v>
      </c>
    </row>
    <row r="1831" spans="1:10" x14ac:dyDescent="0.25">
      <c r="A1831" s="5" t="s">
        <v>3688</v>
      </c>
      <c r="B1831" s="5" t="s">
        <v>3698</v>
      </c>
      <c r="C1831" s="6" t="str">
        <f>_xll.QS.CONTEXT.CREATE("market.1829",A1831,"USD","SOFR")</f>
        <v>QSObject:PricingContext:w1~market.1829:18521</v>
      </c>
      <c r="D1831" s="6" t="str">
        <f>_xll.QS.CONTEXT.ADD.CURVE(C1831,"SOFR",$K$2:$K$7,$L$2:$L$7,,,"Actual360","LogLinear",TRUE)</f>
        <v>QSObject:ContextInput:w1~input.qs_context_add_curve.2359132437744.1830.3.0:38296</v>
      </c>
      <c r="E1831" s="6" t="str">
        <f>_xll.QS.INSTRUMENT.SWAP("swap.1829",H1831,B1831,"USD","SOFR",I1831,J1831,0,"Actual360","Simple","Annual","Annual","Annual")</f>
        <v>QSObject:Swap:w1~swap.1829:18520</v>
      </c>
      <c r="F1831" s="6" t="str">
        <f>_xll.QS.TRADE.CREATE("trade.1829",E1831,A1831,"Receive")</f>
        <v>QSObject:SwapTrade:w1~trade.1829:29429</v>
      </c>
      <c r="G1831" s="3">
        <f>_xll.QS.EVALUATE(C1831,F1831)</f>
        <v>32123.651042380658</v>
      </c>
      <c r="H1831" s="5" t="s">
        <v>47</v>
      </c>
      <c r="I1831" s="7">
        <v>1182900</v>
      </c>
      <c r="J1831" s="8">
        <v>3.7900000000000003E-2</v>
      </c>
    </row>
    <row r="1832" spans="1:10" x14ac:dyDescent="0.25">
      <c r="A1832" s="5" t="s">
        <v>3690</v>
      </c>
      <c r="B1832" s="5" t="s">
        <v>3699</v>
      </c>
      <c r="C1832" s="6" t="str">
        <f>_xll.QS.CONTEXT.CREATE("market.1830",A1832,"USD","SOFR")</f>
        <v>QSObject:PricingContext:w1~market.1830:18519</v>
      </c>
      <c r="D1832" s="6" t="str">
        <f>_xll.QS.CONTEXT.ADD.CURVE(C1832,"SOFR",$K$2:$K$7,$L$2:$L$7,,,"Actual360","LogLinear",TRUE)</f>
        <v>QSObject:ContextInput:w1~input.qs_context_add_curve.2359132437744.1831.3.0:38295</v>
      </c>
      <c r="E1832" s="6" t="str">
        <f>_xll.QS.INSTRUMENT.SWAP("swap.1830",H1832,B1832,"USD","SOFR",I1832,J1832,0,"Actual360","Simple","Annual","Annual","Annual")</f>
        <v>QSObject:Swap:w1~swap.1830:18518</v>
      </c>
      <c r="F1832" s="6" t="str">
        <f>_xll.QS.TRADE.CREATE("trade.1830",E1832,A1832,"Receive")</f>
        <v>QSObject:SwapTrade:w1~trade.1830:30084</v>
      </c>
      <c r="G1832" s="3">
        <f>_xll.QS.EVALUATE(C1832,F1832)</f>
        <v>32723.387749647576</v>
      </c>
      <c r="H1832" s="5" t="s">
        <v>50</v>
      </c>
      <c r="I1832" s="7">
        <v>1183000</v>
      </c>
      <c r="J1832" s="8">
        <v>3.8000000000000013E-2</v>
      </c>
    </row>
    <row r="1833" spans="1:10" x14ac:dyDescent="0.25">
      <c r="A1833" s="5" t="s">
        <v>3692</v>
      </c>
      <c r="B1833" s="5" t="s">
        <v>3700</v>
      </c>
      <c r="C1833" s="6" t="str">
        <f>_xll.QS.CONTEXT.CREATE("market.1831",A1833,"USD","SOFR")</f>
        <v>QSObject:PricingContext:w1~market.1831:18517</v>
      </c>
      <c r="D1833" s="6" t="str">
        <f>_xll.QS.CONTEXT.ADD.CURVE(C1833,"SOFR",$K$2:$K$7,$L$2:$L$7,,,"Actual360","LogLinear",TRUE)</f>
        <v>QSObject:ContextInput:w1~input.qs_context_add_curve.2359132437744.1832.3.0:38294</v>
      </c>
      <c r="E1833" s="6" t="str">
        <f>_xll.QS.INSTRUMENT.SWAP("swap.1831",H1833,B1833,"USD","SOFR",I1833,J1833,0,"Actual360","Simple","Annual","Annual","Annual")</f>
        <v>QSObject:Swap:w1~swap.1831:18516</v>
      </c>
      <c r="F1833" s="6" t="str">
        <f>_xll.QS.TRADE.CREATE("trade.1831",E1833,A1833,"Receive")</f>
        <v>QSObject:SwapTrade:w1~trade.1831:29428</v>
      </c>
      <c r="G1833" s="3">
        <f>_xll.QS.EVALUATE(C1833,F1833)</f>
        <v>33226.667993472001</v>
      </c>
      <c r="H1833" s="5" t="s">
        <v>53</v>
      </c>
      <c r="I1833" s="7">
        <v>1183100</v>
      </c>
      <c r="J1833" s="8">
        <v>3.8100000000000002E-2</v>
      </c>
    </row>
    <row r="1834" spans="1:10" x14ac:dyDescent="0.25">
      <c r="A1834" s="5" t="s">
        <v>3694</v>
      </c>
      <c r="B1834" s="5" t="s">
        <v>3701</v>
      </c>
      <c r="C1834" s="6" t="str">
        <f>_xll.QS.CONTEXT.CREATE("market.1832",A1834,"USD","SOFR")</f>
        <v>QSObject:PricingContext:w1~market.1832:18515</v>
      </c>
      <c r="D1834" s="6" t="str">
        <f>_xll.QS.CONTEXT.ADD.CURVE(C1834,"SOFR",$K$2:$K$7,$L$2:$L$7,,,"Actual360","LogLinear",TRUE)</f>
        <v>QSObject:ContextInput:w1~input.qs_context_add_curve.2359132437744.1833.3.0:38293</v>
      </c>
      <c r="E1834" s="6" t="str">
        <f>_xll.QS.INSTRUMENT.SWAP("swap.1832",H1834,B1834,"USD","SOFR",I1834,J1834,0,"Actual360","Simple","Annual","Annual","Annual")</f>
        <v>QSObject:Swap:w1~swap.1832:18514</v>
      </c>
      <c r="F1834" s="6" t="str">
        <f>_xll.QS.TRADE.CREATE("trade.1832",E1834,A1834,"Receive")</f>
        <v>QSObject:SwapTrade:w1~trade.1832:30083</v>
      </c>
      <c r="G1834" s="3">
        <f>_xll.QS.EVALUATE(C1834,F1834)</f>
        <v>33663.928393012611</v>
      </c>
      <c r="H1834" s="5" t="s">
        <v>56</v>
      </c>
      <c r="I1834" s="7">
        <v>1183200</v>
      </c>
      <c r="J1834" s="8">
        <v>3.8199999999999998E-2</v>
      </c>
    </row>
    <row r="1835" spans="1:10" x14ac:dyDescent="0.25">
      <c r="A1835" s="5" t="s">
        <v>38</v>
      </c>
      <c r="B1835" s="5" t="s">
        <v>3702</v>
      </c>
      <c r="C1835" s="6" t="str">
        <f>_xll.QS.CONTEXT.CREATE("market.1833",A1835,"USD","SOFR")</f>
        <v>QSObject:PricingContext:w1~market.1833:18513</v>
      </c>
      <c r="D1835" s="6" t="str">
        <f>_xll.QS.CONTEXT.ADD.CURVE(C1835,"SOFR",$K$2:$K$7,$L$2:$L$7,,,"Actual360","LogLinear",TRUE)</f>
        <v>QSObject:ContextInput:w1~input.qs_context_add_curve.2359132437744.1834.3.0:38292</v>
      </c>
      <c r="E1835" s="6" t="str">
        <f>_xll.QS.INSTRUMENT.SWAP("swap.1833",H1835,B1835,"USD","SOFR",I1835,J1835,0,"Actual360","Simple","Annual","Annual","Annual")</f>
        <v>QSObject:Swap:w1~swap.1833:18512</v>
      </c>
      <c r="F1835" s="6" t="str">
        <f>_xll.QS.TRADE.CREATE("trade.1833",E1835,A1835,"Receive")</f>
        <v>QSObject:SwapTrade:w1~trade.1833:29427</v>
      </c>
      <c r="G1835" s="3">
        <f>_xll.QS.EVALUATE(C1835,F1835)</f>
        <v>34102.262728533373</v>
      </c>
      <c r="H1835" s="5" t="s">
        <v>58</v>
      </c>
      <c r="I1835" s="7">
        <v>1183300</v>
      </c>
      <c r="J1835" s="8">
        <v>3.8300000000000001E-2</v>
      </c>
    </row>
    <row r="1836" spans="1:10" x14ac:dyDescent="0.25">
      <c r="A1836" s="5" t="s">
        <v>41</v>
      </c>
      <c r="B1836" s="5" t="s">
        <v>3703</v>
      </c>
      <c r="C1836" s="6" t="str">
        <f>_xll.QS.CONTEXT.CREATE("market.1834",A1836,"USD","SOFR")</f>
        <v>QSObject:PricingContext:w1~market.1834:18511</v>
      </c>
      <c r="D1836" s="6" t="str">
        <f>_xll.QS.CONTEXT.ADD.CURVE(C1836,"SOFR",$K$2:$K$7,$L$2:$L$7,,,"Actual360","LogLinear",TRUE)</f>
        <v>QSObject:ContextInput:w1~input.qs_context_add_curve.2359132437744.1835.3.0:38291</v>
      </c>
      <c r="E1836" s="6" t="str">
        <f>_xll.QS.INSTRUMENT.SWAP("swap.1834",H1836,B1836,"USD","SOFR",I1836,J1836,0,"Actual360","Simple","Annual","Annual","Annual")</f>
        <v>QSObject:Swap:w1~swap.1834:18510</v>
      </c>
      <c r="F1836" s="6" t="str">
        <f>_xll.QS.TRADE.CREATE("trade.1834",E1836,A1836,"Receive")</f>
        <v>QSObject:SwapTrade:w1~trade.1834:30082</v>
      </c>
      <c r="G1836" s="3">
        <f>_xll.QS.EVALUATE(C1836,F1836)</f>
        <v>34702.271139539196</v>
      </c>
      <c r="H1836" s="5" t="s">
        <v>60</v>
      </c>
      <c r="I1836" s="7">
        <v>1183400</v>
      </c>
      <c r="J1836" s="8">
        <v>3.8399999999999997E-2</v>
      </c>
    </row>
    <row r="1837" spans="1:10" x14ac:dyDescent="0.25">
      <c r="A1837" s="5" t="s">
        <v>44</v>
      </c>
      <c r="B1837" s="5" t="s">
        <v>3704</v>
      </c>
      <c r="C1837" s="6" t="str">
        <f>_xll.QS.CONTEXT.CREATE("market.1835",A1837,"USD","SOFR")</f>
        <v>QSObject:PricingContext:w1~market.1835:18509</v>
      </c>
      <c r="D1837" s="6" t="str">
        <f>_xll.QS.CONTEXT.ADD.CURVE(C1837,"SOFR",$K$2:$K$7,$L$2:$L$7,,,"Actual360","LogLinear",TRUE)</f>
        <v>QSObject:ContextInput:w1~input.qs_context_add_curve.2359132437744.1836.3.0:38290</v>
      </c>
      <c r="E1837" s="6" t="str">
        <f>_xll.QS.INSTRUMENT.SWAP("swap.1835",H1837,B1837,"USD","SOFR",I1837,J1837,0,"Actual360","Simple","Annual","Annual","Annual")</f>
        <v>QSObject:Swap:w1~swap.1835:18508</v>
      </c>
      <c r="F1837" s="6" t="str">
        <f>_xll.QS.TRADE.CREATE("trade.1835",E1837,A1837,"Receive")</f>
        <v>QSObject:SwapTrade:w1~trade.1835:29426</v>
      </c>
      <c r="G1837" s="3">
        <f>_xll.QS.EVALUATE(C1837,F1837)</f>
        <v>35300.687528635528</v>
      </c>
      <c r="H1837" s="5" t="s">
        <v>62</v>
      </c>
      <c r="I1837" s="7">
        <v>1183500</v>
      </c>
      <c r="J1837" s="8">
        <v>3.8500000000000013E-2</v>
      </c>
    </row>
    <row r="1838" spans="1:10" x14ac:dyDescent="0.25">
      <c r="A1838" s="5" t="s">
        <v>47</v>
      </c>
      <c r="B1838" s="5" t="s">
        <v>3705</v>
      </c>
      <c r="C1838" s="6" t="str">
        <f>_xll.QS.CONTEXT.CREATE("market.1836",A1838,"USD","SOFR")</f>
        <v>QSObject:PricingContext:w1~market.1836:18507</v>
      </c>
      <c r="D1838" s="6" t="str">
        <f>_xll.QS.CONTEXT.ADD.CURVE(C1838,"SOFR",$K$2:$K$7,$L$2:$L$7,,,"Actual360","LogLinear",TRUE)</f>
        <v>QSObject:ContextInput:w1~input.qs_context_add_curve.2359132437744.1837.3.0:38289</v>
      </c>
      <c r="E1838" s="6" t="str">
        <f>_xll.QS.INSTRUMENT.SWAP("swap.1836",H1838,B1838,"USD","SOFR",I1838,J1838,0,"Actual360","Simple","Annual","Annual","Annual")</f>
        <v>QSObject:Swap:w1~swap.1836:18506</v>
      </c>
      <c r="F1838" s="6" t="str">
        <f>_xll.QS.TRADE.CREATE("trade.1836",E1838,A1838,"Receive")</f>
        <v>QSObject:SwapTrade:w1~trade.1836:30081</v>
      </c>
      <c r="G1838" s="3">
        <f>_xll.QS.EVALUATE(C1838,F1838)</f>
        <v>36006.884462807706</v>
      </c>
      <c r="H1838" s="5" t="s">
        <v>64</v>
      </c>
      <c r="I1838" s="7">
        <v>1183600</v>
      </c>
      <c r="J1838" s="8">
        <v>3.8600000000000002E-2</v>
      </c>
    </row>
    <row r="1839" spans="1:10" x14ac:dyDescent="0.25">
      <c r="A1839" s="5" t="s">
        <v>50</v>
      </c>
      <c r="B1839" s="5" t="s">
        <v>3706</v>
      </c>
      <c r="C1839" s="6" t="str">
        <f>_xll.QS.CONTEXT.CREATE("market.1837",A1839,"USD","SOFR")</f>
        <v>QSObject:PricingContext:w1~market.1837:18505</v>
      </c>
      <c r="D1839" s="6" t="str">
        <f>_xll.QS.CONTEXT.ADD.CURVE(C1839,"SOFR",$K$2:$K$7,$L$2:$L$7,,,"Actual360","LogLinear",TRUE)</f>
        <v>QSObject:ContextInput:w1~input.qs_context_add_curve.2359132437744.1838.3.0:38288</v>
      </c>
      <c r="E1839" s="6" t="str">
        <f>_xll.QS.INSTRUMENT.SWAP("swap.1837",H1839,B1839,"USD","SOFR",I1839,J1839,0,"Actual360","Simple","Annual","Annual","Annual")</f>
        <v>QSObject:Swap:w1~swap.1837:18504</v>
      </c>
      <c r="F1839" s="6" t="str">
        <f>_xll.QS.TRADE.CREATE("trade.1837",E1839,A1839,"Receive")</f>
        <v>QSObject:SwapTrade:w1~trade.1837:29425</v>
      </c>
      <c r="G1839" s="3">
        <f>_xll.QS.EVALUATE(C1839,F1839)</f>
        <v>36567.03440405427</v>
      </c>
      <c r="H1839" s="5" t="s">
        <v>66</v>
      </c>
      <c r="I1839" s="7">
        <v>1183700</v>
      </c>
      <c r="J1839" s="8">
        <v>3.8700000000000012E-2</v>
      </c>
    </row>
    <row r="1840" spans="1:10" x14ac:dyDescent="0.25">
      <c r="A1840" s="5" t="s">
        <v>53</v>
      </c>
      <c r="B1840" s="5" t="s">
        <v>3707</v>
      </c>
      <c r="C1840" s="6" t="str">
        <f>_xll.QS.CONTEXT.CREATE("market.1838",A1840,"USD","SOFR")</f>
        <v>QSObject:PricingContext:w1~market.1838:18503</v>
      </c>
      <c r="D1840" s="6" t="str">
        <f>_xll.QS.CONTEXT.ADD.CURVE(C1840,"SOFR",$K$2:$K$7,$L$2:$L$7,,,"Actual360","LogLinear",TRUE)</f>
        <v>QSObject:ContextInput:w1~input.qs_context_add_curve.2359132437744.1839.3.0:38287</v>
      </c>
      <c r="E1840" s="6" t="str">
        <f>_xll.QS.INSTRUMENT.SWAP("swap.1838",H1840,B1840,"USD","SOFR",I1840,J1840,0,"Actual360","Simple","Annual","Annual","Annual")</f>
        <v>QSObject:Swap:w1~swap.1838:18502</v>
      </c>
      <c r="F1840" s="6" t="str">
        <f>_xll.QS.TRADE.CREATE("trade.1838",E1840,A1840,"Receive")</f>
        <v>QSObject:SwapTrade:w1~trade.1838:30080</v>
      </c>
      <c r="G1840" s="3">
        <f>_xll.QS.EVALUATE(C1840,F1840)</f>
        <v>37116.284926147157</v>
      </c>
      <c r="H1840" s="5" t="s">
        <v>68</v>
      </c>
      <c r="I1840" s="7">
        <v>1183800</v>
      </c>
      <c r="J1840" s="8">
        <v>3.8800000000000001E-2</v>
      </c>
    </row>
    <row r="1841" spans="1:10" x14ac:dyDescent="0.25">
      <c r="A1841" s="5" t="s">
        <v>56</v>
      </c>
      <c r="B1841" s="5" t="s">
        <v>3708</v>
      </c>
      <c r="C1841" s="6" t="str">
        <f>_xll.QS.CONTEXT.CREATE("market.1839",A1841,"USD","SOFR")</f>
        <v>QSObject:PricingContext:w1~market.1839:18501</v>
      </c>
      <c r="D1841" s="6" t="str">
        <f>_xll.QS.CONTEXT.ADD.CURVE(C1841,"SOFR",$K$2:$K$7,$L$2:$L$7,,,"Actual360","LogLinear",TRUE)</f>
        <v>QSObject:ContextInput:w1~input.qs_context_add_curve.2359132437744.1840.3.0:38286</v>
      </c>
      <c r="E1841" s="6" t="str">
        <f>_xll.QS.INSTRUMENT.SWAP("swap.1839",H1841,B1841,"USD","SOFR",I1841,J1841,0,"Actual360","Simple","Annual","Annual","Annual")</f>
        <v>QSObject:Swap:w1~swap.1839:18500</v>
      </c>
      <c r="F1841" s="6" t="str">
        <f>_xll.QS.TRADE.CREATE("trade.1839",E1841,A1841,"Receive")</f>
        <v>QSObject:SwapTrade:w1~trade.1839:30079</v>
      </c>
      <c r="G1841" s="3">
        <f>_xll.QS.EVALUATE(C1841,F1841)</f>
        <v>37571.171093768979</v>
      </c>
      <c r="H1841" s="5" t="s">
        <v>70</v>
      </c>
      <c r="I1841" s="7">
        <v>1183900</v>
      </c>
      <c r="J1841" s="8">
        <v>3.8899999999999997E-2</v>
      </c>
    </row>
    <row r="1842" spans="1:10" x14ac:dyDescent="0.25">
      <c r="A1842" s="5" t="s">
        <v>58</v>
      </c>
      <c r="B1842" s="5" t="s">
        <v>3709</v>
      </c>
      <c r="C1842" s="6" t="str">
        <f>_xll.QS.CONTEXT.CREATE("market.1840",A1842,"USD","SOFR")</f>
        <v>QSObject:PricingContext:w1~market.1840:18499</v>
      </c>
      <c r="D1842" s="6" t="str">
        <f>_xll.QS.CONTEXT.ADD.CURVE(C1842,"SOFR",$K$2:$K$7,$L$2:$L$7,,,"Actual360","LogLinear",TRUE)</f>
        <v>QSObject:ContextInput:w1~input.qs_context_add_curve.2359132437744.1841.3.0:38285</v>
      </c>
      <c r="E1842" s="6" t="str">
        <f>_xll.QS.INSTRUMENT.SWAP("swap.1840",H1842,B1842,"USD","SOFR",I1842,J1842,0,"Actual360","Simple","Annual","Annual","Annual")</f>
        <v>QSObject:Swap:w1~swap.1840:18498</v>
      </c>
      <c r="F1842" s="6" t="str">
        <f>_xll.QS.TRADE.CREATE("trade.1840",E1842,A1842,"Receive")</f>
        <v>QSObject:SwapTrade:w1~trade.1840:30078</v>
      </c>
      <c r="G1842" s="3">
        <f>_xll.QS.EVALUATE(C1842,F1842)</f>
        <v>38044.228976501763</v>
      </c>
      <c r="H1842" s="5" t="s">
        <v>72</v>
      </c>
      <c r="I1842" s="7">
        <v>1184000</v>
      </c>
      <c r="J1842" s="8">
        <v>3.9000000000000007E-2</v>
      </c>
    </row>
    <row r="1843" spans="1:10" x14ac:dyDescent="0.25">
      <c r="A1843" s="5" t="s">
        <v>60</v>
      </c>
      <c r="B1843" s="5" t="s">
        <v>3710</v>
      </c>
      <c r="C1843" s="6" t="str">
        <f>_xll.QS.CONTEXT.CREATE("market.1841",A1843,"USD","SOFR")</f>
        <v>QSObject:PricingContext:w1~market.1841:18497</v>
      </c>
      <c r="D1843" s="6" t="str">
        <f>_xll.QS.CONTEXT.ADD.CURVE(C1843,"SOFR",$K$2:$K$7,$L$2:$L$7,,,"Actual360","LogLinear",TRUE)</f>
        <v>QSObject:ContextInput:w1~input.qs_context_add_curve.2359132437744.1842.3.0:38284</v>
      </c>
      <c r="E1843" s="6" t="str">
        <f>_xll.QS.INSTRUMENT.SWAP("swap.1841",H1843,B1843,"USD","SOFR",I1843,J1843,0,"Actual360","Simple","Annual","Annual","Annual")</f>
        <v>QSObject:Swap:w1~swap.1841:18496</v>
      </c>
      <c r="F1843" s="6" t="str">
        <f>_xll.QS.TRADE.CREATE("trade.1841",E1843,A1843,"Receive")</f>
        <v>QSObject:SwapTrade:w1~trade.1841:30077</v>
      </c>
      <c r="G1843" s="3">
        <f>_xll.QS.EVALUATE(C1843,F1843)</f>
        <v>38596.537317526585</v>
      </c>
      <c r="H1843" s="5" t="s">
        <v>74</v>
      </c>
      <c r="I1843" s="7">
        <v>1184100</v>
      </c>
      <c r="J1843" s="8">
        <v>3.9100000000000003E-2</v>
      </c>
    </row>
    <row r="1844" spans="1:10" x14ac:dyDescent="0.25">
      <c r="A1844" s="5" t="s">
        <v>62</v>
      </c>
      <c r="B1844" s="5" t="s">
        <v>3711</v>
      </c>
      <c r="C1844" s="6" t="str">
        <f>_xll.QS.CONTEXT.CREATE("market.1842",A1844,"USD","SOFR")</f>
        <v>QSObject:PricingContext:w1~market.1842:18495</v>
      </c>
      <c r="D1844" s="6" t="str">
        <f>_xll.QS.CONTEXT.ADD.CURVE(C1844,"SOFR",$K$2:$K$7,$L$2:$L$7,,,"Actual360","LogLinear",TRUE)</f>
        <v>QSObject:ContextInput:w1~input.qs_context_add_curve.2359132437744.1843.3.0:38283</v>
      </c>
      <c r="E1844" s="6" t="str">
        <f>_xll.QS.INSTRUMENT.SWAP("swap.1842",H1844,B1844,"USD","SOFR",I1844,J1844,0,"Actual360","Simple","Annual","Annual","Annual")</f>
        <v>QSObject:Swap:w1~swap.1842:18494</v>
      </c>
      <c r="F1844" s="6" t="str">
        <f>_xll.QS.TRADE.CREATE("trade.1842",E1844,A1844,"Receive")</f>
        <v>QSObject:SwapTrade:w1~trade.1842:30076</v>
      </c>
      <c r="G1844" s="3">
        <f>_xll.QS.EVALUATE(C1844,F1844)</f>
        <v>39171.451093859447</v>
      </c>
      <c r="H1844" s="5" t="s">
        <v>76</v>
      </c>
      <c r="I1844" s="7">
        <v>1184200</v>
      </c>
      <c r="J1844" s="8">
        <v>3.9200000000000013E-2</v>
      </c>
    </row>
    <row r="1845" spans="1:10" x14ac:dyDescent="0.25">
      <c r="A1845" s="5" t="s">
        <v>64</v>
      </c>
      <c r="B1845" s="5" t="s">
        <v>3712</v>
      </c>
      <c r="C1845" s="6" t="str">
        <f>_xll.QS.CONTEXT.CREATE("market.1843",A1845,"USD","SOFR")</f>
        <v>QSObject:PricingContext:w1~market.1843:18493</v>
      </c>
      <c r="D1845" s="6" t="str">
        <f>_xll.QS.CONTEXT.ADD.CURVE(C1845,"SOFR",$K$2:$K$7,$L$2:$L$7,,,"Actual360","LogLinear",TRUE)</f>
        <v>QSObject:ContextInput:w1~input.qs_context_add_curve.2359132437744.1844.3.0:38282</v>
      </c>
      <c r="E1845" s="6" t="str">
        <f>_xll.QS.INSTRUMENT.SWAP("swap.1843",H1845,B1845,"USD","SOFR",I1845,J1845,0,"Actual360","Simple","Annual","Annual","Annual")</f>
        <v>QSObject:Swap:w1~swap.1843:18492</v>
      </c>
      <c r="F1845" s="6" t="str">
        <f>_xll.QS.TRADE.CREATE("trade.1843",E1845,A1845,"Receive")</f>
        <v>QSObject:SwapTrade:w1~trade.1843:30075</v>
      </c>
      <c r="G1845" s="3">
        <f>_xll.QS.EVALUATE(C1845,F1845)</f>
        <v>39807.504275402884</v>
      </c>
      <c r="H1845" s="5" t="s">
        <v>78</v>
      </c>
      <c r="I1845" s="7">
        <v>1184300</v>
      </c>
      <c r="J1845" s="8">
        <v>3.9300000000000002E-2</v>
      </c>
    </row>
    <row r="1846" spans="1:10" x14ac:dyDescent="0.25">
      <c r="A1846" s="5" t="s">
        <v>66</v>
      </c>
      <c r="B1846" s="5" t="s">
        <v>3713</v>
      </c>
      <c r="C1846" s="6" t="str">
        <f>_xll.QS.CONTEXT.CREATE("market.1844",A1846,"USD","SOFR")</f>
        <v>QSObject:PricingContext:w1~market.1844:18491</v>
      </c>
      <c r="D1846" s="6" t="str">
        <f>_xll.QS.CONTEXT.ADD.CURVE(C1846,"SOFR",$K$2:$K$7,$L$2:$L$7,,,"Actual360","LogLinear",TRUE)</f>
        <v>QSObject:ContextInput:w1~input.qs_context_add_curve.2359132437744.1845.3.0:38281</v>
      </c>
      <c r="E1846" s="6" t="str">
        <f>_xll.QS.INSTRUMENT.SWAP("swap.1844",H1846,B1846,"USD","SOFR",I1846,J1846,0,"Actual360","Simple","Annual","Annual","Annual")</f>
        <v>QSObject:Swap:w1~swap.1844:18490</v>
      </c>
      <c r="F1846" s="6" t="str">
        <f>_xll.QS.TRADE.CREATE("trade.1844",E1846,A1846,"Receive")</f>
        <v>QSObject:SwapTrade:w1~trade.1844:30074</v>
      </c>
      <c r="G1846" s="3">
        <f>_xll.QS.EVALUATE(C1846,F1846)</f>
        <v>40408.608470454288</v>
      </c>
      <c r="H1846" s="5" t="s">
        <v>80</v>
      </c>
      <c r="I1846" s="7">
        <v>1184400</v>
      </c>
      <c r="J1846" s="8">
        <v>3.9399999999999998E-2</v>
      </c>
    </row>
    <row r="1847" spans="1:10" x14ac:dyDescent="0.25">
      <c r="A1847" s="5" t="s">
        <v>68</v>
      </c>
      <c r="B1847" s="5" t="s">
        <v>3714</v>
      </c>
      <c r="C1847" s="6" t="str">
        <f>_xll.QS.CONTEXT.CREATE("market.1845",A1847,"USD","SOFR")</f>
        <v>QSObject:PricingContext:w1~market.1845:18489</v>
      </c>
      <c r="D1847" s="6" t="str">
        <f>_xll.QS.CONTEXT.ADD.CURVE(C1847,"SOFR",$K$2:$K$7,$L$2:$L$7,,,"Actual360","LogLinear",TRUE)</f>
        <v>QSObject:ContextInput:w1~input.qs_context_add_curve.2359132437744.1846.3.0:38280</v>
      </c>
      <c r="E1847" s="6" t="str">
        <f>_xll.QS.INSTRUMENT.SWAP("swap.1845",H1847,B1847,"USD","SOFR",I1847,J1847,0,"Actual360","Simple","Annual","Annual","Annual")</f>
        <v>QSObject:Swap:w1~swap.1845:18488</v>
      </c>
      <c r="F1847" s="6" t="str">
        <f>_xll.QS.TRADE.CREATE("trade.1845",E1847,A1847,"Receive")</f>
        <v>QSObject:SwapTrade:w1~trade.1845:29424</v>
      </c>
      <c r="G1847" s="3">
        <f>_xll.QS.EVALUATE(C1847,F1847)</f>
        <v>40913.17347099894</v>
      </c>
      <c r="H1847" s="5" t="s">
        <v>82</v>
      </c>
      <c r="I1847" s="7">
        <v>1184500</v>
      </c>
      <c r="J1847" s="8">
        <v>3.9500000000000007E-2</v>
      </c>
    </row>
    <row r="1848" spans="1:10" x14ac:dyDescent="0.25">
      <c r="A1848" s="5" t="s">
        <v>70</v>
      </c>
      <c r="B1848" s="5" t="s">
        <v>3715</v>
      </c>
      <c r="C1848" s="6" t="str">
        <f>_xll.QS.CONTEXT.CREATE("market.1846",A1848,"USD","SOFR")</f>
        <v>QSObject:PricingContext:w1~market.1846:18487</v>
      </c>
      <c r="D1848" s="6" t="str">
        <f>_xll.QS.CONTEXT.ADD.CURVE(C1848,"SOFR",$K$2:$K$7,$L$2:$L$7,,,"Actual360","LogLinear",TRUE)</f>
        <v>QSObject:ContextInput:w1~input.qs_context_add_curve.2359132437744.1847.3.0:38279</v>
      </c>
      <c r="E1848" s="6" t="str">
        <f>_xll.QS.INSTRUMENT.SWAP("swap.1846",H1848,B1848,"USD","SOFR",I1848,J1848,0,"Actual360","Simple","Annual","Annual","Annual")</f>
        <v>QSObject:Swap:w1~swap.1846:18486</v>
      </c>
      <c r="F1848" s="6" t="str">
        <f>_xll.QS.TRADE.CREATE("trade.1846",E1848,A1848,"Receive")</f>
        <v>QSObject:SwapTrade:w1~trade.1846:30073</v>
      </c>
      <c r="G1848" s="3">
        <f>_xll.QS.EVALUATE(C1848,F1848)</f>
        <v>41363.954697423353</v>
      </c>
      <c r="H1848" s="5" t="s">
        <v>84</v>
      </c>
      <c r="I1848" s="7">
        <v>1184600</v>
      </c>
      <c r="J1848" s="8">
        <v>3.9600000000000003E-2</v>
      </c>
    </row>
    <row r="1849" spans="1:10" x14ac:dyDescent="0.25">
      <c r="A1849" s="5" t="s">
        <v>72</v>
      </c>
      <c r="B1849" s="5" t="s">
        <v>3716</v>
      </c>
      <c r="C1849" s="6" t="str">
        <f>_xll.QS.CONTEXT.CREATE("market.1847",A1849,"USD","SOFR")</f>
        <v>QSObject:PricingContext:w1~market.1847:18485</v>
      </c>
      <c r="D1849" s="6" t="str">
        <f>_xll.QS.CONTEXT.ADD.CURVE(C1849,"SOFR",$K$2:$K$7,$L$2:$L$7,,,"Actual360","LogLinear",TRUE)</f>
        <v>QSObject:ContextInput:w1~input.qs_context_add_curve.2359132437744.1848.3.0:38278</v>
      </c>
      <c r="E1849" s="6" t="str">
        <f>_xll.QS.INSTRUMENT.SWAP("swap.1847",H1849,B1849,"USD","SOFR",I1849,J1849,0,"Actual360","Simple","Annual","Annual","Annual")</f>
        <v>QSObject:Swap:w1~swap.1847:18484</v>
      </c>
      <c r="F1849" s="6" t="str">
        <f>_xll.QS.TRADE.CREATE("trade.1847",E1849,A1849,"Receive")</f>
        <v>QSObject:SwapTrade:w1~trade.1847:30072</v>
      </c>
      <c r="G1849" s="3">
        <f>_xll.QS.EVALUATE(C1849,F1849)</f>
        <v>41843.655203981929</v>
      </c>
      <c r="H1849" s="5" t="s">
        <v>86</v>
      </c>
      <c r="I1849" s="7">
        <v>1184700</v>
      </c>
      <c r="J1849" s="8">
        <v>3.9700000000000013E-2</v>
      </c>
    </row>
    <row r="1850" spans="1:10" x14ac:dyDescent="0.25">
      <c r="A1850" s="5" t="s">
        <v>74</v>
      </c>
      <c r="B1850" s="5" t="s">
        <v>3717</v>
      </c>
      <c r="C1850" s="6" t="str">
        <f>_xll.QS.CONTEXT.CREATE("market.1848",A1850,"USD","SOFR")</f>
        <v>QSObject:PricingContext:w1~market.1848:18483</v>
      </c>
      <c r="D1850" s="6" t="str">
        <f>_xll.QS.CONTEXT.ADD.CURVE(C1850,"SOFR",$K$2:$K$7,$L$2:$L$7,,,"Actual360","LogLinear",TRUE)</f>
        <v>QSObject:ContextInput:w1~input.qs_context_add_curve.2359132437744.1849.3.0:38277</v>
      </c>
      <c r="E1850" s="6" t="str">
        <f>_xll.QS.INSTRUMENT.SWAP("swap.1848",H1850,B1850,"USD","SOFR",I1850,J1850,0,"Actual360","Simple","Annual","Annual","Annual")</f>
        <v>QSObject:Swap:w1~swap.1848:18482</v>
      </c>
      <c r="F1850" s="6" t="str">
        <f>_xll.QS.TRADE.CREATE("trade.1848",E1850,A1850,"Receive")</f>
        <v>QSObject:SwapTrade:w1~trade.1848:30071</v>
      </c>
      <c r="G1850" s="3">
        <f>_xll.QS.EVALUATE(C1850,F1850)</f>
        <v>42445.588995519196</v>
      </c>
      <c r="H1850" s="5" t="s">
        <v>88</v>
      </c>
      <c r="I1850" s="7">
        <v>1184800</v>
      </c>
      <c r="J1850" s="8">
        <v>3.9800000000000002E-2</v>
      </c>
    </row>
    <row r="1851" spans="1:10" x14ac:dyDescent="0.25">
      <c r="A1851" s="5" t="s">
        <v>76</v>
      </c>
      <c r="B1851" s="5" t="s">
        <v>3718</v>
      </c>
      <c r="C1851" s="6" t="str">
        <f>_xll.QS.CONTEXT.CREATE("market.1849",A1851,"USD","SOFR")</f>
        <v>QSObject:PricingContext:w1~market.1849:18481</v>
      </c>
      <c r="D1851" s="6" t="str">
        <f>_xll.QS.CONTEXT.ADD.CURVE(C1851,"SOFR",$K$2:$K$7,$L$2:$L$7,,,"Actual360","LogLinear",TRUE)</f>
        <v>QSObject:ContextInput:w1~input.qs_context_add_curve.2359132437744.1850.3.0:38276</v>
      </c>
      <c r="E1851" s="6" t="str">
        <f>_xll.QS.INSTRUMENT.SWAP("swap.1849",H1851,B1851,"USD","SOFR",I1851,J1851,0,"Actual360","Simple","Annual","Annual","Annual")</f>
        <v>QSObject:Swap:w1~swap.1849:18480</v>
      </c>
      <c r="F1851" s="6" t="str">
        <f>_xll.QS.TRADE.CREATE("trade.1849",E1851,A1851,"Receive")</f>
        <v>QSObject:SwapTrade:w1~trade.1849:30070</v>
      </c>
      <c r="G1851" s="3">
        <f>_xll.QS.EVALUATE(C1851,F1851)</f>
        <v>43019.538543060837</v>
      </c>
      <c r="H1851" s="5" t="s">
        <v>90</v>
      </c>
      <c r="I1851" s="7">
        <v>1184900</v>
      </c>
      <c r="J1851" s="8">
        <v>3.9899999999999998E-2</v>
      </c>
    </row>
    <row r="1852" spans="1:10" x14ac:dyDescent="0.25">
      <c r="A1852" s="5" t="s">
        <v>78</v>
      </c>
      <c r="B1852" s="5" t="s">
        <v>3719</v>
      </c>
      <c r="C1852" s="6" t="str">
        <f>_xll.QS.CONTEXT.CREATE("market.1850",A1852,"USD","SOFR")</f>
        <v>QSObject:PricingContext:w1~market.1850:18479</v>
      </c>
      <c r="D1852" s="6" t="str">
        <f>_xll.QS.CONTEXT.ADD.CURVE(C1852,"SOFR",$K$2:$K$7,$L$2:$L$7,,,"Actual360","LogLinear",TRUE)</f>
        <v>QSObject:ContextInput:w1~input.qs_context_add_curve.2359132437744.1851.3.0:38275</v>
      </c>
      <c r="E1852" s="6" t="str">
        <f>_xll.QS.INSTRUMENT.SWAP("swap.1850",H1852,B1852,"USD","SOFR",I1852,J1852,0,"Actual360","Simple","Annual","Annual","Annual")</f>
        <v>QSObject:Swap:w1~swap.1850:18478</v>
      </c>
      <c r="F1852" s="6" t="str">
        <f>_xll.QS.TRADE.CREATE("trade.1850",E1852,A1852,"Receive")</f>
        <v>QSObject:SwapTrade:w1~trade.1850:30069</v>
      </c>
      <c r="G1852" s="3">
        <f>_xll.QS.EVALUATE(C1852,F1852)</f>
        <v>16333.657760042435</v>
      </c>
      <c r="H1852" s="5" t="s">
        <v>92</v>
      </c>
      <c r="I1852" s="7">
        <v>1185000</v>
      </c>
      <c r="J1852" s="8">
        <v>3.5000000000000003E-2</v>
      </c>
    </row>
    <row r="1853" spans="1:10" x14ac:dyDescent="0.25">
      <c r="A1853" s="5" t="s">
        <v>80</v>
      </c>
      <c r="B1853" s="5" t="s">
        <v>3720</v>
      </c>
      <c r="C1853" s="6" t="str">
        <f>_xll.QS.CONTEXT.CREATE("market.1851",A1853,"USD","SOFR")</f>
        <v>QSObject:PricingContext:w1~market.1851:18477</v>
      </c>
      <c r="D1853" s="6" t="str">
        <f>_xll.QS.CONTEXT.ADD.CURVE(C1853,"SOFR",$K$2:$K$7,$L$2:$L$7,,,"Actual360","LogLinear",TRUE)</f>
        <v>QSObject:ContextInput:w1~input.qs_context_add_curve.2359132437744.1852.3.0:38274</v>
      </c>
      <c r="E1853" s="6" t="str">
        <f>_xll.QS.INSTRUMENT.SWAP("swap.1851",H1853,B1853,"USD","SOFR",I1853,J1853,0,"Actual360","Simple","Annual","Annual","Annual")</f>
        <v>QSObject:Swap:w1~swap.1851:18476</v>
      </c>
      <c r="F1853" s="6" t="str">
        <f>_xll.QS.TRADE.CREATE("trade.1851",E1853,A1853,"Receive")</f>
        <v>QSObject:SwapTrade:w1~trade.1851:30068</v>
      </c>
      <c r="G1853" s="3">
        <f>_xll.QS.EVALUATE(C1853,F1853)</f>
        <v>16932.806991303947</v>
      </c>
      <c r="H1853" s="5" t="s">
        <v>94</v>
      </c>
      <c r="I1853" s="7">
        <v>1185100</v>
      </c>
      <c r="J1853" s="8">
        <v>3.5100000000000013E-2</v>
      </c>
    </row>
    <row r="1854" spans="1:10" x14ac:dyDescent="0.25">
      <c r="A1854" s="5" t="s">
        <v>82</v>
      </c>
      <c r="B1854" s="5" t="s">
        <v>3721</v>
      </c>
      <c r="C1854" s="6" t="str">
        <f>_xll.QS.CONTEXT.CREATE("market.1852",A1854,"USD","SOFR")</f>
        <v>QSObject:PricingContext:w1~market.1852:18475</v>
      </c>
      <c r="D1854" s="6" t="str">
        <f>_xll.QS.CONTEXT.ADD.CURVE(C1854,"SOFR",$K$2:$K$7,$L$2:$L$7,,,"Actual360","LogLinear",TRUE)</f>
        <v>QSObject:ContextInput:w1~input.qs_context_add_curve.2359132437744.1853.3.0:38273</v>
      </c>
      <c r="E1854" s="6" t="str">
        <f>_xll.QS.INSTRUMENT.SWAP("swap.1852",H1854,B1854,"USD","SOFR",I1854,J1854,0,"Actual360","Simple","Annual","Annual","Annual")</f>
        <v>QSObject:Swap:w1~swap.1852:18474</v>
      </c>
      <c r="F1854" s="6" t="str">
        <f>_xll.QS.TRADE.CREATE("trade.1852",E1854,A1854,"Receive")</f>
        <v>QSObject:SwapTrade:w1~trade.1852:30067</v>
      </c>
      <c r="G1854" s="3">
        <f>_xll.QS.EVALUATE(C1854,F1854)</f>
        <v>17435.72734796234</v>
      </c>
      <c r="H1854" s="5" t="s">
        <v>96</v>
      </c>
      <c r="I1854" s="7">
        <v>1185200</v>
      </c>
      <c r="J1854" s="8">
        <v>3.5200000000000002E-2</v>
      </c>
    </row>
    <row r="1855" spans="1:10" x14ac:dyDescent="0.25">
      <c r="A1855" s="5" t="s">
        <v>84</v>
      </c>
      <c r="B1855" s="5" t="s">
        <v>3722</v>
      </c>
      <c r="C1855" s="6" t="str">
        <f>_xll.QS.CONTEXT.CREATE("market.1853",A1855,"USD","SOFR")</f>
        <v>QSObject:PricingContext:w1~market.1853:18473</v>
      </c>
      <c r="D1855" s="6" t="str">
        <f>_xll.QS.CONTEXT.ADD.CURVE(C1855,"SOFR",$K$2:$K$7,$L$2:$L$7,,,"Actual360","LogLinear",TRUE)</f>
        <v>QSObject:ContextInput:w1~input.qs_context_add_curve.2359132437744.1854.3.0:38272</v>
      </c>
      <c r="E1855" s="6" t="str">
        <f>_xll.QS.INSTRUMENT.SWAP("swap.1853",H1855,B1855,"USD","SOFR",I1855,J1855,0,"Actual360","Simple","Annual","Annual","Annual")</f>
        <v>QSObject:Swap:w1~swap.1853:18472</v>
      </c>
      <c r="F1855" s="6" t="str">
        <f>_xll.QS.TRADE.CREATE("trade.1853",E1855,A1855,"Receive")</f>
        <v>QSObject:SwapTrade:w1~trade.1853:30066</v>
      </c>
      <c r="G1855" s="3">
        <f>_xll.QS.EVALUATE(C1855,F1855)</f>
        <v>17912.488057192291</v>
      </c>
      <c r="H1855" s="5" t="s">
        <v>98</v>
      </c>
      <c r="I1855" s="7">
        <v>1185300</v>
      </c>
      <c r="J1855" s="8">
        <v>3.5299999999999998E-2</v>
      </c>
    </row>
    <row r="1856" spans="1:10" x14ac:dyDescent="0.25">
      <c r="A1856" s="5" t="s">
        <v>86</v>
      </c>
      <c r="B1856" s="5" t="s">
        <v>3723</v>
      </c>
      <c r="C1856" s="6" t="str">
        <f>_xll.QS.CONTEXT.CREATE("market.1854",A1856,"USD","SOFR")</f>
        <v>QSObject:PricingContext:w1~market.1854:18471</v>
      </c>
      <c r="D1856" s="6" t="str">
        <f>_xll.QS.CONTEXT.ADD.CURVE(C1856,"SOFR",$K$2:$K$7,$L$2:$L$7,,,"Actual360","LogLinear",TRUE)</f>
        <v>QSObject:ContextInput:w1~input.qs_context_add_curve.2359132437744.1855.3.0:38271</v>
      </c>
      <c r="E1856" s="6" t="str">
        <f>_xll.QS.INSTRUMENT.SWAP("swap.1854",H1856,B1856,"USD","SOFR",I1856,J1856,0,"Actual360","Simple","Annual","Annual","Annual")</f>
        <v>QSObject:Swap:w1~swap.1854:18470</v>
      </c>
      <c r="F1856" s="6" t="str">
        <f>_xll.QS.TRADE.CREATE("trade.1854",E1856,A1856,"Receive")</f>
        <v>QSObject:SwapTrade:w1~trade.1854:30065</v>
      </c>
      <c r="G1856" s="3">
        <f>_xll.QS.EVALUATE(C1856,F1856)</f>
        <v>18354.050306477351</v>
      </c>
      <c r="H1856" s="5" t="s">
        <v>100</v>
      </c>
      <c r="I1856" s="7">
        <v>1185400</v>
      </c>
      <c r="J1856" s="8">
        <v>3.5400000000000001E-2</v>
      </c>
    </row>
    <row r="1857" spans="1:10" x14ac:dyDescent="0.25">
      <c r="A1857" s="5" t="s">
        <v>88</v>
      </c>
      <c r="B1857" s="5" t="s">
        <v>3724</v>
      </c>
      <c r="C1857" s="6" t="str">
        <f>_xll.QS.CONTEXT.CREATE("market.1855",A1857,"USD","SOFR")</f>
        <v>QSObject:PricingContext:w1~market.1855:18469</v>
      </c>
      <c r="D1857" s="6" t="str">
        <f>_xll.QS.CONTEXT.ADD.CURVE(C1857,"SOFR",$K$2:$K$7,$L$2:$L$7,,,"Actual360","LogLinear",TRUE)</f>
        <v>QSObject:ContextInput:w1~input.qs_context_add_curve.2359132437744.1856.3.0:38270</v>
      </c>
      <c r="E1857" s="6" t="str">
        <f>_xll.QS.INSTRUMENT.SWAP("swap.1855",H1857,B1857,"USD","SOFR",I1857,J1857,0,"Actual360","Simple","Annual","Annual","Annual")</f>
        <v>QSObject:Swap:w1~swap.1855:18468</v>
      </c>
      <c r="F1857" s="6" t="str">
        <f>_xll.QS.TRADE.CREATE("trade.1855",E1857,A1857,"Receive")</f>
        <v>QSObject:SwapTrade:w1~trade.1855:30064</v>
      </c>
      <c r="G1857" s="3">
        <f>_xll.QS.EVALUATE(C1857,F1857)</f>
        <v>18952.162260245903</v>
      </c>
      <c r="H1857" s="5" t="s">
        <v>102</v>
      </c>
      <c r="I1857" s="7">
        <v>1185500</v>
      </c>
      <c r="J1857" s="8">
        <v>3.5499999999999997E-2</v>
      </c>
    </row>
    <row r="1858" spans="1:10" x14ac:dyDescent="0.25">
      <c r="A1858" s="5" t="s">
        <v>90</v>
      </c>
      <c r="B1858" s="5" t="s">
        <v>3725</v>
      </c>
      <c r="C1858" s="6" t="str">
        <f>_xll.QS.CONTEXT.CREATE("market.1856",A1858,"USD","SOFR")</f>
        <v>QSObject:PricingContext:w1~market.1856:18467</v>
      </c>
      <c r="D1858" s="6" t="str">
        <f>_xll.QS.CONTEXT.ADD.CURVE(C1858,"SOFR",$K$2:$K$7,$L$2:$L$7,,,"Actual360","LogLinear",TRUE)</f>
        <v>QSObject:ContextInput:w1~input.qs_context_add_curve.2359132437744.1857.3.0:38269</v>
      </c>
      <c r="E1858" s="6" t="str">
        <f>_xll.QS.INSTRUMENT.SWAP("swap.1856",H1858,B1858,"USD","SOFR",I1858,J1858,0,"Actual360","Simple","Annual","Annual","Annual")</f>
        <v>QSObject:Swap:w1~swap.1856:18466</v>
      </c>
      <c r="F1858" s="6" t="str">
        <f>_xll.QS.TRADE.CREATE("trade.1856",E1858,A1858,"Receive")</f>
        <v>QSObject:SwapTrade:w1~trade.1856:30063</v>
      </c>
      <c r="G1858" s="3">
        <f>_xll.QS.EVALUATE(C1858,F1858)</f>
        <v>19535.785125492868</v>
      </c>
      <c r="H1858" s="5" t="s">
        <v>104</v>
      </c>
      <c r="I1858" s="7">
        <v>1185600</v>
      </c>
      <c r="J1858" s="8">
        <v>3.5600000000000007E-2</v>
      </c>
    </row>
    <row r="1859" spans="1:10" x14ac:dyDescent="0.25">
      <c r="A1859" s="5" t="s">
        <v>92</v>
      </c>
      <c r="B1859" s="5" t="s">
        <v>3726</v>
      </c>
      <c r="C1859" s="6" t="str">
        <f>_xll.QS.CONTEXT.CREATE("market.1857",A1859,"USD","SOFR")</f>
        <v>QSObject:PricingContext:w1~market.1857:18465</v>
      </c>
      <c r="D1859" s="6" t="str">
        <f>_xll.QS.CONTEXT.ADD.CURVE(C1859,"SOFR",$K$2:$K$7,$L$2:$L$7,,,"Actual360","LogLinear",TRUE)</f>
        <v>QSObject:ContextInput:w1~input.qs_context_add_curve.2359132437744.1858.3.0:38268</v>
      </c>
      <c r="E1859" s="6" t="str">
        <f>_xll.QS.INSTRUMENT.SWAP("swap.1857",H1859,B1859,"USD","SOFR",I1859,J1859,0,"Actual360","Simple","Annual","Annual","Annual")</f>
        <v>QSObject:Swap:w1~swap.1857:18464</v>
      </c>
      <c r="F1859" s="6" t="str">
        <f>_xll.QS.TRADE.CREATE("trade.1857",E1859,A1859,"Receive")</f>
        <v>QSObject:SwapTrade:w1~trade.1857:30062</v>
      </c>
      <c r="G1859" s="3">
        <f>_xll.QS.EVALUATE(C1859,F1859)</f>
        <v>20170.709234984271</v>
      </c>
      <c r="H1859" s="5" t="s">
        <v>106</v>
      </c>
      <c r="I1859" s="7">
        <v>1185700</v>
      </c>
      <c r="J1859" s="8">
        <v>3.5700000000000003E-2</v>
      </c>
    </row>
    <row r="1860" spans="1:10" x14ac:dyDescent="0.25">
      <c r="A1860" s="5" t="s">
        <v>94</v>
      </c>
      <c r="B1860" s="5" t="s">
        <v>3727</v>
      </c>
      <c r="C1860" s="6" t="str">
        <f>_xll.QS.CONTEXT.CREATE("market.1858",A1860,"USD","SOFR")</f>
        <v>QSObject:PricingContext:w1~market.1858:18463</v>
      </c>
      <c r="D1860" s="6" t="str">
        <f>_xll.QS.CONTEXT.ADD.CURVE(C1860,"SOFR",$K$2:$K$7,$L$2:$L$7,,,"Actual360","LogLinear",TRUE)</f>
        <v>QSObject:ContextInput:w1~input.qs_context_add_curve.2359132437744.1859.3.0:38267</v>
      </c>
      <c r="E1860" s="6" t="str">
        <f>_xll.QS.INSTRUMENT.SWAP("swap.1858",H1860,B1860,"USD","SOFR",I1860,J1860,0,"Actual360","Simple","Annual","Annual","Annual")</f>
        <v>QSObject:Swap:w1~swap.1858:18462</v>
      </c>
      <c r="F1860" s="6" t="str">
        <f>_xll.QS.TRADE.CREATE("trade.1858",E1860,A1860,"Receive")</f>
        <v>QSObject:SwapTrade:w1~trade.1858:30061</v>
      </c>
      <c r="G1860" s="3">
        <f>_xll.QS.EVALUATE(C1860,F1860)</f>
        <v>20770.715910822517</v>
      </c>
      <c r="H1860" s="5" t="s">
        <v>108</v>
      </c>
      <c r="I1860" s="7">
        <v>1185800</v>
      </c>
      <c r="J1860" s="8">
        <v>3.5800000000000012E-2</v>
      </c>
    </row>
    <row r="1861" spans="1:10" x14ac:dyDescent="0.25">
      <c r="A1861" s="5" t="s">
        <v>96</v>
      </c>
      <c r="B1861" s="5" t="s">
        <v>3728</v>
      </c>
      <c r="C1861" s="6" t="str">
        <f>_xll.QS.CONTEXT.CREATE("market.1859",A1861,"USD","SOFR")</f>
        <v>QSObject:PricingContext:w1~market.1859:18461</v>
      </c>
      <c r="D1861" s="6" t="str">
        <f>_xll.QS.CONTEXT.ADD.CURVE(C1861,"SOFR",$K$2:$K$7,$L$2:$L$7,,,"Actual360","LogLinear",TRUE)</f>
        <v>QSObject:ContextInput:w1~input.qs_context_add_curve.2359132437744.1860.3.0:38266</v>
      </c>
      <c r="E1861" s="6" t="str">
        <f>_xll.QS.INSTRUMENT.SWAP("swap.1859",H1861,B1861,"USD","SOFR",I1861,J1861,0,"Actual360","Simple","Annual","Annual","Annual")</f>
        <v>QSObject:Swap:w1~swap.1859:18460</v>
      </c>
      <c r="F1861" s="6" t="str">
        <f>_xll.QS.TRADE.CREATE("trade.1859",E1861,A1861,"Receive")</f>
        <v>QSObject:SwapTrade:w1~trade.1859:30060</v>
      </c>
      <c r="G1861" s="3">
        <f>_xll.QS.EVALUATE(C1861,F1861)</f>
        <v>21274.371831103672</v>
      </c>
      <c r="H1861" s="5" t="s">
        <v>110</v>
      </c>
      <c r="I1861" s="7">
        <v>1185900</v>
      </c>
      <c r="J1861" s="8">
        <v>3.5900000000000001E-2</v>
      </c>
    </row>
    <row r="1862" spans="1:10" x14ac:dyDescent="0.25">
      <c r="A1862" s="5" t="s">
        <v>98</v>
      </c>
      <c r="B1862" s="5" t="s">
        <v>3729</v>
      </c>
      <c r="C1862" s="6" t="str">
        <f>_xll.QS.CONTEXT.CREATE("market.1860",A1862,"USD","SOFR")</f>
        <v>QSObject:PricingContext:w1~market.1860:18459</v>
      </c>
      <c r="D1862" s="6" t="str">
        <f>_xll.QS.CONTEXT.ADD.CURVE(C1862,"SOFR",$K$2:$K$7,$L$2:$L$7,,,"Actual360","LogLinear",TRUE)</f>
        <v>QSObject:ContextInput:w1~input.qs_context_add_curve.2359132437744.1861.3.0:38265</v>
      </c>
      <c r="E1862" s="6" t="str">
        <f>_xll.QS.INSTRUMENT.SWAP("swap.1860",H1862,B1862,"USD","SOFR",I1862,J1862,0,"Actual360","Simple","Annual","Annual","Annual")</f>
        <v>QSObject:Swap:w1~swap.1860:18458</v>
      </c>
      <c r="F1862" s="6" t="str">
        <f>_xll.QS.TRADE.CREATE("trade.1860",E1862,A1862,"Receive")</f>
        <v>QSObject:SwapTrade:w1~trade.1860:30059</v>
      </c>
      <c r="G1862" s="3">
        <f>_xll.QS.EVALUATE(C1862,F1862)</f>
        <v>21747.224250110819</v>
      </c>
      <c r="H1862" s="5" t="s">
        <v>112</v>
      </c>
      <c r="I1862" s="7">
        <v>1186000</v>
      </c>
      <c r="J1862" s="8">
        <v>3.5999999999999997E-2</v>
      </c>
    </row>
    <row r="1863" spans="1:10" x14ac:dyDescent="0.25">
      <c r="A1863" s="5" t="s">
        <v>100</v>
      </c>
      <c r="B1863" s="5" t="s">
        <v>3730</v>
      </c>
      <c r="C1863" s="6" t="str">
        <f>_xll.QS.CONTEXT.CREATE("market.1861",A1863,"USD","SOFR")</f>
        <v>QSObject:PricingContext:w1~market.1861:18457</v>
      </c>
      <c r="D1863" s="6" t="str">
        <f>_xll.QS.CONTEXT.ADD.CURVE(C1863,"SOFR",$K$2:$K$7,$L$2:$L$7,,,"Actual360","LogLinear",TRUE)</f>
        <v>QSObject:ContextInput:w1~input.qs_context_add_curve.2359132437744.1862.3.0:38264</v>
      </c>
      <c r="E1863" s="6" t="str">
        <f>_xll.QS.INSTRUMENT.SWAP("swap.1861",H1863,B1863,"USD","SOFR",I1863,J1863,0,"Actual360","Simple","Annual","Annual","Annual")</f>
        <v>QSObject:Swap:w1~swap.1861:18456</v>
      </c>
      <c r="F1863" s="6" t="str">
        <f>_xll.QS.TRADE.CREATE("trade.1861",E1863,A1863,"Receive")</f>
        <v>QSObject:SwapTrade:w1~trade.1861:30058</v>
      </c>
      <c r="G1863" s="3">
        <f>_xll.QS.EVALUATE(C1863,F1863)</f>
        <v>22195.303674636249</v>
      </c>
      <c r="H1863" s="5" t="s">
        <v>114</v>
      </c>
      <c r="I1863" s="7">
        <v>1186100</v>
      </c>
      <c r="J1863" s="8">
        <v>3.61E-2</v>
      </c>
    </row>
    <row r="1864" spans="1:10" x14ac:dyDescent="0.25">
      <c r="A1864" s="5" t="s">
        <v>102</v>
      </c>
      <c r="B1864" s="5" t="s">
        <v>3731</v>
      </c>
      <c r="C1864" s="6" t="str">
        <f>_xll.QS.CONTEXT.CREATE("market.1862",A1864,"USD","SOFR")</f>
        <v>QSObject:PricingContext:w1~market.1862:18455</v>
      </c>
      <c r="D1864" s="6" t="str">
        <f>_xll.QS.CONTEXT.ADD.CURVE(C1864,"SOFR",$K$2:$K$7,$L$2:$L$7,,,"Actual360","LogLinear",TRUE)</f>
        <v>QSObject:ContextInput:w1~input.qs_context_add_curve.2359132437744.1863.3.0:38263</v>
      </c>
      <c r="E1864" s="6" t="str">
        <f>_xll.QS.INSTRUMENT.SWAP("swap.1862",H1864,B1864,"USD","SOFR",I1864,J1864,0,"Actual360","Simple","Annual","Annual","Annual")</f>
        <v>QSObject:Swap:w1~swap.1862:18454</v>
      </c>
      <c r="F1864" s="6" t="str">
        <f>_xll.QS.TRADE.CREATE("trade.1862",E1864,A1864,"Receive")</f>
        <v>QSObject:SwapTrade:w1~trade.1862:30057</v>
      </c>
      <c r="G1864" s="3">
        <f>_xll.QS.EVALUATE(C1864,F1864)</f>
        <v>22794.115674338842</v>
      </c>
      <c r="H1864" s="5" t="s">
        <v>116</v>
      </c>
      <c r="I1864" s="7">
        <v>1186200</v>
      </c>
      <c r="J1864" s="8">
        <v>3.6200000000000003E-2</v>
      </c>
    </row>
    <row r="1865" spans="1:10" x14ac:dyDescent="0.25">
      <c r="A1865" s="5" t="s">
        <v>104</v>
      </c>
      <c r="B1865" s="5" t="s">
        <v>3732</v>
      </c>
      <c r="C1865" s="6" t="str">
        <f>_xll.QS.CONTEXT.CREATE("market.1863",A1865,"USD","SOFR")</f>
        <v>QSObject:PricingContext:w1~market.1863:18453</v>
      </c>
      <c r="D1865" s="6" t="str">
        <f>_xll.QS.CONTEXT.ADD.CURVE(C1865,"SOFR",$K$2:$K$7,$L$2:$L$7,,,"Actual360","LogLinear",TRUE)</f>
        <v>QSObject:ContextInput:w1~input.qs_context_add_curve.2359132437744.1864.3.0:38262</v>
      </c>
      <c r="E1865" s="6" t="str">
        <f>_xll.QS.INSTRUMENT.SWAP("swap.1863",H1865,B1865,"USD","SOFR",I1865,J1865,0,"Actual360","Simple","Annual","Annual","Annual")</f>
        <v>QSObject:Swap:w1~swap.1863:18452</v>
      </c>
      <c r="F1865" s="6" t="str">
        <f>_xll.QS.TRADE.CREATE("trade.1863",E1865,A1865,"Receive")</f>
        <v>QSObject:SwapTrade:w1~trade.1863:30056</v>
      </c>
      <c r="G1865" s="3">
        <f>_xll.QS.EVALUATE(C1865,F1865)</f>
        <v>23376.469444119251</v>
      </c>
      <c r="H1865" s="5" t="s">
        <v>118</v>
      </c>
      <c r="I1865" s="7">
        <v>1186300</v>
      </c>
      <c r="J1865" s="8">
        <v>3.6300000000000013E-2</v>
      </c>
    </row>
    <row r="1866" spans="1:10" x14ac:dyDescent="0.25">
      <c r="A1866" s="5" t="s">
        <v>106</v>
      </c>
      <c r="B1866" s="5" t="s">
        <v>3733</v>
      </c>
      <c r="C1866" s="6" t="str">
        <f>_xll.QS.CONTEXT.CREATE("market.1864",A1866,"USD","SOFR")</f>
        <v>QSObject:PricingContext:w1~market.1864:18451</v>
      </c>
      <c r="D1866" s="6" t="str">
        <f>_xll.QS.CONTEXT.ADD.CURVE(C1866,"SOFR",$K$2:$K$7,$L$2:$L$7,,,"Actual360","LogLinear",TRUE)</f>
        <v>QSObject:ContextInput:w1~input.qs_context_add_curve.2359132437744.1865.3.0:38261</v>
      </c>
      <c r="E1866" s="6" t="str">
        <f>_xll.QS.INSTRUMENT.SWAP("swap.1864",H1866,B1866,"USD","SOFR",I1866,J1866,0,"Actual360","Simple","Annual","Annual","Annual")</f>
        <v>QSObject:Swap:w1~swap.1864:18450</v>
      </c>
      <c r="F1866" s="6" t="str">
        <f>_xll.QS.TRADE.CREATE("trade.1864",E1866,A1866,"Receive")</f>
        <v>QSObject:SwapTrade:w1~trade.1864:30055</v>
      </c>
      <c r="G1866" s="3">
        <f>_xll.QS.EVALUATE(C1866,F1866)</f>
        <v>24012.080420230679</v>
      </c>
      <c r="H1866" s="5" t="s">
        <v>120</v>
      </c>
      <c r="I1866" s="7">
        <v>1186400</v>
      </c>
      <c r="J1866" s="8">
        <v>3.6400000000000002E-2</v>
      </c>
    </row>
    <row r="1867" spans="1:10" x14ac:dyDescent="0.25">
      <c r="A1867" s="5" t="s">
        <v>108</v>
      </c>
      <c r="B1867" s="5" t="s">
        <v>3734</v>
      </c>
      <c r="C1867" s="6" t="str">
        <f>_xll.QS.CONTEXT.CREATE("market.1865",A1867,"USD","SOFR")</f>
        <v>QSObject:PricingContext:w1~market.1865:18449</v>
      </c>
      <c r="D1867" s="6" t="str">
        <f>_xll.QS.CONTEXT.ADD.CURVE(C1867,"SOFR",$K$2:$K$7,$L$2:$L$7,,,"Actual360","LogLinear",TRUE)</f>
        <v>QSObject:ContextInput:w1~input.qs_context_add_curve.2359132437744.1866.3.0:38260</v>
      </c>
      <c r="E1867" s="6" t="str">
        <f>_xll.QS.INSTRUMENT.SWAP("swap.1865",H1867,B1867,"USD","SOFR",I1867,J1867,0,"Actual360","Simple","Annual","Annual","Annual")</f>
        <v>QSObject:Swap:w1~swap.1865:18448</v>
      </c>
      <c r="F1867" s="6" t="str">
        <f>_xll.QS.TRADE.CREATE("trade.1865",E1867,A1867,"Receive")</f>
        <v>QSObject:SwapTrade:w1~trade.1865:30054</v>
      </c>
      <c r="G1867" s="3">
        <f>_xll.QS.EVALUATE(C1867,F1867)</f>
        <v>24612.710704454563</v>
      </c>
      <c r="H1867" s="5" t="s">
        <v>122</v>
      </c>
      <c r="I1867" s="7">
        <v>1186500</v>
      </c>
      <c r="J1867" s="8">
        <v>3.6499999999999998E-2</v>
      </c>
    </row>
    <row r="1868" spans="1:10" x14ac:dyDescent="0.25">
      <c r="A1868" s="5" t="s">
        <v>110</v>
      </c>
      <c r="B1868" s="5" t="s">
        <v>3735</v>
      </c>
      <c r="C1868" s="6" t="str">
        <f>_xll.QS.CONTEXT.CREATE("market.1866",A1868,"USD","SOFR")</f>
        <v>QSObject:PricingContext:w1~market.1866:18447</v>
      </c>
      <c r="D1868" s="6" t="str">
        <f>_xll.QS.CONTEXT.ADD.CURVE(C1868,"SOFR",$K$2:$K$7,$L$2:$L$7,,,"Actual360","LogLinear",TRUE)</f>
        <v>QSObject:ContextInput:w1~input.qs_context_add_curve.2359132437744.1867.3.0:38259</v>
      </c>
      <c r="E1868" s="6" t="str">
        <f>_xll.QS.INSTRUMENT.SWAP("swap.1866",H1868,B1868,"USD","SOFR",I1868,J1868,0,"Actual360","Simple","Annual","Annual","Annual")</f>
        <v>QSObject:Swap:w1~swap.1866:18446</v>
      </c>
      <c r="F1868" s="6" t="str">
        <f>_xll.QS.TRADE.CREATE("trade.1866",E1868,A1868,"Receive")</f>
        <v>QSObject:SwapTrade:w1~trade.1866:30053</v>
      </c>
      <c r="G1868" s="3">
        <f>_xll.QS.EVALUATE(C1868,F1868)</f>
        <v>25116.995375182109</v>
      </c>
      <c r="H1868" s="5" t="s">
        <v>124</v>
      </c>
      <c r="I1868" s="7">
        <v>1186600</v>
      </c>
      <c r="J1868" s="8">
        <v>3.6600000000000001E-2</v>
      </c>
    </row>
    <row r="1869" spans="1:10" x14ac:dyDescent="0.25">
      <c r="A1869" s="5" t="s">
        <v>112</v>
      </c>
      <c r="B1869" s="5" t="s">
        <v>3736</v>
      </c>
      <c r="C1869" s="6" t="str">
        <f>_xll.QS.CONTEXT.CREATE("market.1867",A1869,"USD","SOFR")</f>
        <v>QSObject:PricingContext:w1~market.1867:18445</v>
      </c>
      <c r="D1869" s="6" t="str">
        <f>_xll.QS.CONTEXT.ADD.CURVE(C1869,"SOFR",$K$2:$K$7,$L$2:$L$7,,,"Actual360","LogLinear",TRUE)</f>
        <v>QSObject:ContextInput:w1~input.qs_context_add_curve.2359132437744.1868.3.0:38258</v>
      </c>
      <c r="E1869" s="6" t="str">
        <f>_xll.QS.INSTRUMENT.SWAP("swap.1867",H1869,B1869,"USD","SOFR",I1869,J1869,0,"Actual360","Simple","Annual","Annual","Annual")</f>
        <v>QSObject:Swap:w1~swap.1867:18444</v>
      </c>
      <c r="F1869" s="6" t="str">
        <f>_xll.QS.TRADE.CREATE("trade.1867",E1869,A1869,"Receive")</f>
        <v>QSObject:SwapTrade:w1~trade.1867:30052</v>
      </c>
      <c r="G1869" s="3">
        <f>_xll.QS.EVALUATE(C1869,F1869)</f>
        <v>25569.472398708851</v>
      </c>
      <c r="H1869" s="5" t="s">
        <v>126</v>
      </c>
      <c r="I1869" s="7">
        <v>1186700</v>
      </c>
      <c r="J1869" s="8">
        <v>3.6700000000000003E-2</v>
      </c>
    </row>
    <row r="1870" spans="1:10" x14ac:dyDescent="0.25">
      <c r="A1870" s="5" t="s">
        <v>114</v>
      </c>
      <c r="B1870" s="5" t="s">
        <v>3737</v>
      </c>
      <c r="C1870" s="6" t="str">
        <f>_xll.QS.CONTEXT.CREATE("market.1868",A1870,"USD","SOFR")</f>
        <v>QSObject:PricingContext:w1~market.1868:18443</v>
      </c>
      <c r="D1870" s="6" t="str">
        <f>_xll.QS.CONTEXT.ADD.CURVE(C1870,"SOFR",$K$2:$K$7,$L$2:$L$7,,,"Actual360","LogLinear",TRUE)</f>
        <v>QSObject:ContextInput:w1~input.qs_context_add_curve.2359132437744.1869.3.0:38257</v>
      </c>
      <c r="E1870" s="6" t="str">
        <f>_xll.QS.INSTRUMENT.SWAP("swap.1868",H1870,B1870,"USD","SOFR",I1870,J1870,0,"Actual360","Simple","Annual","Annual","Annual")</f>
        <v>QSObject:Swap:w1~swap.1868:18442</v>
      </c>
      <c r="F1870" s="6" t="str">
        <f>_xll.QS.TRADE.CREATE("trade.1868",E1870,A1870,"Receive")</f>
        <v>QSObject:SwapTrade:w1~trade.1868:30051</v>
      </c>
      <c r="G1870" s="3">
        <f>_xll.QS.EVALUATE(C1870,F1870)</f>
        <v>25991.547640441349</v>
      </c>
      <c r="H1870" s="5" t="s">
        <v>128</v>
      </c>
      <c r="I1870" s="7">
        <v>1186800</v>
      </c>
      <c r="J1870" s="8">
        <v>3.6800000000000013E-2</v>
      </c>
    </row>
    <row r="1871" spans="1:10" x14ac:dyDescent="0.25">
      <c r="A1871" s="5" t="s">
        <v>116</v>
      </c>
      <c r="B1871" s="5" t="s">
        <v>3738</v>
      </c>
      <c r="C1871" s="6" t="str">
        <f>_xll.QS.CONTEXT.CREATE("market.1869",A1871,"USD","SOFR")</f>
        <v>QSObject:PricingContext:w1~market.1869:18441</v>
      </c>
      <c r="D1871" s="6" t="str">
        <f>_xll.QS.CONTEXT.ADD.CURVE(C1871,"SOFR",$K$2:$K$7,$L$2:$L$7,,,"Actual360","LogLinear",TRUE)</f>
        <v>QSObject:ContextInput:w1~input.qs_context_add_curve.2359132437744.1870.3.0:38256</v>
      </c>
      <c r="E1871" s="6" t="str">
        <f>_xll.QS.INSTRUMENT.SWAP("swap.1869",H1871,B1871,"USD","SOFR",I1871,J1871,0,"Actual360","Simple","Annual","Annual","Annual")</f>
        <v>QSObject:Swap:w1~swap.1869:18440</v>
      </c>
      <c r="F1871" s="6" t="str">
        <f>_xll.QS.TRADE.CREATE("trade.1869",E1871,A1871,"Receive")</f>
        <v>QSObject:SwapTrade:w1~trade.1869:30050</v>
      </c>
      <c r="G1871" s="3">
        <f>_xll.QS.EVALUATE(C1871,F1871)</f>
        <v>26592.150998416022</v>
      </c>
      <c r="H1871" s="5" t="s">
        <v>130</v>
      </c>
      <c r="I1871" s="7">
        <v>1186900</v>
      </c>
      <c r="J1871" s="8">
        <v>3.6900000000000002E-2</v>
      </c>
    </row>
    <row r="1872" spans="1:10" x14ac:dyDescent="0.25">
      <c r="A1872" s="5" t="s">
        <v>118</v>
      </c>
      <c r="B1872" s="5" t="s">
        <v>3739</v>
      </c>
      <c r="C1872" s="6" t="str">
        <f>_xll.QS.CONTEXT.CREATE("market.1870",A1872,"USD","SOFR")</f>
        <v>QSObject:PricingContext:w1~market.1870:18439</v>
      </c>
      <c r="D1872" s="6" t="str">
        <f>_xll.QS.CONTEXT.ADD.CURVE(C1872,"SOFR",$K$2:$K$7,$L$2:$L$7,,,"Actual360","LogLinear",TRUE)</f>
        <v>QSObject:ContextInput:w1~input.qs_context_add_curve.2359132437744.1871.3.0:38255</v>
      </c>
      <c r="E1872" s="6" t="str">
        <f>_xll.QS.INSTRUMENT.SWAP("swap.1870",H1872,B1872,"USD","SOFR",I1872,J1872,0,"Actual360","Simple","Annual","Annual","Annual")</f>
        <v>QSObject:Swap:w1~swap.1870:18438</v>
      </c>
      <c r="F1872" s="6" t="str">
        <f>_xll.QS.TRADE.CREATE("trade.1870",E1872,A1872,"Receive")</f>
        <v>QSObject:SwapTrade:w1~trade.1870:30049</v>
      </c>
      <c r="G1872" s="3">
        <f>_xll.QS.EVALUATE(C1872,F1872)</f>
        <v>27190.876665118943</v>
      </c>
      <c r="H1872" s="5" t="s">
        <v>132</v>
      </c>
      <c r="I1872" s="7">
        <v>1187000</v>
      </c>
      <c r="J1872" s="8">
        <v>3.7000000000000012E-2</v>
      </c>
    </row>
    <row r="1873" spans="1:10" x14ac:dyDescent="0.25">
      <c r="A1873" s="5" t="s">
        <v>120</v>
      </c>
      <c r="B1873" s="5" t="s">
        <v>3740</v>
      </c>
      <c r="C1873" s="6" t="str">
        <f>_xll.QS.CONTEXT.CREATE("market.1871",A1873,"USD","SOFR")</f>
        <v>QSObject:PricingContext:w1~market.1871:18437</v>
      </c>
      <c r="D1873" s="6" t="str">
        <f>_xll.QS.CONTEXT.ADD.CURVE(C1873,"SOFR",$K$2:$K$7,$L$2:$L$7,,,"Actual360","LogLinear",TRUE)</f>
        <v>QSObject:ContextInput:w1~input.qs_context_add_curve.2359132437744.1872.3.0:38254</v>
      </c>
      <c r="E1873" s="6" t="str">
        <f>_xll.QS.INSTRUMENT.SWAP("swap.1871",H1873,B1873,"USD","SOFR",I1873,J1873,0,"Actual360","Simple","Annual","Annual","Annual")</f>
        <v>QSObject:Swap:w1~swap.1871:18436</v>
      </c>
      <c r="F1873" s="6" t="str">
        <f>_xll.QS.TRADE.CREATE("trade.1871",E1873,A1873,"Receive")</f>
        <v>QSObject:SwapTrade:w1~trade.1871:30048</v>
      </c>
      <c r="G1873" s="3">
        <f>_xll.QS.EVALUATE(C1873,F1873)</f>
        <v>27902.288403475781</v>
      </c>
      <c r="H1873" s="5" t="s">
        <v>134</v>
      </c>
      <c r="I1873" s="7">
        <v>1187100</v>
      </c>
      <c r="J1873" s="8">
        <v>3.7100000000000001E-2</v>
      </c>
    </row>
    <row r="1874" spans="1:10" x14ac:dyDescent="0.25">
      <c r="A1874" s="5" t="s">
        <v>122</v>
      </c>
      <c r="B1874" s="5" t="s">
        <v>3741</v>
      </c>
      <c r="C1874" s="6" t="str">
        <f>_xll.QS.CONTEXT.CREATE("market.1872",A1874,"USD","SOFR")</f>
        <v>QSObject:PricingContext:w1~market.1872:18435</v>
      </c>
      <c r="D1874" s="6" t="str">
        <f>_xll.QS.CONTEXT.ADD.CURVE(C1874,"SOFR",$K$2:$K$7,$L$2:$L$7,,,"Actual360","LogLinear",TRUE)</f>
        <v>QSObject:ContextInput:w1~input.qs_context_add_curve.2359132437744.1873.3.0:38253</v>
      </c>
      <c r="E1874" s="6" t="str">
        <f>_xll.QS.INSTRUMENT.SWAP("swap.1872",H1874,B1874,"USD","SOFR",I1874,J1874,0,"Actual360","Simple","Annual","Annual","Annual")</f>
        <v>QSObject:Swap:w1~swap.1872:18434</v>
      </c>
      <c r="F1874" s="6" t="str">
        <f>_xll.QS.TRADE.CREATE("trade.1872",E1874,A1874,"Receive")</f>
        <v>QSObject:SwapTrade:w1~trade.1872:30047</v>
      </c>
      <c r="G1874" s="3">
        <f>_xll.QS.EVALUATE(C1874,F1874)</f>
        <v>28463.359136847925</v>
      </c>
      <c r="H1874" s="5" t="s">
        <v>136</v>
      </c>
      <c r="I1874" s="7">
        <v>1187200</v>
      </c>
      <c r="J1874" s="8">
        <v>3.7199999999999997E-2</v>
      </c>
    </row>
    <row r="1875" spans="1:10" x14ac:dyDescent="0.25">
      <c r="A1875" s="5" t="s">
        <v>124</v>
      </c>
      <c r="B1875" s="5" t="s">
        <v>3742</v>
      </c>
      <c r="C1875" s="6" t="str">
        <f>_xll.QS.CONTEXT.CREATE("market.1873",A1875,"USD","SOFR")</f>
        <v>QSObject:PricingContext:w1~market.1873:18433</v>
      </c>
      <c r="D1875" s="6" t="str">
        <f>_xll.QS.CONTEXT.ADD.CURVE(C1875,"SOFR",$K$2:$K$7,$L$2:$L$7,,,"Actual360","LogLinear",TRUE)</f>
        <v>QSObject:ContextInput:w1~input.qs_context_add_curve.2359132437744.1874.3.0:38252</v>
      </c>
      <c r="E1875" s="6" t="str">
        <f>_xll.QS.INSTRUMENT.SWAP("swap.1873",H1875,B1875,"USD","SOFR",I1875,J1875,0,"Actual360","Simple","Annual","Annual","Annual")</f>
        <v>QSObject:Swap:w1~swap.1873:18432</v>
      </c>
      <c r="F1875" s="6" t="str">
        <f>_xll.QS.TRADE.CREATE("trade.1873",E1875,A1875,"Receive")</f>
        <v>QSObject:SwapTrade:w1~trade.1873:30046</v>
      </c>
      <c r="G1875" s="3">
        <f>_xll.QS.EVALUATE(C1875,F1875)</f>
        <v>29013.073405055547</v>
      </c>
      <c r="H1875" s="5" t="s">
        <v>138</v>
      </c>
      <c r="I1875" s="7">
        <v>1187300</v>
      </c>
      <c r="J1875" s="8">
        <v>3.73E-2</v>
      </c>
    </row>
    <row r="1876" spans="1:10" x14ac:dyDescent="0.25">
      <c r="A1876" s="5" t="s">
        <v>126</v>
      </c>
      <c r="B1876" s="5" t="s">
        <v>3743</v>
      </c>
      <c r="C1876" s="6" t="str">
        <f>_xll.QS.CONTEXT.CREATE("market.1874",A1876,"USD","SOFR")</f>
        <v>QSObject:PricingContext:w1~market.1874:18431</v>
      </c>
      <c r="D1876" s="6" t="str">
        <f>_xll.QS.CONTEXT.ADD.CURVE(C1876,"SOFR",$K$2:$K$7,$L$2:$L$7,,,"Actual360","LogLinear",TRUE)</f>
        <v>QSObject:ContextInput:w1~input.qs_context_add_curve.2359132437744.1875.3.0:38251</v>
      </c>
      <c r="E1876" s="6" t="str">
        <f>_xll.QS.INSTRUMENT.SWAP("swap.1874",H1876,B1876,"USD","SOFR",I1876,J1876,0,"Actual360","Simple","Annual","Annual","Annual")</f>
        <v>QSObject:Swap:w1~swap.1874:18430</v>
      </c>
      <c r="F1876" s="6" t="str">
        <f>_xll.QS.TRADE.CREATE("trade.1874",E1876,A1876,"Receive")</f>
        <v>QSObject:SwapTrade:w1~trade.1874:30045</v>
      </c>
      <c r="G1876" s="3">
        <f>_xll.QS.EVALUATE(C1876,F1876)</f>
        <v>29478.099973595512</v>
      </c>
      <c r="H1876" s="5" t="s">
        <v>140</v>
      </c>
      <c r="I1876" s="7">
        <v>1187400</v>
      </c>
      <c r="J1876" s="8">
        <v>3.7400000000000003E-2</v>
      </c>
    </row>
    <row r="1877" spans="1:10" x14ac:dyDescent="0.25">
      <c r="A1877" s="5" t="s">
        <v>128</v>
      </c>
      <c r="B1877" s="5" t="s">
        <v>3744</v>
      </c>
      <c r="C1877" s="6" t="str">
        <f>_xll.QS.CONTEXT.CREATE("market.1875",A1877,"USD","SOFR")</f>
        <v>QSObject:PricingContext:w1~market.1875:18199</v>
      </c>
      <c r="D1877" s="6" t="str">
        <f>_xll.QS.CONTEXT.ADD.CURVE(C1877,"SOFR",$K$2:$K$7,$L$2:$L$7,,,"Actual360","LogLinear",TRUE)</f>
        <v>QSObject:ContextInput:w1~input.qs_context_add_curve.2359132437744.1876.3.0:38250</v>
      </c>
      <c r="E1877" s="6" t="str">
        <f>_xll.QS.INSTRUMENT.SWAP("swap.1875",H1877,B1877,"USD","SOFR",I1877,J1877,0,"Actual360","Simple","Annual","Annual","Annual")</f>
        <v>QSObject:Swap:w1~swap.1875:11382</v>
      </c>
      <c r="F1877" s="6" t="str">
        <f>_xll.QS.TRADE.CREATE("trade.1875",E1877,A1877,"Receive")</f>
        <v>QSObject:SwapTrade:w1~trade.1875:30044</v>
      </c>
      <c r="G1877" s="3">
        <f>_xll.QS.EVALUATE(C1877,F1877)</f>
        <v>29939.126214125368</v>
      </c>
      <c r="H1877" s="5" t="s">
        <v>142</v>
      </c>
      <c r="I1877" s="7">
        <v>1187500</v>
      </c>
      <c r="J1877" s="8">
        <v>3.7500000000000012E-2</v>
      </c>
    </row>
    <row r="1878" spans="1:10" x14ac:dyDescent="0.25">
      <c r="A1878" s="5" t="s">
        <v>130</v>
      </c>
      <c r="B1878" s="5" t="s">
        <v>3745</v>
      </c>
      <c r="C1878" s="6" t="str">
        <f>_xll.QS.CONTEXT.CREATE("market.1876",A1878,"USD","SOFR")</f>
        <v>QSObject:PricingContext:w1~market.1876:14533</v>
      </c>
      <c r="D1878" s="6" t="str">
        <f>_xll.QS.CONTEXT.ADD.CURVE(C1878,"SOFR",$K$2:$K$7,$L$2:$L$7,,,"Actual360","LogLinear",TRUE)</f>
        <v>QSObject:ContextInput:w1~input.qs_context_add_curve.2359132437744.1877.3.0:38249</v>
      </c>
      <c r="E1878" s="6" t="str">
        <f>_xll.QS.INSTRUMENT.SWAP("swap.1876",H1878,B1878,"USD","SOFR",I1878,J1878,0,"Actual360","Simple","Annual","Annual","Annual")</f>
        <v>QSObject:Swap:w1~swap.1876:12893</v>
      </c>
      <c r="F1878" s="6" t="str">
        <f>_xll.QS.TRADE.CREATE("trade.1876",E1878,A1878,"Receive")</f>
        <v>QSObject:SwapTrade:w1~trade.1876:17224</v>
      </c>
      <c r="G1878" s="3">
        <f>_xll.QS.EVALUATE(C1878,F1878)</f>
        <v>30491.915772098866</v>
      </c>
      <c r="H1878" s="5" t="s">
        <v>144</v>
      </c>
      <c r="I1878" s="7">
        <v>1187600</v>
      </c>
      <c r="J1878" s="8">
        <v>3.7600000000000001E-2</v>
      </c>
    </row>
    <row r="1879" spans="1:10" x14ac:dyDescent="0.25">
      <c r="A1879" s="5" t="s">
        <v>132</v>
      </c>
      <c r="B1879" s="5" t="s">
        <v>3746</v>
      </c>
      <c r="C1879" s="6" t="str">
        <f>_xll.QS.CONTEXT.CREATE("market.1877",A1879,"USD","SOFR")</f>
        <v>QSObject:PricingContext:w1~market.1877:8136</v>
      </c>
      <c r="D1879" s="6" t="str">
        <f>_xll.QS.CONTEXT.ADD.CURVE(C1879,"SOFR",$K$2:$K$7,$L$2:$L$7,,,"Actual360","LogLinear",TRUE)</f>
        <v>QSObject:ContextInput:w1~input.qs_context_add_curve.2359132437744.1878.3.0:9736</v>
      </c>
      <c r="E1879" s="6" t="str">
        <f>_xll.QS.INSTRUMENT.SWAP("swap.1877",H1879,B1879,"USD","SOFR",I1879,J1879,0,"Actual360","Simple","Annual","Annual","Annual")</f>
        <v>QSObject:Swap:w1~swap.1877:4941</v>
      </c>
      <c r="F1879" s="6" t="str">
        <f>_xll.QS.TRADE.CREATE("trade.1877",E1879,A1879,"Receive")</f>
        <v>QSObject:SwapTrade:w1~trade.1877:16224</v>
      </c>
      <c r="G1879" s="3">
        <f>_xll.QS.EVALUATE(C1879,F1879)</f>
        <v>31072.089464623241</v>
      </c>
      <c r="H1879" s="5" t="s">
        <v>146</v>
      </c>
      <c r="I1879" s="7">
        <v>1187700</v>
      </c>
      <c r="J1879" s="8">
        <v>3.7699999999999997E-2</v>
      </c>
    </row>
    <row r="1880" spans="1:10" x14ac:dyDescent="0.25">
      <c r="A1880" s="5" t="s">
        <v>134</v>
      </c>
      <c r="B1880" s="5" t="s">
        <v>3747</v>
      </c>
      <c r="C1880" s="6" t="str">
        <f>_xll.QS.CONTEXT.CREATE("market.1878",A1880,"USD","SOFR")</f>
        <v>QSObject:PricingContext:w1~market.1878:11381</v>
      </c>
      <c r="D1880" s="6" t="str">
        <f>_xll.QS.CONTEXT.ADD.CURVE(C1880,"SOFR",$K$2:$K$7,$L$2:$L$7,,,"Actual360","LogLinear",TRUE)</f>
        <v>QSObject:ContextInput:w1~input.qs_context_add_curve.2359132437744.1879.3.0:30043</v>
      </c>
      <c r="E1880" s="6" t="str">
        <f>_xll.QS.INSTRUMENT.SWAP("swap.1878",H1880,B1880,"USD","SOFR",I1880,J1880,0,"Actual360","Simple","Annual","Annual","Annual")</f>
        <v>QSObject:Swap:w1~swap.1878:18198</v>
      </c>
      <c r="F1880" s="6" t="str">
        <f>_xll.QS.TRADE.CREATE("trade.1878",E1880,A1880,"Receive")</f>
        <v>QSObject:SwapTrade:w1~trade.1878:30042</v>
      </c>
      <c r="G1880" s="3">
        <f>_xll.QS.EVALUATE(C1880,F1880)</f>
        <v>31679.451688704772</v>
      </c>
      <c r="H1880" s="5" t="s">
        <v>148</v>
      </c>
      <c r="I1880" s="7">
        <v>1187800</v>
      </c>
      <c r="J1880" s="8">
        <v>3.78E-2</v>
      </c>
    </row>
    <row r="1881" spans="1:10" x14ac:dyDescent="0.25">
      <c r="A1881" s="5" t="s">
        <v>136</v>
      </c>
      <c r="B1881" s="5" t="s">
        <v>3748</v>
      </c>
      <c r="C1881" s="6" t="str">
        <f>_xll.QS.CONTEXT.CREATE("market.1879",A1881,"USD","SOFR")</f>
        <v>QSObject:PricingContext:w1~market.1879:14532</v>
      </c>
      <c r="D1881" s="6" t="str">
        <f>_xll.QS.CONTEXT.ADD.CURVE(C1881,"SOFR",$K$2:$K$7,$L$2:$L$7,,,"Actual360","LogLinear",TRUE)</f>
        <v>QSObject:ContextInput:w1~input.qs_context_add_curve.2359132437744.1880.3.0:17223</v>
      </c>
      <c r="E1881" s="6" t="str">
        <f>_xll.QS.INSTRUMENT.SWAP("swap.1879",H1881,B1881,"USD","SOFR",I1881,J1881,0,"Actual360","Simple","Annual","Annual","Annual")</f>
        <v>QSObject:Swap:w1~swap.1879:3384</v>
      </c>
      <c r="F1881" s="6" t="str">
        <f>_xll.QS.TRADE.CREATE("trade.1879",E1881,A1881,"Receive")</f>
        <v>QSObject:SwapTrade:w1~trade.1879:30041</v>
      </c>
      <c r="G1881" s="3">
        <f>_xll.QS.EVALUATE(C1881,F1881)</f>
        <v>32281.58630705157</v>
      </c>
      <c r="H1881" s="5" t="s">
        <v>150</v>
      </c>
      <c r="I1881" s="7">
        <v>1187900</v>
      </c>
      <c r="J1881" s="8">
        <v>3.7900000000000003E-2</v>
      </c>
    </row>
    <row r="1882" spans="1:10" x14ac:dyDescent="0.25">
      <c r="A1882" s="5" t="s">
        <v>138</v>
      </c>
      <c r="B1882" s="5" t="s">
        <v>3749</v>
      </c>
      <c r="C1882" s="6" t="str">
        <f>_xll.QS.CONTEXT.CREATE("market.1880",A1882,"USD","SOFR")</f>
        <v>QSObject:PricingContext:w1~market.1880:4940</v>
      </c>
      <c r="D1882" s="6" t="str">
        <f>_xll.QS.CONTEXT.ADD.CURVE(C1882,"SOFR",$K$2:$K$7,$L$2:$L$7,,,"Actual360","LogLinear",TRUE)</f>
        <v>QSObject:ContextInput:w1~input.qs_context_add_curve.2359132437744.1881.3.0:8135</v>
      </c>
      <c r="E1882" s="6" t="str">
        <f>_xll.QS.INSTRUMENT.SWAP("swap.1880",H1882,B1882,"USD","SOFR",I1882,J1882,0,"Actual360","Simple","Annual","Annual","Annual")</f>
        <v>QSObject:Swap:w1~swap.1880:9735</v>
      </c>
      <c r="F1882" s="6" t="str">
        <f>_xll.QS.TRADE.CREATE("trade.1880",E1882,A1882,"Receive")</f>
        <v>QSObject:SwapTrade:w1~trade.1880:16223</v>
      </c>
      <c r="G1882" s="3">
        <f>_xll.QS.EVALUATE(C1882,F1882)</f>
        <v>32833.373858705716</v>
      </c>
      <c r="H1882" s="5" t="s">
        <v>152</v>
      </c>
      <c r="I1882" s="7">
        <v>1188000</v>
      </c>
      <c r="J1882" s="8">
        <v>3.8000000000000013E-2</v>
      </c>
    </row>
    <row r="1883" spans="1:10" x14ac:dyDescent="0.25">
      <c r="A1883" s="5" t="s">
        <v>140</v>
      </c>
      <c r="B1883" s="5" t="s">
        <v>3750</v>
      </c>
      <c r="C1883" s="6" t="str">
        <f>_xll.QS.CONTEXT.CREATE("market.1881",A1883,"USD","SOFR")</f>
        <v>QSObject:PricingContext:w1~market.1881:18197</v>
      </c>
      <c r="D1883" s="6" t="str">
        <f>_xll.QS.CONTEXT.ADD.CURVE(C1883,"SOFR",$K$2:$K$7,$L$2:$L$7,,,"Actual360","LogLinear",TRUE)</f>
        <v>QSObject:ContextInput:w1~input.qs_context_add_curve.2359132437744.1882.3.0:38248</v>
      </c>
      <c r="E1883" s="6" t="str">
        <f>_xll.QS.INSTRUMENT.SWAP("swap.1881",H1883,B1883,"USD","SOFR",I1883,J1883,0,"Actual360","Simple","Annual","Annual","Annual")</f>
        <v>QSObject:Swap:w1~swap.1881:6540</v>
      </c>
      <c r="F1883" s="6" t="str">
        <f>_xll.QS.TRADE.CREATE("trade.1881",E1883,A1883,"Receive")</f>
        <v>QSObject:SwapTrade:w1~trade.1881:12892</v>
      </c>
      <c r="G1883" s="3">
        <f>_xll.QS.EVALUATE(C1883,F1883)</f>
        <v>33237.343655664656</v>
      </c>
      <c r="H1883" s="5" t="s">
        <v>154</v>
      </c>
      <c r="I1883" s="7">
        <v>1188100</v>
      </c>
      <c r="J1883" s="8">
        <v>3.8100000000000002E-2</v>
      </c>
    </row>
    <row r="1884" spans="1:10" x14ac:dyDescent="0.25">
      <c r="A1884" s="5" t="s">
        <v>142</v>
      </c>
      <c r="B1884" s="5" t="s">
        <v>3751</v>
      </c>
      <c r="C1884" s="6" t="str">
        <f>_xll.QS.CONTEXT.CREATE("market.1882",A1884,"USD","SOFR")</f>
        <v>QSObject:PricingContext:w1~market.1882:3383</v>
      </c>
      <c r="D1884" s="6" t="str">
        <f>_xll.QS.CONTEXT.ADD.CURVE(C1884,"SOFR",$K$2:$K$7,$L$2:$L$7,,,"Actual360","LogLinear",TRUE)</f>
        <v>QSObject:ContextInput:w1~input.qs_context_add_curve.2359132437744.1883.3.0:14531</v>
      </c>
      <c r="E1884" s="6" t="str">
        <f>_xll.QS.INSTRUMENT.SWAP("swap.1882",H1884,B1884,"USD","SOFR",I1884,J1884,0,"Actual360","Simple","Annual","Annual","Annual")</f>
        <v>QSObject:Swap:w1~swap.1882:17222</v>
      </c>
      <c r="F1884" s="6" t="str">
        <f>_xll.QS.TRADE.CREATE("trade.1882",E1884,A1884,"Receive")</f>
        <v>QSObject:SwapTrade:w1~trade.1882:30040</v>
      </c>
      <c r="G1884" s="3">
        <f>_xll.QS.EVALUATE(C1884,F1884)</f>
        <v>33790.904053656843</v>
      </c>
      <c r="H1884" s="5" t="s">
        <v>156</v>
      </c>
      <c r="I1884" s="7">
        <v>1188200</v>
      </c>
      <c r="J1884" s="8">
        <v>3.8199999999999998E-2</v>
      </c>
    </row>
    <row r="1885" spans="1:10" x14ac:dyDescent="0.25">
      <c r="A1885" s="5" t="s">
        <v>144</v>
      </c>
      <c r="B1885" s="5" t="s">
        <v>3752</v>
      </c>
      <c r="C1885" s="6" t="str">
        <f>_xll.QS.CONTEXT.CREATE("market.1883",A1885,"USD","SOFR")</f>
        <v>QSObject:PricingContext:w1~market.1883:8134</v>
      </c>
      <c r="D1885" s="6" t="str">
        <f>_xll.QS.CONTEXT.ADD.CURVE(C1885,"SOFR",$K$2:$K$7,$L$2:$L$7,,,"Actual360","LogLinear",TRUE)</f>
        <v>QSObject:ContextInput:w1~input.qs_context_add_curve.2359132437744.1884.3.0:16222</v>
      </c>
      <c r="E1885" s="6" t="str">
        <f>_xll.QS.INSTRUMENT.SWAP("swap.1883",H1885,B1885,"USD","SOFR",I1885,J1885,0,"Actual360","Simple","Annual","Annual","Annual")</f>
        <v>QSObject:Swap:w1~swap.1883:1841</v>
      </c>
      <c r="F1885" s="6" t="str">
        <f>_xll.QS.TRADE.CREATE("trade.1883",E1885,A1885,"Receive")</f>
        <v>QSObject:SwapTrade:w1~trade.1883:11380</v>
      </c>
      <c r="G1885" s="3">
        <f>_xll.QS.EVALUATE(C1885,F1885)</f>
        <v>34392.562725574338</v>
      </c>
      <c r="H1885" s="5" t="s">
        <v>158</v>
      </c>
      <c r="I1885" s="7">
        <v>1188300</v>
      </c>
      <c r="J1885" s="8">
        <v>3.8300000000000001E-2</v>
      </c>
    </row>
    <row r="1886" spans="1:10" x14ac:dyDescent="0.25">
      <c r="A1886" s="5" t="s">
        <v>146</v>
      </c>
      <c r="B1886" s="5" t="s">
        <v>3753</v>
      </c>
      <c r="C1886" s="6" t="str">
        <f>_xll.QS.CONTEXT.CREATE("market.1884",A1886,"USD","SOFR")</f>
        <v>QSObject:PricingContext:w1~market.1884:9734</v>
      </c>
      <c r="D1886" s="6" t="str">
        <f>_xll.QS.CONTEXT.ADD.CURVE(C1886,"SOFR",$K$2:$K$7,$L$2:$L$7,,,"Actual360","LogLinear",TRUE)</f>
        <v>QSObject:ContextInput:w1~input.qs_context_add_curve.2359132437744.1885.3.0:18196</v>
      </c>
      <c r="E1886" s="6" t="str">
        <f>_xll.QS.INSTRUMENT.SWAP("swap.1884",H1886,B1886,"USD","SOFR",I1886,J1886,0,"Actual360","Simple","Annual","Annual","Annual")</f>
        <v>QSObject:Swap:w1~swap.1884:12891</v>
      </c>
      <c r="F1886" s="6" t="str">
        <f>_xll.QS.TRADE.CREATE("trade.1884",E1886,A1886,"Receive")</f>
        <v>QSObject:SwapTrade:w1~trade.1884:17221</v>
      </c>
      <c r="G1886" s="3">
        <f>_xll.QS.EVALUATE(C1886,F1886)</f>
        <v>35030.656802750171</v>
      </c>
      <c r="H1886" s="5" t="s">
        <v>160</v>
      </c>
      <c r="I1886" s="7">
        <v>1188400</v>
      </c>
      <c r="J1886" s="8">
        <v>3.8399999999999997E-2</v>
      </c>
    </row>
    <row r="1887" spans="1:10" x14ac:dyDescent="0.25">
      <c r="A1887" s="5" t="s">
        <v>148</v>
      </c>
      <c r="B1887" s="5" t="s">
        <v>3754</v>
      </c>
      <c r="C1887" s="6" t="str">
        <f>_xll.QS.CONTEXT.CREATE("market.1885",A1887,"USD","SOFR")</f>
        <v>QSObject:PricingContext:w1~market.1885:4939</v>
      </c>
      <c r="D1887" s="6" t="str">
        <f>_xll.QS.CONTEXT.ADD.CURVE(C1887,"SOFR",$K$2:$K$7,$L$2:$L$7,,,"Actual360","LogLinear",TRUE)</f>
        <v>QSObject:ContextInput:w1~input.qs_context_add_curve.2359132437744.1886.3.0:6539</v>
      </c>
      <c r="E1887" s="6" t="str">
        <f>_xll.QS.INSTRUMENT.SWAP("swap.1885",H1887,B1887,"USD","SOFR",I1887,J1887,0,"Actual360","Simple","Annual","Annual","Annual")</f>
        <v>QSObject:Swap:w1~swap.1885:14530</v>
      </c>
      <c r="F1887" s="6" t="str">
        <f>_xll.QS.TRADE.CREATE("trade.1885",E1887,A1887,"Receive")</f>
        <v>QSObject:SwapTrade:w1~trade.1885:30039</v>
      </c>
      <c r="G1887" s="3">
        <f>_xll.QS.EVALUATE(C1887,F1887)</f>
        <v>35581.749614374385</v>
      </c>
      <c r="H1887" s="5" t="s">
        <v>162</v>
      </c>
      <c r="I1887" s="7">
        <v>1188500</v>
      </c>
      <c r="J1887" s="8">
        <v>3.8500000000000013E-2</v>
      </c>
    </row>
    <row r="1888" spans="1:10" x14ac:dyDescent="0.25">
      <c r="A1888" s="5" t="s">
        <v>150</v>
      </c>
      <c r="B1888" s="5" t="s">
        <v>3755</v>
      </c>
      <c r="C1888" s="6" t="str">
        <f>_xll.QS.CONTEXT.CREATE("market.1886",A1888,"USD","SOFR")</f>
        <v>QSObject:PricingContext:w1~market.1886:16221</v>
      </c>
      <c r="D1888" s="6" t="str">
        <f>_xll.QS.CONTEXT.ADD.CURVE(C1888,"SOFR",$K$2:$K$7,$L$2:$L$7,,,"Actual360","LogLinear",TRUE)</f>
        <v>QSObject:ContextInput:w1~input.qs_context_add_curve.2359132437744.1887.3.0:38247</v>
      </c>
      <c r="E1888" s="6" t="str">
        <f>_xll.QS.INSTRUMENT.SWAP("swap.1886",H1888,B1888,"USD","SOFR",I1888,J1888,0,"Actual360","Simple","Annual","Annual","Annual")</f>
        <v>QSObject:Swap:w1~swap.1886:1840</v>
      </c>
      <c r="F1888" s="6" t="str">
        <f>_xll.QS.TRADE.CREATE("trade.1886",E1888,A1888,"Receive")</f>
        <v>QSObject:SwapTrade:w1~trade.1886:11379</v>
      </c>
      <c r="G1888" s="3">
        <f>_xll.QS.EVALUATE(C1888,F1888)</f>
        <v>36139.514313522362</v>
      </c>
      <c r="H1888" s="5" t="s">
        <v>164</v>
      </c>
      <c r="I1888" s="7">
        <v>1188600</v>
      </c>
      <c r="J1888" s="8">
        <v>3.8600000000000002E-2</v>
      </c>
    </row>
    <row r="1889" spans="1:10" x14ac:dyDescent="0.25">
      <c r="A1889" s="5" t="s">
        <v>152</v>
      </c>
      <c r="B1889" s="5" t="s">
        <v>3756</v>
      </c>
      <c r="C1889" s="6" t="str">
        <f>_xll.QS.CONTEXT.CREATE("market.1887",A1889,"USD","SOFR")</f>
        <v>QSObject:PricingContext:w1~market.1887:18195</v>
      </c>
      <c r="D1889" s="6" t="str">
        <f>_xll.QS.CONTEXT.ADD.CURVE(C1889,"SOFR",$K$2:$K$7,$L$2:$L$7,,,"Actual360","LogLinear",TRUE)</f>
        <v>QSObject:ContextInput:w1~input.qs_context_add_curve.2359132437744.1888.3.0:38246</v>
      </c>
      <c r="E1889" s="6" t="str">
        <f>_xll.QS.INSTRUMENT.SWAP("swap.1887",H1889,B1889,"USD","SOFR",I1889,J1889,0,"Actual360","Simple","Annual","Annual","Annual")</f>
        <v>QSObject:Swap:w1~swap.1887:17220</v>
      </c>
      <c r="F1889" s="6" t="str">
        <f>_xll.QS.TRADE.CREATE("trade.1887",E1889,A1889,"Receive")</f>
        <v>QSObject:SwapTrade:w1~trade.1887:30038</v>
      </c>
      <c r="G1889" s="3">
        <f>_xll.QS.EVALUATE(C1889,F1889)</f>
        <v>36692.005347713326</v>
      </c>
      <c r="H1889" s="5" t="s">
        <v>166</v>
      </c>
      <c r="I1889" s="7">
        <v>1188700</v>
      </c>
      <c r="J1889" s="8">
        <v>3.8700000000000012E-2</v>
      </c>
    </row>
    <row r="1890" spans="1:10" x14ac:dyDescent="0.25">
      <c r="A1890" s="5" t="s">
        <v>154</v>
      </c>
      <c r="B1890" s="5" t="s">
        <v>3757</v>
      </c>
      <c r="C1890" s="6" t="str">
        <f>_xll.QS.CONTEXT.CREATE("market.1888",A1890,"USD","SOFR")</f>
        <v>QSObject:PricingContext:w1~market.1888:3382</v>
      </c>
      <c r="D1890" s="6" t="str">
        <f>_xll.QS.CONTEXT.ADD.CURVE(C1890,"SOFR",$K$2:$K$7,$L$2:$L$7,,,"Actual360","LogLinear",TRUE)</f>
        <v>QSObject:ContextInput:w1~input.qs_context_add_curve.2359132437744.1889.3.0:6538</v>
      </c>
      <c r="E1890" s="6" t="str">
        <f>_xll.QS.INSTRUMENT.SWAP("swap.1888",H1890,B1890,"USD","SOFR",I1890,J1890,0,"Actual360","Simple","Annual","Annual","Annual")</f>
        <v>QSObject:Swap:w1~swap.1888:12890</v>
      </c>
      <c r="F1890" s="6" t="str">
        <f>_xll.QS.TRADE.CREATE("trade.1888",E1890,A1890,"Receive")</f>
        <v>QSObject:SwapTrade:w1~trade.1888:16220</v>
      </c>
      <c r="G1890" s="3">
        <f>_xll.QS.EVALUATE(C1890,F1890)</f>
        <v>37095.761580703693</v>
      </c>
      <c r="H1890" s="5" t="s">
        <v>168</v>
      </c>
      <c r="I1890" s="7">
        <v>1188800</v>
      </c>
      <c r="J1890" s="8">
        <v>3.8800000000000001E-2</v>
      </c>
    </row>
    <row r="1891" spans="1:10" x14ac:dyDescent="0.25">
      <c r="A1891" s="5" t="s">
        <v>156</v>
      </c>
      <c r="B1891" s="5" t="s">
        <v>3758</v>
      </c>
      <c r="C1891" s="6" t="str">
        <f>_xll.QS.CONTEXT.CREATE("market.1889",A1891,"USD","SOFR")</f>
        <v>QSObject:PricingContext:w1~market.1889:11378</v>
      </c>
      <c r="D1891" s="6" t="str">
        <f>_xll.QS.CONTEXT.ADD.CURVE(C1891,"SOFR",$K$2:$K$7,$L$2:$L$7,,,"Actual360","LogLinear",TRUE)</f>
        <v>QSObject:ContextInput:w1~input.qs_context_add_curve.2359132437744.1890.3.0:30037</v>
      </c>
      <c r="E1891" s="6" t="str">
        <f>_xll.QS.INSTRUMENT.SWAP("swap.1889",H1891,B1891,"USD","SOFR",I1891,J1891,0,"Actual360","Simple","Annual","Annual","Annual")</f>
        <v>QSObject:Swap:w1~swap.1889:14529</v>
      </c>
      <c r="F1891" s="6" t="str">
        <f>_xll.QS.TRADE.CREATE("trade.1889",E1891,A1891,"Receive")</f>
        <v>QSObject:SwapTrade:w1~trade.1889:18194</v>
      </c>
      <c r="G1891" s="3">
        <f>_xll.QS.EVALUATE(C1891,F1891)</f>
        <v>37650.291398696085</v>
      </c>
      <c r="H1891" s="5" t="s">
        <v>170</v>
      </c>
      <c r="I1891" s="7">
        <v>1188900</v>
      </c>
      <c r="J1891" s="8">
        <v>3.8899999999999997E-2</v>
      </c>
    </row>
    <row r="1892" spans="1:10" x14ac:dyDescent="0.25">
      <c r="A1892" s="5" t="s">
        <v>158</v>
      </c>
      <c r="B1892" s="5" t="s">
        <v>3759</v>
      </c>
      <c r="C1892" s="6" t="str">
        <f>_xll.QS.CONTEXT.CREATE("market.1890",A1892,"USD","SOFR")</f>
        <v>QSObject:PricingContext:w1~market.1890:4938</v>
      </c>
      <c r="D1892" s="6" t="str">
        <f>_xll.QS.CONTEXT.ADD.CURVE(C1892,"SOFR",$K$2:$K$7,$L$2:$L$7,,,"Actual360","LogLinear",TRUE)</f>
        <v>QSObject:ContextInput:w1~input.qs_context_add_curve.2359132437744.1891.3.0:9733</v>
      </c>
      <c r="E1892" s="6" t="str">
        <f>_xll.QS.INSTRUMENT.SWAP("swap.1890",H1892,B1892,"USD","SOFR",I1892,J1892,0,"Actual360","Simple","Annual","Annual","Annual")</f>
        <v>QSObject:Swap:w1~swap.1890:1839</v>
      </c>
      <c r="F1892" s="6" t="str">
        <f>_xll.QS.TRADE.CREATE("trade.1890",E1892,A1892,"Receive")</f>
        <v>QSObject:SwapTrade:w1~trade.1890:12889</v>
      </c>
      <c r="G1892" s="3">
        <f>_xll.QS.EVALUATE(C1892,F1892)</f>
        <v>38252.735713768459</v>
      </c>
      <c r="H1892" s="5" t="s">
        <v>172</v>
      </c>
      <c r="I1892" s="7">
        <v>1189000</v>
      </c>
      <c r="J1892" s="8">
        <v>3.9000000000000007E-2</v>
      </c>
    </row>
    <row r="1893" spans="1:10" x14ac:dyDescent="0.25">
      <c r="A1893" s="5" t="s">
        <v>160</v>
      </c>
      <c r="B1893" s="5" t="s">
        <v>3760</v>
      </c>
      <c r="C1893" s="6" t="str">
        <f>_xll.QS.CONTEXT.CREATE("market.1891",A1893,"USD","SOFR")</f>
        <v>QSObject:PricingContext:w1~market.1891:14528</v>
      </c>
      <c r="D1893" s="6" t="str">
        <f>_xll.QS.CONTEXT.ADD.CURVE(C1893,"SOFR",$K$2:$K$7,$L$2:$L$7,,,"Actual360","LogLinear",TRUE)</f>
        <v>QSObject:ContextInput:w1~input.qs_context_add_curve.2359132437744.1892.3.0:38245</v>
      </c>
      <c r="E1893" s="6" t="str">
        <f>_xll.QS.INSTRUMENT.SWAP("swap.1891",H1893,B1893,"USD","SOFR",I1893,J1893,0,"Actual360","Simple","Annual","Annual","Annual")</f>
        <v>QSObject:Swap:w1~swap.1891:3381</v>
      </c>
      <c r="F1893" s="6" t="str">
        <f>_xll.QS.TRADE.CREATE("trade.1891",E1893,A1893,"Receive")</f>
        <v>QSObject:SwapTrade:w1~trade.1891:8133</v>
      </c>
      <c r="G1893" s="3">
        <f>_xll.QS.EVALUATE(C1893,F1893)</f>
        <v>38891.583902600265</v>
      </c>
      <c r="H1893" s="5" t="s">
        <v>174</v>
      </c>
      <c r="I1893" s="7">
        <v>1189100</v>
      </c>
      <c r="J1893" s="8">
        <v>3.9100000000000003E-2</v>
      </c>
    </row>
    <row r="1894" spans="1:10" x14ac:dyDescent="0.25">
      <c r="A1894" s="5" t="s">
        <v>162</v>
      </c>
      <c r="B1894" s="5" t="s">
        <v>3761</v>
      </c>
      <c r="C1894" s="6" t="str">
        <f>_xll.QS.CONTEXT.CREATE("market.1892",A1894,"USD","SOFR")</f>
        <v>QSObject:PricingContext:w1~market.1892:4937</v>
      </c>
      <c r="D1894" s="6" t="str">
        <f>_xll.QS.CONTEXT.ADD.CURVE(C1894,"SOFR",$K$2:$K$7,$L$2:$L$7,,,"Actual360","LogLinear",TRUE)</f>
        <v>QSObject:ContextInput:w1~input.qs_context_add_curve.2359132437744.1893.3.0:17219</v>
      </c>
      <c r="E1894" s="6" t="str">
        <f>_xll.QS.INSTRUMENT.SWAP("swap.1892",H1894,B1894,"USD","SOFR",I1894,J1894,0,"Actual360","Simple","Annual","Annual","Annual")</f>
        <v>QSObject:Swap:w1~swap.1892:6537</v>
      </c>
      <c r="F1894" s="6" t="str">
        <f>_xll.QS.TRADE.CREATE("trade.1892",E1894,A1894,"Receive")</f>
        <v>QSObject:SwapTrade:w1~trade.1892:18193</v>
      </c>
      <c r="G1894" s="3">
        <f>_xll.QS.EVALUATE(C1894,F1894)</f>
        <v>39443.314949720108</v>
      </c>
      <c r="H1894" s="5" t="s">
        <v>176</v>
      </c>
      <c r="I1894" s="7">
        <v>1189200</v>
      </c>
      <c r="J1894" s="8">
        <v>3.9200000000000013E-2</v>
      </c>
    </row>
    <row r="1895" spans="1:10" x14ac:dyDescent="0.25">
      <c r="A1895" s="5" t="s">
        <v>164</v>
      </c>
      <c r="B1895" s="5" t="s">
        <v>3762</v>
      </c>
      <c r="C1895" s="6" t="str">
        <f>_xll.QS.CONTEXT.CREATE("market.1893",A1895,"USD","SOFR")</f>
        <v>QSObject:PricingContext:w1~market.1893:9732</v>
      </c>
      <c r="D1895" s="6" t="str">
        <f>_xll.QS.CONTEXT.ADD.CURVE(C1895,"SOFR",$K$2:$K$7,$L$2:$L$7,,,"Actual360","LogLinear",TRUE)</f>
        <v>QSObject:ContextInput:w1~input.qs_context_add_curve.2359132437744.1894.3.0:16219</v>
      </c>
      <c r="E1895" s="6" t="str">
        <f>_xll.QS.INSTRUMENT.SWAP("swap.1893",H1895,B1895,"USD","SOFR",I1895,J1895,0,"Actual360","Simple","Annual","Annual","Annual")</f>
        <v>QSObject:Swap:w1~swap.1893:1838</v>
      </c>
      <c r="F1895" s="6" t="str">
        <f>_xll.QS.TRADE.CREATE("trade.1893",E1895,A1895,"Receive")</f>
        <v>QSObject:SwapTrade:w1~trade.1893:11377</v>
      </c>
      <c r="G1895" s="3">
        <f>_xll.QS.EVALUATE(C1895,F1895)</f>
        <v>40001.740036664516</v>
      </c>
      <c r="H1895" s="5" t="s">
        <v>178</v>
      </c>
      <c r="I1895" s="7">
        <v>1189300</v>
      </c>
      <c r="J1895" s="8">
        <v>3.9300000000000002E-2</v>
      </c>
    </row>
    <row r="1896" spans="1:10" x14ac:dyDescent="0.25">
      <c r="A1896" s="5" t="s">
        <v>166</v>
      </c>
      <c r="B1896" s="5" t="s">
        <v>3763</v>
      </c>
      <c r="C1896" s="6" t="str">
        <f>_xll.QS.CONTEXT.CREATE("market.1894",A1896,"USD","SOFR")</f>
        <v>QSObject:PricingContext:w1~market.1894:3380</v>
      </c>
      <c r="D1896" s="6" t="str">
        <f>_xll.QS.CONTEXT.ADD.CURVE(C1896,"SOFR",$K$2:$K$7,$L$2:$L$7,,,"Actual360","LogLinear",TRUE)</f>
        <v>QSObject:ContextInput:w1~input.qs_context_add_curve.2359132437744.1895.3.0:14527</v>
      </c>
      <c r="E1896" s="6" t="str">
        <f>_xll.QS.INSTRUMENT.SWAP("swap.1894",H1896,B1896,"USD","SOFR",I1896,J1896,0,"Actual360","Simple","Annual","Annual","Annual")</f>
        <v>QSObject:Swap:w1~swap.1894:12888</v>
      </c>
      <c r="F1896" s="6" t="str">
        <f>_xll.QS.TRADE.CREATE("trade.1894",E1896,A1896,"Receive")</f>
        <v>QSObject:SwapTrade:w1~trade.1894:30036</v>
      </c>
      <c r="G1896" s="3">
        <f>_xll.QS.EVALUATE(C1896,F1896)</f>
        <v>40554.892210287602</v>
      </c>
      <c r="H1896" s="5" t="s">
        <v>180</v>
      </c>
      <c r="I1896" s="7">
        <v>1189400</v>
      </c>
      <c r="J1896" s="8">
        <v>3.9399999999999998E-2</v>
      </c>
    </row>
    <row r="1897" spans="1:10" x14ac:dyDescent="0.25">
      <c r="A1897" s="5" t="s">
        <v>168</v>
      </c>
      <c r="B1897" s="5" t="s">
        <v>3764</v>
      </c>
      <c r="C1897" s="6" t="str">
        <f>_xll.QS.CONTEXT.CREATE("market.1895",A1897,"USD","SOFR")</f>
        <v>QSObject:PricingContext:w1~market.1895:6536</v>
      </c>
      <c r="D1897" s="6" t="str">
        <f>_xll.QS.CONTEXT.ADD.CURVE(C1897,"SOFR",$K$2:$K$7,$L$2:$L$7,,,"Actual360","LogLinear",TRUE)</f>
        <v>QSObject:ContextInput:w1~input.qs_context_add_curve.2359132437744.1896.3.0:17218</v>
      </c>
      <c r="E1897" s="6" t="str">
        <f>_xll.QS.INSTRUMENT.SWAP("swap.1895",H1897,B1897,"USD","SOFR",I1897,J1897,0,"Actual360","Simple","Annual","Annual","Annual")</f>
        <v>QSObject:Swap:w1~swap.1895:4936</v>
      </c>
      <c r="F1897" s="6" t="str">
        <f>_xll.QS.TRADE.CREATE("trade.1895",E1897,A1897,"Receive")</f>
        <v>QSObject:SwapTrade:w1~trade.1895:18192</v>
      </c>
      <c r="G1897" s="3">
        <f>_xll.QS.EVALUATE(C1897,F1897)</f>
        <v>40958.434640140789</v>
      </c>
      <c r="H1897" s="5" t="s">
        <v>182</v>
      </c>
      <c r="I1897" s="7">
        <v>1189500</v>
      </c>
      <c r="J1897" s="8">
        <v>3.9500000000000007E-2</v>
      </c>
    </row>
    <row r="1898" spans="1:10" x14ac:dyDescent="0.25">
      <c r="A1898" s="5" t="s">
        <v>170</v>
      </c>
      <c r="B1898" s="5" t="s">
        <v>3765</v>
      </c>
      <c r="C1898" s="6" t="str">
        <f>_xll.QS.CONTEXT.CREATE("market.1896",A1898,"USD","SOFR")</f>
        <v>QSObject:PricingContext:w1~market.1896:11376</v>
      </c>
      <c r="D1898" s="6" t="str">
        <f>_xll.QS.CONTEXT.ADD.CURVE(C1898,"SOFR",$K$2:$K$7,$L$2:$L$7,,,"Actual360","LogLinear",TRUE)</f>
        <v>QSObject:ContextInput:w1~input.qs_context_add_curve.2359132437744.1897.3.0:38244</v>
      </c>
      <c r="E1898" s="6" t="str">
        <f>_xll.QS.INSTRUMENT.SWAP("swap.1896",H1898,B1898,"USD","SOFR",I1898,J1898,0,"Actual360","Simple","Annual","Annual","Annual")</f>
        <v>QSObject:Swap:w1~swap.1896:16218</v>
      </c>
      <c r="F1898" s="6" t="str">
        <f>_xll.QS.TRADE.CREATE("trade.1896",E1898,A1898,"Receive")</f>
        <v>QSObject:SwapTrade:w1~trade.1896:30035</v>
      </c>
      <c r="G1898" s="3">
        <f>_xll.QS.EVALUATE(C1898,F1898)</f>
        <v>41513.934160132332</v>
      </c>
      <c r="H1898" s="5" t="s">
        <v>184</v>
      </c>
      <c r="I1898" s="7">
        <v>1189600</v>
      </c>
      <c r="J1898" s="8">
        <v>3.9600000000000003E-2</v>
      </c>
    </row>
    <row r="1899" spans="1:10" x14ac:dyDescent="0.25">
      <c r="A1899" s="5" t="s">
        <v>172</v>
      </c>
      <c r="B1899" s="5" t="s">
        <v>3766</v>
      </c>
      <c r="C1899" s="6" t="str">
        <f>_xll.QS.CONTEXT.CREATE("market.1897",A1899,"USD","SOFR")</f>
        <v>QSObject:PricingContext:w1~market.1897:8132</v>
      </c>
      <c r="D1899" s="6" t="str">
        <f>_xll.QS.CONTEXT.ADD.CURVE(C1899,"SOFR",$K$2:$K$7,$L$2:$L$7,,,"Actual360","LogLinear",TRUE)</f>
        <v>QSObject:ContextInput:w1~input.qs_context_add_curve.2359132437744.1898.3.0:14526</v>
      </c>
      <c r="E1899" s="6" t="str">
        <f>_xll.QS.INSTRUMENT.SWAP("swap.1897",H1899,B1899,"USD","SOFR",I1899,J1899,0,"Actual360","Simple","Annual","Annual","Annual")</f>
        <v>QSObject:Swap:w1~swap.1897:1837</v>
      </c>
      <c r="F1899" s="6" t="str">
        <f>_xll.QS.TRADE.CREATE("trade.1897",E1899,A1899,"Receive")</f>
        <v>QSObject:SwapTrade:w1~trade.1897:12887</v>
      </c>
      <c r="G1899" s="3">
        <f>_xll.QS.EVALUATE(C1899,F1899)</f>
        <v>42117.430046265988</v>
      </c>
      <c r="H1899" s="5" t="s">
        <v>186</v>
      </c>
      <c r="I1899" s="7">
        <v>1189700</v>
      </c>
      <c r="J1899" s="8">
        <v>3.9700000000000013E-2</v>
      </c>
    </row>
    <row r="1900" spans="1:10" x14ac:dyDescent="0.25">
      <c r="A1900" s="5" t="s">
        <v>174</v>
      </c>
      <c r="B1900" s="5" t="s">
        <v>3767</v>
      </c>
      <c r="C1900" s="6" t="str">
        <f>_xll.QS.CONTEXT.CREATE("market.1898",A1900,"USD","SOFR")</f>
        <v>QSObject:PricingContext:w1~market.1898:18191</v>
      </c>
      <c r="D1900" s="6" t="str">
        <f>_xll.QS.CONTEXT.ADD.CURVE(C1900,"SOFR",$K$2:$K$7,$L$2:$L$7,,,"Actual360","LogLinear",TRUE)</f>
        <v>QSObject:ContextInput:w1~input.qs_context_add_curve.2359132437744.1899.3.0:38243</v>
      </c>
      <c r="E1900" s="6" t="str">
        <f>_xll.QS.INSTRUMENT.SWAP("swap.1898",H1900,B1900,"USD","SOFR",I1900,J1900,0,"Actual360","Simple","Annual","Annual","Annual")</f>
        <v>QSObject:Swap:w1~swap.1898:17217</v>
      </c>
      <c r="F1900" s="6" t="str">
        <f>_xll.QS.TRADE.CREATE("trade.1898",E1900,A1900,"Receive")</f>
        <v>QSObject:SwapTrade:w1~trade.1898:30034</v>
      </c>
      <c r="G1900" s="3">
        <f>_xll.QS.EVALUATE(C1900,F1900)</f>
        <v>42757.032413873334</v>
      </c>
      <c r="H1900" s="5" t="s">
        <v>188</v>
      </c>
      <c r="I1900" s="7">
        <v>1189800</v>
      </c>
      <c r="J1900" s="8">
        <v>3.9800000000000002E-2</v>
      </c>
    </row>
    <row r="1901" spans="1:10" x14ac:dyDescent="0.25">
      <c r="A1901" s="5" t="s">
        <v>176</v>
      </c>
      <c r="B1901" s="5" t="s">
        <v>3768</v>
      </c>
      <c r="C1901" s="6" t="str">
        <f>_xll.QS.CONTEXT.CREATE("market.1899",A1901,"USD","SOFR")</f>
        <v>QSObject:PricingContext:w1~market.1899:4935</v>
      </c>
      <c r="D1901" s="6" t="str">
        <f>_xll.QS.CONTEXT.ADD.CURVE(C1901,"SOFR",$K$2:$K$7,$L$2:$L$7,,,"Actual360","LogLinear",TRUE)</f>
        <v>QSObject:ContextInput:w1~input.qs_context_add_curve.2359132437744.1900.3.0:30033</v>
      </c>
      <c r="E1901" s="6" t="str">
        <f>_xll.QS.INSTRUMENT.SWAP("swap.1899",H1901,B1901,"USD","SOFR",I1901,J1901,0,"Actual360","Simple","Annual","Annual","Annual")</f>
        <v>QSObject:Swap:w1~swap.1899:16217</v>
      </c>
      <c r="F1901" s="6" t="str">
        <f>_xll.QS.TRADE.CREATE("trade.1899",E1901,A1901,"Receive")</f>
        <v>QSObject:SwapTrade:w1~trade.1899:30032</v>
      </c>
      <c r="G1901" s="3">
        <f>_xll.QS.EVALUATE(C1901,F1901)</f>
        <v>43309.40168757939</v>
      </c>
      <c r="H1901" s="5" t="s">
        <v>190</v>
      </c>
      <c r="I1901" s="7">
        <v>1189900</v>
      </c>
      <c r="J1901" s="8">
        <v>3.9899999999999998E-2</v>
      </c>
    </row>
    <row r="1902" spans="1:10" x14ac:dyDescent="0.25">
      <c r="A1902" s="5" t="s">
        <v>178</v>
      </c>
      <c r="B1902" s="5" t="s">
        <v>3769</v>
      </c>
      <c r="C1902" s="6" t="str">
        <f>_xll.QS.CONTEXT.CREATE("market.1900",A1902,"USD","SOFR")</f>
        <v>QSObject:PricingContext:w1~market.1900:8131</v>
      </c>
      <c r="D1902" s="6" t="str">
        <f>_xll.QS.CONTEXT.ADD.CURVE(C1902,"SOFR",$K$2:$K$7,$L$2:$L$7,,,"Actual360","LogLinear",TRUE)</f>
        <v>QSObject:ContextInput:w1~input.qs_context_add_curve.2359132437744.1901.3.0:14525</v>
      </c>
      <c r="E1902" s="6" t="str">
        <f>_xll.QS.INSTRUMENT.SWAP("swap.1900",H1902,B1902,"USD","SOFR",I1902,J1902,0,"Actual360","Simple","Annual","Annual","Annual")</f>
        <v>QSObject:Swap:w1~swap.1900:1836</v>
      </c>
      <c r="F1902" s="6" t="str">
        <f>_xll.QS.TRADE.CREATE("trade.1900",E1902,A1902,"Receive")</f>
        <v>QSObject:SwapTrade:w1~trade.1900:18190</v>
      </c>
      <c r="G1902" s="3">
        <f>_xll.QS.EVALUATE(C1902,F1902)</f>
        <v>16417.038222294381</v>
      </c>
      <c r="H1902" s="5" t="s">
        <v>192</v>
      </c>
      <c r="I1902" s="7">
        <v>1190000</v>
      </c>
      <c r="J1902" s="8">
        <v>3.5000000000000003E-2</v>
      </c>
    </row>
    <row r="1903" spans="1:10" x14ac:dyDescent="0.25">
      <c r="A1903" s="5" t="s">
        <v>180</v>
      </c>
      <c r="B1903" s="5" t="s">
        <v>3770</v>
      </c>
      <c r="C1903" s="6" t="str">
        <f>_xll.QS.CONTEXT.CREATE("market.1901",A1903,"USD","SOFR")</f>
        <v>QSObject:PricingContext:w1~market.1901:17216</v>
      </c>
      <c r="D1903" s="6" t="str">
        <f>_xll.QS.CONTEXT.ADD.CURVE(C1903,"SOFR",$K$2:$K$7,$L$2:$L$7,,,"Actual360","LogLinear",TRUE)</f>
        <v>QSObject:ContextInput:w1~input.qs_context_add_curve.2359132437744.1902.3.0:38242</v>
      </c>
      <c r="E1903" s="6" t="str">
        <f>_xll.QS.INSTRUMENT.SWAP("swap.1901",H1903,B1903,"USD","SOFR",I1903,J1903,0,"Actual360","Simple","Annual","Annual","Annual")</f>
        <v>QSObject:Swap:w1~swap.1901:9731</v>
      </c>
      <c r="F1903" s="6" t="str">
        <f>_xll.QS.TRADE.CREATE("trade.1901",E1903,A1903,"Receive")</f>
        <v>QSObject:SwapTrade:w1~trade.1901:30031</v>
      </c>
      <c r="G1903" s="3">
        <f>_xll.QS.EVALUATE(C1903,F1903)</f>
        <v>16968.440206996551</v>
      </c>
      <c r="H1903" s="5" t="s">
        <v>194</v>
      </c>
      <c r="I1903" s="7">
        <v>1190100</v>
      </c>
      <c r="J1903" s="8">
        <v>3.5100000000000013E-2</v>
      </c>
    </row>
    <row r="1904" spans="1:10" x14ac:dyDescent="0.25">
      <c r="A1904" s="5" t="s">
        <v>182</v>
      </c>
      <c r="B1904" s="5" t="s">
        <v>3771</v>
      </c>
      <c r="C1904" s="6" t="str">
        <f>_xll.QS.CONTEXT.CREATE("market.1902",A1904,"USD","SOFR")</f>
        <v>QSObject:PricingContext:w1~market.1902:16216</v>
      </c>
      <c r="D1904" s="6" t="str">
        <f>_xll.QS.CONTEXT.ADD.CURVE(C1904,"SOFR",$K$2:$K$7,$L$2:$L$7,,,"Actual360","LogLinear",TRUE)</f>
        <v>QSObject:ContextInput:w1~input.qs_context_add_curve.2359132437744.1903.3.0:38241</v>
      </c>
      <c r="E1904" s="6" t="str">
        <f>_xll.QS.INSTRUMENT.SWAP("swap.1902",H1904,B1904,"USD","SOFR",I1904,J1904,0,"Actual360","Simple","Annual","Annual","Annual")</f>
        <v>QSObject:Swap:w1~swap.1902:11375</v>
      </c>
      <c r="F1904" s="6" t="str">
        <f>_xll.QS.TRADE.CREATE("trade.1902",E1904,A1904,"Receive")</f>
        <v>QSObject:SwapTrade:w1~trade.1902:30030</v>
      </c>
      <c r="G1904" s="3">
        <f>_xll.QS.EVALUATE(C1904,F1904)</f>
        <v>17374.983522143833</v>
      </c>
      <c r="H1904" s="5" t="s">
        <v>196</v>
      </c>
      <c r="I1904" s="7">
        <v>1190200</v>
      </c>
      <c r="J1904" s="8">
        <v>3.5200000000000002E-2</v>
      </c>
    </row>
    <row r="1905" spans="1:10" x14ac:dyDescent="0.25">
      <c r="A1905" s="5" t="s">
        <v>184</v>
      </c>
      <c r="B1905" s="5" t="s">
        <v>3772</v>
      </c>
      <c r="C1905" s="6" t="str">
        <f>_xll.QS.CONTEXT.CREATE("market.1903",A1905,"USD","SOFR")</f>
        <v>QSObject:PricingContext:w1~market.1903:1835</v>
      </c>
      <c r="D1905" s="6" t="str">
        <f>_xll.QS.CONTEXT.ADD.CURVE(C1905,"SOFR",$K$2:$K$7,$L$2:$L$7,,,"Actual360","LogLinear",TRUE)</f>
        <v>QSObject:ContextInput:w1~input.qs_context_add_curve.2359132437744.1904.3.0:14524</v>
      </c>
      <c r="E1905" s="6" t="str">
        <f>_xll.QS.INSTRUMENT.SWAP("swap.1903",H1905,B1905,"USD","SOFR",I1905,J1905,0,"Actual360","Simple","Annual","Annual","Annual")</f>
        <v>QSObject:Swap:w1~swap.1903:12886</v>
      </c>
      <c r="F1905" s="6" t="str">
        <f>_xll.QS.TRADE.CREATE("trade.1903",E1905,A1905,"Receive")</f>
        <v>QSObject:SwapTrade:w1~trade.1903:17215</v>
      </c>
      <c r="G1905" s="3">
        <f>_xll.QS.EVALUATE(C1905,F1905)</f>
        <v>17926.844316126881</v>
      </c>
      <c r="H1905" s="5" t="s">
        <v>198</v>
      </c>
      <c r="I1905" s="7">
        <v>1190300</v>
      </c>
      <c r="J1905" s="8">
        <v>3.5299999999999998E-2</v>
      </c>
    </row>
    <row r="1906" spans="1:10" x14ac:dyDescent="0.25">
      <c r="A1906" s="5" t="s">
        <v>186</v>
      </c>
      <c r="B1906" s="5" t="s">
        <v>3773</v>
      </c>
      <c r="C1906" s="6" t="str">
        <f>_xll.QS.CONTEXT.CREATE("market.1904",A1906,"USD","SOFR")</f>
        <v>QSObject:PricingContext:w1~market.1904:18189</v>
      </c>
      <c r="D1906" s="6" t="str">
        <f>_xll.QS.CONTEXT.ADD.CURVE(C1906,"SOFR",$K$2:$K$7,$L$2:$L$7,,,"Actual360","LogLinear",TRUE)</f>
        <v>QSObject:ContextInput:w1~input.qs_context_add_curve.2359132437744.1905.3.0:38240</v>
      </c>
      <c r="E1906" s="6" t="str">
        <f>_xll.QS.INSTRUMENT.SWAP("swap.1904",H1906,B1906,"USD","SOFR",I1906,J1906,0,"Actual360","Simple","Annual","Annual","Annual")</f>
        <v>QSObject:Swap:w1~swap.1904:3379</v>
      </c>
      <c r="F1906" s="6" t="str">
        <f>_xll.QS.TRADE.CREATE("trade.1904",E1906,A1906,"Receive")</f>
        <v>QSObject:SwapTrade:w1~trade.1904:11374</v>
      </c>
      <c r="G1906" s="3">
        <f>_xll.QS.EVALUATE(C1906,F1906)</f>
        <v>18526.399504586247</v>
      </c>
      <c r="H1906" s="5" t="s">
        <v>200</v>
      </c>
      <c r="I1906" s="7">
        <v>1190400</v>
      </c>
      <c r="J1906" s="8">
        <v>3.5400000000000001E-2</v>
      </c>
    </row>
    <row r="1907" spans="1:10" x14ac:dyDescent="0.25">
      <c r="A1907" s="5" t="s">
        <v>188</v>
      </c>
      <c r="B1907" s="5" t="s">
        <v>3774</v>
      </c>
      <c r="C1907" s="6" t="str">
        <f>_xll.QS.CONTEXT.CREATE("market.1905",A1907,"USD","SOFR")</f>
        <v>QSObject:PricingContext:w1~market.1905:6535</v>
      </c>
      <c r="D1907" s="6" t="str">
        <f>_xll.QS.CONTEXT.ADD.CURVE(C1907,"SOFR",$K$2:$K$7,$L$2:$L$7,,,"Actual360","LogLinear",TRUE)</f>
        <v>QSObject:ContextInput:w1~input.qs_context_add_curve.2359132437744.1906.3.0:16215</v>
      </c>
      <c r="E1907" s="6" t="str">
        <f>_xll.QS.INSTRUMENT.SWAP("swap.1905",H1907,B1907,"USD","SOFR",I1907,J1907,0,"Actual360","Simple","Annual","Annual","Annual")</f>
        <v>QSObject:Swap:w1~swap.1905:1834</v>
      </c>
      <c r="F1907" s="6" t="str">
        <f>_xll.QS.TRADE.CREATE("trade.1905",E1907,A1907,"Receive")</f>
        <v>QSObject:SwapTrade:w1~trade.1905:14523</v>
      </c>
      <c r="G1907" s="3">
        <f>_xll.QS.EVALUATE(C1907,F1907)</f>
        <v>19163.844086696779</v>
      </c>
      <c r="H1907" s="5" t="s">
        <v>202</v>
      </c>
      <c r="I1907" s="7">
        <v>1190500</v>
      </c>
      <c r="J1907" s="8">
        <v>3.5499999999999997E-2</v>
      </c>
    </row>
    <row r="1908" spans="1:10" x14ac:dyDescent="0.25">
      <c r="A1908" s="5" t="s">
        <v>190</v>
      </c>
      <c r="B1908" s="5" t="s">
        <v>3775</v>
      </c>
      <c r="C1908" s="6" t="str">
        <f>_xll.QS.CONTEXT.CREATE("market.1906",A1908,"USD","SOFR")</f>
        <v>QSObject:PricingContext:w1~market.1906:12885</v>
      </c>
      <c r="D1908" s="6" t="str">
        <f>_xll.QS.CONTEXT.ADD.CURVE(C1908,"SOFR",$K$2:$K$7,$L$2:$L$7,,,"Actual360","LogLinear",TRUE)</f>
        <v>QSObject:ContextInput:w1~input.qs_context_add_curve.2359132437744.1907.3.0:38239</v>
      </c>
      <c r="E1908" s="6" t="str">
        <f>_xll.QS.INSTRUMENT.SWAP("swap.1906",H1908,B1908,"USD","SOFR",I1908,J1908,0,"Actual360","Simple","Annual","Annual","Annual")</f>
        <v>QSObject:Swap:w1~swap.1906:17214</v>
      </c>
      <c r="F1908" s="6" t="str">
        <f>_xll.QS.TRADE.CREATE("trade.1906",E1908,A1908,"Receive")</f>
        <v>QSObject:SwapTrade:w1~trade.1906:30029</v>
      </c>
      <c r="G1908" s="3">
        <f>_xll.QS.EVALUATE(C1908,F1908)</f>
        <v>19714.795815665479</v>
      </c>
      <c r="H1908" s="5" t="s">
        <v>204</v>
      </c>
      <c r="I1908" s="7">
        <v>1190600</v>
      </c>
      <c r="J1908" s="8">
        <v>3.5600000000000007E-2</v>
      </c>
    </row>
    <row r="1909" spans="1:10" x14ac:dyDescent="0.25">
      <c r="A1909" s="5" t="s">
        <v>192</v>
      </c>
      <c r="B1909" s="5" t="s">
        <v>3776</v>
      </c>
      <c r="C1909" s="6" t="str">
        <f>_xll.QS.CONTEXT.CREATE("market.1907",A1909,"USD","SOFR")</f>
        <v>QSObject:PricingContext:w1~market.1907:9730</v>
      </c>
      <c r="D1909" s="6" t="str">
        <f>_xll.QS.CONTEXT.ADD.CURVE(C1909,"SOFR",$K$2:$K$7,$L$2:$L$7,,,"Actual360","LogLinear",TRUE)</f>
        <v>QSObject:ContextInput:w1~input.qs_context_add_curve.2359132437744.1908.3.0:18188</v>
      </c>
      <c r="E1909" s="6" t="str">
        <f>_xll.QS.INSTRUMENT.SWAP("swap.1907",H1909,B1909,"USD","SOFR",I1909,J1909,0,"Actual360","Simple","Annual","Annual","Annual")</f>
        <v>QSObject:Swap:w1~swap.1907:11373</v>
      </c>
      <c r="F1909" s="6" t="str">
        <f>_xll.QS.TRADE.CREATE("trade.1907",E1909,A1909,"Receive")</f>
        <v>QSObject:SwapTrade:w1~trade.1907:30028</v>
      </c>
      <c r="G1909" s="3">
        <f>_xll.QS.EVALUATE(C1909,F1909)</f>
        <v>20272.261095277587</v>
      </c>
      <c r="H1909" s="5" t="s">
        <v>206</v>
      </c>
      <c r="I1909" s="7">
        <v>1190700</v>
      </c>
      <c r="J1909" s="8">
        <v>3.5700000000000003E-2</v>
      </c>
    </row>
    <row r="1910" spans="1:10" x14ac:dyDescent="0.25">
      <c r="A1910" s="5" t="s">
        <v>194</v>
      </c>
      <c r="B1910" s="5" t="s">
        <v>3777</v>
      </c>
      <c r="C1910" s="6" t="str">
        <f>_xll.QS.CONTEXT.CREATE("market.1908",A1910,"USD","SOFR")</f>
        <v>QSObject:PricingContext:w1~market.1908:1833</v>
      </c>
      <c r="D1910" s="6" t="str">
        <f>_xll.QS.CONTEXT.ADD.CURVE(C1910,"SOFR",$K$2:$K$7,$L$2:$L$7,,,"Actual360","LogLinear",TRUE)</f>
        <v>QSObject:ContextInput:w1~input.qs_context_add_curve.2359132437744.1909.3.0:16214</v>
      </c>
      <c r="E1910" s="6" t="str">
        <f>_xll.QS.INSTRUMENT.SWAP("swap.1908",H1910,B1910,"USD","SOFR",I1910,J1910,0,"Actual360","Simple","Annual","Annual","Annual")</f>
        <v>QSObject:Swap:w1~swap.1908:3378</v>
      </c>
      <c r="F1910" s="6" t="str">
        <f>_xll.QS.TRADE.CREATE("trade.1908",E1910,A1910,"Receive")</f>
        <v>QSObject:SwapTrade:w1~trade.1908:12884</v>
      </c>
      <c r="G1910" s="3">
        <f>_xll.QS.EVALUATE(C1910,F1910)</f>
        <v>20824.485430359724</v>
      </c>
      <c r="H1910" s="5" t="s">
        <v>208</v>
      </c>
      <c r="I1910" s="7">
        <v>1190800</v>
      </c>
      <c r="J1910" s="8">
        <v>3.5800000000000012E-2</v>
      </c>
    </row>
    <row r="1911" spans="1:10" x14ac:dyDescent="0.25">
      <c r="A1911" s="5" t="s">
        <v>196</v>
      </c>
      <c r="B1911" s="5" t="s">
        <v>3778</v>
      </c>
      <c r="C1911" s="6" t="str">
        <f>_xll.QS.CONTEXT.CREATE("market.1909",A1911,"USD","SOFR")</f>
        <v>QSObject:PricingContext:w1~market.1909:17213</v>
      </c>
      <c r="D1911" s="6" t="str">
        <f>_xll.QS.CONTEXT.ADD.CURVE(C1911,"SOFR",$K$2:$K$7,$L$2:$L$7,,,"Actual360","LogLinear",TRUE)</f>
        <v>QSObject:ContextInput:w1~input.qs_context_add_curve.2359132437744.1910.3.0:38238</v>
      </c>
      <c r="E1911" s="6" t="str">
        <f>_xll.QS.INSTRUMENT.SWAP("swap.1909",H1911,B1911,"USD","SOFR",I1911,J1911,0,"Actual360","Simple","Annual","Annual","Annual")</f>
        <v>QSObject:Swap:w1~swap.1909:14522</v>
      </c>
      <c r="F1911" s="6" t="str">
        <f>_xll.QS.TRADE.CREATE("trade.1909",E1911,A1911,"Receive")</f>
        <v>QSObject:SwapTrade:w1~trade.1909:30027</v>
      </c>
      <c r="G1911" s="3">
        <f>_xll.QS.EVALUATE(C1911,F1911)</f>
        <v>21231.321041457952</v>
      </c>
      <c r="H1911" s="5" t="s">
        <v>210</v>
      </c>
      <c r="I1911" s="7">
        <v>1190900</v>
      </c>
      <c r="J1911" s="8">
        <v>3.5900000000000001E-2</v>
      </c>
    </row>
    <row r="1912" spans="1:10" x14ac:dyDescent="0.25">
      <c r="A1912" s="5" t="s">
        <v>198</v>
      </c>
      <c r="B1912" s="5" t="s">
        <v>3779</v>
      </c>
      <c r="C1912" s="6" t="str">
        <f>_xll.QS.CONTEXT.CREATE("market.1910",A1912,"USD","SOFR")</f>
        <v>QSObject:PricingContext:w1~market.1910:6534</v>
      </c>
      <c r="D1912" s="6" t="str">
        <f>_xll.QS.CONTEXT.ADD.CURVE(C1912,"SOFR",$K$2:$K$7,$L$2:$L$7,,,"Actual360","LogLinear",TRUE)</f>
        <v>QSObject:ContextInput:w1~input.qs_context_add_curve.2359132437744.1911.3.0:11372</v>
      </c>
      <c r="E1912" s="6" t="str">
        <f>_xll.QS.INSTRUMENT.SWAP("swap.1910",H1912,B1912,"USD","SOFR",I1912,J1912,0,"Actual360","Simple","Annual","Annual","Annual")</f>
        <v>QSObject:Swap:w1~swap.1910:9729</v>
      </c>
      <c r="F1912" s="6" t="str">
        <f>_xll.QS.TRADE.CREATE("trade.1910",E1912,A1912,"Receive")</f>
        <v>QSObject:SwapTrade:w1~trade.1910:16213</v>
      </c>
      <c r="G1912" s="3">
        <f>_xll.QS.EVALUATE(C1912,F1912)</f>
        <v>21783.903576995122</v>
      </c>
      <c r="H1912" s="5" t="s">
        <v>212</v>
      </c>
      <c r="I1912" s="7">
        <v>1191000</v>
      </c>
      <c r="J1912" s="8">
        <v>3.5999999999999997E-2</v>
      </c>
    </row>
    <row r="1913" spans="1:10" x14ac:dyDescent="0.25">
      <c r="A1913" s="5" t="s">
        <v>200</v>
      </c>
      <c r="B1913" s="5" t="s">
        <v>3780</v>
      </c>
      <c r="C1913" s="6" t="str">
        <f>_xll.QS.CONTEXT.CREATE("market.1911",A1913,"USD","SOFR")</f>
        <v>QSObject:PricingContext:w1~market.1911:3377</v>
      </c>
      <c r="D1913" s="6" t="str">
        <f>_xll.QS.CONTEXT.ADD.CURVE(C1913,"SOFR",$K$2:$K$7,$L$2:$L$7,,,"Actual360","LogLinear",TRUE)</f>
        <v>QSObject:ContextInput:w1~input.qs_context_add_curve.2359132437744.1912.3.0:12883</v>
      </c>
      <c r="E1913" s="6" t="str">
        <f>_xll.QS.INSTRUMENT.SWAP("swap.1911",H1913,B1913,"USD","SOFR",I1913,J1913,0,"Actual360","Simple","Annual","Annual","Annual")</f>
        <v>QSObject:Swap:w1~swap.1911:17212</v>
      </c>
      <c r="F1913" s="6" t="str">
        <f>_xll.QS.TRADE.CREATE("trade.1911",E1913,A1913,"Receive")</f>
        <v>QSObject:SwapTrade:w1~trade.1911:30026</v>
      </c>
      <c r="G1913" s="3">
        <f>_xll.QS.EVALUATE(C1913,F1913)</f>
        <v>22383.986752761848</v>
      </c>
      <c r="H1913" s="5" t="s">
        <v>214</v>
      </c>
      <c r="I1913" s="7">
        <v>1191100</v>
      </c>
      <c r="J1913" s="8">
        <v>3.61E-2</v>
      </c>
    </row>
    <row r="1914" spans="1:10" x14ac:dyDescent="0.25">
      <c r="A1914" s="5" t="s">
        <v>202</v>
      </c>
      <c r="B1914" s="5" t="s">
        <v>3781</v>
      </c>
      <c r="C1914" s="6" t="str">
        <f>_xll.QS.CONTEXT.CREATE("market.1912",A1914,"USD","SOFR")</f>
        <v>QSObject:PricingContext:w1~market.1912:4934</v>
      </c>
      <c r="D1914" s="6" t="str">
        <f>_xll.QS.CONTEXT.ADD.CURVE(C1914,"SOFR",$K$2:$K$7,$L$2:$L$7,,,"Actual360","LogLinear",TRUE)</f>
        <v>QSObject:ContextInput:w1~input.qs_context_add_curve.2359132437744.1913.3.0:8130</v>
      </c>
      <c r="E1914" s="6" t="str">
        <f>_xll.QS.INSTRUMENT.SWAP("swap.1912",H1914,B1914,"USD","SOFR",I1914,J1914,0,"Actual360","Simple","Annual","Annual","Annual")</f>
        <v>QSObject:Swap:w1~swap.1912:18187</v>
      </c>
      <c r="F1914" s="6" t="str">
        <f>_xll.QS.TRADE.CREATE("trade.1912",E1914,A1914,"Receive")</f>
        <v>QSObject:SwapTrade:w1~trade.1912:30025</v>
      </c>
      <c r="G1914" s="3">
        <f>_xll.QS.EVALUATE(C1914,F1914)</f>
        <v>23022.831549610411</v>
      </c>
      <c r="H1914" s="5" t="s">
        <v>216</v>
      </c>
      <c r="I1914" s="7">
        <v>1191200</v>
      </c>
      <c r="J1914" s="8">
        <v>3.6200000000000003E-2</v>
      </c>
    </row>
    <row r="1915" spans="1:10" x14ac:dyDescent="0.25">
      <c r="A1915" s="5" t="s">
        <v>204</v>
      </c>
      <c r="B1915" s="5" t="s">
        <v>3782</v>
      </c>
      <c r="C1915" s="6" t="str">
        <f>_xll.QS.CONTEXT.CREATE("market.1913",A1915,"USD","SOFR")</f>
        <v>QSObject:PricingContext:w1~market.1913:9728</v>
      </c>
      <c r="D1915" s="6" t="str">
        <f>_xll.QS.CONTEXT.ADD.CURVE(C1915,"SOFR",$K$2:$K$7,$L$2:$L$7,,,"Actual360","LogLinear",TRUE)</f>
        <v>QSObject:ContextInput:w1~input.qs_context_add_curve.2359132437744.1914.3.0:11371</v>
      </c>
      <c r="E1915" s="6" t="str">
        <f>_xll.QS.INSTRUMENT.SWAP("swap.1913",H1915,B1915,"USD","SOFR",I1915,J1915,0,"Actual360","Simple","Annual","Annual","Annual")</f>
        <v>QSObject:Swap:w1~swap.1913:6533</v>
      </c>
      <c r="F1915" s="6" t="str">
        <f>_xll.QS.TRADE.CREATE("trade.1913",E1915,A1915,"Receive")</f>
        <v>QSObject:SwapTrade:w1~trade.1913:16212</v>
      </c>
      <c r="G1915" s="3">
        <f>_xll.QS.EVALUATE(C1915,F1915)</f>
        <v>23573.99436956946</v>
      </c>
      <c r="H1915" s="5" t="s">
        <v>218</v>
      </c>
      <c r="I1915" s="7">
        <v>1191300</v>
      </c>
      <c r="J1915" s="8">
        <v>3.6300000000000013E-2</v>
      </c>
    </row>
    <row r="1916" spans="1:10" x14ac:dyDescent="0.25">
      <c r="A1916" s="5" t="s">
        <v>206</v>
      </c>
      <c r="B1916" s="5" t="s">
        <v>3783</v>
      </c>
      <c r="C1916" s="6" t="str">
        <f>_xll.QS.CONTEXT.CREATE("market.1914",A1916,"USD","SOFR")</f>
        <v>QSObject:PricingContext:w1~market.1914:1832</v>
      </c>
      <c r="D1916" s="6" t="str">
        <f>_xll.QS.CONTEXT.ADD.CURVE(C1916,"SOFR",$K$2:$K$7,$L$2:$L$7,,,"Actual360","LogLinear",TRUE)</f>
        <v>QSObject:ContextInput:w1~input.qs_context_add_curve.2359132437744.1915.3.0:12882</v>
      </c>
      <c r="E1916" s="6" t="str">
        <f>_xll.QS.INSTRUMENT.SWAP("swap.1914",H1916,B1916,"USD","SOFR",I1916,J1916,0,"Actual360","Simple","Annual","Annual","Annual")</f>
        <v>QSObject:Swap:w1~swap.1914:3376</v>
      </c>
      <c r="F1916" s="6" t="str">
        <f>_xll.QS.TRADE.CREATE("trade.1914",E1916,A1916,"Receive")</f>
        <v>QSObject:SwapTrade:w1~trade.1914:17211</v>
      </c>
      <c r="G1916" s="3">
        <f>_xll.QS.EVALUATE(C1916,F1916)</f>
        <v>24132.807766994905</v>
      </c>
      <c r="H1916" s="5" t="s">
        <v>220</v>
      </c>
      <c r="I1916" s="7">
        <v>1191400</v>
      </c>
      <c r="J1916" s="8">
        <v>3.6400000000000002E-2</v>
      </c>
    </row>
    <row r="1917" spans="1:10" x14ac:dyDescent="0.25">
      <c r="A1917" s="5" t="s">
        <v>208</v>
      </c>
      <c r="B1917" s="5" t="s">
        <v>3784</v>
      </c>
      <c r="C1917" s="6" t="str">
        <f>_xll.QS.CONTEXT.CREATE("market.1915",A1917,"USD","SOFR")</f>
        <v>QSObject:PricingContext:w1~market.1915:14521</v>
      </c>
      <c r="D1917" s="6" t="str">
        <f>_xll.QS.CONTEXT.ADD.CURVE(C1917,"SOFR",$K$2:$K$7,$L$2:$L$7,,,"Actual360","LogLinear",TRUE)</f>
        <v>QSObject:ContextInput:w1~input.qs_context_add_curve.2359132437744.1916.3.0:38237</v>
      </c>
      <c r="E1917" s="6" t="str">
        <f>_xll.QS.INSTRUMENT.SWAP("swap.1915",H1917,B1917,"USD","SOFR",I1917,J1917,0,"Actual360","Simple","Annual","Annual","Annual")</f>
        <v>QSObject:Swap:w1~swap.1915:8129</v>
      </c>
      <c r="F1917" s="6" t="str">
        <f>_xll.QS.TRADE.CREATE("trade.1915",E1917,A1917,"Receive")</f>
        <v>QSObject:SwapTrade:w1~trade.1915:18186</v>
      </c>
      <c r="G1917" s="3">
        <f>_xll.QS.EVALUATE(C1917,F1917)</f>
        <v>24684.624669376775</v>
      </c>
      <c r="H1917" s="5" t="s">
        <v>222</v>
      </c>
      <c r="I1917" s="7">
        <v>1191500</v>
      </c>
      <c r="J1917" s="8">
        <v>3.6499999999999998E-2</v>
      </c>
    </row>
    <row r="1918" spans="1:10" x14ac:dyDescent="0.25">
      <c r="A1918" s="5" t="s">
        <v>210</v>
      </c>
      <c r="B1918" s="5" t="s">
        <v>3785</v>
      </c>
      <c r="C1918" s="6" t="str">
        <f>_xll.QS.CONTEXT.CREATE("market.1916",A1918,"USD","SOFR")</f>
        <v>QSObject:PricingContext:w1~market.1916:6532</v>
      </c>
      <c r="D1918" s="6" t="str">
        <f>_xll.QS.CONTEXT.ADD.CURVE(C1918,"SOFR",$K$2:$K$7,$L$2:$L$7,,,"Actual360","LogLinear",TRUE)</f>
        <v>QSObject:ContextInput:w1~input.qs_context_add_curve.2359132437744.1917.3.0:9727</v>
      </c>
      <c r="E1918" s="6" t="str">
        <f>_xll.QS.INSTRUMENT.SWAP("swap.1916",H1918,B1918,"USD","SOFR",I1918,J1918,0,"Actual360","Simple","Annual","Annual","Annual")</f>
        <v>QSObject:Swap:w1~swap.1916:11370</v>
      </c>
      <c r="F1918" s="6" t="str">
        <f>_xll.QS.TRADE.CREATE("trade.1916",E1918,A1918,"Receive")</f>
        <v>QSObject:SwapTrade:w1~trade.1916:16211</v>
      </c>
      <c r="G1918" s="3">
        <f>_xll.QS.EVALUATE(C1918,F1918)</f>
        <v>25090.743070473298</v>
      </c>
      <c r="H1918" s="5" t="s">
        <v>224</v>
      </c>
      <c r="I1918" s="7">
        <v>1191600</v>
      </c>
      <c r="J1918" s="8">
        <v>3.6600000000000001E-2</v>
      </c>
    </row>
    <row r="1919" spans="1:10" x14ac:dyDescent="0.25">
      <c r="A1919" s="5" t="s">
        <v>212</v>
      </c>
      <c r="B1919" s="5" t="s">
        <v>3786</v>
      </c>
      <c r="C1919" s="6" t="str">
        <f>_xll.QS.CONTEXT.CREATE("market.1917",A1919,"USD","SOFR")</f>
        <v>QSObject:PricingContext:w1~market.1917:17210</v>
      </c>
      <c r="D1919" s="6" t="str">
        <f>_xll.QS.CONTEXT.ADD.CURVE(C1919,"SOFR",$K$2:$K$7,$L$2:$L$7,,,"Actual360","LogLinear",TRUE)</f>
        <v>QSObject:ContextInput:w1~input.qs_context_add_curve.2359132437744.1918.3.0:38236</v>
      </c>
      <c r="E1919" s="6" t="str">
        <f>_xll.QS.INSTRUMENT.SWAP("swap.1917",H1919,B1919,"USD","SOFR",I1919,J1919,0,"Actual360","Simple","Annual","Annual","Annual")</f>
        <v>QSObject:Swap:w1~swap.1917:12881</v>
      </c>
      <c r="F1919" s="6" t="str">
        <f>_xll.QS.TRADE.CREATE("trade.1917",E1919,A1919,"Receive")</f>
        <v>QSObject:SwapTrade:w1~trade.1917:30024</v>
      </c>
      <c r="G1919" s="3">
        <f>_xll.QS.EVALUATE(C1919,F1919)</f>
        <v>25644.780634018636</v>
      </c>
      <c r="H1919" s="5" t="s">
        <v>226</v>
      </c>
      <c r="I1919" s="7">
        <v>1191700</v>
      </c>
      <c r="J1919" s="8">
        <v>3.6700000000000003E-2</v>
      </c>
    </row>
    <row r="1920" spans="1:10" x14ac:dyDescent="0.25">
      <c r="A1920" s="5" t="s">
        <v>214</v>
      </c>
      <c r="B1920" s="5" t="s">
        <v>3787</v>
      </c>
      <c r="C1920" s="6" t="str">
        <f>_xll.QS.CONTEXT.CREATE("market.1918",A1920,"USD","SOFR")</f>
        <v>QSObject:PricingContext:w1~market.1918:14520</v>
      </c>
      <c r="D1920" s="6" t="str">
        <f>_xll.QS.CONTEXT.ADD.CURVE(C1920,"SOFR",$K$2:$K$7,$L$2:$L$7,,,"Actual360","LogLinear",TRUE)</f>
        <v>QSObject:ContextInput:w1~input.qs_context_add_curve.2359132437744.1919.3.0:38235</v>
      </c>
      <c r="E1920" s="6" t="str">
        <f>_xll.QS.INSTRUMENT.SWAP("swap.1918",H1920,B1920,"USD","SOFR",I1920,J1920,0,"Actual360","Simple","Annual","Annual","Annual")</f>
        <v>QSObject:Swap:w1~swap.1918:18185</v>
      </c>
      <c r="F1920" s="6" t="str">
        <f>_xll.QS.TRADE.CREATE("trade.1918",E1920,A1920,"Receive")</f>
        <v>QSObject:SwapTrade:w1~trade.1918:30023</v>
      </c>
      <c r="G1920" s="3">
        <f>_xll.QS.EVALUATE(C1920,F1920)</f>
        <v>26245.482789894268</v>
      </c>
      <c r="H1920" s="5" t="s">
        <v>228</v>
      </c>
      <c r="I1920" s="7">
        <v>1191800</v>
      </c>
      <c r="J1920" s="8">
        <v>3.6800000000000013E-2</v>
      </c>
    </row>
    <row r="1921" spans="1:10" x14ac:dyDescent="0.25">
      <c r="A1921" s="5" t="s">
        <v>216</v>
      </c>
      <c r="B1921" s="5" t="s">
        <v>3788</v>
      </c>
      <c r="C1921" s="6" t="str">
        <f>_xll.QS.CONTEXT.CREATE("market.1919",A1921,"USD","SOFR")</f>
        <v>QSObject:PricingContext:w1~market.1919:11369</v>
      </c>
      <c r="D1921" s="6" t="str">
        <f>_xll.QS.CONTEXT.ADD.CURVE(C1921,"SOFR",$K$2:$K$7,$L$2:$L$7,,,"Actual360","LogLinear",TRUE)</f>
        <v>QSObject:ContextInput:w1~input.qs_context_add_curve.2359132437744.1920.3.0:30022</v>
      </c>
      <c r="E1921" s="6" t="str">
        <f>_xll.QS.INSTRUMENT.SWAP("swap.1919",H1921,B1921,"USD","SOFR",I1921,J1921,0,"Actual360","Simple","Annual","Annual","Annual")</f>
        <v>QSObject:Swap:w1~swap.1919:16210</v>
      </c>
      <c r="F1921" s="6" t="str">
        <f>_xll.QS.TRADE.CREATE("trade.1919",E1921,A1921,"Receive")</f>
        <v>QSObject:SwapTrade:w1~trade.1919:30021</v>
      </c>
      <c r="G1921" s="3">
        <f>_xll.QS.EVALUATE(C1921,F1921)</f>
        <v>26885.249910664141</v>
      </c>
      <c r="H1921" s="5" t="s">
        <v>230</v>
      </c>
      <c r="I1921" s="7">
        <v>1191900</v>
      </c>
      <c r="J1921" s="8">
        <v>3.6900000000000002E-2</v>
      </c>
    </row>
    <row r="1922" spans="1:10" x14ac:dyDescent="0.25">
      <c r="A1922" s="5" t="s">
        <v>218</v>
      </c>
      <c r="B1922" s="5" t="s">
        <v>3789</v>
      </c>
      <c r="C1922" s="6" t="str">
        <f>_xll.QS.CONTEXT.CREATE("market.1920",A1922,"USD","SOFR")</f>
        <v>QSObject:PricingContext:w1~market.1920:4933</v>
      </c>
      <c r="D1922" s="6" t="str">
        <f>_xll.QS.CONTEXT.ADD.CURVE(C1922,"SOFR",$K$2:$K$7,$L$2:$L$7,,,"Actual360","LogLinear",TRUE)</f>
        <v>QSObject:ContextInput:w1~input.qs_context_add_curve.2359132437744.1921.3.0:30020</v>
      </c>
      <c r="E1922" s="6" t="str">
        <f>_xll.QS.INSTRUMENT.SWAP("swap.1920",H1922,B1922,"USD","SOFR",I1922,J1922,0,"Actual360","Simple","Annual","Annual","Annual")</f>
        <v>QSObject:Swap:w1~swap.1920:17209</v>
      </c>
      <c r="F1922" s="6" t="str">
        <f>_xll.QS.TRADE.CREATE("trade.1920",E1922,A1922,"Receive")</f>
        <v>QSObject:SwapTrade:w1~trade.1920:30019</v>
      </c>
      <c r="G1922" s="3">
        <f>_xll.QS.EVALUATE(C1922,F1922)</f>
        <v>27437.279319845111</v>
      </c>
      <c r="H1922" s="5" t="s">
        <v>232</v>
      </c>
      <c r="I1922" s="7">
        <v>1192000</v>
      </c>
      <c r="J1922" s="8">
        <v>3.7000000000000012E-2</v>
      </c>
    </row>
    <row r="1923" spans="1:10" x14ac:dyDescent="0.25">
      <c r="A1923" s="5" t="s">
        <v>220</v>
      </c>
      <c r="B1923" s="5" t="s">
        <v>3790</v>
      </c>
      <c r="C1923" s="6" t="str">
        <f>_xll.QS.CONTEXT.CREATE("market.1921",A1923,"USD","SOFR")</f>
        <v>QSObject:PricingContext:w1~market.1921:6531</v>
      </c>
      <c r="D1923" s="6" t="str">
        <f>_xll.QS.CONTEXT.ADD.CURVE(C1923,"SOFR",$K$2:$K$7,$L$2:$L$7,,,"Actual360","LogLinear",TRUE)</f>
        <v>QSObject:ContextInput:w1~input.qs_context_add_curve.2359132437744.1922.3.0:8128</v>
      </c>
      <c r="E1923" s="6" t="str">
        <f>_xll.QS.INSTRUMENT.SWAP("swap.1921",H1923,B1923,"USD","SOFR",I1923,J1923,0,"Actual360","Simple","Annual","Annual","Annual")</f>
        <v>QSObject:Swap:w1~swap.1921:18184</v>
      </c>
      <c r="F1923" s="6" t="str">
        <f>_xll.QS.TRADE.CREATE("trade.1921",E1923,A1923,"Receive")</f>
        <v>QSObject:SwapTrade:w1~trade.1921:30018</v>
      </c>
      <c r="G1923" s="3">
        <f>_xll.QS.EVALUATE(C1923,F1923)</f>
        <v>27996.138116031856</v>
      </c>
      <c r="H1923" s="5" t="s">
        <v>234</v>
      </c>
      <c r="I1923" s="7">
        <v>1192100</v>
      </c>
      <c r="J1923" s="8">
        <v>3.7100000000000001E-2</v>
      </c>
    </row>
    <row r="1924" spans="1:10" x14ac:dyDescent="0.25">
      <c r="A1924" s="5" t="s">
        <v>222</v>
      </c>
      <c r="B1924" s="5" t="s">
        <v>3791</v>
      </c>
      <c r="C1924" s="6" t="str">
        <f>_xll.QS.CONTEXT.CREATE("market.1922",A1924,"USD","SOFR")</f>
        <v>QSObject:PricingContext:w1~market.1922:3375</v>
      </c>
      <c r="D1924" s="6" t="str">
        <f>_xll.QS.CONTEXT.ADD.CURVE(C1924,"SOFR",$K$2:$K$7,$L$2:$L$7,,,"Actual360","LogLinear",TRUE)</f>
        <v>QSObject:ContextInput:w1~input.qs_context_add_curve.2359132437744.1923.3.0:9726</v>
      </c>
      <c r="E1924" s="6" t="str">
        <f>_xll.QS.INSTRUMENT.SWAP("swap.1922",H1924,B1924,"USD","SOFR",I1924,J1924,0,"Actual360","Simple","Annual","Annual","Annual")</f>
        <v>QSObject:Swap:w1~swap.1922:14519</v>
      </c>
      <c r="F1924" s="6" t="str">
        <f>_xll.QS.TRADE.CREATE("trade.1922",E1924,A1924,"Receive")</f>
        <v>QSObject:SwapTrade:w1~trade.1922:30017</v>
      </c>
      <c r="G1924" s="3">
        <f>_xll.QS.EVALUATE(C1924,F1924)</f>
        <v>28494.313572125982</v>
      </c>
      <c r="H1924" s="5" t="s">
        <v>236</v>
      </c>
      <c r="I1924" s="7">
        <v>1192200</v>
      </c>
      <c r="J1924" s="8">
        <v>3.7199999999999997E-2</v>
      </c>
    </row>
    <row r="1925" spans="1:10" x14ac:dyDescent="0.25">
      <c r="A1925" s="5" t="s">
        <v>224</v>
      </c>
      <c r="B1925" s="5" t="s">
        <v>3792</v>
      </c>
      <c r="C1925" s="6" t="str">
        <f>_xll.QS.CONTEXT.CREATE("market.1923",A1925,"USD","SOFR")</f>
        <v>QSObject:PricingContext:w1~market.1923:16209</v>
      </c>
      <c r="D1925" s="6" t="str">
        <f>_xll.QS.CONTEXT.ADD.CURVE(C1925,"SOFR",$K$2:$K$7,$L$2:$L$7,,,"Actual360","LogLinear",TRUE)</f>
        <v>QSObject:ContextInput:w1~input.qs_context_add_curve.2359132437744.1924.3.0:30016</v>
      </c>
      <c r="E1925" s="6" t="str">
        <f>_xll.QS.INSTRUMENT.SWAP("swap.1923",H1925,B1925,"USD","SOFR",I1925,J1925,0,"Actual360","Simple","Annual","Annual","Annual")</f>
        <v>QSObject:Swap:w1~swap.1923:17208</v>
      </c>
      <c r="F1925" s="6" t="str">
        <f>_xll.QS.TRADE.CREATE("trade.1923",E1925,A1925,"Receive")</f>
        <v>QSObject:SwapTrade:w1~trade.1923:30015</v>
      </c>
      <c r="G1925" s="3">
        <f>_xll.QS.EVALUATE(C1925,F1925)</f>
        <v>28955.24493366768</v>
      </c>
      <c r="H1925" s="5" t="s">
        <v>238</v>
      </c>
      <c r="I1925" s="7">
        <v>1192300</v>
      </c>
      <c r="J1925" s="8">
        <v>3.73E-2</v>
      </c>
    </row>
    <row r="1926" spans="1:10" x14ac:dyDescent="0.25">
      <c r="A1926" s="5" t="s">
        <v>226</v>
      </c>
      <c r="B1926" s="5" t="s">
        <v>3793</v>
      </c>
      <c r="C1926" s="6" t="str">
        <f>_xll.QS.CONTEXT.CREATE("market.1924",A1926,"USD","SOFR")</f>
        <v>QSObject:PricingContext:w1~market.1924:18183</v>
      </c>
      <c r="D1926" s="6" t="str">
        <f>_xll.QS.CONTEXT.ADD.CURVE(C1926,"SOFR",$K$2:$K$7,$L$2:$L$7,,,"Actual360","LogLinear",TRUE)</f>
        <v>QSObject:ContextInput:w1~input.qs_context_add_curve.2359132437744.1925.3.0:38234</v>
      </c>
      <c r="E1926" s="6" t="str">
        <f>_xll.QS.INSTRUMENT.SWAP("swap.1924",H1926,B1926,"USD","SOFR",I1926,J1926,0,"Actual360","Simple","Annual","Annual","Annual")</f>
        <v>QSObject:Swap:w1~swap.1924:8127</v>
      </c>
      <c r="F1926" s="6" t="str">
        <f>_xll.QS.TRADE.CREATE("trade.1924",E1926,A1926,"Receive")</f>
        <v>QSObject:SwapTrade:w1~trade.1924:30014</v>
      </c>
      <c r="G1926" s="3">
        <f>_xll.QS.EVALUATE(C1926,F1926)</f>
        <v>29510.014182331441</v>
      </c>
      <c r="H1926" s="5" t="s">
        <v>240</v>
      </c>
      <c r="I1926" s="7">
        <v>1192400</v>
      </c>
      <c r="J1926" s="8">
        <v>3.7400000000000003E-2</v>
      </c>
    </row>
    <row r="1927" spans="1:10" x14ac:dyDescent="0.25">
      <c r="A1927" s="5" t="s">
        <v>228</v>
      </c>
      <c r="B1927" s="5" t="s">
        <v>3794</v>
      </c>
      <c r="C1927" s="6" t="str">
        <f>_xll.QS.CONTEXT.CREATE("market.1925",A1927,"USD","SOFR")</f>
        <v>QSObject:PricingContext:w1~market.1925:14518</v>
      </c>
      <c r="D1927" s="6" t="str">
        <f>_xll.QS.CONTEXT.ADD.CURVE(C1927,"SOFR",$K$2:$K$7,$L$2:$L$7,,,"Actual360","LogLinear",TRUE)</f>
        <v>QSObject:ContextInput:w1~input.qs_context_add_curve.2359132437744.1926.3.0:38233</v>
      </c>
      <c r="E1927" s="6" t="str">
        <f>_xll.QS.INSTRUMENT.SWAP("swap.1925",H1927,B1927,"USD","SOFR",I1927,J1927,0,"Actual360","Simple","Annual","Annual","Annual")</f>
        <v>QSObject:Swap:w1~swap.1925:11368</v>
      </c>
      <c r="F1927" s="6" t="str">
        <f>_xll.QS.TRADE.CREATE("trade.1925",E1927,A1927,"Receive")</f>
        <v>QSObject:SwapTrade:w1~trade.1925:16208</v>
      </c>
      <c r="G1927" s="3">
        <f>_xll.QS.EVALUATE(C1927,F1927)</f>
        <v>30112.729551314711</v>
      </c>
      <c r="H1927" s="5" t="s">
        <v>242</v>
      </c>
      <c r="I1927" s="7">
        <v>1192500</v>
      </c>
      <c r="J1927" s="8">
        <v>3.7500000000000012E-2</v>
      </c>
    </row>
    <row r="1928" spans="1:10" x14ac:dyDescent="0.25">
      <c r="A1928" s="5" t="s">
        <v>230</v>
      </c>
      <c r="B1928" s="5" t="s">
        <v>3795</v>
      </c>
      <c r="C1928" s="6" t="str">
        <f>_xll.QS.CONTEXT.CREATE("market.1926",A1928,"USD","SOFR")</f>
        <v>QSObject:PricingContext:w1~market.1926:1831</v>
      </c>
      <c r="D1928" s="6" t="str">
        <f>_xll.QS.CONTEXT.ADD.CURVE(C1928,"SOFR",$K$2:$K$7,$L$2:$L$7,,,"Actual360","LogLinear",TRUE)</f>
        <v>QSObject:ContextInput:w1~input.qs_context_add_curve.2359132437744.1927.3.0:4932</v>
      </c>
      <c r="E1928" s="6" t="str">
        <f>_xll.QS.INSTRUMENT.SWAP("swap.1926",H1928,B1928,"USD","SOFR",I1928,J1928,0,"Actual360","Simple","Annual","Annual","Annual")</f>
        <v>QSObject:Swap:w1~swap.1926:17207</v>
      </c>
      <c r="F1928" s="6" t="str">
        <f>_xll.QS.TRADE.CREATE("trade.1926",E1928,A1928,"Receive")</f>
        <v>QSObject:SwapTrade:w1~trade.1926:30013</v>
      </c>
      <c r="G1928" s="3">
        <f>_xll.QS.EVALUATE(C1928,F1928)</f>
        <v>30752.637792023641</v>
      </c>
      <c r="H1928" s="5" t="s">
        <v>244</v>
      </c>
      <c r="I1928" s="7">
        <v>1192600</v>
      </c>
      <c r="J1928" s="8">
        <v>3.7600000000000001E-2</v>
      </c>
    </row>
    <row r="1929" spans="1:10" x14ac:dyDescent="0.25">
      <c r="A1929" s="5" t="s">
        <v>232</v>
      </c>
      <c r="B1929" s="5" t="s">
        <v>3796</v>
      </c>
      <c r="C1929" s="6" t="str">
        <f>_xll.QS.CONTEXT.CREATE("market.1927",A1929,"USD","SOFR")</f>
        <v>QSObject:PricingContext:w1~market.1927:18182</v>
      </c>
      <c r="D1929" s="6" t="str">
        <f>_xll.QS.CONTEXT.ADD.CURVE(C1929,"SOFR",$K$2:$K$7,$L$2:$L$7,,,"Actual360","LogLinear",TRUE)</f>
        <v>QSObject:ContextInput:w1~input.qs_context_add_curve.2359132437744.1928.3.0:38232</v>
      </c>
      <c r="E1929" s="6" t="str">
        <f>_xll.QS.INSTRUMENT.SWAP("swap.1927",H1929,B1929,"USD","SOFR",I1929,J1929,0,"Actual360","Simple","Annual","Annual","Annual")</f>
        <v>QSObject:Swap:w1~swap.1927:6530</v>
      </c>
      <c r="F1929" s="6" t="str">
        <f>_xll.QS.TRADE.CREATE("trade.1927",E1929,A1929,"Receive")</f>
        <v>QSObject:SwapTrade:w1~trade.1927:16207</v>
      </c>
      <c r="G1929" s="3">
        <f>_xll.QS.EVALUATE(C1929,F1929)</f>
        <v>31359.114054531128</v>
      </c>
      <c r="H1929" s="5" t="s">
        <v>246</v>
      </c>
      <c r="I1929" s="7">
        <v>1192700</v>
      </c>
      <c r="J1929" s="8">
        <v>3.7699999999999997E-2</v>
      </c>
    </row>
    <row r="1930" spans="1:10" x14ac:dyDescent="0.25">
      <c r="A1930" s="5" t="s">
        <v>234</v>
      </c>
      <c r="B1930" s="5" t="s">
        <v>3797</v>
      </c>
      <c r="C1930" s="6" t="str">
        <f>_xll.QS.CONTEXT.CREATE("market.1928",A1930,"USD","SOFR")</f>
        <v>QSObject:PricingContext:w1~market.1928:9725</v>
      </c>
      <c r="D1930" s="6" t="str">
        <f>_xll.QS.CONTEXT.ADD.CURVE(C1930,"SOFR",$K$2:$K$7,$L$2:$L$7,,,"Actual360","LogLinear",TRUE)</f>
        <v>QSObject:ContextInput:w1~input.qs_context_add_curve.2359132437744.1929.3.0:11367</v>
      </c>
      <c r="E1930" s="6" t="str">
        <f>_xll.QS.INSTRUMENT.SWAP("swap.1928",H1930,B1930,"USD","SOFR",I1930,J1930,0,"Actual360","Simple","Annual","Annual","Annual")</f>
        <v>QSObject:Swap:w1~swap.1928:3374</v>
      </c>
      <c r="F1930" s="6" t="str">
        <f>_xll.QS.TRADE.CREATE("trade.1928",E1930,A1930,"Receive")</f>
        <v>QSObject:SwapTrade:w1~trade.1928:12880</v>
      </c>
      <c r="G1930" s="3">
        <f>_xll.QS.EVALUATE(C1930,F1930)</f>
        <v>31912.89861417083</v>
      </c>
      <c r="H1930" s="5" t="s">
        <v>248</v>
      </c>
      <c r="I1930" s="7">
        <v>1192800</v>
      </c>
      <c r="J1930" s="8">
        <v>3.78E-2</v>
      </c>
    </row>
    <row r="1931" spans="1:10" x14ac:dyDescent="0.25">
      <c r="A1931" s="5" t="s">
        <v>236</v>
      </c>
      <c r="B1931" s="5" t="s">
        <v>3798</v>
      </c>
      <c r="C1931" s="6" t="str">
        <f>_xll.QS.CONTEXT.CREATE("market.1929",A1931,"USD","SOFR")</f>
        <v>QSObject:PricingContext:w1~market.1929:4931</v>
      </c>
      <c r="D1931" s="6" t="str">
        <f>_xll.QS.CONTEXT.ADD.CURVE(C1931,"SOFR",$K$2:$K$7,$L$2:$L$7,,,"Actual360","LogLinear",TRUE)</f>
        <v>QSObject:ContextInput:w1~input.qs_context_add_curve.2359132437744.1930.3.0:30012</v>
      </c>
      <c r="E1931" s="6" t="str">
        <f>_xll.QS.INSTRUMENT.SWAP("swap.1929",H1931,B1931,"USD","SOFR",I1931,J1931,0,"Actual360","Simple","Annual","Annual","Annual")</f>
        <v>QSObject:Swap:w1~swap.1929:17206</v>
      </c>
      <c r="F1931" s="6" t="str">
        <f>_xll.QS.TRADE.CREATE("trade.1929",E1931,A1931,"Receive")</f>
        <v>QSObject:SwapTrade:w1~trade.1929:30011</v>
      </c>
      <c r="G1931" s="3">
        <f>_xll.QS.EVALUATE(C1931,F1931)</f>
        <v>32330.69169803126</v>
      </c>
      <c r="H1931" s="5" t="s">
        <v>250</v>
      </c>
      <c r="I1931" s="7">
        <v>1192900</v>
      </c>
      <c r="J1931" s="8">
        <v>3.7900000000000003E-2</v>
      </c>
    </row>
    <row r="1932" spans="1:10" x14ac:dyDescent="0.25">
      <c r="A1932" s="5" t="s">
        <v>238</v>
      </c>
      <c r="B1932" s="5" t="s">
        <v>3799</v>
      </c>
      <c r="C1932" s="6" t="str">
        <f>_xll.QS.CONTEXT.CREATE("market.1930",A1932,"USD","SOFR")</f>
        <v>QSObject:PricingContext:w1~market.1930:8126</v>
      </c>
      <c r="D1932" s="6" t="str">
        <f>_xll.QS.CONTEXT.ADD.CURVE(C1932,"SOFR",$K$2:$K$7,$L$2:$L$7,,,"Actual360","LogLinear",TRUE)</f>
        <v>QSObject:ContextInput:w1~input.qs_context_add_curve.2359132437744.1931.3.0:14517</v>
      </c>
      <c r="E1932" s="6" t="str">
        <f>_xll.QS.INSTRUMENT.SWAP("swap.1930",H1932,B1932,"USD","SOFR",I1932,J1932,0,"Actual360","Simple","Annual","Annual","Annual")</f>
        <v>QSObject:Swap:w1~swap.1930:18181</v>
      </c>
      <c r="F1932" s="6" t="str">
        <f>_xll.QS.TRADE.CREATE("trade.1930",E1932,A1932,"Receive")</f>
        <v>QSObject:SwapTrade:w1~trade.1930:30010</v>
      </c>
      <c r="G1932" s="3">
        <f>_xll.QS.EVALUATE(C1932,F1932)</f>
        <v>32824.390173194282</v>
      </c>
      <c r="H1932" s="5" t="s">
        <v>252</v>
      </c>
      <c r="I1932" s="7">
        <v>1193000</v>
      </c>
      <c r="J1932" s="8">
        <v>3.8000000000000013E-2</v>
      </c>
    </row>
    <row r="1933" spans="1:10" x14ac:dyDescent="0.25">
      <c r="A1933" s="5" t="s">
        <v>240</v>
      </c>
      <c r="B1933" s="5" t="s">
        <v>3800</v>
      </c>
      <c r="C1933" s="6" t="str">
        <f>_xll.QS.CONTEXT.CREATE("market.1931",A1933,"USD","SOFR")</f>
        <v>QSObject:PricingContext:w1~market.1931:9724</v>
      </c>
      <c r="D1933" s="6" t="str">
        <f>_xll.QS.CONTEXT.ADD.CURVE(C1933,"SOFR",$K$2:$K$7,$L$2:$L$7,,,"Actual360","LogLinear",TRUE)</f>
        <v>QSObject:ContextInput:w1~input.qs_context_add_curve.2359132437744.1932.3.0:11366</v>
      </c>
      <c r="E1933" s="6" t="str">
        <f>_xll.QS.INSTRUMENT.SWAP("swap.1931",H1933,B1933,"USD","SOFR",I1933,J1933,0,"Actual360","Simple","Annual","Annual","Annual")</f>
        <v>QSObject:Swap:w1~swap.1931:3373</v>
      </c>
      <c r="F1933" s="6" t="str">
        <f>_xll.QS.TRADE.CREATE("trade.1931",E1933,A1933,"Receive")</f>
        <v>QSObject:SwapTrade:w1~trade.1931:4930</v>
      </c>
      <c r="G1933" s="3">
        <f>_xll.QS.EVALUATE(C1933,F1933)</f>
        <v>33380.129667842186</v>
      </c>
      <c r="H1933" s="5" t="s">
        <v>254</v>
      </c>
      <c r="I1933" s="7">
        <v>1193100</v>
      </c>
      <c r="J1933" s="8">
        <v>3.8100000000000002E-2</v>
      </c>
    </row>
    <row r="1934" spans="1:10" x14ac:dyDescent="0.25">
      <c r="A1934" s="5" t="s">
        <v>242</v>
      </c>
      <c r="B1934" s="5" t="s">
        <v>3801</v>
      </c>
      <c r="C1934" s="6" t="str">
        <f>_xll.QS.CONTEXT.CREATE("market.1932",A1934,"USD","SOFR")</f>
        <v>QSObject:PricingContext:w1~market.1932:17205</v>
      </c>
      <c r="D1934" s="6" t="str">
        <f>_xll.QS.CONTEXT.ADD.CURVE(C1934,"SOFR",$K$2:$K$7,$L$2:$L$7,,,"Actual360","LogLinear",TRUE)</f>
        <v>QSObject:ContextInput:w1~input.qs_context_add_curve.2359132437744.1933.3.0:30009</v>
      </c>
      <c r="E1934" s="6" t="str">
        <f>_xll.QS.INSTRUMENT.SWAP("swap.1932",H1934,B1934,"USD","SOFR",I1934,J1934,0,"Actual360","Simple","Annual","Annual","Annual")</f>
        <v>QSObject:Swap:w1~swap.1932:12879</v>
      </c>
      <c r="F1934" s="6" t="str">
        <f>_xll.QS.TRADE.CREATE("trade.1932",E1934,A1934,"Receive")</f>
        <v>QSObject:SwapTrade:w1~trade.1932:18180</v>
      </c>
      <c r="G1934" s="3">
        <f>_xll.QS.EVALUATE(C1934,F1934)</f>
        <v>34115.890066273168</v>
      </c>
      <c r="H1934" s="5" t="s">
        <v>256</v>
      </c>
      <c r="I1934" s="7">
        <v>1193200</v>
      </c>
      <c r="J1934" s="8">
        <v>3.8199999999999998E-2</v>
      </c>
    </row>
    <row r="1935" spans="1:10" x14ac:dyDescent="0.25">
      <c r="A1935" s="5" t="s">
        <v>244</v>
      </c>
      <c r="B1935" s="5" t="s">
        <v>3802</v>
      </c>
      <c r="C1935" s="6" t="str">
        <f>_xll.QS.CONTEXT.CREATE("market.1933",A1935,"USD","SOFR")</f>
        <v>QSObject:PricingContext:w1~market.1933:8125</v>
      </c>
      <c r="D1935" s="6" t="str">
        <f>_xll.QS.CONTEXT.ADD.CURVE(C1935,"SOFR",$K$2:$K$7,$L$2:$L$7,,,"Actual360","LogLinear",TRUE)</f>
        <v>QSObject:ContextInput:w1~input.qs_context_add_curve.2359132437744.1934.3.0:14516</v>
      </c>
      <c r="E1935" s="6" t="str">
        <f>_xll.QS.INSTRUMENT.SWAP("swap.1933",H1935,B1935,"USD","SOFR",I1935,J1935,0,"Actual360","Simple","Annual","Annual","Annual")</f>
        <v>QSObject:Swap:w1~swap.1933:6529</v>
      </c>
      <c r="F1935" s="6" t="str">
        <f>_xll.QS.TRADE.CREATE("trade.1933",E1935,A1935,"Receive")</f>
        <v>QSObject:SwapTrade:w1~trade.1933:11365</v>
      </c>
      <c r="G1935" s="3">
        <f>_xll.QS.EVALUATE(C1935,F1935)</f>
        <v>34668.612187540115</v>
      </c>
      <c r="H1935" s="5" t="s">
        <v>258</v>
      </c>
      <c r="I1935" s="7">
        <v>1193300</v>
      </c>
      <c r="J1935" s="8">
        <v>3.8300000000000001E-2</v>
      </c>
    </row>
    <row r="1936" spans="1:10" x14ac:dyDescent="0.25">
      <c r="A1936" s="5" t="s">
        <v>246</v>
      </c>
      <c r="B1936" s="5" t="s">
        <v>3803</v>
      </c>
      <c r="C1936" s="6" t="str">
        <f>_xll.QS.CONTEXT.CREATE("market.1934",A1936,"USD","SOFR")</f>
        <v>QSObject:PricingContext:w1~market.1934:3372</v>
      </c>
      <c r="D1936" s="6" t="str">
        <f>_xll.QS.CONTEXT.ADD.CURVE(C1936,"SOFR",$K$2:$K$7,$L$2:$L$7,,,"Actual360","LogLinear",TRUE)</f>
        <v>QSObject:ContextInput:w1~input.qs_context_add_curve.2359132437744.1935.3.0:9723</v>
      </c>
      <c r="E1936" s="6" t="str">
        <f>_xll.QS.INSTRUMENT.SWAP("swap.1934",H1936,B1936,"USD","SOFR",I1936,J1936,0,"Actual360","Simple","Annual","Annual","Annual")</f>
        <v>QSObject:Swap:w1~swap.1934:16206</v>
      </c>
      <c r="F1936" s="6" t="str">
        <f>_xll.QS.TRADE.CREATE("trade.1934",E1936,A1936,"Receive")</f>
        <v>QSObject:SwapTrade:w1~trade.1934:30008</v>
      </c>
      <c r="G1936" s="3">
        <f>_xll.QS.EVALUATE(C1936,F1936)</f>
        <v>35226.386009129841</v>
      </c>
      <c r="H1936" s="5" t="s">
        <v>260</v>
      </c>
      <c r="I1936" s="7">
        <v>1193400</v>
      </c>
      <c r="J1936" s="8">
        <v>3.8399999999999997E-2</v>
      </c>
    </row>
    <row r="1937" spans="1:10" x14ac:dyDescent="0.25">
      <c r="A1937" s="5" t="s">
        <v>248</v>
      </c>
      <c r="B1937" s="5" t="s">
        <v>3804</v>
      </c>
      <c r="C1937" s="6" t="str">
        <f>_xll.QS.CONTEXT.CREATE("market.1935",A1937,"USD","SOFR")</f>
        <v>QSObject:PricingContext:w1~market.1935:12878</v>
      </c>
      <c r="D1937" s="6" t="str">
        <f>_xll.QS.CONTEXT.ADD.CURVE(C1937,"SOFR",$K$2:$K$7,$L$2:$L$7,,,"Actual360","LogLinear",TRUE)</f>
        <v>QSObject:ContextInput:w1~input.qs_context_add_curve.2359132437744.1936.3.0:38231</v>
      </c>
      <c r="E1937" s="6" t="str">
        <f>_xll.QS.INSTRUMENT.SWAP("swap.1935",H1937,B1937,"USD","SOFR",I1937,J1937,0,"Actual360","Simple","Annual","Annual","Annual")</f>
        <v>QSObject:Swap:w1~swap.1935:17204</v>
      </c>
      <c r="F1937" s="6" t="str">
        <f>_xll.QS.TRADE.CREATE("trade.1935",E1937,A1937,"Receive")</f>
        <v>QSObject:SwapTrade:w1~trade.1935:30007</v>
      </c>
      <c r="G1937" s="3">
        <f>_xll.QS.EVALUATE(C1937,F1937)</f>
        <v>35737.855584694604</v>
      </c>
      <c r="H1937" s="5" t="s">
        <v>262</v>
      </c>
      <c r="I1937" s="7">
        <v>1193500</v>
      </c>
      <c r="J1937" s="8">
        <v>3.8500000000000013E-2</v>
      </c>
    </row>
    <row r="1938" spans="1:10" x14ac:dyDescent="0.25">
      <c r="A1938" s="5" t="s">
        <v>250</v>
      </c>
      <c r="B1938" s="5" t="s">
        <v>3805</v>
      </c>
      <c r="C1938" s="6" t="str">
        <f>_xll.QS.CONTEXT.CREATE("market.1936",A1938,"USD","SOFR")</f>
        <v>QSObject:PricingContext:w1~market.1936:11364</v>
      </c>
      <c r="D1938" s="6" t="str">
        <f>_xll.QS.CONTEXT.ADD.CURVE(C1938,"SOFR",$K$2:$K$7,$L$2:$L$7,,,"Actual360","LogLinear",TRUE)</f>
        <v>QSObject:ContextInput:w1~input.qs_context_add_curve.2359132437744.1937.3.0:14515</v>
      </c>
      <c r="E1938" s="6" t="str">
        <f>_xll.QS.INSTRUMENT.SWAP("swap.1936",H1938,B1938,"USD","SOFR",I1938,J1938,0,"Actual360","Simple","Annual","Annual","Annual")</f>
        <v>QSObject:Swap:w1~swap.1936:18179</v>
      </c>
      <c r="F1938" s="6" t="str">
        <f>_xll.QS.TRADE.CREATE("trade.1936",E1938,A1938,"Receive")</f>
        <v>QSObject:SwapTrade:w1~trade.1936:30006</v>
      </c>
      <c r="G1938" s="3">
        <f>_xll.QS.EVALUATE(C1938,F1938)</f>
        <v>36292.563303437695</v>
      </c>
      <c r="H1938" s="5" t="s">
        <v>264</v>
      </c>
      <c r="I1938" s="7">
        <v>1193600</v>
      </c>
      <c r="J1938" s="8">
        <v>3.8600000000000002E-2</v>
      </c>
    </row>
    <row r="1939" spans="1:10" x14ac:dyDescent="0.25">
      <c r="A1939" s="5" t="s">
        <v>252</v>
      </c>
      <c r="B1939" s="5" t="s">
        <v>3806</v>
      </c>
      <c r="C1939" s="6" t="str">
        <f>_xll.QS.CONTEXT.CREATE("market.1937",A1939,"USD","SOFR")</f>
        <v>QSObject:PricingContext:w1~market.1937:1830</v>
      </c>
      <c r="D1939" s="6" t="str">
        <f>_xll.QS.CONTEXT.ADD.CURVE(C1939,"SOFR",$K$2:$K$7,$L$2:$L$7,,,"Actual360","LogLinear",TRUE)</f>
        <v>QSObject:ContextInput:w1~input.qs_context_add_curve.2359132437744.1938.3.0:9722</v>
      </c>
      <c r="E1939" s="6" t="str">
        <f>_xll.QS.INSTRUMENT.SWAP("swap.1937",H1939,B1939,"USD","SOFR",I1939,J1939,0,"Actual360","Simple","Annual","Annual","Annual")</f>
        <v>QSObject:Swap:w1~swap.1937:3371</v>
      </c>
      <c r="F1939" s="6" t="str">
        <f>_xll.QS.TRADE.CREATE("trade.1937",E1939,A1939,"Receive")</f>
        <v>QSObject:SwapTrade:w1~trade.1937:16205</v>
      </c>
      <c r="G1939" s="3">
        <f>_xll.QS.EVALUATE(C1939,F1939)</f>
        <v>36849.17912962463</v>
      </c>
      <c r="H1939" s="5" t="s">
        <v>266</v>
      </c>
      <c r="I1939" s="7">
        <v>1193700</v>
      </c>
      <c r="J1939" s="8">
        <v>3.8700000000000012E-2</v>
      </c>
    </row>
    <row r="1940" spans="1:10" x14ac:dyDescent="0.25">
      <c r="A1940" s="5" t="s">
        <v>254</v>
      </c>
      <c r="B1940" s="5" t="s">
        <v>3807</v>
      </c>
      <c r="C1940" s="6" t="str">
        <f>_xll.QS.CONTEXT.CREATE("market.1938",A1940,"USD","SOFR")</f>
        <v>QSObject:PricingContext:w1~market.1938:8124</v>
      </c>
      <c r="D1940" s="6" t="str">
        <f>_xll.QS.CONTEXT.ADD.CURVE(C1940,"SOFR",$K$2:$K$7,$L$2:$L$7,,,"Actual360","LogLinear",TRUE)</f>
        <v>QSObject:ContextInput:w1~input.qs_context_add_curve.2359132437744.1939.3.0:17203</v>
      </c>
      <c r="E1940" s="6" t="str">
        <f>_xll.QS.INSTRUMENT.SWAP("swap.1938",H1940,B1940,"USD","SOFR",I1940,J1940,0,"Actual360","Simple","Annual","Annual","Annual")</f>
        <v>QSObject:Swap:w1~swap.1938:4929</v>
      </c>
      <c r="F1940" s="6" t="str">
        <f>_xll.QS.TRADE.CREATE("trade.1938",E1940,A1940,"Receive")</f>
        <v>QSObject:SwapTrade:w1~trade.1938:12877</v>
      </c>
      <c r="G1940" s="3">
        <f>_xll.QS.EVALUATE(C1940,F1940)</f>
        <v>37405.995234119553</v>
      </c>
      <c r="H1940" s="5" t="s">
        <v>268</v>
      </c>
      <c r="I1940" s="7">
        <v>1193800</v>
      </c>
      <c r="J1940" s="8">
        <v>3.8800000000000001E-2</v>
      </c>
    </row>
    <row r="1941" spans="1:10" x14ac:dyDescent="0.25">
      <c r="A1941" s="5" t="s">
        <v>256</v>
      </c>
      <c r="B1941" s="5" t="s">
        <v>3808</v>
      </c>
      <c r="C1941" s="6" t="str">
        <f>_xll.QS.CONTEXT.CREATE("market.1939",A1941,"USD","SOFR")</f>
        <v>QSObject:PricingContext:w1~market.1939:18178</v>
      </c>
      <c r="D1941" s="6" t="str">
        <f>_xll.QS.CONTEXT.ADD.CURVE(C1941,"SOFR",$K$2:$K$7,$L$2:$L$7,,,"Actual360","LogLinear",TRUE)</f>
        <v>QSObject:ContextInput:w1~input.qs_context_add_curve.2359132437744.1940.3.0:38230</v>
      </c>
      <c r="E1941" s="6" t="str">
        <f>_xll.QS.INSTRUMENT.SWAP("swap.1939",H1941,B1941,"USD","SOFR",I1941,J1941,0,"Actual360","Simple","Annual","Annual","Annual")</f>
        <v>QSObject:Swap:w1~swap.1939:11363</v>
      </c>
      <c r="F1941" s="6" t="str">
        <f>_xll.QS.TRADE.CREATE("trade.1939",E1941,A1941,"Receive")</f>
        <v>QSObject:SwapTrade:w1~trade.1939:30005</v>
      </c>
      <c r="G1941" s="3">
        <f>_xll.QS.EVALUATE(C1941,F1941)</f>
        <v>37859.55976200974</v>
      </c>
      <c r="H1941" s="5" t="s">
        <v>270</v>
      </c>
      <c r="I1941" s="7">
        <v>1193900</v>
      </c>
      <c r="J1941" s="8">
        <v>3.8899999999999997E-2</v>
      </c>
    </row>
    <row r="1942" spans="1:10" x14ac:dyDescent="0.25">
      <c r="A1942" s="5" t="s">
        <v>258</v>
      </c>
      <c r="B1942" s="5" t="s">
        <v>3809</v>
      </c>
      <c r="C1942" s="6" t="str">
        <f>_xll.QS.CONTEXT.CREATE("market.1940",A1942,"USD","SOFR")</f>
        <v>QSObject:PricingContext:w1~market.1940:16204</v>
      </c>
      <c r="D1942" s="6" t="str">
        <f>_xll.QS.CONTEXT.ADD.CURVE(C1942,"SOFR",$K$2:$K$7,$L$2:$L$7,,,"Actual360","LogLinear",TRUE)</f>
        <v>QSObject:ContextInput:w1~input.qs_context_add_curve.2359132437744.1941.3.0:38229</v>
      </c>
      <c r="E1942" s="6" t="str">
        <f>_xll.QS.INSTRUMENT.SWAP("swap.1940",H1942,B1942,"USD","SOFR",I1942,J1942,0,"Actual360","Simple","Annual","Annual","Annual")</f>
        <v>QSObject:Swap:w1~swap.1940:6528</v>
      </c>
      <c r="F1942" s="6" t="str">
        <f>_xll.QS.TRADE.CREATE("trade.1940",E1942,A1942,"Receive")</f>
        <v>QSObject:SwapTrade:w1~trade.1940:8123</v>
      </c>
      <c r="G1942" s="3">
        <f>_xll.QS.EVALUATE(C1942,F1942)</f>
        <v>38500.972922010587</v>
      </c>
      <c r="H1942" s="5" t="s">
        <v>272</v>
      </c>
      <c r="I1942" s="7">
        <v>1194000</v>
      </c>
      <c r="J1942" s="8">
        <v>3.9000000000000007E-2</v>
      </c>
    </row>
    <row r="1943" spans="1:10" x14ac:dyDescent="0.25">
      <c r="A1943" s="5" t="s">
        <v>260</v>
      </c>
      <c r="B1943" s="5" t="s">
        <v>3810</v>
      </c>
      <c r="C1943" s="6" t="str">
        <f>_xll.QS.CONTEXT.CREATE("market.1941",A1943,"USD","SOFR")</f>
        <v>QSObject:PricingContext:w1~market.1941:12876</v>
      </c>
      <c r="D1943" s="6" t="str">
        <f>_xll.QS.CONTEXT.ADD.CURVE(C1943,"SOFR",$K$2:$K$7,$L$2:$L$7,,,"Actual360","LogLinear",TRUE)</f>
        <v>QSObject:ContextInput:w1~input.qs_context_add_curve.2359132437744.1942.3.0:17202</v>
      </c>
      <c r="E1943" s="6" t="str">
        <f>_xll.QS.INSTRUMENT.SWAP("swap.1941",H1943,B1943,"USD","SOFR",I1943,J1943,0,"Actual360","Simple","Annual","Annual","Annual")</f>
        <v>QSObject:Swap:w1~swap.1941:3370</v>
      </c>
      <c r="F1943" s="6" t="str">
        <f>_xll.QS.TRADE.CREATE("trade.1941",E1943,A1943,"Receive")</f>
        <v>QSObject:SwapTrade:w1~trade.1941:14514</v>
      </c>
      <c r="G1943" s="3">
        <f>_xll.QS.EVALUATE(C1943,F1943)</f>
        <v>39055.363405290896</v>
      </c>
      <c r="H1943" s="5" t="s">
        <v>274</v>
      </c>
      <c r="I1943" s="7">
        <v>1194100</v>
      </c>
      <c r="J1943" s="8">
        <v>3.9100000000000003E-2</v>
      </c>
    </row>
    <row r="1944" spans="1:10" x14ac:dyDescent="0.25">
      <c r="A1944" s="5" t="s">
        <v>262</v>
      </c>
      <c r="B1944" s="5" t="s">
        <v>3811</v>
      </c>
      <c r="C1944" s="6" t="str">
        <f>_xll.QS.CONTEXT.CREATE("market.1942",A1944,"USD","SOFR")</f>
        <v>QSObject:PricingContext:w1~market.1942:11362</v>
      </c>
      <c r="D1944" s="6" t="str">
        <f>_xll.QS.CONTEXT.ADD.CURVE(C1944,"SOFR",$K$2:$K$7,$L$2:$L$7,,,"Actual360","LogLinear",TRUE)</f>
        <v>QSObject:ContextInput:w1~input.qs_context_add_curve.2359132437744.1943.3.0:38228</v>
      </c>
      <c r="E1944" s="6" t="str">
        <f>_xll.QS.INSTRUMENT.SWAP("swap.1942",H1944,B1944,"USD","SOFR",I1944,J1944,0,"Actual360","Simple","Annual","Annual","Annual")</f>
        <v>QSObject:Swap:w1~swap.1942:18177</v>
      </c>
      <c r="F1944" s="6" t="str">
        <f>_xll.QS.TRADE.CREATE("trade.1942",E1944,A1944,"Receive")</f>
        <v>QSObject:SwapTrade:w1~trade.1942:30004</v>
      </c>
      <c r="G1944" s="3">
        <f>_xll.QS.EVALUATE(C1944,F1944)</f>
        <v>39615.58330253938</v>
      </c>
      <c r="H1944" s="5" t="s">
        <v>276</v>
      </c>
      <c r="I1944" s="7">
        <v>1194200</v>
      </c>
      <c r="J1944" s="8">
        <v>3.9200000000000013E-2</v>
      </c>
    </row>
    <row r="1945" spans="1:10" x14ac:dyDescent="0.25">
      <c r="A1945" s="5" t="s">
        <v>264</v>
      </c>
      <c r="B1945" s="5" t="s">
        <v>3812</v>
      </c>
      <c r="C1945" s="6" t="str">
        <f>_xll.QS.CONTEXT.CREATE("market.1943",A1945,"USD","SOFR")</f>
        <v>QSObject:PricingContext:w1~market.1943:8122</v>
      </c>
      <c r="D1945" s="6" t="str">
        <f>_xll.QS.CONTEXT.ADD.CURVE(C1945,"SOFR",$K$2:$K$7,$L$2:$L$7,,,"Actual360","LogLinear",TRUE)</f>
        <v>QSObject:ContextInput:w1~input.qs_context_add_curve.2359132437744.1944.3.0:16203</v>
      </c>
      <c r="E1945" s="6" t="str">
        <f>_xll.QS.INSTRUMENT.SWAP("swap.1943",H1945,B1945,"USD","SOFR",I1945,J1945,0,"Actual360","Simple","Annual","Annual","Annual")</f>
        <v>QSObject:Swap:w1~swap.1943:6527</v>
      </c>
      <c r="F1945" s="6" t="str">
        <f>_xll.QS.TRADE.CREATE("trade.1943",E1945,A1945,"Receive")</f>
        <v>QSObject:SwapTrade:w1~trade.1943:12875</v>
      </c>
      <c r="G1945" s="3">
        <f>_xll.QS.EVALUATE(C1945,F1945)</f>
        <v>40170.952219722254</v>
      </c>
      <c r="H1945" s="5" t="s">
        <v>278</v>
      </c>
      <c r="I1945" s="7">
        <v>1194300</v>
      </c>
      <c r="J1945" s="8">
        <v>3.9300000000000002E-2</v>
      </c>
    </row>
    <row r="1946" spans="1:10" x14ac:dyDescent="0.25">
      <c r="A1946" s="5" t="s">
        <v>266</v>
      </c>
      <c r="B1946" s="5" t="s">
        <v>3813</v>
      </c>
      <c r="C1946" s="6" t="str">
        <f>_xll.QS.CONTEXT.CREATE("market.1944",A1946,"USD","SOFR")</f>
        <v>QSObject:PricingContext:w1~market.1944:14513</v>
      </c>
      <c r="D1946" s="6" t="str">
        <f>_xll.QS.CONTEXT.ADD.CURVE(C1946,"SOFR",$K$2:$K$7,$L$2:$L$7,,,"Actual360","LogLinear",TRUE)</f>
        <v>QSObject:ContextInput:w1~input.qs_context_add_curve.2359132437744.1945.3.0:17201</v>
      </c>
      <c r="E1946" s="6" t="str">
        <f>_xll.QS.INSTRUMENT.SWAP("swap.1944",H1946,B1946,"USD","SOFR",I1946,J1946,0,"Actual360","Simple","Annual","Annual","Annual")</f>
        <v>QSObject:Swap:w1~swap.1944:9721</v>
      </c>
      <c r="F1946" s="6" t="str">
        <f>_xll.QS.TRADE.CREATE("trade.1944",E1946,A1946,"Receive")</f>
        <v>QSObject:SwapTrade:w1~trade.1944:30003</v>
      </c>
      <c r="G1946" s="3">
        <f>_xll.QS.EVALUATE(C1946,F1946)</f>
        <v>40576.207649235155</v>
      </c>
      <c r="H1946" s="5" t="s">
        <v>280</v>
      </c>
      <c r="I1946" s="7">
        <v>1194400</v>
      </c>
      <c r="J1946" s="8">
        <v>3.9399999999999998E-2</v>
      </c>
    </row>
    <row r="1947" spans="1:10" x14ac:dyDescent="0.25">
      <c r="A1947" s="5" t="s">
        <v>268</v>
      </c>
      <c r="B1947" s="5" t="s">
        <v>3814</v>
      </c>
      <c r="C1947" s="6" t="str">
        <f>_xll.QS.CONTEXT.CREATE("market.1945",A1947,"USD","SOFR")</f>
        <v>QSObject:PricingContext:w1~market.1945:3369</v>
      </c>
      <c r="D1947" s="6" t="str">
        <f>_xll.QS.CONTEXT.ADD.CURVE(C1947,"SOFR",$K$2:$K$7,$L$2:$L$7,,,"Actual360","LogLinear",TRUE)</f>
        <v>QSObject:ContextInput:w1~input.qs_context_add_curve.2359132437744.1946.3.0:18176</v>
      </c>
      <c r="E1947" s="6" t="str">
        <f>_xll.QS.INSTRUMENT.SWAP("swap.1945",H1947,B1947,"USD","SOFR",I1947,J1947,0,"Actual360","Simple","Annual","Annual","Annual")</f>
        <v>QSObject:Swap:w1~swap.1945:11361</v>
      </c>
      <c r="F1947" s="6" t="str">
        <f>_xll.QS.TRADE.CREATE("trade.1945",E1947,A1947,"Receive")</f>
        <v>QSObject:SwapTrade:w1~trade.1945:30002</v>
      </c>
      <c r="G1947" s="3">
        <f>_xll.QS.EVALUATE(C1947,F1947)</f>
        <v>41133.888767488526</v>
      </c>
      <c r="H1947" s="5" t="s">
        <v>282</v>
      </c>
      <c r="I1947" s="7">
        <v>1194500</v>
      </c>
      <c r="J1947" s="8">
        <v>3.9500000000000007E-2</v>
      </c>
    </row>
    <row r="1948" spans="1:10" x14ac:dyDescent="0.25">
      <c r="A1948" s="5" t="s">
        <v>270</v>
      </c>
      <c r="B1948" s="5" t="s">
        <v>3815</v>
      </c>
      <c r="C1948" s="6" t="str">
        <f>_xll.QS.CONTEXT.CREATE("market.1946",A1948,"USD","SOFR")</f>
        <v>QSObject:PricingContext:w1~market.1946:6526</v>
      </c>
      <c r="D1948" s="6" t="str">
        <f>_xll.QS.CONTEXT.ADD.CURVE(C1948,"SOFR",$K$2:$K$7,$L$2:$L$7,,,"Actual360","LogLinear",TRUE)</f>
        <v>QSObject:ContextInput:w1~input.qs_context_add_curve.2359132437744.1947.3.0:16202</v>
      </c>
      <c r="E1948" s="6" t="str">
        <f>_xll.QS.INSTRUMENT.SWAP("swap.1946",H1948,B1948,"USD","SOFR",I1948,J1948,0,"Actual360","Simple","Annual","Annual","Annual")</f>
        <v>QSObject:Swap:w1~swap.1946:12874</v>
      </c>
      <c r="F1948" s="6" t="str">
        <f>_xll.QS.TRADE.CREATE("trade.1946",E1948,A1948,"Receive")</f>
        <v>QSObject:SwapTrade:w1~trade.1946:30001</v>
      </c>
      <c r="G1948" s="3">
        <f>_xll.QS.EVALUATE(C1948,F1948)</f>
        <v>41739.755846404878</v>
      </c>
      <c r="H1948" s="5" t="s">
        <v>284</v>
      </c>
      <c r="I1948" s="7">
        <v>1194600</v>
      </c>
      <c r="J1948" s="8">
        <v>3.9600000000000003E-2</v>
      </c>
    </row>
    <row r="1949" spans="1:10" x14ac:dyDescent="0.25">
      <c r="A1949" s="5" t="s">
        <v>272</v>
      </c>
      <c r="B1949" s="5" t="s">
        <v>3816</v>
      </c>
      <c r="C1949" s="6" t="str">
        <f>_xll.QS.CONTEXT.CREATE("market.1947",A1949,"USD","SOFR")</f>
        <v>QSObject:PricingContext:w1~market.1947:4928</v>
      </c>
      <c r="D1949" s="6" t="str">
        <f>_xll.QS.CONTEXT.ADD.CURVE(C1949,"SOFR",$K$2:$K$7,$L$2:$L$7,,,"Actual360","LogLinear",TRUE)</f>
        <v>QSObject:ContextInput:w1~input.qs_context_add_curve.2359132437744.1948.3.0:38227</v>
      </c>
      <c r="E1949" s="6" t="str">
        <f>_xll.QS.INSTRUMENT.SWAP("swap.1947",H1949,B1949,"USD","SOFR",I1949,J1949,0,"Actual360","Simple","Annual","Annual","Annual")</f>
        <v>QSObject:Swap:w1~swap.1947:8121</v>
      </c>
      <c r="F1949" s="6" t="str">
        <f>_xll.QS.TRADE.CREATE("trade.1947",E1949,A1949,"Receive")</f>
        <v>QSObject:SwapTrade:w1~trade.1947:17200</v>
      </c>
      <c r="G1949" s="3">
        <f>_xll.QS.EVALUATE(C1949,F1949)</f>
        <v>42381.923415305566</v>
      </c>
      <c r="H1949" s="5" t="s">
        <v>286</v>
      </c>
      <c r="I1949" s="7">
        <v>1194700</v>
      </c>
      <c r="J1949" s="8">
        <v>3.9700000000000013E-2</v>
      </c>
    </row>
    <row r="1950" spans="1:10" x14ac:dyDescent="0.25">
      <c r="A1950" s="5" t="s">
        <v>274</v>
      </c>
      <c r="B1950" s="5" t="s">
        <v>3817</v>
      </c>
      <c r="C1950" s="6" t="str">
        <f>_xll.QS.CONTEXT.CREATE("market.1948",A1950,"USD","SOFR")</f>
        <v>QSObject:PricingContext:w1~market.1948:11360</v>
      </c>
      <c r="D1950" s="6" t="str">
        <f>_xll.QS.CONTEXT.ADD.CURVE(C1950,"SOFR",$K$2:$K$7,$L$2:$L$7,,,"Actual360","LogLinear",TRUE)</f>
        <v>QSObject:ContextInput:w1~input.qs_context_add_curve.2359132437744.1949.3.0:18175</v>
      </c>
      <c r="E1950" s="6" t="str">
        <f>_xll.QS.INSTRUMENT.SWAP("swap.1948",H1950,B1950,"USD","SOFR",I1950,J1950,0,"Actual360","Simple","Annual","Annual","Annual")</f>
        <v>QSObject:Swap:w1~swap.1948:14512</v>
      </c>
      <c r="F1950" s="6" t="str">
        <f>_xll.QS.TRADE.CREATE("trade.1948",E1950,A1950,"Receive")</f>
        <v>QSObject:SwapTrade:w1~trade.1948:30000</v>
      </c>
      <c r="G1950" s="3">
        <f>_xll.QS.EVALUATE(C1950,F1950)</f>
        <v>42936.507492663026</v>
      </c>
      <c r="H1950" s="5" t="s">
        <v>288</v>
      </c>
      <c r="I1950" s="7">
        <v>1194800</v>
      </c>
      <c r="J1950" s="8">
        <v>3.9800000000000002E-2</v>
      </c>
    </row>
    <row r="1951" spans="1:10" x14ac:dyDescent="0.25">
      <c r="A1951" s="5" t="s">
        <v>276</v>
      </c>
      <c r="B1951" s="5" t="s">
        <v>3818</v>
      </c>
      <c r="C1951" s="6" t="str">
        <f>_xll.QS.CONTEXT.CREATE("market.1949",A1951,"USD","SOFR")</f>
        <v>QSObject:PricingContext:w1~market.1949:12873</v>
      </c>
      <c r="D1951" s="6" t="str">
        <f>_xll.QS.CONTEXT.ADD.CURVE(C1951,"SOFR",$K$2:$K$7,$L$2:$L$7,,,"Actual360","LogLinear",TRUE)</f>
        <v>QSObject:ContextInput:w1~input.qs_context_add_curve.2359132437744.1950.3.0:16201</v>
      </c>
      <c r="E1951" s="6" t="str">
        <f>_xll.QS.INSTRUMENT.SWAP("swap.1949",H1951,B1951,"USD","SOFR",I1951,J1951,0,"Actual360","Simple","Annual","Annual","Annual")</f>
        <v>QSObject:Swap:w1~swap.1949:1829</v>
      </c>
      <c r="F1951" s="6" t="str">
        <f>_xll.QS.TRADE.CREATE("trade.1949",E1951,A1951,"Receive")</f>
        <v>QSObject:SwapTrade:w1~trade.1949:17199</v>
      </c>
      <c r="G1951" s="3">
        <f>_xll.QS.EVALUATE(C1951,F1951)</f>
        <v>43497.832435505632</v>
      </c>
      <c r="H1951" s="5" t="s">
        <v>290</v>
      </c>
      <c r="I1951" s="7">
        <v>1194900</v>
      </c>
      <c r="J1951" s="8">
        <v>3.9899999999999998E-2</v>
      </c>
    </row>
    <row r="1952" spans="1:10" x14ac:dyDescent="0.25">
      <c r="A1952" s="5" t="s">
        <v>278</v>
      </c>
      <c r="B1952" s="5" t="s">
        <v>3819</v>
      </c>
      <c r="C1952" s="6" t="str">
        <f>_xll.QS.CONTEXT.CREATE("market.1950",A1952,"USD","SOFR")</f>
        <v>QSObject:PricingContext:w1~market.1950:4927</v>
      </c>
      <c r="D1952" s="6" t="str">
        <f>_xll.QS.CONTEXT.ADD.CURVE(C1952,"SOFR",$K$2:$K$7,$L$2:$L$7,,,"Actual360","LogLinear",TRUE)</f>
        <v>QSObject:ContextInput:w1~input.qs_context_add_curve.2359132437744.1951.3.0:9720</v>
      </c>
      <c r="E1952" s="6" t="str">
        <f>_xll.QS.INSTRUMENT.SWAP("swap.1950",H1952,B1952,"USD","SOFR",I1952,J1952,0,"Actual360","Simple","Annual","Annual","Annual")</f>
        <v>QSObject:Swap:w1~swap.1950:8120</v>
      </c>
      <c r="F1952" s="6" t="str">
        <f>_xll.QS.TRADE.CREATE("trade.1950",E1952,A1952,"Receive")</f>
        <v>QSObject:SwapTrade:w1~trade.1950:11359</v>
      </c>
      <c r="G1952" s="3">
        <f>_xll.QS.EVALUATE(C1952,F1952)</f>
        <v>16486.966461838463</v>
      </c>
      <c r="H1952" s="5" t="s">
        <v>292</v>
      </c>
      <c r="I1952" s="7">
        <v>1195000</v>
      </c>
      <c r="J1952" s="8">
        <v>3.5000000000000003E-2</v>
      </c>
    </row>
    <row r="1953" spans="1:10" x14ac:dyDescent="0.25">
      <c r="A1953" s="5" t="s">
        <v>280</v>
      </c>
      <c r="B1953" s="5" t="s">
        <v>3820</v>
      </c>
      <c r="C1953" s="6" t="str">
        <f>_xll.QS.CONTEXT.CREATE("market.1951",A1953,"USD","SOFR")</f>
        <v>QSObject:PricingContext:w1~market.1951:14511</v>
      </c>
      <c r="D1953" s="6" t="str">
        <f>_xll.QS.CONTEXT.ADD.CURVE(C1953,"SOFR",$K$2:$K$7,$L$2:$L$7,,,"Actual360","LogLinear",TRUE)</f>
        <v>QSObject:ContextInput:w1~input.qs_context_add_curve.2359132437744.1952.3.0:18174</v>
      </c>
      <c r="E1953" s="6" t="str">
        <f>_xll.QS.INSTRUMENT.SWAP("swap.1951",H1953,B1953,"USD","SOFR",I1953,J1953,0,"Actual360","Simple","Annual","Annual","Annual")</f>
        <v>QSObject:Swap:w1~swap.1951:3368</v>
      </c>
      <c r="F1953" s="6" t="str">
        <f>_xll.QS.TRADE.CREATE("trade.1951",E1953,A1953,"Receive")</f>
        <v>QSObject:SwapTrade:w1~trade.1951:6525</v>
      </c>
      <c r="G1953" s="3">
        <f>_xll.QS.EVALUATE(C1953,F1953)</f>
        <v>16895.242394292341</v>
      </c>
      <c r="H1953" s="5" t="s">
        <v>294</v>
      </c>
      <c r="I1953" s="7">
        <v>1195100</v>
      </c>
      <c r="J1953" s="8">
        <v>3.5100000000000013E-2</v>
      </c>
    </row>
    <row r="1954" spans="1:10" x14ac:dyDescent="0.25">
      <c r="A1954" s="5" t="s">
        <v>282</v>
      </c>
      <c r="B1954" s="5" t="s">
        <v>3821</v>
      </c>
      <c r="C1954" s="6" t="str">
        <f>_xll.QS.CONTEXT.CREATE("market.1952",A1954,"USD","SOFR")</f>
        <v>QSObject:PricingContext:w1~market.1952:16200</v>
      </c>
      <c r="D1954" s="6" t="str">
        <f>_xll.QS.CONTEXT.ADD.CURVE(C1954,"SOFR",$K$2:$K$7,$L$2:$L$7,,,"Actual360","LogLinear",TRUE)</f>
        <v>QSObject:ContextInput:w1~input.qs_context_add_curve.2359132437744.1953.3.0:38226</v>
      </c>
      <c r="E1954" s="6" t="str">
        <f>_xll.QS.INSTRUMENT.SWAP("swap.1952",H1954,B1954,"USD","SOFR",I1954,J1954,0,"Actual360","Simple","Annual","Annual","Annual")</f>
        <v>QSObject:Swap:w1~swap.1952:17198</v>
      </c>
      <c r="F1954" s="6" t="str">
        <f>_xll.QS.TRADE.CREATE("trade.1952",E1954,A1954,"Receive")</f>
        <v>QSObject:SwapTrade:w1~trade.1952:29999</v>
      </c>
      <c r="G1954" s="3">
        <f>_xll.QS.EVALUATE(C1954,F1954)</f>
        <v>17449.276608243548</v>
      </c>
      <c r="H1954" s="5" t="s">
        <v>296</v>
      </c>
      <c r="I1954" s="7">
        <v>1195200</v>
      </c>
      <c r="J1954" s="8">
        <v>3.5200000000000002E-2</v>
      </c>
    </row>
    <row r="1955" spans="1:10" x14ac:dyDescent="0.25">
      <c r="A1955" s="5" t="s">
        <v>284</v>
      </c>
      <c r="B1955" s="5" t="s">
        <v>3822</v>
      </c>
      <c r="C1955" s="6" t="str">
        <f>_xll.QS.CONTEXT.CREATE("market.1953",A1955,"USD","SOFR")</f>
        <v>QSObject:PricingContext:w1~market.1953:8119</v>
      </c>
      <c r="D1955" s="6" t="str">
        <f>_xll.QS.CONTEXT.ADD.CURVE(C1955,"SOFR",$K$2:$K$7,$L$2:$L$7,,,"Actual360","LogLinear",TRUE)</f>
        <v>QSObject:ContextInput:w1~input.qs_context_add_curve.2359132437744.1954.3.0:9719</v>
      </c>
      <c r="E1955" s="6" t="str">
        <f>_xll.QS.INSTRUMENT.SWAP("swap.1953",H1955,B1955,"USD","SOFR",I1955,J1955,0,"Actual360","Simple","Annual","Annual","Annual")</f>
        <v>QSObject:Swap:w1~swap.1953:4926</v>
      </c>
      <c r="F1955" s="6" t="str">
        <f>_xll.QS.TRADE.CREATE("trade.1953",E1955,A1955,"Receive")</f>
        <v>QSObject:SwapTrade:w1~trade.1953:11358</v>
      </c>
      <c r="G1955" s="3">
        <f>_xll.QS.EVALUATE(C1955,F1955)</f>
        <v>18051.193449036618</v>
      </c>
      <c r="H1955" s="5" t="s">
        <v>298</v>
      </c>
      <c r="I1955" s="7">
        <v>1195300</v>
      </c>
      <c r="J1955" s="8">
        <v>3.5299999999999998E-2</v>
      </c>
    </row>
    <row r="1956" spans="1:10" x14ac:dyDescent="0.25">
      <c r="A1956" s="5" t="s">
        <v>286</v>
      </c>
      <c r="B1956" s="5" t="s">
        <v>3823</v>
      </c>
      <c r="C1956" s="6" t="str">
        <f>_xll.QS.CONTEXT.CREATE("market.1954",A1956,"USD","SOFR")</f>
        <v>QSObject:PricingContext:w1~market.1954:6524</v>
      </c>
      <c r="D1956" s="6" t="str">
        <f>_xll.QS.CONTEXT.ADD.CURVE(C1956,"SOFR",$K$2:$K$7,$L$2:$L$7,,,"Actual360","LogLinear",TRUE)</f>
        <v>QSObject:ContextInput:w1~input.qs_context_add_curve.2359132437744.1955.3.0:18173</v>
      </c>
      <c r="E1956" s="6" t="str">
        <f>_xll.QS.INSTRUMENT.SWAP("swap.1954",H1956,B1956,"USD","SOFR",I1956,J1956,0,"Actual360","Simple","Annual","Annual","Annual")</f>
        <v>QSObject:Swap:w1~swap.1954:3367</v>
      </c>
      <c r="F1956" s="6" t="str">
        <f>_xll.QS.TRADE.CREATE("trade.1954",E1956,A1956,"Receive")</f>
        <v>QSObject:SwapTrade:w1~trade.1954:16199</v>
      </c>
      <c r="G1956" s="3">
        <f>_xll.QS.EVALUATE(C1956,F1956)</f>
        <v>18691.399324760263</v>
      </c>
      <c r="H1956" s="5" t="s">
        <v>300</v>
      </c>
      <c r="I1956" s="7">
        <v>1195400</v>
      </c>
      <c r="J1956" s="8">
        <v>3.5400000000000001E-2</v>
      </c>
    </row>
    <row r="1957" spans="1:10" x14ac:dyDescent="0.25">
      <c r="A1957" s="5" t="s">
        <v>288</v>
      </c>
      <c r="B1957" s="5" t="s">
        <v>3824</v>
      </c>
      <c r="C1957" s="6" t="str">
        <f>_xll.QS.CONTEXT.CREATE("market.1955",A1957,"USD","SOFR")</f>
        <v>QSObject:PricingContext:w1~market.1955:12872</v>
      </c>
      <c r="D1957" s="6" t="str">
        <f>_xll.QS.CONTEXT.ADD.CURVE(C1957,"SOFR",$K$2:$K$7,$L$2:$L$7,,,"Actual360","LogLinear",TRUE)</f>
        <v>QSObject:ContextInput:w1~input.qs_context_add_curve.2359132437744.1956.3.0:17197</v>
      </c>
      <c r="E1957" s="6" t="str">
        <f>_xll.QS.INSTRUMENT.SWAP("swap.1955",H1957,B1957,"USD","SOFR",I1957,J1957,0,"Actual360","Simple","Annual","Annual","Annual")</f>
        <v>QSObject:Swap:w1~swap.1955:14510</v>
      </c>
      <c r="F1957" s="6" t="str">
        <f>_xll.QS.TRADE.CREATE("trade.1955",E1957,A1957,"Receive")</f>
        <v>QSObject:SwapTrade:w1~trade.1955:29998</v>
      </c>
      <c r="G1957" s="3">
        <f>_xll.QS.EVALUATE(C1957,F1957)</f>
        <v>19244.369088070474</v>
      </c>
      <c r="H1957" s="5" t="s">
        <v>302</v>
      </c>
      <c r="I1957" s="7">
        <v>1195500</v>
      </c>
      <c r="J1957" s="8">
        <v>3.5499999999999997E-2</v>
      </c>
    </row>
    <row r="1958" spans="1:10" x14ac:dyDescent="0.25">
      <c r="A1958" s="5" t="s">
        <v>290</v>
      </c>
      <c r="B1958" s="5" t="s">
        <v>3825</v>
      </c>
      <c r="C1958" s="6" t="str">
        <f>_xll.QS.CONTEXT.CREATE("market.1956",A1958,"USD","SOFR")</f>
        <v>QSObject:PricingContext:w1~market.1956:9718</v>
      </c>
      <c r="D1958" s="6" t="str">
        <f>_xll.QS.CONTEXT.ADD.CURVE(C1958,"SOFR",$K$2:$K$7,$L$2:$L$7,,,"Actual360","LogLinear",TRUE)</f>
        <v>QSObject:ContextInput:w1~input.qs_context_add_curve.2359132437744.1957.3.0:38225</v>
      </c>
      <c r="E1958" s="6" t="str">
        <f>_xll.QS.INSTRUMENT.SWAP("swap.1956",H1958,B1958,"USD","SOFR",I1958,J1958,0,"Actual360","Simple","Annual","Annual","Annual")</f>
        <v>QSObject:Swap:w1~swap.1956:4925</v>
      </c>
      <c r="F1958" s="6" t="str">
        <f>_xll.QS.TRADE.CREATE("trade.1956",E1958,A1958,"Receive")</f>
        <v>QSObject:SwapTrade:w1~trade.1956:6523</v>
      </c>
      <c r="G1958" s="3">
        <f>_xll.QS.EVALUATE(C1958,F1958)</f>
        <v>19803.970741770958</v>
      </c>
      <c r="H1958" s="5" t="s">
        <v>304</v>
      </c>
      <c r="I1958" s="7">
        <v>1195600</v>
      </c>
      <c r="J1958" s="8">
        <v>3.5600000000000007E-2</v>
      </c>
    </row>
    <row r="1959" spans="1:10" x14ac:dyDescent="0.25">
      <c r="A1959" s="5" t="s">
        <v>292</v>
      </c>
      <c r="B1959" s="5" t="s">
        <v>3826</v>
      </c>
      <c r="C1959" s="6" t="str">
        <f>_xll.QS.CONTEXT.CREATE("market.1957",A1959,"USD","SOFR")</f>
        <v>QSObject:PricingContext:w1~market.1957:3366</v>
      </c>
      <c r="D1959" s="6" t="str">
        <f>_xll.QS.CONTEXT.ADD.CURVE(C1959,"SOFR",$K$2:$K$7,$L$2:$L$7,,,"Actual360","LogLinear",TRUE)</f>
        <v>QSObject:ContextInput:w1~input.qs_context_add_curve.2359132437744.1958.3.0:18172</v>
      </c>
      <c r="E1959" s="6" t="str">
        <f>_xll.QS.INSTRUMENT.SWAP("swap.1957",H1959,B1959,"USD","SOFR",I1959,J1959,0,"Actual360","Simple","Annual","Annual","Annual")</f>
        <v>QSObject:Swap:w1~swap.1957:11357</v>
      </c>
      <c r="F1959" s="6" t="str">
        <f>_xll.QS.TRADE.CREATE("trade.1957",E1959,A1959,"Receive")</f>
        <v>QSObject:SwapTrade:w1~trade.1957:17196</v>
      </c>
      <c r="G1959" s="3">
        <f>_xll.QS.EVALUATE(C1959,F1959)</f>
        <v>20358.250270172626</v>
      </c>
      <c r="H1959" s="5" t="s">
        <v>306</v>
      </c>
      <c r="I1959" s="7">
        <v>1195700</v>
      </c>
      <c r="J1959" s="8">
        <v>3.5700000000000003E-2</v>
      </c>
    </row>
    <row r="1960" spans="1:10" x14ac:dyDescent="0.25">
      <c r="A1960" s="5" t="s">
        <v>294</v>
      </c>
      <c r="B1960" s="5" t="s">
        <v>3827</v>
      </c>
      <c r="C1960" s="6" t="str">
        <f>_xll.QS.CONTEXT.CREATE("market.1958",A1960,"USD","SOFR")</f>
        <v>QSObject:PricingContext:w1~market.1958:14509</v>
      </c>
      <c r="D1960" s="6" t="str">
        <f>_xll.QS.CONTEXT.ADD.CURVE(C1960,"SOFR",$K$2:$K$7,$L$2:$L$7,,,"Actual360","LogLinear",TRUE)</f>
        <v>QSObject:ContextInput:w1~input.qs_context_add_curve.2359132437744.1959.3.0:29997</v>
      </c>
      <c r="E1960" s="6" t="str">
        <f>_xll.QS.INSTRUMENT.SWAP("swap.1958",H1960,B1960,"USD","SOFR",I1960,J1960,0,"Actual360","Simple","Annual","Annual","Annual")</f>
        <v>QSObject:Swap:w1~swap.1958:16198</v>
      </c>
      <c r="F1960" s="6" t="str">
        <f>_xll.QS.TRADE.CREATE("trade.1958",E1960,A1960,"Receive")</f>
        <v>QSObject:SwapTrade:w1~trade.1958:29996</v>
      </c>
      <c r="G1960" s="3">
        <f>_xll.QS.EVALUATE(C1960,F1960)</f>
        <v>20766.310710552374</v>
      </c>
      <c r="H1960" s="5" t="s">
        <v>308</v>
      </c>
      <c r="I1960" s="7">
        <v>1195800</v>
      </c>
      <c r="J1960" s="8">
        <v>3.5800000000000012E-2</v>
      </c>
    </row>
    <row r="1961" spans="1:10" x14ac:dyDescent="0.25">
      <c r="A1961" s="5" t="s">
        <v>296</v>
      </c>
      <c r="B1961" s="5" t="s">
        <v>3828</v>
      </c>
      <c r="C1961" s="6" t="str">
        <f>_xll.QS.CONTEXT.CREATE("market.1959",A1961,"USD","SOFR")</f>
        <v>QSObject:PricingContext:w1~market.1959:4924</v>
      </c>
      <c r="D1961" s="6" t="str">
        <f>_xll.QS.CONTEXT.ADD.CURVE(C1961,"SOFR",$K$2:$K$7,$L$2:$L$7,,,"Actual360","LogLinear",TRUE)</f>
        <v>QSObject:ContextInput:w1~input.qs_context_add_curve.2359132437744.1960.3.0:8118</v>
      </c>
      <c r="E1961" s="6" t="str">
        <f>_xll.QS.INSTRUMENT.SWAP("swap.1959",H1961,B1961,"USD","SOFR",I1961,J1961,0,"Actual360","Simple","Annual","Annual","Annual")</f>
        <v>QSObject:Swap:w1~swap.1959:1828</v>
      </c>
      <c r="F1961" s="6" t="str">
        <f>_xll.QS.TRADE.CREATE("trade.1959",E1961,A1961,"Receive")</f>
        <v>QSObject:SwapTrade:w1~trade.1959:18171</v>
      </c>
      <c r="G1961" s="3">
        <f>_xll.QS.EVALUATE(C1961,F1961)</f>
        <v>21321.31533059448</v>
      </c>
      <c r="H1961" s="5" t="s">
        <v>310</v>
      </c>
      <c r="I1961" s="7">
        <v>1195900</v>
      </c>
      <c r="J1961" s="8">
        <v>3.5900000000000001E-2</v>
      </c>
    </row>
    <row r="1962" spans="1:10" x14ac:dyDescent="0.25">
      <c r="A1962" s="5" t="s">
        <v>298</v>
      </c>
      <c r="B1962" s="5" t="s">
        <v>3829</v>
      </c>
      <c r="C1962" s="6" t="str">
        <f>_xll.QS.CONTEXT.CREATE("market.1960",A1962,"USD","SOFR")</f>
        <v>QSObject:PricingContext:w1~market.1960:17195</v>
      </c>
      <c r="D1962" s="6" t="str">
        <f>_xll.QS.CONTEXT.ADD.CURVE(C1962,"SOFR",$K$2:$K$7,$L$2:$L$7,,,"Actual360","LogLinear",TRUE)</f>
        <v>QSObject:ContextInput:w1~input.qs_context_add_curve.2359132437744.1961.3.0:38224</v>
      </c>
      <c r="E1962" s="6" t="str">
        <f>_xll.QS.INSTRUMENT.SWAP("swap.1960",H1962,B1962,"USD","SOFR",I1962,J1962,0,"Actual360","Simple","Annual","Annual","Annual")</f>
        <v>QSObject:Swap:w1~swap.1960:3365</v>
      </c>
      <c r="F1962" s="6" t="str">
        <f>_xll.QS.TRADE.CREATE("trade.1960",E1962,A1962,"Receive")</f>
        <v>QSObject:SwapTrade:w1~trade.1960:12871</v>
      </c>
      <c r="G1962" s="3">
        <f>_xll.QS.EVALUATE(C1962,F1962)</f>
        <v>21924.284563811736</v>
      </c>
      <c r="H1962" s="5" t="s">
        <v>312</v>
      </c>
      <c r="I1962" s="7">
        <v>1196000</v>
      </c>
      <c r="J1962" s="8">
        <v>3.5999999999999997E-2</v>
      </c>
    </row>
    <row r="1963" spans="1:10" x14ac:dyDescent="0.25">
      <c r="A1963" s="5" t="s">
        <v>300</v>
      </c>
      <c r="B1963" s="5" t="s">
        <v>3830</v>
      </c>
      <c r="C1963" s="6" t="str">
        <f>_xll.QS.CONTEXT.CREATE("market.1961",A1963,"USD","SOFR")</f>
        <v>QSObject:PricingContext:w1~market.1961:16197</v>
      </c>
      <c r="D1963" s="6" t="str">
        <f>_xll.QS.CONTEXT.ADD.CURVE(C1963,"SOFR",$K$2:$K$7,$L$2:$L$7,,,"Actual360","LogLinear",TRUE)</f>
        <v>QSObject:ContextInput:w1~input.qs_context_add_curve.2359132437744.1962.3.0:38223</v>
      </c>
      <c r="E1963" s="6" t="str">
        <f>_xll.QS.INSTRUMENT.SWAP("swap.1961",H1963,B1963,"USD","SOFR",I1963,J1963,0,"Actual360","Simple","Annual","Annual","Annual")</f>
        <v>QSObject:Swap:w1~swap.1961:11356</v>
      </c>
      <c r="F1963" s="6" t="str">
        <f>_xll.QS.TRADE.CREATE("trade.1961",E1963,A1963,"Receive")</f>
        <v>QSObject:SwapTrade:w1~trade.1961:29995</v>
      </c>
      <c r="G1963" s="3">
        <f>_xll.QS.EVALUATE(C1963,F1963)</f>
        <v>22565.152184802027</v>
      </c>
      <c r="H1963" s="5" t="s">
        <v>314</v>
      </c>
      <c r="I1963" s="7">
        <v>1196100</v>
      </c>
      <c r="J1963" s="8">
        <v>3.61E-2</v>
      </c>
    </row>
    <row r="1964" spans="1:10" x14ac:dyDescent="0.25">
      <c r="A1964" s="5" t="s">
        <v>302</v>
      </c>
      <c r="B1964" s="5" t="s">
        <v>3831</v>
      </c>
      <c r="C1964" s="6" t="str">
        <f>_xll.QS.CONTEXT.CREATE("market.1962",A1964,"USD","SOFR")</f>
        <v>QSObject:PricingContext:w1~market.1962:1827</v>
      </c>
      <c r="D1964" s="6" t="str">
        <f>_xll.QS.CONTEXT.ADD.CURVE(C1964,"SOFR",$K$2:$K$7,$L$2:$L$7,,,"Actual360","LogLinear",TRUE)</f>
        <v>QSObject:ContextInput:w1~input.qs_context_add_curve.2359132437744.1963.3.0:8117</v>
      </c>
      <c r="E1964" s="6" t="str">
        <f>_xll.QS.INSTRUMENT.SWAP("swap.1962",H1964,B1964,"USD","SOFR",I1964,J1964,0,"Actual360","Simple","Annual","Annual","Annual")</f>
        <v>QSObject:Swap:w1~swap.1962:9717</v>
      </c>
      <c r="F1964" s="6" t="str">
        <f>_xll.QS.TRADE.CREATE("trade.1962",E1964,A1964,"Receive")</f>
        <v>QSObject:SwapTrade:w1~trade.1962:17194</v>
      </c>
      <c r="G1964" s="3">
        <f>_xll.QS.EVALUATE(C1964,F1964)</f>
        <v>23118.702265191809</v>
      </c>
      <c r="H1964" s="5" t="s">
        <v>316</v>
      </c>
      <c r="I1964" s="7">
        <v>1196200</v>
      </c>
      <c r="J1964" s="8">
        <v>3.6200000000000003E-2</v>
      </c>
    </row>
    <row r="1965" spans="1:10" x14ac:dyDescent="0.25">
      <c r="A1965" s="5" t="s">
        <v>304</v>
      </c>
      <c r="B1965" s="5" t="s">
        <v>3832</v>
      </c>
      <c r="C1965" s="6" t="str">
        <f>_xll.QS.CONTEXT.CREATE("market.1963",A1965,"USD","SOFR")</f>
        <v>QSObject:PricingContext:w1~market.1963:3364</v>
      </c>
      <c r="D1965" s="6" t="str">
        <f>_xll.QS.CONTEXT.ADD.CURVE(C1965,"SOFR",$K$2:$K$7,$L$2:$L$7,,,"Actual360","LogLinear",TRUE)</f>
        <v>QSObject:ContextInput:w1~input.qs_context_add_curve.2359132437744.1964.3.0:6522</v>
      </c>
      <c r="E1965" s="6" t="str">
        <f>_xll.QS.INSTRUMENT.SWAP("swap.1963",H1965,B1965,"USD","SOFR",I1965,J1965,0,"Actual360","Simple","Annual","Annual","Annual")</f>
        <v>QSObject:Swap:w1~swap.1963:18170</v>
      </c>
      <c r="F1965" s="6" t="str">
        <f>_xll.QS.TRADE.CREATE("trade.1963",E1965,A1965,"Receive")</f>
        <v>QSObject:SwapTrade:w1~trade.1963:29994</v>
      </c>
      <c r="G1965" s="3">
        <f>_xll.QS.EVALUATE(C1965,F1965)</f>
        <v>23678.666298502234</v>
      </c>
      <c r="H1965" s="5" t="s">
        <v>318</v>
      </c>
      <c r="I1965" s="7">
        <v>1196300</v>
      </c>
      <c r="J1965" s="8">
        <v>3.6300000000000013E-2</v>
      </c>
    </row>
    <row r="1966" spans="1:10" x14ac:dyDescent="0.25">
      <c r="A1966" s="5" t="s">
        <v>306</v>
      </c>
      <c r="B1966" s="5" t="s">
        <v>3833</v>
      </c>
      <c r="C1966" s="6" t="str">
        <f>_xll.QS.CONTEXT.CREATE("market.1964",A1966,"USD","SOFR")</f>
        <v>QSObject:PricingContext:w1~market.1964:11355</v>
      </c>
      <c r="D1966" s="6" t="str">
        <f>_xll.QS.CONTEXT.ADD.CURVE(C1966,"SOFR",$K$2:$K$7,$L$2:$L$7,,,"Actual360","LogLinear",TRUE)</f>
        <v>QSObject:ContextInput:w1~input.qs_context_add_curve.2359132437744.1965.3.0:16196</v>
      </c>
      <c r="E1966" s="6" t="str">
        <f>_xll.QS.INSTRUMENT.SWAP("swap.1964",H1966,B1966,"USD","SOFR",I1966,J1966,0,"Actual360","Simple","Annual","Annual","Annual")</f>
        <v>QSObject:Swap:w1~swap.1964:14508</v>
      </c>
      <c r="F1966" s="6" t="str">
        <f>_xll.QS.TRADE.CREATE("trade.1964",E1966,A1966,"Receive")</f>
        <v>QSObject:SwapTrade:w1~trade.1964:29993</v>
      </c>
      <c r="G1966" s="3">
        <f>_xll.QS.EVALUATE(C1966,F1966)</f>
        <v>24234.091604755253</v>
      </c>
      <c r="H1966" s="5" t="s">
        <v>320</v>
      </c>
      <c r="I1966" s="7">
        <v>1196400</v>
      </c>
      <c r="J1966" s="8">
        <v>3.6400000000000002E-2</v>
      </c>
    </row>
    <row r="1967" spans="1:10" x14ac:dyDescent="0.25">
      <c r="A1967" s="5" t="s">
        <v>308</v>
      </c>
      <c r="B1967" s="5" t="s">
        <v>3834</v>
      </c>
      <c r="C1967" s="6" t="str">
        <f>_xll.QS.CONTEXT.CREATE("market.1965",A1967,"USD","SOFR")</f>
        <v>QSObject:PricingContext:w1~market.1965:17193</v>
      </c>
      <c r="D1967" s="6" t="str">
        <f>_xll.QS.CONTEXT.ADD.CURVE(C1967,"SOFR",$K$2:$K$7,$L$2:$L$7,,,"Actual360","LogLinear",TRUE)</f>
        <v>QSObject:ContextInput:w1~input.qs_context_add_curve.2359132437744.1966.3.0:38222</v>
      </c>
      <c r="E1967" s="6" t="str">
        <f>_xll.QS.INSTRUMENT.SWAP("swap.1965",H1967,B1967,"USD","SOFR",I1967,J1967,0,"Actual360","Simple","Annual","Annual","Annual")</f>
        <v>QSObject:Swap:w1~swap.1965:1826</v>
      </c>
      <c r="F1967" s="6" t="str">
        <f>_xll.QS.TRADE.CREATE("trade.1965",E1967,A1967,"Receive")</f>
        <v>QSObject:SwapTrade:w1~trade.1965:6521</v>
      </c>
      <c r="G1967" s="3">
        <f>_xll.QS.EVALUATE(C1967,F1967)</f>
        <v>24592.76659222821</v>
      </c>
      <c r="H1967" s="5" t="s">
        <v>322</v>
      </c>
      <c r="I1967" s="7">
        <v>1196500</v>
      </c>
      <c r="J1967" s="8">
        <v>3.6499999999999998E-2</v>
      </c>
    </row>
    <row r="1968" spans="1:10" x14ac:dyDescent="0.25">
      <c r="A1968" s="5" t="s">
        <v>310</v>
      </c>
      <c r="B1968" s="5" t="s">
        <v>3835</v>
      </c>
      <c r="C1968" s="6" t="str">
        <f>_xll.QS.CONTEXT.CREATE("market.1966",A1968,"USD","SOFR")</f>
        <v>QSObject:PricingContext:w1~market.1966:18169</v>
      </c>
      <c r="D1968" s="6" t="str">
        <f>_xll.QS.CONTEXT.ADD.CURVE(C1968,"SOFR",$K$2:$K$7,$L$2:$L$7,,,"Actual360","LogLinear",TRUE)</f>
        <v>QSObject:ContextInput:w1~input.qs_context_add_curve.2359132437744.1967.3.0:38221</v>
      </c>
      <c r="E1968" s="6" t="str">
        <f>_xll.QS.INSTRUMENT.SWAP("swap.1966",H1968,B1968,"USD","SOFR",I1968,J1968,0,"Actual360","Simple","Annual","Annual","Annual")</f>
        <v>QSObject:Swap:w1~swap.1966:3363</v>
      </c>
      <c r="F1968" s="6" t="str">
        <f>_xll.QS.TRADE.CREATE("trade.1966",E1968,A1968,"Receive")</f>
        <v>QSObject:SwapTrade:w1~trade.1966:16195</v>
      </c>
      <c r="G1968" s="3">
        <f>_xll.QS.EVALUATE(C1968,F1968)</f>
        <v>25148.638519014043</v>
      </c>
      <c r="H1968" s="5" t="s">
        <v>324</v>
      </c>
      <c r="I1968" s="7">
        <v>1196600</v>
      </c>
      <c r="J1968" s="8">
        <v>3.6600000000000001E-2</v>
      </c>
    </row>
    <row r="1969" spans="1:10" x14ac:dyDescent="0.25">
      <c r="A1969" s="5" t="s">
        <v>312</v>
      </c>
      <c r="B1969" s="5" t="s">
        <v>3836</v>
      </c>
      <c r="C1969" s="6" t="str">
        <f>_xll.QS.CONTEXT.CREATE("market.1967",A1969,"USD","SOFR")</f>
        <v>QSObject:PricingContext:w1~market.1967:12870</v>
      </c>
      <c r="D1969" s="6" t="str">
        <f>_xll.QS.CONTEXT.ADD.CURVE(C1969,"SOFR",$K$2:$K$7,$L$2:$L$7,,,"Actual360","LogLinear",TRUE)</f>
        <v>QSObject:ContextInput:w1~input.qs_context_add_curve.2359132437744.1968.3.0:38220</v>
      </c>
      <c r="E1969" s="6" t="str">
        <f>_xll.QS.INSTRUMENT.SWAP("swap.1967",H1969,B1969,"USD","SOFR",I1969,J1969,0,"Actual360","Simple","Annual","Annual","Annual")</f>
        <v>QSObject:Swap:w1~swap.1967:14507</v>
      </c>
      <c r="F1969" s="6" t="str">
        <f>_xll.QS.TRADE.CREATE("trade.1967",E1969,A1969,"Receive")</f>
        <v>QSObject:SwapTrade:w1~trade.1967:29992</v>
      </c>
      <c r="G1969" s="3">
        <f>_xll.QS.EVALUATE(C1969,F1969)</f>
        <v>25753.028593504736</v>
      </c>
      <c r="H1969" s="5" t="s">
        <v>326</v>
      </c>
      <c r="I1969" s="7">
        <v>1196700</v>
      </c>
      <c r="J1969" s="8">
        <v>3.6700000000000003E-2</v>
      </c>
    </row>
    <row r="1970" spans="1:10" x14ac:dyDescent="0.25">
      <c r="A1970" s="5" t="s">
        <v>314</v>
      </c>
      <c r="B1970" s="5" t="s">
        <v>3837</v>
      </c>
      <c r="C1970" s="6" t="str">
        <f>_xll.QS.CONTEXT.CREATE("market.1968",A1970,"USD","SOFR")</f>
        <v>QSObject:PricingContext:w1~market.1968:6520</v>
      </c>
      <c r="D1970" s="6" t="str">
        <f>_xll.QS.CONTEXT.ADD.CURVE(C1970,"SOFR",$K$2:$K$7,$L$2:$L$7,,,"Actual360","LogLinear",TRUE)</f>
        <v>QSObject:ContextInput:w1~input.qs_context_add_curve.2359132437744.1969.3.0:38219</v>
      </c>
      <c r="E1970" s="6" t="str">
        <f>_xll.QS.INSTRUMENT.SWAP("swap.1968",H1970,B1970,"USD","SOFR",I1970,J1970,0,"Actual360","Simple","Annual","Annual","Annual")</f>
        <v>QSObject:Swap:w1~swap.1968:9716</v>
      </c>
      <c r="F1970" s="6" t="str">
        <f>_xll.QS.TRADE.CREATE("trade.1968",E1970,A1970,"Receive")</f>
        <v>QSObject:SwapTrade:w1~trade.1968:17192</v>
      </c>
      <c r="G1970" s="3">
        <f>_xll.QS.EVALUATE(C1970,F1970)</f>
        <v>26488.260750196612</v>
      </c>
      <c r="H1970" s="5" t="s">
        <v>328</v>
      </c>
      <c r="I1970" s="7">
        <v>1196800</v>
      </c>
      <c r="J1970" s="8">
        <v>3.6800000000000013E-2</v>
      </c>
    </row>
    <row r="1971" spans="1:10" x14ac:dyDescent="0.25">
      <c r="A1971" s="5" t="s">
        <v>316</v>
      </c>
      <c r="B1971" s="5" t="s">
        <v>3838</v>
      </c>
      <c r="C1971" s="6" t="str">
        <f>_xll.QS.CONTEXT.CREATE("market.1969",A1971,"USD","SOFR")</f>
        <v>QSObject:PricingContext:w1~market.1969:16194</v>
      </c>
      <c r="D1971" s="6" t="str">
        <f>_xll.QS.CONTEXT.ADD.CURVE(C1971,"SOFR",$K$2:$K$7,$L$2:$L$7,,,"Actual360","LogLinear",TRUE)</f>
        <v>QSObject:ContextInput:w1~input.qs_context_add_curve.2359132437744.1970.3.0:18168</v>
      </c>
      <c r="E1971" s="6" t="str">
        <f>_xll.QS.INSTRUMENT.SWAP("swap.1969",H1971,B1971,"USD","SOFR",I1971,J1971,0,"Actual360","Simple","Annual","Annual","Annual")</f>
        <v>QSObject:Swap:w1~swap.1969:12869</v>
      </c>
      <c r="F1971" s="6" t="str">
        <f>_xll.QS.TRADE.CREATE("trade.1969",E1971,A1971,"Receive")</f>
        <v>QSObject:SwapTrade:w1~trade.1969:14506</v>
      </c>
      <c r="G1971" s="3">
        <f>_xll.QS.EVALUATE(C1971,F1971)</f>
        <v>27042.61078627684</v>
      </c>
      <c r="H1971" s="5" t="s">
        <v>330</v>
      </c>
      <c r="I1971" s="7">
        <v>1196900</v>
      </c>
      <c r="J1971" s="8">
        <v>3.6900000000000002E-2</v>
      </c>
    </row>
    <row r="1972" spans="1:10" x14ac:dyDescent="0.25">
      <c r="A1972" s="5" t="s">
        <v>318</v>
      </c>
      <c r="B1972" s="5" t="s">
        <v>3839</v>
      </c>
      <c r="C1972" s="6" t="str">
        <f>_xll.QS.CONTEXT.CREATE("market.1970",A1972,"USD","SOFR")</f>
        <v>QSObject:PricingContext:w1~market.1970:8116</v>
      </c>
      <c r="D1972" s="6" t="str">
        <f>_xll.QS.CONTEXT.ADD.CURVE(C1972,"SOFR",$K$2:$K$7,$L$2:$L$7,,,"Actual360","LogLinear",TRUE)</f>
        <v>QSObject:ContextInput:w1~input.qs_context_add_curve.2359132437744.1971.3.0:38218</v>
      </c>
      <c r="E1972" s="6" t="str">
        <f>_xll.QS.INSTRUMENT.SWAP("swap.1970",H1972,B1972,"USD","SOFR",I1972,J1972,0,"Actual360","Simple","Annual","Annual","Annual")</f>
        <v>QSObject:Swap:w1~swap.1970:4923</v>
      </c>
      <c r="F1972" s="6" t="str">
        <f>_xll.QS.TRADE.CREATE("trade.1970",E1972,A1972,"Receive")</f>
        <v>QSObject:SwapTrade:w1~trade.1970:17191</v>
      </c>
      <c r="G1972" s="3">
        <f>_xll.QS.EVALUATE(C1972,F1972)</f>
        <v>27606.869619693047</v>
      </c>
      <c r="H1972" s="5" t="s">
        <v>332</v>
      </c>
      <c r="I1972" s="7">
        <v>1197000</v>
      </c>
      <c r="J1972" s="8">
        <v>3.7000000000000012E-2</v>
      </c>
    </row>
    <row r="1973" spans="1:10" x14ac:dyDescent="0.25">
      <c r="A1973" s="5" t="s">
        <v>320</v>
      </c>
      <c r="B1973" s="5" t="s">
        <v>3840</v>
      </c>
      <c r="C1973" s="6" t="str">
        <f>_xll.QS.CONTEXT.CREATE("market.1971",A1973,"USD","SOFR")</f>
        <v>QSObject:PricingContext:w1~market.1971:11354</v>
      </c>
      <c r="D1973" s="6" t="str">
        <f>_xll.QS.CONTEXT.ADD.CURVE(C1973,"SOFR",$K$2:$K$7,$L$2:$L$7,,,"Actual360","LogLinear",TRUE)</f>
        <v>QSObject:ContextInput:w1~input.qs_context_add_curve.2359132437744.1972.3.0:38217</v>
      </c>
      <c r="E1973" s="6" t="str">
        <f>_xll.QS.INSTRUMENT.SWAP("swap.1971",H1973,B1973,"USD","SOFR",I1973,J1973,0,"Actual360","Simple","Annual","Annual","Annual")</f>
        <v>QSObject:Swap:w1~swap.1971:9715</v>
      </c>
      <c r="F1973" s="6" t="str">
        <f>_xll.QS.TRADE.CREATE("trade.1971",E1973,A1973,"Receive")</f>
        <v>QSObject:SwapTrade:w1~trade.1971:29991</v>
      </c>
      <c r="G1973" s="3">
        <f>_xll.QS.EVALUATE(C1973,F1973)</f>
        <v>28161.272352724845</v>
      </c>
      <c r="H1973" s="5" t="s">
        <v>334</v>
      </c>
      <c r="I1973" s="7">
        <v>1197100</v>
      </c>
      <c r="J1973" s="8">
        <v>3.7100000000000001E-2</v>
      </c>
    </row>
    <row r="1974" spans="1:10" x14ac:dyDescent="0.25">
      <c r="A1974" s="5" t="s">
        <v>322</v>
      </c>
      <c r="B1974" s="5" t="s">
        <v>3841</v>
      </c>
      <c r="C1974" s="6" t="str">
        <f>_xll.QS.CONTEXT.CREATE("market.1972",A1974,"USD","SOFR")</f>
        <v>QSObject:PricingContext:w1~market.1972:18167</v>
      </c>
      <c r="D1974" s="6" t="str">
        <f>_xll.QS.CONTEXT.ADD.CURVE(C1974,"SOFR",$K$2:$K$7,$L$2:$L$7,,,"Actual360","LogLinear",TRUE)</f>
        <v>QSObject:ContextInput:w1~input.qs_context_add_curve.2359132437744.1973.3.0:38216</v>
      </c>
      <c r="E1974" s="6" t="str">
        <f>_xll.QS.INSTRUMENT.SWAP("swap.1972",H1974,B1974,"USD","SOFR",I1974,J1974,0,"Actual360","Simple","Annual","Annual","Annual")</f>
        <v>QSObject:Swap:w1~swap.1972:12868</v>
      </c>
      <c r="F1974" s="6" t="str">
        <f>_xll.QS.TRADE.CREATE("trade.1972",E1974,A1974,"Receive")</f>
        <v>QSObject:SwapTrade:w1~trade.1972:17190</v>
      </c>
      <c r="G1974" s="3">
        <f>_xll.QS.EVALUATE(C1974,F1974)</f>
        <v>28568.898687983965</v>
      </c>
      <c r="H1974" s="5" t="s">
        <v>336</v>
      </c>
      <c r="I1974" s="7">
        <v>1197200</v>
      </c>
      <c r="J1974" s="8">
        <v>3.7199999999999997E-2</v>
      </c>
    </row>
    <row r="1975" spans="1:10" x14ac:dyDescent="0.25">
      <c r="A1975" s="5" t="s">
        <v>324</v>
      </c>
      <c r="B1975" s="5" t="s">
        <v>3842</v>
      </c>
      <c r="C1975" s="6" t="str">
        <f>_xll.QS.CONTEXT.CREATE("market.1973",A1975,"USD","SOFR")</f>
        <v>QSObject:PricingContext:w1~market.1973:14505</v>
      </c>
      <c r="D1975" s="6" t="str">
        <f>_xll.QS.CONTEXT.ADD.CURVE(C1975,"SOFR",$K$2:$K$7,$L$2:$L$7,,,"Actual360","LogLinear",TRUE)</f>
        <v>QSObject:ContextInput:w1~input.qs_context_add_curve.2359132437744.1974.3.0:38215</v>
      </c>
      <c r="E1975" s="6" t="str">
        <f>_xll.QS.INSTRUMENT.SWAP("swap.1973",H1975,B1975,"USD","SOFR",I1975,J1975,0,"Actual360","Simple","Annual","Annual","Annual")</f>
        <v>QSObject:Swap:w1~swap.1973:3362</v>
      </c>
      <c r="F1975" s="6" t="str">
        <f>_xll.QS.TRADE.CREATE("trade.1973",E1975,A1975,"Receive")</f>
        <v>QSObject:SwapTrade:w1~trade.1973:4922</v>
      </c>
      <c r="G1975" s="3">
        <f>_xll.QS.EVALUATE(C1975,F1975)</f>
        <v>29126.096915933667</v>
      </c>
      <c r="H1975" s="5" t="s">
        <v>338</v>
      </c>
      <c r="I1975" s="7">
        <v>1197300</v>
      </c>
      <c r="J1975" s="8">
        <v>3.73E-2</v>
      </c>
    </row>
    <row r="1976" spans="1:10" x14ac:dyDescent="0.25">
      <c r="A1976" s="5" t="s">
        <v>326</v>
      </c>
      <c r="B1976" s="5" t="s">
        <v>3843</v>
      </c>
      <c r="C1976" s="6" t="str">
        <f>_xll.QS.CONTEXT.CREATE("market.1974",A1976,"USD","SOFR")</f>
        <v>QSObject:PricingContext:w1~market.1974:9714</v>
      </c>
      <c r="D1976" s="6" t="str">
        <f>_xll.QS.CONTEXT.ADD.CURVE(C1976,"SOFR",$K$2:$K$7,$L$2:$L$7,,,"Actual360","LogLinear",TRUE)</f>
        <v>QSObject:ContextInput:w1~input.qs_context_add_curve.2359132437744.1975.3.0:38214</v>
      </c>
      <c r="E1976" s="6" t="str">
        <f>_xll.QS.INSTRUMENT.SWAP("swap.1974",H1976,B1976,"USD","SOFR",I1976,J1976,0,"Actual360","Simple","Annual","Annual","Annual")</f>
        <v>QSObject:Swap:w1~swap.1974:11353</v>
      </c>
      <c r="F1976" s="6" t="str">
        <f>_xll.QS.TRADE.CREATE("trade.1974",E1976,A1976,"Receive")</f>
        <v>QSObject:SwapTrade:w1~trade.1974:16193</v>
      </c>
      <c r="G1976" s="3">
        <f>_xll.QS.EVALUATE(C1976,F1976)</f>
        <v>29683.114825029705</v>
      </c>
      <c r="H1976" s="5" t="s">
        <v>340</v>
      </c>
      <c r="I1976" s="7">
        <v>1197400</v>
      </c>
      <c r="J1976" s="8">
        <v>3.7400000000000003E-2</v>
      </c>
    </row>
    <row r="1977" spans="1:10" x14ac:dyDescent="0.25">
      <c r="A1977" s="5" t="s">
        <v>328</v>
      </c>
      <c r="B1977" s="5" t="s">
        <v>3844</v>
      </c>
      <c r="C1977" s="6" t="str">
        <f>_xll.QS.CONTEXT.CREATE("market.1975",A1977,"USD","SOFR")</f>
        <v>QSObject:PricingContext:w1~market.1975:17189</v>
      </c>
      <c r="D1977" s="6" t="str">
        <f>_xll.QS.CONTEXT.ADD.CURVE(C1977,"SOFR",$K$2:$K$7,$L$2:$L$7,,,"Actual360","LogLinear",TRUE)</f>
        <v>QSObject:ContextInput:w1~input.qs_context_add_curve.2359132437744.1976.3.0:18166</v>
      </c>
      <c r="E1977" s="6" t="str">
        <f>_xll.QS.INSTRUMENT.SWAP("swap.1975",H1977,B1977,"USD","SOFR",I1977,J1977,0,"Actual360","Simple","Annual","Annual","Annual")</f>
        <v>QSObject:Swap:w1~swap.1975:6519</v>
      </c>
      <c r="F1977" s="6" t="str">
        <f>_xll.QS.TRADE.CREATE("trade.1975",E1977,A1977,"Receive")</f>
        <v>QSObject:SwapTrade:w1~trade.1975:12867</v>
      </c>
      <c r="G1977" s="3">
        <f>_xll.QS.EVALUATE(C1977,F1977)</f>
        <v>30326.499813634044</v>
      </c>
      <c r="H1977" s="5" t="s">
        <v>342</v>
      </c>
      <c r="I1977" s="7">
        <v>1197500</v>
      </c>
      <c r="J1977" s="8">
        <v>3.7500000000000012E-2</v>
      </c>
    </row>
    <row r="1978" spans="1:10" x14ac:dyDescent="0.25">
      <c r="A1978" s="5" t="s">
        <v>330</v>
      </c>
      <c r="B1978" s="5" t="s">
        <v>3845</v>
      </c>
      <c r="C1978" s="6" t="str">
        <f>_xll.QS.CONTEXT.CREATE("market.1976",A1978,"USD","SOFR")</f>
        <v>QSObject:PricingContext:w1~market.1976:8115</v>
      </c>
      <c r="D1978" s="6" t="str">
        <f>_xll.QS.CONTEXT.ADD.CURVE(C1978,"SOFR",$K$2:$K$7,$L$2:$L$7,,,"Actual360","LogLinear",TRUE)</f>
        <v>QSObject:ContextInput:w1~input.qs_context_add_curve.2359132437744.1977.3.0:38213</v>
      </c>
      <c r="E1978" s="6" t="str">
        <f>_xll.QS.INSTRUMENT.SWAP("swap.1976",H1978,B1978,"USD","SOFR",I1978,J1978,0,"Actual360","Simple","Annual","Annual","Annual")</f>
        <v>QSObject:Swap:w1~swap.1976:14504</v>
      </c>
      <c r="F1978" s="6" t="str">
        <f>_xll.QS.TRADE.CREATE("trade.1976",E1978,A1978,"Receive")</f>
        <v>QSObject:SwapTrade:w1~trade.1976:29990</v>
      </c>
      <c r="G1978" s="3">
        <f>_xll.QS.EVALUATE(C1978,F1978)</f>
        <v>30881.384180339264</v>
      </c>
      <c r="H1978" s="5" t="s">
        <v>344</v>
      </c>
      <c r="I1978" s="7">
        <v>1197600</v>
      </c>
      <c r="J1978" s="8">
        <v>3.7600000000000001E-2</v>
      </c>
    </row>
    <row r="1979" spans="1:10" x14ac:dyDescent="0.25">
      <c r="A1979" s="5" t="s">
        <v>332</v>
      </c>
      <c r="B1979" s="5" t="s">
        <v>3846</v>
      </c>
      <c r="C1979" s="6" t="str">
        <f>_xll.QS.CONTEXT.CREATE("market.1977",A1979,"USD","SOFR")</f>
        <v>QSObject:PricingContext:w1~market.1977:4921</v>
      </c>
      <c r="D1979" s="6" t="str">
        <f>_xll.QS.CONTEXT.ADD.CURVE(C1979,"SOFR",$K$2:$K$7,$L$2:$L$7,,,"Actual360","LogLinear",TRUE)</f>
        <v>QSObject:ContextInput:w1~input.qs_context_add_curve.2359132437744.1978.3.0:11352</v>
      </c>
      <c r="E1979" s="6" t="str">
        <f>_xll.QS.INSTRUMENT.SWAP("swap.1977",H1979,B1979,"USD","SOFR",I1979,J1979,0,"Actual360","Simple","Annual","Annual","Annual")</f>
        <v>QSObject:Swap:w1~swap.1977:1825</v>
      </c>
      <c r="F1979" s="6" t="str">
        <f>_xll.QS.TRADE.CREATE("trade.1977",E1979,A1979,"Receive")</f>
        <v>QSObject:SwapTrade:w1~trade.1977:12866</v>
      </c>
      <c r="G1979" s="3">
        <f>_xll.QS.EVALUATE(C1979,F1979)</f>
        <v>31442.967143319111</v>
      </c>
      <c r="H1979" s="5" t="s">
        <v>346</v>
      </c>
      <c r="I1979" s="7">
        <v>1197700</v>
      </c>
      <c r="J1979" s="8">
        <v>3.7699999999999997E-2</v>
      </c>
    </row>
    <row r="1980" spans="1:10" x14ac:dyDescent="0.25">
      <c r="A1980" s="5" t="s">
        <v>334</v>
      </c>
      <c r="B1980" s="5" t="s">
        <v>3847</v>
      </c>
      <c r="C1980" s="6" t="str">
        <f>_xll.QS.CONTEXT.CREATE("market.1978",A1980,"USD","SOFR")</f>
        <v>QSObject:PricingContext:w1~market.1978:18165</v>
      </c>
      <c r="D1980" s="6" t="str">
        <f>_xll.QS.CONTEXT.ADD.CURVE(C1980,"SOFR",$K$2:$K$7,$L$2:$L$7,,,"Actual360","LogLinear",TRUE)</f>
        <v>QSObject:ContextInput:w1~input.qs_context_add_curve.2359132437744.1979.3.0:38212</v>
      </c>
      <c r="E1980" s="6" t="str">
        <f>_xll.QS.INSTRUMENT.SWAP("swap.1978",H1980,B1980,"USD","SOFR",I1980,J1980,0,"Actual360","Simple","Annual","Annual","Annual")</f>
        <v>QSObject:Swap:w1~swap.1978:16192</v>
      </c>
      <c r="F1980" s="6" t="str">
        <f>_xll.QS.TRADE.CREATE("trade.1978",E1980,A1980,"Receive")</f>
        <v>QSObject:SwapTrade:w1~trade.1978:29989</v>
      </c>
      <c r="G1980" s="3">
        <f>_xll.QS.EVALUATE(C1980,F1980)</f>
        <v>31999.230289167615</v>
      </c>
      <c r="H1980" s="5" t="s">
        <v>348</v>
      </c>
      <c r="I1980" s="7">
        <v>1197800</v>
      </c>
      <c r="J1980" s="8">
        <v>3.78E-2</v>
      </c>
    </row>
    <row r="1981" spans="1:10" x14ac:dyDescent="0.25">
      <c r="A1981" s="5" t="s">
        <v>336</v>
      </c>
      <c r="B1981" s="5" t="s">
        <v>3848</v>
      </c>
      <c r="C1981" s="6" t="str">
        <f>_xll.QS.CONTEXT.CREATE("market.1979",A1981,"USD","SOFR")</f>
        <v>QSObject:PricingContext:w1~market.1979:6518</v>
      </c>
      <c r="D1981" s="6" t="str">
        <f>_xll.QS.CONTEXT.ADD.CURVE(C1981,"SOFR",$K$2:$K$7,$L$2:$L$7,,,"Actual360","LogLinear",TRUE)</f>
        <v>QSObject:ContextInput:w1~input.qs_context_add_curve.2359132437744.1980.3.0:14503</v>
      </c>
      <c r="E1981" s="6" t="str">
        <f>_xll.QS.INSTRUMENT.SWAP("swap.1979",H1981,B1981,"USD","SOFR",I1981,J1981,0,"Actual360","Simple","Annual","Annual","Annual")</f>
        <v>QSObject:Swap:w1~swap.1979:3361</v>
      </c>
      <c r="F1981" s="6" t="str">
        <f>_xll.QS.TRADE.CREATE("trade.1979",E1981,A1981,"Receive")</f>
        <v>QSObject:SwapTrade:w1~trade.1979:11351</v>
      </c>
      <c r="G1981" s="3">
        <f>_xll.QS.EVALUATE(C1981,F1981)</f>
        <v>32406.638796761355</v>
      </c>
      <c r="H1981" s="5" t="s">
        <v>350</v>
      </c>
      <c r="I1981" s="7">
        <v>1197900</v>
      </c>
      <c r="J1981" s="8">
        <v>3.7900000000000003E-2</v>
      </c>
    </row>
    <row r="1982" spans="1:10" x14ac:dyDescent="0.25">
      <c r="A1982" s="5" t="s">
        <v>338</v>
      </c>
      <c r="B1982" s="5" t="s">
        <v>3849</v>
      </c>
      <c r="C1982" s="6" t="str">
        <f>_xll.QS.CONTEXT.CREATE("market.1980",A1982,"USD","SOFR")</f>
        <v>QSObject:PricingContext:w1~market.1980:4920</v>
      </c>
      <c r="D1982" s="6" t="str">
        <f>_xll.QS.CONTEXT.ADD.CURVE(C1982,"SOFR",$K$2:$K$7,$L$2:$L$7,,,"Actual360","LogLinear",TRUE)</f>
        <v>QSObject:ContextInput:w1~input.qs_context_add_curve.2359132437744.1981.3.0:29988</v>
      </c>
      <c r="E1982" s="6" t="str">
        <f>_xll.QS.INSTRUMENT.SWAP("swap.1980",H1982,B1982,"USD","SOFR",I1982,J1982,0,"Actual360","Simple","Annual","Annual","Annual")</f>
        <v>QSObject:Swap:w1~swap.1980:9713</v>
      </c>
      <c r="F1982" s="6" t="str">
        <f>_xll.QS.TRADE.CREATE("trade.1980",E1982,A1982,"Receive")</f>
        <v>QSObject:SwapTrade:w1~trade.1980:18164</v>
      </c>
      <c r="G1982" s="3">
        <f>_xll.QS.EVALUATE(C1982,F1982)</f>
        <v>32964.556909832936</v>
      </c>
      <c r="H1982" s="5" t="s">
        <v>352</v>
      </c>
      <c r="I1982" s="7">
        <v>1198000</v>
      </c>
      <c r="J1982" s="8">
        <v>3.8000000000000013E-2</v>
      </c>
    </row>
    <row r="1983" spans="1:10" x14ac:dyDescent="0.25">
      <c r="A1983" s="5" t="s">
        <v>340</v>
      </c>
      <c r="B1983" s="5" t="s">
        <v>3850</v>
      </c>
      <c r="C1983" s="6" t="str">
        <f>_xll.QS.CONTEXT.CREATE("market.1981",A1983,"USD","SOFR")</f>
        <v>QSObject:PricingContext:w1~market.1981:16191</v>
      </c>
      <c r="D1983" s="6" t="str">
        <f>_xll.QS.CONTEXT.ADD.CURVE(C1983,"SOFR",$K$2:$K$7,$L$2:$L$7,,,"Actual360","LogLinear",TRUE)</f>
        <v>QSObject:ContextInput:w1~input.qs_context_add_curve.2359132437744.1982.3.0:17188</v>
      </c>
      <c r="E1983" s="6" t="str">
        <f>_xll.QS.INSTRUMENT.SWAP("swap.1981",H1983,B1983,"USD","SOFR",I1983,J1983,0,"Actual360","Simple","Annual","Annual","Annual")</f>
        <v>QSObject:Swap:w1~swap.1981:12865</v>
      </c>
      <c r="F1983" s="6" t="str">
        <f>_xll.QS.TRADE.CREATE("trade.1981",E1983,A1983,"Receive")</f>
        <v>QSObject:SwapTrade:w1~trade.1981:29987</v>
      </c>
      <c r="G1983" s="3">
        <f>_xll.QS.EVALUATE(C1983,F1983)</f>
        <v>33570.685973958367</v>
      </c>
      <c r="H1983" s="5" t="s">
        <v>354</v>
      </c>
      <c r="I1983" s="7">
        <v>1198100</v>
      </c>
      <c r="J1983" s="8">
        <v>3.8100000000000002E-2</v>
      </c>
    </row>
    <row r="1984" spans="1:10" x14ac:dyDescent="0.25">
      <c r="A1984" s="5" t="s">
        <v>342</v>
      </c>
      <c r="B1984" s="5" t="s">
        <v>3851</v>
      </c>
      <c r="C1984" s="6" t="str">
        <f>_xll.QS.CONTEXT.CREATE("market.1982",A1984,"USD","SOFR")</f>
        <v>QSObject:PricingContext:w1~market.1982:8114</v>
      </c>
      <c r="D1984" s="6" t="str">
        <f>_xll.QS.CONTEXT.ADD.CURVE(C1984,"SOFR",$K$2:$K$7,$L$2:$L$7,,,"Actual360","LogLinear",TRUE)</f>
        <v>QSObject:ContextInput:w1~input.qs_context_add_curve.2359132437744.1983.3.0:14502</v>
      </c>
      <c r="E1984" s="6" t="str">
        <f>_xll.QS.INSTRUMENT.SWAP("swap.1982",H1984,B1984,"USD","SOFR",I1984,J1984,0,"Actual360","Simple","Annual","Annual","Annual")</f>
        <v>QSObject:Swap:w1~swap.1982:3360</v>
      </c>
      <c r="F1984" s="6" t="str">
        <f>_xll.QS.TRADE.CREATE("trade.1982",E1984,A1984,"Receive")</f>
        <v>QSObject:SwapTrade:w1~trade.1982:29986</v>
      </c>
      <c r="G1984" s="3">
        <f>_xll.QS.EVALUATE(C1984,F1984)</f>
        <v>34213.909466104364</v>
      </c>
      <c r="H1984" s="5" t="s">
        <v>356</v>
      </c>
      <c r="I1984" s="7">
        <v>1198200</v>
      </c>
      <c r="J1984" s="8">
        <v>3.8199999999999998E-2</v>
      </c>
    </row>
    <row r="1985" spans="1:10" x14ac:dyDescent="0.25">
      <c r="A1985" s="5" t="s">
        <v>344</v>
      </c>
      <c r="B1985" s="5" t="s">
        <v>3852</v>
      </c>
      <c r="C1985" s="6" t="str">
        <f>_xll.QS.CONTEXT.CREATE("market.1983",A1985,"USD","SOFR")</f>
        <v>QSObject:PricingContext:w1~market.1983:11350</v>
      </c>
      <c r="D1985" s="6" t="str">
        <f>_xll.QS.CONTEXT.ADD.CURVE(C1985,"SOFR",$K$2:$K$7,$L$2:$L$7,,,"Actual360","LogLinear",TRUE)</f>
        <v>QSObject:ContextInput:w1~input.qs_context_add_curve.2359132437744.1984.3.0:38211</v>
      </c>
      <c r="E1985" s="6" t="str">
        <f>_xll.QS.INSTRUMENT.SWAP("swap.1983",H1985,B1985,"USD","SOFR",I1985,J1985,0,"Actual360","Simple","Annual","Annual","Annual")</f>
        <v>QSObject:Swap:w1~swap.1983:4919</v>
      </c>
      <c r="F1985" s="6" t="str">
        <f>_xll.QS.TRADE.CREATE("trade.1983",E1985,A1985,"Receive")</f>
        <v>QSObject:SwapTrade:w1~trade.1983:17187</v>
      </c>
      <c r="G1985" s="3">
        <f>_xll.QS.EVALUATE(C1985,F1985)</f>
        <v>34769.430173545406</v>
      </c>
      <c r="H1985" s="5" t="s">
        <v>358</v>
      </c>
      <c r="I1985" s="7">
        <v>1198300</v>
      </c>
      <c r="J1985" s="8">
        <v>3.8300000000000001E-2</v>
      </c>
    </row>
    <row r="1986" spans="1:10" x14ac:dyDescent="0.25">
      <c r="A1986" s="5" t="s">
        <v>346</v>
      </c>
      <c r="B1986" s="5" t="s">
        <v>3853</v>
      </c>
      <c r="C1986" s="6" t="str">
        <f>_xll.QS.CONTEXT.CREATE("market.1984",A1986,"USD","SOFR")</f>
        <v>QSObject:PricingContext:w1~market.1984:6517</v>
      </c>
      <c r="D1986" s="6" t="str">
        <f>_xll.QS.CONTEXT.ADD.CURVE(C1986,"SOFR",$K$2:$K$7,$L$2:$L$7,,,"Actual360","LogLinear",TRUE)</f>
        <v>QSObject:ContextInput:w1~input.qs_context_add_curve.2359132437744.1985.3.0:12864</v>
      </c>
      <c r="E1986" s="6" t="str">
        <f>_xll.QS.INSTRUMENT.SWAP("swap.1984",H1986,B1986,"USD","SOFR",I1986,J1986,0,"Actual360","Simple","Annual","Annual","Annual")</f>
        <v>QSObject:Swap:w1~swap.1984:18163</v>
      </c>
      <c r="F1986" s="6" t="str">
        <f>_xll.QS.TRADE.CREATE("trade.1984",E1986,A1986,"Receive")</f>
        <v>QSObject:SwapTrade:w1~trade.1984:29985</v>
      </c>
      <c r="G1986" s="3">
        <f>_xll.QS.EVALUATE(C1986,F1986)</f>
        <v>35331.675440744846</v>
      </c>
      <c r="H1986" s="5" t="s">
        <v>360</v>
      </c>
      <c r="I1986" s="7">
        <v>1198400</v>
      </c>
      <c r="J1986" s="8">
        <v>3.8399999999999997E-2</v>
      </c>
    </row>
    <row r="1987" spans="1:10" x14ac:dyDescent="0.25">
      <c r="A1987" s="5" t="s">
        <v>348</v>
      </c>
      <c r="B1987" s="5" t="s">
        <v>3854</v>
      </c>
      <c r="C1987" s="6" t="str">
        <f>_xll.QS.CONTEXT.CREATE("market.1985",A1987,"USD","SOFR")</f>
        <v>QSObject:PricingContext:w1~market.1985:3359</v>
      </c>
      <c r="D1987" s="6" t="str">
        <f>_xll.QS.CONTEXT.ADD.CURVE(C1987,"SOFR",$K$2:$K$7,$L$2:$L$7,,,"Actual360","LogLinear",TRUE)</f>
        <v>QSObject:ContextInput:w1~input.qs_context_add_curve.2359132437744.1986.3.0:8113</v>
      </c>
      <c r="E1987" s="6" t="str">
        <f>_xll.QS.INSTRUMENT.SWAP("swap.1985",H1987,B1987,"USD","SOFR",I1987,J1987,0,"Actual360","Simple","Annual","Annual","Annual")</f>
        <v>QSObject:Swap:w1~swap.1985:16190</v>
      </c>
      <c r="F1987" s="6" t="str">
        <f>_xll.QS.TRADE.CREATE("trade.1985",E1987,A1987,"Receive")</f>
        <v>QSObject:SwapTrade:w1~trade.1985:17186</v>
      </c>
      <c r="G1987" s="3">
        <f>_xll.QS.EVALUATE(C1987,F1987)</f>
        <v>35888.59982683017</v>
      </c>
      <c r="H1987" s="5" t="s">
        <v>362</v>
      </c>
      <c r="I1987" s="7">
        <v>1198500</v>
      </c>
      <c r="J1987" s="8">
        <v>3.8500000000000013E-2</v>
      </c>
    </row>
    <row r="1988" spans="1:10" x14ac:dyDescent="0.25">
      <c r="A1988" s="5" t="s">
        <v>350</v>
      </c>
      <c r="B1988" s="5" t="s">
        <v>3855</v>
      </c>
      <c r="C1988" s="6" t="str">
        <f>_xll.QS.CONTEXT.CREATE("market.1986",A1988,"USD","SOFR")</f>
        <v>QSObject:PricingContext:w1~market.1986:9712</v>
      </c>
      <c r="D1988" s="6" t="str">
        <f>_xll.QS.CONTEXT.ADD.CURVE(C1988,"SOFR",$K$2:$K$7,$L$2:$L$7,,,"Actual360","LogLinear",TRUE)</f>
        <v>QSObject:ContextInput:w1~input.qs_context_add_curve.2359132437744.1987.3.0:29984</v>
      </c>
      <c r="E1988" s="6" t="str">
        <f>_xll.QS.INSTRUMENT.SWAP("swap.1986",H1988,B1988,"USD","SOFR",I1988,J1988,0,"Actual360","Simple","Annual","Annual","Annual")</f>
        <v>QSObject:Swap:w1~swap.1986:11349</v>
      </c>
      <c r="F1988" s="6" t="str">
        <f>_xll.QS.TRADE.CREATE("trade.1986",E1988,A1988,"Receive")</f>
        <v>QSObject:SwapTrade:w1~trade.1986:12863</v>
      </c>
      <c r="G1988" s="3">
        <f>_xll.QS.EVALUATE(C1988,F1988)</f>
        <v>36295.789204640612</v>
      </c>
      <c r="H1988" s="5" t="s">
        <v>364</v>
      </c>
      <c r="I1988" s="7">
        <v>1198600</v>
      </c>
      <c r="J1988" s="8">
        <v>3.8600000000000002E-2</v>
      </c>
    </row>
    <row r="1989" spans="1:10" x14ac:dyDescent="0.25">
      <c r="A1989" s="5" t="s">
        <v>352</v>
      </c>
      <c r="B1989" s="5" t="s">
        <v>3856</v>
      </c>
      <c r="C1989" s="6" t="str">
        <f>_xll.QS.CONTEXT.CREATE("market.1987",A1989,"USD","SOFR")</f>
        <v>QSObject:PricingContext:w1~market.1987:6516</v>
      </c>
      <c r="D1989" s="6" t="str">
        <f>_xll.QS.CONTEXT.ADD.CURVE(C1989,"SOFR",$K$2:$K$7,$L$2:$L$7,,,"Actual360","LogLinear",TRUE)</f>
        <v>QSObject:ContextInput:w1~input.qs_context_add_curve.2359132437744.1988.3.0:29983</v>
      </c>
      <c r="E1989" s="6" t="str">
        <f>_xll.QS.INSTRUMENT.SWAP("swap.1987",H1989,B1989,"USD","SOFR",I1989,J1989,0,"Actual360","Simple","Annual","Annual","Annual")</f>
        <v>QSObject:Swap:w1~swap.1987:18162</v>
      </c>
      <c r="F1989" s="6" t="str">
        <f>_xll.QS.TRADE.CREATE("trade.1987",E1989,A1989,"Receive")</f>
        <v>QSObject:SwapTrade:w1~trade.1987:29982</v>
      </c>
      <c r="G1989" s="3">
        <f>_xll.QS.EVALUATE(C1989,F1989)</f>
        <v>36854.679240307807</v>
      </c>
      <c r="H1989" s="5" t="s">
        <v>366</v>
      </c>
      <c r="I1989" s="7">
        <v>1198700</v>
      </c>
      <c r="J1989" s="8">
        <v>3.8700000000000012E-2</v>
      </c>
    </row>
    <row r="1990" spans="1:10" x14ac:dyDescent="0.25">
      <c r="A1990" s="5" t="s">
        <v>354</v>
      </c>
      <c r="B1990" s="5" t="s">
        <v>3857</v>
      </c>
      <c r="C1990" s="6" t="str">
        <f>_xll.QS.CONTEXT.CREATE("market.1988",A1990,"USD","SOFR")</f>
        <v>QSObject:PricingContext:w1~market.1988:8112</v>
      </c>
      <c r="D1990" s="6" t="str">
        <f>_xll.QS.CONTEXT.ADD.CURVE(C1990,"SOFR",$K$2:$K$7,$L$2:$L$7,,,"Actual360","LogLinear",TRUE)</f>
        <v>QSObject:ContextInput:w1~input.qs_context_add_curve.2359132437744.1989.3.0:29981</v>
      </c>
      <c r="E1990" s="6" t="str">
        <f>_xll.QS.INSTRUMENT.SWAP("swap.1988",H1990,B1990,"USD","SOFR",I1990,J1990,0,"Actual360","Simple","Annual","Annual","Annual")</f>
        <v>QSObject:Swap:w1~swap.1988:17185</v>
      </c>
      <c r="F1990" s="6" t="str">
        <f>_xll.QS.TRADE.CREATE("trade.1988",E1990,A1990,"Receive")</f>
        <v>QSObject:SwapTrade:w1~trade.1988:29980</v>
      </c>
      <c r="G1990" s="3">
        <f>_xll.QS.EVALUATE(C1990,F1990)</f>
        <v>37461.862465947517</v>
      </c>
      <c r="H1990" s="5" t="s">
        <v>368</v>
      </c>
      <c r="I1990" s="7">
        <v>1198800</v>
      </c>
      <c r="J1990" s="8">
        <v>3.8800000000000001E-2</v>
      </c>
    </row>
    <row r="1991" spans="1:10" x14ac:dyDescent="0.25">
      <c r="A1991" s="5" t="s">
        <v>356</v>
      </c>
      <c r="B1991" s="5" t="s">
        <v>3858</v>
      </c>
      <c r="C1991" s="6" t="str">
        <f>_xll.QS.CONTEXT.CREATE("market.1989",A1991,"USD","SOFR")</f>
        <v>QSObject:PricingContext:w1~market.1989:1824</v>
      </c>
      <c r="D1991" s="6" t="str">
        <f>_xll.QS.CONTEXT.ADD.CURVE(C1991,"SOFR",$K$2:$K$7,$L$2:$L$7,,,"Actual360","LogLinear",TRUE)</f>
        <v>QSObject:ContextInput:w1~input.qs_context_add_curve.2359132437744.1990.3.0:9711</v>
      </c>
      <c r="E1991" s="6" t="str">
        <f>_xll.QS.INSTRUMENT.SWAP("swap.1989",H1991,B1991,"USD","SOFR",I1991,J1991,0,"Actual360","Simple","Annual","Annual","Annual")</f>
        <v>QSObject:Swap:w1~swap.1989:16189</v>
      </c>
      <c r="F1991" s="6" t="str">
        <f>_xll.QS.TRADE.CREATE("trade.1989",E1991,A1991,"Receive")</f>
        <v>QSObject:SwapTrade:w1~trade.1989:18161</v>
      </c>
      <c r="G1991" s="3">
        <f>_xll.QS.EVALUATE(C1991,F1991)</f>
        <v>38105.840529998175</v>
      </c>
      <c r="H1991" s="5" t="s">
        <v>370</v>
      </c>
      <c r="I1991" s="7">
        <v>1198900</v>
      </c>
      <c r="J1991" s="8">
        <v>3.8899999999999997E-2</v>
      </c>
    </row>
    <row r="1992" spans="1:10" x14ac:dyDescent="0.25">
      <c r="A1992" s="5" t="s">
        <v>358</v>
      </c>
      <c r="B1992" s="5" t="s">
        <v>3859</v>
      </c>
      <c r="C1992" s="6" t="str">
        <f>_xll.QS.CONTEXT.CREATE("market.1990",A1992,"USD","SOFR")</f>
        <v>QSObject:PricingContext:w1~market.1990:12862</v>
      </c>
      <c r="D1992" s="6" t="str">
        <f>_xll.QS.CONTEXT.ADD.CURVE(C1992,"SOFR",$K$2:$K$7,$L$2:$L$7,,,"Actual360","LogLinear",TRUE)</f>
        <v>QSObject:ContextInput:w1~input.qs_context_add_curve.2359132437744.1991.3.0:38210</v>
      </c>
      <c r="E1992" s="6" t="str">
        <f>_xll.QS.INSTRUMENT.SWAP("swap.1990",H1992,B1992,"USD","SOFR",I1992,J1992,0,"Actual360","Simple","Annual","Annual","Annual")</f>
        <v>QSObject:Swap:w1~swap.1990:6515</v>
      </c>
      <c r="F1992" s="6" t="str">
        <f>_xll.QS.TRADE.CREATE("trade.1990",E1992,A1992,"Receive")</f>
        <v>QSObject:SwapTrade:w1~trade.1990:17184</v>
      </c>
      <c r="G1992" s="3">
        <f>_xll.QS.EVALUATE(C1992,F1992)</f>
        <v>38662.0012544208</v>
      </c>
      <c r="H1992" s="5" t="s">
        <v>372</v>
      </c>
      <c r="I1992" s="7">
        <v>1199000</v>
      </c>
      <c r="J1992" s="8">
        <v>3.9000000000000007E-2</v>
      </c>
    </row>
    <row r="1993" spans="1:10" x14ac:dyDescent="0.25">
      <c r="A1993" s="5" t="s">
        <v>360</v>
      </c>
      <c r="B1993" s="5" t="s">
        <v>3860</v>
      </c>
      <c r="C1993" s="6" t="str">
        <f>_xll.QS.CONTEXT.CREATE("market.1991",A1993,"USD","SOFR")</f>
        <v>QSObject:PricingContext:w1~market.1991:8111</v>
      </c>
      <c r="D1993" s="6" t="str">
        <f>_xll.QS.CONTEXT.ADD.CURVE(C1993,"SOFR",$K$2:$K$7,$L$2:$L$7,,,"Actual360","LogLinear",TRUE)</f>
        <v>QSObject:ContextInput:w1~input.qs_context_add_curve.2359132437744.1992.3.0:29979</v>
      </c>
      <c r="E1993" s="6" t="str">
        <f>_xll.QS.INSTRUMENT.SWAP("swap.1991",H1993,B1993,"USD","SOFR",I1993,J1993,0,"Actual360","Simple","Annual","Annual","Annual")</f>
        <v>QSObject:Swap:w1~swap.1991:14501</v>
      </c>
      <c r="F1993" s="6" t="str">
        <f>_xll.QS.TRADE.CREATE("trade.1991",E1993,A1993,"Receive")</f>
        <v>QSObject:SwapTrade:w1~trade.1991:29978</v>
      </c>
      <c r="G1993" s="3">
        <f>_xll.QS.EVALUATE(C1993,F1993)</f>
        <v>39224.905153292471</v>
      </c>
      <c r="H1993" s="5" t="s">
        <v>374</v>
      </c>
      <c r="I1993" s="7">
        <v>1199100</v>
      </c>
      <c r="J1993" s="8">
        <v>3.9100000000000003E-2</v>
      </c>
    </row>
    <row r="1994" spans="1:10" x14ac:dyDescent="0.25">
      <c r="A1994" s="5" t="s">
        <v>362</v>
      </c>
      <c r="B1994" s="5" t="s">
        <v>3861</v>
      </c>
      <c r="C1994" s="6" t="str">
        <f>_xll.QS.CONTEXT.CREATE("market.1992",A1994,"USD","SOFR")</f>
        <v>QSObject:PricingContext:w1~market.1992:9710</v>
      </c>
      <c r="D1994" s="6" t="str">
        <f>_xll.QS.CONTEXT.ADD.CURVE(C1994,"SOFR",$K$2:$K$7,$L$2:$L$7,,,"Actual360","LogLinear",TRUE)</f>
        <v>QSObject:ContextInput:w1~input.qs_context_add_curve.2359132437744.1993.3.0:38209</v>
      </c>
      <c r="E1994" s="6" t="str">
        <f>_xll.QS.INSTRUMENT.SWAP("swap.1992",H1994,B1994,"USD","SOFR",I1994,J1994,0,"Actual360","Simple","Annual","Annual","Annual")</f>
        <v>QSObject:Swap:w1~swap.1992:16188</v>
      </c>
      <c r="F1994" s="6" t="str">
        <f>_xll.QS.TRADE.CREATE("trade.1992",E1994,A1994,"Receive")</f>
        <v>QSObject:SwapTrade:w1~trade.1992:29977</v>
      </c>
      <c r="G1994" s="3">
        <f>_xll.QS.EVALUATE(C1994,F1994)</f>
        <v>39782.490796824939</v>
      </c>
      <c r="H1994" s="5" t="s">
        <v>376</v>
      </c>
      <c r="I1994" s="7">
        <v>1199200</v>
      </c>
      <c r="J1994" s="8">
        <v>3.9200000000000013E-2</v>
      </c>
    </row>
    <row r="1995" spans="1:10" x14ac:dyDescent="0.25">
      <c r="A1995" s="5" t="s">
        <v>364</v>
      </c>
      <c r="B1995" s="5" t="s">
        <v>3862</v>
      </c>
      <c r="C1995" s="6" t="str">
        <f>_xll.QS.CONTEXT.CREATE("market.1993",A1995,"USD","SOFR")</f>
        <v>QSObject:PricingContext:w1~market.1993:12861</v>
      </c>
      <c r="D1995" s="6" t="str">
        <f>_xll.QS.CONTEXT.ADD.CURVE(C1995,"SOFR",$K$2:$K$7,$L$2:$L$7,,,"Actual360","LogLinear",TRUE)</f>
        <v>QSObject:ContextInput:w1~input.qs_context_add_curve.2359132437744.1994.3.0:18160</v>
      </c>
      <c r="E1995" s="6" t="str">
        <f>_xll.QS.INSTRUMENT.SWAP("swap.1993",H1995,B1995,"USD","SOFR",I1995,J1995,0,"Actual360","Simple","Annual","Annual","Annual")</f>
        <v>QSObject:Swap:w1~swap.1993:17183</v>
      </c>
      <c r="F1995" s="6" t="str">
        <f>_xll.QS.TRADE.CREATE("trade.1993",E1995,A1995,"Receive")</f>
        <v>QSObject:SwapTrade:w1~trade.1993:29976</v>
      </c>
      <c r="G1995" s="3">
        <f>_xll.QS.EVALUATE(C1995,F1995)</f>
        <v>40189.46013542467</v>
      </c>
      <c r="H1995" s="5" t="s">
        <v>378</v>
      </c>
      <c r="I1995" s="7">
        <v>1199300</v>
      </c>
      <c r="J1995" s="8">
        <v>3.9300000000000002E-2</v>
      </c>
    </row>
    <row r="1996" spans="1:10" x14ac:dyDescent="0.25">
      <c r="A1996" s="5" t="s">
        <v>366</v>
      </c>
      <c r="B1996" s="5" t="s">
        <v>3863</v>
      </c>
      <c r="C1996" s="6" t="str">
        <f>_xll.QS.CONTEXT.CREATE("market.1994",A1996,"USD","SOFR")</f>
        <v>QSObject:PricingContext:w1~market.1994:14500</v>
      </c>
      <c r="D1996" s="6" t="str">
        <f>_xll.QS.CONTEXT.ADD.CURVE(C1996,"SOFR",$K$2:$K$7,$L$2:$L$7,,,"Actual360","LogLinear",TRUE)</f>
        <v>QSObject:ContextInput:w1~input.qs_context_add_curve.2359132437744.1995.3.0:38208</v>
      </c>
      <c r="E1996" s="6" t="str">
        <f>_xll.QS.INSTRUMENT.SWAP("swap.1994",H1996,B1996,"USD","SOFR",I1996,J1996,0,"Actual360","Simple","Annual","Annual","Annual")</f>
        <v>QSObject:Swap:w1~swap.1994:8110</v>
      </c>
      <c r="F1996" s="6" t="str">
        <f>_xll.QS.TRADE.CREATE("trade.1994",E1996,A1996,"Receive")</f>
        <v>QSObject:SwapTrade:w1~trade.1994:9709</v>
      </c>
      <c r="G1996" s="3">
        <f>_xll.QS.EVALUATE(C1996,F1996)</f>
        <v>40749.322472813539</v>
      </c>
      <c r="H1996" s="5" t="s">
        <v>380</v>
      </c>
      <c r="I1996" s="7">
        <v>1199400</v>
      </c>
      <c r="J1996" s="8">
        <v>3.9399999999999998E-2</v>
      </c>
    </row>
    <row r="1997" spans="1:10" x14ac:dyDescent="0.25">
      <c r="A1997" s="5" t="s">
        <v>368</v>
      </c>
      <c r="B1997" s="5" t="s">
        <v>3864</v>
      </c>
      <c r="C1997" s="6" t="str">
        <f>_xll.QS.CONTEXT.CREATE("market.1995",A1997,"USD","SOFR")</f>
        <v>QSObject:PricingContext:w1~market.1995:16187</v>
      </c>
      <c r="D1997" s="6" t="str">
        <f>_xll.QS.CONTEXT.ADD.CURVE(C1997,"SOFR",$K$2:$K$7,$L$2:$L$7,,,"Actual360","LogLinear",TRUE)</f>
        <v>QSObject:ContextInput:w1~input.qs_context_add_curve.2359132437744.1996.3.0:38207</v>
      </c>
      <c r="E1997" s="6" t="str">
        <f>_xll.QS.INSTRUMENT.SWAP("swap.1995",H1997,B1997,"USD","SOFR",I1997,J1997,0,"Actual360","Simple","Annual","Annual","Annual")</f>
        <v>QSObject:Swap:w1~swap.1995:1823</v>
      </c>
      <c r="F1997" s="6" t="str">
        <f>_xll.QS.TRADE.CREATE("trade.1995",E1997,A1997,"Receive")</f>
        <v>QSObject:SwapTrade:w1~trade.1995:4918</v>
      </c>
      <c r="G1997" s="3">
        <f>_xll.QS.EVALUATE(C1997,F1997)</f>
        <v>41357.560302240061</v>
      </c>
      <c r="H1997" s="5" t="s">
        <v>382</v>
      </c>
      <c r="I1997" s="7">
        <v>1199500</v>
      </c>
      <c r="J1997" s="8">
        <v>3.9500000000000007E-2</v>
      </c>
    </row>
    <row r="1998" spans="1:10" x14ac:dyDescent="0.25">
      <c r="A1998" s="5" t="s">
        <v>370</v>
      </c>
      <c r="B1998" s="5" t="s">
        <v>3865</v>
      </c>
      <c r="C1998" s="6" t="str">
        <f>_xll.QS.CONTEXT.CREATE("market.1996",A1998,"USD","SOFR")</f>
        <v>QSObject:PricingContext:w1~market.1996:18159</v>
      </c>
      <c r="D1998" s="6" t="str">
        <f>_xll.QS.CONTEXT.ADD.CURVE(C1998,"SOFR",$K$2:$K$7,$L$2:$L$7,,,"Actual360","LogLinear",TRUE)</f>
        <v>QSObject:ContextInput:w1~input.qs_context_add_curve.2359132437744.1997.3.0:38206</v>
      </c>
      <c r="E1998" s="6" t="str">
        <f>_xll.QS.INSTRUMENT.SWAP("swap.1996",H1998,B1998,"USD","SOFR",I1998,J1998,0,"Actual360","Simple","Annual","Annual","Annual")</f>
        <v>QSObject:Swap:w1~swap.1996:17182</v>
      </c>
      <c r="F1998" s="6" t="str">
        <f>_xll.QS.TRADE.CREATE("trade.1996",E1998,A1998,"Receive")</f>
        <v>QSObject:SwapTrade:w1~trade.1996:29975</v>
      </c>
      <c r="G1998" s="3">
        <f>_xll.QS.EVALUATE(C1998,F1998)</f>
        <v>42002.293005314641</v>
      </c>
      <c r="H1998" s="5" t="s">
        <v>384</v>
      </c>
      <c r="I1998" s="7">
        <v>1199600</v>
      </c>
      <c r="J1998" s="8">
        <v>3.9600000000000003E-2</v>
      </c>
    </row>
    <row r="1999" spans="1:10" x14ac:dyDescent="0.25">
      <c r="A1999" s="5" t="s">
        <v>372</v>
      </c>
      <c r="B1999" s="5" t="s">
        <v>3866</v>
      </c>
      <c r="C1999" s="6" t="str">
        <f>_xll.QS.CONTEXT.CREATE("market.1997",A1999,"USD","SOFR")</f>
        <v>QSObject:PricingContext:w1~market.1997:8109</v>
      </c>
      <c r="D1999" s="6" t="str">
        <f>_xll.QS.CONTEXT.ADD.CURVE(C1999,"SOFR",$K$2:$K$7,$L$2:$L$7,,,"Actual360","LogLinear",TRUE)</f>
        <v>QSObject:ContextInput:w1~input.qs_context_add_curve.2359132437744.1998.3.0:29974</v>
      </c>
      <c r="E1999" s="6" t="str">
        <f>_xll.QS.INSTRUMENT.SWAP("swap.1997",H1999,B1999,"USD","SOFR",I1999,J1999,0,"Actual360","Simple","Annual","Annual","Annual")</f>
        <v>QSObject:Swap:w1~swap.1997:14499</v>
      </c>
      <c r="F1999" s="6" t="str">
        <f>_xll.QS.TRADE.CREATE("trade.1997",E1999,A1999,"Receive")</f>
        <v>QSObject:SwapTrade:w1~trade.1997:29973</v>
      </c>
      <c r="G1999" s="3">
        <f>_xll.QS.EVALUATE(C1999,F1999)</f>
        <v>42559.091895232537</v>
      </c>
      <c r="H1999" s="5" t="s">
        <v>386</v>
      </c>
      <c r="I1999" s="7">
        <v>1199700</v>
      </c>
      <c r="J1999" s="8">
        <v>3.9700000000000013E-2</v>
      </c>
    </row>
    <row r="2000" spans="1:10" x14ac:dyDescent="0.25">
      <c r="A2000" s="5" t="s">
        <v>374</v>
      </c>
      <c r="B2000" s="5" t="s">
        <v>3867</v>
      </c>
      <c r="C2000" s="6" t="str">
        <f>_xll.QS.CONTEXT.CREATE("market.1998",A2000,"USD","SOFR")</f>
        <v>QSObject:PricingContext:w1~market.1998:1822</v>
      </c>
      <c r="D2000" s="6" t="str">
        <f>_xll.QS.CONTEXT.ADD.CURVE(C2000,"SOFR",$K$2:$K$7,$L$2:$L$7,,,"Actual360","LogLinear",TRUE)</f>
        <v>QSObject:ContextInput:w1~input.qs_context_add_curve.2359132437744.1999.3.0:11348</v>
      </c>
      <c r="E2000" s="6" t="str">
        <f>_xll.QS.INSTRUMENT.SWAP("swap.1998",H2000,B2000,"USD","SOFR",I2000,J2000,0,"Actual360","Simple","Annual","Annual","Annual")</f>
        <v>QSObject:Swap:w1~swap.1998:16186</v>
      </c>
      <c r="F2000" s="6" t="str">
        <f>_xll.QS.TRADE.CREATE("trade.1998",E2000,A2000,"Receive")</f>
        <v>QSObject:SwapTrade:w1~trade.1998:18158</v>
      </c>
      <c r="G2000" s="3">
        <f>_xll.QS.EVALUATE(C2000,F2000)</f>
        <v>43122.898752721565</v>
      </c>
      <c r="H2000" s="5" t="s">
        <v>388</v>
      </c>
      <c r="I2000" s="7">
        <v>1199800</v>
      </c>
      <c r="J2000" s="8">
        <v>3.9800000000000002E-2</v>
      </c>
    </row>
    <row r="2001" spans="1:10" x14ac:dyDescent="0.25">
      <c r="A2001" s="5" t="s">
        <v>376</v>
      </c>
      <c r="B2001" s="5" t="s">
        <v>3868</v>
      </c>
      <c r="C2001" s="6" t="str">
        <f>_xll.QS.CONTEXT.CREATE("market.1999",A2001,"USD","SOFR")</f>
        <v>QSObject:PricingContext:w1~market.1999:17181</v>
      </c>
      <c r="D2001" s="6" t="str">
        <f>_xll.QS.CONTEXT.ADD.CURVE(C2001,"SOFR",$K$2:$K$7,$L$2:$L$7,,,"Actual360","LogLinear",TRUE)</f>
        <v>QSObject:ContextInput:w1~input.qs_context_add_curve.2359132437744.2000.3.0:38205</v>
      </c>
      <c r="E2001" s="6" t="str">
        <f>_xll.QS.INSTRUMENT.SWAP("swap.1999",H2001,B2001,"USD","SOFR",I2001,J2001,0,"Actual360","Simple","Annual","Annual","Annual")</f>
        <v>QSObject:Swap:w1~swap.1999:4917</v>
      </c>
      <c r="F2001" s="6" t="str">
        <f>_xll.QS.TRADE.CREATE("trade.1999",E2001,A2001,"Receive")</f>
        <v>QSObject:SwapTrade:w1~trade.1999:6514</v>
      </c>
      <c r="G2001" s="3">
        <f>_xll.QS.EVALUATE(C2001,F2001)</f>
        <v>43680.331504260357</v>
      </c>
      <c r="H2001" s="5" t="s">
        <v>390</v>
      </c>
      <c r="I2001" s="7">
        <v>1199900</v>
      </c>
      <c r="J2001" s="8">
        <v>3.9899999999999998E-2</v>
      </c>
    </row>
    <row r="2002" spans="1:10" x14ac:dyDescent="0.25">
      <c r="A2002" s="5" t="s">
        <v>378</v>
      </c>
      <c r="B2002" s="5" t="s">
        <v>3869</v>
      </c>
      <c r="C2002" s="6" t="str">
        <f>_xll.QS.CONTEXT.CREATE("market.2000",A2002,"USD","SOFR")</f>
        <v>QSObject:PricingContext:w1~market.2000:14498</v>
      </c>
      <c r="D2002" s="6" t="str">
        <f>_xll.QS.CONTEXT.ADD.CURVE(C2002,"SOFR",$K$2:$K$7,$L$2:$L$7,,,"Actual360","LogLinear",TRUE)</f>
        <v>QSObject:ContextInput:w1~input.qs_context_add_curve.2359132437744.2001.3.0:38204</v>
      </c>
      <c r="E2002" s="6" t="str">
        <f>_xll.QS.INSTRUMENT.SWAP("swap.2000",H2002,B2002,"USD","SOFR",I2002,J2002,0,"Actual360","Simple","Annual","Annual","Annual")</f>
        <v>QSObject:Swap:w1~swap.2000:3358</v>
      </c>
      <c r="F2002" s="6" t="str">
        <f>_xll.QS.TRADE.CREATE("trade.2000",E2002,A2002,"Receive")</f>
        <v>QSObject:SwapTrade:w1~trade.2000:29972</v>
      </c>
      <c r="G2002" s="3">
        <f>_xll.QS.EVALUATE(C2002,F2002)</f>
        <v>16410.980743535853</v>
      </c>
      <c r="H2002" s="5" t="s">
        <v>392</v>
      </c>
      <c r="I2002" s="7">
        <v>1200000</v>
      </c>
      <c r="J2002" s="8">
        <v>3.5000000000000003E-2</v>
      </c>
    </row>
    <row r="2003" spans="1:10" x14ac:dyDescent="0.25">
      <c r="A2003" s="5" t="s">
        <v>380</v>
      </c>
      <c r="B2003" s="5" t="s">
        <v>3870</v>
      </c>
      <c r="C2003" s="6" t="str">
        <f>_xll.QS.CONTEXT.CREATE("market.2001",A2003,"USD","SOFR")</f>
        <v>QSObject:PricingContext:w1~market.2001:17180</v>
      </c>
      <c r="D2003" s="6" t="str">
        <f>_xll.QS.CONTEXT.ADD.CURVE(C2003,"SOFR",$K$2:$K$7,$L$2:$L$7,,,"Actual360","LogLinear",TRUE)</f>
        <v>QSObject:ContextInput:w1~input.qs_context_add_curve.2359132437744.2002.3.0:38203</v>
      </c>
      <c r="E2003" s="6" t="str">
        <f>_xll.QS.INSTRUMENT.SWAP("swap.2001",H2003,B2003,"USD","SOFR",I2003,J2003,0,"Actual360","Simple","Annual","Annual","Annual")</f>
        <v>QSObject:Swap:w1~swap.2001:9708</v>
      </c>
      <c r="F2003" s="6" t="str">
        <f>_xll.QS.TRADE.CREATE("trade.2001",E2003,A2003,"Receive")</f>
        <v>QSObject:SwapTrade:w1~trade.2001:12860</v>
      </c>
      <c r="G2003" s="3">
        <f>_xll.QS.EVALUATE(C2003,F2003)</f>
        <v>16967.187998329238</v>
      </c>
      <c r="H2003" s="5" t="s">
        <v>394</v>
      </c>
      <c r="I2003" s="7">
        <v>1200100</v>
      </c>
      <c r="J2003" s="8">
        <v>3.5100000000000013E-2</v>
      </c>
    </row>
    <row r="2004" spans="1:10" x14ac:dyDescent="0.25">
      <c r="A2004" s="5" t="s">
        <v>382</v>
      </c>
      <c r="B2004" s="5" t="s">
        <v>3871</v>
      </c>
      <c r="C2004" s="6" t="str">
        <f>_xll.QS.CONTEXT.CREATE("market.2002",A2004,"USD","SOFR")</f>
        <v>QSObject:PricingContext:w1~market.2002:4916</v>
      </c>
      <c r="D2004" s="6" t="str">
        <f>_xll.QS.CONTEXT.ADD.CURVE(C2004,"SOFR",$K$2:$K$7,$L$2:$L$7,,,"Actual360","LogLinear",TRUE)</f>
        <v>QSObject:ContextInput:w1~input.qs_context_add_curve.2359132437744.2003.3.0:16185</v>
      </c>
      <c r="E2004" s="6" t="str">
        <f>_xll.QS.INSTRUMENT.SWAP("swap.2002",H2004,B2004,"USD","SOFR",I2004,J2004,0,"Actual360","Simple","Annual","Annual","Annual")</f>
        <v>QSObject:Swap:w1~swap.2002:18157</v>
      </c>
      <c r="F2004" s="6" t="str">
        <f>_xll.QS.TRADE.CREATE("trade.2002",E2004,A2004,"Receive")</f>
        <v>QSObject:SwapTrade:w1~trade.2002:29971</v>
      </c>
      <c r="G2004" s="3">
        <f>_xll.QS.EVALUATE(C2004,F2004)</f>
        <v>17571.228324244599</v>
      </c>
      <c r="H2004" s="5" t="s">
        <v>396</v>
      </c>
      <c r="I2004" s="7">
        <v>1200200</v>
      </c>
      <c r="J2004" s="8">
        <v>3.5200000000000002E-2</v>
      </c>
    </row>
    <row r="2005" spans="1:10" x14ac:dyDescent="0.25">
      <c r="A2005" s="5" t="s">
        <v>384</v>
      </c>
      <c r="B2005" s="5" t="s">
        <v>3872</v>
      </c>
      <c r="C2005" s="6" t="str">
        <f>_xll.QS.CONTEXT.CREATE("market.2003",A2005,"USD","SOFR")</f>
        <v>QSObject:PricingContext:w1~market.2003:3357</v>
      </c>
      <c r="D2005" s="6" t="str">
        <f>_xll.QS.CONTEXT.ADD.CURVE(C2005,"SOFR",$K$2:$K$7,$L$2:$L$7,,,"Actual360","LogLinear",TRUE)</f>
        <v>QSObject:ContextInput:w1~input.qs_context_add_curve.2359132437744.2004.3.0:14497</v>
      </c>
      <c r="E2005" s="6" t="str">
        <f>_xll.QS.INSTRUMENT.SWAP("swap.2003",H2005,B2005,"USD","SOFR",I2005,J2005,0,"Actual360","Simple","Annual","Annual","Annual")</f>
        <v>QSObject:Swap:w1~swap.2003:6513</v>
      </c>
      <c r="F2005" s="6" t="str">
        <f>_xll.QS.TRADE.CREATE("trade.2003",E2005,A2005,"Receive")</f>
        <v>QSObject:SwapTrade:w1~trade.2003:17179</v>
      </c>
      <c r="G2005" s="3">
        <f>_xll.QS.EVALUATE(C2005,F2005)</f>
        <v>18165.510143281608</v>
      </c>
      <c r="H2005" s="5" t="s">
        <v>398</v>
      </c>
      <c r="I2005" s="7">
        <v>1200300</v>
      </c>
      <c r="J2005" s="8">
        <v>3.5299999999999998E-2</v>
      </c>
    </row>
    <row r="2006" spans="1:10" x14ac:dyDescent="0.25">
      <c r="A2006" s="5" t="s">
        <v>386</v>
      </c>
      <c r="B2006" s="5" t="s">
        <v>3873</v>
      </c>
      <c r="C2006" s="6" t="str">
        <f>_xll.QS.CONTEXT.CREATE("market.2004",A2006,"USD","SOFR")</f>
        <v>QSObject:PricingContext:w1~market.2004:11347</v>
      </c>
      <c r="D2006" s="6" t="str">
        <f>_xll.QS.CONTEXT.ADD.CURVE(C2006,"SOFR",$K$2:$K$7,$L$2:$L$7,,,"Actual360","LogLinear",TRUE)</f>
        <v>QSObject:ContextInput:w1~input.qs_context_add_curve.2359132437744.2005.3.0:29970</v>
      </c>
      <c r="E2006" s="6" t="str">
        <f>_xll.QS.INSTRUMENT.SWAP("swap.2004",H2006,B2006,"USD","SOFR",I2006,J2006,0,"Actual360","Simple","Annual","Annual","Annual")</f>
        <v>QSObject:Swap:w1~swap.2004:1821</v>
      </c>
      <c r="F2006" s="6" t="str">
        <f>_xll.QS.TRADE.CREATE("trade.2004",E2006,A2006,"Receive")</f>
        <v>QSObject:SwapTrade:w1~trade.2004:12859</v>
      </c>
      <c r="G2006" s="3">
        <f>_xll.QS.EVALUATE(C2006,F2006)</f>
        <v>18814.071211499482</v>
      </c>
      <c r="H2006" s="5" t="s">
        <v>400</v>
      </c>
      <c r="I2006" s="7">
        <v>1200400</v>
      </c>
      <c r="J2006" s="8">
        <v>3.5400000000000001E-2</v>
      </c>
    </row>
    <row r="2007" spans="1:10" x14ac:dyDescent="0.25">
      <c r="A2007" s="5" t="s">
        <v>388</v>
      </c>
      <c r="B2007" s="5" t="s">
        <v>3874</v>
      </c>
      <c r="C2007" s="6" t="str">
        <f>_xll.QS.CONTEXT.CREATE("market.2005",A2007,"USD","SOFR")</f>
        <v>QSObject:PricingContext:w1~market.2005:18156</v>
      </c>
      <c r="D2007" s="6" t="str">
        <f>_xll.QS.CONTEXT.ADD.CURVE(C2007,"SOFR",$K$2:$K$7,$L$2:$L$7,,,"Actual360","LogLinear",TRUE)</f>
        <v>QSObject:ContextInput:w1~input.qs_context_add_curve.2359132437744.2006.3.0:38202</v>
      </c>
      <c r="E2007" s="6" t="str">
        <f>_xll.QS.INSTRUMENT.SWAP("swap.2005",H2007,B2007,"USD","SOFR",I2007,J2007,0,"Actual360","Simple","Annual","Annual","Annual")</f>
        <v>QSObject:Swap:w1~swap.2005:16184</v>
      </c>
      <c r="F2007" s="6" t="str">
        <f>_xll.QS.TRADE.CREATE("trade.2005",E2007,A2007,"Receive")</f>
        <v>QSObject:SwapTrade:w1~trade.2005:29969</v>
      </c>
      <c r="G2007" s="3">
        <f>_xll.QS.EVALUATE(C2007,F2007)</f>
        <v>19376.536598535255</v>
      </c>
      <c r="H2007" s="5" t="s">
        <v>402</v>
      </c>
      <c r="I2007" s="7">
        <v>1200500</v>
      </c>
      <c r="J2007" s="8">
        <v>3.5499999999999997E-2</v>
      </c>
    </row>
    <row r="2008" spans="1:10" x14ac:dyDescent="0.25">
      <c r="A2008" s="5" t="s">
        <v>390</v>
      </c>
      <c r="B2008" s="5" t="s">
        <v>3875</v>
      </c>
      <c r="C2008" s="6" t="str">
        <f>_xll.QS.CONTEXT.CREATE("market.2006",A2008,"USD","SOFR")</f>
        <v>QSObject:PricingContext:w1~market.2006:6512</v>
      </c>
      <c r="D2008" s="6" t="str">
        <f>_xll.QS.CONTEXT.ADD.CURVE(C2008,"SOFR",$K$2:$K$7,$L$2:$L$7,,,"Actual360","LogLinear",TRUE)</f>
        <v>QSObject:ContextInput:w1~input.qs_context_add_curve.2359132437744.2007.3.0:29968</v>
      </c>
      <c r="E2008" s="6" t="str">
        <f>_xll.QS.INSTRUMENT.SWAP("swap.2006",H2008,B2008,"USD","SOFR",I2008,J2008,0,"Actual360","Simple","Annual","Annual","Annual")</f>
        <v>QSObject:Swap:w1~swap.2006:17178</v>
      </c>
      <c r="F2008" s="6" t="str">
        <f>_xll.QS.TRADE.CREATE("trade.2006",E2008,A2008,"Receive")</f>
        <v>QSObject:SwapTrade:w1~trade.2006:29967</v>
      </c>
      <c r="G2008" s="3">
        <f>_xll.QS.EVALUATE(C2008,F2008)</f>
        <v>19935.736608654159</v>
      </c>
      <c r="H2008" s="5" t="s">
        <v>404</v>
      </c>
      <c r="I2008" s="7">
        <v>1200600</v>
      </c>
      <c r="J2008" s="8">
        <v>3.5600000000000007E-2</v>
      </c>
    </row>
    <row r="2009" spans="1:10" x14ac:dyDescent="0.25">
      <c r="A2009" s="5" t="s">
        <v>392</v>
      </c>
      <c r="B2009" s="5" t="s">
        <v>3876</v>
      </c>
      <c r="C2009" s="6" t="str">
        <f>_xll.QS.CONTEXT.CREATE("market.2007",A2009,"USD","SOFR")</f>
        <v>QSObject:PricingContext:w1~market.2007:12858</v>
      </c>
      <c r="D2009" s="6" t="str">
        <f>_xll.QS.CONTEXT.ADD.CURVE(C2009,"SOFR",$K$2:$K$7,$L$2:$L$7,,,"Actual360","LogLinear",TRUE)</f>
        <v>QSObject:ContextInput:w1~input.qs_context_add_curve.2359132437744.2008.3.0:38201</v>
      </c>
      <c r="E2009" s="6" t="str">
        <f>_xll.QS.INSTRUMENT.SWAP("swap.2007",H2009,B2009,"USD","SOFR",I2009,J2009,0,"Actual360","Simple","Annual","Annual","Annual")</f>
        <v>QSObject:Swap:w1~swap.2007:11346</v>
      </c>
      <c r="F2009" s="6" t="str">
        <f>_xll.QS.TRADE.CREATE("trade.2007",E2009,A2009,"Receive")</f>
        <v>QSObject:SwapTrade:w1~trade.2007:18155</v>
      </c>
      <c r="G2009" s="3">
        <f>_xll.QS.EVALUATE(C2009,F2009)</f>
        <v>20345.533072913437</v>
      </c>
      <c r="H2009" s="5" t="s">
        <v>406</v>
      </c>
      <c r="I2009" s="7">
        <v>1200700</v>
      </c>
      <c r="J2009" s="8">
        <v>3.5700000000000003E-2</v>
      </c>
    </row>
    <row r="2010" spans="1:10" x14ac:dyDescent="0.25">
      <c r="A2010" s="5" t="s">
        <v>394</v>
      </c>
      <c r="B2010" s="5" t="s">
        <v>3877</v>
      </c>
      <c r="C2010" s="6" t="str">
        <f>_xll.QS.CONTEXT.CREATE("market.2008",A2010,"USD","SOFR")</f>
        <v>QSObject:PricingContext:w1~market.2008:16183</v>
      </c>
      <c r="D2010" s="6" t="str">
        <f>_xll.QS.CONTEXT.ADD.CURVE(C2010,"SOFR",$K$2:$K$7,$L$2:$L$7,,,"Actual360","LogLinear",TRUE)</f>
        <v>QSObject:ContextInput:w1~input.qs_context_add_curve.2359132437744.2009.3.0:38200</v>
      </c>
      <c r="E2010" s="6" t="str">
        <f>_xll.QS.INSTRUMENT.SWAP("swap.2008",H2010,B2010,"USD","SOFR",I2010,J2010,0,"Actual360","Simple","Annual","Annual","Annual")</f>
        <v>QSObject:Swap:w1~swap.2008:1820</v>
      </c>
      <c r="F2010" s="6" t="str">
        <f>_xll.QS.TRADE.CREATE("trade.2008",E2010,A2010,"Receive")</f>
        <v>QSObject:SwapTrade:w1~trade.2008:17177</v>
      </c>
      <c r="G2010" s="3">
        <f>_xll.QS.EVALUATE(C2010,F2010)</f>
        <v>20902.840838805947</v>
      </c>
      <c r="H2010" s="5" t="s">
        <v>408</v>
      </c>
      <c r="I2010" s="7">
        <v>1200800</v>
      </c>
      <c r="J2010" s="8">
        <v>3.5800000000000012E-2</v>
      </c>
    </row>
    <row r="2011" spans="1:10" x14ac:dyDescent="0.25">
      <c r="A2011" s="5" t="s">
        <v>396</v>
      </c>
      <c r="B2011" s="5" t="s">
        <v>3878</v>
      </c>
      <c r="C2011" s="6" t="str">
        <f>_xll.QS.CONTEXT.CREATE("market.2009",A2011,"USD","SOFR")</f>
        <v>QSObject:PricingContext:w1~market.2009:3356</v>
      </c>
      <c r="D2011" s="6" t="str">
        <f>_xll.QS.CONTEXT.ADD.CURVE(C2011,"SOFR",$K$2:$K$7,$L$2:$L$7,,,"Actual360","LogLinear",TRUE)</f>
        <v>QSObject:ContextInput:w1~input.qs_context_add_curve.2359132437744.2010.3.0:8108</v>
      </c>
      <c r="E2011" s="6" t="str">
        <f>_xll.QS.INSTRUMENT.SWAP("swap.2009",H2011,B2011,"USD","SOFR",I2011,J2011,0,"Actual360","Simple","Annual","Annual","Annual")</f>
        <v>QSObject:Swap:w1~swap.2009:6511</v>
      </c>
      <c r="F2011" s="6" t="str">
        <f>_xll.QS.TRADE.CREATE("trade.2009",E2011,A2011,"Receive")</f>
        <v>QSObject:SwapTrade:w1~trade.2009:11345</v>
      </c>
      <c r="G2011" s="3">
        <f>_xll.QS.EVALUATE(C2011,F2011)</f>
        <v>21595.403879184938</v>
      </c>
      <c r="H2011" s="5" t="s">
        <v>410</v>
      </c>
      <c r="I2011" s="7">
        <v>1200900</v>
      </c>
      <c r="J2011" s="8">
        <v>3.5900000000000001E-2</v>
      </c>
    </row>
    <row r="2012" spans="1:10" x14ac:dyDescent="0.25">
      <c r="A2012" s="5" t="s">
        <v>398</v>
      </c>
      <c r="B2012" s="5" t="s">
        <v>3879</v>
      </c>
      <c r="C2012" s="6" t="str">
        <f>_xll.QS.CONTEXT.CREATE("market.2010",A2012,"USD","SOFR")</f>
        <v>QSObject:PricingContext:w1~market.2010:18154</v>
      </c>
      <c r="D2012" s="6" t="str">
        <f>_xll.QS.CONTEXT.ADD.CURVE(C2012,"SOFR",$K$2:$K$7,$L$2:$L$7,,,"Actual360","LogLinear",TRUE)</f>
        <v>QSObject:ContextInput:w1~input.qs_context_add_curve.2359132437744.2011.3.0:38199</v>
      </c>
      <c r="E2012" s="6" t="str">
        <f>_xll.QS.INSTRUMENT.SWAP("swap.2010",H2012,B2012,"USD","SOFR",I2012,J2012,0,"Actual360","Simple","Annual","Annual","Annual")</f>
        <v>QSObject:Swap:w1~swap.2010:12857</v>
      </c>
      <c r="F2012" s="6" t="str">
        <f>_xll.QS.TRADE.CREATE("trade.2010",E2012,A2012,"Receive")</f>
        <v>QSObject:SwapTrade:w1~trade.2010:29966</v>
      </c>
      <c r="G2012" s="3">
        <f>_xll.QS.EVALUATE(C2012,F2012)</f>
        <v>22103.583011439237</v>
      </c>
      <c r="H2012" s="5" t="s">
        <v>412</v>
      </c>
      <c r="I2012" s="7">
        <v>1201000</v>
      </c>
      <c r="J2012" s="8">
        <v>3.5999999999999997E-2</v>
      </c>
    </row>
    <row r="2013" spans="1:10" x14ac:dyDescent="0.25">
      <c r="A2013" s="5" t="s">
        <v>400</v>
      </c>
      <c r="B2013" s="5" t="s">
        <v>3880</v>
      </c>
      <c r="C2013" s="6" t="str">
        <f>_xll.QS.CONTEXT.CREATE("market.2011",A2013,"USD","SOFR")</f>
        <v>QSObject:PricingContext:w1~market.2011:17176</v>
      </c>
      <c r="D2013" s="6" t="str">
        <f>_xll.QS.CONTEXT.ADD.CURVE(C2013,"SOFR",$K$2:$K$7,$L$2:$L$7,,,"Actual360","LogLinear",TRUE)</f>
        <v>QSObject:ContextInput:w1~input.qs_context_add_curve.2359132437744.2012.3.0:38198</v>
      </c>
      <c r="E2013" s="6" t="str">
        <f>_xll.QS.INSTRUMENT.SWAP("swap.2011",H2013,B2013,"USD","SOFR",I2013,J2013,0,"Actual360","Simple","Annual","Annual","Annual")</f>
        <v>QSObject:Swap:w1~swap.2011:9707</v>
      </c>
      <c r="F2013" s="6" t="str">
        <f>_xll.QS.TRADE.CREATE("trade.2011",E2013,A2013,"Receive")</f>
        <v>QSObject:SwapTrade:w1~trade.2011:29965</v>
      </c>
      <c r="G2013" s="3">
        <f>_xll.QS.EVALUATE(C2013,F2013)</f>
        <v>22659.405958988456</v>
      </c>
      <c r="H2013" s="5" t="s">
        <v>414</v>
      </c>
      <c r="I2013" s="7">
        <v>1201100</v>
      </c>
      <c r="J2013" s="8">
        <v>3.61E-2</v>
      </c>
    </row>
    <row r="2014" spans="1:10" x14ac:dyDescent="0.25">
      <c r="A2014" s="5" t="s">
        <v>402</v>
      </c>
      <c r="B2014" s="5" t="s">
        <v>3881</v>
      </c>
      <c r="C2014" s="6" t="str">
        <f>_xll.QS.CONTEXT.CREATE("market.2012",A2014,"USD","SOFR")</f>
        <v>QSObject:PricingContext:w1~market.2012:6510</v>
      </c>
      <c r="D2014" s="6" t="str">
        <f>_xll.QS.CONTEXT.ADD.CURVE(C2014,"SOFR",$K$2:$K$7,$L$2:$L$7,,,"Actual360","LogLinear",TRUE)</f>
        <v>QSObject:ContextInput:w1~input.qs_context_add_curve.2359132437744.2013.3.0:29964</v>
      </c>
      <c r="E2014" s="6" t="str">
        <f>_xll.QS.INSTRUMENT.SWAP("swap.2012",H2014,B2014,"USD","SOFR",I2014,J2014,0,"Actual360","Simple","Annual","Annual","Annual")</f>
        <v>QSObject:Swap:w1~swap.2012:8107</v>
      </c>
      <c r="F2014" s="6" t="str">
        <f>_xll.QS.TRADE.CREATE("trade.2012",E2014,A2014,"Receive")</f>
        <v>QSObject:SwapTrade:w1~trade.2012:11344</v>
      </c>
      <c r="G2014" s="3">
        <f>_xll.QS.EVALUATE(C2014,F2014)</f>
        <v>23221.907250653028</v>
      </c>
      <c r="H2014" s="5" t="s">
        <v>416</v>
      </c>
      <c r="I2014" s="7">
        <v>1201200</v>
      </c>
      <c r="J2014" s="8">
        <v>3.6200000000000003E-2</v>
      </c>
    </row>
    <row r="2015" spans="1:10" x14ac:dyDescent="0.25">
      <c r="A2015" s="5" t="s">
        <v>404</v>
      </c>
      <c r="B2015" s="5" t="s">
        <v>3882</v>
      </c>
      <c r="C2015" s="6" t="str">
        <f>_xll.QS.CONTEXT.CREATE("market.2013",A2015,"USD","SOFR")</f>
        <v>QSObject:PricingContext:w1~market.2013:12856</v>
      </c>
      <c r="D2015" s="6" t="str">
        <f>_xll.QS.CONTEXT.ADD.CURVE(C2015,"SOFR",$K$2:$K$7,$L$2:$L$7,,,"Actual360","LogLinear",TRUE)</f>
        <v>QSObject:ContextInput:w1~input.qs_context_add_curve.2359132437744.2014.3.0:18153</v>
      </c>
      <c r="E2015" s="6" t="str">
        <f>_xll.QS.INSTRUMENT.SWAP("swap.2013",H2015,B2015,"USD","SOFR",I2015,J2015,0,"Actual360","Simple","Annual","Annual","Annual")</f>
        <v>QSObject:Swap:w1~swap.2013:14496</v>
      </c>
      <c r="F2015" s="6" t="str">
        <f>_xll.QS.TRADE.CREATE("trade.2013",E2015,A2015,"Receive")</f>
        <v>QSObject:SwapTrade:w1~trade.2013:16182</v>
      </c>
      <c r="G2015" s="3">
        <f>_xll.QS.EVALUATE(C2015,F2015)</f>
        <v>23779.064440768896</v>
      </c>
      <c r="H2015" s="5" t="s">
        <v>418</v>
      </c>
      <c r="I2015" s="7">
        <v>1201300</v>
      </c>
      <c r="J2015" s="8">
        <v>3.6300000000000013E-2</v>
      </c>
    </row>
    <row r="2016" spans="1:10" x14ac:dyDescent="0.25">
      <c r="A2016" s="5" t="s">
        <v>406</v>
      </c>
      <c r="B2016" s="5" t="s">
        <v>3883</v>
      </c>
      <c r="C2016" s="6" t="str">
        <f>_xll.QS.CONTEXT.CREATE("market.2014",A2016,"USD","SOFR")</f>
        <v>QSObject:PricingContext:w1~market.2014:4915</v>
      </c>
      <c r="D2016" s="6" t="str">
        <f>_xll.QS.CONTEXT.ADD.CURVE(C2016,"SOFR",$K$2:$K$7,$L$2:$L$7,,,"Actual360","LogLinear",TRUE)</f>
        <v>QSObject:ContextInput:w1~input.qs_context_add_curve.2359132437744.2015.3.0:29963</v>
      </c>
      <c r="E2016" s="6" t="str">
        <f>_xll.QS.INSTRUMENT.SWAP("swap.2014",H2016,B2016,"USD","SOFR",I2016,J2016,0,"Actual360","Simple","Annual","Annual","Annual")</f>
        <v>QSObject:Swap:w1~swap.2014:17175</v>
      </c>
      <c r="F2016" s="6" t="str">
        <f>_xll.QS.TRADE.CREATE("trade.2014",E2016,A2016,"Receive")</f>
        <v>QSObject:SwapTrade:w1~trade.2014:29962</v>
      </c>
      <c r="G2016" s="3">
        <f>_xll.QS.EVALUATE(C2016,F2016)</f>
        <v>24188.635770308036</v>
      </c>
      <c r="H2016" s="5" t="s">
        <v>420</v>
      </c>
      <c r="I2016" s="7">
        <v>1201400</v>
      </c>
      <c r="J2016" s="8">
        <v>3.6400000000000002E-2</v>
      </c>
    </row>
    <row r="2017" spans="1:10" x14ac:dyDescent="0.25">
      <c r="A2017" s="5" t="s">
        <v>408</v>
      </c>
      <c r="B2017" s="5" t="s">
        <v>3884</v>
      </c>
      <c r="C2017" s="6" t="str">
        <f>_xll.QS.CONTEXT.CREATE("market.2015",A2017,"USD","SOFR")</f>
        <v>QSObject:PricingContext:w1~market.2015:11343</v>
      </c>
      <c r="D2017" s="6" t="str">
        <f>_xll.QS.CONTEXT.ADD.CURVE(C2017,"SOFR",$K$2:$K$7,$L$2:$L$7,,,"Actual360","LogLinear",TRUE)</f>
        <v>QSObject:ContextInput:w1~input.qs_context_add_curve.2359132437744.2016.3.0:29961</v>
      </c>
      <c r="E2017" s="6" t="str">
        <f>_xll.QS.INSTRUMENT.SWAP("swap.2015",H2017,B2017,"USD","SOFR",I2017,J2017,0,"Actual360","Simple","Annual","Annual","Annual")</f>
        <v>QSObject:Swap:w1~swap.2015:6509</v>
      </c>
      <c r="F2017" s="6" t="str">
        <f>_xll.QS.TRADE.CREATE("trade.2015",E2017,A2017,"Receive")</f>
        <v>QSObject:SwapTrade:w1~trade.2015:18152</v>
      </c>
      <c r="G2017" s="3">
        <f>_xll.QS.EVALUATE(C2017,F2017)</f>
        <v>24746.786816131455</v>
      </c>
      <c r="H2017" s="5" t="s">
        <v>422</v>
      </c>
      <c r="I2017" s="7">
        <v>1201500</v>
      </c>
      <c r="J2017" s="8">
        <v>3.6499999999999998E-2</v>
      </c>
    </row>
    <row r="2018" spans="1:10" x14ac:dyDescent="0.25">
      <c r="A2018" s="5" t="s">
        <v>410</v>
      </c>
      <c r="B2018" s="5" t="s">
        <v>3885</v>
      </c>
      <c r="C2018" s="6" t="str">
        <f>_xll.QS.CONTEXT.CREATE("market.2016",A2018,"USD","SOFR")</f>
        <v>QSObject:PricingContext:w1~market.2016:14495</v>
      </c>
      <c r="D2018" s="6" t="str">
        <f>_xll.QS.CONTEXT.ADD.CURVE(C2018,"SOFR",$K$2:$K$7,$L$2:$L$7,,,"Actual360","LogLinear",TRUE)</f>
        <v>QSObject:ContextInput:w1~input.qs_context_add_curve.2359132437744.2017.3.0:38197</v>
      </c>
      <c r="E2018" s="6" t="str">
        <f>_xll.QS.INSTRUMENT.SWAP("swap.2016",H2018,B2018,"USD","SOFR",I2018,J2018,0,"Actual360","Simple","Annual","Annual","Annual")</f>
        <v>QSObject:Swap:w1~swap.2016:9706</v>
      </c>
      <c r="F2018" s="6" t="str">
        <f>_xll.QS.TRADE.CREATE("trade.2016",E2018,A2018,"Receive")</f>
        <v>QSObject:SwapTrade:w1~trade.2016:16181</v>
      </c>
      <c r="G2018" s="3">
        <f>_xll.QS.EVALUATE(C2018,F2018)</f>
        <v>25353.173126832371</v>
      </c>
      <c r="H2018" s="5" t="s">
        <v>424</v>
      </c>
      <c r="I2018" s="7">
        <v>1201600</v>
      </c>
      <c r="J2018" s="8">
        <v>3.6600000000000001E-2</v>
      </c>
    </row>
    <row r="2019" spans="1:10" x14ac:dyDescent="0.25">
      <c r="A2019" s="5" t="s">
        <v>412</v>
      </c>
      <c r="B2019" s="5" t="s">
        <v>3886</v>
      </c>
      <c r="C2019" s="6" t="str">
        <f>_xll.QS.CONTEXT.CREATE("market.2017",A2019,"USD","SOFR")</f>
        <v>QSObject:PricingContext:w1~market.2017:3355</v>
      </c>
      <c r="D2019" s="6" t="str">
        <f>_xll.QS.CONTEXT.ADD.CURVE(C2019,"SOFR",$K$2:$K$7,$L$2:$L$7,,,"Actual360","LogLinear",TRUE)</f>
        <v>QSObject:ContextInput:w1~input.qs_context_add_curve.2359132437744.2018.3.0:17174</v>
      </c>
      <c r="E2019" s="6" t="str">
        <f>_xll.QS.INSTRUMENT.SWAP("swap.2017",H2019,B2019,"USD","SOFR",I2019,J2019,0,"Actual360","Simple","Annual","Annual","Annual")</f>
        <v>QSObject:Swap:w1~swap.2017:4914</v>
      </c>
      <c r="F2019" s="6" t="str">
        <f>_xll.QS.TRADE.CREATE("trade.2017",E2019,A2019,"Receive")</f>
        <v>QSObject:SwapTrade:w1~trade.2017:8106</v>
      </c>
      <c r="G2019" s="3">
        <f>_xll.QS.EVALUATE(C2019,F2019)</f>
        <v>25997.451823085416</v>
      </c>
      <c r="H2019" s="5" t="s">
        <v>426</v>
      </c>
      <c r="I2019" s="7">
        <v>1201700</v>
      </c>
      <c r="J2019" s="8">
        <v>3.6700000000000003E-2</v>
      </c>
    </row>
    <row r="2020" spans="1:10" x14ac:dyDescent="0.25">
      <c r="A2020" s="5" t="s">
        <v>414</v>
      </c>
      <c r="B2020" s="5" t="s">
        <v>3887</v>
      </c>
      <c r="C2020" s="6" t="str">
        <f>_xll.QS.CONTEXT.CREATE("market.2018",A2020,"USD","SOFR")</f>
        <v>QSObject:PricingContext:w1~market.2018:6508</v>
      </c>
      <c r="D2020" s="6" t="str">
        <f>_xll.QS.CONTEXT.ADD.CURVE(C2020,"SOFR",$K$2:$K$7,$L$2:$L$7,,,"Actual360","LogLinear",TRUE)</f>
        <v>QSObject:ContextInput:w1~input.qs_context_add_curve.2359132437744.2019.3.0:29960</v>
      </c>
      <c r="E2020" s="6" t="str">
        <f>_xll.QS.INSTRUMENT.SWAP("swap.2018",H2020,B2020,"USD","SOFR",I2020,J2020,0,"Actual360","Simple","Annual","Annual","Annual")</f>
        <v>QSObject:Swap:w1~swap.2018:11342</v>
      </c>
      <c r="F2020" s="6" t="str">
        <f>_xll.QS.TRADE.CREATE("trade.2018",E2020,A2020,"Receive")</f>
        <v>QSObject:SwapTrade:w1~trade.2018:12855</v>
      </c>
      <c r="G2020" s="3">
        <f>_xll.QS.EVALUATE(C2020,F2020)</f>
        <v>26553.912941220638</v>
      </c>
      <c r="H2020" s="5" t="s">
        <v>428</v>
      </c>
      <c r="I2020" s="7">
        <v>1201800</v>
      </c>
      <c r="J2020" s="8">
        <v>3.6800000000000013E-2</v>
      </c>
    </row>
    <row r="2021" spans="1:10" x14ac:dyDescent="0.25">
      <c r="A2021" s="5" t="s">
        <v>416</v>
      </c>
      <c r="B2021" s="5" t="s">
        <v>3888</v>
      </c>
      <c r="C2021" s="6" t="str">
        <f>_xll.QS.CONTEXT.CREATE("market.2019",A2021,"USD","SOFR")</f>
        <v>QSObject:PricingContext:w1~market.2019:3354</v>
      </c>
      <c r="D2021" s="6" t="str">
        <f>_xll.QS.CONTEXT.ADD.CURVE(C2021,"SOFR",$K$2:$K$7,$L$2:$L$7,,,"Actual360","LogLinear",TRUE)</f>
        <v>QSObject:ContextInput:w1~input.qs_context_add_curve.2359132437744.2020.3.0:14494</v>
      </c>
      <c r="E2021" s="6" t="str">
        <f>_xll.QS.INSTRUMENT.SWAP("swap.2019",H2021,B2021,"USD","SOFR",I2021,J2021,0,"Actual360","Simple","Annual","Annual","Annual")</f>
        <v>QSObject:Swap:w1~swap.2019:18151</v>
      </c>
      <c r="F2021" s="6" t="str">
        <f>_xll.QS.TRADE.CREATE("trade.2019",E2021,A2021,"Receive")</f>
        <v>QSObject:SwapTrade:w1~trade.2019:29959</v>
      </c>
      <c r="G2021" s="3">
        <f>_xll.QS.EVALUATE(C2021,F2021)</f>
        <v>27117.074712538146</v>
      </c>
      <c r="H2021" s="5" t="s">
        <v>430</v>
      </c>
      <c r="I2021" s="7">
        <v>1201900</v>
      </c>
      <c r="J2021" s="8">
        <v>3.6900000000000002E-2</v>
      </c>
    </row>
    <row r="2022" spans="1:10" x14ac:dyDescent="0.25">
      <c r="A2022" s="5" t="s">
        <v>418</v>
      </c>
      <c r="B2022" s="5" t="s">
        <v>3889</v>
      </c>
      <c r="C2022" s="6" t="str">
        <f>_xll.QS.CONTEXT.CREATE("market.2020",A2022,"USD","SOFR")</f>
        <v>QSObject:PricingContext:w1~market.2020:17173</v>
      </c>
      <c r="D2022" s="6" t="str">
        <f>_xll.QS.CONTEXT.ADD.CURVE(C2022,"SOFR",$K$2:$K$7,$L$2:$L$7,,,"Actual360","LogLinear",TRUE)</f>
        <v>QSObject:ContextInput:w1~input.qs_context_add_curve.2359132437744.2021.3.0:38196</v>
      </c>
      <c r="E2022" s="6" t="str">
        <f>_xll.QS.INSTRUMENT.SWAP("swap.2020",H2022,B2022,"USD","SOFR",I2022,J2022,0,"Actual360","Simple","Annual","Annual","Annual")</f>
        <v>QSObject:Swap:w1~swap.2020:16180</v>
      </c>
      <c r="F2022" s="6" t="str">
        <f>_xll.QS.TRADE.CREATE("trade.2020",E2022,A2022,"Receive")</f>
        <v>QSObject:SwapTrade:w1~trade.2020:29958</v>
      </c>
      <c r="G2022" s="3">
        <f>_xll.QS.EVALUATE(C2022,F2022)</f>
        <v>27674.893167477261</v>
      </c>
      <c r="H2022" s="5" t="s">
        <v>432</v>
      </c>
      <c r="I2022" s="7">
        <v>1202000</v>
      </c>
      <c r="J2022" s="8">
        <v>3.7000000000000012E-2</v>
      </c>
    </row>
    <row r="2023" spans="1:10" x14ac:dyDescent="0.25">
      <c r="A2023" s="5" t="s">
        <v>420</v>
      </c>
      <c r="B2023" s="5" t="s">
        <v>3890</v>
      </c>
      <c r="C2023" s="6" t="str">
        <f>_xll.QS.CONTEXT.CREATE("market.2021",A2023,"USD","SOFR")</f>
        <v>QSObject:PricingContext:w1~market.2021:11341</v>
      </c>
      <c r="D2023" s="6" t="str">
        <f>_xll.QS.CONTEXT.ADD.CURVE(C2023,"SOFR",$K$2:$K$7,$L$2:$L$7,,,"Actual360","LogLinear",TRUE)</f>
        <v>QSObject:ContextInput:w1~input.qs_context_add_curve.2359132437744.2022.3.0:38195</v>
      </c>
      <c r="E2023" s="6" t="str">
        <f>_xll.QS.INSTRUMENT.SWAP("swap.2021",H2023,B2023,"USD","SOFR",I2023,J2023,0,"Actual360","Simple","Annual","Annual","Annual")</f>
        <v>QSObject:Swap:w1~swap.2021:8105</v>
      </c>
      <c r="F2023" s="6" t="str">
        <f>_xll.QS.TRADE.CREATE("trade.2021",E2023,A2023,"Receive")</f>
        <v>QSObject:SwapTrade:w1~trade.2021:29957</v>
      </c>
      <c r="G2023" s="3">
        <f>_xll.QS.EVALUATE(C2023,F2023)</f>
        <v>28084.244068051084</v>
      </c>
      <c r="H2023" s="5" t="s">
        <v>434</v>
      </c>
      <c r="I2023" s="7">
        <v>1202100</v>
      </c>
      <c r="J2023" s="8">
        <v>3.7100000000000001E-2</v>
      </c>
    </row>
    <row r="2024" spans="1:10" x14ac:dyDescent="0.25">
      <c r="A2024" s="5" t="s">
        <v>422</v>
      </c>
      <c r="B2024" s="5" t="s">
        <v>3891</v>
      </c>
      <c r="C2024" s="6" t="str">
        <f>_xll.QS.CONTEXT.CREATE("market.2022",A2024,"USD","SOFR")</f>
        <v>QSObject:PricingContext:w1~market.2022:18150</v>
      </c>
      <c r="D2024" s="6" t="str">
        <f>_xll.QS.CONTEXT.ADD.CURVE(C2024,"SOFR",$K$2:$K$7,$L$2:$L$7,,,"Actual360","LogLinear",TRUE)</f>
        <v>QSObject:ContextInput:w1~input.qs_context_add_curve.2359132437744.2023.3.0:38194</v>
      </c>
      <c r="E2024" s="6" t="str">
        <f>_xll.QS.INSTRUMENT.SWAP("swap.2022",H2024,B2024,"USD","SOFR",I2024,J2024,0,"Actual360","Simple","Annual","Annual","Annual")</f>
        <v>QSObject:Swap:w1~swap.2022:12854</v>
      </c>
      <c r="F2024" s="6" t="str">
        <f>_xll.QS.TRADE.CREATE("trade.2022",E2024,A2024,"Receive")</f>
        <v>QSObject:SwapTrade:w1~trade.2022:29956</v>
      </c>
      <c r="G2024" s="3">
        <f>_xll.QS.EVALUATE(C2024,F2024)</f>
        <v>28643.367578079204</v>
      </c>
      <c r="H2024" s="5" t="s">
        <v>436</v>
      </c>
      <c r="I2024" s="7">
        <v>1202200</v>
      </c>
      <c r="J2024" s="8">
        <v>3.7199999999999997E-2</v>
      </c>
    </row>
    <row r="2025" spans="1:10" x14ac:dyDescent="0.25">
      <c r="A2025" s="5" t="s">
        <v>424</v>
      </c>
      <c r="B2025" s="5" t="s">
        <v>3892</v>
      </c>
      <c r="C2025" s="6" t="str">
        <f>_xll.QS.CONTEXT.CREATE("market.2023",A2025,"USD","SOFR")</f>
        <v>QSObject:PricingContext:w1~market.2023:6507</v>
      </c>
      <c r="D2025" s="6" t="str">
        <f>_xll.QS.CONTEXT.ADD.CURVE(C2025,"SOFR",$K$2:$K$7,$L$2:$L$7,,,"Actual360","LogLinear",TRUE)</f>
        <v>QSObject:ContextInput:w1~input.qs_context_add_curve.2359132437744.2024.3.0:17172</v>
      </c>
      <c r="E2025" s="6" t="str">
        <f>_xll.QS.INSTRUMENT.SWAP("swap.2023",H2025,B2025,"USD","SOFR",I2025,J2025,0,"Actual360","Simple","Annual","Annual","Annual")</f>
        <v>QSObject:Swap:w1~swap.2023:9705</v>
      </c>
      <c r="F2025" s="6" t="str">
        <f>_xll.QS.TRADE.CREATE("trade.2023",E2025,A2025,"Receive")</f>
        <v>QSObject:SwapTrade:w1~trade.2023:11340</v>
      </c>
      <c r="G2025" s="3">
        <f>_xll.QS.EVALUATE(C2025,F2025)</f>
        <v>29250.808682112132</v>
      </c>
      <c r="H2025" s="5" t="s">
        <v>438</v>
      </c>
      <c r="I2025" s="7">
        <v>1202300</v>
      </c>
      <c r="J2025" s="8">
        <v>3.73E-2</v>
      </c>
    </row>
    <row r="2026" spans="1:10" x14ac:dyDescent="0.25">
      <c r="A2026" s="5" t="s">
        <v>426</v>
      </c>
      <c r="B2026" s="5" t="s">
        <v>3893</v>
      </c>
      <c r="C2026" s="6" t="str">
        <f>_xll.QS.CONTEXT.CREATE("market.2024",A2026,"USD","SOFR")</f>
        <v>QSObject:PricingContext:w1~market.2024:8104</v>
      </c>
      <c r="D2026" s="6" t="str">
        <f>_xll.QS.CONTEXT.ADD.CURVE(C2026,"SOFR",$K$2:$K$7,$L$2:$L$7,,,"Actual360","LogLinear",TRUE)</f>
        <v>QSObject:ContextInput:w1~input.qs_context_add_curve.2359132437744.2025.3.0:16179</v>
      </c>
      <c r="E2026" s="6" t="str">
        <f>_xll.QS.INSTRUMENT.SWAP("swap.2024",H2026,B2026,"USD","SOFR",I2026,J2026,0,"Actual360","Simple","Annual","Annual","Annual")</f>
        <v>QSObject:Swap:w1~swap.2024:1819</v>
      </c>
      <c r="F2026" s="6" t="str">
        <f>_xll.QS.TRADE.CREATE("trade.2024",E2026,A2026,"Receive")</f>
        <v>QSObject:SwapTrade:w1~trade.2024:3353</v>
      </c>
      <c r="G2026" s="3">
        <f>_xll.QS.EVALUATE(C2026,F2026)</f>
        <v>29895.842046154801</v>
      </c>
      <c r="H2026" s="5" t="s">
        <v>440</v>
      </c>
      <c r="I2026" s="7">
        <v>1202400</v>
      </c>
      <c r="J2026" s="8">
        <v>3.7400000000000003E-2</v>
      </c>
    </row>
    <row r="2027" spans="1:10" x14ac:dyDescent="0.25">
      <c r="A2027" s="5" t="s">
        <v>428</v>
      </c>
      <c r="B2027" s="5" t="s">
        <v>3894</v>
      </c>
      <c r="C2027" s="6" t="str">
        <f>_xll.QS.CONTEXT.CREATE("market.2025",A2027,"USD","SOFR")</f>
        <v>QSObject:PricingContext:w1~market.2025:6506</v>
      </c>
      <c r="D2027" s="6" t="str">
        <f>_xll.QS.CONTEXT.ADD.CURVE(C2027,"SOFR",$K$2:$K$7,$L$2:$L$7,,,"Actual360","LogLinear",TRUE)</f>
        <v>QSObject:ContextInput:w1~input.qs_context_add_curve.2359132437744.2026.3.0:29955</v>
      </c>
      <c r="E2027" s="6" t="str">
        <f>_xll.QS.INSTRUMENT.SWAP("swap.2025",H2027,B2027,"USD","SOFR",I2027,J2027,0,"Actual360","Simple","Annual","Annual","Annual")</f>
        <v>QSObject:Swap:w1~swap.2025:18149</v>
      </c>
      <c r="F2027" s="6" t="str">
        <f>_xll.QS.TRADE.CREATE("trade.2025",E2027,A2027,"Receive")</f>
        <v>QSObject:SwapTrade:w1~trade.2025:29954</v>
      </c>
      <c r="G2027" s="3">
        <f>_xll.QS.EVALUATE(C2027,F2027)</f>
        <v>30452.941325966938</v>
      </c>
      <c r="H2027" s="5" t="s">
        <v>442</v>
      </c>
      <c r="I2027" s="7">
        <v>1202500</v>
      </c>
      <c r="J2027" s="8">
        <v>3.7500000000000012E-2</v>
      </c>
    </row>
    <row r="2028" spans="1:10" x14ac:dyDescent="0.25">
      <c r="A2028" s="5" t="s">
        <v>430</v>
      </c>
      <c r="B2028" s="5" t="s">
        <v>3895</v>
      </c>
      <c r="C2028" s="6" t="str">
        <f>_xll.QS.CONTEXT.CREATE("market.2026",A2028,"USD","SOFR")</f>
        <v>QSObject:PricingContext:w1~market.2026:9704</v>
      </c>
      <c r="D2028" s="6" t="str">
        <f>_xll.QS.CONTEXT.ADD.CURVE(C2028,"SOFR",$K$2:$K$7,$L$2:$L$7,,,"Actual360","LogLinear",TRUE)</f>
        <v>QSObject:ContextInput:w1~input.qs_context_add_curve.2359132437744.2027.3.0:12853</v>
      </c>
      <c r="E2028" s="6" t="str">
        <f>_xll.QS.INSTRUMENT.SWAP("swap.2026",H2028,B2028,"USD","SOFR",I2028,J2028,0,"Actual360","Simple","Annual","Annual","Annual")</f>
        <v>QSObject:Swap:w1~swap.2026:17171</v>
      </c>
      <c r="F2028" s="6" t="str">
        <f>_xll.QS.TRADE.CREATE("trade.2026",E2028,A2028,"Receive")</f>
        <v>QSObject:SwapTrade:w1~trade.2026:29953</v>
      </c>
      <c r="G2028" s="3">
        <f>_xll.QS.EVALUATE(C2028,F2028)</f>
        <v>31016.763589545219</v>
      </c>
      <c r="H2028" s="5" t="s">
        <v>444</v>
      </c>
      <c r="I2028" s="7">
        <v>1202600</v>
      </c>
      <c r="J2028" s="8">
        <v>3.7600000000000001E-2</v>
      </c>
    </row>
    <row r="2029" spans="1:10" x14ac:dyDescent="0.25">
      <c r="A2029" s="5" t="s">
        <v>432</v>
      </c>
      <c r="B2029" s="5" t="s">
        <v>3896</v>
      </c>
      <c r="C2029" s="6" t="str">
        <f>_xll.QS.CONTEXT.CREATE("market.2027",A2029,"USD","SOFR")</f>
        <v>QSObject:PricingContext:w1~market.2027:3352</v>
      </c>
      <c r="D2029" s="6" t="str">
        <f>_xll.QS.CONTEXT.ADD.CURVE(C2029,"SOFR",$K$2:$K$7,$L$2:$L$7,,,"Actual360","LogLinear",TRUE)</f>
        <v>QSObject:ContextInput:w1~input.qs_context_add_curve.2359132437744.2028.3.0:16178</v>
      </c>
      <c r="E2029" s="6" t="str">
        <f>_xll.QS.INSTRUMENT.SWAP("swap.2027",H2029,B2029,"USD","SOFR",I2029,J2029,0,"Actual360","Simple","Annual","Annual","Annual")</f>
        <v>QSObject:Swap:w1~swap.2027:8103</v>
      </c>
      <c r="F2029" s="6" t="str">
        <f>_xll.QS.TRADE.CREATE("trade.2027",E2029,A2029,"Receive")</f>
        <v>QSObject:SwapTrade:w1~trade.2027:29952</v>
      </c>
      <c r="G2029" s="3">
        <f>_xll.QS.EVALUATE(C2029,F2029)</f>
        <v>31575.243326517724</v>
      </c>
      <c r="H2029" s="5" t="s">
        <v>446</v>
      </c>
      <c r="I2029" s="7">
        <v>1202700</v>
      </c>
      <c r="J2029" s="8">
        <v>3.7699999999999997E-2</v>
      </c>
    </row>
    <row r="2030" spans="1:10" x14ac:dyDescent="0.25">
      <c r="A2030" s="5" t="s">
        <v>434</v>
      </c>
      <c r="B2030" s="5" t="s">
        <v>3897</v>
      </c>
      <c r="C2030" s="6" t="str">
        <f>_xll.QS.CONTEXT.CREATE("market.2028",A2030,"USD","SOFR")</f>
        <v>QSObject:PricingContext:w1~market.2028:4913</v>
      </c>
      <c r="D2030" s="6" t="str">
        <f>_xll.QS.CONTEXT.ADD.CURVE(C2030,"SOFR",$K$2:$K$7,$L$2:$L$7,,,"Actual360","LogLinear",TRUE)</f>
        <v>QSObject:ContextInput:w1~input.qs_context_add_curve.2359132437744.2029.3.0:18148</v>
      </c>
      <c r="E2030" s="6" t="str">
        <f>_xll.QS.INSTRUMENT.SWAP("swap.2028",H2030,B2030,"USD","SOFR",I2030,J2030,0,"Actual360","Simple","Annual","Annual","Annual")</f>
        <v>QSObject:Swap:w1~swap.2028:6505</v>
      </c>
      <c r="F2030" s="6" t="str">
        <f>_xll.QS.TRADE.CREATE("trade.2028",E2030,A2030,"Receive")</f>
        <v>QSObject:SwapTrade:w1~trade.2028:17170</v>
      </c>
      <c r="G2030" s="3">
        <f>_xll.QS.EVALUATE(C2030,F2030)</f>
        <v>31984.372888699101</v>
      </c>
      <c r="H2030" s="5" t="s">
        <v>448</v>
      </c>
      <c r="I2030" s="7">
        <v>1202800</v>
      </c>
      <c r="J2030" s="8">
        <v>3.78E-2</v>
      </c>
    </row>
    <row r="2031" spans="1:10" x14ac:dyDescent="0.25">
      <c r="A2031" s="5" t="s">
        <v>436</v>
      </c>
      <c r="B2031" s="5" t="s">
        <v>3898</v>
      </c>
      <c r="C2031" s="6" t="str">
        <f>_xll.QS.CONTEXT.CREATE("market.2029",A2031,"USD","SOFR")</f>
        <v>QSObject:PricingContext:w1~market.2029:12852</v>
      </c>
      <c r="D2031" s="6" t="str">
        <f>_xll.QS.CONTEXT.ADD.CURVE(C2031,"SOFR",$K$2:$K$7,$L$2:$L$7,,,"Actual360","LogLinear",TRUE)</f>
        <v>QSObject:ContextInput:w1~input.qs_context_add_curve.2359132437744.2030.3.0:29951</v>
      </c>
      <c r="E2031" s="6" t="str">
        <f>_xll.QS.INSTRUMENT.SWAP("swap.2029",H2031,B2031,"USD","SOFR",I2031,J2031,0,"Actual360","Simple","Annual","Annual","Annual")</f>
        <v>QSObject:Swap:w1~swap.2029:9703</v>
      </c>
      <c r="F2031" s="6" t="str">
        <f>_xll.QS.TRADE.CREATE("trade.2029",E2031,A2031,"Receive")</f>
        <v>QSObject:SwapTrade:w1~trade.2029:16177</v>
      </c>
      <c r="G2031" s="3">
        <f>_xll.QS.EVALUATE(C2031,F2031)</f>
        <v>32544.469242057668</v>
      </c>
      <c r="H2031" s="5" t="s">
        <v>450</v>
      </c>
      <c r="I2031" s="7">
        <v>1202900</v>
      </c>
      <c r="J2031" s="8">
        <v>3.7900000000000003E-2</v>
      </c>
    </row>
    <row r="2032" spans="1:10" x14ac:dyDescent="0.25">
      <c r="A2032" s="5" t="s">
        <v>438</v>
      </c>
      <c r="B2032" s="5" t="s">
        <v>3899</v>
      </c>
      <c r="C2032" s="6" t="str">
        <f>_xll.QS.CONTEXT.CREATE("market.2030",A2032,"USD","SOFR")</f>
        <v>QSObject:PricingContext:w1~market.2030:14493</v>
      </c>
      <c r="D2032" s="6" t="str">
        <f>_xll.QS.CONTEXT.ADD.CURVE(C2032,"SOFR",$K$2:$K$7,$L$2:$L$7,,,"Actual360","LogLinear",TRUE)</f>
        <v>QSObject:ContextInput:w1~input.qs_context_add_curve.2359132437744.2031.3.0:38193</v>
      </c>
      <c r="E2032" s="6" t="str">
        <f>_xll.QS.INSTRUMENT.SWAP("swap.2030",H2032,B2032,"USD","SOFR",I2032,J2032,0,"Actual360","Simple","Annual","Annual","Annual")</f>
        <v>QSObject:Swap:w1~swap.2030:3351</v>
      </c>
      <c r="F2032" s="6" t="str">
        <f>_xll.QS.TRADE.CREATE("trade.2030",E2032,A2032,"Receive")</f>
        <v>QSObject:SwapTrade:w1~trade.2030:6504</v>
      </c>
      <c r="G2032" s="3">
        <f>_xll.QS.EVALUATE(C2032,F2032)</f>
        <v>33153.094414624968</v>
      </c>
      <c r="H2032" s="5" t="s">
        <v>452</v>
      </c>
      <c r="I2032" s="7">
        <v>1203000</v>
      </c>
      <c r="J2032" s="8">
        <v>3.8000000000000013E-2</v>
      </c>
    </row>
    <row r="2033" spans="1:10" x14ac:dyDescent="0.25">
      <c r="A2033" s="5" t="s">
        <v>440</v>
      </c>
      <c r="B2033" s="5" t="s">
        <v>3900</v>
      </c>
      <c r="C2033" s="6" t="str">
        <f>_xll.QS.CONTEXT.CREATE("market.2031",A2033,"USD","SOFR")</f>
        <v>QSObject:PricingContext:w1~market.2031:18147</v>
      </c>
      <c r="D2033" s="6" t="str">
        <f>_xll.QS.CONTEXT.ADD.CURVE(C2033,"SOFR",$K$2:$K$7,$L$2:$L$7,,,"Actual360","LogLinear",TRUE)</f>
        <v>QSObject:ContextInput:w1~input.qs_context_add_curve.2359132437744.2032.3.0:38192</v>
      </c>
      <c r="E2033" s="6" t="str">
        <f>_xll.QS.INSTRUMENT.SWAP("swap.2031",H2033,B2033,"USD","SOFR",I2033,J2033,0,"Actual360","Simple","Annual","Annual","Annual")</f>
        <v>QSObject:Swap:w1~swap.2031:17169</v>
      </c>
      <c r="F2033" s="6" t="str">
        <f>_xll.QS.TRADE.CREATE("trade.2031",E2033,A2033,"Receive")</f>
        <v>QSObject:SwapTrade:w1~trade.2031:29950</v>
      </c>
      <c r="G2033" s="3">
        <f>_xll.QS.EVALUATE(C2033,F2033)</f>
        <v>33798.753680647198</v>
      </c>
      <c r="H2033" s="5" t="s">
        <v>454</v>
      </c>
      <c r="I2033" s="7">
        <v>1203100</v>
      </c>
      <c r="J2033" s="8">
        <v>3.8100000000000002E-2</v>
      </c>
    </row>
    <row r="2034" spans="1:10" x14ac:dyDescent="0.25">
      <c r="A2034" s="5" t="s">
        <v>442</v>
      </c>
      <c r="B2034" s="5" t="s">
        <v>3901</v>
      </c>
      <c r="C2034" s="6" t="str">
        <f>_xll.QS.CONTEXT.CREATE("market.2032",A2034,"USD","SOFR")</f>
        <v>QSObject:PricingContext:w1~market.2032:9702</v>
      </c>
      <c r="D2034" s="6" t="str">
        <f>_xll.QS.CONTEXT.ADD.CURVE(C2034,"SOFR",$K$2:$K$7,$L$2:$L$7,,,"Actual360","LogLinear",TRUE)</f>
        <v>QSObject:ContextInput:w1~input.qs_context_add_curve.2359132437744.2033.3.0:11339</v>
      </c>
      <c r="E2034" s="6" t="str">
        <f>_xll.QS.INSTRUMENT.SWAP("swap.2032",H2034,B2034,"USD","SOFR",I2034,J2034,0,"Actual360","Simple","Annual","Annual","Annual")</f>
        <v>QSObject:Swap:w1~swap.2032:12851</v>
      </c>
      <c r="F2034" s="6" t="str">
        <f>_xll.QS.TRADE.CREATE("trade.2032",E2034,A2034,"Receive")</f>
        <v>QSObject:SwapTrade:w1~trade.2032:16176</v>
      </c>
      <c r="G2034" s="3">
        <f>_xll.QS.EVALUATE(C2034,F2034)</f>
        <v>34356.491113226693</v>
      </c>
      <c r="H2034" s="5" t="s">
        <v>456</v>
      </c>
      <c r="I2034" s="7">
        <v>1203200</v>
      </c>
      <c r="J2034" s="8">
        <v>3.8199999999999998E-2</v>
      </c>
    </row>
    <row r="2035" spans="1:10" x14ac:dyDescent="0.25">
      <c r="A2035" s="5" t="s">
        <v>444</v>
      </c>
      <c r="B2035" s="5" t="s">
        <v>3902</v>
      </c>
      <c r="C2035" s="6" t="str">
        <f>_xll.QS.CONTEXT.CREATE("market.2033",A2035,"USD","SOFR")</f>
        <v>QSObject:PricingContext:w1~market.2033:6503</v>
      </c>
      <c r="D2035" s="6" t="str">
        <f>_xll.QS.CONTEXT.ADD.CURVE(C2035,"SOFR",$K$2:$K$7,$L$2:$L$7,,,"Actual360","LogLinear",TRUE)</f>
        <v>QSObject:ContextInput:w1~input.qs_context_add_curve.2359132437744.2034.3.0:8102</v>
      </c>
      <c r="E2035" s="6" t="str">
        <f>_xll.QS.INSTRUMENT.SWAP("swap.2033",H2035,B2035,"USD","SOFR",I2035,J2035,0,"Actual360","Simple","Annual","Annual","Annual")</f>
        <v>QSObject:Swap:w1~swap.2033:14492</v>
      </c>
      <c r="F2035" s="6" t="str">
        <f>_xll.QS.TRADE.CREATE("trade.2033",E2035,A2035,"Receive")</f>
        <v>QSObject:SwapTrade:w1~trade.2033:17168</v>
      </c>
      <c r="G2035" s="3">
        <f>_xll.QS.EVALUATE(C2035,F2035)</f>
        <v>34920.788137903786</v>
      </c>
      <c r="H2035" s="5" t="s">
        <v>458</v>
      </c>
      <c r="I2035" s="7">
        <v>1203300</v>
      </c>
      <c r="J2035" s="8">
        <v>3.8300000000000001E-2</v>
      </c>
    </row>
    <row r="2036" spans="1:10" x14ac:dyDescent="0.25">
      <c r="A2036" s="5" t="s">
        <v>446</v>
      </c>
      <c r="B2036" s="5" t="s">
        <v>3903</v>
      </c>
      <c r="C2036" s="6" t="str">
        <f>_xll.QS.CONTEXT.CREATE("market.2034",A2036,"USD","SOFR")</f>
        <v>QSObject:PricingContext:w1~market.2034:1818</v>
      </c>
      <c r="D2036" s="6" t="str">
        <f>_xll.QS.CONTEXT.ADD.CURVE(C2036,"SOFR",$K$2:$K$7,$L$2:$L$7,,,"Actual360","LogLinear",TRUE)</f>
        <v>QSObject:ContextInput:w1~input.qs_context_add_curve.2359132437744.2035.3.0:18146</v>
      </c>
      <c r="E2036" s="6" t="str">
        <f>_xll.QS.INSTRUMENT.SWAP("swap.2034",H2036,B2036,"USD","SOFR",I2036,J2036,0,"Actual360","Simple","Annual","Annual","Annual")</f>
        <v>QSObject:Swap:w1~swap.2034:3350</v>
      </c>
      <c r="F2036" s="6" t="str">
        <f>_xll.QS.TRADE.CREATE("trade.2034",E2036,A2036,"Receive")</f>
        <v>QSObject:SwapTrade:w1~trade.2034:4912</v>
      </c>
      <c r="G2036" s="3">
        <f>_xll.QS.EVALUATE(C2036,F2036)</f>
        <v>35480.114917890402</v>
      </c>
      <c r="H2036" s="5" t="s">
        <v>460</v>
      </c>
      <c r="I2036" s="7">
        <v>1203400</v>
      </c>
      <c r="J2036" s="8">
        <v>3.8399999999999997E-2</v>
      </c>
    </row>
    <row r="2037" spans="1:10" x14ac:dyDescent="0.25">
      <c r="A2037" s="5" t="s">
        <v>448</v>
      </c>
      <c r="B2037" s="5" t="s">
        <v>3904</v>
      </c>
      <c r="C2037" s="6" t="str">
        <f>_xll.QS.CONTEXT.CREATE("market.2035",A2037,"USD","SOFR")</f>
        <v>QSObject:PricingContext:w1~market.2035:12850</v>
      </c>
      <c r="D2037" s="6" t="str">
        <f>_xll.QS.CONTEXT.ADD.CURVE(C2037,"SOFR",$K$2:$K$7,$L$2:$L$7,,,"Actual360","LogLinear",TRUE)</f>
        <v>QSObject:ContextInput:w1~input.qs_context_add_curve.2359132437744.2036.3.0:29949</v>
      </c>
      <c r="E2037" s="6" t="str">
        <f>_xll.QS.INSTRUMENT.SWAP("swap.2035",H2037,B2037,"USD","SOFR",I2037,J2037,0,"Actual360","Simple","Annual","Annual","Annual")</f>
        <v>QSObject:Swap:w1~swap.2035:9701</v>
      </c>
      <c r="F2037" s="6" t="str">
        <f>_xll.QS.TRADE.CREATE("trade.2035",E2037,A2037,"Receive")</f>
        <v>QSObject:SwapTrade:w1~trade.2035:16175</v>
      </c>
      <c r="G2037" s="3">
        <f>_xll.QS.EVALUATE(C2037,F2037)</f>
        <v>35889.022232251969</v>
      </c>
      <c r="H2037" s="5" t="s">
        <v>462</v>
      </c>
      <c r="I2037" s="7">
        <v>1203500</v>
      </c>
      <c r="J2037" s="8">
        <v>3.8500000000000013E-2</v>
      </c>
    </row>
    <row r="2038" spans="1:10" x14ac:dyDescent="0.25">
      <c r="A2038" s="5" t="s">
        <v>450</v>
      </c>
      <c r="B2038" s="5" t="s">
        <v>3905</v>
      </c>
      <c r="C2038" s="6" t="str">
        <f>_xll.QS.CONTEXT.CREATE("market.2036",A2038,"USD","SOFR")</f>
        <v>QSObject:PricingContext:w1~market.2036:14491</v>
      </c>
      <c r="D2038" s="6" t="str">
        <f>_xll.QS.CONTEXT.ADD.CURVE(C2038,"SOFR",$K$2:$K$7,$L$2:$L$7,,,"Actual360","LogLinear",TRUE)</f>
        <v>QSObject:ContextInput:w1~input.qs_context_add_curve.2359132437744.2037.3.0:38191</v>
      </c>
      <c r="E2038" s="6" t="str">
        <f>_xll.QS.INSTRUMENT.SWAP("swap.2036",H2038,B2038,"USD","SOFR",I2038,J2038,0,"Actual360","Simple","Annual","Annual","Annual")</f>
        <v>QSObject:Swap:w1~swap.2036:6502</v>
      </c>
      <c r="F2038" s="6" t="str">
        <f>_xll.QS.TRADE.CREATE("trade.2036",E2038,A2038,"Receive")</f>
        <v>QSObject:SwapTrade:w1~trade.2036:17167</v>
      </c>
      <c r="G2038" s="3">
        <f>_xll.QS.EVALUATE(C2038,F2038)</f>
        <v>36450.091808067307</v>
      </c>
      <c r="H2038" s="5" t="s">
        <v>464</v>
      </c>
      <c r="I2038" s="7">
        <v>1203600</v>
      </c>
      <c r="J2038" s="8">
        <v>3.8600000000000002E-2</v>
      </c>
    </row>
    <row r="2039" spans="1:10" x14ac:dyDescent="0.25">
      <c r="A2039" s="5" t="s">
        <v>452</v>
      </c>
      <c r="B2039" s="5" t="s">
        <v>3906</v>
      </c>
      <c r="C2039" s="6" t="str">
        <f>_xll.QS.CONTEXT.CREATE("market.2037",A2039,"USD","SOFR")</f>
        <v>QSObject:PricingContext:w1~market.2037:18145</v>
      </c>
      <c r="D2039" s="6" t="str">
        <f>_xll.QS.CONTEXT.ADD.CURVE(C2039,"SOFR",$K$2:$K$7,$L$2:$L$7,,,"Actual360","LogLinear",TRUE)</f>
        <v>QSObject:ContextInput:w1~input.qs_context_add_curve.2359132437744.2038.3.0:38190</v>
      </c>
      <c r="E2039" s="6" t="str">
        <f>_xll.QS.INSTRUMENT.SWAP("swap.2037",H2039,B2039,"USD","SOFR",I2039,J2039,0,"Actual360","Simple","Annual","Annual","Annual")</f>
        <v>QSObject:Swap:w1~swap.2037:1817</v>
      </c>
      <c r="F2039" s="6" t="str">
        <f>_xll.QS.TRADE.CREATE("trade.2037",E2039,A2039,"Receive")</f>
        <v>QSObject:SwapTrade:w1~trade.2037:12849</v>
      </c>
      <c r="G2039" s="3">
        <f>_xll.QS.EVALUATE(C2039,F2039)</f>
        <v>37059.64382558201</v>
      </c>
      <c r="H2039" s="5" t="s">
        <v>466</v>
      </c>
      <c r="I2039" s="7">
        <v>1203700</v>
      </c>
      <c r="J2039" s="8">
        <v>3.8700000000000012E-2</v>
      </c>
    </row>
    <row r="2040" spans="1:10" x14ac:dyDescent="0.25">
      <c r="A2040" s="5" t="s">
        <v>454</v>
      </c>
      <c r="B2040" s="5" t="s">
        <v>3907</v>
      </c>
      <c r="C2040" s="6" t="str">
        <f>_xll.QS.CONTEXT.CREATE("market.2038",A2040,"USD","SOFR")</f>
        <v>QSObject:PricingContext:w1~market.2038:9700</v>
      </c>
      <c r="D2040" s="6" t="str">
        <f>_xll.QS.CONTEXT.ADD.CURVE(C2040,"SOFR",$K$2:$K$7,$L$2:$L$7,,,"Actual360","LogLinear",TRUE)</f>
        <v>QSObject:ContextInput:w1~input.qs_context_add_curve.2359132437744.2039.3.0:11338</v>
      </c>
      <c r="E2040" s="6" t="str">
        <f>_xll.QS.INSTRUMENT.SWAP("swap.2038",H2040,B2040,"USD","SOFR",I2040,J2040,0,"Actual360","Simple","Annual","Annual","Annual")</f>
        <v>QSObject:Swap:w1~swap.2038:4911</v>
      </c>
      <c r="F2040" s="6" t="str">
        <f>_xll.QS.TRADE.CREATE("trade.2038",E2040,A2040,"Receive")</f>
        <v>QSObject:SwapTrade:w1~trade.2038:17166</v>
      </c>
      <c r="G2040" s="3">
        <f>_xll.QS.EVALUATE(C2040,F2040)</f>
        <v>37706.186726562424</v>
      </c>
      <c r="H2040" s="5" t="s">
        <v>468</v>
      </c>
      <c r="I2040" s="7">
        <v>1203800</v>
      </c>
      <c r="J2040" s="8">
        <v>3.8800000000000001E-2</v>
      </c>
    </row>
    <row r="2041" spans="1:10" x14ac:dyDescent="0.25">
      <c r="A2041" s="5" t="s">
        <v>456</v>
      </c>
      <c r="B2041" s="5" t="s">
        <v>3908</v>
      </c>
      <c r="C2041" s="6" t="str">
        <f>_xll.QS.CONTEXT.CREATE("market.2039",A2041,"USD","SOFR")</f>
        <v>QSObject:PricingContext:w1~market.2039:6501</v>
      </c>
      <c r="D2041" s="6" t="str">
        <f>_xll.QS.CONTEXT.ADD.CURVE(C2041,"SOFR",$K$2:$K$7,$L$2:$L$7,,,"Actual360","LogLinear",TRUE)</f>
        <v>QSObject:ContextInput:w1~input.qs_context_add_curve.2359132437744.2040.3.0:8101</v>
      </c>
      <c r="E2041" s="6" t="str">
        <f>_xll.QS.INSTRUMENT.SWAP("swap.2039",H2041,B2041,"USD","SOFR",I2041,J2041,0,"Actual360","Simple","Annual","Annual","Annual")</f>
        <v>QSObject:Swap:w1~swap.2039:16174</v>
      </c>
      <c r="F2041" s="6" t="str">
        <f>_xll.QS.TRADE.CREATE("trade.2039",E2041,A2041,"Receive")</f>
        <v>QSObject:SwapTrade:w1~trade.2039:29948</v>
      </c>
      <c r="G2041" s="3">
        <f>_xll.QS.EVALUATE(C2041,F2041)</f>
        <v>38264.562303000464</v>
      </c>
      <c r="H2041" s="5" t="s">
        <v>470</v>
      </c>
      <c r="I2041" s="7">
        <v>1203900</v>
      </c>
      <c r="J2041" s="8">
        <v>3.8899999999999997E-2</v>
      </c>
    </row>
    <row r="2042" spans="1:10" x14ac:dyDescent="0.25">
      <c r="A2042" s="5" t="s">
        <v>458</v>
      </c>
      <c r="B2042" s="5" t="s">
        <v>3909</v>
      </c>
      <c r="C2042" s="6" t="str">
        <f>_xll.QS.CONTEXT.CREATE("market.2040",A2042,"USD","SOFR")</f>
        <v>QSObject:PricingContext:w1~market.2040:14490</v>
      </c>
      <c r="D2042" s="6" t="str">
        <f>_xll.QS.CONTEXT.ADD.CURVE(C2042,"SOFR",$K$2:$K$7,$L$2:$L$7,,,"Actual360","LogLinear",TRUE)</f>
        <v>QSObject:ContextInput:w1~input.qs_context_add_curve.2359132437744.2041.3.0:29947</v>
      </c>
      <c r="E2042" s="6" t="str">
        <f>_xll.QS.INSTRUMENT.SWAP("swap.2040",H2042,B2042,"USD","SOFR",I2042,J2042,0,"Actual360","Simple","Annual","Annual","Annual")</f>
        <v>QSObject:Swap:w1~swap.2040:18144</v>
      </c>
      <c r="F2042" s="6" t="str">
        <f>_xll.QS.TRADE.CREATE("trade.2040",E2042,A2042,"Receive")</f>
        <v>QSObject:SwapTrade:w1~trade.2040:29946</v>
      </c>
      <c r="G2042" s="3">
        <f>_xll.QS.EVALUATE(C2042,F2042)</f>
        <v>38829.705588923847</v>
      </c>
      <c r="H2042" s="5" t="s">
        <v>472</v>
      </c>
      <c r="I2042" s="7">
        <v>1204000</v>
      </c>
      <c r="J2042" s="8">
        <v>3.9000000000000007E-2</v>
      </c>
    </row>
    <row r="2043" spans="1:10" x14ac:dyDescent="0.25">
      <c r="A2043" s="5" t="s">
        <v>460</v>
      </c>
      <c r="B2043" s="5" t="s">
        <v>3910</v>
      </c>
      <c r="C2043" s="6" t="str">
        <f>_xll.QS.CONTEXT.CREATE("market.2041",A2043,"USD","SOFR")</f>
        <v>QSObject:PricingContext:w1~market.2041:17165</v>
      </c>
      <c r="D2043" s="6" t="str">
        <f>_xll.QS.CONTEXT.ADD.CURVE(C2043,"SOFR",$K$2:$K$7,$L$2:$L$7,,,"Actual360","LogLinear",TRUE)</f>
        <v>QSObject:ContextInput:w1~input.qs_context_add_curve.2359132437744.2042.3.0:38189</v>
      </c>
      <c r="E2043" s="6" t="str">
        <f>_xll.QS.INSTRUMENT.SWAP("swap.2041",H2043,B2043,"USD","SOFR",I2043,J2043,0,"Actual360","Simple","Annual","Annual","Annual")</f>
        <v>QSObject:Swap:w1~swap.2041:9699</v>
      </c>
      <c r="F2043" s="6" t="str">
        <f>_xll.QS.TRADE.CREATE("trade.2041",E2043,A2043,"Receive")</f>
        <v>QSObject:SwapTrade:w1~trade.2041:29945</v>
      </c>
      <c r="G2043" s="3">
        <f>_xll.QS.EVALUATE(C2043,F2043)</f>
        <v>39389.507941595264</v>
      </c>
      <c r="H2043" s="5" t="s">
        <v>474</v>
      </c>
      <c r="I2043" s="7">
        <v>1204100</v>
      </c>
      <c r="J2043" s="8">
        <v>3.9100000000000003E-2</v>
      </c>
    </row>
    <row r="2044" spans="1:10" x14ac:dyDescent="0.25">
      <c r="A2044" s="5" t="s">
        <v>462</v>
      </c>
      <c r="B2044" s="5" t="s">
        <v>3911</v>
      </c>
      <c r="C2044" s="6" t="str">
        <f>_xll.QS.CONTEXT.CREATE("market.2042",A2044,"USD","SOFR")</f>
        <v>QSObject:PricingContext:w1~market.2042:16173</v>
      </c>
      <c r="D2044" s="6" t="str">
        <f>_xll.QS.CONTEXT.ADD.CURVE(C2044,"SOFR",$K$2:$K$7,$L$2:$L$7,,,"Actual360","LogLinear",TRUE)</f>
        <v>QSObject:ContextInput:w1~input.qs_context_add_curve.2359132437744.2043.3.0:38188</v>
      </c>
      <c r="E2044" s="6" t="str">
        <f>_xll.QS.INSTRUMENT.SWAP("swap.2042",H2044,B2044,"USD","SOFR",I2044,J2044,0,"Actual360","Simple","Annual","Annual","Annual")</f>
        <v>QSObject:Swap:w1~swap.2042:8100</v>
      </c>
      <c r="F2044" s="6" t="str">
        <f>_xll.QS.TRADE.CREATE("trade.2042",E2044,A2044,"Receive")</f>
        <v>QSObject:SwapTrade:w1~trade.2042:14489</v>
      </c>
      <c r="G2044" s="3">
        <f>_xll.QS.EVALUATE(C2044,F2044)</f>
        <v>39798.19209870942</v>
      </c>
      <c r="H2044" s="5" t="s">
        <v>476</v>
      </c>
      <c r="I2044" s="7">
        <v>1204200</v>
      </c>
      <c r="J2044" s="8">
        <v>3.9200000000000013E-2</v>
      </c>
    </row>
    <row r="2045" spans="1:10" x14ac:dyDescent="0.25">
      <c r="A2045" s="5" t="s">
        <v>464</v>
      </c>
      <c r="B2045" s="5" t="s">
        <v>3912</v>
      </c>
      <c r="C2045" s="6" t="str">
        <f>_xll.QS.CONTEXT.CREATE("market.2043",A2045,"USD","SOFR")</f>
        <v>QSObject:PricingContext:w1~market.2043:4910</v>
      </c>
      <c r="D2045" s="6" t="str">
        <f>_xll.QS.CONTEXT.ADD.CURVE(C2045,"SOFR",$K$2:$K$7,$L$2:$L$7,,,"Actual360","LogLinear",TRUE)</f>
        <v>QSObject:ContextInput:w1~input.qs_context_add_curve.2359132437744.2044.3.0:12848</v>
      </c>
      <c r="E2045" s="6" t="str">
        <f>_xll.QS.INSTRUMENT.SWAP("swap.2043",H2045,B2045,"USD","SOFR",I2045,J2045,0,"Actual360","Simple","Annual","Annual","Annual")</f>
        <v>QSObject:Swap:w1~swap.2043:3349</v>
      </c>
      <c r="F2045" s="6" t="str">
        <f>_xll.QS.TRADE.CREATE("trade.2043",E2045,A2045,"Receive")</f>
        <v>QSObject:SwapTrade:w1~trade.2043:18143</v>
      </c>
      <c r="G2045" s="3">
        <f>_xll.QS.EVALUATE(C2045,F2045)</f>
        <v>40360.2352761078</v>
      </c>
      <c r="H2045" s="5" t="s">
        <v>478</v>
      </c>
      <c r="I2045" s="7">
        <v>1204300</v>
      </c>
      <c r="J2045" s="8">
        <v>3.9300000000000002E-2</v>
      </c>
    </row>
    <row r="2046" spans="1:10" x14ac:dyDescent="0.25">
      <c r="A2046" s="5" t="s">
        <v>466</v>
      </c>
      <c r="B2046" s="5" t="s">
        <v>3913</v>
      </c>
      <c r="C2046" s="6" t="str">
        <f>_xll.QS.CONTEXT.CREATE("market.2044",A2046,"USD","SOFR")</f>
        <v>QSObject:PricingContext:w1~market.2044:9698</v>
      </c>
      <c r="D2046" s="6" t="str">
        <f>_xll.QS.CONTEXT.ADD.CURVE(C2046,"SOFR",$K$2:$K$7,$L$2:$L$7,,,"Actual360","LogLinear",TRUE)</f>
        <v>QSObject:ContextInput:w1~input.qs_context_add_curve.2359132437744.2045.3.0:38187</v>
      </c>
      <c r="E2046" s="6" t="str">
        <f>_xll.QS.INSTRUMENT.SWAP("swap.2044",H2046,B2046,"USD","SOFR",I2046,J2046,0,"Actual360","Simple","Annual","Annual","Annual")</f>
        <v>QSObject:Swap:w1~swap.2044:17164</v>
      </c>
      <c r="F2046" s="6" t="str">
        <f>_xll.QS.TRADE.CREATE("trade.2044",E2046,A2046,"Receive")</f>
        <v>QSObject:SwapTrade:w1~trade.2044:29944</v>
      </c>
      <c r="G2046" s="3">
        <f>_xll.QS.EVALUATE(C2046,F2046)</f>
        <v>40970.843413771945</v>
      </c>
      <c r="H2046" s="5" t="s">
        <v>480</v>
      </c>
      <c r="I2046" s="7">
        <v>1204400</v>
      </c>
      <c r="J2046" s="8">
        <v>3.9399999999999998E-2</v>
      </c>
    </row>
    <row r="2047" spans="1:10" x14ac:dyDescent="0.25">
      <c r="A2047" s="5" t="s">
        <v>468</v>
      </c>
      <c r="B2047" s="5" t="s">
        <v>3914</v>
      </c>
      <c r="C2047" s="6" t="str">
        <f>_xll.QS.CONTEXT.CREATE("market.2045",A2047,"USD","SOFR")</f>
        <v>QSObject:PricingContext:w1~market.2045:8099</v>
      </c>
      <c r="D2047" s="6" t="str">
        <f>_xll.QS.CONTEXT.ADD.CURVE(C2047,"SOFR",$K$2:$K$7,$L$2:$L$7,,,"Actual360","LogLinear",TRUE)</f>
        <v>QSObject:ContextInput:w1~input.qs_context_add_curve.2359132437744.2046.3.0:11337</v>
      </c>
      <c r="E2047" s="6" t="str">
        <f>_xll.QS.INSTRUMENT.SWAP("swap.2045",H2047,B2047,"USD","SOFR",I2047,J2047,0,"Actual360","Simple","Annual","Annual","Annual")</f>
        <v>QSObject:Swap:w1~swap.2045:16172</v>
      </c>
      <c r="F2047" s="6" t="str">
        <f>_xll.QS.TRADE.CREATE("trade.2045",E2047,A2047,"Receive")</f>
        <v>QSObject:SwapTrade:w1~trade.2045:29943</v>
      </c>
      <c r="G2047" s="3">
        <f>_xll.QS.EVALUATE(C2047,F2047)</f>
        <v>41618.141183900909</v>
      </c>
      <c r="H2047" s="5" t="s">
        <v>482</v>
      </c>
      <c r="I2047" s="7">
        <v>1204500</v>
      </c>
      <c r="J2047" s="8">
        <v>3.9500000000000007E-2</v>
      </c>
    </row>
    <row r="2048" spans="1:10" x14ac:dyDescent="0.25">
      <c r="A2048" s="5" t="s">
        <v>470</v>
      </c>
      <c r="B2048" s="5" t="s">
        <v>3915</v>
      </c>
      <c r="C2048" s="6" t="str">
        <f>_xll.QS.CONTEXT.CREATE("market.2046",A2048,"USD","SOFR")</f>
        <v>QSObject:PricingContext:w1~market.2046:3348</v>
      </c>
      <c r="D2048" s="6" t="str">
        <f>_xll.QS.CONTEXT.ADD.CURVE(C2048,"SOFR",$K$2:$K$7,$L$2:$L$7,,,"Actual360","LogLinear",TRUE)</f>
        <v>QSObject:ContextInput:w1~input.qs_context_add_curve.2359132437744.2047.3.0:12847</v>
      </c>
      <c r="E2048" s="6" t="str">
        <f>_xll.QS.INSTRUMENT.SWAP("swap.2046",H2048,B2048,"USD","SOFR",I2048,J2048,0,"Actual360","Simple","Annual","Annual","Annual")</f>
        <v>QSObject:Swap:w1~swap.2046:14488</v>
      </c>
      <c r="F2048" s="6" t="str">
        <f>_xll.QS.TRADE.CREATE("trade.2046",E2048,A2048,"Receive")</f>
        <v>QSObject:SwapTrade:w1~trade.2046:29942</v>
      </c>
      <c r="G2048" s="3">
        <f>_xll.QS.EVALUATE(C2048,F2048)</f>
        <v>42177.154895288259</v>
      </c>
      <c r="H2048" s="5" t="s">
        <v>484</v>
      </c>
      <c r="I2048" s="7">
        <v>1204600</v>
      </c>
      <c r="J2048" s="8">
        <v>3.9600000000000003E-2</v>
      </c>
    </row>
    <row r="2049" spans="1:10" x14ac:dyDescent="0.25">
      <c r="A2049" s="5" t="s">
        <v>472</v>
      </c>
      <c r="B2049" s="5" t="s">
        <v>3916</v>
      </c>
      <c r="C2049" s="6" t="str">
        <f>_xll.QS.CONTEXT.CREATE("market.2047",A2049,"USD","SOFR")</f>
        <v>QSObject:PricingContext:w1~market.2047:1816</v>
      </c>
      <c r="D2049" s="6" t="str">
        <f>_xll.QS.CONTEXT.ADD.CURVE(C2049,"SOFR",$K$2:$K$7,$L$2:$L$7,,,"Actual360","LogLinear",TRUE)</f>
        <v>QSObject:ContextInput:w1~input.qs_context_add_curve.2359132437744.2048.3.0:18142</v>
      </c>
      <c r="E2049" s="6" t="str">
        <f>_xll.QS.INSTRUMENT.SWAP("swap.2047",H2049,B2049,"USD","SOFR",I2049,J2049,0,"Actual360","Simple","Annual","Annual","Annual")</f>
        <v>QSObject:Swap:w1~swap.2047:17163</v>
      </c>
      <c r="F2049" s="6" t="str">
        <f>_xll.QS.TRADE.CREATE("trade.2047",E2049,A2049,"Receive")</f>
        <v>QSObject:SwapTrade:w1~trade.2047:29941</v>
      </c>
      <c r="G2049" s="3">
        <f>_xll.QS.EVALUATE(C2049,F2049)</f>
        <v>42742.958711295702</v>
      </c>
      <c r="H2049" s="5" t="s">
        <v>486</v>
      </c>
      <c r="I2049" s="7">
        <v>1204700</v>
      </c>
      <c r="J2049" s="8">
        <v>3.9700000000000013E-2</v>
      </c>
    </row>
    <row r="2050" spans="1:10" x14ac:dyDescent="0.25">
      <c r="A2050" s="5" t="s">
        <v>474</v>
      </c>
      <c r="B2050" s="5" t="s">
        <v>3917</v>
      </c>
      <c r="C2050" s="6" t="str">
        <f>_xll.QS.CONTEXT.CREATE("market.2048",A2050,"USD","SOFR")</f>
        <v>QSObject:PricingContext:w1~market.2048:16171</v>
      </c>
      <c r="D2050" s="6" t="str">
        <f>_xll.QS.CONTEXT.ADD.CURVE(C2050,"SOFR",$K$2:$K$7,$L$2:$L$7,,,"Actual360","LogLinear",TRUE)</f>
        <v>QSObject:ContextInput:w1~input.qs_context_add_curve.2359132437744.2049.3.0:38186</v>
      </c>
      <c r="E2050" s="6" t="str">
        <f>_xll.QS.INSTRUMENT.SWAP("swap.2048",H2050,B2050,"USD","SOFR",I2050,J2050,0,"Actual360","Simple","Annual","Annual","Annual")</f>
        <v>QSObject:Swap:w1~swap.2048:6500</v>
      </c>
      <c r="F2050" s="6" t="str">
        <f>_xll.QS.TRADE.CREATE("trade.2048",E2050,A2050,"Receive")</f>
        <v>QSObject:SwapTrade:w1~trade.2048:12846</v>
      </c>
      <c r="G2050" s="3">
        <f>_xll.QS.EVALUATE(C2050,F2050)</f>
        <v>43303.422397632137</v>
      </c>
      <c r="H2050" s="5" t="s">
        <v>488</v>
      </c>
      <c r="I2050" s="7">
        <v>1204800</v>
      </c>
      <c r="J2050" s="8">
        <v>3.9800000000000002E-2</v>
      </c>
    </row>
    <row r="2051" spans="1:10" x14ac:dyDescent="0.25">
      <c r="A2051" s="5" t="s">
        <v>476</v>
      </c>
      <c r="B2051" s="5" t="s">
        <v>3918</v>
      </c>
      <c r="C2051" s="6" t="str">
        <f>_xll.QS.CONTEXT.CREATE("market.2049",A2051,"USD","SOFR")</f>
        <v>QSObject:PricingContext:w1~market.2049:14487</v>
      </c>
      <c r="D2051" s="6" t="str">
        <f>_xll.QS.CONTEXT.ADD.CURVE(C2051,"SOFR",$K$2:$K$7,$L$2:$L$7,,,"Actual360","LogLinear",TRUE)</f>
        <v>QSObject:ContextInput:w1~input.qs_context_add_curve.2359132437744.2050.3.0:38185</v>
      </c>
      <c r="E2051" s="6" t="str">
        <f>_xll.QS.INSTRUMENT.SWAP("swap.2049",H2051,B2051,"USD","SOFR",I2051,J2051,0,"Actual360","Simple","Annual","Annual","Annual")</f>
        <v>QSObject:Swap:w1~swap.2049:3347</v>
      </c>
      <c r="F2051" s="6" t="str">
        <f>_xll.QS.TRADE.CREATE("trade.2049",E2051,A2051,"Receive")</f>
        <v>QSObject:SwapTrade:w1~trade.2049:17162</v>
      </c>
      <c r="G2051" s="3">
        <f>_xll.QS.EVALUATE(C2051,F2051)</f>
        <v>43711.882488071744</v>
      </c>
      <c r="H2051" s="5" t="s">
        <v>490</v>
      </c>
      <c r="I2051" s="7">
        <v>1204900</v>
      </c>
      <c r="J2051" s="8">
        <v>3.9899999999999998E-2</v>
      </c>
    </row>
    <row r="2052" spans="1:10" x14ac:dyDescent="0.25">
      <c r="A2052" s="5" t="s">
        <v>478</v>
      </c>
      <c r="B2052" s="5" t="s">
        <v>3919</v>
      </c>
      <c r="C2052" s="6" t="str">
        <f>_xll.QS.CONTEXT.CREATE("market.2050",A2052,"USD","SOFR")</f>
        <v>QSObject:PricingContext:w1~market.2050:18141</v>
      </c>
      <c r="D2052" s="6" t="str">
        <f>_xll.QS.CONTEXT.ADD.CURVE(C2052,"SOFR",$K$2:$K$7,$L$2:$L$7,,,"Actual360","LogLinear",TRUE)</f>
        <v>QSObject:ContextInput:w1~input.qs_context_add_curve.2359132437744.2051.3.0:38184</v>
      </c>
      <c r="E2052" s="6" t="str">
        <f>_xll.QS.INSTRUMENT.SWAP("swap.2050",H2052,B2052,"USD","SOFR",I2052,J2052,0,"Actual360","Simple","Annual","Annual","Annual")</f>
        <v>QSObject:Swap:w1~swap.2050:9697</v>
      </c>
      <c r="F2052" s="6" t="str">
        <f>_xll.QS.TRADE.CREATE("trade.2050",E2052,A2052,"Receive")</f>
        <v>QSObject:SwapTrade:w1~trade.2050:11336</v>
      </c>
      <c r="G2052" s="3">
        <f>_xll.QS.EVALUATE(C2052,F2052)</f>
        <v>16480.578486383951</v>
      </c>
      <c r="H2052" s="5" t="s">
        <v>492</v>
      </c>
      <c r="I2052" s="7">
        <v>1205000</v>
      </c>
      <c r="J2052" s="8">
        <v>3.5000000000000003E-2</v>
      </c>
    </row>
    <row r="2053" spans="1:10" x14ac:dyDescent="0.25">
      <c r="A2053" s="5" t="s">
        <v>480</v>
      </c>
      <c r="B2053" s="5" t="s">
        <v>3920</v>
      </c>
      <c r="C2053" s="6" t="str">
        <f>_xll.QS.CONTEXT.CREATE("market.2051",A2053,"USD","SOFR")</f>
        <v>QSObject:PricingContext:w1~market.2051:8098</v>
      </c>
      <c r="D2053" s="6" t="str">
        <f>_xll.QS.CONTEXT.ADD.CURVE(C2053,"SOFR",$K$2:$K$7,$L$2:$L$7,,,"Actual360","LogLinear",TRUE)</f>
        <v>QSObject:ContextInput:w1~input.qs_context_add_curve.2359132437744.2052.3.0:16170</v>
      </c>
      <c r="E2053" s="6" t="str">
        <f>_xll.QS.INSTRUMENT.SWAP("swap.2051",H2053,B2053,"USD","SOFR",I2053,J2053,0,"Actual360","Simple","Annual","Annual","Annual")</f>
        <v>QSObject:Swap:w1~swap.2051:6499</v>
      </c>
      <c r="F2053" s="6" t="str">
        <f>_xll.QS.TRADE.CREATE("trade.2051",E2053,A2053,"Receive")</f>
        <v>QSObject:SwapTrade:w1~trade.2051:29940</v>
      </c>
      <c r="G2053" s="3">
        <f>_xll.QS.EVALUATE(C2053,F2053)</f>
        <v>17087.217305026708</v>
      </c>
      <c r="H2053" s="5" t="s">
        <v>494</v>
      </c>
      <c r="I2053" s="7">
        <v>1205100</v>
      </c>
      <c r="J2053" s="8">
        <v>3.5100000000000013E-2</v>
      </c>
    </row>
    <row r="2054" spans="1:10" x14ac:dyDescent="0.25">
      <c r="A2054" s="5" t="s">
        <v>482</v>
      </c>
      <c r="B2054" s="5" t="s">
        <v>3921</v>
      </c>
      <c r="C2054" s="6" t="str">
        <f>_xll.QS.CONTEXT.CREATE("market.2052",A2054,"USD","SOFR")</f>
        <v>QSObject:PricingContext:w1~market.2052:17161</v>
      </c>
      <c r="D2054" s="6" t="str">
        <f>_xll.QS.CONTEXT.ADD.CURVE(C2054,"SOFR",$K$2:$K$7,$L$2:$L$7,,,"Actual360","LogLinear",TRUE)</f>
        <v>QSObject:ContextInput:w1~input.qs_context_add_curve.2359132437744.2053.3.0:29939</v>
      </c>
      <c r="E2054" s="6" t="str">
        <f>_xll.QS.INSTRUMENT.SWAP("swap.2052",H2054,B2054,"USD","SOFR",I2054,J2054,0,"Actual360","Simple","Annual","Annual","Annual")</f>
        <v>QSObject:Swap:w1~swap.2052:12845</v>
      </c>
      <c r="F2054" s="6" t="str">
        <f>_xll.QS.TRADE.CREATE("trade.2052",E2054,A2054,"Receive")</f>
        <v>QSObject:SwapTrade:w1~trade.2052:18140</v>
      </c>
      <c r="G2054" s="3">
        <f>_xll.QS.EVALUATE(C2054,F2054)</f>
        <v>17732.550486248423</v>
      </c>
      <c r="H2054" s="5" t="s">
        <v>496</v>
      </c>
      <c r="I2054" s="7">
        <v>1205200</v>
      </c>
      <c r="J2054" s="8">
        <v>3.5200000000000002E-2</v>
      </c>
    </row>
    <row r="2055" spans="1:10" x14ac:dyDescent="0.25">
      <c r="A2055" s="5" t="s">
        <v>484</v>
      </c>
      <c r="B2055" s="5" t="s">
        <v>3922</v>
      </c>
      <c r="C2055" s="6" t="str">
        <f>_xll.QS.CONTEXT.CREATE("market.2053",A2055,"USD","SOFR")</f>
        <v>QSObject:PricingContext:w1~market.2053:11335</v>
      </c>
      <c r="D2055" s="6" t="str">
        <f>_xll.QS.CONTEXT.ADD.CURVE(C2055,"SOFR",$K$2:$K$7,$L$2:$L$7,,,"Actual360","LogLinear",TRUE)</f>
        <v>QSObject:ContextInput:w1~input.qs_context_add_curve.2359132437744.2054.3.0:38183</v>
      </c>
      <c r="E2055" s="6" t="str">
        <f>_xll.QS.INSTRUMENT.SWAP("swap.2053",H2055,B2055,"USD","SOFR",I2055,J2055,0,"Actual360","Simple","Annual","Annual","Annual")</f>
        <v>QSObject:Swap:w1~swap.2053:4909</v>
      </c>
      <c r="F2055" s="6" t="str">
        <f>_xll.QS.TRADE.CREATE("trade.2053",E2055,A2055,"Receive")</f>
        <v>QSObject:SwapTrade:w1~trade.2053:29938</v>
      </c>
      <c r="G2055" s="3">
        <f>_xll.QS.EVALUATE(C2055,F2055)</f>
        <v>18289.950267955595</v>
      </c>
      <c r="H2055" s="5" t="s">
        <v>498</v>
      </c>
      <c r="I2055" s="7">
        <v>1205300</v>
      </c>
      <c r="J2055" s="8">
        <v>3.5299999999999998E-2</v>
      </c>
    </row>
    <row r="2056" spans="1:10" x14ac:dyDescent="0.25">
      <c r="A2056" s="5" t="s">
        <v>486</v>
      </c>
      <c r="B2056" s="5" t="s">
        <v>3923</v>
      </c>
      <c r="C2056" s="6" t="str">
        <f>_xll.QS.CONTEXT.CREATE("market.2054",A2056,"USD","SOFR")</f>
        <v>QSObject:PricingContext:w1~market.2054:16169</v>
      </c>
      <c r="D2056" s="6" t="str">
        <f>_xll.QS.CONTEXT.ADD.CURVE(C2056,"SOFR",$K$2:$K$7,$L$2:$L$7,,,"Actual360","LogLinear",TRUE)</f>
        <v>QSObject:ContextInput:w1~input.qs_context_add_curve.2359132437744.2055.3.0:38182</v>
      </c>
      <c r="E2056" s="6" t="str">
        <f>_xll.QS.INSTRUMENT.SWAP("swap.2054",H2056,B2056,"USD","SOFR",I2056,J2056,0,"Actual360","Simple","Annual","Annual","Annual")</f>
        <v>QSObject:Swap:w1~swap.2054:6498</v>
      </c>
      <c r="F2056" s="6" t="str">
        <f>_xll.QS.TRADE.CREATE("trade.2054",E2056,A2056,"Receive")</f>
        <v>QSObject:SwapTrade:w1~trade.2054:29937</v>
      </c>
      <c r="G2056" s="3">
        <f>_xll.QS.EVALUATE(C2056,F2056)</f>
        <v>18854.030250885698</v>
      </c>
      <c r="H2056" s="5" t="s">
        <v>500</v>
      </c>
      <c r="I2056" s="7">
        <v>1205400</v>
      </c>
      <c r="J2056" s="8">
        <v>3.5400000000000001E-2</v>
      </c>
    </row>
    <row r="2057" spans="1:10" x14ac:dyDescent="0.25">
      <c r="A2057" s="5" t="s">
        <v>488</v>
      </c>
      <c r="B2057" s="5" t="s">
        <v>3924</v>
      </c>
      <c r="C2057" s="6" t="str">
        <f>_xll.QS.CONTEXT.CREATE("market.2055",A2057,"USD","SOFR")</f>
        <v>QSObject:PricingContext:w1~market.2055:12844</v>
      </c>
      <c r="D2057" s="6" t="str">
        <f>_xll.QS.CONTEXT.ADD.CURVE(C2057,"SOFR",$K$2:$K$7,$L$2:$L$7,,,"Actual360","LogLinear",TRUE)</f>
        <v>QSObject:ContextInput:w1~input.qs_context_add_curve.2359132437744.2056.3.0:17160</v>
      </c>
      <c r="E2057" s="6" t="str">
        <f>_xll.QS.INSTRUMENT.SWAP("swap.2055",H2057,B2057,"USD","SOFR",I2057,J2057,0,"Actual360","Simple","Annual","Annual","Annual")</f>
        <v>QSObject:Swap:w1~swap.2055:14486</v>
      </c>
      <c r="F2057" s="6" t="str">
        <f>_xll.QS.TRADE.CREATE("trade.2055",E2057,A2057,"Receive")</f>
        <v>QSObject:SwapTrade:w1~trade.2055:18139</v>
      </c>
      <c r="G2057" s="3">
        <f>_xll.QS.EVALUATE(C2057,F2057)</f>
        <v>19412.742590280053</v>
      </c>
      <c r="H2057" s="5" t="s">
        <v>502</v>
      </c>
      <c r="I2057" s="7">
        <v>1205500</v>
      </c>
      <c r="J2057" s="8">
        <v>3.5499999999999997E-2</v>
      </c>
    </row>
    <row r="2058" spans="1:10" x14ac:dyDescent="0.25">
      <c r="A2058" s="5" t="s">
        <v>490</v>
      </c>
      <c r="B2058" s="5" t="s">
        <v>3925</v>
      </c>
      <c r="C2058" s="6" t="str">
        <f>_xll.QS.CONTEXT.CREATE("market.2056",A2058,"USD","SOFR")</f>
        <v>QSObject:PricingContext:w1~market.2056:1815</v>
      </c>
      <c r="D2058" s="6" t="str">
        <f>_xll.QS.CONTEXT.ADD.CURVE(C2058,"SOFR",$K$2:$K$7,$L$2:$L$7,,,"Actual360","LogLinear",TRUE)</f>
        <v>QSObject:ContextInput:w1~input.qs_context_add_curve.2359132437744.2057.3.0:9696</v>
      </c>
      <c r="E2058" s="6" t="str">
        <f>_xll.QS.INSTRUMENT.SWAP("swap.2056",H2058,B2058,"USD","SOFR",I2058,J2058,0,"Actual360","Simple","Annual","Annual","Annual")</f>
        <v>QSObject:Swap:w1~swap.2056:11334</v>
      </c>
      <c r="F2058" s="6" t="str">
        <f>_xll.QS.TRADE.CREATE("trade.2056",E2058,A2058,"Receive")</f>
        <v>QSObject:SwapTrade:w1~trade.2056:29936</v>
      </c>
      <c r="G2058" s="3">
        <f>_xll.QS.EVALUATE(C2058,F2058)</f>
        <v>19824.264757481877</v>
      </c>
      <c r="H2058" s="5" t="s">
        <v>504</v>
      </c>
      <c r="I2058" s="7">
        <v>1205600</v>
      </c>
      <c r="J2058" s="8">
        <v>3.5600000000000007E-2</v>
      </c>
    </row>
    <row r="2059" spans="1:10" x14ac:dyDescent="0.25">
      <c r="A2059" s="5" t="s">
        <v>492</v>
      </c>
      <c r="B2059" s="5" t="s">
        <v>3926</v>
      </c>
      <c r="C2059" s="6" t="str">
        <f>_xll.QS.CONTEXT.CREATE("market.2057",A2059,"USD","SOFR")</f>
        <v>QSObject:PricingContext:w1~market.2057:3346</v>
      </c>
      <c r="D2059" s="6" t="str">
        <f>_xll.QS.CONTEXT.ADD.CURVE(C2059,"SOFR",$K$2:$K$7,$L$2:$L$7,,,"Actual360","LogLinear",TRUE)</f>
        <v>QSObject:ContextInput:w1~input.qs_context_add_curve.2359132437744.2058.3.0:8097</v>
      </c>
      <c r="E2059" s="6" t="str">
        <f>_xll.QS.INSTRUMENT.SWAP("swap.2057",H2059,B2059,"USD","SOFR",I2059,J2059,0,"Actual360","Simple","Annual","Annual","Annual")</f>
        <v>QSObject:Swap:w1~swap.2057:16168</v>
      </c>
      <c r="F2059" s="6" t="str">
        <f>_xll.QS.TRADE.CREATE("trade.2057",E2059,A2059,"Receive")</f>
        <v>QSObject:SwapTrade:w1~trade.2057:29935</v>
      </c>
      <c r="G2059" s="3">
        <f>_xll.QS.EVALUATE(C2059,F2059)</f>
        <v>20383.617679804331</v>
      </c>
      <c r="H2059" s="5" t="s">
        <v>506</v>
      </c>
      <c r="I2059" s="7">
        <v>1205700</v>
      </c>
      <c r="J2059" s="8">
        <v>3.5700000000000003E-2</v>
      </c>
    </row>
    <row r="2060" spans="1:10" x14ac:dyDescent="0.25">
      <c r="A2060" s="5" t="s">
        <v>494</v>
      </c>
      <c r="B2060" s="5" t="s">
        <v>3927</v>
      </c>
      <c r="C2060" s="6" t="str">
        <f>_xll.QS.CONTEXT.CREATE("market.2058",A2060,"USD","SOFR")</f>
        <v>QSObject:PricingContext:w1~market.2058:14485</v>
      </c>
      <c r="D2060" s="6" t="str">
        <f>_xll.QS.CONTEXT.ADD.CURVE(C2060,"SOFR",$K$2:$K$7,$L$2:$L$7,,,"Actual360","LogLinear",TRUE)</f>
        <v>QSObject:ContextInput:w1~input.qs_context_add_curve.2359132437744.2059.3.0:17159</v>
      </c>
      <c r="E2060" s="6" t="str">
        <f>_xll.QS.INSTRUMENT.SWAP("swap.2058",H2060,B2060,"USD","SOFR",I2060,J2060,0,"Actual360","Simple","Annual","Annual","Annual")</f>
        <v>QSObject:Swap:w1~swap.2058:6497</v>
      </c>
      <c r="F2060" s="6" t="str">
        <f>_xll.QS.TRADE.CREATE("trade.2058",E2060,A2060,"Receive")</f>
        <v>QSObject:SwapTrade:w1~trade.2058:18138</v>
      </c>
      <c r="G2060" s="3">
        <f>_xll.QS.EVALUATE(C2060,F2060)</f>
        <v>20991.311923597081</v>
      </c>
      <c r="H2060" s="5" t="s">
        <v>508</v>
      </c>
      <c r="I2060" s="7">
        <v>1205800</v>
      </c>
      <c r="J2060" s="8">
        <v>3.5800000000000012E-2</v>
      </c>
    </row>
    <row r="2061" spans="1:10" x14ac:dyDescent="0.25">
      <c r="A2061" s="5" t="s">
        <v>496</v>
      </c>
      <c r="B2061" s="5" t="s">
        <v>3928</v>
      </c>
      <c r="C2061" s="6" t="str">
        <f>_xll.QS.CONTEXT.CREATE("market.2059",A2061,"USD","SOFR")</f>
        <v>QSObject:PricingContext:w1~market.2059:9695</v>
      </c>
      <c r="D2061" s="6" t="str">
        <f>_xll.QS.CONTEXT.ADD.CURVE(C2061,"SOFR",$K$2:$K$7,$L$2:$L$7,,,"Actual360","LogLinear",TRUE)</f>
        <v>QSObject:ContextInput:w1~input.qs_context_add_curve.2359132437744.2060.3.0:38181</v>
      </c>
      <c r="E2061" s="6" t="str">
        <f>_xll.QS.INSTRUMENT.SWAP("swap.2059",H2061,B2061,"USD","SOFR",I2061,J2061,0,"Actual360","Simple","Annual","Annual","Annual")</f>
        <v>QSObject:Swap:w1~swap.2059:11333</v>
      </c>
      <c r="F2061" s="6" t="str">
        <f>_xll.QS.TRADE.CREATE("trade.2059",E2061,A2061,"Receive")</f>
        <v>QSObject:SwapTrade:w1~trade.2059:29934</v>
      </c>
      <c r="G2061" s="3">
        <f>_xll.QS.EVALUATE(C2061,F2061)</f>
        <v>21637.399868493529</v>
      </c>
      <c r="H2061" s="5" t="s">
        <v>510</v>
      </c>
      <c r="I2061" s="7">
        <v>1205900</v>
      </c>
      <c r="J2061" s="8">
        <v>3.5900000000000001E-2</v>
      </c>
    </row>
    <row r="2062" spans="1:10" x14ac:dyDescent="0.25">
      <c r="A2062" s="5" t="s">
        <v>498</v>
      </c>
      <c r="B2062" s="5" t="s">
        <v>3929</v>
      </c>
      <c r="C2062" s="6" t="str">
        <f>_xll.QS.CONTEXT.CREATE("market.2060",A2062,"USD","SOFR")</f>
        <v>QSObject:PricingContext:w1~market.2060:16167</v>
      </c>
      <c r="D2062" s="6" t="str">
        <f>_xll.QS.CONTEXT.ADD.CURVE(C2062,"SOFR",$K$2:$K$7,$L$2:$L$7,,,"Actual360","LogLinear",TRUE)</f>
        <v>QSObject:ContextInput:w1~input.qs_context_add_curve.2359132437744.2061.3.0:38180</v>
      </c>
      <c r="E2062" s="6" t="str">
        <f>_xll.QS.INSTRUMENT.SWAP("swap.2060",H2062,B2062,"USD","SOFR",I2062,J2062,0,"Actual360","Simple","Annual","Annual","Annual")</f>
        <v>QSObject:Swap:w1~swap.2060:8096</v>
      </c>
      <c r="F2062" s="6" t="str">
        <f>_xll.QS.TRADE.CREATE("trade.2060",E2062,A2062,"Receive")</f>
        <v>QSObject:SwapTrade:w1~trade.2060:12843</v>
      </c>
      <c r="G2062" s="3">
        <f>_xll.QS.EVALUATE(C2062,F2062)</f>
        <v>22195.609292139517</v>
      </c>
      <c r="H2062" s="5" t="s">
        <v>512</v>
      </c>
      <c r="I2062" s="7">
        <v>1206000</v>
      </c>
      <c r="J2062" s="8">
        <v>3.5999999999999997E-2</v>
      </c>
    </row>
    <row r="2063" spans="1:10" x14ac:dyDescent="0.25">
      <c r="A2063" s="5" t="s">
        <v>500</v>
      </c>
      <c r="B2063" s="5" t="s">
        <v>3930</v>
      </c>
      <c r="C2063" s="6" t="str">
        <f>_xll.QS.CONTEXT.CREATE("market.2061",A2063,"USD","SOFR")</f>
        <v>QSObject:PricingContext:w1~market.2061:6496</v>
      </c>
      <c r="D2063" s="6" t="str">
        <f>_xll.QS.CONTEXT.ADD.CURVE(C2063,"SOFR",$K$2:$K$7,$L$2:$L$7,,,"Actual360","LogLinear",TRUE)</f>
        <v>QSObject:ContextInput:w1~input.qs_context_add_curve.2359132437744.2062.3.0:14484</v>
      </c>
      <c r="E2063" s="6" t="str">
        <f>_xll.QS.INSTRUMENT.SWAP("swap.2061",H2063,B2063,"USD","SOFR",I2063,J2063,0,"Actual360","Simple","Annual","Annual","Annual")</f>
        <v>QSObject:Swap:w1~swap.2061:17158</v>
      </c>
      <c r="F2063" s="6" t="str">
        <f>_xll.QS.TRADE.CREATE("trade.2061",E2063,A2063,"Receive")</f>
        <v>QSObject:SwapTrade:w1~trade.2061:29933</v>
      </c>
      <c r="G2063" s="3">
        <f>_xll.QS.EVALUATE(C2063,F2063)</f>
        <v>22760.806132886217</v>
      </c>
      <c r="H2063" s="5" t="s">
        <v>514</v>
      </c>
      <c r="I2063" s="7">
        <v>1206100</v>
      </c>
      <c r="J2063" s="8">
        <v>3.61E-2</v>
      </c>
    </row>
    <row r="2064" spans="1:10" x14ac:dyDescent="0.25">
      <c r="A2064" s="5" t="s">
        <v>502</v>
      </c>
      <c r="B2064" s="5" t="s">
        <v>3931</v>
      </c>
      <c r="C2064" s="6" t="str">
        <f>_xll.QS.CONTEXT.CREATE("market.2062",A2064,"USD","SOFR")</f>
        <v>QSObject:PricingContext:w1~market.2062:3345</v>
      </c>
      <c r="D2064" s="6" t="str">
        <f>_xll.QS.CONTEXT.ADD.CURVE(C2064,"SOFR",$K$2:$K$7,$L$2:$L$7,,,"Actual360","LogLinear",TRUE)</f>
        <v>QSObject:ContextInput:w1~input.qs_context_add_curve.2359132437744.2063.3.0:11332</v>
      </c>
      <c r="E2064" s="6" t="str">
        <f>_xll.QS.INSTRUMENT.SWAP("swap.2062",H2064,B2064,"USD","SOFR",I2064,J2064,0,"Actual360","Simple","Annual","Annual","Annual")</f>
        <v>QSObject:Swap:w1~swap.2062:18137</v>
      </c>
      <c r="F2064" s="6" t="str">
        <f>_xll.QS.TRADE.CREATE("trade.2062",E2064,A2064,"Receive")</f>
        <v>QSObject:SwapTrade:w1~trade.2062:29932</v>
      </c>
      <c r="G2064" s="3">
        <f>_xll.QS.EVALUATE(C2064,F2064)</f>
        <v>23319.505518503189</v>
      </c>
      <c r="H2064" s="5" t="s">
        <v>516</v>
      </c>
      <c r="I2064" s="7">
        <v>1206200</v>
      </c>
      <c r="J2064" s="8">
        <v>3.6200000000000003E-2</v>
      </c>
    </row>
    <row r="2065" spans="1:10" x14ac:dyDescent="0.25">
      <c r="A2065" s="5" t="s">
        <v>504</v>
      </c>
      <c r="B2065" s="5" t="s">
        <v>3932</v>
      </c>
      <c r="C2065" s="6" t="str">
        <f>_xll.QS.CONTEXT.CREATE("market.2063",A2065,"USD","SOFR")</f>
        <v>QSObject:PricingContext:w1~market.2063:8095</v>
      </c>
      <c r="D2065" s="6" t="str">
        <f>_xll.QS.CONTEXT.ADD.CURVE(C2065,"SOFR",$K$2:$K$7,$L$2:$L$7,,,"Actual360","LogLinear",TRUE)</f>
        <v>QSObject:ContextInput:w1~input.qs_context_add_curve.2359132437744.2064.3.0:38179</v>
      </c>
      <c r="E2065" s="6" t="str">
        <f>_xll.QS.INSTRUMENT.SWAP("swap.2063",H2065,B2065,"USD","SOFR",I2065,J2065,0,"Actual360","Simple","Annual","Annual","Annual")</f>
        <v>QSObject:Swap:w1~swap.2063:9694</v>
      </c>
      <c r="F2065" s="6" t="str">
        <f>_xll.QS.TRADE.CREATE("trade.2063",E2065,A2065,"Receive")</f>
        <v>QSObject:SwapTrade:w1~trade.2063:29931</v>
      </c>
      <c r="G2065" s="3">
        <f>_xll.QS.EVALUATE(C2065,F2065)</f>
        <v>23681.337889568844</v>
      </c>
      <c r="H2065" s="5" t="s">
        <v>518</v>
      </c>
      <c r="I2065" s="7">
        <v>1206300</v>
      </c>
      <c r="J2065" s="8">
        <v>3.6300000000000013E-2</v>
      </c>
    </row>
    <row r="2066" spans="1:10" x14ac:dyDescent="0.25">
      <c r="A2066" s="5" t="s">
        <v>506</v>
      </c>
      <c r="B2066" s="5" t="s">
        <v>3933</v>
      </c>
      <c r="C2066" s="6" t="str">
        <f>_xll.QS.CONTEXT.CREATE("market.2064",A2066,"USD","SOFR")</f>
        <v>QSObject:PricingContext:w1~market.2064:1814</v>
      </c>
      <c r="D2066" s="6" t="str">
        <f>_xll.QS.CONTEXT.ADD.CURVE(C2066,"SOFR",$K$2:$K$7,$L$2:$L$7,,,"Actual360","LogLinear",TRUE)</f>
        <v>QSObject:ContextInput:w1~input.qs_context_add_curve.2359132437744.2065.3.0:12842</v>
      </c>
      <c r="E2066" s="6" t="str">
        <f>_xll.QS.INSTRUMENT.SWAP("swap.2064",H2066,B2066,"USD","SOFR",I2066,J2066,0,"Actual360","Simple","Annual","Annual","Annual")</f>
        <v>QSObject:Swap:w1~swap.2064:17157</v>
      </c>
      <c r="F2066" s="6" t="str">
        <f>_xll.QS.TRADE.CREATE("trade.2064",E2066,A2066,"Receive")</f>
        <v>QSObject:SwapTrade:w1~trade.2064:18136</v>
      </c>
      <c r="G2066" s="3">
        <f>_xll.QS.EVALUATE(C2066,F2066)</f>
        <v>24241.5601309513</v>
      </c>
      <c r="H2066" s="5" t="s">
        <v>520</v>
      </c>
      <c r="I2066" s="7">
        <v>1206400</v>
      </c>
      <c r="J2066" s="8">
        <v>3.6400000000000002E-2</v>
      </c>
    </row>
    <row r="2067" spans="1:10" x14ac:dyDescent="0.25">
      <c r="A2067" s="5" t="s">
        <v>508</v>
      </c>
      <c r="B2067" s="5" t="s">
        <v>3934</v>
      </c>
      <c r="C2067" s="6" t="str">
        <f>_xll.QS.CONTEXT.CREATE("market.2065",A2067,"USD","SOFR")</f>
        <v>QSObject:PricingContext:w1~market.2065:16166</v>
      </c>
      <c r="D2067" s="6" t="str">
        <f>_xll.QS.CONTEXT.ADD.CURVE(C2067,"SOFR",$K$2:$K$7,$L$2:$L$7,,,"Actual360","LogLinear",TRUE)</f>
        <v>QSObject:ContextInput:w1~input.qs_context_add_curve.2359132437744.2066.3.0:38178</v>
      </c>
      <c r="E2067" s="6" t="str">
        <f>_xll.QS.INSTRUMENT.SWAP("swap.2065",H2067,B2067,"USD","SOFR",I2067,J2067,0,"Actual360","Simple","Annual","Annual","Annual")</f>
        <v>QSObject:Swap:w1~swap.2065:14483</v>
      </c>
      <c r="F2067" s="6" t="str">
        <f>_xll.QS.TRADE.CREATE("trade.2065",E2067,A2067,"Receive")</f>
        <v>QSObject:SwapTrade:w1~trade.2065:29930</v>
      </c>
      <c r="G2067" s="3">
        <f>_xll.QS.EVALUATE(C2067,F2067)</f>
        <v>24849.572075758377</v>
      </c>
      <c r="H2067" s="5" t="s">
        <v>522</v>
      </c>
      <c r="I2067" s="7">
        <v>1206500</v>
      </c>
      <c r="J2067" s="8">
        <v>3.6499999999999998E-2</v>
      </c>
    </row>
    <row r="2068" spans="1:10" x14ac:dyDescent="0.25">
      <c r="A2068" s="5" t="s">
        <v>510</v>
      </c>
      <c r="B2068" s="5" t="s">
        <v>3935</v>
      </c>
      <c r="C2068" s="6" t="str">
        <f>_xll.QS.CONTEXT.CREATE("market.2066",A2068,"USD","SOFR")</f>
        <v>QSObject:PricingContext:w1~market.2066:6495</v>
      </c>
      <c r="D2068" s="6" t="str">
        <f>_xll.QS.CONTEXT.ADD.CURVE(C2068,"SOFR",$K$2:$K$7,$L$2:$L$7,,,"Actual360","LogLinear",TRUE)</f>
        <v>QSObject:ContextInput:w1~input.qs_context_add_curve.2359132437744.2067.3.0:8094</v>
      </c>
      <c r="E2068" s="6" t="str">
        <f>_xll.QS.INSTRUMENT.SWAP("swap.2066",H2068,B2068,"USD","SOFR",I2068,J2068,0,"Actual360","Simple","Annual","Annual","Annual")</f>
        <v>QSObject:Swap:w1~swap.2066:4908</v>
      </c>
      <c r="F2068" s="6" t="str">
        <f>_xll.QS.TRADE.CREATE("trade.2066",E2068,A2068,"Receive")</f>
        <v>QSObject:SwapTrade:w1~trade.2066:17156</v>
      </c>
      <c r="G2068" s="3">
        <f>_xll.QS.EVALUATE(C2068,F2068)</f>
        <v>25591.053040784791</v>
      </c>
      <c r="H2068" s="5" t="s">
        <v>524</v>
      </c>
      <c r="I2068" s="7">
        <v>1206600</v>
      </c>
      <c r="J2068" s="8">
        <v>3.6600000000000001E-2</v>
      </c>
    </row>
    <row r="2069" spans="1:10" x14ac:dyDescent="0.25">
      <c r="A2069" s="5" t="s">
        <v>512</v>
      </c>
      <c r="B2069" s="5" t="s">
        <v>3936</v>
      </c>
      <c r="C2069" s="6" t="str">
        <f>_xll.QS.CONTEXT.CREATE("market.2067",A2069,"USD","SOFR")</f>
        <v>QSObject:PricingContext:w1~market.2067:12841</v>
      </c>
      <c r="D2069" s="6" t="str">
        <f>_xll.QS.CONTEXT.ADD.CURVE(C2069,"SOFR",$K$2:$K$7,$L$2:$L$7,,,"Actual360","LogLinear",TRUE)</f>
        <v>QSObject:ContextInput:w1~input.qs_context_add_curve.2359132437744.2068.3.0:38177</v>
      </c>
      <c r="E2069" s="6" t="str">
        <f>_xll.QS.INSTRUMENT.SWAP("swap.2067",H2069,B2069,"USD","SOFR",I2069,J2069,0,"Actual360","Simple","Annual","Annual","Annual")</f>
        <v>QSObject:Swap:w1~swap.2067:1813</v>
      </c>
      <c r="F2069" s="6" t="str">
        <f>_xll.QS.TRADE.CREATE("trade.2067",E2069,A2069,"Receive")</f>
        <v>QSObject:SwapTrade:w1~trade.2067:14482</v>
      </c>
      <c r="G2069" s="3">
        <f>_xll.QS.EVALUATE(C2069,F2069)</f>
        <v>26149.997980127904</v>
      </c>
      <c r="H2069" s="5" t="s">
        <v>526</v>
      </c>
      <c r="I2069" s="7">
        <v>1206700</v>
      </c>
      <c r="J2069" s="8">
        <v>3.6700000000000003E-2</v>
      </c>
    </row>
    <row r="2070" spans="1:10" x14ac:dyDescent="0.25">
      <c r="A2070" s="5" t="s">
        <v>514</v>
      </c>
      <c r="B2070" s="5" t="s">
        <v>3937</v>
      </c>
      <c r="C2070" s="6" t="str">
        <f>_xll.QS.CONTEXT.CREATE("market.2068",A2070,"USD","SOFR")</f>
        <v>QSObject:PricingContext:w1~market.2068:11331</v>
      </c>
      <c r="D2070" s="6" t="str">
        <f>_xll.QS.CONTEXT.ADD.CURVE(C2070,"SOFR",$K$2:$K$7,$L$2:$L$7,,,"Actual360","LogLinear",TRUE)</f>
        <v>QSObject:ContextInput:w1~input.qs_context_add_curve.2359132437744.2069.3.0:16165</v>
      </c>
      <c r="E2070" s="6" t="str">
        <f>_xll.QS.INSTRUMENT.SWAP("swap.2068",H2070,B2070,"USD","SOFR",I2070,J2070,0,"Actual360","Simple","Annual","Annual","Annual")</f>
        <v>QSObject:Swap:w1~swap.2068:18135</v>
      </c>
      <c r="F2070" s="6" t="str">
        <f>_xll.QS.TRADE.CREATE("trade.2068",E2070,A2070,"Receive")</f>
        <v>QSObject:SwapTrade:w1~trade.2068:29929</v>
      </c>
      <c r="G2070" s="3">
        <f>_xll.QS.EVALUATE(C2070,F2070)</f>
        <v>26719.651462092355</v>
      </c>
      <c r="H2070" s="5" t="s">
        <v>528</v>
      </c>
      <c r="I2070" s="7">
        <v>1206800</v>
      </c>
      <c r="J2070" s="8">
        <v>3.6800000000000013E-2</v>
      </c>
    </row>
    <row r="2071" spans="1:10" x14ac:dyDescent="0.25">
      <c r="A2071" s="5" t="s">
        <v>516</v>
      </c>
      <c r="B2071" s="5" t="s">
        <v>3938</v>
      </c>
      <c r="C2071" s="6" t="str">
        <f>_xll.QS.CONTEXT.CREATE("market.2069",A2071,"USD","SOFR")</f>
        <v>QSObject:PricingContext:w1~market.2069:17155</v>
      </c>
      <c r="D2071" s="6" t="str">
        <f>_xll.QS.CONTEXT.ADD.CURVE(C2071,"SOFR",$K$2:$K$7,$L$2:$L$7,,,"Actual360","LogLinear",TRUE)</f>
        <v>QSObject:ContextInput:w1~input.qs_context_add_curve.2359132437744.2070.3.0:38176</v>
      </c>
      <c r="E2071" s="6" t="str">
        <f>_xll.QS.INSTRUMENT.SWAP("swap.2069",H2071,B2071,"USD","SOFR",I2071,J2071,0,"Actual360","Simple","Annual","Annual","Annual")</f>
        <v>QSObject:Swap:w1~swap.2069:6494</v>
      </c>
      <c r="F2071" s="6" t="str">
        <f>_xll.QS.TRADE.CREATE("trade.2069",E2071,A2071,"Receive")</f>
        <v>QSObject:SwapTrade:w1~trade.2069:8093</v>
      </c>
      <c r="G2071" s="3">
        <f>_xll.QS.EVALUATE(C2071,F2071)</f>
        <v>27279.264591139865</v>
      </c>
      <c r="H2071" s="5" t="s">
        <v>530</v>
      </c>
      <c r="I2071" s="7">
        <v>1206900</v>
      </c>
      <c r="J2071" s="8">
        <v>3.6900000000000002E-2</v>
      </c>
    </row>
    <row r="2072" spans="1:10" x14ac:dyDescent="0.25">
      <c r="A2072" s="5" t="s">
        <v>518</v>
      </c>
      <c r="B2072" s="5" t="s">
        <v>3939</v>
      </c>
      <c r="C2072" s="6" t="str">
        <f>_xll.QS.CONTEXT.CREATE("market.2070",A2072,"USD","SOFR")</f>
        <v>QSObject:PricingContext:w1~market.2070:14481</v>
      </c>
      <c r="D2072" s="6" t="str">
        <f>_xll.QS.CONTEXT.ADD.CURVE(C2072,"SOFR",$K$2:$K$7,$L$2:$L$7,,,"Actual360","LogLinear",TRUE)</f>
        <v>QSObject:ContextInput:w1~input.qs_context_add_curve.2359132437744.2071.3.0:38175</v>
      </c>
      <c r="E2072" s="6" t="str">
        <f>_xll.QS.INSTRUMENT.SWAP("swap.2070",H2072,B2072,"USD","SOFR",I2072,J2072,0,"Actual360","Simple","Annual","Annual","Annual")</f>
        <v>QSObject:Swap:w1~swap.2070:12840</v>
      </c>
      <c r="F2072" s="6" t="str">
        <f>_xll.QS.TRADE.CREATE("trade.2070",E2072,A2072,"Receive")</f>
        <v>QSObject:SwapTrade:w1~trade.2070:16164</v>
      </c>
      <c r="G2072" s="3">
        <f>_xll.QS.EVALUATE(C2072,F2072)</f>
        <v>27690.346617075513</v>
      </c>
      <c r="H2072" s="5" t="s">
        <v>532</v>
      </c>
      <c r="I2072" s="7">
        <v>1207000</v>
      </c>
      <c r="J2072" s="8">
        <v>3.7000000000000012E-2</v>
      </c>
    </row>
    <row r="2073" spans="1:10" x14ac:dyDescent="0.25">
      <c r="A2073" s="5" t="s">
        <v>520</v>
      </c>
      <c r="B2073" s="5" t="s">
        <v>3940</v>
      </c>
      <c r="C2073" s="6" t="str">
        <f>_xll.QS.CONTEXT.CREATE("market.2071",A2073,"USD","SOFR")</f>
        <v>QSObject:PricingContext:w1~market.2071:18134</v>
      </c>
      <c r="D2073" s="6" t="str">
        <f>_xll.QS.CONTEXT.ADD.CURVE(C2073,"SOFR",$K$2:$K$7,$L$2:$L$7,,,"Actual360","LogLinear",TRUE)</f>
        <v>QSObject:ContextInput:w1~input.qs_context_add_curve.2359132437744.2072.3.0:38174</v>
      </c>
      <c r="E2073" s="6" t="str">
        <f>_xll.QS.INSTRUMENT.SWAP("swap.2071",H2073,B2073,"USD","SOFR",I2073,J2073,0,"Actual360","Simple","Annual","Annual","Annual")</f>
        <v>QSObject:Swap:w1~swap.2071:9693</v>
      </c>
      <c r="F2073" s="6" t="str">
        <f>_xll.QS.TRADE.CREATE("trade.2071",E2073,A2073,"Receive")</f>
        <v>QSObject:SwapTrade:w1~trade.2071:17154</v>
      </c>
      <c r="G2073" s="3">
        <f>_xll.QS.EVALUATE(C2073,F2073)</f>
        <v>28251.780305575528</v>
      </c>
      <c r="H2073" s="5" t="s">
        <v>534</v>
      </c>
      <c r="I2073" s="7">
        <v>1207100</v>
      </c>
      <c r="J2073" s="8">
        <v>3.7100000000000001E-2</v>
      </c>
    </row>
    <row r="2074" spans="1:10" x14ac:dyDescent="0.25">
      <c r="A2074" s="5" t="s">
        <v>522</v>
      </c>
      <c r="B2074" s="5" t="s">
        <v>3941</v>
      </c>
      <c r="C2074" s="6" t="str">
        <f>_xll.QS.CONTEXT.CREATE("market.2072",A2074,"USD","SOFR")</f>
        <v>QSObject:PricingContext:w1~market.2072:6493</v>
      </c>
      <c r="D2074" s="6" t="str">
        <f>_xll.QS.CONTEXT.ADD.CURVE(C2074,"SOFR",$K$2:$K$7,$L$2:$L$7,,,"Actual360","LogLinear",TRUE)</f>
        <v>QSObject:ContextInput:w1~input.qs_context_add_curve.2359132437744.2073.3.0:29928</v>
      </c>
      <c r="E2074" s="6" t="str">
        <f>_xll.QS.INSTRUMENT.SWAP("swap.2072",H2074,B2074,"USD","SOFR",I2074,J2074,0,"Actual360","Simple","Annual","Annual","Annual")</f>
        <v>QSObject:Swap:w1~swap.2072:11330</v>
      </c>
      <c r="F2074" s="6" t="str">
        <f>_xll.QS.TRADE.CREATE("trade.2072",E2074,A2074,"Receive")</f>
        <v>QSObject:SwapTrade:w1~trade.2072:29927</v>
      </c>
      <c r="G2074" s="3">
        <f>_xll.QS.EVALUATE(C2074,F2074)</f>
        <v>28813.154968210722</v>
      </c>
      <c r="H2074" s="5" t="s">
        <v>536</v>
      </c>
      <c r="I2074" s="7">
        <v>1207200</v>
      </c>
      <c r="J2074" s="8">
        <v>3.7199999999999997E-2</v>
      </c>
    </row>
    <row r="2075" spans="1:10" x14ac:dyDescent="0.25">
      <c r="A2075" s="5" t="s">
        <v>524</v>
      </c>
      <c r="B2075" s="5" t="s">
        <v>3942</v>
      </c>
      <c r="C2075" s="6" t="str">
        <f>_xll.QS.CONTEXT.CREATE("market.2073",A2075,"USD","SOFR")</f>
        <v>QSObject:PricingContext:w1~market.2073:16163</v>
      </c>
      <c r="D2075" s="6" t="str">
        <f>_xll.QS.CONTEXT.ADD.CURVE(C2075,"SOFR",$K$2:$K$7,$L$2:$L$7,,,"Actual360","LogLinear",TRUE)</f>
        <v>QSObject:ContextInput:w1~input.qs_context_add_curve.2359132437744.2074.3.0:38173</v>
      </c>
      <c r="E2075" s="6" t="str">
        <f>_xll.QS.INSTRUMENT.SWAP("swap.2073",H2075,B2075,"USD","SOFR",I2075,J2075,0,"Actual360","Simple","Annual","Annual","Annual")</f>
        <v>QSObject:Swap:w1~swap.2073:1812</v>
      </c>
      <c r="F2075" s="6" t="str">
        <f>_xll.QS.TRADE.CREATE("trade.2073",E2075,A2075,"Receive")</f>
        <v>QSObject:SwapTrade:w1~trade.2073:3344</v>
      </c>
      <c r="G2075" s="3">
        <f>_xll.QS.EVALUATE(C2075,F2075)</f>
        <v>29460.712579808816</v>
      </c>
      <c r="H2075" s="5" t="s">
        <v>538</v>
      </c>
      <c r="I2075" s="7">
        <v>1207300</v>
      </c>
      <c r="J2075" s="8">
        <v>3.73E-2</v>
      </c>
    </row>
    <row r="2076" spans="1:10" x14ac:dyDescent="0.25">
      <c r="A2076" s="5" t="s">
        <v>526</v>
      </c>
      <c r="B2076" s="5" t="s">
        <v>3943</v>
      </c>
      <c r="C2076" s="6" t="str">
        <f>_xll.QS.CONTEXT.CREATE("market.2074",A2076,"USD","SOFR")</f>
        <v>QSObject:PricingContext:w1~market.2074:18133</v>
      </c>
      <c r="D2076" s="6" t="str">
        <f>_xll.QS.CONTEXT.ADD.CURVE(C2076,"SOFR",$K$2:$K$7,$L$2:$L$7,,,"Actual360","LogLinear",TRUE)</f>
        <v>QSObject:ContextInput:w1~input.qs_context_add_curve.2359132437744.2075.3.0:38172</v>
      </c>
      <c r="E2076" s="6" t="str">
        <f>_xll.QS.INSTRUMENT.SWAP("swap.2074",H2076,B2076,"USD","SOFR",I2076,J2076,0,"Actual360","Simple","Annual","Annual","Annual")</f>
        <v>QSObject:Swap:w1~swap.2074:12839</v>
      </c>
      <c r="F2076" s="6" t="str">
        <f>_xll.QS.TRADE.CREATE("trade.2074",E2076,A2076,"Receive")</f>
        <v>QSObject:SwapTrade:w1~trade.2074:29926</v>
      </c>
      <c r="G2076" s="3">
        <f>_xll.QS.EVALUATE(C2076,F2076)</f>
        <v>30019.977069080502</v>
      </c>
      <c r="H2076" s="5" t="s">
        <v>540</v>
      </c>
      <c r="I2076" s="7">
        <v>1207400</v>
      </c>
      <c r="J2076" s="8">
        <v>3.7400000000000003E-2</v>
      </c>
    </row>
    <row r="2077" spans="1:10" x14ac:dyDescent="0.25">
      <c r="A2077" s="5" t="s">
        <v>528</v>
      </c>
      <c r="B2077" s="5" t="s">
        <v>3944</v>
      </c>
      <c r="C2077" s="6" t="str">
        <f>_xll.QS.CONTEXT.CREATE("market.2075",A2077,"USD","SOFR")</f>
        <v>QSObject:PricingContext:w1~market.2075:11329</v>
      </c>
      <c r="D2077" s="6" t="str">
        <f>_xll.QS.CONTEXT.ADD.CURVE(C2077,"SOFR",$K$2:$K$7,$L$2:$L$7,,,"Actual360","LogLinear",TRUE)</f>
        <v>QSObject:ContextInput:w1~input.qs_context_add_curve.2359132437744.2076.3.0:29925</v>
      </c>
      <c r="E2077" s="6" t="str">
        <f>_xll.QS.INSTRUMENT.SWAP("swap.2075",H2077,B2077,"USD","SOFR",I2077,J2077,0,"Actual360","Simple","Annual","Annual","Annual")</f>
        <v>QSObject:Swap:w1~swap.2075:6492</v>
      </c>
      <c r="F2077" s="6" t="str">
        <f>_xll.QS.TRADE.CREATE("trade.2075",E2077,A2077,"Receive")</f>
        <v>QSObject:SwapTrade:w1~trade.2075:16162</v>
      </c>
      <c r="G2077" s="3">
        <f>_xll.QS.EVALUATE(C2077,F2077)</f>
        <v>30586.038620649764</v>
      </c>
      <c r="H2077" s="5" t="s">
        <v>542</v>
      </c>
      <c r="I2077" s="7">
        <v>1207500</v>
      </c>
      <c r="J2077" s="8">
        <v>3.7500000000000012E-2</v>
      </c>
    </row>
    <row r="2078" spans="1:10" x14ac:dyDescent="0.25">
      <c r="A2078" s="5" t="s">
        <v>530</v>
      </c>
      <c r="B2078" s="5" t="s">
        <v>3945</v>
      </c>
      <c r="C2078" s="6" t="str">
        <f>_xll.QS.CONTEXT.CREATE("market.2076",A2078,"USD","SOFR")</f>
        <v>QSObject:PricingContext:w1~market.2076:1811</v>
      </c>
      <c r="D2078" s="6" t="str">
        <f>_xll.QS.CONTEXT.ADD.CURVE(C2078,"SOFR",$K$2:$K$7,$L$2:$L$7,,,"Actual360","LogLinear",TRUE)</f>
        <v>QSObject:ContextInput:w1~input.qs_context_add_curve.2359132437744.2077.3.0:14480</v>
      </c>
      <c r="E2078" s="6" t="str">
        <f>_xll.QS.INSTRUMENT.SWAP("swap.2076",H2078,B2078,"USD","SOFR",I2078,J2078,0,"Actual360","Simple","Annual","Annual","Annual")</f>
        <v>QSObject:Swap:w1~swap.2076:8092</v>
      </c>
      <c r="F2078" s="6" t="str">
        <f>_xll.QS.TRADE.CREATE("trade.2076",E2078,A2078,"Receive")</f>
        <v>QSObject:SwapTrade:w1~trade.2076:29924</v>
      </c>
      <c r="G2078" s="3">
        <f>_xll.QS.EVALUATE(C2078,F2078)</f>
        <v>31146.73493153583</v>
      </c>
      <c r="H2078" s="5" t="s">
        <v>544</v>
      </c>
      <c r="I2078" s="7">
        <v>1207600</v>
      </c>
      <c r="J2078" s="8">
        <v>3.7600000000000001E-2</v>
      </c>
    </row>
    <row r="2079" spans="1:10" x14ac:dyDescent="0.25">
      <c r="A2079" s="5" t="s">
        <v>532</v>
      </c>
      <c r="B2079" s="5" t="s">
        <v>3946</v>
      </c>
      <c r="C2079" s="6" t="str">
        <f>_xll.QS.CONTEXT.CREATE("market.2077",A2079,"USD","SOFR")</f>
        <v>QSObject:PricingContext:w1~market.2077:9692</v>
      </c>
      <c r="D2079" s="6" t="str">
        <f>_xll.QS.CONTEXT.ADD.CURVE(C2079,"SOFR",$K$2:$K$7,$L$2:$L$7,,,"Actual360","LogLinear",TRUE)</f>
        <v>QSObject:ContextInput:w1~input.qs_context_add_curve.2359132437744.2078.3.0:18132</v>
      </c>
      <c r="E2079" s="6" t="str">
        <f>_xll.QS.INSTRUMENT.SWAP("swap.2077",H2079,B2079,"USD","SOFR",I2079,J2079,0,"Actual360","Simple","Annual","Annual","Annual")</f>
        <v>QSObject:Swap:w1~swap.2077:17153</v>
      </c>
      <c r="F2079" s="6" t="str">
        <f>_xll.QS.TRADE.CREATE("trade.2077",E2079,A2079,"Receive")</f>
        <v>QSObject:SwapTrade:w1~trade.2077:29923</v>
      </c>
      <c r="G2079" s="3">
        <f>_xll.QS.EVALUATE(C2079,F2079)</f>
        <v>31557.58645773201</v>
      </c>
      <c r="H2079" s="5" t="s">
        <v>546</v>
      </c>
      <c r="I2079" s="7">
        <v>1207700</v>
      </c>
      <c r="J2079" s="8">
        <v>3.7699999999999997E-2</v>
      </c>
    </row>
    <row r="2080" spans="1:10" x14ac:dyDescent="0.25">
      <c r="A2080" s="5" t="s">
        <v>534</v>
      </c>
      <c r="B2080" s="5" t="s">
        <v>3947</v>
      </c>
      <c r="C2080" s="6" t="str">
        <f>_xll.QS.CONTEXT.CREATE("market.2078",A2080,"USD","SOFR")</f>
        <v>QSObject:PricingContext:w1~market.2078:6491</v>
      </c>
      <c r="D2080" s="6" t="str">
        <f>_xll.QS.CONTEXT.ADD.CURVE(C2080,"SOFR",$K$2:$K$7,$L$2:$L$7,,,"Actual360","LogLinear",TRUE)</f>
        <v>QSObject:ContextInput:w1~input.qs_context_add_curve.2359132437744.2079.3.0:29922</v>
      </c>
      <c r="E2080" s="6" t="str">
        <f>_xll.QS.INSTRUMENT.SWAP("swap.2078",H2080,B2080,"USD","SOFR",I2080,J2080,0,"Actual360","Simple","Annual","Annual","Annual")</f>
        <v>QSObject:Swap:w1~swap.2078:11328</v>
      </c>
      <c r="F2080" s="6" t="str">
        <f>_xll.QS.TRADE.CREATE("trade.2078",E2080,A2080,"Receive")</f>
        <v>QSObject:SwapTrade:w1~trade.2078:16161</v>
      </c>
      <c r="G2080" s="3">
        <f>_xll.QS.EVALUATE(C2080,F2080)</f>
        <v>32119.860672251445</v>
      </c>
      <c r="H2080" s="5" t="s">
        <v>548</v>
      </c>
      <c r="I2080" s="7">
        <v>1207800</v>
      </c>
      <c r="J2080" s="8">
        <v>3.78E-2</v>
      </c>
    </row>
    <row r="2081" spans="1:10" x14ac:dyDescent="0.25">
      <c r="A2081" s="5" t="s">
        <v>536</v>
      </c>
      <c r="B2081" s="5" t="s">
        <v>3948</v>
      </c>
      <c r="C2081" s="6" t="str">
        <f>_xll.QS.CONTEXT.CREATE("market.2079",A2081,"USD","SOFR")</f>
        <v>QSObject:PricingContext:w1~market.2079:8091</v>
      </c>
      <c r="D2081" s="6" t="str">
        <f>_xll.QS.CONTEXT.ADD.CURVE(C2081,"SOFR",$K$2:$K$7,$L$2:$L$7,,,"Actual360","LogLinear",TRUE)</f>
        <v>QSObject:ContextInput:w1~input.qs_context_add_curve.2359132437744.2080.3.0:38171</v>
      </c>
      <c r="E2081" s="6" t="str">
        <f>_xll.QS.INSTRUMENT.SWAP("swap.2079",H2081,B2081,"USD","SOFR",I2081,J2081,0,"Actual360","Simple","Annual","Annual","Annual")</f>
        <v>QSObject:Swap:w1~swap.2079:1810</v>
      </c>
      <c r="F2081" s="6" t="str">
        <f>_xll.QS.TRADE.CREATE("trade.2079",E2081,A2081,"Receive")</f>
        <v>QSObject:SwapTrade:w1~trade.2079:18131</v>
      </c>
      <c r="G2081" s="3">
        <f>_xll.QS.EVALUATE(C2081,F2081)</f>
        <v>32730.723845128799</v>
      </c>
      <c r="H2081" s="5" t="s">
        <v>550</v>
      </c>
      <c r="I2081" s="7">
        <v>1207900</v>
      </c>
      <c r="J2081" s="8">
        <v>3.7900000000000003E-2</v>
      </c>
    </row>
    <row r="2082" spans="1:10" x14ac:dyDescent="0.25">
      <c r="A2082" s="5" t="s">
        <v>538</v>
      </c>
      <c r="B2082" s="5" t="s">
        <v>3949</v>
      </c>
      <c r="C2082" s="6" t="str">
        <f>_xll.QS.CONTEXT.CREATE("market.2080",A2082,"USD","SOFR")</f>
        <v>QSObject:PricingContext:w1~market.2080:12838</v>
      </c>
      <c r="D2082" s="6" t="str">
        <f>_xll.QS.CONTEXT.ADD.CURVE(C2082,"SOFR",$K$2:$K$7,$L$2:$L$7,,,"Actual360","LogLinear",TRUE)</f>
        <v>QSObject:ContextInput:w1~input.qs_context_add_curve.2359132437744.2081.3.0:14479</v>
      </c>
      <c r="E2082" s="6" t="str">
        <f>_xll.QS.INSTRUMENT.SWAP("swap.2080",H2082,B2082,"USD","SOFR",I2082,J2082,0,"Actual360","Simple","Annual","Annual","Annual")</f>
        <v>QSObject:Swap:w1~swap.2080:17152</v>
      </c>
      <c r="F2082" s="6" t="str">
        <f>_xll.QS.TRADE.CREATE("trade.2080",E2082,A2082,"Receive")</f>
        <v>QSObject:SwapTrade:w1~trade.2080:29921</v>
      </c>
      <c r="G2082" s="3">
        <f>_xll.QS.EVALUATE(C2082,F2082)</f>
        <v>33379.076483766876</v>
      </c>
      <c r="H2082" s="5" t="s">
        <v>552</v>
      </c>
      <c r="I2082" s="7">
        <v>1208000</v>
      </c>
      <c r="J2082" s="8">
        <v>3.8000000000000013E-2</v>
      </c>
    </row>
    <row r="2083" spans="1:10" x14ac:dyDescent="0.25">
      <c r="A2083" s="5" t="s">
        <v>540</v>
      </c>
      <c r="B2083" s="5" t="s">
        <v>3950</v>
      </c>
      <c r="C2083" s="6" t="str">
        <f>_xll.QS.CONTEXT.CREATE("market.2081",A2083,"USD","SOFR")</f>
        <v>QSObject:PricingContext:w1~market.2081:8090</v>
      </c>
      <c r="D2083" s="6" t="str">
        <f>_xll.QS.CONTEXT.ADD.CURVE(C2083,"SOFR",$K$2:$K$7,$L$2:$L$7,,,"Actual360","LogLinear",TRUE)</f>
        <v>QSObject:ContextInput:w1~input.qs_context_add_curve.2359132437744.2082.3.0:9691</v>
      </c>
      <c r="E2083" s="6" t="str">
        <f>_xll.QS.INSTRUMENT.SWAP("swap.2081",H2083,B2083,"USD","SOFR",I2083,J2083,0,"Actual360","Simple","Annual","Annual","Annual")</f>
        <v>QSObject:Swap:w1~swap.2081:4907</v>
      </c>
      <c r="F2083" s="6" t="str">
        <f>_xll.QS.TRADE.CREATE("trade.2081",E2083,A2083,"Receive")</f>
        <v>QSObject:SwapTrade:w1~trade.2081:29920</v>
      </c>
      <c r="G2083" s="3">
        <f>_xll.QS.EVALUATE(C2083,F2083)</f>
        <v>33939.028807816641</v>
      </c>
      <c r="H2083" s="5" t="s">
        <v>554</v>
      </c>
      <c r="I2083" s="7">
        <v>1208100</v>
      </c>
      <c r="J2083" s="8">
        <v>3.8100000000000002E-2</v>
      </c>
    </row>
    <row r="2084" spans="1:10" x14ac:dyDescent="0.25">
      <c r="A2084" s="5" t="s">
        <v>542</v>
      </c>
      <c r="B2084" s="5" t="s">
        <v>3951</v>
      </c>
      <c r="C2084" s="6" t="str">
        <f>_xll.QS.CONTEXT.CREATE("market.2082",A2084,"USD","SOFR")</f>
        <v>QSObject:PricingContext:w1~market.2082:18130</v>
      </c>
      <c r="D2084" s="6" t="str">
        <f>_xll.QS.CONTEXT.ADD.CURVE(C2084,"SOFR",$K$2:$K$7,$L$2:$L$7,,,"Actual360","LogLinear",TRUE)</f>
        <v>QSObject:ContextInput:w1~input.qs_context_add_curve.2359132437744.2083.3.0:38170</v>
      </c>
      <c r="E2084" s="6" t="str">
        <f>_xll.QS.INSTRUMENT.SWAP("swap.2082",H2084,B2084,"USD","SOFR",I2084,J2084,0,"Actual360","Simple","Annual","Annual","Annual")</f>
        <v>QSObject:Swap:w1~swap.2082:11327</v>
      </c>
      <c r="F2084" s="6" t="str">
        <f>_xll.QS.TRADE.CREATE("trade.2082",E2084,A2084,"Receive")</f>
        <v>QSObject:SwapTrade:w1~trade.2082:29919</v>
      </c>
      <c r="G2084" s="3">
        <f>_xll.QS.EVALUATE(C2084,F2084)</f>
        <v>34505.750907481</v>
      </c>
      <c r="H2084" s="5" t="s">
        <v>556</v>
      </c>
      <c r="I2084" s="7">
        <v>1208200</v>
      </c>
      <c r="J2084" s="8">
        <v>3.8199999999999998E-2</v>
      </c>
    </row>
    <row r="2085" spans="1:10" x14ac:dyDescent="0.25">
      <c r="A2085" s="5" t="s">
        <v>544</v>
      </c>
      <c r="B2085" s="5" t="s">
        <v>3952</v>
      </c>
      <c r="C2085" s="6" t="str">
        <f>_xll.QS.CONTEXT.CREATE("market.2083",A2085,"USD","SOFR")</f>
        <v>QSObject:PricingContext:w1~market.2083:14478</v>
      </c>
      <c r="D2085" s="6" t="str">
        <f>_xll.QS.CONTEXT.ADD.CURVE(C2085,"SOFR",$K$2:$K$7,$L$2:$L$7,,,"Actual360","LogLinear",TRUE)</f>
        <v>QSObject:ContextInput:w1~input.qs_context_add_curve.2359132437744.2084.3.0:17151</v>
      </c>
      <c r="E2085" s="6" t="str">
        <f>_xll.QS.INSTRUMENT.SWAP("swap.2083",H2085,B2085,"USD","SOFR",I2085,J2085,0,"Actual360","Simple","Annual","Annual","Annual")</f>
        <v>QSObject:Swap:w1~swap.2083:12837</v>
      </c>
      <c r="F2085" s="6" t="str">
        <f>_xll.QS.TRADE.CREATE("trade.2083",E2085,A2085,"Receive")</f>
        <v>QSObject:SwapTrade:w1~trade.2083:29918</v>
      </c>
      <c r="G2085" s="3">
        <f>_xll.QS.EVALUATE(C2085,F2085)</f>
        <v>35067.108576618542</v>
      </c>
      <c r="H2085" s="5" t="s">
        <v>558</v>
      </c>
      <c r="I2085" s="7">
        <v>1208300</v>
      </c>
      <c r="J2085" s="8">
        <v>3.8300000000000001E-2</v>
      </c>
    </row>
    <row r="2086" spans="1:10" x14ac:dyDescent="0.25">
      <c r="A2086" s="5" t="s">
        <v>546</v>
      </c>
      <c r="B2086" s="5" t="s">
        <v>3953</v>
      </c>
      <c r="C2086" s="6" t="str">
        <f>_xll.QS.CONTEXT.CREATE("market.2084",A2086,"USD","SOFR")</f>
        <v>QSObject:PricingContext:w1~market.2084:3343</v>
      </c>
      <c r="D2086" s="6" t="str">
        <f>_xll.QS.CONTEXT.ADD.CURVE(C2086,"SOFR",$K$2:$K$7,$L$2:$L$7,,,"Actual360","LogLinear",TRUE)</f>
        <v>QSObject:ContextInput:w1~input.qs_context_add_curve.2359132437744.2085.3.0:6490</v>
      </c>
      <c r="E2086" s="6" t="str">
        <f>_xll.QS.INSTRUMENT.SWAP("swap.2084",H2086,B2086,"USD","SOFR",I2086,J2086,0,"Actual360","Simple","Annual","Annual","Annual")</f>
        <v>QSObject:Swap:w1~swap.2084:8089</v>
      </c>
      <c r="F2086" s="6" t="str">
        <f>_xll.QS.TRADE.CREATE("trade.2084",E2086,A2086,"Receive")</f>
        <v>QSObject:SwapTrade:w1~trade.2084:16160</v>
      </c>
      <c r="G2086" s="3">
        <f>_xll.QS.EVALUATE(C2086,F2086)</f>
        <v>35477.734736958264</v>
      </c>
      <c r="H2086" s="5" t="s">
        <v>560</v>
      </c>
      <c r="I2086" s="7">
        <v>1208400</v>
      </c>
      <c r="J2086" s="8">
        <v>3.8399999999999997E-2</v>
      </c>
    </row>
    <row r="2087" spans="1:10" x14ac:dyDescent="0.25">
      <c r="A2087" s="5" t="s">
        <v>548</v>
      </c>
      <c r="B2087" s="5" t="s">
        <v>3954</v>
      </c>
      <c r="C2087" s="6" t="str">
        <f>_xll.QS.CONTEXT.CREATE("market.2085",A2087,"USD","SOFR")</f>
        <v>QSObject:PricingContext:w1~market.2085:14477</v>
      </c>
      <c r="D2087" s="6" t="str">
        <f>_xll.QS.CONTEXT.ADD.CURVE(C2087,"SOFR",$K$2:$K$7,$L$2:$L$7,,,"Actual360","LogLinear",TRUE)</f>
        <v>QSObject:ContextInput:w1~input.qs_context_add_curve.2359132437744.2086.3.0:38169</v>
      </c>
      <c r="E2087" s="6" t="str">
        <f>_xll.QS.INSTRUMENT.SWAP("swap.2085",H2087,B2087,"USD","SOFR",I2087,J2087,0,"Actual360","Simple","Annual","Annual","Annual")</f>
        <v>QSObject:Swap:w1~swap.2085:4906</v>
      </c>
      <c r="F2087" s="6" t="str">
        <f>_xll.QS.TRADE.CREATE("trade.2085",E2087,A2087,"Receive")</f>
        <v>QSObject:SwapTrade:w1~trade.2085:12836</v>
      </c>
      <c r="G2087" s="3">
        <f>_xll.QS.EVALUATE(C2087,F2087)</f>
        <v>36040.983473795801</v>
      </c>
      <c r="H2087" s="5" t="s">
        <v>562</v>
      </c>
      <c r="I2087" s="7">
        <v>1208500</v>
      </c>
      <c r="J2087" s="8">
        <v>3.8500000000000013E-2</v>
      </c>
    </row>
    <row r="2088" spans="1:10" x14ac:dyDescent="0.25">
      <c r="A2088" s="5" t="s">
        <v>550</v>
      </c>
      <c r="B2088" s="5" t="s">
        <v>3955</v>
      </c>
      <c r="C2088" s="6" t="str">
        <f>_xll.QS.CONTEXT.CREATE("market.2086",A2088,"USD","SOFR")</f>
        <v>QSObject:PricingContext:w1~market.2086:3342</v>
      </c>
      <c r="D2088" s="6" t="str">
        <f>_xll.QS.CONTEXT.ADD.CURVE(C2088,"SOFR",$K$2:$K$7,$L$2:$L$7,,,"Actual360","LogLinear",TRUE)</f>
        <v>QSObject:ContextInput:w1~input.qs_context_add_curve.2359132437744.2087.3.0:17150</v>
      </c>
      <c r="E2088" s="6" t="str">
        <f>_xll.QS.INSTRUMENT.SWAP("swap.2086",H2088,B2088,"USD","SOFR",I2088,J2088,0,"Actual360","Simple","Annual","Annual","Annual")</f>
        <v>QSObject:Swap:w1~swap.2086:18129</v>
      </c>
      <c r="F2088" s="6" t="str">
        <f>_xll.QS.TRADE.CREATE("trade.2086",E2088,A2088,"Receive")</f>
        <v>QSObject:SwapTrade:w1~trade.2086:29917</v>
      </c>
      <c r="G2088" s="3">
        <f>_xll.QS.EVALUATE(C2088,F2088)</f>
        <v>36652.903840912812</v>
      </c>
      <c r="H2088" s="5" t="s">
        <v>564</v>
      </c>
      <c r="I2088" s="7">
        <v>1208600</v>
      </c>
      <c r="J2088" s="8">
        <v>3.8600000000000002E-2</v>
      </c>
    </row>
    <row r="2089" spans="1:10" x14ac:dyDescent="0.25">
      <c r="A2089" s="5" t="s">
        <v>552</v>
      </c>
      <c r="B2089" s="5" t="s">
        <v>3956</v>
      </c>
      <c r="C2089" s="6" t="str">
        <f>_xll.QS.CONTEXT.CREATE("market.2087",A2089,"USD","SOFR")</f>
        <v>QSObject:PricingContext:w1~market.2087:6489</v>
      </c>
      <c r="D2089" s="6" t="str">
        <f>_xll.QS.CONTEXT.ADD.CURVE(C2089,"SOFR",$K$2:$K$7,$L$2:$L$7,,,"Actual360","LogLinear",TRUE)</f>
        <v>QSObject:ContextInput:w1~input.qs_context_add_curve.2359132437744.2088.3.0:9690</v>
      </c>
      <c r="E2089" s="6" t="str">
        <f>_xll.QS.INSTRUMENT.SWAP("swap.2087",H2089,B2089,"USD","SOFR",I2089,J2089,0,"Actual360","Simple","Annual","Annual","Annual")</f>
        <v>QSObject:Swap:w1~swap.2087:1809</v>
      </c>
      <c r="F2089" s="6" t="str">
        <f>_xll.QS.TRADE.CREATE("trade.2087",E2089,A2089,"Receive")</f>
        <v>QSObject:SwapTrade:w1~trade.2087:16159</v>
      </c>
      <c r="G2089" s="3">
        <f>_xll.QS.EVALUATE(C2089,F2089)</f>
        <v>37302.01151170399</v>
      </c>
      <c r="H2089" s="5" t="s">
        <v>566</v>
      </c>
      <c r="I2089" s="7">
        <v>1208700</v>
      </c>
      <c r="J2089" s="8">
        <v>3.8700000000000012E-2</v>
      </c>
    </row>
    <row r="2090" spans="1:10" x14ac:dyDescent="0.25">
      <c r="A2090" s="5" t="s">
        <v>554</v>
      </c>
      <c r="B2090" s="5" t="s">
        <v>3957</v>
      </c>
      <c r="C2090" s="6" t="str">
        <f>_xll.QS.CONTEXT.CREATE("market.2088",A2090,"USD","SOFR")</f>
        <v>QSObject:PricingContext:w1~market.2088:4905</v>
      </c>
      <c r="D2090" s="6" t="str">
        <f>_xll.QS.CONTEXT.ADD.CURVE(C2090,"SOFR",$K$2:$K$7,$L$2:$L$7,,,"Actual360","LogLinear",TRUE)</f>
        <v>QSObject:ContextInput:w1~input.qs_context_add_curve.2359132437744.2089.3.0:11326</v>
      </c>
      <c r="E2090" s="6" t="str">
        <f>_xll.QS.INSTRUMENT.SWAP("swap.2088",H2090,B2090,"USD","SOFR",I2090,J2090,0,"Actual360","Simple","Annual","Annual","Annual")</f>
        <v>QSObject:Swap:w1~swap.2088:14476</v>
      </c>
      <c r="F2090" s="6" t="str">
        <f>_xll.QS.TRADE.CREATE("trade.2088",E2090,A2090,"Receive")</f>
        <v>QSObject:SwapTrade:w1~trade.2088:17149</v>
      </c>
      <c r="G2090" s="3">
        <f>_xll.QS.EVALUATE(C2090,F2090)</f>
        <v>37862.601949066448</v>
      </c>
      <c r="H2090" s="5" t="s">
        <v>568</v>
      </c>
      <c r="I2090" s="7">
        <v>1208800</v>
      </c>
      <c r="J2090" s="8">
        <v>3.8800000000000001E-2</v>
      </c>
    </row>
    <row r="2091" spans="1:10" x14ac:dyDescent="0.25">
      <c r="A2091" s="5" t="s">
        <v>556</v>
      </c>
      <c r="B2091" s="5" t="s">
        <v>3958</v>
      </c>
      <c r="C2091" s="6" t="str">
        <f>_xll.QS.CONTEXT.CREATE("market.2089",A2091,"USD","SOFR")</f>
        <v>QSObject:PricingContext:w1~market.2089:8088</v>
      </c>
      <c r="D2091" s="6" t="str">
        <f>_xll.QS.CONTEXT.ADD.CURVE(C2091,"SOFR",$K$2:$K$7,$L$2:$L$7,,,"Actual360","LogLinear",TRUE)</f>
        <v>QSObject:ContextInput:w1~input.qs_context_add_curve.2359132437744.2090.3.0:38168</v>
      </c>
      <c r="E2091" s="6" t="str">
        <f>_xll.QS.INSTRUMENT.SWAP("swap.2089",H2091,B2091,"USD","SOFR",I2091,J2091,0,"Actual360","Simple","Annual","Annual","Annual")</f>
        <v>QSObject:Swap:w1~swap.2089:12835</v>
      </c>
      <c r="F2091" s="6" t="str">
        <f>_xll.QS.TRADE.CREATE("trade.2089",E2091,A2091,"Receive")</f>
        <v>QSObject:SwapTrade:w1~trade.2089:29916</v>
      </c>
      <c r="G2091" s="3">
        <f>_xll.QS.EVALUATE(C2091,F2091)</f>
        <v>38429.984609433835</v>
      </c>
      <c r="H2091" s="5" t="s">
        <v>570</v>
      </c>
      <c r="I2091" s="7">
        <v>1208900</v>
      </c>
      <c r="J2091" s="8">
        <v>3.8899999999999997E-2</v>
      </c>
    </row>
    <row r="2092" spans="1:10" x14ac:dyDescent="0.25">
      <c r="A2092" s="5" t="s">
        <v>558</v>
      </c>
      <c r="B2092" s="5" t="s">
        <v>3959</v>
      </c>
      <c r="C2092" s="6" t="str">
        <f>_xll.QS.CONTEXT.CREATE("market.2090",A2092,"USD","SOFR")</f>
        <v>QSObject:PricingContext:w1~market.2090:6488</v>
      </c>
      <c r="D2092" s="6" t="str">
        <f>_xll.QS.CONTEXT.ADD.CURVE(C2092,"SOFR",$K$2:$K$7,$L$2:$L$7,,,"Actual360","LogLinear",TRUE)</f>
        <v>QSObject:ContextInput:w1~input.qs_context_add_curve.2359132437744.2091.3.0:9689</v>
      </c>
      <c r="E2092" s="6" t="str">
        <f>_xll.QS.INSTRUMENT.SWAP("swap.2090",H2092,B2092,"USD","SOFR",I2092,J2092,0,"Actual360","Simple","Annual","Annual","Annual")</f>
        <v>QSObject:Swap:w1~swap.2090:18128</v>
      </c>
      <c r="F2092" s="6" t="str">
        <f>_xll.QS.TRADE.CREATE("trade.2090",E2092,A2092,"Receive")</f>
        <v>QSObject:SwapTrade:w1~trade.2090:29915</v>
      </c>
      <c r="G2092" s="3">
        <f>_xll.QS.EVALUATE(C2092,F2092)</f>
        <v>38992.003654033404</v>
      </c>
      <c r="H2092" s="5" t="s">
        <v>572</v>
      </c>
      <c r="I2092" s="7">
        <v>1209000</v>
      </c>
      <c r="J2092" s="8">
        <v>3.9000000000000007E-2</v>
      </c>
    </row>
    <row r="2093" spans="1:10" x14ac:dyDescent="0.25">
      <c r="A2093" s="5" t="s">
        <v>560</v>
      </c>
      <c r="B2093" s="5" t="s">
        <v>3960</v>
      </c>
      <c r="C2093" s="6" t="str">
        <f>_xll.QS.CONTEXT.CREATE("market.2091",A2093,"USD","SOFR")</f>
        <v>QSObject:PricingContext:w1~market.2091:4904</v>
      </c>
      <c r="D2093" s="6" t="str">
        <f>_xll.QS.CONTEXT.ADD.CURVE(C2093,"SOFR",$K$2:$K$7,$L$2:$L$7,,,"Actual360","LogLinear",TRUE)</f>
        <v>QSObject:ContextInput:w1~input.qs_context_add_curve.2359132437744.2092.3.0:14475</v>
      </c>
      <c r="E2093" s="6" t="str">
        <f>_xll.QS.INSTRUMENT.SWAP("swap.2091",H2093,B2093,"USD","SOFR",I2093,J2093,0,"Actual360","Simple","Annual","Annual","Annual")</f>
        <v>QSObject:Swap:w1~swap.2091:17148</v>
      </c>
      <c r="F2093" s="6" t="str">
        <f>_xll.QS.TRADE.CREATE("trade.2091",E2093,A2093,"Receive")</f>
        <v>QSObject:SwapTrade:w1~trade.2091:29914</v>
      </c>
      <c r="G2093" s="3">
        <f>_xll.QS.EVALUATE(C2093,F2093)</f>
        <v>39556.131922023764</v>
      </c>
      <c r="H2093" s="5" t="s">
        <v>574</v>
      </c>
      <c r="I2093" s="7">
        <v>1209100</v>
      </c>
      <c r="J2093" s="8">
        <v>3.9100000000000003E-2</v>
      </c>
    </row>
    <row r="2094" spans="1:10" x14ac:dyDescent="0.25">
      <c r="A2094" s="5" t="s">
        <v>562</v>
      </c>
      <c r="B2094" s="5" t="s">
        <v>3961</v>
      </c>
      <c r="C2094" s="6" t="str">
        <f>_xll.QS.CONTEXT.CREATE("market.2092",A2094,"USD","SOFR")</f>
        <v>QSObject:PricingContext:w1~market.2092:12834</v>
      </c>
      <c r="D2094" s="6" t="str">
        <f>_xll.QS.CONTEXT.ADD.CURVE(C2094,"SOFR",$K$2:$K$7,$L$2:$L$7,,,"Actual360","LogLinear",TRUE)</f>
        <v>QSObject:ContextInput:w1~input.qs_context_add_curve.2359132437744.2093.3.0:38167</v>
      </c>
      <c r="E2094" s="6" t="str">
        <f>_xll.QS.INSTRUMENT.SWAP("swap.2092",H2094,B2094,"USD","SOFR",I2094,J2094,0,"Actual360","Simple","Annual","Annual","Annual")</f>
        <v>QSObject:Swap:w1~swap.2092:16158</v>
      </c>
      <c r="F2094" s="6" t="str">
        <f>_xll.QS.TRADE.CREATE("trade.2092",E2094,A2094,"Receive")</f>
        <v>QSObject:SwapTrade:w1~trade.2092:29913</v>
      </c>
      <c r="G2094" s="3">
        <f>_xll.QS.EVALUATE(C2094,F2094)</f>
        <v>39966.627177370974</v>
      </c>
      <c r="H2094" s="5" t="s">
        <v>576</v>
      </c>
      <c r="I2094" s="7">
        <v>1209200</v>
      </c>
      <c r="J2094" s="8">
        <v>3.9200000000000013E-2</v>
      </c>
    </row>
    <row r="2095" spans="1:10" x14ac:dyDescent="0.25">
      <c r="A2095" s="5" t="s">
        <v>564</v>
      </c>
      <c r="B2095" s="5" t="s">
        <v>3962</v>
      </c>
      <c r="C2095" s="6" t="str">
        <f>_xll.QS.CONTEXT.CREATE("market.2093",A2095,"USD","SOFR")</f>
        <v>QSObject:PricingContext:w1~market.2093:18127</v>
      </c>
      <c r="D2095" s="6" t="str">
        <f>_xll.QS.CONTEXT.ADD.CURVE(C2095,"SOFR",$K$2:$K$7,$L$2:$L$7,,,"Actual360","LogLinear",TRUE)</f>
        <v>QSObject:ContextInput:w1~input.qs_context_add_curve.2359132437744.2094.3.0:38166</v>
      </c>
      <c r="E2095" s="6" t="str">
        <f>_xll.QS.INSTRUMENT.SWAP("swap.2093",H2095,B2095,"USD","SOFR",I2095,J2095,0,"Actual360","Simple","Annual","Annual","Annual")</f>
        <v>QSObject:Swap:w1~swap.2093:9688</v>
      </c>
      <c r="F2095" s="6" t="str">
        <f>_xll.QS.TRADE.CREATE("trade.2093",E2095,A2095,"Receive")</f>
        <v>QSObject:SwapTrade:w1~trade.2093:17147</v>
      </c>
      <c r="G2095" s="3">
        <f>_xll.QS.EVALUATE(C2095,F2095)</f>
        <v>40579.605181000596</v>
      </c>
      <c r="H2095" s="5" t="s">
        <v>578</v>
      </c>
      <c r="I2095" s="7">
        <v>1209300</v>
      </c>
      <c r="J2095" s="8">
        <v>3.9300000000000002E-2</v>
      </c>
    </row>
    <row r="2096" spans="1:10" x14ac:dyDescent="0.25">
      <c r="A2096" s="5" t="s">
        <v>566</v>
      </c>
      <c r="B2096" s="5" t="s">
        <v>3963</v>
      </c>
      <c r="C2096" s="6" t="str">
        <f>_xll.QS.CONTEXT.CREATE("market.2094",A2096,"USD","SOFR")</f>
        <v>QSObject:PricingContext:w1~market.2094:14474</v>
      </c>
      <c r="D2096" s="6" t="str">
        <f>_xll.QS.CONTEXT.ADD.CURVE(C2096,"SOFR",$K$2:$K$7,$L$2:$L$7,,,"Actual360","LogLinear",TRUE)</f>
        <v>QSObject:ContextInput:w1~input.qs_context_add_curve.2359132437744.2095.3.0:38165</v>
      </c>
      <c r="E2096" s="6" t="str">
        <f>_xll.QS.INSTRUMENT.SWAP("swap.2094",H2096,B2096,"USD","SOFR",I2096,J2096,0,"Actual360","Simple","Annual","Annual","Annual")</f>
        <v>QSObject:Swap:w1~swap.2094:11325</v>
      </c>
      <c r="F2096" s="6" t="str">
        <f>_xll.QS.TRADE.CREATE("trade.2094",E2096,A2096,"Receive")</f>
        <v>QSObject:SwapTrade:w1~trade.2094:29912</v>
      </c>
      <c r="G2096" s="3">
        <f>_xll.QS.EVALUATE(C2096,F2096)</f>
        <v>41229.467951063998</v>
      </c>
      <c r="H2096" s="5" t="s">
        <v>580</v>
      </c>
      <c r="I2096" s="7">
        <v>1209400</v>
      </c>
      <c r="J2096" s="8">
        <v>3.9399999999999998E-2</v>
      </c>
    </row>
    <row r="2097" spans="1:10" x14ac:dyDescent="0.25">
      <c r="A2097" s="5" t="s">
        <v>568</v>
      </c>
      <c r="B2097" s="5" t="s">
        <v>3964</v>
      </c>
      <c r="C2097" s="6" t="str">
        <f>_xll.QS.CONTEXT.CREATE("market.2095",A2097,"USD","SOFR")</f>
        <v>QSObject:PricingContext:w1~market.2095:16157</v>
      </c>
      <c r="D2097" s="6" t="str">
        <f>_xll.QS.CONTEXT.ADD.CURVE(C2097,"SOFR",$K$2:$K$7,$L$2:$L$7,,,"Actual360","LogLinear",TRUE)</f>
        <v>QSObject:ContextInput:w1~input.qs_context_add_curve.2359132437744.2096.3.0:29911</v>
      </c>
      <c r="E2097" s="6" t="str">
        <f>_xll.QS.INSTRUMENT.SWAP("swap.2095",H2097,B2097,"USD","SOFR",I2097,J2097,0,"Actual360","Simple","Annual","Annual","Annual")</f>
        <v>QSObject:Swap:w1~swap.2095:3341</v>
      </c>
      <c r="F2097" s="6" t="str">
        <f>_xll.QS.TRADE.CREATE("trade.2095",E2097,A2097,"Receive")</f>
        <v>QSObject:SwapTrade:w1~trade.2095:18126</v>
      </c>
      <c r="G2097" s="3">
        <f>_xll.QS.EVALUATE(C2097,F2097)</f>
        <v>41790.867742906616</v>
      </c>
      <c r="H2097" s="5" t="s">
        <v>582</v>
      </c>
      <c r="I2097" s="7">
        <v>1209500</v>
      </c>
      <c r="J2097" s="8">
        <v>3.9500000000000007E-2</v>
      </c>
    </row>
    <row r="2098" spans="1:10" x14ac:dyDescent="0.25">
      <c r="A2098" s="5" t="s">
        <v>570</v>
      </c>
      <c r="B2098" s="5" t="s">
        <v>3965</v>
      </c>
      <c r="C2098" s="6" t="str">
        <f>_xll.QS.CONTEXT.CREATE("market.2096",A2098,"USD","SOFR")</f>
        <v>QSObject:PricingContext:w1~market.2096:17146</v>
      </c>
      <c r="D2098" s="6" t="str">
        <f>_xll.QS.CONTEXT.ADD.CURVE(C2098,"SOFR",$K$2:$K$7,$L$2:$L$7,,,"Actual360","LogLinear",TRUE)</f>
        <v>QSObject:ContextInput:w1~input.qs_context_add_curve.2359132437744.2097.3.0:38164</v>
      </c>
      <c r="E2098" s="6" t="str">
        <f>_xll.QS.INSTRUMENT.SWAP("swap.2096",H2098,B2098,"USD","SOFR",I2098,J2098,0,"Actual360","Simple","Annual","Annual","Annual")</f>
        <v>QSObject:Swap:w1~swap.2096:6487</v>
      </c>
      <c r="F2098" s="6" t="str">
        <f>_xll.QS.TRADE.CREATE("trade.2096",E2098,A2098,"Receive")</f>
        <v>QSObject:SwapTrade:w1~trade.2096:14473</v>
      </c>
      <c r="G2098" s="3">
        <f>_xll.QS.EVALUATE(C2098,F2098)</f>
        <v>42358.739726508298</v>
      </c>
      <c r="H2098" s="5" t="s">
        <v>584</v>
      </c>
      <c r="I2098" s="7">
        <v>1209600</v>
      </c>
      <c r="J2098" s="8">
        <v>3.9600000000000003E-2</v>
      </c>
    </row>
    <row r="2099" spans="1:10" x14ac:dyDescent="0.25">
      <c r="A2099" s="5" t="s">
        <v>572</v>
      </c>
      <c r="B2099" s="5" t="s">
        <v>3966</v>
      </c>
      <c r="C2099" s="6" t="str">
        <f>_xll.QS.CONTEXT.CREATE("market.2097",A2099,"USD","SOFR")</f>
        <v>QSObject:PricingContext:w1~market.2097:11324</v>
      </c>
      <c r="D2099" s="6" t="str">
        <f>_xll.QS.CONTEXT.ADD.CURVE(C2099,"SOFR",$K$2:$K$7,$L$2:$L$7,,,"Actual360","LogLinear",TRUE)</f>
        <v>QSObject:ContextInput:w1~input.qs_context_add_curve.2359132437744.2098.3.0:29910</v>
      </c>
      <c r="E2099" s="6" t="str">
        <f>_xll.QS.INSTRUMENT.SWAP("swap.2097",H2099,B2099,"USD","SOFR",I2099,J2099,0,"Actual360","Simple","Annual","Annual","Annual")</f>
        <v>QSObject:Swap:w1~swap.2097:4903</v>
      </c>
      <c r="F2099" s="6" t="str">
        <f>_xll.QS.TRADE.CREATE("trade.2097",E2099,A2099,"Receive")</f>
        <v>QSObject:SwapTrade:w1~trade.2097:12833</v>
      </c>
      <c r="G2099" s="3">
        <f>_xll.QS.EVALUATE(C2099,F2099)</f>
        <v>42921.420163780531</v>
      </c>
      <c r="H2099" s="5" t="s">
        <v>586</v>
      </c>
      <c r="I2099" s="7">
        <v>1209700</v>
      </c>
      <c r="J2099" s="8">
        <v>3.9700000000000013E-2</v>
      </c>
    </row>
    <row r="2100" spans="1:10" x14ac:dyDescent="0.25">
      <c r="A2100" s="5" t="s">
        <v>574</v>
      </c>
      <c r="B2100" s="5" t="s">
        <v>3967</v>
      </c>
      <c r="C2100" s="6" t="str">
        <f>_xll.QS.CONTEXT.CREATE("market.2098",A2100,"USD","SOFR")</f>
        <v>QSObject:PricingContext:w1~market.2098:3340</v>
      </c>
      <c r="D2100" s="6" t="str">
        <f>_xll.QS.CONTEXT.ADD.CURVE(C2100,"SOFR",$K$2:$K$7,$L$2:$L$7,,,"Actual360","LogLinear",TRUE)</f>
        <v>QSObject:ContextInput:w1~input.qs_context_add_curve.2359132437744.2099.3.0:16156</v>
      </c>
      <c r="E2100" s="6" t="str">
        <f>_xll.QS.INSTRUMENT.SWAP("swap.2098",H2100,B2100,"USD","SOFR",I2100,J2100,0,"Actual360","Simple","Annual","Annual","Annual")</f>
        <v>QSObject:Swap:w1~swap.2098:8087</v>
      </c>
      <c r="F2100" s="6" t="str">
        <f>_xll.QS.TRADE.CREATE("trade.2098",E2100,A2100,"Receive")</f>
        <v>QSObject:SwapTrade:w1~trade.2098:17145</v>
      </c>
      <c r="G2100" s="3">
        <f>_xll.QS.EVALUATE(C2100,F2100)</f>
        <v>43279.909320664105</v>
      </c>
      <c r="H2100" s="5" t="s">
        <v>588</v>
      </c>
      <c r="I2100" s="7">
        <v>1209800</v>
      </c>
      <c r="J2100" s="8">
        <v>3.9800000000000002E-2</v>
      </c>
    </row>
    <row r="2101" spans="1:10" x14ac:dyDescent="0.25">
      <c r="A2101" s="5" t="s">
        <v>576</v>
      </c>
      <c r="B2101" s="5" t="s">
        <v>3968</v>
      </c>
      <c r="C2101" s="6" t="str">
        <f>_xll.QS.CONTEXT.CREATE("market.2099",A2101,"USD","SOFR")</f>
        <v>QSObject:PricingContext:w1~market.2099:6486</v>
      </c>
      <c r="D2101" s="6" t="str">
        <f>_xll.QS.CONTEXT.ADD.CURVE(C2101,"SOFR",$K$2:$K$7,$L$2:$L$7,,,"Actual360","LogLinear",TRUE)</f>
        <v>QSObject:ContextInput:w1~input.qs_context_add_curve.2359132437744.2100.3.0:29909</v>
      </c>
      <c r="E2101" s="6" t="str">
        <f>_xll.QS.INSTRUMENT.SWAP("swap.2099",H2101,B2101,"USD","SOFR",I2101,J2101,0,"Actual360","Simple","Annual","Annual","Annual")</f>
        <v>QSObject:Swap:w1~swap.2099:18125</v>
      </c>
      <c r="F2101" s="6" t="str">
        <f>_xll.QS.TRADE.CREATE("trade.2099",E2101,A2101,"Receive")</f>
        <v>QSObject:SwapTrade:w1~trade.2099:29908</v>
      </c>
      <c r="G2101" s="3">
        <f>_xll.QS.EVALUATE(C2101,F2101)</f>
        <v>43845.072968358923</v>
      </c>
      <c r="H2101" s="5" t="s">
        <v>590</v>
      </c>
      <c r="I2101" s="7">
        <v>1209900</v>
      </c>
      <c r="J2101" s="8">
        <v>3.9899999999999998E-2</v>
      </c>
    </row>
    <row r="2102" spans="1:10" x14ac:dyDescent="0.25">
      <c r="A2102" s="5" t="s">
        <v>578</v>
      </c>
      <c r="B2102" s="5" t="s">
        <v>3969</v>
      </c>
      <c r="C2102" s="6" t="str">
        <f>_xll.QS.CONTEXT.CREATE("market.2100",A2102,"USD","SOFR")</f>
        <v>QSObject:PricingContext:w1~market.2100:9687</v>
      </c>
      <c r="D2102" s="6" t="str">
        <f>_xll.QS.CONTEXT.ADD.CURVE(C2102,"SOFR",$K$2:$K$7,$L$2:$L$7,,,"Actual360","LogLinear",TRUE)</f>
        <v>QSObject:ContextInput:w1~input.qs_context_add_curve.2359132437744.2101.3.0:29907</v>
      </c>
      <c r="E2102" s="6" t="str">
        <f>_xll.QS.INSTRUMENT.SWAP("swap.2100",H2102,B2102,"USD","SOFR",I2102,J2102,0,"Actual360","Simple","Annual","Annual","Annual")</f>
        <v>QSObject:Swap:w1~swap.2100:14472</v>
      </c>
      <c r="F2102" s="6" t="str">
        <f>_xll.QS.TRADE.CREATE("trade.2100",E2102,A2102,"Receive")</f>
        <v>QSObject:SwapTrade:w1~trade.2100:29906</v>
      </c>
      <c r="G2102" s="3">
        <f>_xll.QS.EVALUATE(C2102,F2102)</f>
        <v>16549.299370181441</v>
      </c>
      <c r="H2102" s="5" t="s">
        <v>592</v>
      </c>
      <c r="I2102" s="7">
        <v>1210000</v>
      </c>
      <c r="J2102" s="8">
        <v>3.5000000000000003E-2</v>
      </c>
    </row>
    <row r="2103" spans="1:10" x14ac:dyDescent="0.25">
      <c r="A2103" s="5" t="s">
        <v>580</v>
      </c>
      <c r="B2103" s="5" t="s">
        <v>3970</v>
      </c>
      <c r="C2103" s="6" t="str">
        <f>_xll.QS.CONTEXT.CREATE("market.2101",A2103,"USD","SOFR")</f>
        <v>QSObject:PricingContext:w1~market.2101:3339</v>
      </c>
      <c r="D2103" s="6" t="str">
        <f>_xll.QS.CONTEXT.ADD.CURVE(C2103,"SOFR",$K$2:$K$7,$L$2:$L$7,,,"Actual360","LogLinear",TRUE)</f>
        <v>QSObject:ContextInput:w1~input.qs_context_add_curve.2359132437744.2102.3.0:16155</v>
      </c>
      <c r="E2103" s="6" t="str">
        <f>_xll.QS.INSTRUMENT.SWAP("swap.2101",H2103,B2103,"USD","SOFR",I2103,J2103,0,"Actual360","Simple","Annual","Annual","Annual")</f>
        <v>QSObject:Swap:w1~swap.2101:17144</v>
      </c>
      <c r="F2103" s="6" t="str">
        <f>_xll.QS.TRADE.CREATE("trade.2101",E2103,A2103,"Receive")</f>
        <v>QSObject:SwapTrade:w1~trade.2101:29905</v>
      </c>
      <c r="G2103" s="3">
        <f>_xll.QS.EVALUATE(C2103,F2103)</f>
        <v>17290.758997274388</v>
      </c>
      <c r="H2103" s="5" t="s">
        <v>594</v>
      </c>
      <c r="I2103" s="7">
        <v>1210100</v>
      </c>
      <c r="J2103" s="8">
        <v>3.5100000000000013E-2</v>
      </c>
    </row>
    <row r="2104" spans="1:10" x14ac:dyDescent="0.25">
      <c r="A2104" s="5" t="s">
        <v>582</v>
      </c>
      <c r="B2104" s="5" t="s">
        <v>3971</v>
      </c>
      <c r="C2104" s="6" t="str">
        <f>_xll.QS.CONTEXT.CREATE("market.2102",A2104,"USD","SOFR")</f>
        <v>QSObject:PricingContext:w1~market.2102:18124</v>
      </c>
      <c r="D2104" s="6" t="str">
        <f>_xll.QS.CONTEXT.ADD.CURVE(C2104,"SOFR",$K$2:$K$7,$L$2:$L$7,,,"Actual360","LogLinear",TRUE)</f>
        <v>QSObject:ContextInput:w1~input.qs_context_add_curve.2359132437744.2103.3.0:38163</v>
      </c>
      <c r="E2104" s="6" t="str">
        <f>_xll.QS.INSTRUMENT.SWAP("swap.2102",H2104,B2104,"USD","SOFR",I2104,J2104,0,"Actual360","Simple","Annual","Annual","Annual")</f>
        <v>QSObject:Swap:w1~swap.2102:6485</v>
      </c>
      <c r="F2104" s="6" t="str">
        <f>_xll.QS.TRADE.CREATE("trade.2102",E2104,A2104,"Receive")</f>
        <v>QSObject:SwapTrade:w1~trade.2102:11323</v>
      </c>
      <c r="G2104" s="3">
        <f>_xll.QS.EVALUATE(C2104,F2104)</f>
        <v>17850.33893549769</v>
      </c>
      <c r="H2104" s="5" t="s">
        <v>596</v>
      </c>
      <c r="I2104" s="7">
        <v>1210200</v>
      </c>
      <c r="J2104" s="8">
        <v>3.5200000000000002E-2</v>
      </c>
    </row>
    <row r="2105" spans="1:10" x14ac:dyDescent="0.25">
      <c r="A2105" s="5" t="s">
        <v>584</v>
      </c>
      <c r="B2105" s="5" t="s">
        <v>3972</v>
      </c>
      <c r="C2105" s="6" t="str">
        <f>_xll.QS.CONTEXT.CREATE("market.2103",A2105,"USD","SOFR")</f>
        <v>QSObject:PricingContext:w1~market.2103:14471</v>
      </c>
      <c r="D2105" s="6" t="str">
        <f>_xll.QS.CONTEXT.ADD.CURVE(C2105,"SOFR",$K$2:$K$7,$L$2:$L$7,,,"Actual360","LogLinear",TRUE)</f>
        <v>QSObject:ContextInput:w1~input.qs_context_add_curve.2359132437744.2104.3.0:38162</v>
      </c>
      <c r="E2105" s="6" t="str">
        <f>_xll.QS.INSTRUMENT.SWAP("swap.2103",H2105,B2105,"USD","SOFR",I2105,J2105,0,"Actual360","Simple","Annual","Annual","Annual")</f>
        <v>QSObject:Swap:w1~swap.2103:9686</v>
      </c>
      <c r="F2105" s="6" t="str">
        <f>_xll.QS.TRADE.CREATE("trade.2103",E2105,A2105,"Receive")</f>
        <v>QSObject:SwapTrade:w1~trade.2103:16154</v>
      </c>
      <c r="G2105" s="3">
        <f>_xll.QS.EVALUATE(C2105,F2105)</f>
        <v>18421.053990686254</v>
      </c>
      <c r="H2105" s="5" t="s">
        <v>598</v>
      </c>
      <c r="I2105" s="7">
        <v>1210300</v>
      </c>
      <c r="J2105" s="8">
        <v>3.5299999999999998E-2</v>
      </c>
    </row>
    <row r="2106" spans="1:10" x14ac:dyDescent="0.25">
      <c r="A2106" s="5" t="s">
        <v>586</v>
      </c>
      <c r="B2106" s="5" t="s">
        <v>3973</v>
      </c>
      <c r="C2106" s="6" t="str">
        <f>_xll.QS.CONTEXT.CREATE("market.2104",A2106,"USD","SOFR")</f>
        <v>QSObject:PricingContext:w1~market.2104:3338</v>
      </c>
      <c r="D2106" s="6" t="str">
        <f>_xll.QS.CONTEXT.ADD.CURVE(C2106,"SOFR",$K$2:$K$7,$L$2:$L$7,,,"Actual360","LogLinear",TRUE)</f>
        <v>QSObject:ContextInput:w1~input.qs_context_add_curve.2359132437744.2105.3.0:12832</v>
      </c>
      <c r="E2106" s="6" t="str">
        <f>_xll.QS.INSTRUMENT.SWAP("swap.2104",H2106,B2106,"USD","SOFR",I2106,J2106,0,"Actual360","Simple","Annual","Annual","Annual")</f>
        <v>QSObject:Swap:w1~swap.2104:17143</v>
      </c>
      <c r="F2106" s="6" t="str">
        <f>_xll.QS.TRADE.CREATE("trade.2104",E2106,A2106,"Receive")</f>
        <v>QSObject:SwapTrade:w1~trade.2104:29904</v>
      </c>
      <c r="G2106" s="3">
        <f>_xll.QS.EVALUATE(C2106,F2106)</f>
        <v>18981.882504985915</v>
      </c>
      <c r="H2106" s="5" t="s">
        <v>600</v>
      </c>
      <c r="I2106" s="7">
        <v>1210400</v>
      </c>
      <c r="J2106" s="8">
        <v>3.5400000000000001E-2</v>
      </c>
    </row>
    <row r="2107" spans="1:10" x14ac:dyDescent="0.25">
      <c r="A2107" s="5" t="s">
        <v>588</v>
      </c>
      <c r="B2107" s="5" t="s">
        <v>3974</v>
      </c>
      <c r="C2107" s="6" t="str">
        <f>_xll.QS.CONTEXT.CREATE("market.2105",A2107,"USD","SOFR")</f>
        <v>QSObject:PricingContext:w1~market.2105:6484</v>
      </c>
      <c r="D2107" s="6" t="str">
        <f>_xll.QS.CONTEXT.ADD.CURVE(C2107,"SOFR",$K$2:$K$7,$L$2:$L$7,,,"Actual360","LogLinear",TRUE)</f>
        <v>QSObject:ContextInput:w1~input.qs_context_add_curve.2359132437744.2106.3.0:8086</v>
      </c>
      <c r="E2107" s="6" t="str">
        <f>_xll.QS.INSTRUMENT.SWAP("swap.2105",H2107,B2107,"USD","SOFR",I2107,J2107,0,"Actual360","Simple","Annual","Annual","Annual")</f>
        <v>QSObject:Swap:w1~swap.2105:18123</v>
      </c>
      <c r="F2107" s="6" t="str">
        <f>_xll.QS.TRADE.CREATE("trade.2105",E2107,A2107,"Receive")</f>
        <v>QSObject:SwapTrade:w1~trade.2105:29903</v>
      </c>
      <c r="G2107" s="3">
        <f>_xll.QS.EVALUATE(C2107,F2107)</f>
        <v>19395.343310409698</v>
      </c>
      <c r="H2107" s="5" t="s">
        <v>602</v>
      </c>
      <c r="I2107" s="7">
        <v>1210500</v>
      </c>
      <c r="J2107" s="8">
        <v>3.5499999999999997E-2</v>
      </c>
    </row>
    <row r="2108" spans="1:10" x14ac:dyDescent="0.25">
      <c r="A2108" s="5" t="s">
        <v>590</v>
      </c>
      <c r="B2108" s="5" t="s">
        <v>3975</v>
      </c>
      <c r="C2108" s="6" t="str">
        <f>_xll.QS.CONTEXT.CREATE("market.2106",A2108,"USD","SOFR")</f>
        <v>QSObject:PricingContext:w1~market.2106:16153</v>
      </c>
      <c r="D2108" s="6" t="str">
        <f>_xll.QS.CONTEXT.ADD.CURVE(C2108,"SOFR",$K$2:$K$7,$L$2:$L$7,,,"Actual360","LogLinear",TRUE)</f>
        <v>QSObject:ContextInput:w1~input.qs_context_add_curve.2359132437744.2107.3.0:38161</v>
      </c>
      <c r="E2108" s="6" t="str">
        <f>_xll.QS.INSTRUMENT.SWAP("swap.2106",H2108,B2108,"USD","SOFR",I2108,J2108,0,"Actual360","Simple","Annual","Annual","Annual")</f>
        <v>QSObject:Swap:w1~swap.2106:11322</v>
      </c>
      <c r="F2108" s="6" t="str">
        <f>_xll.QS.TRADE.CREATE("trade.2106",E2108,A2108,"Receive")</f>
        <v>QSObject:SwapTrade:w1~trade.2106:29902</v>
      </c>
      <c r="G2108" s="3">
        <f>_xll.QS.EVALUATE(C2108,F2108)</f>
        <v>19956.829577340301</v>
      </c>
      <c r="H2108" s="5" t="s">
        <v>604</v>
      </c>
      <c r="I2108" s="7">
        <v>1210600</v>
      </c>
      <c r="J2108" s="8">
        <v>3.5600000000000007E-2</v>
      </c>
    </row>
    <row r="2109" spans="1:10" x14ac:dyDescent="0.25">
      <c r="A2109" s="5" t="s">
        <v>592</v>
      </c>
      <c r="B2109" s="5" t="s">
        <v>3976</v>
      </c>
      <c r="C2109" s="6" t="str">
        <f>_xll.QS.CONTEXT.CREATE("market.2107",A2109,"USD","SOFR")</f>
        <v>QSObject:PricingContext:w1~market.2107:12831</v>
      </c>
      <c r="D2109" s="6" t="str">
        <f>_xll.QS.CONTEXT.ADD.CURVE(C2109,"SOFR",$K$2:$K$7,$L$2:$L$7,,,"Actual360","LogLinear",TRUE)</f>
        <v>QSObject:ContextInput:w1~input.qs_context_add_curve.2359132437744.2108.3.0:17142</v>
      </c>
      <c r="E2109" s="6" t="str">
        <f>_xll.QS.INSTRUMENT.SWAP("swap.2107",H2109,B2109,"USD","SOFR",I2109,J2109,0,"Actual360","Simple","Annual","Annual","Annual")</f>
        <v>QSObject:Swap:w1~swap.2107:9685</v>
      </c>
      <c r="F2109" s="6" t="str">
        <f>_xll.QS.TRADE.CREATE("trade.2107",E2109,A2109,"Receive")</f>
        <v>QSObject:SwapTrade:w1~trade.2107:29901</v>
      </c>
      <c r="G2109" s="3">
        <f>_xll.QS.EVALUATE(C2109,F2109)</f>
        <v>20518.554839525226</v>
      </c>
      <c r="H2109" s="5" t="s">
        <v>606</v>
      </c>
      <c r="I2109" s="7">
        <v>1210700</v>
      </c>
      <c r="J2109" s="8">
        <v>3.5700000000000003E-2</v>
      </c>
    </row>
    <row r="2110" spans="1:10" x14ac:dyDescent="0.25">
      <c r="A2110" s="5" t="s">
        <v>594</v>
      </c>
      <c r="B2110" s="5" t="s">
        <v>3977</v>
      </c>
      <c r="C2110" s="6" t="str">
        <f>_xll.QS.CONTEXT.CREATE("market.2108",A2110,"USD","SOFR")</f>
        <v>QSObject:PricingContext:w1~market.2108:18122</v>
      </c>
      <c r="D2110" s="6" t="str">
        <f>_xll.QS.CONTEXT.ADD.CURVE(C2110,"SOFR",$K$2:$K$7,$L$2:$L$7,,,"Actual360","LogLinear",TRUE)</f>
        <v>QSObject:ContextInput:w1~input.qs_context_add_curve.2359132437744.2109.3.0:38160</v>
      </c>
      <c r="E2110" s="6" t="str">
        <f>_xll.QS.INSTRUMENT.SWAP("swap.2108",H2110,B2110,"USD","SOFR",I2110,J2110,0,"Actual360","Simple","Annual","Annual","Annual")</f>
        <v>QSObject:Swap:w1~swap.2108:1808</v>
      </c>
      <c r="F2110" s="6" t="str">
        <f>_xll.QS.TRADE.CREATE("trade.2108",E2110,A2110,"Receive")</f>
        <v>QSObject:SwapTrade:w1~trade.2108:14470</v>
      </c>
      <c r="G2110" s="3">
        <f>_xll.QS.EVALUATE(C2110,F2110)</f>
        <v>21166.900578827219</v>
      </c>
      <c r="H2110" s="5" t="s">
        <v>608</v>
      </c>
      <c r="I2110" s="7">
        <v>1210800</v>
      </c>
      <c r="J2110" s="8">
        <v>3.5800000000000012E-2</v>
      </c>
    </row>
    <row r="2111" spans="1:10" x14ac:dyDescent="0.25">
      <c r="A2111" s="5" t="s">
        <v>596</v>
      </c>
      <c r="B2111" s="5" t="s">
        <v>3978</v>
      </c>
      <c r="C2111" s="6" t="str">
        <f>_xll.QS.CONTEXT.CREATE("market.2109",A2111,"USD","SOFR")</f>
        <v>QSObject:PricingContext:w1~market.2109:3337</v>
      </c>
      <c r="D2111" s="6" t="str">
        <f>_xll.QS.CONTEXT.ADD.CURVE(C2111,"SOFR",$K$2:$K$7,$L$2:$L$7,,,"Actual360","LogLinear",TRUE)</f>
        <v>QSObject:ContextInput:w1~input.qs_context_add_curve.2359132437744.2110.3.0:16152</v>
      </c>
      <c r="E2111" s="6" t="str">
        <f>_xll.QS.INSTRUMENT.SWAP("swap.2109",H2111,B2111,"USD","SOFR",I2111,J2111,0,"Actual360","Simple","Annual","Annual","Annual")</f>
        <v>QSObject:Swap:w1~swap.2109:4902</v>
      </c>
      <c r="F2111" s="6" t="str">
        <f>_xll.QS.TRADE.CREATE("trade.2109",E2111,A2111,"Receive")</f>
        <v>QSObject:SwapTrade:w1~trade.2109:8085</v>
      </c>
      <c r="G2111" s="3">
        <f>_xll.QS.EVALUATE(C2111,F2111)</f>
        <v>21727.095436698124</v>
      </c>
      <c r="H2111" s="5" t="s">
        <v>610</v>
      </c>
      <c r="I2111" s="7">
        <v>1210900</v>
      </c>
      <c r="J2111" s="8">
        <v>3.5900000000000001E-2</v>
      </c>
    </row>
    <row r="2112" spans="1:10" x14ac:dyDescent="0.25">
      <c r="A2112" s="5" t="s">
        <v>598</v>
      </c>
      <c r="B2112" s="5" t="s">
        <v>3979</v>
      </c>
      <c r="C2112" s="6" t="str">
        <f>_xll.QS.CONTEXT.CREATE("market.2110",A2112,"USD","SOFR")</f>
        <v>QSObject:PricingContext:w1~market.2110:12830</v>
      </c>
      <c r="D2112" s="6" t="str">
        <f>_xll.QS.CONTEXT.ADD.CURVE(C2112,"SOFR",$K$2:$K$7,$L$2:$L$7,,,"Actual360","LogLinear",TRUE)</f>
        <v>QSObject:ContextInput:w1~input.qs_context_add_curve.2359132437744.2111.3.0:38159</v>
      </c>
      <c r="E2112" s="6" t="str">
        <f>_xll.QS.INSTRUMENT.SWAP("swap.2110",H2112,B2112,"USD","SOFR",I2112,J2112,0,"Actual360","Simple","Annual","Annual","Annual")</f>
        <v>QSObject:Swap:w1~swap.2110:17141</v>
      </c>
      <c r="F2112" s="6" t="str">
        <f>_xll.QS.TRADE.CREATE("trade.2110",E2112,A2112,"Receive")</f>
        <v>QSObject:SwapTrade:w1~trade.2110:29900</v>
      </c>
      <c r="G2112" s="3">
        <f>_xll.QS.EVALUATE(C2112,F2112)</f>
        <v>22293.927918929723</v>
      </c>
      <c r="H2112" s="5" t="s">
        <v>612</v>
      </c>
      <c r="I2112" s="7">
        <v>1211000</v>
      </c>
      <c r="J2112" s="8">
        <v>3.5999999999999997E-2</v>
      </c>
    </row>
    <row r="2113" spans="1:10" x14ac:dyDescent="0.25">
      <c r="A2113" s="5" t="s">
        <v>600</v>
      </c>
      <c r="B2113" s="5" t="s">
        <v>3980</v>
      </c>
      <c r="C2113" s="6" t="str">
        <f>_xll.QS.CONTEXT.CREATE("market.2111",A2113,"USD","SOFR")</f>
        <v>QSObject:PricingContext:w1~market.2111:14469</v>
      </c>
      <c r="D2113" s="6" t="str">
        <f>_xll.QS.CONTEXT.ADD.CURVE(C2113,"SOFR",$K$2:$K$7,$L$2:$L$7,,,"Actual360","LogLinear",TRUE)</f>
        <v>QSObject:ContextInput:w1~input.qs_context_add_curve.2359132437744.2112.3.0:18121</v>
      </c>
      <c r="E2113" s="6" t="str">
        <f>_xll.QS.INSTRUMENT.SWAP("swap.2111",H2113,B2113,"USD","SOFR",I2113,J2113,0,"Actual360","Simple","Annual","Annual","Annual")</f>
        <v>QSObject:Swap:w1~swap.2111:6483</v>
      </c>
      <c r="F2113" s="6" t="str">
        <f>_xll.QS.TRADE.CREATE("trade.2111",E2113,A2113,"Receive")</f>
        <v>QSObject:SwapTrade:w1~trade.2111:29899</v>
      </c>
      <c r="G2113" s="3">
        <f>_xll.QS.EVALUATE(C2113,F2113)</f>
        <v>22855.518003632329</v>
      </c>
      <c r="H2113" s="5" t="s">
        <v>614</v>
      </c>
      <c r="I2113" s="7">
        <v>1211100</v>
      </c>
      <c r="J2113" s="8">
        <v>3.61E-2</v>
      </c>
    </row>
    <row r="2114" spans="1:10" x14ac:dyDescent="0.25">
      <c r="A2114" s="5" t="s">
        <v>602</v>
      </c>
      <c r="B2114" s="5" t="s">
        <v>3981</v>
      </c>
      <c r="C2114" s="6" t="str">
        <f>_xll.QS.CONTEXT.CREATE("market.2112",A2114,"USD","SOFR")</f>
        <v>QSObject:PricingContext:w1~market.2112:4901</v>
      </c>
      <c r="D2114" s="6" t="str">
        <f>_xll.QS.CONTEXT.ADD.CURVE(C2114,"SOFR",$K$2:$K$7,$L$2:$L$7,,,"Actual360","LogLinear",TRUE)</f>
        <v>QSObject:ContextInput:w1~input.qs_context_add_curve.2359132437744.2113.3.0:16151</v>
      </c>
      <c r="E2114" s="6" t="str">
        <f>_xll.QS.INSTRUMENT.SWAP("swap.2112",H2114,B2114,"USD","SOFR",I2114,J2114,0,"Actual360","Simple","Annual","Annual","Annual")</f>
        <v>QSObject:Swap:w1~swap.2112:1807</v>
      </c>
      <c r="F2114" s="6" t="str">
        <f>_xll.QS.TRADE.CREATE("trade.2112",E2114,A2114,"Receive")</f>
        <v>QSObject:SwapTrade:w1~trade.2112:8084</v>
      </c>
      <c r="G2114" s="3">
        <f>_xll.QS.EVALUATE(C2114,F2114)</f>
        <v>23268.546642774803</v>
      </c>
      <c r="H2114" s="5" t="s">
        <v>616</v>
      </c>
      <c r="I2114" s="7">
        <v>1211200</v>
      </c>
      <c r="J2114" s="8">
        <v>3.6200000000000003E-2</v>
      </c>
    </row>
    <row r="2115" spans="1:10" x14ac:dyDescent="0.25">
      <c r="A2115" s="5" t="s">
        <v>604</v>
      </c>
      <c r="B2115" s="5" t="s">
        <v>3982</v>
      </c>
      <c r="C2115" s="6" t="str">
        <f>_xll.QS.CONTEXT.CREATE("market.2113",A2115,"USD","SOFR")</f>
        <v>QSObject:PricingContext:w1~market.2113:11321</v>
      </c>
      <c r="D2115" s="6" t="str">
        <f>_xll.QS.CONTEXT.ADD.CURVE(C2115,"SOFR",$K$2:$K$7,$L$2:$L$7,,,"Actual360","LogLinear",TRUE)</f>
        <v>QSObject:ContextInput:w1~input.qs_context_add_curve.2359132437744.2114.3.0:12829</v>
      </c>
      <c r="E2115" s="6" t="str">
        <f>_xll.QS.INSTRUMENT.SWAP("swap.2113",H2115,B2115,"USD","SOFR",I2115,J2115,0,"Actual360","Simple","Annual","Annual","Annual")</f>
        <v>QSObject:Swap:w1~swap.2113:17140</v>
      </c>
      <c r="F2115" s="6" t="str">
        <f>_xll.QS.TRADE.CREATE("trade.2113",E2115,A2115,"Receive")</f>
        <v>QSObject:SwapTrade:w1~trade.2113:18120</v>
      </c>
      <c r="G2115" s="3">
        <f>_xll.QS.EVALUATE(C2115,F2115)</f>
        <v>23831.047832348908</v>
      </c>
      <c r="H2115" s="5" t="s">
        <v>618</v>
      </c>
      <c r="I2115" s="7">
        <v>1211300</v>
      </c>
      <c r="J2115" s="8">
        <v>3.6300000000000013E-2</v>
      </c>
    </row>
    <row r="2116" spans="1:10" x14ac:dyDescent="0.25">
      <c r="A2116" s="5" t="s">
        <v>606</v>
      </c>
      <c r="B2116" s="5" t="s">
        <v>3983</v>
      </c>
      <c r="C2116" s="6" t="str">
        <f>_xll.QS.CONTEXT.CREATE("market.2114",A2116,"USD","SOFR")</f>
        <v>QSObject:PricingContext:w1~market.2114:3336</v>
      </c>
      <c r="D2116" s="6" t="str">
        <f>_xll.QS.CONTEXT.ADD.CURVE(C2116,"SOFR",$K$2:$K$7,$L$2:$L$7,,,"Actual360","LogLinear",TRUE)</f>
        <v>QSObject:ContextInput:w1~input.qs_context_add_curve.2359132437744.2115.3.0:14468</v>
      </c>
      <c r="E2116" s="6" t="str">
        <f>_xll.QS.INSTRUMENT.SWAP("swap.2114",H2116,B2116,"USD","SOFR",I2116,J2116,0,"Actual360","Simple","Annual","Annual","Annual")</f>
        <v>QSObject:Swap:w1~swap.2114:9684</v>
      </c>
      <c r="F2116" s="6" t="str">
        <f>_xll.QS.TRADE.CREATE("trade.2114",E2116,A2116,"Receive")</f>
        <v>QSObject:SwapTrade:w1~trade.2114:29898</v>
      </c>
      <c r="G2116" s="3">
        <f>_xll.QS.EVALUATE(C2116,F2116)</f>
        <v>24442.161301805594</v>
      </c>
      <c r="H2116" s="5" t="s">
        <v>620</v>
      </c>
      <c r="I2116" s="7">
        <v>1211400</v>
      </c>
      <c r="J2116" s="8">
        <v>3.6400000000000002E-2</v>
      </c>
    </row>
    <row r="2117" spans="1:10" x14ac:dyDescent="0.25">
      <c r="A2117" s="5" t="s">
        <v>608</v>
      </c>
      <c r="B2117" s="5" t="s">
        <v>3984</v>
      </c>
      <c r="C2117" s="6" t="str">
        <f>_xll.QS.CONTEXT.CREATE("market.2115",A2117,"USD","SOFR")</f>
        <v>QSObject:PricingContext:w1~market.2115:6482</v>
      </c>
      <c r="D2117" s="6" t="str">
        <f>_xll.QS.CONTEXT.ADD.CURVE(C2117,"SOFR",$K$2:$K$7,$L$2:$L$7,,,"Actual360","LogLinear",TRUE)</f>
        <v>QSObject:ContextInput:w1~input.qs_context_add_curve.2359132437744.2116.3.0:29897</v>
      </c>
      <c r="E2117" s="6" t="str">
        <f>_xll.QS.INSTRUMENT.SWAP("swap.2115",H2117,B2117,"USD","SOFR",I2117,J2117,0,"Actual360","Simple","Annual","Annual","Annual")</f>
        <v>QSObject:Swap:w1~swap.2115:16150</v>
      </c>
      <c r="F2117" s="6" t="str">
        <f>_xll.QS.TRADE.CREATE("trade.2115",E2117,A2117,"Receive")</f>
        <v>QSObject:SwapTrade:w1~trade.2115:29896</v>
      </c>
      <c r="G2117" s="3">
        <f>_xll.QS.EVALUATE(C2117,F2117)</f>
        <v>25091.568089814748</v>
      </c>
      <c r="H2117" s="5" t="s">
        <v>622</v>
      </c>
      <c r="I2117" s="7">
        <v>1211500</v>
      </c>
      <c r="J2117" s="8">
        <v>3.6499999999999998E-2</v>
      </c>
    </row>
    <row r="2118" spans="1:10" x14ac:dyDescent="0.25">
      <c r="A2118" s="5" t="s">
        <v>610</v>
      </c>
      <c r="B2118" s="5" t="s">
        <v>3985</v>
      </c>
      <c r="C2118" s="6" t="str">
        <f>_xll.QS.CONTEXT.CREATE("market.2116",A2118,"USD","SOFR")</f>
        <v>QSObject:PricingContext:w1~market.2116:12828</v>
      </c>
      <c r="D2118" s="6" t="str">
        <f>_xll.QS.CONTEXT.ADD.CURVE(C2118,"SOFR",$K$2:$K$7,$L$2:$L$7,,,"Actual360","LogLinear",TRUE)</f>
        <v>QSObject:ContextInput:w1~input.qs_context_add_curve.2359132437744.2117.3.0:29895</v>
      </c>
      <c r="E2118" s="6" t="str">
        <f>_xll.QS.INSTRUMENT.SWAP("swap.2116",H2118,B2118,"USD","SOFR",I2118,J2118,0,"Actual360","Simple","Annual","Annual","Annual")</f>
        <v>QSObject:Swap:w1~swap.2116:17139</v>
      </c>
      <c r="F2118" s="6" t="str">
        <f>_xll.QS.TRADE.CREATE("trade.2116",E2118,A2118,"Receive")</f>
        <v>QSObject:SwapTrade:w1~trade.2116:18119</v>
      </c>
      <c r="G2118" s="3">
        <f>_xll.QS.EVALUATE(C2118,F2118)</f>
        <v>25652.459121982254</v>
      </c>
      <c r="H2118" s="5" t="s">
        <v>624</v>
      </c>
      <c r="I2118" s="7">
        <v>1211600</v>
      </c>
      <c r="J2118" s="8">
        <v>3.6600000000000001E-2</v>
      </c>
    </row>
    <row r="2119" spans="1:10" x14ac:dyDescent="0.25">
      <c r="A2119" s="5" t="s">
        <v>612</v>
      </c>
      <c r="B2119" s="5" t="s">
        <v>3986</v>
      </c>
      <c r="C2119" s="6" t="str">
        <f>_xll.QS.CONTEXT.CREATE("market.2117",A2119,"USD","SOFR")</f>
        <v>QSObject:PricingContext:w1~market.2117:9683</v>
      </c>
      <c r="D2119" s="6" t="str">
        <f>_xll.QS.CONTEXT.ADD.CURVE(C2119,"SOFR",$K$2:$K$7,$L$2:$L$7,,,"Actual360","LogLinear",TRUE)</f>
        <v>QSObject:ContextInput:w1~input.qs_context_add_curve.2359132437744.2118.3.0:14467</v>
      </c>
      <c r="E2119" s="6" t="str">
        <f>_xll.QS.INSTRUMENT.SWAP("swap.2117",H2119,B2119,"USD","SOFR",I2119,J2119,0,"Actual360","Simple","Annual","Annual","Annual")</f>
        <v>QSObject:Swap:w1~swap.2117:3335</v>
      </c>
      <c r="F2119" s="6" t="str">
        <f>_xll.QS.TRADE.CREATE("trade.2117",E2119,A2119,"Receive")</f>
        <v>QSObject:SwapTrade:w1~trade.2117:4900</v>
      </c>
      <c r="G2119" s="3">
        <f>_xll.QS.EVALUATE(C2119,F2119)</f>
        <v>26220.099370220429</v>
      </c>
      <c r="H2119" s="5" t="s">
        <v>626</v>
      </c>
      <c r="I2119" s="7">
        <v>1211700</v>
      </c>
      <c r="J2119" s="8">
        <v>3.6700000000000003E-2</v>
      </c>
    </row>
    <row r="2120" spans="1:10" x14ac:dyDescent="0.25">
      <c r="A2120" s="5" t="s">
        <v>614</v>
      </c>
      <c r="B2120" s="5" t="s">
        <v>3987</v>
      </c>
      <c r="C2120" s="6" t="str">
        <f>_xll.QS.CONTEXT.CREATE("market.2118",A2120,"USD","SOFR")</f>
        <v>QSObject:PricingContext:w1~market.2118:16149</v>
      </c>
      <c r="D2120" s="6" t="str">
        <f>_xll.QS.CONTEXT.ADD.CURVE(C2120,"SOFR",$K$2:$K$7,$L$2:$L$7,,,"Actual360","LogLinear",TRUE)</f>
        <v>QSObject:ContextInput:w1~input.qs_context_add_curve.2359132437744.2119.3.0:38158</v>
      </c>
      <c r="E2120" s="6" t="str">
        <f>_xll.QS.INSTRUMENT.SWAP("swap.2118",H2120,B2120,"USD","SOFR",I2120,J2120,0,"Actual360","Simple","Annual","Annual","Annual")</f>
        <v>QSObject:Swap:w1~swap.2118:6481</v>
      </c>
      <c r="F2120" s="6" t="str">
        <f>_xll.QS.TRADE.CREATE("trade.2118",E2120,A2120,"Receive")</f>
        <v>QSObject:SwapTrade:w1~trade.2118:17138</v>
      </c>
      <c r="G2120" s="3">
        <f>_xll.QS.EVALUATE(C2120,F2120)</f>
        <v>26782.350837761136</v>
      </c>
      <c r="H2120" s="5" t="s">
        <v>628</v>
      </c>
      <c r="I2120" s="7">
        <v>1211800</v>
      </c>
      <c r="J2120" s="8">
        <v>3.6800000000000013E-2</v>
      </c>
    </row>
    <row r="2121" spans="1:10" x14ac:dyDescent="0.25">
      <c r="A2121" s="5" t="s">
        <v>616</v>
      </c>
      <c r="B2121" s="5" t="s">
        <v>3988</v>
      </c>
      <c r="C2121" s="6" t="str">
        <f>_xll.QS.CONTEXT.CREATE("market.2119",A2121,"USD","SOFR")</f>
        <v>QSObject:PricingContext:w1~market.2119:11320</v>
      </c>
      <c r="D2121" s="6" t="str">
        <f>_xll.QS.CONTEXT.ADD.CURVE(C2121,"SOFR",$K$2:$K$7,$L$2:$L$7,,,"Actual360","LogLinear",TRUE)</f>
        <v>QSObject:ContextInput:w1~input.qs_context_add_curve.2359132437744.2120.3.0:12827</v>
      </c>
      <c r="E2121" s="6" t="str">
        <f>_xll.QS.INSTRUMENT.SWAP("swap.2119",H2121,B2121,"USD","SOFR",I2121,J2121,0,"Actual360","Simple","Annual","Annual","Annual")</f>
        <v>QSObject:Swap:w1~swap.2119:8083</v>
      </c>
      <c r="F2121" s="6" t="str">
        <f>_xll.QS.TRADE.CREATE("trade.2119",E2121,A2121,"Receive")</f>
        <v>QSObject:SwapTrade:w1~trade.2119:18118</v>
      </c>
      <c r="G2121" s="3">
        <f>_xll.QS.EVALUATE(C2121,F2121)</f>
        <v>27195.15281186506</v>
      </c>
      <c r="H2121" s="5" t="s">
        <v>630</v>
      </c>
      <c r="I2121" s="7">
        <v>1211900</v>
      </c>
      <c r="J2121" s="8">
        <v>3.6900000000000002E-2</v>
      </c>
    </row>
    <row r="2122" spans="1:10" x14ac:dyDescent="0.25">
      <c r="A2122" s="5" t="s">
        <v>618</v>
      </c>
      <c r="B2122" s="5" t="s">
        <v>3989</v>
      </c>
      <c r="C2122" s="6" t="str">
        <f>_xll.QS.CONTEXT.CREATE("market.2120",A2122,"USD","SOFR")</f>
        <v>QSObject:PricingContext:w1~market.2120:3334</v>
      </c>
      <c r="D2122" s="6" t="str">
        <f>_xll.QS.CONTEXT.ADD.CURVE(C2122,"SOFR",$K$2:$K$7,$L$2:$L$7,,,"Actual360","LogLinear",TRUE)</f>
        <v>QSObject:ContextInput:w1~input.qs_context_add_curve.2359132437744.2121.3.0:14466</v>
      </c>
      <c r="E2122" s="6" t="str">
        <f>_xll.QS.INSTRUMENT.SWAP("swap.2120",H2122,B2122,"USD","SOFR",I2122,J2122,0,"Actual360","Simple","Annual","Annual","Annual")</f>
        <v>QSObject:Swap:w1~swap.2120:9682</v>
      </c>
      <c r="F2122" s="6" t="str">
        <f>_xll.QS.TRADE.CREATE("trade.2120",E2122,A2122,"Receive")</f>
        <v>QSObject:SwapTrade:w1~trade.2120:29894</v>
      </c>
      <c r="G2122" s="3">
        <f>_xll.QS.EVALUATE(C2122,F2122)</f>
        <v>27758.629065366054</v>
      </c>
      <c r="H2122" s="5" t="s">
        <v>632</v>
      </c>
      <c r="I2122" s="7">
        <v>1212000</v>
      </c>
      <c r="J2122" s="8">
        <v>3.7000000000000012E-2</v>
      </c>
    </row>
    <row r="2123" spans="1:10" x14ac:dyDescent="0.25">
      <c r="A2123" s="5" t="s">
        <v>620</v>
      </c>
      <c r="B2123" s="5" t="s">
        <v>3990</v>
      </c>
      <c r="C2123" s="6" t="str">
        <f>_xll.QS.CONTEXT.CREATE("market.2121",A2123,"USD","SOFR")</f>
        <v>QSObject:PricingContext:w1~market.2121:1806</v>
      </c>
      <c r="D2123" s="6" t="str">
        <f>_xll.QS.CONTEXT.ADD.CURVE(C2123,"SOFR",$K$2:$K$7,$L$2:$L$7,,,"Actual360","LogLinear",TRUE)</f>
        <v>QSObject:ContextInput:w1~input.qs_context_add_curve.2359132437744.2122.3.0:16148</v>
      </c>
      <c r="E2123" s="6" t="str">
        <f>_xll.QS.INSTRUMENT.SWAP("swap.2121",H2123,B2123,"USD","SOFR",I2123,J2123,0,"Actual360","Simple","Annual","Annual","Annual")</f>
        <v>QSObject:Swap:w1~swap.2121:17137</v>
      </c>
      <c r="F2123" s="6" t="str">
        <f>_xll.QS.TRADE.CREATE("trade.2121",E2123,A2123,"Receive")</f>
        <v>QSObject:SwapTrade:w1~trade.2121:29893</v>
      </c>
      <c r="G2123" s="3">
        <f>_xll.QS.EVALUATE(C2123,F2123)</f>
        <v>28370.927093969141</v>
      </c>
      <c r="H2123" s="5" t="s">
        <v>634</v>
      </c>
      <c r="I2123" s="7">
        <v>1212100</v>
      </c>
      <c r="J2123" s="8">
        <v>3.7100000000000001E-2</v>
      </c>
    </row>
    <row r="2124" spans="1:10" x14ac:dyDescent="0.25">
      <c r="A2124" s="5" t="s">
        <v>622</v>
      </c>
      <c r="B2124" s="5" t="s">
        <v>3991</v>
      </c>
      <c r="C2124" s="6" t="str">
        <f>_xll.QS.CONTEXT.CREATE("market.2122",A2124,"USD","SOFR")</f>
        <v>QSObject:PricingContext:w1~market.2122:18117</v>
      </c>
      <c r="D2124" s="6" t="str">
        <f>_xll.QS.CONTEXT.ADD.CURVE(C2124,"SOFR",$K$2:$K$7,$L$2:$L$7,,,"Actual360","LogLinear",TRUE)</f>
        <v>QSObject:ContextInput:w1~input.qs_context_add_curve.2359132437744.2123.3.0:38157</v>
      </c>
      <c r="E2124" s="6" t="str">
        <f>_xll.QS.INSTRUMENT.SWAP("swap.2122",H2124,B2124,"USD","SOFR",I2124,J2124,0,"Actual360","Simple","Annual","Annual","Annual")</f>
        <v>QSObject:Swap:w1~swap.2122:6480</v>
      </c>
      <c r="F2124" s="6" t="str">
        <f>_xll.QS.TRADE.CREATE("trade.2122",E2124,A2124,"Receive")</f>
        <v>QSObject:SwapTrade:w1~trade.2122:8082</v>
      </c>
      <c r="G2124" s="3">
        <f>_xll.QS.EVALUATE(C2124,F2124)</f>
        <v>29021.260569845443</v>
      </c>
      <c r="H2124" s="5" t="s">
        <v>636</v>
      </c>
      <c r="I2124" s="7">
        <v>1212200</v>
      </c>
      <c r="J2124" s="8">
        <v>3.7199999999999997E-2</v>
      </c>
    </row>
    <row r="2125" spans="1:10" x14ac:dyDescent="0.25">
      <c r="A2125" s="5" t="s">
        <v>624</v>
      </c>
      <c r="B2125" s="5" t="s">
        <v>3992</v>
      </c>
      <c r="C2125" s="6" t="str">
        <f>_xll.QS.CONTEXT.CREATE("market.2123",A2125,"USD","SOFR")</f>
        <v>QSObject:PricingContext:w1~market.2123:3333</v>
      </c>
      <c r="D2125" s="6" t="str">
        <f>_xll.QS.CONTEXT.ADD.CURVE(C2125,"SOFR",$K$2:$K$7,$L$2:$L$7,,,"Actual360","LogLinear",TRUE)</f>
        <v>QSObject:ContextInput:w1~input.qs_context_add_curve.2359132437744.2124.3.0:14465</v>
      </c>
      <c r="E2125" s="6" t="str">
        <f>_xll.QS.INSTRUMENT.SWAP("swap.2123",H2125,B2125,"USD","SOFR",I2125,J2125,0,"Actual360","Simple","Annual","Annual","Annual")</f>
        <v>QSObject:Swap:w1~swap.2123:4899</v>
      </c>
      <c r="F2125" s="6" t="str">
        <f>_xll.QS.TRADE.CREATE("trade.2123",E2125,A2125,"Receive")</f>
        <v>QSObject:SwapTrade:w1~trade.2123:17136</v>
      </c>
      <c r="G2125" s="3">
        <f>_xll.QS.EVALUATE(C2125,F2125)</f>
        <v>29582.491409680508</v>
      </c>
      <c r="H2125" s="5" t="s">
        <v>638</v>
      </c>
      <c r="I2125" s="7">
        <v>1212300</v>
      </c>
      <c r="J2125" s="8">
        <v>3.73E-2</v>
      </c>
    </row>
    <row r="2126" spans="1:10" x14ac:dyDescent="0.25">
      <c r="A2126" s="5" t="s">
        <v>626</v>
      </c>
      <c r="B2126" s="5" t="s">
        <v>3993</v>
      </c>
      <c r="C2126" s="6" t="str">
        <f>_xll.QS.CONTEXT.CREATE("market.2124",A2126,"USD","SOFR")</f>
        <v>QSObject:PricingContext:w1~market.2124:11319</v>
      </c>
      <c r="D2126" s="6" t="str">
        <f>_xll.QS.CONTEXT.ADD.CURVE(C2126,"SOFR",$K$2:$K$7,$L$2:$L$7,,,"Actual360","LogLinear",TRUE)</f>
        <v>QSObject:ContextInput:w1~input.qs_context_add_curve.2359132437744.2125.3.0:38126</v>
      </c>
      <c r="E2126" s="6" t="str">
        <f>_xll.QS.INSTRUMENT.SWAP("swap.2124",H2126,B2126,"USD","SOFR",I2126,J2126,0,"Actual360","Simple","Annual","Annual","Annual")</f>
        <v>QSObject:Swap:w1~swap.2124:9681</v>
      </c>
      <c r="F2126" s="6" t="str">
        <f>_xll.QS.TRADE.CREATE("trade.2124",E2126,A2126,"Receive")</f>
        <v>QSObject:SwapTrade:w1~trade.2124:16147</v>
      </c>
      <c r="G2126" s="3">
        <f>_xll.QS.EVALUATE(C2126,F2126)</f>
        <v>30150.64717753906</v>
      </c>
      <c r="H2126" s="5" t="s">
        <v>640</v>
      </c>
      <c r="I2126" s="7">
        <v>1212400</v>
      </c>
      <c r="J2126" s="8">
        <v>3.7400000000000003E-2</v>
      </c>
    </row>
    <row r="2127" spans="1:10" x14ac:dyDescent="0.25">
      <c r="A2127" s="5" t="s">
        <v>628</v>
      </c>
      <c r="B2127" s="5" t="s">
        <v>3994</v>
      </c>
      <c r="C2127" s="6" t="str">
        <f>_xll.QS.CONTEXT.CREATE("market.2125",A2127,"USD","SOFR")</f>
        <v>QSObject:PricingContext:w1~market.2125:6479</v>
      </c>
      <c r="D2127" s="6" t="str">
        <f>_xll.QS.CONTEXT.ADD.CURVE(C2127,"SOFR",$K$2:$K$7,$L$2:$L$7,,,"Actual360","LogLinear",TRUE)</f>
        <v>QSObject:ContextInput:w1~input.qs_context_add_curve.2359132437744.2126.3.0:18116</v>
      </c>
      <c r="E2127" s="6" t="str">
        <f>_xll.QS.INSTRUMENT.SWAP("swap.2125",H2127,B2127,"USD","SOFR",I2127,J2127,0,"Actual360","Simple","Annual","Annual","Annual")</f>
        <v>QSObject:Swap:w1~swap.2125:12826</v>
      </c>
      <c r="F2127" s="6" t="str">
        <f>_xll.QS.TRADE.CREATE("trade.2125",E2127,A2127,"Receive")</f>
        <v>QSObject:SwapTrade:w1~trade.2125:29892</v>
      </c>
      <c r="G2127" s="3">
        <f>_xll.QS.EVALUATE(C2127,F2127)</f>
        <v>30713.433819684986</v>
      </c>
      <c r="H2127" s="5" t="s">
        <v>642</v>
      </c>
      <c r="I2127" s="7">
        <v>1212500</v>
      </c>
      <c r="J2127" s="8">
        <v>3.7500000000000012E-2</v>
      </c>
    </row>
    <row r="2128" spans="1:10" x14ac:dyDescent="0.25">
      <c r="A2128" s="5" t="s">
        <v>630</v>
      </c>
      <c r="B2128" s="5" t="s">
        <v>3995</v>
      </c>
      <c r="C2128" s="6" t="str">
        <f>_xll.QS.CONTEXT.CREATE("market.2126",A2128,"USD","SOFR")</f>
        <v>QSObject:PricingContext:w1~market.2126:3332</v>
      </c>
      <c r="D2128" s="6" t="str">
        <f>_xll.QS.CONTEXT.ADD.CURVE(C2128,"SOFR",$K$2:$K$7,$L$2:$L$7,,,"Actual360","LogLinear",TRUE)</f>
        <v>QSObject:ContextInput:w1~input.qs_context_add_curve.2359132437744.2127.3.0:14464</v>
      </c>
      <c r="E2128" s="6" t="str">
        <f>_xll.QS.INSTRUMENT.SWAP("swap.2126",H2128,B2128,"USD","SOFR",I2128,J2128,0,"Actual360","Simple","Annual","Annual","Annual")</f>
        <v>QSObject:Swap:w1~swap.2126:17135</v>
      </c>
      <c r="F2128" s="6" t="str">
        <f>_xll.QS.TRADE.CREATE("trade.2126",E2128,A2128,"Receive")</f>
        <v>QSObject:SwapTrade:w1~trade.2126:29891</v>
      </c>
      <c r="G2128" s="3">
        <f>_xll.QS.EVALUATE(C2128,F2128)</f>
        <v>31126.0089044216</v>
      </c>
      <c r="H2128" s="5" t="s">
        <v>644</v>
      </c>
      <c r="I2128" s="7">
        <v>1212600</v>
      </c>
      <c r="J2128" s="8">
        <v>3.7600000000000001E-2</v>
      </c>
    </row>
    <row r="2129" spans="1:10" x14ac:dyDescent="0.25">
      <c r="A2129" s="5" t="s">
        <v>632</v>
      </c>
      <c r="B2129" s="5" t="s">
        <v>3996</v>
      </c>
      <c r="C2129" s="6" t="str">
        <f>_xll.QS.CONTEXT.CREATE("market.2127",A2129,"USD","SOFR")</f>
        <v>QSObject:PricingContext:w1~market.2127:9680</v>
      </c>
      <c r="D2129" s="6" t="str">
        <f>_xll.QS.CONTEXT.ADD.CURVE(C2129,"SOFR",$K$2:$K$7,$L$2:$L$7,,,"Actual360","LogLinear",TRUE)</f>
        <v>QSObject:ContextInput:w1~input.qs_context_add_curve.2359132437744.2128.3.0:38125</v>
      </c>
      <c r="E2129" s="6" t="str">
        <f>_xll.QS.INSTRUMENT.SWAP("swap.2127",H2129,B2129,"USD","SOFR",I2129,J2129,0,"Actual360","Simple","Annual","Annual","Annual")</f>
        <v>QSObject:Swap:w1~swap.2127:11318</v>
      </c>
      <c r="F2129" s="6" t="str">
        <f>_xll.QS.TRADE.CREATE("trade.2127",E2129,A2129,"Receive")</f>
        <v>QSObject:SwapTrade:w1~trade.2127:16146</v>
      </c>
      <c r="G2129" s="3">
        <f>_xll.QS.EVALUATE(C2129,F2129)</f>
        <v>31690.460502363778</v>
      </c>
      <c r="H2129" s="5" t="s">
        <v>646</v>
      </c>
      <c r="I2129" s="7">
        <v>1212700</v>
      </c>
      <c r="J2129" s="8">
        <v>3.7699999999999997E-2</v>
      </c>
    </row>
    <row r="2130" spans="1:10" x14ac:dyDescent="0.25">
      <c r="A2130" s="5" t="s">
        <v>634</v>
      </c>
      <c r="B2130" s="5" t="s">
        <v>3997</v>
      </c>
      <c r="C2130" s="6" t="str">
        <f>_xll.QS.CONTEXT.CREATE("market.2128",A2130,"USD","SOFR")</f>
        <v>QSObject:PricingContext:w1~market.2128:12825</v>
      </c>
      <c r="D2130" s="6" t="str">
        <f>_xll.QS.CONTEXT.ADD.CURVE(C2130,"SOFR",$K$2:$K$7,$L$2:$L$7,,,"Actual360","LogLinear",TRUE)</f>
        <v>QSObject:ContextInput:w1~input.qs_context_add_curve.2359132437744.2129.3.0:29890</v>
      </c>
      <c r="E2130" s="6" t="str">
        <f>_xll.QS.INSTRUMENT.SWAP("swap.2128",H2130,B2130,"USD","SOFR",I2130,J2130,0,"Actual360","Simple","Annual","Annual","Annual")</f>
        <v>QSObject:Swap:w1~swap.2128:18115</v>
      </c>
      <c r="F2130" s="6" t="str">
        <f>_xll.QS.TRADE.CREATE("trade.2128",E2130,A2130,"Receive")</f>
        <v>QSObject:SwapTrade:w1~trade.2128:29889</v>
      </c>
      <c r="G2130" s="3">
        <f>_xll.QS.EVALUATE(C2130,F2130)</f>
        <v>32303.960764258765</v>
      </c>
      <c r="H2130" s="5" t="s">
        <v>648</v>
      </c>
      <c r="I2130" s="7">
        <v>1212800</v>
      </c>
      <c r="J2130" s="8">
        <v>3.78E-2</v>
      </c>
    </row>
    <row r="2131" spans="1:10" x14ac:dyDescent="0.25">
      <c r="A2131" s="5" t="s">
        <v>636</v>
      </c>
      <c r="B2131" s="5" t="s">
        <v>3998</v>
      </c>
      <c r="C2131" s="6" t="str">
        <f>_xll.QS.CONTEXT.CREATE("market.2129",A2131,"USD","SOFR")</f>
        <v>QSObject:PricingContext:w1~market.2129:14463</v>
      </c>
      <c r="D2131" s="6" t="str">
        <f>_xll.QS.CONTEXT.ADD.CURVE(C2131,"SOFR",$K$2:$K$7,$L$2:$L$7,,,"Actual360","LogLinear",TRUE)</f>
        <v>QSObject:ContextInput:w1~input.qs_context_add_curve.2359132437744.2130.3.0:17134</v>
      </c>
      <c r="E2131" s="6" t="str">
        <f>_xll.QS.INSTRUMENT.SWAP("swap.2129",H2131,B2131,"USD","SOFR",I2131,J2131,0,"Actual360","Simple","Annual","Annual","Annual")</f>
        <v>QSObject:Swap:w1~swap.2129:3331</v>
      </c>
      <c r="F2131" s="6" t="str">
        <f>_xll.QS.TRADE.CREATE("trade.2129",E2131,A2131,"Receive")</f>
        <v>QSObject:SwapTrade:w1~trade.2129:4898</v>
      </c>
      <c r="G2131" s="3">
        <f>_xll.QS.EVALUATE(C2131,F2131)</f>
        <v>32954.877875463419</v>
      </c>
      <c r="H2131" s="5" t="s">
        <v>650</v>
      </c>
      <c r="I2131" s="7">
        <v>1212900</v>
      </c>
      <c r="J2131" s="8">
        <v>3.7900000000000003E-2</v>
      </c>
    </row>
    <row r="2132" spans="1:10" x14ac:dyDescent="0.25">
      <c r="A2132" s="5" t="s">
        <v>638</v>
      </c>
      <c r="B2132" s="5" t="s">
        <v>3999</v>
      </c>
      <c r="C2132" s="6" t="str">
        <f>_xll.QS.CONTEXT.CREATE("market.2130",A2132,"USD","SOFR")</f>
        <v>QSObject:PricingContext:w1~market.2130:16145</v>
      </c>
      <c r="D2132" s="6" t="str">
        <f>_xll.QS.CONTEXT.ADD.CURVE(C2132,"SOFR",$K$2:$K$7,$L$2:$L$7,,,"Actual360","LogLinear",TRUE)</f>
        <v>QSObject:ContextInput:w1~input.qs_context_add_curve.2359132437744.2131.3.0:38124</v>
      </c>
      <c r="E2132" s="6" t="str">
        <f>_xll.QS.INSTRUMENT.SWAP("swap.2130",H2132,B2132,"USD","SOFR",I2132,J2132,0,"Actual360","Simple","Annual","Annual","Annual")</f>
        <v>QSObject:Swap:w1~swap.2130:1805</v>
      </c>
      <c r="F2132" s="6" t="str">
        <f>_xll.QS.TRADE.CREATE("trade.2130",E2132,A2132,"Receive")</f>
        <v>QSObject:SwapTrade:w1~trade.2130:6478</v>
      </c>
      <c r="G2132" s="3">
        <f>_xll.QS.EVALUATE(C2132,F2132)</f>
        <v>33517.04509989269</v>
      </c>
      <c r="H2132" s="5" t="s">
        <v>652</v>
      </c>
      <c r="I2132" s="7">
        <v>1213000</v>
      </c>
      <c r="J2132" s="8">
        <v>3.8000000000000013E-2</v>
      </c>
    </row>
    <row r="2133" spans="1:10" x14ac:dyDescent="0.25">
      <c r="A2133" s="5" t="s">
        <v>640</v>
      </c>
      <c r="B2133" s="5" t="s">
        <v>4000</v>
      </c>
      <c r="C2133" s="6" t="str">
        <f>_xll.QS.CONTEXT.CREATE("market.2131",A2133,"USD","SOFR")</f>
        <v>QSObject:PricingContext:w1~market.2131:8081</v>
      </c>
      <c r="D2133" s="6" t="str">
        <f>_xll.QS.CONTEXT.ADD.CURVE(C2133,"SOFR",$K$2:$K$7,$L$2:$L$7,,,"Actual360","LogLinear",TRUE)</f>
        <v>QSObject:ContextInput:w1~input.qs_context_add_curve.2359132437744.2132.3.0:9679</v>
      </c>
      <c r="E2133" s="6" t="str">
        <f>_xll.QS.INSTRUMENT.SWAP("swap.2131",H2133,B2133,"USD","SOFR",I2133,J2133,0,"Actual360","Simple","Annual","Annual","Annual")</f>
        <v>QSObject:Swap:w1~swap.2131:12824</v>
      </c>
      <c r="F2133" s="6" t="str">
        <f>_xll.QS.TRADE.CREATE("trade.2131",E2133,A2133,"Receive")</f>
        <v>QSObject:SwapTrade:w1~trade.2131:18114</v>
      </c>
      <c r="G2133" s="3">
        <f>_xll.QS.EVALUATE(C2133,F2133)</f>
        <v>34085.884112387845</v>
      </c>
      <c r="H2133" s="5" t="s">
        <v>654</v>
      </c>
      <c r="I2133" s="7">
        <v>1213100</v>
      </c>
      <c r="J2133" s="8">
        <v>3.8100000000000002E-2</v>
      </c>
    </row>
    <row r="2134" spans="1:10" x14ac:dyDescent="0.25">
      <c r="A2134" s="5" t="s">
        <v>642</v>
      </c>
      <c r="B2134" s="5" t="s">
        <v>4001</v>
      </c>
      <c r="C2134" s="6" t="str">
        <f>_xll.QS.CONTEXT.CREATE("market.2132",A2134,"USD","SOFR")</f>
        <v>QSObject:PricingContext:w1~market.2132:3330</v>
      </c>
      <c r="D2134" s="6" t="str">
        <f>_xll.QS.CONTEXT.ADD.CURVE(C2134,"SOFR",$K$2:$K$7,$L$2:$L$7,,,"Actual360","LogLinear",TRUE)</f>
        <v>QSObject:ContextInput:w1~input.qs_context_add_curve.2359132437744.2133.3.0:17133</v>
      </c>
      <c r="E2134" s="6" t="str">
        <f>_xll.QS.INSTRUMENT.SWAP("swap.2132",H2134,B2134,"USD","SOFR",I2134,J2134,0,"Actual360","Simple","Annual","Annual","Annual")</f>
        <v>QSObject:Swap:w1~swap.2132:14462</v>
      </c>
      <c r="F2134" s="6" t="str">
        <f>_xll.QS.TRADE.CREATE("trade.2132",E2134,A2134,"Receive")</f>
        <v>QSObject:SwapTrade:w1~trade.2132:29888</v>
      </c>
      <c r="G2134" s="3">
        <f>_xll.QS.EVALUATE(C2134,F2134)</f>
        <v>34649.701275953164</v>
      </c>
      <c r="H2134" s="5" t="s">
        <v>656</v>
      </c>
      <c r="I2134" s="7">
        <v>1213200</v>
      </c>
      <c r="J2134" s="8">
        <v>3.8199999999999998E-2</v>
      </c>
    </row>
    <row r="2135" spans="1:10" x14ac:dyDescent="0.25">
      <c r="A2135" s="5" t="s">
        <v>644</v>
      </c>
      <c r="B2135" s="5" t="s">
        <v>4002</v>
      </c>
      <c r="C2135" s="6" t="str">
        <f>_xll.QS.CONTEXT.CREATE("market.2133",A2135,"USD","SOFR")</f>
        <v>QSObject:PricingContext:w1~market.2133:1804</v>
      </c>
      <c r="D2135" s="6" t="str">
        <f>_xll.QS.CONTEXT.ADD.CURVE(C2135,"SOFR",$K$2:$K$7,$L$2:$L$7,,,"Actual360","LogLinear",TRUE)</f>
        <v>QSObject:ContextInput:w1~input.qs_context_add_curve.2359132437744.2134.3.0:11317</v>
      </c>
      <c r="E2135" s="6" t="str">
        <f>_xll.QS.INSTRUMENT.SWAP("swap.2133",H2135,B2135,"USD","SOFR",I2135,J2135,0,"Actual360","Simple","Annual","Annual","Annual")</f>
        <v>QSObject:Swap:w1~swap.2133:6477</v>
      </c>
      <c r="F2135" s="6" t="str">
        <f>_xll.QS.TRADE.CREATE("trade.2133",E2135,A2135,"Receive")</f>
        <v>QSObject:SwapTrade:w1~trade.2133:9678</v>
      </c>
      <c r="G2135" s="3">
        <f>_xll.QS.EVALUATE(C2135,F2135)</f>
        <v>35061.833264621091</v>
      </c>
      <c r="H2135" s="5" t="s">
        <v>658</v>
      </c>
      <c r="I2135" s="7">
        <v>1213300</v>
      </c>
      <c r="J2135" s="8">
        <v>3.8300000000000001E-2</v>
      </c>
    </row>
    <row r="2136" spans="1:10" x14ac:dyDescent="0.25">
      <c r="A2136" s="5" t="s">
        <v>646</v>
      </c>
      <c r="B2136" s="5" t="s">
        <v>4003</v>
      </c>
      <c r="C2136" s="6" t="str">
        <f>_xll.QS.CONTEXT.CREATE("market.2134",A2136,"USD","SOFR")</f>
        <v>QSObject:PricingContext:w1~market.2134:12823</v>
      </c>
      <c r="D2136" s="6" t="str">
        <f>_xll.QS.CONTEXT.ADD.CURVE(C2136,"SOFR",$K$2:$K$7,$L$2:$L$7,,,"Actual360","LogLinear",TRUE)</f>
        <v>QSObject:ContextInput:w1~input.qs_context_add_curve.2359132437744.2135.3.0:29887</v>
      </c>
      <c r="E2136" s="6" t="str">
        <f>_xll.QS.INSTRUMENT.SWAP("swap.2134",H2136,B2136,"USD","SOFR",I2136,J2136,0,"Actual360","Simple","Annual","Annual","Annual")</f>
        <v>QSObject:Swap:w1~swap.2134:18113</v>
      </c>
      <c r="F2136" s="6" t="str">
        <f>_xll.QS.TRADE.CREATE("trade.2134",E2136,A2136,"Receive")</f>
        <v>QSObject:SwapTrade:w1~trade.2134:29886</v>
      </c>
      <c r="G2136" s="3">
        <f>_xll.QS.EVALUATE(C2136,F2136)</f>
        <v>35627.457537707407</v>
      </c>
      <c r="H2136" s="5" t="s">
        <v>660</v>
      </c>
      <c r="I2136" s="7">
        <v>1213400</v>
      </c>
      <c r="J2136" s="8">
        <v>3.8399999999999997E-2</v>
      </c>
    </row>
    <row r="2137" spans="1:10" x14ac:dyDescent="0.25">
      <c r="A2137" s="5" t="s">
        <v>648</v>
      </c>
      <c r="B2137" s="5" t="s">
        <v>4004</v>
      </c>
      <c r="C2137" s="6" t="str">
        <f>_xll.QS.CONTEXT.CREATE("market.2135",A2137,"USD","SOFR")</f>
        <v>QSObject:PricingContext:w1~market.2135:14461</v>
      </c>
      <c r="D2137" s="6" t="str">
        <f>_xll.QS.CONTEXT.ADD.CURVE(C2137,"SOFR",$K$2:$K$7,$L$2:$L$7,,,"Actual360","LogLinear",TRUE)</f>
        <v>QSObject:ContextInput:w1~input.qs_context_add_curve.2359132437744.2136.3.0:29885</v>
      </c>
      <c r="E2137" s="6" t="str">
        <f>_xll.QS.INSTRUMENT.SWAP("swap.2135",H2137,B2137,"USD","SOFR",I2137,J2137,0,"Actual360","Simple","Annual","Annual","Annual")</f>
        <v>QSObject:Swap:w1~swap.2135:16144</v>
      </c>
      <c r="F2137" s="6" t="str">
        <f>_xll.QS.TRADE.CREATE("trade.2135",E2137,A2137,"Receive")</f>
        <v>QSObject:SwapTrade:w1~trade.2135:29884</v>
      </c>
      <c r="G2137" s="3">
        <f>_xll.QS.EVALUATE(C2137,F2137)</f>
        <v>36241.746758581678</v>
      </c>
      <c r="H2137" s="5" t="s">
        <v>662</v>
      </c>
      <c r="I2137" s="7">
        <v>1213500</v>
      </c>
      <c r="J2137" s="8">
        <v>3.8500000000000013E-2</v>
      </c>
    </row>
    <row r="2138" spans="1:10" x14ac:dyDescent="0.25">
      <c r="A2138" s="5" t="s">
        <v>650</v>
      </c>
      <c r="B2138" s="5" t="s">
        <v>4005</v>
      </c>
      <c r="C2138" s="6" t="str">
        <f>_xll.QS.CONTEXT.CREATE("market.2136",A2138,"USD","SOFR")</f>
        <v>QSObject:PricingContext:w1~market.2136:9677</v>
      </c>
      <c r="D2138" s="6" t="str">
        <f>_xll.QS.CONTEXT.ADD.CURVE(C2138,"SOFR",$K$2:$K$7,$L$2:$L$7,,,"Actual360","LogLinear",TRUE)</f>
        <v>QSObject:ContextInput:w1~input.qs_context_add_curve.2359132437744.2137.3.0:38123</v>
      </c>
      <c r="E2138" s="6" t="str">
        <f>_xll.QS.INSTRUMENT.SWAP("swap.2136",H2138,B2138,"USD","SOFR",I2138,J2138,0,"Actual360","Simple","Annual","Annual","Annual")</f>
        <v>QSObject:Swap:w1~swap.2136:11316</v>
      </c>
      <c r="F2138" s="6" t="str">
        <f>_xll.QS.TRADE.CREATE("trade.2136",E2138,A2138,"Receive")</f>
        <v>QSObject:SwapTrade:w1~trade.2136:29883</v>
      </c>
      <c r="G2138" s="3">
        <f>_xll.QS.EVALUATE(C2138,F2138)</f>
        <v>36893.195309104893</v>
      </c>
      <c r="H2138" s="5" t="s">
        <v>664</v>
      </c>
      <c r="I2138" s="7">
        <v>1213600</v>
      </c>
      <c r="J2138" s="8">
        <v>3.8600000000000002E-2</v>
      </c>
    </row>
    <row r="2139" spans="1:10" x14ac:dyDescent="0.25">
      <c r="A2139" s="5" t="s">
        <v>652</v>
      </c>
      <c r="B2139" s="5" t="s">
        <v>4006</v>
      </c>
      <c r="C2139" s="6" t="str">
        <f>_xll.QS.CONTEXT.CREATE("market.2137",A2139,"USD","SOFR")</f>
        <v>QSObject:PricingContext:w1~market.2137:17132</v>
      </c>
      <c r="D2139" s="6" t="str">
        <f>_xll.QS.CONTEXT.ADD.CURVE(C2139,"SOFR",$K$2:$K$7,$L$2:$L$7,,,"Actual360","LogLinear",TRUE)</f>
        <v>QSObject:ContextInput:w1~input.qs_context_add_curve.2359132437744.2138.3.0:38122</v>
      </c>
      <c r="E2139" s="6" t="str">
        <f>_xll.QS.INSTRUMENT.SWAP("swap.2137",H2139,B2139,"USD","SOFR",I2139,J2139,0,"Actual360","Simple","Annual","Annual","Annual")</f>
        <v>QSObject:Swap:w1~swap.2137:8080</v>
      </c>
      <c r="F2139" s="6" t="str">
        <f>_xll.QS.TRADE.CREATE("trade.2137",E2139,A2139,"Receive")</f>
        <v>QSObject:SwapTrade:w1~trade.2137:14460</v>
      </c>
      <c r="G2139" s="3">
        <f>_xll.QS.EVALUATE(C2139,F2139)</f>
        <v>37455.993847130681</v>
      </c>
      <c r="H2139" s="5" t="s">
        <v>666</v>
      </c>
      <c r="I2139" s="7">
        <v>1213700</v>
      </c>
      <c r="J2139" s="8">
        <v>3.8700000000000012E-2</v>
      </c>
    </row>
    <row r="2140" spans="1:10" x14ac:dyDescent="0.25">
      <c r="A2140" s="5" t="s">
        <v>654</v>
      </c>
      <c r="B2140" s="5" t="s">
        <v>4007</v>
      </c>
      <c r="C2140" s="6" t="str">
        <f>_xll.QS.CONTEXT.CREATE("market.2138",A2140,"USD","SOFR")</f>
        <v>QSObject:PricingContext:w1~market.2138:4897</v>
      </c>
      <c r="D2140" s="6" t="str">
        <f>_xll.QS.CONTEXT.ADD.CURVE(C2140,"SOFR",$K$2:$K$7,$L$2:$L$7,,,"Actual360","LogLinear",TRUE)</f>
        <v>QSObject:ContextInput:w1~input.qs_context_add_curve.2359132437744.2139.3.0:16143</v>
      </c>
      <c r="E2140" s="6" t="str">
        <f>_xll.QS.INSTRUMENT.SWAP("swap.2138",H2140,B2140,"USD","SOFR",I2140,J2140,0,"Actual360","Simple","Annual","Annual","Annual")</f>
        <v>QSObject:Swap:w1~swap.2138:18112</v>
      </c>
      <c r="F2140" s="6" t="str">
        <f>_xll.QS.TRADE.CREATE("trade.2138",E2140,A2140,"Receive")</f>
        <v>QSObject:SwapTrade:w1~trade.2138:29882</v>
      </c>
      <c r="G2140" s="3">
        <f>_xll.QS.EVALUATE(C2140,F2140)</f>
        <v>38025.742214822196</v>
      </c>
      <c r="H2140" s="5" t="s">
        <v>668</v>
      </c>
      <c r="I2140" s="7">
        <v>1213800</v>
      </c>
      <c r="J2140" s="8">
        <v>3.8800000000000001E-2</v>
      </c>
    </row>
    <row r="2141" spans="1:10" x14ac:dyDescent="0.25">
      <c r="A2141" s="5" t="s">
        <v>656</v>
      </c>
      <c r="B2141" s="5" t="s">
        <v>4008</v>
      </c>
      <c r="C2141" s="6" t="str">
        <f>_xll.QS.CONTEXT.CREATE("market.2139",A2141,"USD","SOFR")</f>
        <v>QSObject:PricingContext:w1~market.2139:6476</v>
      </c>
      <c r="D2141" s="6" t="str">
        <f>_xll.QS.CONTEXT.ADD.CURVE(C2141,"SOFR",$K$2:$K$7,$L$2:$L$7,,,"Actual360","LogLinear",TRUE)</f>
        <v>QSObject:ContextInput:w1~input.qs_context_add_curve.2359132437744.2140.3.0:29881</v>
      </c>
      <c r="E2141" s="6" t="str">
        <f>_xll.QS.INSTRUMENT.SWAP("swap.2139",H2141,B2141,"USD","SOFR",I2141,J2141,0,"Actual360","Simple","Annual","Annual","Annual")</f>
        <v>QSObject:Swap:w1~swap.2139:1803</v>
      </c>
      <c r="F2141" s="6" t="str">
        <f>_xll.QS.TRADE.CREATE("trade.2139",E2141,A2141,"Receive")</f>
        <v>QSObject:SwapTrade:w1~trade.2139:8079</v>
      </c>
      <c r="G2141" s="3">
        <f>_xll.QS.EVALUATE(C2141,F2141)</f>
        <v>38589.977934139606</v>
      </c>
      <c r="H2141" s="5" t="s">
        <v>670</v>
      </c>
      <c r="I2141" s="7">
        <v>1213900</v>
      </c>
      <c r="J2141" s="8">
        <v>3.8899999999999997E-2</v>
      </c>
    </row>
    <row r="2142" spans="1:10" x14ac:dyDescent="0.25">
      <c r="A2142" s="5" t="s">
        <v>658</v>
      </c>
      <c r="B2142" s="5" t="s">
        <v>4009</v>
      </c>
      <c r="C2142" s="6" t="str">
        <f>_xll.QS.CONTEXT.CREATE("market.2140",A2142,"USD","SOFR")</f>
        <v>QSObject:PricingContext:w1~market.2140:17131</v>
      </c>
      <c r="D2142" s="6" t="str">
        <f>_xll.QS.CONTEXT.ADD.CURVE(C2142,"SOFR",$K$2:$K$7,$L$2:$L$7,,,"Actual360","LogLinear",TRUE)</f>
        <v>QSObject:ContextInput:w1~input.qs_context_add_curve.2359132437744.2141.3.0:38121</v>
      </c>
      <c r="E2142" s="6" t="str">
        <f>_xll.QS.INSTRUMENT.SWAP("swap.2140",H2142,B2142,"USD","SOFR",I2142,J2142,0,"Actual360","Simple","Annual","Annual","Annual")</f>
        <v>QSObject:Swap:w1~swap.2140:14459</v>
      </c>
      <c r="F2142" s="6" t="str">
        <f>_xll.QS.TRADE.CREATE("trade.2140",E2142,A2142,"Receive")</f>
        <v>QSObject:SwapTrade:w1~trade.2140:29880</v>
      </c>
      <c r="G2142" s="3">
        <f>_xll.QS.EVALUATE(C2142,F2142)</f>
        <v>39002.094456564468</v>
      </c>
      <c r="H2142" s="5" t="s">
        <v>672</v>
      </c>
      <c r="I2142" s="7">
        <v>1214000</v>
      </c>
      <c r="J2142" s="8">
        <v>3.9000000000000007E-2</v>
      </c>
    </row>
    <row r="2143" spans="1:10" x14ac:dyDescent="0.25">
      <c r="A2143" s="5" t="s">
        <v>660</v>
      </c>
      <c r="B2143" s="5" t="s">
        <v>4010</v>
      </c>
      <c r="C2143" s="6" t="str">
        <f>_xll.QS.CONTEXT.CREATE("market.2141",A2143,"USD","SOFR")</f>
        <v>QSObject:PricingContext:w1~market.2141:4896</v>
      </c>
      <c r="D2143" s="6" t="str">
        <f>_xll.QS.CONTEXT.ADD.CURVE(C2143,"SOFR",$K$2:$K$7,$L$2:$L$7,,,"Actual360","LogLinear",TRUE)</f>
        <v>QSObject:ContextInput:w1~input.qs_context_add_curve.2359132437744.2142.3.0:18111</v>
      </c>
      <c r="E2143" s="6" t="str">
        <f>_xll.QS.INSTRUMENT.SWAP("swap.2141",H2143,B2143,"USD","SOFR",I2143,J2143,0,"Actual360","Simple","Annual","Annual","Annual")</f>
        <v>QSObject:Swap:w1~swap.2141:16142</v>
      </c>
      <c r="F2143" s="6" t="str">
        <f>_xll.QS.TRADE.CREATE("trade.2141",E2143,A2143,"Receive")</f>
        <v>QSObject:SwapTrade:w1~trade.2141:29879</v>
      </c>
      <c r="G2143" s="3">
        <f>_xll.QS.EVALUATE(C2143,F2143)</f>
        <v>39568.498176603251</v>
      </c>
      <c r="H2143" s="5" t="s">
        <v>674</v>
      </c>
      <c r="I2143" s="7">
        <v>1214100</v>
      </c>
      <c r="J2143" s="8">
        <v>3.9100000000000003E-2</v>
      </c>
    </row>
    <row r="2144" spans="1:10" x14ac:dyDescent="0.25">
      <c r="A2144" s="5" t="s">
        <v>662</v>
      </c>
      <c r="B2144" s="5" t="s">
        <v>4011</v>
      </c>
      <c r="C2144" s="6" t="str">
        <f>_xll.QS.CONTEXT.CREATE("market.2142",A2144,"USD","SOFR")</f>
        <v>QSObject:PricingContext:w1~market.2142:3329</v>
      </c>
      <c r="D2144" s="6" t="str">
        <f>_xll.QS.CONTEXT.ADD.CURVE(C2144,"SOFR",$K$2:$K$7,$L$2:$L$7,,,"Actual360","LogLinear",TRUE)</f>
        <v>QSObject:ContextInput:w1~input.qs_context_add_curve.2359132437744.2143.3.0:6475</v>
      </c>
      <c r="E2144" s="6" t="str">
        <f>_xll.QS.INSTRUMENT.SWAP("swap.2142",H2144,B2144,"USD","SOFR",I2144,J2144,0,"Actual360","Simple","Annual","Annual","Annual")</f>
        <v>QSObject:Swap:w1~swap.2142:1802</v>
      </c>
      <c r="F2144" s="6" t="str">
        <f>_xll.QS.TRADE.CREATE("trade.2142",E2144,A2144,"Receive")</f>
        <v>QSObject:SwapTrade:w1~trade.2142:17130</v>
      </c>
      <c r="G2144" s="3">
        <f>_xll.QS.EVALUATE(C2144,F2144)</f>
        <v>40183.845603925503</v>
      </c>
      <c r="H2144" s="5" t="s">
        <v>676</v>
      </c>
      <c r="I2144" s="7">
        <v>1214200</v>
      </c>
      <c r="J2144" s="8">
        <v>3.9200000000000013E-2</v>
      </c>
    </row>
    <row r="2145" spans="1:10" x14ac:dyDescent="0.25">
      <c r="A2145" s="5" t="s">
        <v>664</v>
      </c>
      <c r="B2145" s="5" t="s">
        <v>4012</v>
      </c>
      <c r="C2145" s="6" t="str">
        <f>_xll.QS.CONTEXT.CREATE("market.2143",A2145,"USD","SOFR")</f>
        <v>QSObject:PricingContext:w1~market.2143:12822</v>
      </c>
      <c r="D2145" s="6" t="str">
        <f>_xll.QS.CONTEXT.ADD.CURVE(C2145,"SOFR",$K$2:$K$7,$L$2:$L$7,,,"Actual360","LogLinear",TRUE)</f>
        <v>QSObject:ContextInput:w1~input.qs_context_add_curve.2359132437744.2144.3.0:29878</v>
      </c>
      <c r="E2145" s="6" t="str">
        <f>_xll.QS.INSTRUMENT.SWAP("swap.2143",H2145,B2145,"USD","SOFR",I2145,J2145,0,"Actual360","Simple","Annual","Annual","Annual")</f>
        <v>QSObject:Swap:w1~swap.2143:14458</v>
      </c>
      <c r="F2145" s="6" t="str">
        <f>_xll.QS.TRADE.CREATE("trade.2143",E2145,A2145,"Receive")</f>
        <v>QSObject:SwapTrade:w1~trade.2143:29877</v>
      </c>
      <c r="G2145" s="3">
        <f>_xll.QS.EVALUATE(C2145,F2145)</f>
        <v>40836.273306804265</v>
      </c>
      <c r="H2145" s="5" t="s">
        <v>678</v>
      </c>
      <c r="I2145" s="7">
        <v>1214300</v>
      </c>
      <c r="J2145" s="8">
        <v>3.9300000000000002E-2</v>
      </c>
    </row>
    <row r="2146" spans="1:10" x14ac:dyDescent="0.25">
      <c r="A2146" s="5" t="s">
        <v>666</v>
      </c>
      <c r="B2146" s="5" t="s">
        <v>4013</v>
      </c>
      <c r="C2146" s="6" t="str">
        <f>_xll.QS.CONTEXT.CREATE("market.2144",A2146,"USD","SOFR")</f>
        <v>QSObject:PricingContext:w1~market.2144:11315</v>
      </c>
      <c r="D2146" s="6" t="str">
        <f>_xll.QS.CONTEXT.ADD.CURVE(C2146,"SOFR",$K$2:$K$7,$L$2:$L$7,,,"Actual360","LogLinear",TRUE)</f>
        <v>QSObject:ContextInput:w1~input.qs_context_add_curve.2359132437744.2145.3.0:18110</v>
      </c>
      <c r="E2146" s="6" t="str">
        <f>_xll.QS.INSTRUMENT.SWAP("swap.2144",H2146,B2146,"USD","SOFR",I2146,J2146,0,"Actual360","Simple","Annual","Annual","Annual")</f>
        <v>QSObject:Swap:w1~swap.2144:9676</v>
      </c>
      <c r="F2146" s="6" t="str">
        <f>_xll.QS.TRADE.CREATE("trade.2144",E2146,A2146,"Receive")</f>
        <v>QSObject:SwapTrade:w1~trade.2144:29876</v>
      </c>
      <c r="G2146" s="3">
        <f>_xll.QS.EVALUATE(C2146,F2146)</f>
        <v>41399.716687858127</v>
      </c>
      <c r="H2146" s="5" t="s">
        <v>680</v>
      </c>
      <c r="I2146" s="7">
        <v>1214400</v>
      </c>
      <c r="J2146" s="8">
        <v>3.9399999999999998E-2</v>
      </c>
    </row>
    <row r="2147" spans="1:10" x14ac:dyDescent="0.25">
      <c r="A2147" s="5" t="s">
        <v>668</v>
      </c>
      <c r="B2147" s="5" t="s">
        <v>4014</v>
      </c>
      <c r="C2147" s="6" t="str">
        <f>_xll.QS.CONTEXT.CREATE("market.2145",A2147,"USD","SOFR")</f>
        <v>QSObject:PricingContext:w1~market.2145:12821</v>
      </c>
      <c r="D2147" s="6" t="str">
        <f>_xll.QS.CONTEXT.ADD.CURVE(C2147,"SOFR",$K$2:$K$7,$L$2:$L$7,,,"Actual360","LogLinear",TRUE)</f>
        <v>QSObject:ContextInput:w1~input.qs_context_add_curve.2359132437744.2146.3.0:29875</v>
      </c>
      <c r="E2147" s="6" t="str">
        <f>_xll.QS.INSTRUMENT.SWAP("swap.2145",H2147,B2147,"USD","SOFR",I2147,J2147,0,"Actual360","Simple","Annual","Annual","Annual")</f>
        <v>QSObject:Swap:w1~swap.2145:17129</v>
      </c>
      <c r="F2147" s="6" t="str">
        <f>_xll.QS.TRADE.CREATE("trade.2145",E2147,A2147,"Receive")</f>
        <v>QSObject:SwapTrade:w1~trade.2145:29874</v>
      </c>
      <c r="G2147" s="3">
        <f>_xll.QS.EVALUATE(C2147,F2147)</f>
        <v>41918.351528268373</v>
      </c>
      <c r="H2147" s="5" t="s">
        <v>682</v>
      </c>
      <c r="I2147" s="7">
        <v>1214500</v>
      </c>
      <c r="J2147" s="8">
        <v>3.9500000000000007E-2</v>
      </c>
    </row>
    <row r="2148" spans="1:10" x14ac:dyDescent="0.25">
      <c r="A2148" s="5" t="s">
        <v>670</v>
      </c>
      <c r="B2148" s="5" t="s">
        <v>4015</v>
      </c>
      <c r="C2148" s="6" t="str">
        <f>_xll.QS.CONTEXT.CREATE("market.2146",A2148,"USD","SOFR")</f>
        <v>QSObject:PricingContext:w1~market.2146:16141</v>
      </c>
      <c r="D2148" s="6" t="str">
        <f>_xll.QS.CONTEXT.ADD.CURVE(C2148,"SOFR",$K$2:$K$7,$L$2:$L$7,,,"Actual360","LogLinear",TRUE)</f>
        <v>QSObject:ContextInput:w1~input.qs_context_add_curve.2359132437744.2147.3.0:29873</v>
      </c>
      <c r="E2148" s="6" t="str">
        <f>_xll.QS.INSTRUMENT.SWAP("swap.2146",H2148,B2148,"USD","SOFR",I2148,J2148,0,"Actual360","Simple","Annual","Annual","Annual")</f>
        <v>QSObject:Swap:w1~swap.2146:14457</v>
      </c>
      <c r="F2148" s="6" t="str">
        <f>_xll.QS.TRADE.CREATE("trade.2146",E2148,A2148,"Receive")</f>
        <v>QSObject:SwapTrade:w1~trade.2146:29872</v>
      </c>
      <c r="G2148" s="3">
        <f>_xll.QS.EVALUATE(C2148,F2148)</f>
        <v>42579.768137258587</v>
      </c>
      <c r="H2148" s="5" t="s">
        <v>684</v>
      </c>
      <c r="I2148" s="7">
        <v>1214600</v>
      </c>
      <c r="J2148" s="8">
        <v>3.9600000000000003E-2</v>
      </c>
    </row>
    <row r="2149" spans="1:10" x14ac:dyDescent="0.25">
      <c r="A2149" s="5" t="s">
        <v>672</v>
      </c>
      <c r="B2149" s="5" t="s">
        <v>4016</v>
      </c>
      <c r="C2149" s="6" t="str">
        <f>_xll.QS.CONTEXT.CREATE("market.2147",A2149,"USD","SOFR")</f>
        <v>QSObject:PricingContext:w1~market.2147:4895</v>
      </c>
      <c r="D2149" s="6" t="str">
        <f>_xll.QS.CONTEXT.ADD.CURVE(C2149,"SOFR",$K$2:$K$7,$L$2:$L$7,,,"Actual360","LogLinear",TRUE)</f>
        <v>QSObject:ContextInput:w1~input.qs_context_add_curve.2359132437744.2148.3.0:18109</v>
      </c>
      <c r="E2149" s="6" t="str">
        <f>_xll.QS.INSTRUMENT.SWAP("swap.2147",H2149,B2149,"USD","SOFR",I2149,J2149,0,"Actual360","Simple","Annual","Annual","Annual")</f>
        <v>QSObject:Swap:w1~swap.2147:9675</v>
      </c>
      <c r="F2149" s="6" t="str">
        <f>_xll.QS.TRADE.CREATE("trade.2147",E2149,A2149,"Receive")</f>
        <v>QSObject:SwapTrade:w1~trade.2147:29871</v>
      </c>
      <c r="G2149" s="3">
        <f>_xll.QS.EVALUATE(C2149,F2149)</f>
        <v>42991.548083268164</v>
      </c>
      <c r="H2149" s="5" t="s">
        <v>686</v>
      </c>
      <c r="I2149" s="7">
        <v>1214700</v>
      </c>
      <c r="J2149" s="8">
        <v>3.9700000000000013E-2</v>
      </c>
    </row>
    <row r="2150" spans="1:10" x14ac:dyDescent="0.25">
      <c r="A2150" s="5" t="s">
        <v>674</v>
      </c>
      <c r="B2150" s="5" t="s">
        <v>4017</v>
      </c>
      <c r="C2150" s="6" t="str">
        <f>_xll.QS.CONTEXT.CREATE("market.2148",A2150,"USD","SOFR")</f>
        <v>QSObject:PricingContext:w1~market.2148:8078</v>
      </c>
      <c r="D2150" s="6" t="str">
        <f>_xll.QS.CONTEXT.ADD.CURVE(C2150,"SOFR",$K$2:$K$7,$L$2:$L$7,,,"Actual360","LogLinear",TRUE)</f>
        <v>QSObject:ContextInput:w1~input.qs_context_add_curve.2359132437744.2149.3.0:12820</v>
      </c>
      <c r="E2150" s="6" t="str">
        <f>_xll.QS.INSTRUMENT.SWAP("swap.2148",H2150,B2150,"USD","SOFR",I2150,J2150,0,"Actual360","Simple","Annual","Annual","Annual")</f>
        <v>QSObject:Swap:w1~swap.2148:6474</v>
      </c>
      <c r="F2150" s="6" t="str">
        <f>_xll.QS.TRADE.CREATE("trade.2148",E2150,A2150,"Receive")</f>
        <v>QSObject:SwapTrade:w1~trade.2148:17128</v>
      </c>
      <c r="G2150" s="3">
        <f>_xll.QS.EVALUATE(C2150,F2150)</f>
        <v>43558.88885335574</v>
      </c>
      <c r="H2150" s="5" t="s">
        <v>688</v>
      </c>
      <c r="I2150" s="7">
        <v>1214800</v>
      </c>
      <c r="J2150" s="8">
        <v>3.9800000000000002E-2</v>
      </c>
    </row>
    <row r="2151" spans="1:10" x14ac:dyDescent="0.25">
      <c r="A2151" s="5" t="s">
        <v>676</v>
      </c>
      <c r="B2151" s="5" t="s">
        <v>4018</v>
      </c>
      <c r="C2151" s="6" t="str">
        <f>_xll.QS.CONTEXT.CREATE("market.2149",A2151,"USD","SOFR")</f>
        <v>QSObject:PricingContext:w1~market.2149:3328</v>
      </c>
      <c r="D2151" s="6" t="str">
        <f>_xll.QS.CONTEXT.ADD.CURVE(C2151,"SOFR",$K$2:$K$7,$L$2:$L$7,,,"Actual360","LogLinear",TRUE)</f>
        <v>QSObject:ContextInput:w1~input.qs_context_add_curve.2359132437744.2150.3.0:14456</v>
      </c>
      <c r="E2151" s="6" t="str">
        <f>_xll.QS.INSTRUMENT.SWAP("swap.2149",H2151,B2151,"USD","SOFR",I2151,J2151,0,"Actual360","Simple","Annual","Annual","Annual")</f>
        <v>QSObject:Swap:w1~swap.2149:16140</v>
      </c>
      <c r="F2151" s="6" t="str">
        <f>_xll.QS.TRADE.CREATE("trade.2149",E2151,A2151,"Receive")</f>
        <v>QSObject:SwapTrade:w1~trade.2149:18108</v>
      </c>
      <c r="G2151" s="3">
        <f>_xll.QS.EVALUATE(C2151,F2151)</f>
        <v>44265.123692904737</v>
      </c>
      <c r="H2151" s="5" t="s">
        <v>690</v>
      </c>
      <c r="I2151" s="7">
        <v>1214900</v>
      </c>
      <c r="J2151" s="8">
        <v>3.9899999999999998E-2</v>
      </c>
    </row>
    <row r="2152" spans="1:10" x14ac:dyDescent="0.25">
      <c r="A2152" s="5" t="s">
        <v>678</v>
      </c>
      <c r="B2152" s="5" t="s">
        <v>4019</v>
      </c>
      <c r="C2152" s="6" t="str">
        <f>_xll.QS.CONTEXT.CREATE("market.2150",A2152,"USD","SOFR")</f>
        <v>QSObject:PricingContext:w1~market.2150:1801</v>
      </c>
      <c r="D2152" s="6" t="str">
        <f>_xll.QS.CONTEXT.ADD.CURVE(C2152,"SOFR",$K$2:$K$7,$L$2:$L$7,,,"Actual360","LogLinear",TRUE)</f>
        <v>QSObject:ContextInput:w1~input.qs_context_add_curve.2359132437744.2151.3.0:4894</v>
      </c>
      <c r="E2152" s="6" t="str">
        <f>_xll.QS.INSTRUMENT.SWAP("swap.2150",H2152,B2152,"USD","SOFR",I2152,J2152,0,"Actual360","Simple","Annual","Annual","Annual")</f>
        <v>QSObject:Swap:w1~swap.2150:11314</v>
      </c>
      <c r="F2152" s="6" t="str">
        <f>_xll.QS.TRADE.CREATE("trade.2150",E2152,A2152,"Receive")</f>
        <v>QSObject:SwapTrade:w1~trade.2150:29870</v>
      </c>
      <c r="G2152" s="3">
        <f>_xll.QS.EVALUATE(C2152,F2152)</f>
        <v>16803.555706131483</v>
      </c>
      <c r="H2152" s="5" t="s">
        <v>692</v>
      </c>
      <c r="I2152" s="7">
        <v>1215000</v>
      </c>
      <c r="J2152" s="8">
        <v>3.5000000000000003E-2</v>
      </c>
    </row>
    <row r="2153" spans="1:10" x14ac:dyDescent="0.25">
      <c r="A2153" s="5" t="s">
        <v>680</v>
      </c>
      <c r="B2153" s="5" t="s">
        <v>4020</v>
      </c>
      <c r="C2153" s="6" t="str">
        <f>_xll.QS.CONTEXT.CREATE("market.2151",A2153,"USD","SOFR")</f>
        <v>QSObject:PricingContext:w1~market.2151:9674</v>
      </c>
      <c r="D2153" s="6" t="str">
        <f>_xll.QS.CONTEXT.ADD.CURVE(C2153,"SOFR",$K$2:$K$7,$L$2:$L$7,,,"Actual360","LogLinear",TRUE)</f>
        <v>QSObject:ContextInput:w1~input.qs_context_add_curve.2359132437744.2152.3.0:12819</v>
      </c>
      <c r="E2153" s="6" t="str">
        <f>_xll.QS.INSTRUMENT.SWAP("swap.2151",H2153,B2153,"USD","SOFR",I2153,J2153,0,"Actual360","Simple","Annual","Annual","Annual")</f>
        <v>QSObject:Swap:w1~swap.2151:6473</v>
      </c>
      <c r="F2153" s="6" t="str">
        <f>_xll.QS.TRADE.CREATE("trade.2151",E2153,A2153,"Receive")</f>
        <v>QSObject:SwapTrade:w1~trade.2151:17127</v>
      </c>
      <c r="G2153" s="3">
        <f>_xll.QS.EVALUATE(C2153,F2153)</f>
        <v>17373.058486530586</v>
      </c>
      <c r="H2153" s="5" t="s">
        <v>694</v>
      </c>
      <c r="I2153" s="7">
        <v>1215100</v>
      </c>
      <c r="J2153" s="8">
        <v>3.5100000000000013E-2</v>
      </c>
    </row>
    <row r="2154" spans="1:10" x14ac:dyDescent="0.25">
      <c r="A2154" s="5" t="s">
        <v>682</v>
      </c>
      <c r="B2154" s="5" t="s">
        <v>4021</v>
      </c>
      <c r="C2154" s="6" t="str">
        <f>_xll.QS.CONTEXT.CREATE("market.2152",A2154,"USD","SOFR")</f>
        <v>QSObject:PricingContext:w1~market.2152:3327</v>
      </c>
      <c r="D2154" s="6" t="str">
        <f>_xll.QS.CONTEXT.ADD.CURVE(C2154,"SOFR",$K$2:$K$7,$L$2:$L$7,,,"Actual360","LogLinear",TRUE)</f>
        <v>QSObject:ContextInput:w1~input.qs_context_add_curve.2359132437744.2153.3.0:16139</v>
      </c>
      <c r="E2154" s="6" t="str">
        <f>_xll.QS.INSTRUMENT.SWAP("swap.2152",H2154,B2154,"USD","SOFR",I2154,J2154,0,"Actual360","Simple","Annual","Annual","Annual")</f>
        <v>QSObject:Swap:w1~swap.2152:14455</v>
      </c>
      <c r="F2154" s="6" t="str">
        <f>_xll.QS.TRADE.CREATE("trade.2152",E2154,A2154,"Receive")</f>
        <v>QSObject:SwapTrade:w1~trade.2152:18107</v>
      </c>
      <c r="G2154" s="3">
        <f>_xll.QS.EVALUATE(C2154,F2154)</f>
        <v>17887.2218865412</v>
      </c>
      <c r="H2154" s="5" t="s">
        <v>696</v>
      </c>
      <c r="I2154" s="7">
        <v>1215200</v>
      </c>
      <c r="J2154" s="8">
        <v>3.5200000000000002E-2</v>
      </c>
    </row>
    <row r="2155" spans="1:10" x14ac:dyDescent="0.25">
      <c r="A2155" s="5" t="s">
        <v>684</v>
      </c>
      <c r="B2155" s="5" t="s">
        <v>4022</v>
      </c>
      <c r="C2155" s="6" t="str">
        <f>_xll.QS.CONTEXT.CREATE("market.2153",A2155,"USD","SOFR")</f>
        <v>QSObject:PricingContext:w1~market.2153:11313</v>
      </c>
      <c r="D2155" s="6" t="str">
        <f>_xll.QS.CONTEXT.ADD.CURVE(C2155,"SOFR",$K$2:$K$7,$L$2:$L$7,,,"Actual360","LogLinear",TRUE)</f>
        <v>QSObject:ContextInput:w1~input.qs_context_add_curve.2359132437744.2154.3.0:38120</v>
      </c>
      <c r="E2155" s="6" t="str">
        <f>_xll.QS.INSTRUMENT.SWAP("swap.2153",H2155,B2155,"USD","SOFR",I2155,J2155,0,"Actual360","Simple","Annual","Annual","Annual")</f>
        <v>QSObject:Swap:w1~swap.2153:4893</v>
      </c>
      <c r="F2155" s="6" t="str">
        <f>_xll.QS.TRADE.CREATE("trade.2153",E2155,A2155,"Receive")</f>
        <v>QSObject:SwapTrade:w1~trade.2153:6472</v>
      </c>
      <c r="G2155" s="3">
        <f>_xll.QS.EVALUATE(C2155,F2155)</f>
        <v>18449.001509862981</v>
      </c>
      <c r="H2155" s="5" t="s">
        <v>698</v>
      </c>
      <c r="I2155" s="7">
        <v>1215300</v>
      </c>
      <c r="J2155" s="8">
        <v>3.5299999999999998E-2</v>
      </c>
    </row>
    <row r="2156" spans="1:10" x14ac:dyDescent="0.25">
      <c r="A2156" s="5" t="s">
        <v>686</v>
      </c>
      <c r="B2156" s="5" t="s">
        <v>4023</v>
      </c>
      <c r="C2156" s="6" t="str">
        <f>_xll.QS.CONTEXT.CREATE("market.2154",A2156,"USD","SOFR")</f>
        <v>QSObject:PricingContext:w1~market.2154:12818</v>
      </c>
      <c r="D2156" s="6" t="str">
        <f>_xll.QS.CONTEXT.ADD.CURVE(C2156,"SOFR",$K$2:$K$7,$L$2:$L$7,,,"Actual360","LogLinear",TRUE)</f>
        <v>QSObject:ContextInput:w1~input.qs_context_add_curve.2359132437744.2155.3.0:29869</v>
      </c>
      <c r="E2156" s="6" t="str">
        <f>_xll.QS.INSTRUMENT.SWAP("swap.2154",H2156,B2156,"USD","SOFR",I2156,J2156,0,"Actual360","Simple","Annual","Annual","Annual")</f>
        <v>QSObject:Swap:w1~swap.2154:17126</v>
      </c>
      <c r="F2156" s="6" t="str">
        <f>_xll.QS.TRADE.CREATE("trade.2154",E2156,A2156,"Receive")</f>
        <v>QSObject:SwapTrade:w1~trade.2154:29868</v>
      </c>
      <c r="G2156" s="3">
        <f>_xll.QS.EVALUATE(C2156,F2156)</f>
        <v>18863.974992632349</v>
      </c>
      <c r="H2156" s="5" t="s">
        <v>700</v>
      </c>
      <c r="I2156" s="7">
        <v>1215400</v>
      </c>
      <c r="J2156" s="8">
        <v>3.5400000000000001E-2</v>
      </c>
    </row>
    <row r="2157" spans="1:10" x14ac:dyDescent="0.25">
      <c r="A2157" s="5" t="s">
        <v>688</v>
      </c>
      <c r="B2157" s="5" t="s">
        <v>4024</v>
      </c>
      <c r="C2157" s="6" t="str">
        <f>_xll.QS.CONTEXT.CREATE("market.2155",A2157,"USD","SOFR")</f>
        <v>QSObject:PricingContext:w1~market.2155:9673</v>
      </c>
      <c r="D2157" s="6" t="str">
        <f>_xll.QS.CONTEXT.ADD.CURVE(C2157,"SOFR",$K$2:$K$7,$L$2:$L$7,,,"Actual360","LogLinear",TRUE)</f>
        <v>QSObject:ContextInput:w1~input.qs_context_add_curve.2359132437744.2156.3.0:14454</v>
      </c>
      <c r="E2157" s="6" t="str">
        <f>_xll.QS.INSTRUMENT.SWAP("swap.2155",H2157,B2157,"USD","SOFR",I2157,J2157,0,"Actual360","Simple","Annual","Annual","Annual")</f>
        <v>QSObject:Swap:w1~swap.2155:3326</v>
      </c>
      <c r="F2157" s="6" t="str">
        <f>_xll.QS.TRADE.CREATE("trade.2155",E2157,A2157,"Receive")</f>
        <v>QSObject:SwapTrade:w1~trade.2155:4892</v>
      </c>
      <c r="G2157" s="3">
        <f>_xll.QS.EVALUATE(C2157,F2157)</f>
        <v>19427.909957495831</v>
      </c>
      <c r="H2157" s="5" t="s">
        <v>702</v>
      </c>
      <c r="I2157" s="7">
        <v>1215500</v>
      </c>
      <c r="J2157" s="8">
        <v>3.5499999999999997E-2</v>
      </c>
    </row>
    <row r="2158" spans="1:10" x14ac:dyDescent="0.25">
      <c r="A2158" s="5" t="s">
        <v>690</v>
      </c>
      <c r="B2158" s="5" t="s">
        <v>4025</v>
      </c>
      <c r="C2158" s="6" t="str">
        <f>_xll.QS.CONTEXT.CREATE("market.2156",A2158,"USD","SOFR")</f>
        <v>QSObject:PricingContext:w1~market.2156:1800</v>
      </c>
      <c r="D2158" s="6" t="str">
        <f>_xll.QS.CONTEXT.ADD.CURVE(C2158,"SOFR",$K$2:$K$7,$L$2:$L$7,,,"Actual360","LogLinear",TRUE)</f>
        <v>QSObject:ContextInput:w1~input.qs_context_add_curve.2359132437744.2157.3.0:18106</v>
      </c>
      <c r="E2158" s="6" t="str">
        <f>_xll.QS.INSTRUMENT.SWAP("swap.2156",H2158,B2158,"USD","SOFR",I2158,J2158,0,"Actual360","Simple","Annual","Annual","Annual")</f>
        <v>QSObject:Swap:w1~swap.2156:11312</v>
      </c>
      <c r="F2158" s="6" t="str">
        <f>_xll.QS.TRADE.CREATE("trade.2156",E2158,A2158,"Receive")</f>
        <v>QSObject:SwapTrade:w1~trade.2156:12817</v>
      </c>
      <c r="G2158" s="3">
        <f>_xll.QS.EVALUATE(C2158,F2158)</f>
        <v>20039.611322343801</v>
      </c>
      <c r="H2158" s="5" t="s">
        <v>704</v>
      </c>
      <c r="I2158" s="7">
        <v>1215600</v>
      </c>
      <c r="J2158" s="8">
        <v>3.5600000000000007E-2</v>
      </c>
    </row>
    <row r="2159" spans="1:10" x14ac:dyDescent="0.25">
      <c r="A2159" s="5" t="s">
        <v>692</v>
      </c>
      <c r="B2159" s="5" t="s">
        <v>4026</v>
      </c>
      <c r="C2159" s="6" t="str">
        <f>_xll.QS.CONTEXT.CREATE("market.2157",A2159,"USD","SOFR")</f>
        <v>QSObject:PricingContext:w1~market.2157:17125</v>
      </c>
      <c r="D2159" s="6" t="str">
        <f>_xll.QS.CONTEXT.ADD.CURVE(C2159,"SOFR",$K$2:$K$7,$L$2:$L$7,,,"Actual360","LogLinear",TRUE)</f>
        <v>QSObject:ContextInput:w1~input.qs_context_add_curve.2359132437744.2158.3.0:38119</v>
      </c>
      <c r="E2159" s="6" t="str">
        <f>_xll.QS.INSTRUMENT.SWAP("swap.2157",H2159,B2159,"USD","SOFR",I2159,J2159,0,"Actual360","Simple","Annual","Annual","Annual")</f>
        <v>QSObject:Swap:w1~swap.2157:6471</v>
      </c>
      <c r="F2159" s="6" t="str">
        <f>_xll.QS.TRADE.CREATE("trade.2157",E2159,A2159,"Receive")</f>
        <v>QSObject:SwapTrade:w1~trade.2157:16138</v>
      </c>
      <c r="G2159" s="3">
        <f>_xll.QS.EVALUATE(C2159,F2159)</f>
        <v>20691.307543400821</v>
      </c>
      <c r="H2159" s="5" t="s">
        <v>706</v>
      </c>
      <c r="I2159" s="7">
        <v>1215700</v>
      </c>
      <c r="J2159" s="8">
        <v>3.5700000000000003E-2</v>
      </c>
    </row>
    <row r="2160" spans="1:10" x14ac:dyDescent="0.25">
      <c r="A2160" s="5" t="s">
        <v>694</v>
      </c>
      <c r="B2160" s="5" t="s">
        <v>4027</v>
      </c>
      <c r="C2160" s="6" t="str">
        <f>_xll.QS.CONTEXT.CREATE("market.2158",A2160,"USD","SOFR")</f>
        <v>QSObject:PricingContext:w1~market.2158:14453</v>
      </c>
      <c r="D2160" s="6" t="str">
        <f>_xll.QS.CONTEXT.ADD.CURVE(C2160,"SOFR",$K$2:$K$7,$L$2:$L$7,,,"Actual360","LogLinear",TRUE)</f>
        <v>QSObject:ContextInput:w1~input.qs_context_add_curve.2359132437744.2159.3.0:38118</v>
      </c>
      <c r="E2160" s="6" t="str">
        <f>_xll.QS.INSTRUMENT.SWAP("swap.2158",H2160,B2160,"USD","SOFR",I2160,J2160,0,"Actual360","Simple","Annual","Annual","Annual")</f>
        <v>QSObject:Swap:w1~swap.2158:9672</v>
      </c>
      <c r="F2160" s="6" t="str">
        <f>_xll.QS.TRADE.CREATE("trade.2158",E2160,A2160,"Receive")</f>
        <v>QSObject:SwapTrade:w1~trade.2158:29867</v>
      </c>
      <c r="G2160" s="3">
        <f>_xll.QS.EVALUATE(C2160,F2160)</f>
        <v>21253.93727193206</v>
      </c>
      <c r="H2160" s="5" t="s">
        <v>708</v>
      </c>
      <c r="I2160" s="7">
        <v>1215800</v>
      </c>
      <c r="J2160" s="8">
        <v>3.5800000000000012E-2</v>
      </c>
    </row>
    <row r="2161" spans="1:10" x14ac:dyDescent="0.25">
      <c r="A2161" s="5" t="s">
        <v>696</v>
      </c>
      <c r="B2161" s="5" t="s">
        <v>4028</v>
      </c>
      <c r="C2161" s="6" t="str">
        <f>_xll.QS.CONTEXT.CREATE("market.2159",A2161,"USD","SOFR")</f>
        <v>QSObject:PricingContext:w1~market.2159:17124</v>
      </c>
      <c r="D2161" s="6" t="str">
        <f>_xll.QS.CONTEXT.ADD.CURVE(C2161,"SOFR",$K$2:$K$7,$L$2:$L$7,,,"Actual360","LogLinear",TRUE)</f>
        <v>QSObject:ContextInput:w1~input.qs_context_add_curve.2359132437744.2160.3.0:18105</v>
      </c>
      <c r="E2161" s="6" t="str">
        <f>_xll.QS.INSTRUMENT.SWAP("swap.2159",H2161,B2161,"USD","SOFR",I2161,J2161,0,"Actual360","Simple","Annual","Annual","Annual")</f>
        <v>QSObject:Swap:w1~swap.2159:12816</v>
      </c>
      <c r="F2161" s="6" t="str">
        <f>_xll.QS.TRADE.CREATE("trade.2159",E2161,A2161,"Receive")</f>
        <v>QSObject:SwapTrade:w1~trade.2159:29866</v>
      </c>
      <c r="G2161" s="3">
        <f>_xll.QS.EVALUATE(C2161,F2161)</f>
        <v>21823.156130385803</v>
      </c>
      <c r="H2161" s="5" t="s">
        <v>710</v>
      </c>
      <c r="I2161" s="7">
        <v>1215900</v>
      </c>
      <c r="J2161" s="8">
        <v>3.5900000000000001E-2</v>
      </c>
    </row>
    <row r="2162" spans="1:10" x14ac:dyDescent="0.25">
      <c r="A2162" s="5" t="s">
        <v>698</v>
      </c>
      <c r="B2162" s="5" t="s">
        <v>4029</v>
      </c>
      <c r="C2162" s="6" t="str">
        <f>_xll.QS.CONTEXT.CREATE("market.2160",A2162,"USD","SOFR")</f>
        <v>QSObject:PricingContext:w1~market.2160:14452</v>
      </c>
      <c r="D2162" s="6" t="str">
        <f>_xll.QS.CONTEXT.ADD.CURVE(C2162,"SOFR",$K$2:$K$7,$L$2:$L$7,,,"Actual360","LogLinear",TRUE)</f>
        <v>QSObject:ContextInput:w1~input.qs_context_add_curve.2359132437744.2161.3.0:38117</v>
      </c>
      <c r="E2162" s="6" t="str">
        <f>_xll.QS.INSTRUMENT.SWAP("swap.2160",H2162,B2162,"USD","SOFR",I2162,J2162,0,"Actual360","Simple","Annual","Annual","Annual")</f>
        <v>QSObject:Swap:w1~swap.2160:16137</v>
      </c>
      <c r="F2162" s="6" t="str">
        <f>_xll.QS.TRADE.CREATE("trade.2160",E2162,A2162,"Receive")</f>
        <v>QSObject:SwapTrade:w1~trade.2160:29865</v>
      </c>
      <c r="G2162" s="3">
        <f>_xll.QS.EVALUATE(C2162,F2162)</f>
        <v>22386.962636566124</v>
      </c>
      <c r="H2162" s="5" t="s">
        <v>712</v>
      </c>
      <c r="I2162" s="7">
        <v>1216000</v>
      </c>
      <c r="J2162" s="8">
        <v>3.5999999999999997E-2</v>
      </c>
    </row>
    <row r="2163" spans="1:10" x14ac:dyDescent="0.25">
      <c r="A2163" s="5" t="s">
        <v>700</v>
      </c>
      <c r="B2163" s="5" t="s">
        <v>4030</v>
      </c>
      <c r="C2163" s="6" t="str">
        <f>_xll.QS.CONTEXT.CREATE("market.2161",A2163,"USD","SOFR")</f>
        <v>QSObject:PricingContext:w1~market.2161:1799</v>
      </c>
      <c r="D2163" s="6" t="str">
        <f>_xll.QS.CONTEXT.ADD.CURVE(C2163,"SOFR",$K$2:$K$7,$L$2:$L$7,,,"Actual360","LogLinear",TRUE)</f>
        <v>QSObject:ContextInput:w1~input.qs_context_add_curve.2359132437744.2162.3.0:17123</v>
      </c>
      <c r="E2163" s="6" t="str">
        <f>_xll.QS.INSTRUMENT.SWAP("swap.2161",H2163,B2163,"USD","SOFR",I2163,J2163,0,"Actual360","Simple","Annual","Annual","Annual")</f>
        <v>QSObject:Swap:w1~swap.2161:6470</v>
      </c>
      <c r="F2163" s="6" t="str">
        <f>_xll.QS.TRADE.CREATE("trade.2161",E2163,A2163,"Receive")</f>
        <v>QSObject:SwapTrade:w1~trade.2161:29864</v>
      </c>
      <c r="G2163" s="3">
        <f>_xll.QS.EVALUATE(C2163,F2163)</f>
        <v>22801.721294651325</v>
      </c>
      <c r="H2163" s="5" t="s">
        <v>714</v>
      </c>
      <c r="I2163" s="7">
        <v>1216100</v>
      </c>
      <c r="J2163" s="8">
        <v>3.61E-2</v>
      </c>
    </row>
    <row r="2164" spans="1:10" x14ac:dyDescent="0.25">
      <c r="A2164" s="5" t="s">
        <v>702</v>
      </c>
      <c r="B2164" s="5" t="s">
        <v>4031</v>
      </c>
      <c r="C2164" s="6" t="str">
        <f>_xll.QS.CONTEXT.CREATE("market.2162",A2164,"USD","SOFR")</f>
        <v>QSObject:PricingContext:w1~market.2162:12815</v>
      </c>
      <c r="D2164" s="6" t="str">
        <f>_xll.QS.CONTEXT.ADD.CURVE(C2164,"SOFR",$K$2:$K$7,$L$2:$L$7,,,"Actual360","LogLinear",TRUE)</f>
        <v>QSObject:ContextInput:w1~input.qs_context_add_curve.2359132437744.2163.3.0:18104</v>
      </c>
      <c r="E2164" s="6" t="str">
        <f>_xll.QS.INSTRUMENT.SWAP("swap.2162",H2164,B2164,"USD","SOFR",I2164,J2164,0,"Actual360","Simple","Annual","Annual","Annual")</f>
        <v>QSObject:Swap:w1~swap.2162:4891</v>
      </c>
      <c r="F2164" s="6" t="str">
        <f>_xll.QS.TRADE.CREATE("trade.2162",E2164,A2164,"Receive")</f>
        <v>QSObject:SwapTrade:w1~trade.2162:14451</v>
      </c>
      <c r="G2164" s="3">
        <f>_xll.QS.EVALUATE(C2164,F2164)</f>
        <v>23366.396987411019</v>
      </c>
      <c r="H2164" s="5" t="s">
        <v>716</v>
      </c>
      <c r="I2164" s="7">
        <v>1216200</v>
      </c>
      <c r="J2164" s="8">
        <v>3.6200000000000003E-2</v>
      </c>
    </row>
    <row r="2165" spans="1:10" x14ac:dyDescent="0.25">
      <c r="A2165" s="5" t="s">
        <v>704</v>
      </c>
      <c r="B2165" s="5" t="s">
        <v>4032</v>
      </c>
      <c r="C2165" s="6" t="str">
        <f>_xll.QS.CONTEXT.CREATE("market.2163",A2165,"USD","SOFR")</f>
        <v>QSObject:PricingContext:w1~market.2163:9671</v>
      </c>
      <c r="D2165" s="6" t="str">
        <f>_xll.QS.CONTEXT.ADD.CURVE(C2165,"SOFR",$K$2:$K$7,$L$2:$L$7,,,"Actual360","LogLinear",TRUE)</f>
        <v>QSObject:ContextInput:w1~input.qs_context_add_curve.2359132437744.2164.3.0:11311</v>
      </c>
      <c r="E2165" s="6" t="str">
        <f>_xll.QS.INSTRUMENT.SWAP("swap.2163",H2165,B2165,"USD","SOFR",I2165,J2165,0,"Actual360","Simple","Annual","Annual","Annual")</f>
        <v>QSObject:Swap:w1~swap.2163:8077</v>
      </c>
      <c r="F2165" s="6" t="str">
        <f>_xll.QS.TRADE.CREATE("trade.2163",E2165,A2165,"Receive")</f>
        <v>QSObject:SwapTrade:w1~trade.2163:17122</v>
      </c>
      <c r="G2165" s="3">
        <f>_xll.QS.EVALUATE(C2165,F2165)</f>
        <v>23979.873372837072</v>
      </c>
      <c r="H2165" s="5" t="s">
        <v>718</v>
      </c>
      <c r="I2165" s="7">
        <v>1216300</v>
      </c>
      <c r="J2165" s="8">
        <v>3.6300000000000013E-2</v>
      </c>
    </row>
    <row r="2166" spans="1:10" x14ac:dyDescent="0.25">
      <c r="A2166" s="5" t="s">
        <v>706</v>
      </c>
      <c r="B2166" s="5" t="s">
        <v>4033</v>
      </c>
      <c r="C2166" s="6" t="str">
        <f>_xll.QS.CONTEXT.CREATE("market.2164",A2166,"USD","SOFR")</f>
        <v>QSObject:PricingContext:w1~market.2164:3325</v>
      </c>
      <c r="D2166" s="6" t="str">
        <f>_xll.QS.CONTEXT.ADD.CURVE(C2166,"SOFR",$K$2:$K$7,$L$2:$L$7,,,"Actual360","LogLinear",TRUE)</f>
        <v>QSObject:ContextInput:w1~input.qs_context_add_curve.2359132437744.2165.3.0:29863</v>
      </c>
      <c r="E2166" s="6" t="str">
        <f>_xll.QS.INSTRUMENT.SWAP("swap.2164",H2166,B2166,"USD","SOFR",I2166,J2166,0,"Actual360","Simple","Annual","Annual","Annual")</f>
        <v>QSObject:Swap:w1~swap.2164:16136</v>
      </c>
      <c r="F2166" s="6" t="str">
        <f>_xll.QS.TRADE.CREATE("trade.2164",E2166,A2166,"Receive")</f>
        <v>QSObject:SwapTrade:w1~trade.2164:29862</v>
      </c>
      <c r="G2166" s="3">
        <f>_xll.QS.EVALUATE(C2166,F2166)</f>
        <v>24631.844106044737</v>
      </c>
      <c r="H2166" s="5" t="s">
        <v>720</v>
      </c>
      <c r="I2166" s="7">
        <v>1216400</v>
      </c>
      <c r="J2166" s="8">
        <v>3.6400000000000002E-2</v>
      </c>
    </row>
    <row r="2167" spans="1:10" x14ac:dyDescent="0.25">
      <c r="A2167" s="5" t="s">
        <v>708</v>
      </c>
      <c r="B2167" s="5" t="s">
        <v>4034</v>
      </c>
      <c r="C2167" s="6" t="str">
        <f>_xll.QS.CONTEXT.CREATE("market.2165",A2167,"USD","SOFR")</f>
        <v>QSObject:PricingContext:w1~market.2165:4890</v>
      </c>
      <c r="D2167" s="6" t="str">
        <f>_xll.QS.CONTEXT.ADD.CURVE(C2167,"SOFR",$K$2:$K$7,$L$2:$L$7,,,"Actual360","LogLinear",TRUE)</f>
        <v>QSObject:ContextInput:w1~input.qs_context_add_curve.2359132437744.2166.3.0:12814</v>
      </c>
      <c r="E2167" s="6" t="str">
        <f>_xll.QS.INSTRUMENT.SWAP("swap.2165",H2167,B2167,"USD","SOFR",I2167,J2167,0,"Actual360","Simple","Annual","Annual","Annual")</f>
        <v>QSObject:Swap:w1~swap.2165:18103</v>
      </c>
      <c r="F2167" s="6" t="str">
        <f>_xll.QS.TRADE.CREATE("trade.2165",E2167,A2167,"Receive")</f>
        <v>QSObject:SwapTrade:w1~trade.2165:29861</v>
      </c>
      <c r="G2167" s="3">
        <f>_xll.QS.EVALUATE(C2167,F2167)</f>
        <v>25194.950108592297</v>
      </c>
      <c r="H2167" s="5" t="s">
        <v>722</v>
      </c>
      <c r="I2167" s="7">
        <v>1216500</v>
      </c>
      <c r="J2167" s="8">
        <v>3.6499999999999998E-2</v>
      </c>
    </row>
    <row r="2168" spans="1:10" x14ac:dyDescent="0.25">
      <c r="A2168" s="5" t="s">
        <v>710</v>
      </c>
      <c r="B2168" s="5" t="s">
        <v>4035</v>
      </c>
      <c r="C2168" s="6" t="str">
        <f>_xll.QS.CONTEXT.CREATE("market.2166",A2168,"USD","SOFR")</f>
        <v>QSObject:PricingContext:w1~market.2166:8076</v>
      </c>
      <c r="D2168" s="6" t="str">
        <f>_xll.QS.CONTEXT.ADD.CURVE(C2168,"SOFR",$K$2:$K$7,$L$2:$L$7,,,"Actual360","LogLinear",TRUE)</f>
        <v>QSObject:ContextInput:w1~input.qs_context_add_curve.2359132437744.2167.3.0:11310</v>
      </c>
      <c r="E2168" s="6" t="str">
        <f>_xll.QS.INSTRUMENT.SWAP("swap.2166",H2168,B2168,"USD","SOFR",I2168,J2168,0,"Actual360","Simple","Annual","Annual","Annual")</f>
        <v>QSObject:Swap:w1~swap.2166:9670</v>
      </c>
      <c r="F2168" s="6" t="str">
        <f>_xll.QS.TRADE.CREATE("trade.2166",E2168,A2168,"Receive")</f>
        <v>QSObject:SwapTrade:w1~trade.2166:29860</v>
      </c>
      <c r="G2168" s="3">
        <f>_xll.QS.EVALUATE(C2168,F2168)</f>
        <v>25764.829576379256</v>
      </c>
      <c r="H2168" s="5" t="s">
        <v>724</v>
      </c>
      <c r="I2168" s="7">
        <v>1216600</v>
      </c>
      <c r="J2168" s="8">
        <v>3.6600000000000001E-2</v>
      </c>
    </row>
    <row r="2169" spans="1:10" x14ac:dyDescent="0.25">
      <c r="A2169" s="5" t="s">
        <v>712</v>
      </c>
      <c r="B2169" s="5" t="s">
        <v>4036</v>
      </c>
      <c r="C2169" s="6" t="str">
        <f>_xll.QS.CONTEXT.CREATE("market.2167",A2169,"USD","SOFR")</f>
        <v>QSObject:PricingContext:w1~market.2167:6469</v>
      </c>
      <c r="D2169" s="6" t="str">
        <f>_xll.QS.CONTEXT.ADD.CURVE(C2169,"SOFR",$K$2:$K$7,$L$2:$L$7,,,"Actual360","LogLinear",TRUE)</f>
        <v>QSObject:ContextInput:w1~input.qs_context_add_curve.2359132437744.2168.3.0:38116</v>
      </c>
      <c r="E2169" s="6" t="str">
        <f>_xll.QS.INSTRUMENT.SWAP("swap.2167",H2169,B2169,"USD","SOFR",I2169,J2169,0,"Actual360","Simple","Annual","Annual","Annual")</f>
        <v>QSObject:Swap:w1~swap.2167:17121</v>
      </c>
      <c r="F2169" s="6" t="str">
        <f>_xll.QS.TRADE.CREATE("trade.2167",E2169,A2169,"Receive")</f>
        <v>QSObject:SwapTrade:w1~trade.2167:29859</v>
      </c>
      <c r="G2169" s="3">
        <f>_xll.QS.EVALUATE(C2169,F2169)</f>
        <v>26329.297524404734</v>
      </c>
      <c r="H2169" s="5" t="s">
        <v>726</v>
      </c>
      <c r="I2169" s="7">
        <v>1216700</v>
      </c>
      <c r="J2169" s="8">
        <v>3.6700000000000003E-2</v>
      </c>
    </row>
    <row r="2170" spans="1:10" x14ac:dyDescent="0.25">
      <c r="A2170" s="5" t="s">
        <v>714</v>
      </c>
      <c r="B2170" s="5" t="s">
        <v>4037</v>
      </c>
      <c r="C2170" s="6" t="str">
        <f>_xll.QS.CONTEXT.CREATE("market.2168",A2170,"USD","SOFR")</f>
        <v>QSObject:PricingContext:w1~market.2168:14450</v>
      </c>
      <c r="D2170" s="6" t="str">
        <f>_xll.QS.CONTEXT.ADD.CURVE(C2170,"SOFR",$K$2:$K$7,$L$2:$L$7,,,"Actual360","LogLinear",TRUE)</f>
        <v>QSObject:ContextInput:w1~input.qs_context_add_curve.2359132437744.2169.3.0:38115</v>
      </c>
      <c r="E2170" s="6" t="str">
        <f>_xll.QS.INSTRUMENT.SWAP("swap.2168",H2170,B2170,"USD","SOFR",I2170,J2170,0,"Actual360","Simple","Annual","Annual","Annual")</f>
        <v>QSObject:Swap:w1~swap.2168:16135</v>
      </c>
      <c r="F2170" s="6" t="str">
        <f>_xll.QS.TRADE.CREATE("trade.2168",E2170,A2170,"Receive")</f>
        <v>QSObject:SwapTrade:w1~trade.2168:18102</v>
      </c>
      <c r="G2170" s="3">
        <f>_xll.QS.EVALUATE(C2170,F2170)</f>
        <v>26743.826399414931</v>
      </c>
      <c r="H2170" s="5" t="s">
        <v>728</v>
      </c>
      <c r="I2170" s="7">
        <v>1216800</v>
      </c>
      <c r="J2170" s="8">
        <v>3.6800000000000013E-2</v>
      </c>
    </row>
    <row r="2171" spans="1:10" x14ac:dyDescent="0.25">
      <c r="A2171" s="5" t="s">
        <v>716</v>
      </c>
      <c r="B2171" s="5" t="s">
        <v>4038</v>
      </c>
      <c r="C2171" s="6" t="str">
        <f>_xll.QS.CONTEXT.CREATE("market.2169",A2171,"USD","SOFR")</f>
        <v>QSObject:PricingContext:w1~market.2169:6468</v>
      </c>
      <c r="D2171" s="6" t="str">
        <f>_xll.QS.CONTEXT.ADD.CURVE(C2171,"SOFR",$K$2:$K$7,$L$2:$L$7,,,"Actual360","LogLinear",TRUE)</f>
        <v>QSObject:ContextInput:w1~input.qs_context_add_curve.2359132437744.2170.3.0:11309</v>
      </c>
      <c r="E2171" s="6" t="str">
        <f>_xll.QS.INSTRUMENT.SWAP("swap.2169",H2171,B2171,"USD","SOFR",I2171,J2171,0,"Actual360","Simple","Annual","Annual","Annual")</f>
        <v>QSObject:Swap:w1~swap.2169:8075</v>
      </c>
      <c r="F2171" s="6" t="str">
        <f>_xll.QS.TRADE.CREATE("trade.2169",E2171,A2171,"Receive")</f>
        <v>QSObject:SwapTrade:w1~trade.2169:9669</v>
      </c>
      <c r="G2171" s="3">
        <f>_xll.QS.EVALUATE(C2171,F2171)</f>
        <v>27309.478455963093</v>
      </c>
      <c r="H2171" s="5" t="s">
        <v>730</v>
      </c>
      <c r="I2171" s="7">
        <v>1216900</v>
      </c>
      <c r="J2171" s="8">
        <v>3.6900000000000002E-2</v>
      </c>
    </row>
    <row r="2172" spans="1:10" x14ac:dyDescent="0.25">
      <c r="A2172" s="5" t="s">
        <v>718</v>
      </c>
      <c r="B2172" s="5" t="s">
        <v>4039</v>
      </c>
      <c r="C2172" s="6" t="str">
        <f>_xll.QS.CONTEXT.CREATE("market.2170",A2172,"USD","SOFR")</f>
        <v>QSObject:PricingContext:w1~market.2170:12813</v>
      </c>
      <c r="D2172" s="6" t="str">
        <f>_xll.QS.CONTEXT.ADD.CURVE(C2172,"SOFR",$K$2:$K$7,$L$2:$L$7,,,"Actual360","LogLinear",TRUE)</f>
        <v>QSObject:ContextInput:w1~input.qs_context_add_curve.2359132437744.2171.3.0:17120</v>
      </c>
      <c r="E2172" s="6" t="str">
        <f>_xll.QS.INSTRUMENT.SWAP("swap.2170",H2172,B2172,"USD","SOFR",I2172,J2172,0,"Actual360","Simple","Annual","Annual","Annual")</f>
        <v>QSObject:Swap:w1~swap.2170:1798</v>
      </c>
      <c r="F2172" s="6" t="str">
        <f>_xll.QS.TRADE.CREATE("trade.2170",E2172,A2172,"Receive")</f>
        <v>QSObject:SwapTrade:w1~trade.2170:4889</v>
      </c>
      <c r="G2172" s="3">
        <f>_xll.QS.EVALUATE(C2172,F2172)</f>
        <v>27924.014183809479</v>
      </c>
      <c r="H2172" s="5" t="s">
        <v>732</v>
      </c>
      <c r="I2172" s="7">
        <v>1217000</v>
      </c>
      <c r="J2172" s="8">
        <v>3.7000000000000012E-2</v>
      </c>
    </row>
    <row r="2173" spans="1:10" x14ac:dyDescent="0.25">
      <c r="A2173" s="5" t="s">
        <v>720</v>
      </c>
      <c r="B2173" s="5" t="s">
        <v>4040</v>
      </c>
      <c r="C2173" s="6" t="str">
        <f>_xll.QS.CONTEXT.CREATE("market.2171",A2173,"USD","SOFR")</f>
        <v>QSObject:PricingContext:w1~market.2171:18101</v>
      </c>
      <c r="D2173" s="6" t="str">
        <f>_xll.QS.CONTEXT.ADD.CURVE(C2173,"SOFR",$K$2:$K$7,$L$2:$L$7,,,"Actual360","LogLinear",TRUE)</f>
        <v>QSObject:ContextInput:w1~input.qs_context_add_curve.2359132437744.2172.3.0:38114</v>
      </c>
      <c r="E2173" s="6" t="str">
        <f>_xll.QS.INSTRUMENT.SWAP("swap.2171",H2173,B2173,"USD","SOFR",I2173,J2173,0,"Actual360","Simple","Annual","Annual","Annual")</f>
        <v>QSObject:Swap:w1~swap.2171:14449</v>
      </c>
      <c r="F2173" s="6" t="str">
        <f>_xll.QS.TRADE.CREATE("trade.2171",E2173,A2173,"Receive")</f>
        <v>QSObject:SwapTrade:w1~trade.2171:29858</v>
      </c>
      <c r="G2173" s="3">
        <f>_xll.QS.EVALUATE(C2173,F2173)</f>
        <v>28576.740275179574</v>
      </c>
      <c r="H2173" s="5" t="s">
        <v>734</v>
      </c>
      <c r="I2173" s="7">
        <v>1217100</v>
      </c>
      <c r="J2173" s="8">
        <v>3.7100000000000001E-2</v>
      </c>
    </row>
    <row r="2174" spans="1:10" x14ac:dyDescent="0.25">
      <c r="A2174" s="5" t="s">
        <v>722</v>
      </c>
      <c r="B2174" s="5" t="s">
        <v>4041</v>
      </c>
      <c r="C2174" s="6" t="str">
        <f>_xll.QS.CONTEXT.CREATE("market.2172",A2174,"USD","SOFR")</f>
        <v>QSObject:PricingContext:w1~market.2172:8074</v>
      </c>
      <c r="D2174" s="6" t="str">
        <f>_xll.QS.CONTEXT.ADD.CURVE(C2174,"SOFR",$K$2:$K$7,$L$2:$L$7,,,"Actual360","LogLinear",TRUE)</f>
        <v>QSObject:ContextInput:w1~input.qs_context_add_curve.2359132437744.2173.3.0:11308</v>
      </c>
      <c r="E2174" s="6" t="str">
        <f>_xll.QS.INSTRUMENT.SWAP("swap.2172",H2174,B2174,"USD","SOFR",I2174,J2174,0,"Actual360","Simple","Annual","Annual","Annual")</f>
        <v>QSObject:Swap:w1~swap.2172:3324</v>
      </c>
      <c r="F2174" s="6" t="str">
        <f>_xll.QS.TRADE.CREATE("trade.2172",E2174,A2174,"Receive")</f>
        <v>QSObject:SwapTrade:w1~trade.2172:17119</v>
      </c>
      <c r="G2174" s="3">
        <f>_xll.QS.EVALUATE(C2174,F2174)</f>
        <v>29140.484347766396</v>
      </c>
      <c r="H2174" s="5" t="s">
        <v>736</v>
      </c>
      <c r="I2174" s="7">
        <v>1217200</v>
      </c>
      <c r="J2174" s="8">
        <v>3.7199999999999997E-2</v>
      </c>
    </row>
    <row r="2175" spans="1:10" x14ac:dyDescent="0.25">
      <c r="A2175" s="5" t="s">
        <v>724</v>
      </c>
      <c r="B2175" s="5" t="s">
        <v>4042</v>
      </c>
      <c r="C2175" s="6" t="str">
        <f>_xll.QS.CONTEXT.CREATE("market.2173",A2175,"USD","SOFR")</f>
        <v>QSObject:PricingContext:w1~market.2173:1797</v>
      </c>
      <c r="D2175" s="6" t="str">
        <f>_xll.QS.CONTEXT.ADD.CURVE(C2175,"SOFR",$K$2:$K$7,$L$2:$L$7,,,"Actual360","LogLinear",TRUE)</f>
        <v>QSObject:ContextInput:w1~input.qs_context_add_curve.2359132437744.2174.3.0:12812</v>
      </c>
      <c r="E2175" s="6" t="str">
        <f>_xll.QS.INSTRUMENT.SWAP("swap.2173",H2175,B2175,"USD","SOFR",I2175,J2175,0,"Actual360","Simple","Annual","Annual","Annual")</f>
        <v>QSObject:Swap:w1~swap.2173:9668</v>
      </c>
      <c r="F2175" s="6" t="str">
        <f>_xll.QS.TRADE.CREATE("trade.2173",E2175,A2175,"Receive")</f>
        <v>QSObject:SwapTrade:w1~trade.2173:29857</v>
      </c>
      <c r="G2175" s="3">
        <f>_xll.QS.EVALUATE(C2175,F2175)</f>
        <v>29711.024437494052</v>
      </c>
      <c r="H2175" s="5" t="s">
        <v>738</v>
      </c>
      <c r="I2175" s="7">
        <v>1217300</v>
      </c>
      <c r="J2175" s="8">
        <v>3.73E-2</v>
      </c>
    </row>
    <row r="2176" spans="1:10" x14ac:dyDescent="0.25">
      <c r="A2176" s="5" t="s">
        <v>726</v>
      </c>
      <c r="B2176" s="5" t="s">
        <v>4043</v>
      </c>
      <c r="C2176" s="6" t="str">
        <f>_xll.QS.CONTEXT.CREATE("market.2174",A2176,"USD","SOFR")</f>
        <v>QSObject:PricingContext:w1~market.2174:6467</v>
      </c>
      <c r="D2176" s="6" t="str">
        <f>_xll.QS.CONTEXT.ADD.CURVE(C2176,"SOFR",$K$2:$K$7,$L$2:$L$7,,,"Actual360","LogLinear",TRUE)</f>
        <v>QSObject:ContextInput:w1~input.qs_context_add_curve.2359132437744.2175.3.0:16134</v>
      </c>
      <c r="E2176" s="6" t="str">
        <f>_xll.QS.INSTRUMENT.SWAP("swap.2174",H2176,B2176,"USD","SOFR",I2176,J2176,0,"Actual360","Simple","Annual","Annual","Annual")</f>
        <v>QSObject:Swap:w1~swap.2174:18100</v>
      </c>
      <c r="F2176" s="6" t="str">
        <f>_xll.QS.TRADE.CREATE("trade.2174",E2176,A2176,"Receive")</f>
        <v>QSObject:SwapTrade:w1~trade.2174:29856</v>
      </c>
      <c r="G2176" s="3">
        <f>_xll.QS.EVALUATE(C2176,F2176)</f>
        <v>30276.153844575689</v>
      </c>
      <c r="H2176" s="5" t="s">
        <v>740</v>
      </c>
      <c r="I2176" s="7">
        <v>1217400</v>
      </c>
      <c r="J2176" s="8">
        <v>3.7400000000000003E-2</v>
      </c>
    </row>
    <row r="2177" spans="1:10" x14ac:dyDescent="0.25">
      <c r="A2177" s="5" t="s">
        <v>728</v>
      </c>
      <c r="B2177" s="5" t="s">
        <v>4044</v>
      </c>
      <c r="C2177" s="6" t="str">
        <f>_xll.QS.CONTEXT.CREATE("market.2175",A2177,"USD","SOFR")</f>
        <v>QSObject:PricingContext:w1~market.2175:1796</v>
      </c>
      <c r="D2177" s="6" t="str">
        <f>_xll.QS.CONTEXT.ADD.CURVE(C2177,"SOFR",$K$2:$K$7,$L$2:$L$7,,,"Actual360","LogLinear",TRUE)</f>
        <v>QSObject:ContextInput:w1~input.qs_context_add_curve.2359132437744.2176.3.0:8073</v>
      </c>
      <c r="E2177" s="6" t="str">
        <f>_xll.QS.INSTRUMENT.SWAP("swap.2175",H2177,B2177,"USD","SOFR",I2177,J2177,0,"Actual360","Simple","Annual","Annual","Annual")</f>
        <v>QSObject:Swap:w1~swap.2175:11307</v>
      </c>
      <c r="F2177" s="6" t="str">
        <f>_xll.QS.TRADE.CREATE("trade.2175",E2177,A2177,"Receive")</f>
        <v>QSObject:SwapTrade:w1~trade.2175:17118</v>
      </c>
      <c r="G2177" s="3">
        <f>_xll.QS.EVALUATE(C2177,F2177)</f>
        <v>30639.668405540979</v>
      </c>
      <c r="H2177" s="5" t="s">
        <v>742</v>
      </c>
      <c r="I2177" s="7">
        <v>1217500</v>
      </c>
      <c r="J2177" s="8">
        <v>3.7500000000000012E-2</v>
      </c>
    </row>
    <row r="2178" spans="1:10" x14ac:dyDescent="0.25">
      <c r="A2178" s="5" t="s">
        <v>730</v>
      </c>
      <c r="B2178" s="5" t="s">
        <v>4045</v>
      </c>
      <c r="C2178" s="6" t="str">
        <f>_xll.QS.CONTEXT.CREATE("market.2176",A2178,"USD","SOFR")</f>
        <v>QSObject:PricingContext:w1~market.2176:9667</v>
      </c>
      <c r="D2178" s="6" t="str">
        <f>_xll.QS.CONTEXT.ADD.CURVE(C2178,"SOFR",$K$2:$K$7,$L$2:$L$7,,,"Actual360","LogLinear",TRUE)</f>
        <v>QSObject:ContextInput:w1~input.qs_context_add_curve.2359132437744.2177.3.0:29855</v>
      </c>
      <c r="E2178" s="6" t="str">
        <f>_xll.QS.INSTRUMENT.SWAP("swap.2176",H2178,B2178,"USD","SOFR",I2178,J2178,0,"Actual360","Simple","Annual","Annual","Annual")</f>
        <v>QSObject:Swap:w1~swap.2176:3323</v>
      </c>
      <c r="F2178" s="6" t="str">
        <f>_xll.QS.TRADE.CREATE("trade.2176",E2178,A2178,"Receive")</f>
        <v>QSObject:SwapTrade:w1~trade.2176:16133</v>
      </c>
      <c r="G2178" s="3">
        <f>_xll.QS.EVALUATE(C2178,F2178)</f>
        <v>31206.157592524592</v>
      </c>
      <c r="H2178" s="5" t="s">
        <v>744</v>
      </c>
      <c r="I2178" s="7">
        <v>1217600</v>
      </c>
      <c r="J2178" s="8">
        <v>3.7600000000000001E-2</v>
      </c>
    </row>
    <row r="2179" spans="1:10" x14ac:dyDescent="0.25">
      <c r="A2179" s="5" t="s">
        <v>732</v>
      </c>
      <c r="B2179" s="5" t="s">
        <v>4046</v>
      </c>
      <c r="C2179" s="6" t="str">
        <f>_xll.QS.CONTEXT.CREATE("market.2177",A2179,"USD","SOFR")</f>
        <v>QSObject:PricingContext:w1~market.2177:14448</v>
      </c>
      <c r="D2179" s="6" t="str">
        <f>_xll.QS.CONTEXT.ADD.CURVE(C2179,"SOFR",$K$2:$K$7,$L$2:$L$7,,,"Actual360","LogLinear",TRUE)</f>
        <v>QSObject:ContextInput:w1~input.qs_context_add_curve.2359132437744.2178.3.0:38113</v>
      </c>
      <c r="E2179" s="6" t="str">
        <f>_xll.QS.INSTRUMENT.SWAP("swap.2177",H2179,B2179,"USD","SOFR",I2179,J2179,0,"Actual360","Simple","Annual","Annual","Annual")</f>
        <v>QSObject:Swap:w1~swap.2177:12811</v>
      </c>
      <c r="F2179" s="6" t="str">
        <f>_xll.QS.TRADE.CREATE("trade.2177",E2179,A2179,"Receive")</f>
        <v>QSObject:SwapTrade:w1~trade.2177:29854</v>
      </c>
      <c r="G2179" s="3">
        <f>_xll.QS.EVALUATE(C2179,F2179)</f>
        <v>31821.530790840508</v>
      </c>
      <c r="H2179" s="5" t="s">
        <v>746</v>
      </c>
      <c r="I2179" s="7">
        <v>1217700</v>
      </c>
      <c r="J2179" s="8">
        <v>3.7699999999999997E-2</v>
      </c>
    </row>
    <row r="2180" spans="1:10" x14ac:dyDescent="0.25">
      <c r="A2180" s="5" t="s">
        <v>734</v>
      </c>
      <c r="B2180" s="5" t="s">
        <v>4047</v>
      </c>
      <c r="C2180" s="6" t="str">
        <f>_xll.QS.CONTEXT.CREATE("market.2178",A2180,"USD","SOFR")</f>
        <v>QSObject:PricingContext:w1~market.2178:1795</v>
      </c>
      <c r="D2180" s="6" t="str">
        <f>_xll.QS.CONTEXT.ADD.CURVE(C2180,"SOFR",$K$2:$K$7,$L$2:$L$7,,,"Actual360","LogLinear",TRUE)</f>
        <v>QSObject:ContextInput:w1~input.qs_context_add_curve.2359132437744.2179.3.0:17117</v>
      </c>
      <c r="E2180" s="6" t="str">
        <f>_xll.QS.INSTRUMENT.SWAP("swap.2178",H2180,B2180,"USD","SOFR",I2180,J2180,0,"Actual360","Simple","Annual","Annual","Annual")</f>
        <v>QSObject:Swap:w1~swap.2178:18099</v>
      </c>
      <c r="F2180" s="6" t="str">
        <f>_xll.QS.TRADE.CREATE("trade.2178",E2180,A2180,"Receive")</f>
        <v>QSObject:SwapTrade:w1~trade.2178:29853</v>
      </c>
      <c r="G2180" s="3">
        <f>_xll.QS.EVALUATE(C2180,F2180)</f>
        <v>32571.463626190613</v>
      </c>
      <c r="H2180" s="5" t="s">
        <v>748</v>
      </c>
      <c r="I2180" s="7">
        <v>1217800</v>
      </c>
      <c r="J2180" s="8">
        <v>3.78E-2</v>
      </c>
    </row>
    <row r="2181" spans="1:10" x14ac:dyDescent="0.25">
      <c r="A2181" s="5" t="s">
        <v>736</v>
      </c>
      <c r="B2181" s="5" t="s">
        <v>4048</v>
      </c>
      <c r="C2181" s="6" t="str">
        <f>_xll.QS.CONTEXT.CREATE("market.2179",A2181,"USD","SOFR")</f>
        <v>QSObject:PricingContext:w1~market.2179:3322</v>
      </c>
      <c r="D2181" s="6" t="str">
        <f>_xll.QS.CONTEXT.ADD.CURVE(C2181,"SOFR",$K$2:$K$7,$L$2:$L$7,,,"Actual360","LogLinear",TRUE)</f>
        <v>QSObject:ContextInput:w1~input.qs_context_add_curve.2359132437744.2180.3.0:9666</v>
      </c>
      <c r="E2181" s="6" t="str">
        <f>_xll.QS.INSTRUMENT.SWAP("swap.2179",H2181,B2181,"USD","SOFR",I2181,J2181,0,"Actual360","Simple","Annual","Annual","Annual")</f>
        <v>QSObject:Swap:w1~swap.2179:11306</v>
      </c>
      <c r="F2181" s="6" t="str">
        <f>_xll.QS.TRADE.CREATE("trade.2179",E2181,A2181,"Receive")</f>
        <v>QSObject:SwapTrade:w1~trade.2179:16132</v>
      </c>
      <c r="G2181" s="3">
        <f>_xll.QS.EVALUATE(C2181,F2181)</f>
        <v>33135.859529260895</v>
      </c>
      <c r="H2181" s="5" t="s">
        <v>750</v>
      </c>
      <c r="I2181" s="7">
        <v>1217900</v>
      </c>
      <c r="J2181" s="8">
        <v>3.7900000000000003E-2</v>
      </c>
    </row>
    <row r="2182" spans="1:10" x14ac:dyDescent="0.25">
      <c r="A2182" s="5" t="s">
        <v>738</v>
      </c>
      <c r="B2182" s="5" t="s">
        <v>4049</v>
      </c>
      <c r="C2182" s="6" t="str">
        <f>_xll.QS.CONTEXT.CREATE("market.2180",A2182,"USD","SOFR")</f>
        <v>QSObject:PricingContext:w1~market.2180:12810</v>
      </c>
      <c r="D2182" s="6" t="str">
        <f>_xll.QS.CONTEXT.ADD.CURVE(C2182,"SOFR",$K$2:$K$7,$L$2:$L$7,,,"Actual360","LogLinear",TRUE)</f>
        <v>QSObject:ContextInput:w1~input.qs_context_add_curve.2359132437744.2181.3.0:29852</v>
      </c>
      <c r="E2182" s="6" t="str">
        <f>_xll.QS.INSTRUMENT.SWAP("swap.2180",H2182,B2182,"USD","SOFR",I2182,J2182,0,"Actual360","Simple","Annual","Annual","Annual")</f>
        <v>QSObject:Swap:w1~swap.2180:14447</v>
      </c>
      <c r="F2182" s="6" t="str">
        <f>_xll.QS.TRADE.CREATE("trade.2180",E2182,A2182,"Receive")</f>
        <v>QSObject:SwapTrade:w1~trade.2180:17116</v>
      </c>
      <c r="G2182" s="3">
        <f>_xll.QS.EVALUATE(C2182,F2182)</f>
        <v>33711.025328798467</v>
      </c>
      <c r="H2182" s="5" t="s">
        <v>752</v>
      </c>
      <c r="I2182" s="7">
        <v>1218000</v>
      </c>
      <c r="J2182" s="8">
        <v>3.8000000000000013E-2</v>
      </c>
    </row>
    <row r="2183" spans="1:10" x14ac:dyDescent="0.25">
      <c r="A2183" s="5" t="s">
        <v>740</v>
      </c>
      <c r="B2183" s="5" t="s">
        <v>4050</v>
      </c>
      <c r="C2183" s="6" t="str">
        <f>_xll.QS.CONTEXT.CREATE("market.2181",A2183,"USD","SOFR")</f>
        <v>QSObject:PricingContext:w1~market.2181:18098</v>
      </c>
      <c r="D2183" s="6" t="str">
        <f>_xll.QS.CONTEXT.ADD.CURVE(C2183,"SOFR",$K$2:$K$7,$L$2:$L$7,,,"Actual360","LogLinear",TRUE)</f>
        <v>QSObject:ContextInput:w1~input.qs_context_add_curve.2359132437744.2182.3.0:38112</v>
      </c>
      <c r="E2183" s="6" t="str">
        <f>_xll.QS.INSTRUMENT.SWAP("swap.2181",H2183,B2183,"USD","SOFR",I2183,J2183,0,"Actual360","Simple","Annual","Annual","Annual")</f>
        <v>QSObject:Swap:w1~swap.2181:8072</v>
      </c>
      <c r="F2183" s="6" t="str">
        <f>_xll.QS.TRADE.CREATE("trade.2181",E2183,A2183,"Receive")</f>
        <v>QSObject:SwapTrade:w1~trade.2181:29851</v>
      </c>
      <c r="G2183" s="3">
        <f>_xll.QS.EVALUATE(C2183,F2183)</f>
        <v>34276.366257192043</v>
      </c>
      <c r="H2183" s="5" t="s">
        <v>754</v>
      </c>
      <c r="I2183" s="7">
        <v>1218100</v>
      </c>
      <c r="J2183" s="8">
        <v>3.8100000000000002E-2</v>
      </c>
    </row>
    <row r="2184" spans="1:10" x14ac:dyDescent="0.25">
      <c r="A2184" s="5" t="s">
        <v>742</v>
      </c>
      <c r="B2184" s="5" t="s">
        <v>4051</v>
      </c>
      <c r="C2184" s="6" t="str">
        <f>_xll.QS.CONTEXT.CREATE("market.2182",A2184,"USD","SOFR")</f>
        <v>QSObject:PricingContext:w1~market.2182:11305</v>
      </c>
      <c r="D2184" s="6" t="str">
        <f>_xll.QS.CONTEXT.ADD.CURVE(C2184,"SOFR",$K$2:$K$7,$L$2:$L$7,,,"Actual360","LogLinear",TRUE)</f>
        <v>QSObject:ContextInput:w1~input.qs_context_add_curve.2359132437744.2183.3.0:29850</v>
      </c>
      <c r="E2184" s="6" t="str">
        <f>_xll.QS.INSTRUMENT.SWAP("swap.2182",H2184,B2184,"USD","SOFR",I2184,J2184,0,"Actual360","Simple","Annual","Annual","Annual")</f>
        <v>QSObject:Swap:w1~swap.2182:4888</v>
      </c>
      <c r="F2184" s="6" t="str">
        <f>_xll.QS.TRADE.CREATE("trade.2182",E2184,A2184,"Receive")</f>
        <v>QSObject:SwapTrade:w1~trade.2182:16131</v>
      </c>
      <c r="G2184" s="3">
        <f>_xll.QS.EVALUATE(C2184,F2184)</f>
        <v>34843.891835349263</v>
      </c>
      <c r="H2184" s="5" t="s">
        <v>756</v>
      </c>
      <c r="I2184" s="7">
        <v>1218200</v>
      </c>
      <c r="J2184" s="8">
        <v>3.8199999999999998E-2</v>
      </c>
    </row>
    <row r="2185" spans="1:10" x14ac:dyDescent="0.25">
      <c r="A2185" s="5" t="s">
        <v>744</v>
      </c>
      <c r="B2185" s="5" t="s">
        <v>4052</v>
      </c>
      <c r="C2185" s="6" t="str">
        <f>_xll.QS.CONTEXT.CREATE("market.2183",A2185,"USD","SOFR")</f>
        <v>QSObject:PricingContext:w1~market.2183:6466</v>
      </c>
      <c r="D2185" s="6" t="str">
        <f>_xll.QS.CONTEXT.ADD.CURVE(C2185,"SOFR",$K$2:$K$7,$L$2:$L$7,,,"Actual360","LogLinear",TRUE)</f>
        <v>QSObject:ContextInput:w1~input.qs_context_add_curve.2359132437744.2184.3.0:17115</v>
      </c>
      <c r="E2185" s="6" t="str">
        <f>_xll.QS.INSTRUMENT.SWAP("swap.2183",H2185,B2185,"USD","SOFR",I2185,J2185,0,"Actual360","Simple","Annual","Annual","Annual")</f>
        <v>QSObject:Swap:w1~swap.2183:12809</v>
      </c>
      <c r="F2185" s="6" t="str">
        <f>_xll.QS.TRADE.CREATE("trade.2183",E2185,A2185,"Receive")</f>
        <v>QSObject:SwapTrade:w1~trade.2183:14446</v>
      </c>
      <c r="G2185" s="3">
        <f>_xll.QS.EVALUATE(C2185,F2185)</f>
        <v>35411.747228431326</v>
      </c>
      <c r="H2185" s="5" t="s">
        <v>758</v>
      </c>
      <c r="I2185" s="7">
        <v>1218300</v>
      </c>
      <c r="J2185" s="8">
        <v>3.8300000000000001E-2</v>
      </c>
    </row>
    <row r="2186" spans="1:10" x14ac:dyDescent="0.25">
      <c r="A2186" s="5" t="s">
        <v>746</v>
      </c>
      <c r="B2186" s="5" t="s">
        <v>4053</v>
      </c>
      <c r="C2186" s="6" t="str">
        <f>_xll.QS.CONTEXT.CREATE("market.2184",A2186,"USD","SOFR")</f>
        <v>QSObject:PricingContext:w1~market.2184:8071</v>
      </c>
      <c r="D2186" s="6" t="str">
        <f>_xll.QS.CONTEXT.ADD.CURVE(C2186,"SOFR",$K$2:$K$7,$L$2:$L$7,,,"Actual360","LogLinear",TRUE)</f>
        <v>QSObject:ContextInput:w1~input.qs_context_add_curve.2359132437744.2185.3.0:18097</v>
      </c>
      <c r="E2186" s="6" t="str">
        <f>_xll.QS.INSTRUMENT.SWAP("swap.2184",H2186,B2186,"USD","SOFR",I2186,J2186,0,"Actual360","Simple","Annual","Annual","Annual")</f>
        <v>QSObject:Swap:w1~swap.2184:1794</v>
      </c>
      <c r="F2186" s="6" t="str">
        <f>_xll.QS.TRADE.CREATE("trade.2184",E2186,A2186,"Receive")</f>
        <v>QSObject:SwapTrade:w1~trade.2184:3321</v>
      </c>
      <c r="G2186" s="3">
        <f>_xll.QS.EVALUATE(C2186,F2186)</f>
        <v>35774.30625010861</v>
      </c>
      <c r="H2186" s="5" t="s">
        <v>760</v>
      </c>
      <c r="I2186" s="7">
        <v>1218400</v>
      </c>
      <c r="J2186" s="8">
        <v>3.8399999999999997E-2</v>
      </c>
    </row>
    <row r="2187" spans="1:10" x14ac:dyDescent="0.25">
      <c r="A2187" s="5" t="s">
        <v>748</v>
      </c>
      <c r="B2187" s="5" t="s">
        <v>4054</v>
      </c>
      <c r="C2187" s="6" t="str">
        <f>_xll.QS.CONTEXT.CREATE("market.2185",A2187,"USD","SOFR")</f>
        <v>QSObject:PricingContext:w1~market.2185:4887</v>
      </c>
      <c r="D2187" s="6" t="str">
        <f>_xll.QS.CONTEXT.ADD.CURVE(C2187,"SOFR",$K$2:$K$7,$L$2:$L$7,,,"Actual360","LogLinear",TRUE)</f>
        <v>QSObject:ContextInput:w1~input.qs_context_add_curve.2359132437744.2186.3.0:9665</v>
      </c>
      <c r="E2187" s="6" t="str">
        <f>_xll.QS.INSTRUMENT.SWAP("swap.2185",H2187,B2187,"USD","SOFR",I2187,J2187,0,"Actual360","Simple","Annual","Annual","Annual")</f>
        <v>QSObject:Swap:w1~swap.2185:11304</v>
      </c>
      <c r="F2187" s="6" t="str">
        <f>_xll.QS.TRADE.CREATE("trade.2185",E2187,A2187,"Receive")</f>
        <v>QSObject:SwapTrade:w1~trade.2185:29849</v>
      </c>
      <c r="G2187" s="3">
        <f>_xll.QS.EVALUATE(C2187,F2187)</f>
        <v>36525.464285389164</v>
      </c>
      <c r="H2187" s="5" t="s">
        <v>762</v>
      </c>
      <c r="I2187" s="7">
        <v>1218500</v>
      </c>
      <c r="J2187" s="8">
        <v>3.8500000000000013E-2</v>
      </c>
    </row>
    <row r="2188" spans="1:10" x14ac:dyDescent="0.25">
      <c r="A2188" s="5" t="s">
        <v>750</v>
      </c>
      <c r="B2188" s="5" t="s">
        <v>4055</v>
      </c>
      <c r="C2188" s="6" t="str">
        <f>_xll.QS.CONTEXT.CREATE("market.2186",A2188,"USD","SOFR")</f>
        <v>QSObject:PricingContext:w1~market.2186:17114</v>
      </c>
      <c r="D2188" s="6" t="str">
        <f>_xll.QS.CONTEXT.ADD.CURVE(C2188,"SOFR",$K$2:$K$7,$L$2:$L$7,,,"Actual360","LogLinear",TRUE)</f>
        <v>QSObject:ContextInput:w1~input.qs_context_add_curve.2359132437744.2187.3.0:29848</v>
      </c>
      <c r="E2188" s="6" t="str">
        <f>_xll.QS.INSTRUMENT.SWAP("swap.2186",H2188,B2188,"USD","SOFR",I2188,J2188,0,"Actual360","Simple","Annual","Annual","Annual")</f>
        <v>QSObject:Swap:w1~swap.2186:18096</v>
      </c>
      <c r="F2188" s="6" t="str">
        <f>_xll.QS.TRADE.CREATE("trade.2186",E2188,A2188,"Receive")</f>
        <v>QSObject:SwapTrade:w1~trade.2186:29847</v>
      </c>
      <c r="G2188" s="3">
        <f>_xll.QS.EVALUATE(C2188,F2188)</f>
        <v>37090.195965973733</v>
      </c>
      <c r="H2188" s="5" t="s">
        <v>764</v>
      </c>
      <c r="I2188" s="7">
        <v>1218600</v>
      </c>
      <c r="J2188" s="8">
        <v>3.8600000000000002E-2</v>
      </c>
    </row>
    <row r="2189" spans="1:10" x14ac:dyDescent="0.25">
      <c r="A2189" s="5" t="s">
        <v>752</v>
      </c>
      <c r="B2189" s="5" t="s">
        <v>4056</v>
      </c>
      <c r="C2189" s="6" t="str">
        <f>_xll.QS.CONTEXT.CREATE("market.2187",A2189,"USD","SOFR")</f>
        <v>QSObject:PricingContext:w1~market.2187:18095</v>
      </c>
      <c r="D2189" s="6" t="str">
        <f>_xll.QS.CONTEXT.ADD.CURVE(C2189,"SOFR",$K$2:$K$7,$L$2:$L$7,,,"Actual360","LogLinear",TRUE)</f>
        <v>QSObject:ContextInput:w1~input.qs_context_add_curve.2359132437744.2188.3.0:38111</v>
      </c>
      <c r="E2189" s="6" t="str">
        <f>_xll.QS.INSTRUMENT.SWAP("swap.2187",H2189,B2189,"USD","SOFR",I2189,J2189,0,"Actual360","Simple","Annual","Annual","Annual")</f>
        <v>QSObject:Swap:w1~swap.2187:18094</v>
      </c>
      <c r="F2189" s="6" t="str">
        <f>_xll.QS.TRADE.CREATE("trade.2187",E2189,A2189,"Receive")</f>
        <v>QSObject:SwapTrade:w1~trade.2187:29846</v>
      </c>
      <c r="G2189" s="3">
        <f>_xll.QS.EVALUATE(C2189,F2189)</f>
        <v>37666.347134420939</v>
      </c>
      <c r="H2189" s="5" t="s">
        <v>766</v>
      </c>
      <c r="I2189" s="7">
        <v>1218700</v>
      </c>
      <c r="J2189" s="8">
        <v>3.8700000000000012E-2</v>
      </c>
    </row>
    <row r="2190" spans="1:10" x14ac:dyDescent="0.25">
      <c r="A2190" s="5" t="s">
        <v>754</v>
      </c>
      <c r="B2190" s="5" t="s">
        <v>4057</v>
      </c>
      <c r="C2190" s="6" t="str">
        <f>_xll.QS.CONTEXT.CREATE("market.2188",A2190,"USD","SOFR")</f>
        <v>QSObject:PricingContext:w1~market.2188:18093</v>
      </c>
      <c r="D2190" s="6" t="str">
        <f>_xll.QS.CONTEXT.ADD.CURVE(C2190,"SOFR",$K$2:$K$7,$L$2:$L$7,,,"Actual360","LogLinear",TRUE)</f>
        <v>QSObject:ContextInput:w1~input.qs_context_add_curve.2359132437744.2189.3.0:38110</v>
      </c>
      <c r="E2190" s="6" t="str">
        <f>_xll.QS.INSTRUMENT.SWAP("swap.2188",H2190,B2190,"USD","SOFR",I2190,J2190,0,"Actual360","Simple","Annual","Annual","Annual")</f>
        <v>QSObject:Swap:w1~swap.2188:18092</v>
      </c>
      <c r="F2190" s="6" t="str">
        <f>_xll.QS.TRADE.CREATE("trade.2188",E2190,A2190,"Receive")</f>
        <v>QSObject:SwapTrade:w1~trade.2188:29845</v>
      </c>
      <c r="G2190" s="3">
        <f>_xll.QS.EVALUATE(C2190,F2190)</f>
        <v>38232.348424508571</v>
      </c>
      <c r="H2190" s="5" t="s">
        <v>768</v>
      </c>
      <c r="I2190" s="7">
        <v>1218800</v>
      </c>
      <c r="J2190" s="8">
        <v>3.8800000000000001E-2</v>
      </c>
    </row>
    <row r="2191" spans="1:10" x14ac:dyDescent="0.25">
      <c r="A2191" s="5" t="s">
        <v>756</v>
      </c>
      <c r="B2191" s="5" t="s">
        <v>4058</v>
      </c>
      <c r="C2191" s="6" t="str">
        <f>_xll.QS.CONTEXT.CREATE("market.2189",A2191,"USD","SOFR")</f>
        <v>QSObject:PricingContext:w1~market.2189:18091</v>
      </c>
      <c r="D2191" s="6" t="str">
        <f>_xll.QS.CONTEXT.ADD.CURVE(C2191,"SOFR",$K$2:$K$7,$L$2:$L$7,,,"Actual360","LogLinear",TRUE)</f>
        <v>QSObject:ContextInput:w1~input.qs_context_add_curve.2359132437744.2190.3.0:38109</v>
      </c>
      <c r="E2191" s="6" t="str">
        <f>_xll.QS.INSTRUMENT.SWAP("swap.2189",H2191,B2191,"USD","SOFR",I2191,J2191,0,"Actual360","Simple","Annual","Annual","Annual")</f>
        <v>QSObject:Swap:w1~swap.2189:18090</v>
      </c>
      <c r="F2191" s="6" t="str">
        <f>_xll.QS.TRADE.CREATE("trade.2189",E2191,A2191,"Receive")</f>
        <v>QSObject:SwapTrade:w1~trade.2189:29844</v>
      </c>
      <c r="G2191" s="3">
        <f>_xll.QS.EVALUATE(C2191,F2191)</f>
        <v>38646.188867067402</v>
      </c>
      <c r="H2191" s="5" t="s">
        <v>770</v>
      </c>
      <c r="I2191" s="7">
        <v>1218900</v>
      </c>
      <c r="J2191" s="8">
        <v>3.8899999999999997E-2</v>
      </c>
    </row>
    <row r="2192" spans="1:10" x14ac:dyDescent="0.25">
      <c r="A2192" s="5" t="s">
        <v>758</v>
      </c>
      <c r="B2192" s="5" t="s">
        <v>4059</v>
      </c>
      <c r="C2192" s="6" t="str">
        <f>_xll.QS.CONTEXT.CREATE("market.2190",A2192,"USD","SOFR")</f>
        <v>QSObject:PricingContext:w1~market.2190:18089</v>
      </c>
      <c r="D2192" s="6" t="str">
        <f>_xll.QS.CONTEXT.ADD.CURVE(C2192,"SOFR",$K$2:$K$7,$L$2:$L$7,,,"Actual360","LogLinear",TRUE)</f>
        <v>QSObject:ContextInput:w1~input.qs_context_add_curve.2359132437744.2191.3.0:38108</v>
      </c>
      <c r="E2192" s="6" t="str">
        <f>_xll.QS.INSTRUMENT.SWAP("swap.2190",H2192,B2192,"USD","SOFR",I2192,J2192,0,"Actual360","Simple","Annual","Annual","Annual")</f>
        <v>QSObject:Swap:w1~swap.2190:18088</v>
      </c>
      <c r="F2192" s="6" t="str">
        <f>_xll.QS.TRADE.CREATE("trade.2190",E2192,A2192,"Receive")</f>
        <v>QSObject:SwapTrade:w1~trade.2190:29843</v>
      </c>
      <c r="G2192" s="3">
        <f>_xll.QS.EVALUATE(C2192,F2192)</f>
        <v>39214.913266629621</v>
      </c>
      <c r="H2192" s="5" t="s">
        <v>772</v>
      </c>
      <c r="I2192" s="7">
        <v>1219000</v>
      </c>
      <c r="J2192" s="8">
        <v>3.9000000000000007E-2</v>
      </c>
    </row>
    <row r="2193" spans="1:10" x14ac:dyDescent="0.25">
      <c r="A2193" s="5" t="s">
        <v>760</v>
      </c>
      <c r="B2193" s="5" t="s">
        <v>4060</v>
      </c>
      <c r="C2193" s="6" t="str">
        <f>_xll.QS.CONTEXT.CREATE("market.2191",A2193,"USD","SOFR")</f>
        <v>QSObject:PricingContext:w1~market.2191:18087</v>
      </c>
      <c r="D2193" s="6" t="str">
        <f>_xll.QS.CONTEXT.ADD.CURVE(C2193,"SOFR",$K$2:$K$7,$L$2:$L$7,,,"Actual360","LogLinear",TRUE)</f>
        <v>QSObject:ContextInput:w1~input.qs_context_add_curve.2359132437744.2192.3.0:38107</v>
      </c>
      <c r="E2193" s="6" t="str">
        <f>_xll.QS.INSTRUMENT.SWAP("swap.2191",H2193,B2193,"USD","SOFR",I2193,J2193,0,"Actual360","Simple","Annual","Annual","Annual")</f>
        <v>QSObject:Swap:w1~swap.2191:18086</v>
      </c>
      <c r="F2193" s="6" t="str">
        <f>_xll.QS.TRADE.CREATE("trade.2191",E2193,A2193,"Receive")</f>
        <v>QSObject:SwapTrade:w1~trade.2191:29842</v>
      </c>
      <c r="G2193" s="3">
        <f>_xll.QS.EVALUATE(C2193,F2193)</f>
        <v>39783.564682546988</v>
      </c>
      <c r="H2193" s="5" t="s">
        <v>774</v>
      </c>
      <c r="I2193" s="7">
        <v>1219100</v>
      </c>
      <c r="J2193" s="8">
        <v>3.9100000000000003E-2</v>
      </c>
    </row>
    <row r="2194" spans="1:10" x14ac:dyDescent="0.25">
      <c r="A2194" s="5" t="s">
        <v>762</v>
      </c>
      <c r="B2194" s="5" t="s">
        <v>4061</v>
      </c>
      <c r="C2194" s="6" t="str">
        <f>_xll.QS.CONTEXT.CREATE("market.2192",A2194,"USD","SOFR")</f>
        <v>QSObject:PricingContext:w1~market.2192:18085</v>
      </c>
      <c r="D2194" s="6" t="str">
        <f>_xll.QS.CONTEXT.ADD.CURVE(C2194,"SOFR",$K$2:$K$7,$L$2:$L$7,,,"Actual360","LogLinear",TRUE)</f>
        <v>QSObject:ContextInput:w1~input.qs_context_add_curve.2359132437744.2193.3.0:38106</v>
      </c>
      <c r="E2194" s="6" t="str">
        <f>_xll.QS.INSTRUMENT.SWAP("swap.2192",H2194,B2194,"USD","SOFR",I2194,J2194,0,"Actual360","Simple","Annual","Annual","Annual")</f>
        <v>QSObject:Swap:w1~swap.2192:18084</v>
      </c>
      <c r="F2194" s="6" t="str">
        <f>_xll.QS.TRADE.CREATE("trade.2192",E2194,A2194,"Receive")</f>
        <v>QSObject:SwapTrade:w1~trade.2192:29841</v>
      </c>
      <c r="G2194" s="3">
        <f>_xll.QS.EVALUATE(C2194,F2194)</f>
        <v>40438.557251121492</v>
      </c>
      <c r="H2194" s="5" t="s">
        <v>776</v>
      </c>
      <c r="I2194" s="7">
        <v>1219200</v>
      </c>
      <c r="J2194" s="8">
        <v>3.9200000000000013E-2</v>
      </c>
    </row>
    <row r="2195" spans="1:10" x14ac:dyDescent="0.25">
      <c r="A2195" s="5" t="s">
        <v>764</v>
      </c>
      <c r="B2195" s="5" t="s">
        <v>4062</v>
      </c>
      <c r="C2195" s="6" t="str">
        <f>_xll.QS.CONTEXT.CREATE("market.2193",A2195,"USD","SOFR")</f>
        <v>QSObject:PricingContext:w1~market.2193:18083</v>
      </c>
      <c r="D2195" s="6" t="str">
        <f>_xll.QS.CONTEXT.ADD.CURVE(C2195,"SOFR",$K$2:$K$7,$L$2:$L$7,,,"Actual360","LogLinear",TRUE)</f>
        <v>QSObject:ContextInput:w1~input.qs_context_add_curve.2359132437744.2194.3.0:38105</v>
      </c>
      <c r="E2195" s="6" t="str">
        <f>_xll.QS.INSTRUMENT.SWAP("swap.2193",H2195,B2195,"USD","SOFR",I2195,J2195,0,"Actual360","Simple","Annual","Annual","Annual")</f>
        <v>QSObject:Swap:w1~swap.2193:18082</v>
      </c>
      <c r="F2195" s="6" t="str">
        <f>_xll.QS.TRADE.CREATE("trade.2193",E2195,A2195,"Receive")</f>
        <v>QSObject:SwapTrade:w1~trade.2193:29840</v>
      </c>
      <c r="G2195" s="3">
        <f>_xll.QS.EVALUATE(C2195,F2195)</f>
        <v>41004.215480372302</v>
      </c>
      <c r="H2195" s="5" t="s">
        <v>778</v>
      </c>
      <c r="I2195" s="7">
        <v>1219300</v>
      </c>
      <c r="J2195" s="8">
        <v>3.9300000000000002E-2</v>
      </c>
    </row>
    <row r="2196" spans="1:10" x14ac:dyDescent="0.25">
      <c r="A2196" s="5" t="s">
        <v>766</v>
      </c>
      <c r="B2196" s="5" t="s">
        <v>4063</v>
      </c>
      <c r="C2196" s="6" t="str">
        <f>_xll.QS.CONTEXT.CREATE("market.2194",A2196,"USD","SOFR")</f>
        <v>QSObject:PricingContext:w1~market.2194:18081</v>
      </c>
      <c r="D2196" s="6" t="str">
        <f>_xll.QS.CONTEXT.ADD.CURVE(C2196,"SOFR",$K$2:$K$7,$L$2:$L$7,,,"Actual360","LogLinear",TRUE)</f>
        <v>QSObject:ContextInput:w1~input.qs_context_add_curve.2359132437744.2195.3.0:38104</v>
      </c>
      <c r="E2196" s="6" t="str">
        <f>_xll.QS.INSTRUMENT.SWAP("swap.2194",H2196,B2196,"USD","SOFR",I2196,J2196,0,"Actual360","Simple","Annual","Annual","Annual")</f>
        <v>QSObject:Swap:w1~swap.2194:18080</v>
      </c>
      <c r="F2196" s="6" t="str">
        <f>_xll.QS.TRADE.CREATE("trade.2194",E2196,A2196,"Receive")</f>
        <v>QSObject:SwapTrade:w1~trade.2194:29839</v>
      </c>
      <c r="G2196" s="3">
        <f>_xll.QS.EVALUATE(C2196,F2196)</f>
        <v>41576.737511568397</v>
      </c>
      <c r="H2196" s="5" t="s">
        <v>780</v>
      </c>
      <c r="I2196" s="7">
        <v>1219400</v>
      </c>
      <c r="J2196" s="8">
        <v>3.9399999999999998E-2</v>
      </c>
    </row>
    <row r="2197" spans="1:10" x14ac:dyDescent="0.25">
      <c r="A2197" s="5" t="s">
        <v>768</v>
      </c>
      <c r="B2197" s="5" t="s">
        <v>4064</v>
      </c>
      <c r="C2197" s="6" t="str">
        <f>_xll.QS.CONTEXT.CREATE("market.2195",A2197,"USD","SOFR")</f>
        <v>QSObject:PricingContext:w1~market.2195:18079</v>
      </c>
      <c r="D2197" s="6" t="str">
        <f>_xll.QS.CONTEXT.ADD.CURVE(C2197,"SOFR",$K$2:$K$7,$L$2:$L$7,,,"Actual360","LogLinear",TRUE)</f>
        <v>QSObject:ContextInput:w1~input.qs_context_add_curve.2359132437744.2196.3.0:38103</v>
      </c>
      <c r="E2197" s="6" t="str">
        <f>_xll.QS.INSTRUMENT.SWAP("swap.2195",H2197,B2197,"USD","SOFR",I2197,J2197,0,"Actual360","Simple","Annual","Annual","Annual")</f>
        <v>QSObject:Swap:w1~swap.2195:18078</v>
      </c>
      <c r="F2197" s="6" t="str">
        <f>_xll.QS.TRADE.CREATE("trade.2195",E2197,A2197,"Receive")</f>
        <v>QSObject:SwapTrade:w1~trade.2195:29838</v>
      </c>
      <c r="G2197" s="3">
        <f>_xll.QS.EVALUATE(C2197,F2197)</f>
        <v>42143.851399080893</v>
      </c>
      <c r="H2197" s="5" t="s">
        <v>782</v>
      </c>
      <c r="I2197" s="7">
        <v>1219500</v>
      </c>
      <c r="J2197" s="8">
        <v>3.9500000000000007E-2</v>
      </c>
    </row>
    <row r="2198" spans="1:10" x14ac:dyDescent="0.25">
      <c r="A2198" s="5" t="s">
        <v>770</v>
      </c>
      <c r="B2198" s="5" t="s">
        <v>4065</v>
      </c>
      <c r="C2198" s="6" t="str">
        <f>_xll.QS.CONTEXT.CREATE("market.2196",A2198,"USD","SOFR")</f>
        <v>QSObject:PricingContext:w1~market.2196:18077</v>
      </c>
      <c r="D2198" s="6" t="str">
        <f>_xll.QS.CONTEXT.ADD.CURVE(C2198,"SOFR",$K$2:$K$7,$L$2:$L$7,,,"Actual360","LogLinear",TRUE)</f>
        <v>QSObject:ContextInput:w1~input.qs_context_add_curve.2359132437744.2197.3.0:38102</v>
      </c>
      <c r="E2198" s="6" t="str">
        <f>_xll.QS.INSTRUMENT.SWAP("swap.2196",H2198,B2198,"USD","SOFR",I2198,J2198,0,"Actual360","Simple","Annual","Annual","Annual")</f>
        <v>QSObject:Swap:w1~swap.2196:18076</v>
      </c>
      <c r="F2198" s="6" t="str">
        <f>_xll.QS.TRADE.CREATE("trade.2196",E2198,A2198,"Receive")</f>
        <v>QSObject:SwapTrade:w1~trade.2196:29837</v>
      </c>
      <c r="G2198" s="3">
        <f>_xll.QS.EVALUATE(C2198,F2198)</f>
        <v>42505.456883579347</v>
      </c>
      <c r="H2198" s="5" t="s">
        <v>784</v>
      </c>
      <c r="I2198" s="7">
        <v>1219600</v>
      </c>
      <c r="J2198" s="8">
        <v>3.9600000000000003E-2</v>
      </c>
    </row>
    <row r="2199" spans="1:10" x14ac:dyDescent="0.25">
      <c r="A2199" s="5" t="s">
        <v>772</v>
      </c>
      <c r="B2199" s="5" t="s">
        <v>4066</v>
      </c>
      <c r="C2199" s="6" t="str">
        <f>_xll.QS.CONTEXT.CREATE("market.2197",A2199,"USD","SOFR")</f>
        <v>QSObject:PricingContext:w1~market.2197:18075</v>
      </c>
      <c r="D2199" s="6" t="str">
        <f>_xll.QS.CONTEXT.ADD.CURVE(C2199,"SOFR",$K$2:$K$7,$L$2:$L$7,,,"Actual360","LogLinear",TRUE)</f>
        <v>QSObject:ContextInput:w1~input.qs_context_add_curve.2359132437744.2198.3.0:38101</v>
      </c>
      <c r="E2199" s="6" t="str">
        <f>_xll.QS.INSTRUMENT.SWAP("swap.2197",H2199,B2199,"USD","SOFR",I2199,J2199,0,"Actual360","Simple","Annual","Annual","Annual")</f>
        <v>QSObject:Swap:w1~swap.2197:18074</v>
      </c>
      <c r="F2199" s="6" t="str">
        <f>_xll.QS.TRADE.CREATE("trade.2197",E2199,A2199,"Receive")</f>
        <v>QSObject:SwapTrade:w1~trade.2197:29836</v>
      </c>
      <c r="G2199" s="3">
        <f>_xll.QS.EVALUATE(C2199,F2199)</f>
        <v>43074.982548325796</v>
      </c>
      <c r="H2199" s="5" t="s">
        <v>786</v>
      </c>
      <c r="I2199" s="7">
        <v>1219700</v>
      </c>
      <c r="J2199" s="8">
        <v>3.9700000000000013E-2</v>
      </c>
    </row>
    <row r="2200" spans="1:10" x14ac:dyDescent="0.25">
      <c r="A2200" s="5" t="s">
        <v>774</v>
      </c>
      <c r="B2200" s="5" t="s">
        <v>4067</v>
      </c>
      <c r="C2200" s="6" t="str">
        <f>_xll.QS.CONTEXT.CREATE("market.2198",A2200,"USD","SOFR")</f>
        <v>QSObject:PricingContext:w1~market.2198:18073</v>
      </c>
      <c r="D2200" s="6" t="str">
        <f>_xll.QS.CONTEXT.ADD.CURVE(C2200,"SOFR",$K$2:$K$7,$L$2:$L$7,,,"Actual360","LogLinear",TRUE)</f>
        <v>QSObject:ContextInput:w1~input.qs_context_add_curve.2359132437744.2199.3.0:38100</v>
      </c>
      <c r="E2200" s="6" t="str">
        <f>_xll.QS.INSTRUMENT.SWAP("swap.2198",H2200,B2200,"USD","SOFR",I2200,J2200,0,"Actual360","Simple","Annual","Annual","Annual")</f>
        <v>QSObject:Swap:w1~swap.2198:18072</v>
      </c>
      <c r="F2200" s="6" t="str">
        <f>_xll.QS.TRADE.CREATE("trade.2198",E2200,A2200,"Receive")</f>
        <v>QSObject:SwapTrade:w1~trade.2198:29835</v>
      </c>
      <c r="G2200" s="3">
        <f>_xll.QS.EVALUATE(C2200,F2200)</f>
        <v>43693.679765282453</v>
      </c>
      <c r="H2200" s="5" t="s">
        <v>788</v>
      </c>
      <c r="I2200" s="7">
        <v>1219800</v>
      </c>
      <c r="J2200" s="8">
        <v>3.9800000000000002E-2</v>
      </c>
    </row>
    <row r="2201" spans="1:10" x14ac:dyDescent="0.25">
      <c r="A2201" s="5" t="s">
        <v>776</v>
      </c>
      <c r="B2201" s="5" t="s">
        <v>4068</v>
      </c>
      <c r="C2201" s="6" t="str">
        <f>_xll.QS.CONTEXT.CREATE("market.2199",A2201,"USD","SOFR")</f>
        <v>QSObject:PricingContext:w1~market.2199:18071</v>
      </c>
      <c r="D2201" s="6" t="str">
        <f>_xll.QS.CONTEXT.ADD.CURVE(C2201,"SOFR",$K$2:$K$7,$L$2:$L$7,,,"Actual360","LogLinear",TRUE)</f>
        <v>QSObject:ContextInput:w1~input.qs_context_add_curve.2359132437744.2200.3.0:38099</v>
      </c>
      <c r="E2201" s="6" t="str">
        <f>_xll.QS.INSTRUMENT.SWAP("swap.2199",H2201,B2201,"USD","SOFR",I2201,J2201,0,"Actual360","Simple","Annual","Annual","Annual")</f>
        <v>QSObject:Swap:w1~swap.2199:18070</v>
      </c>
      <c r="F2201" s="6" t="str">
        <f>_xll.QS.TRADE.CREATE("trade.2199",E2201,A2201,"Receive")</f>
        <v>QSObject:SwapTrade:w1~trade.2199:29834</v>
      </c>
      <c r="G2201" s="3">
        <f>_xll.QS.EVALUATE(C2201,F2201)</f>
        <v>44446.506366269001</v>
      </c>
      <c r="H2201" s="5" t="s">
        <v>790</v>
      </c>
      <c r="I2201" s="7">
        <v>1219900</v>
      </c>
      <c r="J2201" s="8">
        <v>3.9899999999999998E-2</v>
      </c>
    </row>
    <row r="2202" spans="1:10" x14ac:dyDescent="0.25">
      <c r="A2202" s="5" t="s">
        <v>778</v>
      </c>
      <c r="B2202" s="5" t="s">
        <v>4069</v>
      </c>
      <c r="C2202" s="6" t="str">
        <f>_xll.QS.CONTEXT.CREATE("market.2200",A2202,"USD","SOFR")</f>
        <v>QSObject:PricingContext:w1~market.2200:18069</v>
      </c>
      <c r="D2202" s="6" t="str">
        <f>_xll.QS.CONTEXT.ADD.CURVE(C2202,"SOFR",$K$2:$K$7,$L$2:$L$7,,,"Actual360","LogLinear",TRUE)</f>
        <v>QSObject:ContextInput:w1~input.qs_context_add_curve.2359132437744.2201.3.0:38098</v>
      </c>
      <c r="E2202" s="6" t="str">
        <f>_xll.QS.INSTRUMENT.SWAP("swap.2200",H2202,B2202,"USD","SOFR",I2202,J2202,0,"Actual360","Simple","Annual","Annual","Annual")</f>
        <v>QSObject:Swap:w1~swap.2200:18068</v>
      </c>
      <c r="F2202" s="6" t="str">
        <f>_xll.QS.TRADE.CREATE("trade.2200",E2202,A2202,"Receive")</f>
        <v>QSObject:SwapTrade:w1~trade.2200:29833</v>
      </c>
      <c r="G2202" s="3">
        <f>_xll.QS.EVALUATE(C2202,F2202)</f>
        <v>16869.143309712599</v>
      </c>
      <c r="H2202" s="5" t="s">
        <v>792</v>
      </c>
      <c r="I2202" s="7">
        <v>1220000</v>
      </c>
      <c r="J2202" s="8">
        <v>3.5000000000000003E-2</v>
      </c>
    </row>
    <row r="2203" spans="1:10" x14ac:dyDescent="0.25">
      <c r="A2203" s="5" t="s">
        <v>780</v>
      </c>
      <c r="B2203" s="5" t="s">
        <v>4070</v>
      </c>
      <c r="C2203" s="6" t="str">
        <f>_xll.QS.CONTEXT.CREATE("market.2201",A2203,"USD","SOFR")</f>
        <v>QSObject:PricingContext:w1~market.2201:18067</v>
      </c>
      <c r="D2203" s="6" t="str">
        <f>_xll.QS.CONTEXT.ADD.CURVE(C2203,"SOFR",$K$2:$K$7,$L$2:$L$7,,,"Actual360","LogLinear",TRUE)</f>
        <v>QSObject:ContextInput:w1~input.qs_context_add_curve.2359132437744.2202.3.0:38097</v>
      </c>
      <c r="E2203" s="6" t="str">
        <f>_xll.QS.INSTRUMENT.SWAP("swap.2201",H2203,B2203,"USD","SOFR",I2203,J2203,0,"Actual360","Simple","Annual","Annual","Annual")</f>
        <v>QSObject:Swap:w1~swap.2201:18066</v>
      </c>
      <c r="F2203" s="6" t="str">
        <f>_xll.QS.TRADE.CREATE("trade.2201",E2203,A2203,"Receive")</f>
        <v>QSObject:SwapTrade:w1~trade.2201:29832</v>
      </c>
      <c r="G2203" s="3">
        <f>_xll.QS.EVALUATE(C2203,F2203)</f>
        <v>17444.365116733927</v>
      </c>
      <c r="H2203" s="5" t="s">
        <v>794</v>
      </c>
      <c r="I2203" s="7">
        <v>1220100</v>
      </c>
      <c r="J2203" s="8">
        <v>3.5100000000000013E-2</v>
      </c>
    </row>
    <row r="2204" spans="1:10" x14ac:dyDescent="0.25">
      <c r="A2204" s="5" t="s">
        <v>782</v>
      </c>
      <c r="B2204" s="5" t="s">
        <v>4071</v>
      </c>
      <c r="C2204" s="6" t="str">
        <f>_xll.QS.CONTEXT.CREATE("market.2202",A2204,"USD","SOFR")</f>
        <v>QSObject:PricingContext:w1~market.2202:18065</v>
      </c>
      <c r="D2204" s="6" t="str">
        <f>_xll.QS.CONTEXT.ADD.CURVE(C2204,"SOFR",$K$2:$K$7,$L$2:$L$7,,,"Actual360","LogLinear",TRUE)</f>
        <v>QSObject:ContextInput:w1~input.qs_context_add_curve.2359132437744.2203.3.0:38096</v>
      </c>
      <c r="E2204" s="6" t="str">
        <f>_xll.QS.INSTRUMENT.SWAP("swap.2202",H2204,B2204,"USD","SOFR",I2204,J2204,0,"Actual360","Simple","Annual","Annual","Annual")</f>
        <v>QSObject:Swap:w1~swap.2202:18064</v>
      </c>
      <c r="F2204" s="6" t="str">
        <f>_xll.QS.TRADE.CREATE("trade.2202",E2204,A2204,"Receive")</f>
        <v>QSObject:SwapTrade:w1~trade.2202:29831</v>
      </c>
      <c r="G2204" s="3">
        <f>_xll.QS.EVALUATE(C2204,F2204)</f>
        <v>18009.623410785985</v>
      </c>
      <c r="H2204" s="5" t="s">
        <v>796</v>
      </c>
      <c r="I2204" s="7">
        <v>1220200</v>
      </c>
      <c r="J2204" s="8">
        <v>3.5200000000000002E-2</v>
      </c>
    </row>
    <row r="2205" spans="1:10" x14ac:dyDescent="0.25">
      <c r="A2205" s="5" t="s">
        <v>784</v>
      </c>
      <c r="B2205" s="5" t="s">
        <v>4072</v>
      </c>
      <c r="C2205" s="6" t="str">
        <f>_xll.QS.CONTEXT.CREATE("market.2203",A2205,"USD","SOFR")</f>
        <v>QSObject:PricingContext:w1~market.2203:18063</v>
      </c>
      <c r="D2205" s="6" t="str">
        <f>_xll.QS.CONTEXT.ADD.CURVE(C2205,"SOFR",$K$2:$K$7,$L$2:$L$7,,,"Actual360","LogLinear",TRUE)</f>
        <v>QSObject:ContextInput:w1~input.qs_context_add_curve.2359132437744.2204.3.0:38095</v>
      </c>
      <c r="E2205" s="6" t="str">
        <f>_xll.QS.INSTRUMENT.SWAP("swap.2203",H2205,B2205,"USD","SOFR",I2205,J2205,0,"Actual360","Simple","Annual","Annual","Annual")</f>
        <v>QSObject:Swap:w1~swap.2203:18062</v>
      </c>
      <c r="F2205" s="6" t="str">
        <f>_xll.QS.TRADE.CREATE("trade.2203",E2205,A2205,"Receive")</f>
        <v>QSObject:SwapTrade:w1~trade.2203:29830</v>
      </c>
      <c r="G2205" s="3">
        <f>_xll.QS.EVALUATE(C2205,F2205)</f>
        <v>18426.549719559553</v>
      </c>
      <c r="H2205" s="5" t="s">
        <v>798</v>
      </c>
      <c r="I2205" s="7">
        <v>1220300</v>
      </c>
      <c r="J2205" s="8">
        <v>3.5299999999999998E-2</v>
      </c>
    </row>
    <row r="2206" spans="1:10" x14ac:dyDescent="0.25">
      <c r="A2206" s="5" t="s">
        <v>786</v>
      </c>
      <c r="B2206" s="5" t="s">
        <v>4073</v>
      </c>
      <c r="C2206" s="6" t="str">
        <f>_xll.QS.CONTEXT.CREATE("market.2204",A2206,"USD","SOFR")</f>
        <v>QSObject:PricingContext:w1~market.2204:18061</v>
      </c>
      <c r="D2206" s="6" t="str">
        <f>_xll.QS.CONTEXT.ADD.CURVE(C2206,"SOFR",$K$2:$K$7,$L$2:$L$7,,,"Actual360","LogLinear",TRUE)</f>
        <v>QSObject:ContextInput:w1~input.qs_context_add_curve.2359132437744.2205.3.0:38094</v>
      </c>
      <c r="E2206" s="6" t="str">
        <f>_xll.QS.INSTRUMENT.SWAP("swap.2204",H2206,B2206,"USD","SOFR",I2206,J2206,0,"Actual360","Simple","Annual","Annual","Annual")</f>
        <v>QSObject:Swap:w1~swap.2204:18060</v>
      </c>
      <c r="F2206" s="6" t="str">
        <f>_xll.QS.TRADE.CREATE("trade.2204",E2206,A2206,"Receive")</f>
        <v>QSObject:SwapTrade:w1~trade.2204:29829</v>
      </c>
      <c r="G2206" s="3">
        <f>_xll.QS.EVALUATE(C2206,F2206)</f>
        <v>18992.381977356876</v>
      </c>
      <c r="H2206" s="5" t="s">
        <v>800</v>
      </c>
      <c r="I2206" s="7">
        <v>1220400</v>
      </c>
      <c r="J2206" s="8">
        <v>3.5400000000000001E-2</v>
      </c>
    </row>
    <row r="2207" spans="1:10" x14ac:dyDescent="0.25">
      <c r="A2207" s="5" t="s">
        <v>788</v>
      </c>
      <c r="B2207" s="5" t="s">
        <v>4074</v>
      </c>
      <c r="C2207" s="6" t="str">
        <f>_xll.QS.CONTEXT.CREATE("market.2205",A2207,"USD","SOFR")</f>
        <v>QSObject:PricingContext:w1~market.2205:18059</v>
      </c>
      <c r="D2207" s="6" t="str">
        <f>_xll.QS.CONTEXT.ADD.CURVE(C2207,"SOFR",$K$2:$K$7,$L$2:$L$7,,,"Actual360","LogLinear",TRUE)</f>
        <v>QSObject:ContextInput:w1~input.qs_context_add_curve.2359132437744.2206.3.0:38093</v>
      </c>
      <c r="E2207" s="6" t="str">
        <f>_xll.QS.INSTRUMENT.SWAP("swap.2205",H2207,B2207,"USD","SOFR",I2207,J2207,0,"Actual360","Simple","Annual","Annual","Annual")</f>
        <v>QSObject:Swap:w1~swap.2205:18058</v>
      </c>
      <c r="F2207" s="6" t="str">
        <f>_xll.QS.TRADE.CREATE("trade.2205",E2207,A2207,"Receive")</f>
        <v>QSObject:SwapTrade:w1~trade.2205:29828</v>
      </c>
      <c r="G2207" s="3">
        <f>_xll.QS.EVALUATE(C2207,F2207)</f>
        <v>19558.454093822409</v>
      </c>
      <c r="H2207" s="5" t="s">
        <v>802</v>
      </c>
      <c r="I2207" s="7">
        <v>1220500</v>
      </c>
      <c r="J2207" s="8">
        <v>3.5499999999999997E-2</v>
      </c>
    </row>
    <row r="2208" spans="1:10" x14ac:dyDescent="0.25">
      <c r="A2208" s="5" t="s">
        <v>790</v>
      </c>
      <c r="B2208" s="5" t="s">
        <v>4075</v>
      </c>
      <c r="C2208" s="6" t="str">
        <f>_xll.QS.CONTEXT.CREATE("market.2206",A2208,"USD","SOFR")</f>
        <v>QSObject:PricingContext:w1~market.2206:18057</v>
      </c>
      <c r="D2208" s="6" t="str">
        <f>_xll.QS.CONTEXT.ADD.CURVE(C2208,"SOFR",$K$2:$K$7,$L$2:$L$7,,,"Actual360","LogLinear",TRUE)</f>
        <v>QSObject:ContextInput:w1~input.qs_context_add_curve.2359132437744.2207.3.0:38092</v>
      </c>
      <c r="E2208" s="6" t="str">
        <f>_xll.QS.INSTRUMENT.SWAP("swap.2206",H2208,B2208,"USD","SOFR",I2208,J2208,0,"Actual360","Simple","Annual","Annual","Annual")</f>
        <v>QSObject:Swap:w1~swap.2206:18056</v>
      </c>
      <c r="F2208" s="6" t="str">
        <f>_xll.QS.TRADE.CREATE("trade.2206",E2208,A2208,"Receive")</f>
        <v>QSObject:SwapTrade:w1~trade.2206:29827</v>
      </c>
      <c r="G2208" s="3">
        <f>_xll.QS.EVALUATE(C2208,F2208)</f>
        <v>20211.926053292736</v>
      </c>
      <c r="H2208" s="5" t="s">
        <v>804</v>
      </c>
      <c r="I2208" s="7">
        <v>1220600</v>
      </c>
      <c r="J2208" s="8">
        <v>3.5600000000000007E-2</v>
      </c>
    </row>
    <row r="2209" spans="1:10" x14ac:dyDescent="0.25">
      <c r="A2209" s="5" t="s">
        <v>792</v>
      </c>
      <c r="B2209" s="5" t="s">
        <v>4076</v>
      </c>
      <c r="C2209" s="6" t="str">
        <f>_xll.QS.CONTEXT.CREATE("market.2207",A2209,"USD","SOFR")</f>
        <v>QSObject:PricingContext:w1~market.2207:18055</v>
      </c>
      <c r="D2209" s="6" t="str">
        <f>_xll.QS.CONTEXT.ADD.CURVE(C2209,"SOFR",$K$2:$K$7,$L$2:$L$7,,,"Actual360","LogLinear",TRUE)</f>
        <v>QSObject:ContextInput:w1~input.qs_context_add_curve.2359132437744.2208.3.0:38091</v>
      </c>
      <c r="E2209" s="6" t="str">
        <f>_xll.QS.INSTRUMENT.SWAP("swap.2207",H2209,B2209,"USD","SOFR",I2209,J2209,0,"Actual360","Simple","Annual","Annual","Annual")</f>
        <v>QSObject:Swap:w1~swap.2207:18054</v>
      </c>
      <c r="F2209" s="6" t="str">
        <f>_xll.QS.TRADE.CREATE("trade.2207",E2209,A2209,"Receive")</f>
        <v>QSObject:SwapTrade:w1~trade.2207:29826</v>
      </c>
      <c r="G2209" s="3">
        <f>_xll.QS.EVALUATE(C2209,F2209)</f>
        <v>20776.5512875192</v>
      </c>
      <c r="H2209" s="5" t="s">
        <v>806</v>
      </c>
      <c r="I2209" s="7">
        <v>1220700</v>
      </c>
      <c r="J2209" s="8">
        <v>3.5700000000000003E-2</v>
      </c>
    </row>
    <row r="2210" spans="1:10" x14ac:dyDescent="0.25">
      <c r="A2210" s="5" t="s">
        <v>794</v>
      </c>
      <c r="B2210" s="5" t="s">
        <v>4077</v>
      </c>
      <c r="C2210" s="6" t="str">
        <f>_xll.QS.CONTEXT.CREATE("market.2208",A2210,"USD","SOFR")</f>
        <v>QSObject:PricingContext:w1~market.2208:18053</v>
      </c>
      <c r="D2210" s="6" t="str">
        <f>_xll.QS.CONTEXT.ADD.CURVE(C2210,"SOFR",$K$2:$K$7,$L$2:$L$7,,,"Actual360","LogLinear",TRUE)</f>
        <v>QSObject:ContextInput:w1~input.qs_context_add_curve.2359132437744.2209.3.0:38090</v>
      </c>
      <c r="E2210" s="6" t="str">
        <f>_xll.QS.INSTRUMENT.SWAP("swap.2208",H2210,B2210,"USD","SOFR",I2210,J2210,0,"Actual360","Simple","Annual","Annual","Annual")</f>
        <v>QSObject:Swap:w1~swap.2208:18052</v>
      </c>
      <c r="F2210" s="6" t="str">
        <f>_xll.QS.TRADE.CREATE("trade.2208",E2210,A2210,"Receive")</f>
        <v>QSObject:SwapTrade:w1~trade.2208:29825</v>
      </c>
      <c r="G2210" s="3">
        <f>_xll.QS.EVALUATE(C2210,F2210)</f>
        <v>21347.862926720329</v>
      </c>
      <c r="H2210" s="5" t="s">
        <v>808</v>
      </c>
      <c r="I2210" s="7">
        <v>1220800</v>
      </c>
      <c r="J2210" s="8">
        <v>3.5800000000000012E-2</v>
      </c>
    </row>
    <row r="2211" spans="1:10" x14ac:dyDescent="0.25">
      <c r="A2211" s="5" t="s">
        <v>796</v>
      </c>
      <c r="B2211" s="5" t="s">
        <v>4078</v>
      </c>
      <c r="C2211" s="6" t="str">
        <f>_xll.QS.CONTEXT.CREATE("market.2209",A2211,"USD","SOFR")</f>
        <v>QSObject:PricingContext:w1~market.2209:18051</v>
      </c>
      <c r="D2211" s="6" t="str">
        <f>_xll.QS.CONTEXT.ADD.CURVE(C2211,"SOFR",$K$2:$K$7,$L$2:$L$7,,,"Actual360","LogLinear",TRUE)</f>
        <v>QSObject:ContextInput:w1~input.qs_context_add_curve.2359132437744.2210.3.0:38089</v>
      </c>
      <c r="E2211" s="6" t="str">
        <f>_xll.QS.INSTRUMENT.SWAP("swap.2209",H2211,B2211,"USD","SOFR",I2211,J2211,0,"Actual360","Simple","Annual","Annual","Annual")</f>
        <v>QSObject:Swap:w1~swap.2209:18050</v>
      </c>
      <c r="F2211" s="6" t="str">
        <f>_xll.QS.TRADE.CREATE("trade.2209",E2211,A2211,"Receive")</f>
        <v>QSObject:SwapTrade:w1~trade.2209:29824</v>
      </c>
      <c r="G2211" s="3">
        <f>_xll.QS.EVALUATE(C2211,F2211)</f>
        <v>21913.885837167552</v>
      </c>
      <c r="H2211" s="5" t="s">
        <v>810</v>
      </c>
      <c r="I2211" s="7">
        <v>1220900</v>
      </c>
      <c r="J2211" s="8">
        <v>3.5900000000000001E-2</v>
      </c>
    </row>
    <row r="2212" spans="1:10" x14ac:dyDescent="0.25">
      <c r="A2212" s="5" t="s">
        <v>798</v>
      </c>
      <c r="B2212" s="5" t="s">
        <v>4079</v>
      </c>
      <c r="C2212" s="6" t="str">
        <f>_xll.QS.CONTEXT.CREATE("market.2210",A2212,"USD","SOFR")</f>
        <v>QSObject:PricingContext:w1~market.2210:18049</v>
      </c>
      <c r="D2212" s="6" t="str">
        <f>_xll.QS.CONTEXT.ADD.CURVE(C2212,"SOFR",$K$2:$K$7,$L$2:$L$7,,,"Actual360","LogLinear",TRUE)</f>
        <v>QSObject:ContextInput:w1~input.qs_context_add_curve.2359132437744.2211.3.0:38088</v>
      </c>
      <c r="E2212" s="6" t="str">
        <f>_xll.QS.INSTRUMENT.SWAP("swap.2210",H2212,B2212,"USD","SOFR",I2212,J2212,0,"Actual360","Simple","Annual","Annual","Annual")</f>
        <v>QSObject:Swap:w1~swap.2210:18048</v>
      </c>
      <c r="F2212" s="6" t="str">
        <f>_xll.QS.TRADE.CREATE("trade.2210",E2212,A2212,"Receive")</f>
        <v>QSObject:SwapTrade:w1~trade.2210:29823</v>
      </c>
      <c r="G2212" s="3">
        <f>_xll.QS.EVALUATE(C2212,F2212)</f>
        <v>22330.375423622783</v>
      </c>
      <c r="H2212" s="5" t="s">
        <v>812</v>
      </c>
      <c r="I2212" s="7">
        <v>1221000</v>
      </c>
      <c r="J2212" s="8">
        <v>3.5999999999999997E-2</v>
      </c>
    </row>
    <row r="2213" spans="1:10" x14ac:dyDescent="0.25">
      <c r="A2213" s="5" t="s">
        <v>800</v>
      </c>
      <c r="B2213" s="5" t="s">
        <v>4080</v>
      </c>
      <c r="C2213" s="6" t="str">
        <f>_xll.QS.CONTEXT.CREATE("market.2211",A2213,"USD","SOFR")</f>
        <v>QSObject:PricingContext:w1~market.2211:18047</v>
      </c>
      <c r="D2213" s="6" t="str">
        <f>_xll.QS.CONTEXT.ADD.CURVE(C2213,"SOFR",$K$2:$K$7,$L$2:$L$7,,,"Actual360","LogLinear",TRUE)</f>
        <v>QSObject:ContextInput:w1~input.qs_context_add_curve.2359132437744.2212.3.0:38087</v>
      </c>
      <c r="E2213" s="6" t="str">
        <f>_xll.QS.INSTRUMENT.SWAP("swap.2211",H2213,B2213,"USD","SOFR",I2213,J2213,0,"Actual360","Simple","Annual","Annual","Annual")</f>
        <v>QSObject:Swap:w1~swap.2211:18046</v>
      </c>
      <c r="F2213" s="6" t="str">
        <f>_xll.QS.TRADE.CREATE("trade.2211",E2213,A2213,"Receive")</f>
        <v>QSObject:SwapTrade:w1~trade.2211:29822</v>
      </c>
      <c r="G2213" s="3">
        <f>_xll.QS.EVALUATE(C2213,F2213)</f>
        <v>22897.22524044232</v>
      </c>
      <c r="H2213" s="5" t="s">
        <v>814</v>
      </c>
      <c r="I2213" s="7">
        <v>1221100</v>
      </c>
      <c r="J2213" s="8">
        <v>3.61E-2</v>
      </c>
    </row>
    <row r="2214" spans="1:10" x14ac:dyDescent="0.25">
      <c r="A2214" s="5" t="s">
        <v>802</v>
      </c>
      <c r="B2214" s="5" t="s">
        <v>4081</v>
      </c>
      <c r="C2214" s="6" t="str">
        <f>_xll.QS.CONTEXT.CREATE("market.2212",A2214,"USD","SOFR")</f>
        <v>QSObject:PricingContext:w1~market.2212:18045</v>
      </c>
      <c r="D2214" s="6" t="str">
        <f>_xll.QS.CONTEXT.ADD.CURVE(C2214,"SOFR",$K$2:$K$7,$L$2:$L$7,,,"Actual360","LogLinear",TRUE)</f>
        <v>QSObject:ContextInput:w1~input.qs_context_add_curve.2359132437744.2213.3.0:38086</v>
      </c>
      <c r="E2214" s="6" t="str">
        <f>_xll.QS.INSTRUMENT.SWAP("swap.2212",H2214,B2214,"USD","SOFR",I2214,J2214,0,"Actual360","Simple","Annual","Annual","Annual")</f>
        <v>QSObject:Swap:w1~swap.2212:18044</v>
      </c>
      <c r="F2214" s="6" t="str">
        <f>_xll.QS.TRADE.CREATE("trade.2212",E2214,A2214,"Receive")</f>
        <v>QSObject:SwapTrade:w1~trade.2212:29821</v>
      </c>
      <c r="G2214" s="3">
        <f>_xll.QS.EVALUATE(C2214,F2214)</f>
        <v>23513.064099565156</v>
      </c>
      <c r="H2214" s="5" t="s">
        <v>816</v>
      </c>
      <c r="I2214" s="7">
        <v>1221200</v>
      </c>
      <c r="J2214" s="8">
        <v>3.6200000000000003E-2</v>
      </c>
    </row>
    <row r="2215" spans="1:10" x14ac:dyDescent="0.25">
      <c r="A2215" s="5" t="s">
        <v>804</v>
      </c>
      <c r="B2215" s="5" t="s">
        <v>4082</v>
      </c>
      <c r="C2215" s="6" t="str">
        <f>_xll.QS.CONTEXT.CREATE("market.2213",A2215,"USD","SOFR")</f>
        <v>QSObject:PricingContext:w1~market.2213:18043</v>
      </c>
      <c r="D2215" s="6" t="str">
        <f>_xll.QS.CONTEXT.ADD.CURVE(C2215,"SOFR",$K$2:$K$7,$L$2:$L$7,,,"Actual360","LogLinear",TRUE)</f>
        <v>QSObject:ContextInput:w1~input.qs_context_add_curve.2359132437744.2214.3.0:38085</v>
      </c>
      <c r="E2215" s="6" t="str">
        <f>_xll.QS.INSTRUMENT.SWAP("swap.2213",H2215,B2215,"USD","SOFR",I2215,J2215,0,"Actual360","Simple","Annual","Annual","Annual")</f>
        <v>QSObject:Swap:w1~swap.2213:18042</v>
      </c>
      <c r="F2215" s="6" t="str">
        <f>_xll.QS.TRADE.CREATE("trade.2213",E2215,A2215,"Receive")</f>
        <v>QSObject:SwapTrade:w1~trade.2213:29820</v>
      </c>
      <c r="G2215" s="3">
        <f>_xll.QS.EVALUATE(C2215,F2215)</f>
        <v>24167.768329215221</v>
      </c>
      <c r="H2215" s="5" t="s">
        <v>818</v>
      </c>
      <c r="I2215" s="7">
        <v>1221300</v>
      </c>
      <c r="J2215" s="8">
        <v>3.6300000000000013E-2</v>
      </c>
    </row>
    <row r="2216" spans="1:10" x14ac:dyDescent="0.25">
      <c r="A2216" s="5" t="s">
        <v>806</v>
      </c>
      <c r="B2216" s="5" t="s">
        <v>4083</v>
      </c>
      <c r="C2216" s="6" t="str">
        <f>_xll.QS.CONTEXT.CREATE("market.2214",A2216,"USD","SOFR")</f>
        <v>QSObject:PricingContext:w1~market.2214:18041</v>
      </c>
      <c r="D2216" s="6" t="str">
        <f>_xll.QS.CONTEXT.ADD.CURVE(C2216,"SOFR",$K$2:$K$7,$L$2:$L$7,,,"Actual360","LogLinear",TRUE)</f>
        <v>QSObject:ContextInput:w1~input.qs_context_add_curve.2359132437744.2215.3.0:38084</v>
      </c>
      <c r="E2216" s="6" t="str">
        <f>_xll.QS.INSTRUMENT.SWAP("swap.2214",H2216,B2216,"USD","SOFR",I2216,J2216,0,"Actual360","Simple","Annual","Annual","Annual")</f>
        <v>QSObject:Swap:w1~swap.2214:18040</v>
      </c>
      <c r="F2216" s="6" t="str">
        <f>_xll.QS.TRADE.CREATE("trade.2214",E2216,A2216,"Receive")</f>
        <v>QSObject:SwapTrade:w1~trade.2214:29819</v>
      </c>
      <c r="G2216" s="3">
        <f>_xll.QS.EVALUATE(C2216,F2216)</f>
        <v>24733.265414720561</v>
      </c>
      <c r="H2216" s="5" t="s">
        <v>820</v>
      </c>
      <c r="I2216" s="7">
        <v>1221400</v>
      </c>
      <c r="J2216" s="8">
        <v>3.6400000000000002E-2</v>
      </c>
    </row>
    <row r="2217" spans="1:10" x14ac:dyDescent="0.25">
      <c r="A2217" s="5" t="s">
        <v>808</v>
      </c>
      <c r="B2217" s="5" t="s">
        <v>4084</v>
      </c>
      <c r="C2217" s="6" t="str">
        <f>_xll.QS.CONTEXT.CREATE("market.2215",A2217,"USD","SOFR")</f>
        <v>QSObject:PricingContext:w1~market.2215:18039</v>
      </c>
      <c r="D2217" s="6" t="str">
        <f>_xll.QS.CONTEXT.ADD.CURVE(C2217,"SOFR",$K$2:$K$7,$L$2:$L$7,,,"Actual360","LogLinear",TRUE)</f>
        <v>QSObject:ContextInput:w1~input.qs_context_add_curve.2359132437744.2216.3.0:38083</v>
      </c>
      <c r="E2217" s="6" t="str">
        <f>_xll.QS.INSTRUMENT.SWAP("swap.2215",H2217,B2217,"USD","SOFR",I2217,J2217,0,"Actual360","Simple","Annual","Annual","Annual")</f>
        <v>QSObject:Swap:w1~swap.2215:18038</v>
      </c>
      <c r="F2217" s="6" t="str">
        <f>_xll.QS.TRADE.CREATE("trade.2215",E2217,A2217,"Receive")</f>
        <v>QSObject:SwapTrade:w1~trade.2215:29818</v>
      </c>
      <c r="G2217" s="3">
        <f>_xll.QS.EVALUATE(C2217,F2217)</f>
        <v>25305.038367416164</v>
      </c>
      <c r="H2217" s="5" t="s">
        <v>822</v>
      </c>
      <c r="I2217" s="7">
        <v>1221500</v>
      </c>
      <c r="J2217" s="8">
        <v>3.6499999999999998E-2</v>
      </c>
    </row>
    <row r="2218" spans="1:10" x14ac:dyDescent="0.25">
      <c r="A2218" s="5" t="s">
        <v>810</v>
      </c>
      <c r="B2218" s="5" t="s">
        <v>4085</v>
      </c>
      <c r="C2218" s="6" t="str">
        <f>_xll.QS.CONTEXT.CREATE("market.2216",A2218,"USD","SOFR")</f>
        <v>QSObject:PricingContext:w1~market.2216:18037</v>
      </c>
      <c r="D2218" s="6" t="str">
        <f>_xll.QS.CONTEXT.ADD.CURVE(C2218,"SOFR",$K$2:$K$7,$L$2:$L$7,,,"Actual360","LogLinear",TRUE)</f>
        <v>QSObject:ContextInput:w1~input.qs_context_add_curve.2359132437744.2217.3.0:38082</v>
      </c>
      <c r="E2218" s="6" t="str">
        <f>_xll.QS.INSTRUMENT.SWAP("swap.2216",H2218,B2218,"USD","SOFR",I2218,J2218,0,"Actual360","Simple","Annual","Annual","Annual")</f>
        <v>QSObject:Swap:w1~swap.2216:18036</v>
      </c>
      <c r="F2218" s="6" t="str">
        <f>_xll.QS.TRADE.CREATE("trade.2216",E2218,A2218,"Receive")</f>
        <v>QSObject:SwapTrade:w1~trade.2216:29817</v>
      </c>
      <c r="G2218" s="3">
        <f>_xll.QS.EVALUATE(C2218,F2218)</f>
        <v>25871.571316246424</v>
      </c>
      <c r="H2218" s="5" t="s">
        <v>824</v>
      </c>
      <c r="I2218" s="7">
        <v>1221600</v>
      </c>
      <c r="J2218" s="8">
        <v>3.6600000000000001E-2</v>
      </c>
    </row>
    <row r="2219" spans="1:10" x14ac:dyDescent="0.25">
      <c r="A2219" s="5" t="s">
        <v>812</v>
      </c>
      <c r="B2219" s="5" t="s">
        <v>4086</v>
      </c>
      <c r="C2219" s="6" t="str">
        <f>_xll.QS.CONTEXT.CREATE("market.2217",A2219,"USD","SOFR")</f>
        <v>QSObject:PricingContext:w1~market.2217:18035</v>
      </c>
      <c r="D2219" s="6" t="str">
        <f>_xll.QS.CONTEXT.ADD.CURVE(C2219,"SOFR",$K$2:$K$7,$L$2:$L$7,,,"Actual360","LogLinear",TRUE)</f>
        <v>QSObject:ContextInput:w1~input.qs_context_add_curve.2359132437744.2218.3.0:38081</v>
      </c>
      <c r="E2219" s="6" t="str">
        <f>_xll.QS.INSTRUMENT.SWAP("swap.2217",H2219,B2219,"USD","SOFR",I2219,J2219,0,"Actual360","Simple","Annual","Annual","Annual")</f>
        <v>QSObject:Swap:w1~swap.2217:18034</v>
      </c>
      <c r="F2219" s="6" t="str">
        <f>_xll.QS.TRADE.CREATE("trade.2217",E2219,A2219,"Receive")</f>
        <v>QSObject:SwapTrade:w1~trade.2217:29816</v>
      </c>
      <c r="G2219" s="3">
        <f>_xll.QS.EVALUATE(C2219,F2219)</f>
        <v>26287.830530138861</v>
      </c>
      <c r="H2219" s="5" t="s">
        <v>826</v>
      </c>
      <c r="I2219" s="7">
        <v>1221700</v>
      </c>
      <c r="J2219" s="8">
        <v>3.6700000000000003E-2</v>
      </c>
    </row>
    <row r="2220" spans="1:10" x14ac:dyDescent="0.25">
      <c r="A2220" s="5" t="s">
        <v>814</v>
      </c>
      <c r="B2220" s="5" t="s">
        <v>4087</v>
      </c>
      <c r="C2220" s="6" t="str">
        <f>_xll.QS.CONTEXT.CREATE("market.2218",A2220,"USD","SOFR")</f>
        <v>QSObject:PricingContext:w1~market.2218:18033</v>
      </c>
      <c r="D2220" s="6" t="str">
        <f>_xll.QS.CONTEXT.ADD.CURVE(C2220,"SOFR",$K$2:$K$7,$L$2:$L$7,,,"Actual360","LogLinear",TRUE)</f>
        <v>QSObject:ContextInput:w1~input.qs_context_add_curve.2359132437744.2219.3.0:38080</v>
      </c>
      <c r="E2220" s="6" t="str">
        <f>_xll.QS.INSTRUMENT.SWAP("swap.2218",H2220,B2220,"USD","SOFR",I2220,J2220,0,"Actual360","Simple","Annual","Annual","Annual")</f>
        <v>QSObject:Swap:w1~swap.2218:18032</v>
      </c>
      <c r="F2220" s="6" t="str">
        <f>_xll.QS.TRADE.CREATE("trade.2218",E2220,A2220,"Receive")</f>
        <v>QSObject:SwapTrade:w1~trade.2218:29815</v>
      </c>
      <c r="G2220" s="3">
        <f>_xll.QS.EVALUATE(C2220,F2220)</f>
        <v>26855.657955823437</v>
      </c>
      <c r="H2220" s="5" t="s">
        <v>828</v>
      </c>
      <c r="I2220" s="7">
        <v>1221800</v>
      </c>
      <c r="J2220" s="8">
        <v>3.6800000000000013E-2</v>
      </c>
    </row>
    <row r="2221" spans="1:10" x14ac:dyDescent="0.25">
      <c r="A2221" s="5" t="s">
        <v>816</v>
      </c>
      <c r="B2221" s="5" t="s">
        <v>4088</v>
      </c>
      <c r="C2221" s="6" t="str">
        <f>_xll.QS.CONTEXT.CREATE("market.2219",A2221,"USD","SOFR")</f>
        <v>QSObject:PricingContext:w1~market.2219:18031</v>
      </c>
      <c r="D2221" s="6" t="str">
        <f>_xll.QS.CONTEXT.ADD.CURVE(C2221,"SOFR",$K$2:$K$7,$L$2:$L$7,,,"Actual360","LogLinear",TRUE)</f>
        <v>QSObject:ContextInput:w1~input.qs_context_add_curve.2359132437744.2220.3.0:38079</v>
      </c>
      <c r="E2221" s="6" t="str">
        <f>_xll.QS.INSTRUMENT.SWAP("swap.2219",H2221,B2221,"USD","SOFR",I2221,J2221,0,"Actual360","Simple","Annual","Annual","Annual")</f>
        <v>QSObject:Swap:w1~swap.2219:18030</v>
      </c>
      <c r="F2221" s="6" t="str">
        <f>_xll.QS.TRADE.CREATE("trade.2219",E2221,A2221,"Receive")</f>
        <v>QSObject:SwapTrade:w1~trade.2219:29814</v>
      </c>
      <c r="G2221" s="3">
        <f>_xll.QS.EVALUATE(C2221,F2221)</f>
        <v>27471.881453648144</v>
      </c>
      <c r="H2221" s="5" t="s">
        <v>830</v>
      </c>
      <c r="I2221" s="7">
        <v>1221900</v>
      </c>
      <c r="J2221" s="8">
        <v>3.6900000000000002E-2</v>
      </c>
    </row>
    <row r="2222" spans="1:10" x14ac:dyDescent="0.25">
      <c r="A2222" s="5" t="s">
        <v>818</v>
      </c>
      <c r="B2222" s="5" t="s">
        <v>4089</v>
      </c>
      <c r="C2222" s="6" t="str">
        <f>_xll.QS.CONTEXT.CREATE("market.2220",A2222,"USD","SOFR")</f>
        <v>QSObject:PricingContext:w1~market.2220:18029</v>
      </c>
      <c r="D2222" s="6" t="str">
        <f>_xll.QS.CONTEXT.ADD.CURVE(C2222,"SOFR",$K$2:$K$7,$L$2:$L$7,,,"Actual360","LogLinear",TRUE)</f>
        <v>QSObject:ContextInput:w1~input.qs_context_add_curve.2359132437744.2221.3.0:38078</v>
      </c>
      <c r="E2222" s="6" t="str">
        <f>_xll.QS.INSTRUMENT.SWAP("swap.2220",H2222,B2222,"USD","SOFR",I2222,J2222,0,"Actual360","Simple","Annual","Annual","Annual")</f>
        <v>QSObject:Swap:w1~swap.2220:18028</v>
      </c>
      <c r="F2222" s="6" t="str">
        <f>_xll.QS.TRADE.CREATE("trade.2220",E2222,A2222,"Receive")</f>
        <v>QSObject:SwapTrade:w1~trade.2220:29813</v>
      </c>
      <c r="G2222" s="3">
        <f>_xll.QS.EVALUATE(C2222,F2222)</f>
        <v>28127.996862008345</v>
      </c>
      <c r="H2222" s="5" t="s">
        <v>832</v>
      </c>
      <c r="I2222" s="7">
        <v>1222000</v>
      </c>
      <c r="J2222" s="8">
        <v>3.7000000000000012E-2</v>
      </c>
    </row>
    <row r="2223" spans="1:10" x14ac:dyDescent="0.25">
      <c r="A2223" s="5" t="s">
        <v>820</v>
      </c>
      <c r="B2223" s="5" t="s">
        <v>4090</v>
      </c>
      <c r="C2223" s="6" t="str">
        <f>_xll.QS.CONTEXT.CREATE("market.2221",A2223,"USD","SOFR")</f>
        <v>QSObject:PricingContext:w1~market.2221:18027</v>
      </c>
      <c r="D2223" s="6" t="str">
        <f>_xll.QS.CONTEXT.ADD.CURVE(C2223,"SOFR",$K$2:$K$7,$L$2:$L$7,,,"Actual360","LogLinear",TRUE)</f>
        <v>QSObject:ContextInput:w1~input.qs_context_add_curve.2359132437744.2222.3.0:38077</v>
      </c>
      <c r="E2223" s="6" t="str">
        <f>_xll.QS.INSTRUMENT.SWAP("swap.2221",H2223,B2223,"USD","SOFR",I2223,J2223,0,"Actual360","Simple","Annual","Annual","Annual")</f>
        <v>QSObject:Swap:w1~swap.2221:18026</v>
      </c>
      <c r="F2223" s="6" t="str">
        <f>_xll.QS.TRADE.CREATE("trade.2221",E2223,A2223,"Receive")</f>
        <v>QSObject:SwapTrade:w1~trade.2221:29812</v>
      </c>
      <c r="G2223" s="3">
        <f>_xll.QS.EVALUATE(C2223,F2223)</f>
        <v>28693.955883338669</v>
      </c>
      <c r="H2223" s="5" t="s">
        <v>834</v>
      </c>
      <c r="I2223" s="7">
        <v>1222100</v>
      </c>
      <c r="J2223" s="8">
        <v>3.7100000000000001E-2</v>
      </c>
    </row>
    <row r="2224" spans="1:10" x14ac:dyDescent="0.25">
      <c r="A2224" s="5" t="s">
        <v>822</v>
      </c>
      <c r="B2224" s="5" t="s">
        <v>4091</v>
      </c>
      <c r="C2224" s="6" t="str">
        <f>_xll.QS.CONTEXT.CREATE("market.2222",A2224,"USD","SOFR")</f>
        <v>QSObject:PricingContext:w1~market.2222:18025</v>
      </c>
      <c r="D2224" s="6" t="str">
        <f>_xll.QS.CONTEXT.ADD.CURVE(C2224,"SOFR",$K$2:$K$7,$L$2:$L$7,,,"Actual360","LogLinear",TRUE)</f>
        <v>QSObject:ContextInput:w1~input.qs_context_add_curve.2359132437744.2223.3.0:38076</v>
      </c>
      <c r="E2224" s="6" t="str">
        <f>_xll.QS.INSTRUMENT.SWAP("swap.2222",H2224,B2224,"USD","SOFR",I2224,J2224,0,"Actual360","Simple","Annual","Annual","Annual")</f>
        <v>QSObject:Swap:w1~swap.2222:18024</v>
      </c>
      <c r="F2224" s="6" t="str">
        <f>_xll.QS.TRADE.CREATE("trade.2222",E2224,A2224,"Receive")</f>
        <v>QSObject:SwapTrade:w1~trade.2222:29811</v>
      </c>
      <c r="G2224" s="3">
        <f>_xll.QS.EVALUATE(C2224,F2224)</f>
        <v>29266.735223233722</v>
      </c>
      <c r="H2224" s="5" t="s">
        <v>836</v>
      </c>
      <c r="I2224" s="7">
        <v>1222200</v>
      </c>
      <c r="J2224" s="8">
        <v>3.7199999999999997E-2</v>
      </c>
    </row>
    <row r="2225" spans="1:10" x14ac:dyDescent="0.25">
      <c r="A2225" s="5" t="s">
        <v>824</v>
      </c>
      <c r="B2225" s="5" t="s">
        <v>4092</v>
      </c>
      <c r="C2225" s="6" t="str">
        <f>_xll.QS.CONTEXT.CREATE("market.2223",A2225,"USD","SOFR")</f>
        <v>QSObject:PricingContext:w1~market.2223:18023</v>
      </c>
      <c r="D2225" s="6" t="str">
        <f>_xll.QS.CONTEXT.ADD.CURVE(C2225,"SOFR",$K$2:$K$7,$L$2:$L$7,,,"Actual360","LogLinear",TRUE)</f>
        <v>QSObject:ContextInput:w1~input.qs_context_add_curve.2359132437744.2224.3.0:38075</v>
      </c>
      <c r="E2225" s="6" t="str">
        <f>_xll.QS.INSTRUMENT.SWAP("swap.2223",H2225,B2225,"USD","SOFR",I2225,J2225,0,"Actual360","Simple","Annual","Annual","Annual")</f>
        <v>QSObject:Swap:w1~swap.2223:18022</v>
      </c>
      <c r="F2225" s="6" t="str">
        <f>_xll.QS.TRADE.CREATE("trade.2223",E2225,A2225,"Receive")</f>
        <v>QSObject:SwapTrade:w1~trade.2223:29810</v>
      </c>
      <c r="G2225" s="3">
        <f>_xll.QS.EVALUATE(C2225,F2225)</f>
        <v>29834.081152597333</v>
      </c>
      <c r="H2225" s="5" t="s">
        <v>838</v>
      </c>
      <c r="I2225" s="7">
        <v>1222300</v>
      </c>
      <c r="J2225" s="8">
        <v>3.73E-2</v>
      </c>
    </row>
    <row r="2226" spans="1:10" x14ac:dyDescent="0.25">
      <c r="A2226" s="5" t="s">
        <v>826</v>
      </c>
      <c r="B2226" s="5" t="s">
        <v>4093</v>
      </c>
      <c r="C2226" s="6" t="str">
        <f>_xll.QS.CONTEXT.CREATE("market.2224",A2226,"USD","SOFR")</f>
        <v>QSObject:PricingContext:w1~market.2224:18021</v>
      </c>
      <c r="D2226" s="6" t="str">
        <f>_xll.QS.CONTEXT.ADD.CURVE(C2226,"SOFR",$K$2:$K$7,$L$2:$L$7,,,"Actual360","LogLinear",TRUE)</f>
        <v>QSObject:ContextInput:w1~input.qs_context_add_curve.2359132437744.2225.3.0:38074</v>
      </c>
      <c r="E2226" s="6" t="str">
        <f>_xll.QS.INSTRUMENT.SWAP("swap.2224",H2226,B2226,"USD","SOFR",I2226,J2226,0,"Actual360","Simple","Annual","Annual","Annual")</f>
        <v>QSObject:Swap:w1~swap.2224:18020</v>
      </c>
      <c r="F2226" s="6" t="str">
        <f>_xll.QS.TRADE.CREATE("trade.2224",E2226,A2226,"Receive")</f>
        <v>QSObject:SwapTrade:w1~trade.2224:29809</v>
      </c>
      <c r="G2226" s="3">
        <f>_xll.QS.EVALUATE(C2226,F2226)</f>
        <v>30250.104027402114</v>
      </c>
      <c r="H2226" s="5" t="s">
        <v>840</v>
      </c>
      <c r="I2226" s="7">
        <v>1222400</v>
      </c>
      <c r="J2226" s="8">
        <v>3.7400000000000003E-2</v>
      </c>
    </row>
    <row r="2227" spans="1:10" x14ac:dyDescent="0.25">
      <c r="A2227" s="5" t="s">
        <v>828</v>
      </c>
      <c r="B2227" s="5" t="s">
        <v>4094</v>
      </c>
      <c r="C2227" s="6" t="str">
        <f>_xll.QS.CONTEXT.CREATE("market.2225",A2227,"USD","SOFR")</f>
        <v>QSObject:PricingContext:w1~market.2225:18019</v>
      </c>
      <c r="D2227" s="6" t="str">
        <f>_xll.QS.CONTEXT.ADD.CURVE(C2227,"SOFR",$K$2:$K$7,$L$2:$L$7,,,"Actual360","LogLinear",TRUE)</f>
        <v>QSObject:ContextInput:w1~input.qs_context_add_curve.2359132437744.2226.3.0:38073</v>
      </c>
      <c r="E2227" s="6" t="str">
        <f>_xll.QS.INSTRUMENT.SWAP("swap.2225",H2227,B2227,"USD","SOFR",I2227,J2227,0,"Actual360","Simple","Annual","Annual","Annual")</f>
        <v>QSObject:Swap:w1~swap.2225:18018</v>
      </c>
      <c r="F2227" s="6" t="str">
        <f>_xll.QS.TRADE.CREATE("trade.2225",E2227,A2227,"Receive")</f>
        <v>QSObject:SwapTrade:w1~trade.2225:29808</v>
      </c>
      <c r="G2227" s="3">
        <f>_xll.QS.EVALUATE(C2227,F2227)</f>
        <v>30818.909550646611</v>
      </c>
      <c r="H2227" s="5" t="s">
        <v>842</v>
      </c>
      <c r="I2227" s="7">
        <v>1222500</v>
      </c>
      <c r="J2227" s="8">
        <v>3.7500000000000012E-2</v>
      </c>
    </row>
    <row r="2228" spans="1:10" x14ac:dyDescent="0.25">
      <c r="A2228" s="5" t="s">
        <v>830</v>
      </c>
      <c r="B2228" s="5" t="s">
        <v>4095</v>
      </c>
      <c r="C2228" s="6" t="str">
        <f>_xll.QS.CONTEXT.CREATE("market.2226",A2228,"USD","SOFR")</f>
        <v>QSObject:PricingContext:w1~market.2226:18017</v>
      </c>
      <c r="D2228" s="6" t="str">
        <f>_xll.QS.CONTEXT.ADD.CURVE(C2228,"SOFR",$K$2:$K$7,$L$2:$L$7,,,"Actual360","LogLinear",TRUE)</f>
        <v>QSObject:ContextInput:w1~input.qs_context_add_curve.2359132437744.2227.3.0:38072</v>
      </c>
      <c r="E2228" s="6" t="str">
        <f>_xll.QS.INSTRUMENT.SWAP("swap.2226",H2228,B2228,"USD","SOFR",I2228,J2228,0,"Actual360","Simple","Annual","Annual","Annual")</f>
        <v>QSObject:Swap:w1~swap.2226:18016</v>
      </c>
      <c r="F2228" s="6" t="str">
        <f>_xll.QS.TRADE.CREATE("trade.2226",E2228,A2228,"Receive")</f>
        <v>QSObject:SwapTrade:w1~trade.2226:29807</v>
      </c>
      <c r="G2228" s="3">
        <f>_xll.QS.EVALUATE(C2228,F2228)</f>
        <v>31436.870569608232</v>
      </c>
      <c r="H2228" s="5" t="s">
        <v>844</v>
      </c>
      <c r="I2228" s="7">
        <v>1222600</v>
      </c>
      <c r="J2228" s="8">
        <v>3.7600000000000001E-2</v>
      </c>
    </row>
    <row r="2229" spans="1:10" x14ac:dyDescent="0.25">
      <c r="A2229" s="5" t="s">
        <v>832</v>
      </c>
      <c r="B2229" s="5" t="s">
        <v>4096</v>
      </c>
      <c r="C2229" s="6" t="str">
        <f>_xll.QS.CONTEXT.CREATE("market.2227",A2229,"USD","SOFR")</f>
        <v>QSObject:PricingContext:w1~market.2227:18015</v>
      </c>
      <c r="D2229" s="6" t="str">
        <f>_xll.QS.CONTEXT.ADD.CURVE(C2229,"SOFR",$K$2:$K$7,$L$2:$L$7,,,"Actual360","LogLinear",TRUE)</f>
        <v>QSObject:ContextInput:w1~input.qs_context_add_curve.2359132437744.2228.3.0:38071</v>
      </c>
      <c r="E2229" s="6" t="str">
        <f>_xll.QS.INSTRUMENT.SWAP("swap.2227",H2229,B2229,"USD","SOFR",I2229,J2229,0,"Actual360","Simple","Annual","Annual","Annual")</f>
        <v>QSObject:Swap:w1~swap.2227:18014</v>
      </c>
      <c r="F2229" s="6" t="str">
        <f>_xll.QS.TRADE.CREATE("trade.2227",E2229,A2229,"Receive")</f>
        <v>QSObject:SwapTrade:w1~trade.2227:29806</v>
      </c>
      <c r="G2229" s="3">
        <f>_xll.QS.EVALUATE(C2229,F2229)</f>
        <v>32092.817614500724</v>
      </c>
      <c r="H2229" s="5" t="s">
        <v>846</v>
      </c>
      <c r="I2229" s="7">
        <v>1222700</v>
      </c>
      <c r="J2229" s="8">
        <v>3.7699999999999997E-2</v>
      </c>
    </row>
    <row r="2230" spans="1:10" x14ac:dyDescent="0.25">
      <c r="A2230" s="5" t="s">
        <v>834</v>
      </c>
      <c r="B2230" s="5" t="s">
        <v>4097</v>
      </c>
      <c r="C2230" s="6" t="str">
        <f>_xll.QS.CONTEXT.CREATE("market.2228",A2230,"USD","SOFR")</f>
        <v>QSObject:PricingContext:w1~market.2228:18013</v>
      </c>
      <c r="D2230" s="6" t="str">
        <f>_xll.QS.CONTEXT.ADD.CURVE(C2230,"SOFR",$K$2:$K$7,$L$2:$L$7,,,"Actual360","LogLinear",TRUE)</f>
        <v>QSObject:ContextInput:w1~input.qs_context_add_curve.2359132437744.2229.3.0:38070</v>
      </c>
      <c r="E2230" s="6" t="str">
        <f>_xll.QS.INSTRUMENT.SWAP("swap.2228",H2230,B2230,"USD","SOFR",I2230,J2230,0,"Actual360","Simple","Annual","Annual","Annual")</f>
        <v>QSObject:Swap:w1~swap.2228:18012</v>
      </c>
      <c r="F2230" s="6" t="str">
        <f>_xll.QS.TRADE.CREATE("trade.2228",E2230,A2230,"Receive")</f>
        <v>QSObject:SwapTrade:w1~trade.2228:29805</v>
      </c>
      <c r="G2230" s="3">
        <f>_xll.QS.EVALUATE(C2230,F2230)</f>
        <v>32659.352882142608</v>
      </c>
      <c r="H2230" s="5" t="s">
        <v>848</v>
      </c>
      <c r="I2230" s="7">
        <v>1222800</v>
      </c>
      <c r="J2230" s="8">
        <v>3.78E-2</v>
      </c>
    </row>
    <row r="2231" spans="1:10" x14ac:dyDescent="0.25">
      <c r="A2231" s="5" t="s">
        <v>836</v>
      </c>
      <c r="B2231" s="5" t="s">
        <v>4098</v>
      </c>
      <c r="C2231" s="6" t="str">
        <f>_xll.QS.CONTEXT.CREATE("market.2229",A2231,"USD","SOFR")</f>
        <v>QSObject:PricingContext:w1~market.2229:18011</v>
      </c>
      <c r="D2231" s="6" t="str">
        <f>_xll.QS.CONTEXT.ADD.CURVE(C2231,"SOFR",$K$2:$K$7,$L$2:$L$7,,,"Actual360","LogLinear",TRUE)</f>
        <v>QSObject:ContextInput:w1~input.qs_context_add_curve.2359132437744.2230.3.0:38069</v>
      </c>
      <c r="E2231" s="6" t="str">
        <f>_xll.QS.INSTRUMENT.SWAP("swap.2229",H2231,B2231,"USD","SOFR",I2231,J2231,0,"Actual360","Simple","Annual","Annual","Annual")</f>
        <v>QSObject:Swap:w1~swap.2229:18010</v>
      </c>
      <c r="F2231" s="6" t="str">
        <f>_xll.QS.TRADE.CREATE("trade.2229",E2231,A2231,"Receive")</f>
        <v>QSObject:SwapTrade:w1~trade.2229:29804</v>
      </c>
      <c r="G2231" s="3">
        <f>_xll.QS.EVALUATE(C2231,F2231)</f>
        <v>33232.474638782187</v>
      </c>
      <c r="H2231" s="5" t="s">
        <v>850</v>
      </c>
      <c r="I2231" s="7">
        <v>1222900</v>
      </c>
      <c r="J2231" s="8">
        <v>3.7900000000000003E-2</v>
      </c>
    </row>
    <row r="2232" spans="1:10" x14ac:dyDescent="0.25">
      <c r="A2232" s="5" t="s">
        <v>838</v>
      </c>
      <c r="B2232" s="5" t="s">
        <v>4099</v>
      </c>
      <c r="C2232" s="6" t="str">
        <f>_xll.QS.CONTEXT.CREATE("market.2230",A2232,"USD","SOFR")</f>
        <v>QSObject:PricingContext:w1~market.2230:18009</v>
      </c>
      <c r="D2232" s="6" t="str">
        <f>_xll.QS.CONTEXT.ADD.CURVE(C2232,"SOFR",$K$2:$K$7,$L$2:$L$7,,,"Actual360","LogLinear",TRUE)</f>
        <v>QSObject:ContextInput:w1~input.qs_context_add_curve.2359132437744.2231.3.0:38068</v>
      </c>
      <c r="E2232" s="6" t="str">
        <f>_xll.QS.INSTRUMENT.SWAP("swap.2230",H2232,B2232,"USD","SOFR",I2232,J2232,0,"Actual360","Simple","Annual","Annual","Annual")</f>
        <v>QSObject:Swap:w1~swap.2230:18008</v>
      </c>
      <c r="F2232" s="6" t="str">
        <f>_xll.QS.TRADE.CREATE("trade.2230",E2232,A2232,"Receive")</f>
        <v>QSObject:SwapTrade:w1~trade.2230:29803</v>
      </c>
      <c r="G2232" s="3">
        <f>_xll.QS.EVALUATE(C2232,F2232)</f>
        <v>33800.991696960824</v>
      </c>
      <c r="H2232" s="5" t="s">
        <v>852</v>
      </c>
      <c r="I2232" s="7">
        <v>1223000</v>
      </c>
      <c r="J2232" s="8">
        <v>3.8000000000000013E-2</v>
      </c>
    </row>
    <row r="2233" spans="1:10" x14ac:dyDescent="0.25">
      <c r="A2233" s="5" t="s">
        <v>840</v>
      </c>
      <c r="B2233" s="5" t="s">
        <v>4100</v>
      </c>
      <c r="C2233" s="6" t="str">
        <f>_xll.QS.CONTEXT.CREATE("market.2231",A2233,"USD","SOFR")</f>
        <v>QSObject:PricingContext:w1~market.2231:18007</v>
      </c>
      <c r="D2233" s="6" t="str">
        <f>_xll.QS.CONTEXT.ADD.CURVE(C2233,"SOFR",$K$2:$K$7,$L$2:$L$7,,,"Actual360","LogLinear",TRUE)</f>
        <v>QSObject:ContextInput:w1~input.qs_context_add_curve.2359132437744.2232.3.0:38067</v>
      </c>
      <c r="E2233" s="6" t="str">
        <f>_xll.QS.INSTRUMENT.SWAP("swap.2231",H2233,B2233,"USD","SOFR",I2233,J2233,0,"Actual360","Simple","Annual","Annual","Annual")</f>
        <v>QSObject:Swap:w1~swap.2231:18006</v>
      </c>
      <c r="F2233" s="6" t="str">
        <f>_xll.QS.TRADE.CREATE("trade.2231",E2233,A2233,"Receive")</f>
        <v>QSObject:SwapTrade:w1~trade.2231:29802</v>
      </c>
      <c r="G2233" s="3">
        <f>_xll.QS.EVALUATE(C2233,F2233)</f>
        <v>34165.668552539486</v>
      </c>
      <c r="H2233" s="5" t="s">
        <v>854</v>
      </c>
      <c r="I2233" s="7">
        <v>1223100</v>
      </c>
      <c r="J2233" s="8">
        <v>3.8100000000000002E-2</v>
      </c>
    </row>
    <row r="2234" spans="1:10" x14ac:dyDescent="0.25">
      <c r="A2234" s="5" t="s">
        <v>842</v>
      </c>
      <c r="B2234" s="5" t="s">
        <v>4101</v>
      </c>
      <c r="C2234" s="6" t="str">
        <f>_xll.QS.CONTEXT.CREATE("market.2232",A2234,"USD","SOFR")</f>
        <v>QSObject:PricingContext:w1~market.2232:18005</v>
      </c>
      <c r="D2234" s="6" t="str">
        <f>_xll.QS.CONTEXT.ADD.CURVE(C2234,"SOFR",$K$2:$K$7,$L$2:$L$7,,,"Actual360","LogLinear",TRUE)</f>
        <v>QSObject:ContextInput:w1~input.qs_context_add_curve.2359132437744.2233.3.0:38066</v>
      </c>
      <c r="E2234" s="6" t="str">
        <f>_xll.QS.INSTRUMENT.SWAP("swap.2232",H2234,B2234,"USD","SOFR",I2234,J2234,0,"Actual360","Simple","Annual","Annual","Annual")</f>
        <v>QSObject:Swap:w1~swap.2232:18004</v>
      </c>
      <c r="F2234" s="6" t="str">
        <f>_xll.QS.TRADE.CREATE("trade.2232",E2234,A2234,"Receive")</f>
        <v>QSObject:SwapTrade:w1~trade.2232:29801</v>
      </c>
      <c r="G2234" s="3">
        <f>_xll.QS.EVALUATE(C2234,F2234)</f>
        <v>34735.344750508521</v>
      </c>
      <c r="H2234" s="5" t="s">
        <v>856</v>
      </c>
      <c r="I2234" s="7">
        <v>1223200</v>
      </c>
      <c r="J2234" s="8">
        <v>3.8199999999999998E-2</v>
      </c>
    </row>
    <row r="2235" spans="1:10" x14ac:dyDescent="0.25">
      <c r="A2235" s="5" t="s">
        <v>844</v>
      </c>
      <c r="B2235" s="5" t="s">
        <v>4102</v>
      </c>
      <c r="C2235" s="6" t="str">
        <f>_xll.QS.CONTEXT.CREATE("market.2233",A2235,"USD","SOFR")</f>
        <v>QSObject:PricingContext:w1~market.2233:18003</v>
      </c>
      <c r="D2235" s="6" t="str">
        <f>_xll.QS.CONTEXT.ADD.CURVE(C2235,"SOFR",$K$2:$K$7,$L$2:$L$7,,,"Actual360","LogLinear",TRUE)</f>
        <v>QSObject:ContextInput:w1~input.qs_context_add_curve.2359132437744.2234.3.0:38065</v>
      </c>
      <c r="E2235" s="6" t="str">
        <f>_xll.QS.INSTRUMENT.SWAP("swap.2233",H2235,B2235,"USD","SOFR",I2235,J2235,0,"Actual360","Simple","Annual","Annual","Annual")</f>
        <v>QSObject:Swap:w1~swap.2233:18002</v>
      </c>
      <c r="F2235" s="6" t="str">
        <f>_xll.QS.TRADE.CREATE("trade.2233",E2235,A2235,"Receive")</f>
        <v>QSObject:SwapTrade:w1~trade.2233:29800</v>
      </c>
      <c r="G2235" s="3">
        <f>_xll.QS.EVALUATE(C2235,F2235)</f>
        <v>35354.607468564805</v>
      </c>
      <c r="H2235" s="5" t="s">
        <v>858</v>
      </c>
      <c r="I2235" s="7">
        <v>1223300</v>
      </c>
      <c r="J2235" s="8">
        <v>3.8300000000000001E-2</v>
      </c>
    </row>
    <row r="2236" spans="1:10" x14ac:dyDescent="0.25">
      <c r="A2236" s="5" t="s">
        <v>846</v>
      </c>
      <c r="B2236" s="5" t="s">
        <v>4103</v>
      </c>
      <c r="C2236" s="6" t="str">
        <f>_xll.QS.CONTEXT.CREATE("market.2234",A2236,"USD","SOFR")</f>
        <v>QSObject:PricingContext:w1~market.2234:18001</v>
      </c>
      <c r="D2236" s="6" t="str">
        <f>_xll.QS.CONTEXT.ADD.CURVE(C2236,"SOFR",$K$2:$K$7,$L$2:$L$7,,,"Actual360","LogLinear",TRUE)</f>
        <v>QSObject:ContextInput:w1~input.qs_context_add_curve.2359132437744.2235.3.0:38064</v>
      </c>
      <c r="E2236" s="6" t="str">
        <f>_xll.QS.INSTRUMENT.SWAP("swap.2234",H2236,B2236,"USD","SOFR",I2236,J2236,0,"Actual360","Simple","Annual","Annual","Annual")</f>
        <v>QSObject:Swap:w1~swap.2234:18000</v>
      </c>
      <c r="F2236" s="6" t="str">
        <f>_xll.QS.TRADE.CREATE("trade.2234",E2236,A2236,"Receive")</f>
        <v>QSObject:SwapTrade:w1~trade.2234:29799</v>
      </c>
      <c r="G2236" s="3">
        <f>_xll.QS.EVALUATE(C2236,F2236)</f>
        <v>36107.717798020756</v>
      </c>
      <c r="H2236" s="5" t="s">
        <v>860</v>
      </c>
      <c r="I2236" s="7">
        <v>1223400</v>
      </c>
      <c r="J2236" s="8">
        <v>3.8399999999999997E-2</v>
      </c>
    </row>
    <row r="2237" spans="1:10" x14ac:dyDescent="0.25">
      <c r="A2237" s="5" t="s">
        <v>848</v>
      </c>
      <c r="B2237" s="5" t="s">
        <v>4104</v>
      </c>
      <c r="C2237" s="6" t="str">
        <f>_xll.QS.CONTEXT.CREATE("market.2235",A2237,"USD","SOFR")</f>
        <v>QSObject:PricingContext:w1~market.2235:17999</v>
      </c>
      <c r="D2237" s="6" t="str">
        <f>_xll.QS.CONTEXT.ADD.CURVE(C2237,"SOFR",$K$2:$K$7,$L$2:$L$7,,,"Actual360","LogLinear",TRUE)</f>
        <v>QSObject:ContextInput:w1~input.qs_context_add_curve.2359132437744.2236.3.0:38063</v>
      </c>
      <c r="E2237" s="6" t="str">
        <f>_xll.QS.INSTRUMENT.SWAP("swap.2235",H2237,B2237,"USD","SOFR",I2237,J2237,0,"Actual360","Simple","Annual","Annual","Annual")</f>
        <v>QSObject:Swap:w1~swap.2235:17998</v>
      </c>
      <c r="F2237" s="6" t="str">
        <f>_xll.QS.TRADE.CREATE("trade.2235",E2237,A2237,"Receive")</f>
        <v>QSObject:SwapTrade:w1~trade.2235:29798</v>
      </c>
      <c r="G2237" s="3">
        <f>_xll.QS.EVALUATE(C2237,F2237)</f>
        <v>36674.917300811707</v>
      </c>
      <c r="H2237" s="5" t="s">
        <v>862</v>
      </c>
      <c r="I2237" s="7">
        <v>1223500</v>
      </c>
      <c r="J2237" s="8">
        <v>3.8500000000000013E-2</v>
      </c>
    </row>
    <row r="2238" spans="1:10" x14ac:dyDescent="0.25">
      <c r="A2238" s="5" t="s">
        <v>850</v>
      </c>
      <c r="B2238" s="5" t="s">
        <v>4105</v>
      </c>
      <c r="C2238" s="6" t="str">
        <f>_xll.QS.CONTEXT.CREATE("market.2236",A2238,"USD","SOFR")</f>
        <v>QSObject:PricingContext:w1~market.2236:17997</v>
      </c>
      <c r="D2238" s="6" t="str">
        <f>_xll.QS.CONTEXT.ADD.CURVE(C2238,"SOFR",$K$2:$K$7,$L$2:$L$7,,,"Actual360","LogLinear",TRUE)</f>
        <v>QSObject:ContextInput:w1~input.qs_context_add_curve.2359132437744.2237.3.0:38062</v>
      </c>
      <c r="E2238" s="6" t="str">
        <f>_xll.QS.INSTRUMENT.SWAP("swap.2236",H2238,B2238,"USD","SOFR",I2238,J2238,0,"Actual360","Simple","Annual","Annual","Annual")</f>
        <v>QSObject:Swap:w1~swap.2236:17996</v>
      </c>
      <c r="F2238" s="6" t="str">
        <f>_xll.QS.TRADE.CREATE("trade.2236",E2238,A2238,"Receive")</f>
        <v>QSObject:SwapTrade:w1~trade.2236:29797</v>
      </c>
      <c r="G2238" s="3">
        <f>_xll.QS.EVALUATE(C2238,F2238)</f>
        <v>37253.30120337582</v>
      </c>
      <c r="H2238" s="5" t="s">
        <v>864</v>
      </c>
      <c r="I2238" s="7">
        <v>1223600</v>
      </c>
      <c r="J2238" s="8">
        <v>3.8600000000000002E-2</v>
      </c>
    </row>
    <row r="2239" spans="1:10" x14ac:dyDescent="0.25">
      <c r="A2239" s="5" t="s">
        <v>852</v>
      </c>
      <c r="B2239" s="5" t="s">
        <v>4106</v>
      </c>
      <c r="C2239" s="6" t="str">
        <f>_xll.QS.CONTEXT.CREATE("market.2237",A2239,"USD","SOFR")</f>
        <v>QSObject:PricingContext:w1~market.2237:17995</v>
      </c>
      <c r="D2239" s="6" t="str">
        <f>_xll.QS.CONTEXT.ADD.CURVE(C2239,"SOFR",$K$2:$K$7,$L$2:$L$7,,,"Actual360","LogLinear",TRUE)</f>
        <v>QSObject:ContextInput:w1~input.qs_context_add_curve.2359132437744.2238.3.0:38061</v>
      </c>
      <c r="E2239" s="6" t="str">
        <f>_xll.QS.INSTRUMENT.SWAP("swap.2237",H2239,B2239,"USD","SOFR",I2239,J2239,0,"Actual360","Simple","Annual","Annual","Annual")</f>
        <v>QSObject:Swap:w1~swap.2237:17994</v>
      </c>
      <c r="F2239" s="6" t="str">
        <f>_xll.QS.TRADE.CREATE("trade.2237",E2239,A2239,"Receive")</f>
        <v>QSObject:SwapTrade:w1~trade.2237:29796</v>
      </c>
      <c r="G2239" s="3">
        <f>_xll.QS.EVALUATE(C2239,F2239)</f>
        <v>37821.509234163554</v>
      </c>
      <c r="H2239" s="5" t="s">
        <v>866</v>
      </c>
      <c r="I2239" s="7">
        <v>1223700</v>
      </c>
      <c r="J2239" s="8">
        <v>3.8700000000000012E-2</v>
      </c>
    </row>
    <row r="2240" spans="1:10" x14ac:dyDescent="0.25">
      <c r="A2240" s="5" t="s">
        <v>854</v>
      </c>
      <c r="B2240" s="5" t="s">
        <v>4107</v>
      </c>
      <c r="C2240" s="6" t="str">
        <f>_xll.QS.CONTEXT.CREATE("market.2238",A2240,"USD","SOFR")</f>
        <v>QSObject:PricingContext:w1~market.2238:17993</v>
      </c>
      <c r="D2240" s="6" t="str">
        <f>_xll.QS.CONTEXT.ADD.CURVE(C2240,"SOFR",$K$2:$K$7,$L$2:$L$7,,,"Actual360","LogLinear",TRUE)</f>
        <v>QSObject:ContextInput:w1~input.qs_context_add_curve.2359132437744.2239.3.0:38060</v>
      </c>
      <c r="E2240" s="6" t="str">
        <f>_xll.QS.INSTRUMENT.SWAP("swap.2238",H2240,B2240,"USD","SOFR",I2240,J2240,0,"Actual360","Simple","Annual","Annual","Annual")</f>
        <v>QSObject:Swap:w1~swap.2238:17992</v>
      </c>
      <c r="F2240" s="6" t="str">
        <f>_xll.QS.TRADE.CREATE("trade.2238",E2240,A2240,"Receive")</f>
        <v>QSObject:SwapTrade:w1~trade.2238:29795</v>
      </c>
      <c r="G2240" s="3">
        <f>_xll.QS.EVALUATE(C2240,F2240)</f>
        <v>38237.068337044584</v>
      </c>
      <c r="H2240" s="5" t="s">
        <v>868</v>
      </c>
      <c r="I2240" s="7">
        <v>1223800</v>
      </c>
      <c r="J2240" s="8">
        <v>3.8800000000000001E-2</v>
      </c>
    </row>
    <row r="2241" spans="1:10" x14ac:dyDescent="0.25">
      <c r="A2241" s="5" t="s">
        <v>856</v>
      </c>
      <c r="B2241" s="5" t="s">
        <v>4108</v>
      </c>
      <c r="C2241" s="6" t="str">
        <f>_xll.QS.CONTEXT.CREATE("market.2239",A2241,"USD","SOFR")</f>
        <v>QSObject:PricingContext:w1~market.2239:17991</v>
      </c>
      <c r="D2241" s="6" t="str">
        <f>_xll.QS.CONTEXT.ADD.CURVE(C2241,"SOFR",$K$2:$K$7,$L$2:$L$7,,,"Actual360","LogLinear",TRUE)</f>
        <v>QSObject:ContextInput:w1~input.qs_context_add_curve.2359132437744.2240.3.0:38059</v>
      </c>
      <c r="E2241" s="6" t="str">
        <f>_xll.QS.INSTRUMENT.SWAP("swap.2239",H2241,B2241,"USD","SOFR",I2241,J2241,0,"Actual360","Simple","Annual","Annual","Annual")</f>
        <v>QSObject:Swap:w1~swap.2239:17990</v>
      </c>
      <c r="F2241" s="6" t="str">
        <f>_xll.QS.TRADE.CREATE("trade.2239",E2241,A2241,"Receive")</f>
        <v>QSObject:SwapTrade:w1~trade.2239:29794</v>
      </c>
      <c r="G2241" s="3">
        <f>_xll.QS.EVALUATE(C2241,F2241)</f>
        <v>38807.972300964408</v>
      </c>
      <c r="H2241" s="5" t="s">
        <v>870</v>
      </c>
      <c r="I2241" s="7">
        <v>1223900</v>
      </c>
      <c r="J2241" s="8">
        <v>3.8899999999999997E-2</v>
      </c>
    </row>
    <row r="2242" spans="1:10" x14ac:dyDescent="0.25">
      <c r="A2242" s="5" t="s">
        <v>858</v>
      </c>
      <c r="B2242" s="5" t="s">
        <v>4109</v>
      </c>
      <c r="C2242" s="6" t="str">
        <f>_xll.QS.CONTEXT.CREATE("market.2240",A2242,"USD","SOFR")</f>
        <v>QSObject:PricingContext:w1~market.2240:17989</v>
      </c>
      <c r="D2242" s="6" t="str">
        <f>_xll.QS.CONTEXT.ADD.CURVE(C2242,"SOFR",$K$2:$K$7,$L$2:$L$7,,,"Actual360","LogLinear",TRUE)</f>
        <v>QSObject:ContextInput:w1~input.qs_context_add_curve.2359132437744.2241.3.0:38058</v>
      </c>
      <c r="E2242" s="6" t="str">
        <f>_xll.QS.INSTRUMENT.SWAP("swap.2240",H2242,B2242,"USD","SOFR",I2242,J2242,0,"Actual360","Simple","Annual","Annual","Annual")</f>
        <v>QSObject:Swap:w1~swap.2240:17988</v>
      </c>
      <c r="F2242" s="6" t="str">
        <f>_xll.QS.TRADE.CREATE("trade.2240",E2242,A2242,"Receive")</f>
        <v>QSObject:SwapTrade:w1~trade.2240:29793</v>
      </c>
      <c r="G2242" s="3">
        <f>_xll.QS.EVALUATE(C2242,F2242)</f>
        <v>39378.80327492136</v>
      </c>
      <c r="H2242" s="5" t="s">
        <v>872</v>
      </c>
      <c r="I2242" s="7">
        <v>1224000</v>
      </c>
      <c r="J2242" s="8">
        <v>3.9000000000000007E-2</v>
      </c>
    </row>
    <row r="2243" spans="1:10" x14ac:dyDescent="0.25">
      <c r="A2243" s="5" t="s">
        <v>860</v>
      </c>
      <c r="B2243" s="5" t="s">
        <v>4110</v>
      </c>
      <c r="C2243" s="6" t="str">
        <f>_xll.QS.CONTEXT.CREATE("market.2241",A2243,"USD","SOFR")</f>
        <v>QSObject:PricingContext:w1~market.2241:17987</v>
      </c>
      <c r="D2243" s="6" t="str">
        <f>_xll.QS.CONTEXT.ADD.CURVE(C2243,"SOFR",$K$2:$K$7,$L$2:$L$7,,,"Actual360","LogLinear",TRUE)</f>
        <v>QSObject:ContextInput:w1~input.qs_context_add_curve.2359132437744.2242.3.0:38057</v>
      </c>
      <c r="E2243" s="6" t="str">
        <f>_xll.QS.INSTRUMENT.SWAP("swap.2241",H2243,B2243,"USD","SOFR",I2243,J2243,0,"Actual360","Simple","Annual","Annual","Annual")</f>
        <v>QSObject:Swap:w1~swap.2241:17986</v>
      </c>
      <c r="F2243" s="6" t="str">
        <f>_xll.QS.TRADE.CREATE("trade.2241",E2243,A2243,"Receive")</f>
        <v>QSObject:SwapTrade:w1~trade.2241:29792</v>
      </c>
      <c r="G2243" s="3">
        <f>_xll.QS.EVALUATE(C2243,F2243)</f>
        <v>40036.502904758367</v>
      </c>
      <c r="H2243" s="5" t="s">
        <v>874</v>
      </c>
      <c r="I2243" s="7">
        <v>1224100</v>
      </c>
      <c r="J2243" s="8">
        <v>3.9100000000000003E-2</v>
      </c>
    </row>
    <row r="2244" spans="1:10" x14ac:dyDescent="0.25">
      <c r="A2244" s="5" t="s">
        <v>862</v>
      </c>
      <c r="B2244" s="5" t="s">
        <v>4111</v>
      </c>
      <c r="C2244" s="6" t="str">
        <f>_xll.QS.CONTEXT.CREATE("market.2242",A2244,"USD","SOFR")</f>
        <v>QSObject:PricingContext:w1~market.2242:17985</v>
      </c>
      <c r="D2244" s="6" t="str">
        <f>_xll.QS.CONTEXT.ADD.CURVE(C2244,"SOFR",$K$2:$K$7,$L$2:$L$7,,,"Actual360","LogLinear",TRUE)</f>
        <v>QSObject:ContextInput:w1~input.qs_context_add_curve.2359132437744.2243.3.0:38056</v>
      </c>
      <c r="E2244" s="6" t="str">
        <f>_xll.QS.INSTRUMENT.SWAP("swap.2242",H2244,B2244,"USD","SOFR",I2244,J2244,0,"Actual360","Simple","Annual","Annual","Annual")</f>
        <v>QSObject:Swap:w1~swap.2242:17984</v>
      </c>
      <c r="F2244" s="6" t="str">
        <f>_xll.QS.TRADE.CREATE("trade.2242",E2244,A2244,"Receive")</f>
        <v>QSObject:SwapTrade:w1~trade.2242:29791</v>
      </c>
      <c r="G2244" s="3">
        <f>_xll.QS.EVALUATE(C2244,F2244)</f>
        <v>40604.566039923826</v>
      </c>
      <c r="H2244" s="5" t="s">
        <v>876</v>
      </c>
      <c r="I2244" s="7">
        <v>1224200</v>
      </c>
      <c r="J2244" s="8">
        <v>3.9200000000000013E-2</v>
      </c>
    </row>
    <row r="2245" spans="1:10" x14ac:dyDescent="0.25">
      <c r="A2245" s="5" t="s">
        <v>864</v>
      </c>
      <c r="B2245" s="5" t="s">
        <v>4111</v>
      </c>
      <c r="C2245" s="6" t="str">
        <f>_xll.QS.CONTEXT.CREATE("market.2243",A2245,"USD","SOFR")</f>
        <v>QSObject:PricingContext:w1~market.2243:17983</v>
      </c>
      <c r="D2245" s="6" t="str">
        <f>_xll.QS.CONTEXT.ADD.CURVE(C2245,"SOFR",$K$2:$K$7,$L$2:$L$7,,,"Actual360","LogLinear",TRUE)</f>
        <v>QSObject:ContextInput:w1~input.qs_context_add_curve.2359132437744.2244.3.0:38055</v>
      </c>
      <c r="E2245" s="6" t="str">
        <f>_xll.QS.INSTRUMENT.SWAP("swap.2243",H2245,B2245,"USD","SOFR",I2245,J2245,0,"Actual360","Simple","Annual","Annual","Annual")</f>
        <v>QSObject:Swap:w1~swap.2243:17982</v>
      </c>
      <c r="F2245" s="6" t="str">
        <f>_xll.QS.TRADE.CREATE("trade.2243",E2245,A2245,"Receive")</f>
        <v>QSObject:SwapTrade:w1~trade.2243:29790</v>
      </c>
      <c r="G2245" s="3">
        <f>_xll.QS.EVALUATE(C2245,F2245)</f>
        <v>41206.138322673381</v>
      </c>
      <c r="H2245" s="5" t="s">
        <v>4112</v>
      </c>
      <c r="I2245" s="7">
        <v>1224300</v>
      </c>
      <c r="J2245" s="8">
        <v>3.9300000000000002E-2</v>
      </c>
    </row>
    <row r="2246" spans="1:10" x14ac:dyDescent="0.25">
      <c r="A2246" s="5" t="s">
        <v>866</v>
      </c>
      <c r="B2246" s="5" t="s">
        <v>4113</v>
      </c>
      <c r="C2246" s="6" t="str">
        <f>_xll.QS.CONTEXT.CREATE("market.2244",A2246,"USD","SOFR")</f>
        <v>QSObject:PricingContext:w1~market.2244:17981</v>
      </c>
      <c r="D2246" s="6" t="str">
        <f>_xll.QS.CONTEXT.ADD.CURVE(C2246,"SOFR",$K$2:$K$7,$L$2:$L$7,,,"Actual360","LogLinear",TRUE)</f>
        <v>QSObject:ContextInput:w1~input.qs_context_add_curve.2359132437744.2245.3.0:38054</v>
      </c>
      <c r="E2246" s="6" t="str">
        <f>_xll.QS.INSTRUMENT.SWAP("swap.2244",H2246,B2246,"USD","SOFR",I2246,J2246,0,"Actual360","Simple","Annual","Annual","Annual")</f>
        <v>QSObject:Swap:w1~swap.2244:17980</v>
      </c>
      <c r="F2246" s="6" t="str">
        <f>_xll.QS.TRADE.CREATE("trade.2244",E2246,A2246,"Receive")</f>
        <v>QSObject:SwapTrade:w1~trade.2244:29789</v>
      </c>
      <c r="G2246" s="3">
        <f>_xll.QS.EVALUATE(C2246,F2246)</f>
        <v>41774.132697292043</v>
      </c>
      <c r="H2246" s="5" t="s">
        <v>878</v>
      </c>
      <c r="I2246" s="7">
        <v>1224400</v>
      </c>
      <c r="J2246" s="8">
        <v>3.9399999999999998E-2</v>
      </c>
    </row>
    <row r="2247" spans="1:10" x14ac:dyDescent="0.25">
      <c r="A2247" s="5" t="s">
        <v>868</v>
      </c>
      <c r="B2247" s="5" t="s">
        <v>4114</v>
      </c>
      <c r="C2247" s="6" t="str">
        <f>_xll.QS.CONTEXT.CREATE("market.2245",A2247,"USD","SOFR")</f>
        <v>QSObject:PricingContext:w1~market.2245:17979</v>
      </c>
      <c r="D2247" s="6" t="str">
        <f>_xll.QS.CONTEXT.ADD.CURVE(C2247,"SOFR",$K$2:$K$7,$L$2:$L$7,,,"Actual360","LogLinear",TRUE)</f>
        <v>QSObject:ContextInput:w1~input.qs_context_add_curve.2359132437744.2246.3.0:38053</v>
      </c>
      <c r="E2247" s="6" t="str">
        <f>_xll.QS.INSTRUMENT.SWAP("swap.2245",H2247,B2247,"USD","SOFR",I2247,J2247,0,"Actual360","Simple","Annual","Annual","Annual")</f>
        <v>QSObject:Swap:w1~swap.2245:17978</v>
      </c>
      <c r="F2247" s="6" t="str">
        <f>_xll.QS.TRADE.CREATE("trade.2245",E2247,A2247,"Receive")</f>
        <v>QSObject:SwapTrade:w1~trade.2245:29788</v>
      </c>
      <c r="G2247" s="3">
        <f>_xll.QS.EVALUATE(C2247,F2247)</f>
        <v>42240.754158191907</v>
      </c>
      <c r="H2247" s="5" t="s">
        <v>880</v>
      </c>
      <c r="I2247" s="7">
        <v>1224500</v>
      </c>
      <c r="J2247" s="8">
        <v>3.9500000000000007E-2</v>
      </c>
    </row>
    <row r="2248" spans="1:10" x14ac:dyDescent="0.25">
      <c r="A2248" s="5" t="s">
        <v>870</v>
      </c>
      <c r="B2248" s="5" t="s">
        <v>4115</v>
      </c>
      <c r="C2248" s="6" t="str">
        <f>_xll.QS.CONTEXT.CREATE("market.2246",A2248,"USD","SOFR")</f>
        <v>QSObject:PricingContext:w1~market.2246:17977</v>
      </c>
      <c r="D2248" s="6" t="str">
        <f>_xll.QS.CONTEXT.ADD.CURVE(C2248,"SOFR",$K$2:$K$7,$L$2:$L$7,,,"Actual360","LogLinear",TRUE)</f>
        <v>QSObject:ContextInput:w1~input.qs_context_add_curve.2359132437744.2247.3.0:38052</v>
      </c>
      <c r="E2248" s="6" t="str">
        <f>_xll.QS.INSTRUMENT.SWAP("swap.2246",H2248,B2248,"USD","SOFR",I2248,J2248,0,"Actual360","Simple","Annual","Annual","Annual")</f>
        <v>QSObject:Swap:w1~swap.2246:17976</v>
      </c>
      <c r="F2248" s="6" t="str">
        <f>_xll.QS.TRADE.CREATE("trade.2246",E2248,A2248,"Receive")</f>
        <v>QSObject:SwapTrade:w1~trade.2246:29787</v>
      </c>
      <c r="G2248" s="3">
        <f>_xll.QS.EVALUATE(C2248,F2248)</f>
        <v>42735.377246969685</v>
      </c>
      <c r="H2248" s="5" t="s">
        <v>882</v>
      </c>
      <c r="I2248" s="7">
        <v>1224600</v>
      </c>
      <c r="J2248" s="8">
        <v>3.9600000000000003E-2</v>
      </c>
    </row>
    <row r="2249" spans="1:10" x14ac:dyDescent="0.25">
      <c r="A2249" s="5" t="s">
        <v>872</v>
      </c>
      <c r="B2249" s="5" t="s">
        <v>4116</v>
      </c>
      <c r="C2249" s="6" t="str">
        <f>_xll.QS.CONTEXT.CREATE("market.2247",A2249,"USD","SOFR")</f>
        <v>QSObject:PricingContext:w1~market.2247:17975</v>
      </c>
      <c r="D2249" s="6" t="str">
        <f>_xll.QS.CONTEXT.ADD.CURVE(C2249,"SOFR",$K$2:$K$7,$L$2:$L$7,,,"Actual360","LogLinear",TRUE)</f>
        <v>QSObject:ContextInput:w1~input.qs_context_add_curve.2359132437744.2248.3.0:38051</v>
      </c>
      <c r="E2249" s="6" t="str">
        <f>_xll.QS.INSTRUMENT.SWAP("swap.2247",H2249,B2249,"USD","SOFR",I2249,J2249,0,"Actual360","Simple","Annual","Annual","Annual")</f>
        <v>QSObject:Swap:w1~swap.2247:17974</v>
      </c>
      <c r="F2249" s="6" t="str">
        <f>_xll.QS.TRADE.CREATE("trade.2247",E2249,A2249,"Receive")</f>
        <v>QSObject:SwapTrade:w1~trade.2247:29786</v>
      </c>
      <c r="G2249" s="3">
        <f>_xll.QS.EVALUATE(C2249,F2249)</f>
        <v>43355.775322627836</v>
      </c>
      <c r="H2249" s="5" t="s">
        <v>884</v>
      </c>
      <c r="I2249" s="7">
        <v>1224700</v>
      </c>
      <c r="J2249" s="8">
        <v>3.9700000000000013E-2</v>
      </c>
    </row>
    <row r="2250" spans="1:10" x14ac:dyDescent="0.25">
      <c r="A2250" s="5" t="s">
        <v>874</v>
      </c>
      <c r="B2250" s="5" t="s">
        <v>4117</v>
      </c>
      <c r="C2250" s="6" t="str">
        <f>_xll.QS.CONTEXT.CREATE("market.2248",A2250,"USD","SOFR")</f>
        <v>QSObject:PricingContext:w1~market.2248:17973</v>
      </c>
      <c r="D2250" s="6" t="str">
        <f>_xll.QS.CONTEXT.ADD.CURVE(C2250,"SOFR",$K$2:$K$7,$L$2:$L$7,,,"Actual360","LogLinear",TRUE)</f>
        <v>QSObject:ContextInput:w1~input.qs_context_add_curve.2359132437744.2249.3.0:38050</v>
      </c>
      <c r="E2250" s="6" t="str">
        <f>_xll.QS.INSTRUMENT.SWAP("swap.2248",H2250,B2250,"USD","SOFR",I2250,J2250,0,"Actual360","Simple","Annual","Annual","Annual")</f>
        <v>QSObject:Swap:w1~swap.2248:17972</v>
      </c>
      <c r="F2250" s="6" t="str">
        <f>_xll.QS.TRADE.CREATE("trade.2248",E2250,A2250,"Receive")</f>
        <v>QSObject:SwapTrade:w1~trade.2248:29785</v>
      </c>
      <c r="G2250" s="3">
        <f>_xll.QS.EVALUATE(C2250,F2250)</f>
        <v>43902.396554478808</v>
      </c>
      <c r="H2250" s="5" t="s">
        <v>886</v>
      </c>
      <c r="I2250" s="7">
        <v>1224800</v>
      </c>
      <c r="J2250" s="8">
        <v>3.9800000000000002E-2</v>
      </c>
    </row>
    <row r="2251" spans="1:10" x14ac:dyDescent="0.25">
      <c r="A2251" s="5" t="s">
        <v>876</v>
      </c>
      <c r="B2251" s="5" t="s">
        <v>4118</v>
      </c>
      <c r="C2251" s="6" t="str">
        <f>_xll.QS.CONTEXT.CREATE("market.2249",A2251,"USD","SOFR")</f>
        <v>QSObject:PricingContext:w1~market.2249:17971</v>
      </c>
      <c r="D2251" s="6" t="str">
        <f>_xll.QS.CONTEXT.ADD.CURVE(C2251,"SOFR",$K$2:$K$7,$L$2:$L$7,,,"Actual360","LogLinear",TRUE)</f>
        <v>QSObject:ContextInput:w1~input.qs_context_add_curve.2359132437744.2250.3.0:38049</v>
      </c>
      <c r="E2251" s="6" t="str">
        <f>_xll.QS.INSTRUMENT.SWAP("swap.2249",H2251,B2251,"USD","SOFR",I2251,J2251,0,"Actual360","Simple","Annual","Annual","Annual")</f>
        <v>QSObject:Swap:w1~swap.2249:17970</v>
      </c>
      <c r="F2251" s="6" t="str">
        <f>_xll.QS.TRADE.CREATE("trade.2249",E2251,A2251,"Receive")</f>
        <v>QSObject:SwapTrade:w1~trade.2249:29784</v>
      </c>
      <c r="G2251" s="3">
        <f>_xll.QS.EVALUATE(C2251,F2251)</f>
        <v>44561.371593699492</v>
      </c>
      <c r="H2251" s="5" t="s">
        <v>888</v>
      </c>
      <c r="I2251" s="7">
        <v>1224900</v>
      </c>
      <c r="J2251" s="8">
        <v>3.9899999999999998E-2</v>
      </c>
    </row>
    <row r="2252" spans="1:10" x14ac:dyDescent="0.25">
      <c r="A2252" s="5" t="s">
        <v>4112</v>
      </c>
      <c r="B2252" s="5" t="s">
        <v>4119</v>
      </c>
      <c r="C2252" s="6" t="str">
        <f>_xll.QS.CONTEXT.CREATE("market.2250",A2252,"USD","SOFR")</f>
        <v>QSObject:PricingContext:w1~market.2250:17969</v>
      </c>
      <c r="D2252" s="6" t="str">
        <f>_xll.QS.CONTEXT.ADD.CURVE(C2252,"SOFR",$K$2:$K$7,$L$2:$L$7,,,"Actual360","LogLinear",TRUE)</f>
        <v>QSObject:ContextInput:w1~input.qs_context_add_curve.2359132437744.2251.3.0:38048</v>
      </c>
      <c r="E2252" s="6" t="str">
        <f>_xll.QS.INSTRUMENT.SWAP("swap.2250",H2252,B2252,"USD","SOFR",I2252,J2252,0,"Actual360","Simple","Annual","Annual","Annual")</f>
        <v>QSObject:Swap:w1~swap.2250:17968</v>
      </c>
      <c r="F2252" s="6" t="str">
        <f>_xll.QS.TRADE.CREATE("trade.2250",E2252,A2252,"Receive")</f>
        <v>QSObject:SwapTrade:w1~trade.2250:29783</v>
      </c>
      <c r="G2252" s="3">
        <f>_xll.QS.EVALUATE(C2252,F2252)</f>
        <v>16938.509249478921</v>
      </c>
      <c r="H2252" s="5" t="s">
        <v>890</v>
      </c>
      <c r="I2252" s="7">
        <v>1225000</v>
      </c>
      <c r="J2252" s="8">
        <v>3.5000000000000003E-2</v>
      </c>
    </row>
    <row r="2253" spans="1:10" x14ac:dyDescent="0.25">
      <c r="A2253" s="5" t="s">
        <v>878</v>
      </c>
      <c r="B2253" s="5" t="s">
        <v>4120</v>
      </c>
      <c r="C2253" s="6" t="str">
        <f>_xll.QS.CONTEXT.CREATE("market.2251",A2253,"USD","SOFR")</f>
        <v>QSObject:PricingContext:w1~market.2251:17967</v>
      </c>
      <c r="D2253" s="6" t="str">
        <f>_xll.QS.CONTEXT.ADD.CURVE(C2253,"SOFR",$K$2:$K$7,$L$2:$L$7,,,"Actual360","LogLinear",TRUE)</f>
        <v>QSObject:ContextInput:w1~input.qs_context_add_curve.2359132437744.2252.3.0:38047</v>
      </c>
      <c r="E2253" s="6" t="str">
        <f>_xll.QS.INSTRUMENT.SWAP("swap.2251",H2253,B2253,"USD","SOFR",I2253,J2253,0,"Actual360","Simple","Annual","Annual","Annual")</f>
        <v>QSObject:Swap:w1~swap.2251:17966</v>
      </c>
      <c r="F2253" s="6" t="str">
        <f>_xll.QS.TRADE.CREATE("trade.2251",E2253,A2253,"Receive")</f>
        <v>QSObject:SwapTrade:w1~trade.2251:29782</v>
      </c>
      <c r="G2253" s="3">
        <f>_xll.QS.EVALUATE(C2253,F2253)</f>
        <v>17457.771713645023</v>
      </c>
      <c r="H2253" s="5" t="s">
        <v>892</v>
      </c>
      <c r="I2253" s="7">
        <v>1225100</v>
      </c>
      <c r="J2253" s="8">
        <v>3.5100000000000013E-2</v>
      </c>
    </row>
    <row r="2254" spans="1:10" x14ac:dyDescent="0.25">
      <c r="A2254" s="5" t="s">
        <v>880</v>
      </c>
      <c r="B2254" s="5" t="s">
        <v>4121</v>
      </c>
      <c r="C2254" s="6" t="str">
        <f>_xll.QS.CONTEXT.CREATE("market.2252",A2254,"USD","SOFR")</f>
        <v>QSObject:PricingContext:w1~market.2252:17965</v>
      </c>
      <c r="D2254" s="6" t="str">
        <f>_xll.QS.CONTEXT.ADD.CURVE(C2254,"SOFR",$K$2:$K$7,$L$2:$L$7,,,"Actual360","LogLinear",TRUE)</f>
        <v>QSObject:ContextInput:w1~input.qs_context_add_curve.2359132437744.2253.3.0:38046</v>
      </c>
      <c r="E2254" s="6" t="str">
        <f>_xll.QS.INSTRUMENT.SWAP("swap.2252",H2254,B2254,"USD","SOFR",I2254,J2254,0,"Actual360","Simple","Annual","Annual","Annual")</f>
        <v>QSObject:Swap:w1~swap.2252:17964</v>
      </c>
      <c r="F2254" s="6" t="str">
        <f>_xll.QS.TRADE.CREATE("trade.2252",E2254,A2254,"Receive")</f>
        <v>QSObject:SwapTrade:w1~trade.2252:29781</v>
      </c>
      <c r="G2254" s="3">
        <f>_xll.QS.EVALUATE(C2254,F2254)</f>
        <v>17951.324149359687</v>
      </c>
      <c r="H2254" s="5" t="s">
        <v>894</v>
      </c>
      <c r="I2254" s="7">
        <v>1225200</v>
      </c>
      <c r="J2254" s="8">
        <v>3.5200000000000002E-2</v>
      </c>
    </row>
    <row r="2255" spans="1:10" x14ac:dyDescent="0.25">
      <c r="A2255" s="5" t="s">
        <v>882</v>
      </c>
      <c r="B2255" s="5" t="s">
        <v>4122</v>
      </c>
      <c r="C2255" s="6" t="str">
        <f>_xll.QS.CONTEXT.CREATE("market.2253",A2255,"USD","SOFR")</f>
        <v>QSObject:PricingContext:w1~market.2253:17963</v>
      </c>
      <c r="D2255" s="6" t="str">
        <f>_xll.QS.CONTEXT.ADD.CURVE(C2255,"SOFR",$K$2:$K$7,$L$2:$L$7,,,"Actual360","LogLinear",TRUE)</f>
        <v>QSObject:ContextInput:w1~input.qs_context_add_curve.2359132437744.2254.3.0:38045</v>
      </c>
      <c r="E2255" s="6" t="str">
        <f>_xll.QS.INSTRUMENT.SWAP("swap.2253",H2255,B2255,"USD","SOFR",I2255,J2255,0,"Actual360","Simple","Annual","Annual","Annual")</f>
        <v>QSObject:Swap:w1~swap.2253:17962</v>
      </c>
      <c r="F2255" s="6" t="str">
        <f>_xll.QS.TRADE.CREATE("trade.2253",E2255,A2255,"Receive")</f>
        <v>QSObject:SwapTrade:w1~trade.2253:29780</v>
      </c>
      <c r="G2255" s="3">
        <f>_xll.QS.EVALUATE(C2255,F2255)</f>
        <v>18406.791615064001</v>
      </c>
      <c r="H2255" s="5" t="s">
        <v>896</v>
      </c>
      <c r="I2255" s="7">
        <v>1225300</v>
      </c>
      <c r="J2255" s="8">
        <v>3.5299999999999998E-2</v>
      </c>
    </row>
    <row r="2256" spans="1:10" x14ac:dyDescent="0.25">
      <c r="A2256" s="5" t="s">
        <v>884</v>
      </c>
      <c r="B2256" s="5" t="s">
        <v>4123</v>
      </c>
      <c r="C2256" s="6" t="str">
        <f>_xll.QS.CONTEXT.CREATE("market.2254",A2256,"USD","SOFR")</f>
        <v>QSObject:PricingContext:w1~market.2254:17961</v>
      </c>
      <c r="D2256" s="6" t="str">
        <f>_xll.QS.CONTEXT.ADD.CURVE(C2256,"SOFR",$K$2:$K$7,$L$2:$L$7,,,"Actual360","LogLinear",TRUE)</f>
        <v>QSObject:ContextInput:w1~input.qs_context_add_curve.2359132437744.2255.3.0:38044</v>
      </c>
      <c r="E2256" s="6" t="str">
        <f>_xll.QS.INSTRUMENT.SWAP("swap.2254",H2256,B2256,"USD","SOFR",I2256,J2256,0,"Actual360","Simple","Annual","Annual","Annual")</f>
        <v>QSObject:Swap:w1~swap.2254:17960</v>
      </c>
      <c r="F2256" s="6" t="str">
        <f>_xll.QS.TRADE.CREATE("trade.2254",E2256,A2256,"Receive")</f>
        <v>QSObject:SwapTrade:w1~trade.2254:29779</v>
      </c>
      <c r="G2256" s="3">
        <f>_xll.QS.EVALUATE(C2256,F2256)</f>
        <v>19024.06329508694</v>
      </c>
      <c r="H2256" s="5" t="s">
        <v>898</v>
      </c>
      <c r="I2256" s="7">
        <v>1225400</v>
      </c>
      <c r="J2256" s="8">
        <v>3.5400000000000001E-2</v>
      </c>
    </row>
    <row r="2257" spans="1:10" x14ac:dyDescent="0.25">
      <c r="A2257" s="5" t="s">
        <v>886</v>
      </c>
      <c r="B2257" s="5" t="s">
        <v>4124</v>
      </c>
      <c r="C2257" s="6" t="str">
        <f>_xll.QS.CONTEXT.CREATE("market.2255",A2257,"USD","SOFR")</f>
        <v>QSObject:PricingContext:w1~market.2255:17959</v>
      </c>
      <c r="D2257" s="6" t="str">
        <f>_xll.QS.CONTEXT.ADD.CURVE(C2257,"SOFR",$K$2:$K$7,$L$2:$L$7,,,"Actual360","LogLinear",TRUE)</f>
        <v>QSObject:ContextInput:w1~input.qs_context_add_curve.2359132437744.2256.3.0:38043</v>
      </c>
      <c r="E2257" s="6" t="str">
        <f>_xll.QS.INSTRUMENT.SWAP("swap.2255",H2257,B2257,"USD","SOFR",I2257,J2257,0,"Actual360","Simple","Annual","Annual","Annual")</f>
        <v>QSObject:Swap:w1~swap.2255:17958</v>
      </c>
      <c r="F2257" s="6" t="str">
        <f>_xll.QS.TRADE.CREATE("trade.2255",E2257,A2257,"Receive")</f>
        <v>QSObject:SwapTrade:w1~trade.2255:29778</v>
      </c>
      <c r="G2257" s="3">
        <f>_xll.QS.EVALUATE(C2257,F2257)</f>
        <v>19628.310208424104</v>
      </c>
      <c r="H2257" s="5" t="s">
        <v>900</v>
      </c>
      <c r="I2257" s="7">
        <v>1225500</v>
      </c>
      <c r="J2257" s="8">
        <v>3.5499999999999997E-2</v>
      </c>
    </row>
    <row r="2258" spans="1:10" x14ac:dyDescent="0.25">
      <c r="A2258" s="5" t="s">
        <v>888</v>
      </c>
      <c r="B2258" s="5" t="s">
        <v>4125</v>
      </c>
      <c r="C2258" s="6" t="str">
        <f>_xll.QS.CONTEXT.CREATE("market.2256",A2258,"USD","SOFR")</f>
        <v>QSObject:PricingContext:w1~market.2256:17957</v>
      </c>
      <c r="D2258" s="6" t="str">
        <f>_xll.QS.CONTEXT.ADD.CURVE(C2258,"SOFR",$K$2:$K$7,$L$2:$L$7,,,"Actual360","LogLinear",TRUE)</f>
        <v>QSObject:ContextInput:w1~input.qs_context_add_curve.2359132437744.2257.3.0:38042</v>
      </c>
      <c r="E2258" s="6" t="str">
        <f>_xll.QS.INSTRUMENT.SWAP("swap.2256",H2258,B2258,"USD","SOFR",I2258,J2258,0,"Actual360","Simple","Annual","Annual","Annual")</f>
        <v>QSObject:Swap:w1~swap.2256:17956</v>
      </c>
      <c r="F2258" s="6" t="str">
        <f>_xll.QS.TRADE.CREATE("trade.2256",E2258,A2258,"Receive")</f>
        <v>QSObject:SwapTrade:w1~trade.2256:29777</v>
      </c>
      <c r="G2258" s="3">
        <f>_xll.QS.EVALUATE(C2258,F2258)</f>
        <v>20284.448841522673</v>
      </c>
      <c r="H2258" s="5" t="s">
        <v>902</v>
      </c>
      <c r="I2258" s="7">
        <v>1225600</v>
      </c>
      <c r="J2258" s="8">
        <v>3.5600000000000007E-2</v>
      </c>
    </row>
    <row r="2259" spans="1:10" x14ac:dyDescent="0.25">
      <c r="A2259" s="5" t="s">
        <v>890</v>
      </c>
      <c r="B2259" s="5" t="s">
        <v>4126</v>
      </c>
      <c r="C2259" s="6" t="str">
        <f>_xll.QS.CONTEXT.CREATE("market.2257",A2259,"USD","SOFR")</f>
        <v>QSObject:PricingContext:w1~market.2257:17955</v>
      </c>
      <c r="D2259" s="6" t="str">
        <f>_xll.QS.CONTEXT.ADD.CURVE(C2259,"SOFR",$K$2:$K$7,$L$2:$L$7,,,"Actual360","LogLinear",TRUE)</f>
        <v>QSObject:ContextInput:w1~input.qs_context_add_curve.2359132437744.2258.3.0:38041</v>
      </c>
      <c r="E2259" s="6" t="str">
        <f>_xll.QS.INSTRUMENT.SWAP("swap.2257",H2259,B2259,"USD","SOFR",I2259,J2259,0,"Actual360","Simple","Annual","Annual","Annual")</f>
        <v>QSObject:Swap:w1~swap.2257:17954</v>
      </c>
      <c r="F2259" s="6" t="str">
        <f>_xll.QS.TRADE.CREATE("trade.2257",E2259,A2259,"Receive")</f>
        <v>QSObject:SwapTrade:w1~trade.2257:29776</v>
      </c>
      <c r="G2259" s="3">
        <f>_xll.QS.EVALUATE(C2259,F2259)</f>
        <v>20904.759397301641</v>
      </c>
      <c r="H2259" s="5" t="s">
        <v>904</v>
      </c>
      <c r="I2259" s="7">
        <v>1225700</v>
      </c>
      <c r="J2259" s="8">
        <v>3.5700000000000003E-2</v>
      </c>
    </row>
    <row r="2260" spans="1:10" x14ac:dyDescent="0.25">
      <c r="A2260" s="5" t="s">
        <v>892</v>
      </c>
      <c r="B2260" s="5" t="s">
        <v>4127</v>
      </c>
      <c r="C2260" s="6" t="str">
        <f>_xll.QS.CONTEXT.CREATE("market.2258",A2260,"USD","SOFR")</f>
        <v>QSObject:PricingContext:w1~market.2258:17953</v>
      </c>
      <c r="D2260" s="6" t="str">
        <f>_xll.QS.CONTEXT.ADD.CURVE(C2260,"SOFR",$K$2:$K$7,$L$2:$L$7,,,"Actual360","LogLinear",TRUE)</f>
        <v>QSObject:ContextInput:w1~input.qs_context_add_curve.2359132437744.2259.3.0:38040</v>
      </c>
      <c r="E2260" s="6" t="str">
        <f>_xll.QS.INSTRUMENT.SWAP("swap.2258",H2260,B2260,"USD","SOFR",I2260,J2260,0,"Actual360","Simple","Annual","Annual","Annual")</f>
        <v>QSObject:Swap:w1~swap.2258:17952</v>
      </c>
      <c r="F2260" s="6" t="str">
        <f>_xll.QS.TRADE.CREATE("trade.2258",E2260,A2260,"Receive")</f>
        <v>QSObject:SwapTrade:w1~trade.2258:29775</v>
      </c>
      <c r="G2260" s="3">
        <f>_xll.QS.EVALUATE(C2260,F2260)</f>
        <v>21424.597810440711</v>
      </c>
      <c r="H2260" s="5" t="s">
        <v>906</v>
      </c>
      <c r="I2260" s="7">
        <v>1225800</v>
      </c>
      <c r="J2260" s="8">
        <v>3.5800000000000012E-2</v>
      </c>
    </row>
    <row r="2261" spans="1:10" x14ac:dyDescent="0.25">
      <c r="A2261" s="5" t="s">
        <v>894</v>
      </c>
      <c r="B2261" s="5" t="s">
        <v>4128</v>
      </c>
      <c r="C2261" s="6" t="str">
        <f>_xll.QS.CONTEXT.CREATE("market.2259",A2261,"USD","SOFR")</f>
        <v>QSObject:PricingContext:w1~market.2259:17951</v>
      </c>
      <c r="D2261" s="6" t="str">
        <f>_xll.QS.CONTEXT.ADD.CURVE(C2261,"SOFR",$K$2:$K$7,$L$2:$L$7,,,"Actual360","LogLinear",TRUE)</f>
        <v>QSObject:ContextInput:w1~input.qs_context_add_curve.2359132437744.2260.3.0:38039</v>
      </c>
      <c r="E2261" s="6" t="str">
        <f>_xll.QS.INSTRUMENT.SWAP("swap.2259",H2261,B2261,"USD","SOFR",I2261,J2261,0,"Actual360","Simple","Annual","Annual","Annual")</f>
        <v>QSObject:Swap:w1~swap.2259:17950</v>
      </c>
      <c r="F2261" s="6" t="str">
        <f>_xll.QS.TRADE.CREATE("trade.2259",E2261,A2261,"Receive")</f>
        <v>QSObject:SwapTrade:w1~trade.2259:29774</v>
      </c>
      <c r="G2261" s="3">
        <f>_xll.QS.EVALUATE(C2261,F2261)</f>
        <v>21914.094218767226</v>
      </c>
      <c r="H2261" s="5" t="s">
        <v>908</v>
      </c>
      <c r="I2261" s="7">
        <v>1225900</v>
      </c>
      <c r="J2261" s="8">
        <v>3.5900000000000001E-2</v>
      </c>
    </row>
    <row r="2262" spans="1:10" x14ac:dyDescent="0.25">
      <c r="A2262" s="5" t="s">
        <v>896</v>
      </c>
      <c r="B2262" s="5" t="s">
        <v>4129</v>
      </c>
      <c r="C2262" s="6" t="str">
        <f>_xll.QS.CONTEXT.CREATE("market.2260",A2262,"USD","SOFR")</f>
        <v>QSObject:PricingContext:w1~market.2260:17949</v>
      </c>
      <c r="D2262" s="6" t="str">
        <f>_xll.QS.CONTEXT.ADD.CURVE(C2262,"SOFR",$K$2:$K$7,$L$2:$L$7,,,"Actual360","LogLinear",TRUE)</f>
        <v>QSObject:ContextInput:w1~input.qs_context_add_curve.2359132437744.2261.3.0:38038</v>
      </c>
      <c r="E2262" s="6" t="str">
        <f>_xll.QS.INSTRUMENT.SWAP("swap.2260",H2262,B2262,"USD","SOFR",I2262,J2262,0,"Actual360","Simple","Annual","Annual","Annual")</f>
        <v>QSObject:Swap:w1~swap.2260:17948</v>
      </c>
      <c r="F2262" s="6" t="str">
        <f>_xll.QS.TRADE.CREATE("trade.2260",E2262,A2262,"Receive")</f>
        <v>QSObject:SwapTrade:w1~trade.2260:29773</v>
      </c>
      <c r="G2262" s="3">
        <f>_xll.QS.EVALUATE(C2262,F2262)</f>
        <v>22376.278887515102</v>
      </c>
      <c r="H2262" s="5" t="s">
        <v>910</v>
      </c>
      <c r="I2262" s="7">
        <v>1226000</v>
      </c>
      <c r="J2262" s="8">
        <v>3.5999999999999997E-2</v>
      </c>
    </row>
    <row r="2263" spans="1:10" x14ac:dyDescent="0.25">
      <c r="A2263" s="5" t="s">
        <v>898</v>
      </c>
      <c r="B2263" s="5" t="s">
        <v>4130</v>
      </c>
      <c r="C2263" s="6" t="str">
        <f>_xll.QS.CONTEXT.CREATE("market.2261",A2263,"USD","SOFR")</f>
        <v>QSObject:PricingContext:w1~market.2261:17947</v>
      </c>
      <c r="D2263" s="6" t="str">
        <f>_xll.QS.CONTEXT.ADD.CURVE(C2263,"SOFR",$K$2:$K$7,$L$2:$L$7,,,"Actual360","LogLinear",TRUE)</f>
        <v>QSObject:ContextInput:w1~input.qs_context_add_curve.2359132437744.2262.3.0:38037</v>
      </c>
      <c r="E2263" s="6" t="str">
        <f>_xll.QS.INSTRUMENT.SWAP("swap.2261",H2263,B2263,"USD","SOFR",I2263,J2263,0,"Actual360","Simple","Annual","Annual","Annual")</f>
        <v>QSObject:Swap:w1~swap.2261:17946</v>
      </c>
      <c r="F2263" s="6" t="str">
        <f>_xll.QS.TRADE.CREATE("trade.2261",E2263,A2263,"Receive")</f>
        <v>QSObject:SwapTrade:w1~trade.2261:29772</v>
      </c>
      <c r="G2263" s="3">
        <f>_xll.QS.EVALUATE(C2263,F2263)</f>
        <v>22994.608632674244</v>
      </c>
      <c r="H2263" s="5" t="s">
        <v>912</v>
      </c>
      <c r="I2263" s="7">
        <v>1226100</v>
      </c>
      <c r="J2263" s="8">
        <v>3.61E-2</v>
      </c>
    </row>
    <row r="2264" spans="1:10" x14ac:dyDescent="0.25">
      <c r="A2264" s="5" t="s">
        <v>900</v>
      </c>
      <c r="B2264" s="5" t="s">
        <v>4131</v>
      </c>
      <c r="C2264" s="6" t="str">
        <f>_xll.QS.CONTEXT.CREATE("market.2262",A2264,"USD","SOFR")</f>
        <v>QSObject:PricingContext:w1~market.2262:17945</v>
      </c>
      <c r="D2264" s="6" t="str">
        <f>_xll.QS.CONTEXT.ADD.CURVE(C2264,"SOFR",$K$2:$K$7,$L$2:$L$7,,,"Actual360","LogLinear",TRUE)</f>
        <v>QSObject:ContextInput:w1~input.qs_context_add_curve.2359132437744.2263.3.0:38036</v>
      </c>
      <c r="E2264" s="6" t="str">
        <f>_xll.QS.INSTRUMENT.SWAP("swap.2262",H2264,B2264,"USD","SOFR",I2264,J2264,0,"Actual360","Simple","Annual","Annual","Annual")</f>
        <v>QSObject:Swap:w1~swap.2262:17944</v>
      </c>
      <c r="F2264" s="6" t="str">
        <f>_xll.QS.TRADE.CREATE("trade.2262",E2264,A2264,"Receive")</f>
        <v>QSObject:SwapTrade:w1~trade.2262:29771</v>
      </c>
      <c r="G2264" s="3">
        <f>_xll.QS.EVALUATE(C2264,F2264)</f>
        <v>23597.602637084055</v>
      </c>
      <c r="H2264" s="5" t="s">
        <v>914</v>
      </c>
      <c r="I2264" s="7">
        <v>1226200</v>
      </c>
      <c r="J2264" s="8">
        <v>3.6200000000000003E-2</v>
      </c>
    </row>
    <row r="2265" spans="1:10" x14ac:dyDescent="0.25">
      <c r="A2265" s="5" t="s">
        <v>902</v>
      </c>
      <c r="B2265" s="5" t="s">
        <v>4132</v>
      </c>
      <c r="C2265" s="6" t="str">
        <f>_xll.QS.CONTEXT.CREATE("market.2263",A2265,"USD","SOFR")</f>
        <v>QSObject:PricingContext:w1~market.2263:17943</v>
      </c>
      <c r="D2265" s="6" t="str">
        <f>_xll.QS.CONTEXT.ADD.CURVE(C2265,"SOFR",$K$2:$K$7,$L$2:$L$7,,,"Actual360","LogLinear",TRUE)</f>
        <v>QSObject:ContextInput:w1~input.qs_context_add_curve.2359132437744.2264.3.0:38035</v>
      </c>
      <c r="E2265" s="6" t="str">
        <f>_xll.QS.INSTRUMENT.SWAP("swap.2263",H2265,B2265,"USD","SOFR",I2265,J2265,0,"Actual360","Simple","Annual","Annual","Annual")</f>
        <v>QSObject:Swap:w1~swap.2263:17942</v>
      </c>
      <c r="F2265" s="6" t="str">
        <f>_xll.QS.TRADE.CREATE("trade.2263",E2265,A2265,"Receive")</f>
        <v>QSObject:SwapTrade:w1~trade.2263:29770</v>
      </c>
      <c r="G2265" s="3">
        <f>_xll.QS.EVALUATE(C2265,F2265)</f>
        <v>24254.496635710835</v>
      </c>
      <c r="H2265" s="5" t="s">
        <v>916</v>
      </c>
      <c r="I2265" s="7">
        <v>1226300</v>
      </c>
      <c r="J2265" s="8">
        <v>3.6300000000000013E-2</v>
      </c>
    </row>
    <row r="2266" spans="1:10" x14ac:dyDescent="0.25">
      <c r="A2266" s="5" t="s">
        <v>904</v>
      </c>
      <c r="B2266" s="5" t="s">
        <v>4133</v>
      </c>
      <c r="C2266" s="6" t="str">
        <f>_xll.QS.CONTEXT.CREATE("market.2264",A2266,"USD","SOFR")</f>
        <v>QSObject:PricingContext:w1~market.2264:17941</v>
      </c>
      <c r="D2266" s="6" t="str">
        <f>_xll.QS.CONTEXT.ADD.CURVE(C2266,"SOFR",$K$2:$K$7,$L$2:$L$7,,,"Actual360","LogLinear",TRUE)</f>
        <v>QSObject:ContextInput:w1~input.qs_context_add_curve.2359132437744.2265.3.0:38034</v>
      </c>
      <c r="E2266" s="6" t="str">
        <f>_xll.QS.INSTRUMENT.SWAP("swap.2264",H2266,B2266,"USD","SOFR",I2266,J2266,0,"Actual360","Simple","Annual","Annual","Annual")</f>
        <v>QSObject:Swap:w1~swap.2264:17940</v>
      </c>
      <c r="F2266" s="6" t="str">
        <f>_xll.QS.TRADE.CREATE("trade.2264",E2266,A2266,"Receive")</f>
        <v>QSObject:SwapTrade:w1~trade.2264:29769</v>
      </c>
      <c r="G2266" s="3">
        <f>_xll.QS.EVALUATE(C2266,F2266)</f>
        <v>24875.528758145076</v>
      </c>
      <c r="H2266" s="5" t="s">
        <v>918</v>
      </c>
      <c r="I2266" s="7">
        <v>1226400</v>
      </c>
      <c r="J2266" s="8">
        <v>3.6400000000000002E-2</v>
      </c>
    </row>
    <row r="2267" spans="1:10" x14ac:dyDescent="0.25">
      <c r="A2267" s="5" t="s">
        <v>906</v>
      </c>
      <c r="B2267" s="5" t="s">
        <v>4134</v>
      </c>
      <c r="C2267" s="6" t="str">
        <f>_xll.QS.CONTEXT.CREATE("market.2265",A2267,"USD","SOFR")</f>
        <v>QSObject:PricingContext:w1~market.2265:17939</v>
      </c>
      <c r="D2267" s="6" t="str">
        <f>_xll.QS.CONTEXT.ADD.CURVE(C2267,"SOFR",$K$2:$K$7,$L$2:$L$7,,,"Actual360","LogLinear",TRUE)</f>
        <v>QSObject:ContextInput:w1~input.qs_context_add_curve.2359132437744.2266.3.0:38033</v>
      </c>
      <c r="E2267" s="6" t="str">
        <f>_xll.QS.INSTRUMENT.SWAP("swap.2265",H2267,B2267,"USD","SOFR",I2267,J2267,0,"Actual360","Simple","Annual","Annual","Annual")</f>
        <v>QSObject:Swap:w1~swap.2265:17938</v>
      </c>
      <c r="F2267" s="6" t="str">
        <f>_xll.QS.TRADE.CREATE("trade.2265",E2267,A2267,"Receive")</f>
        <v>QSObject:SwapTrade:w1~trade.2265:29768</v>
      </c>
      <c r="G2267" s="3">
        <f>_xll.QS.EVALUATE(C2267,F2267)</f>
        <v>25395.943071421258</v>
      </c>
      <c r="H2267" s="5" t="s">
        <v>920</v>
      </c>
      <c r="I2267" s="7">
        <v>1226500</v>
      </c>
      <c r="J2267" s="8">
        <v>3.6499999999999998E-2</v>
      </c>
    </row>
    <row r="2268" spans="1:10" x14ac:dyDescent="0.25">
      <c r="A2268" s="5" t="s">
        <v>908</v>
      </c>
      <c r="B2268" s="5" t="s">
        <v>4135</v>
      </c>
      <c r="C2268" s="6" t="str">
        <f>_xll.QS.CONTEXT.CREATE("market.2266",A2268,"USD","SOFR")</f>
        <v>QSObject:PricingContext:w1~market.2266:17937</v>
      </c>
      <c r="D2268" s="6" t="str">
        <f>_xll.QS.CONTEXT.ADD.CURVE(C2268,"SOFR",$K$2:$K$7,$L$2:$L$7,,,"Actual360","LogLinear",TRUE)</f>
        <v>QSObject:ContextInput:w1~input.qs_context_add_curve.2359132437744.2267.3.0:38032</v>
      </c>
      <c r="E2268" s="6" t="str">
        <f>_xll.QS.INSTRUMENT.SWAP("swap.2266",H2268,B2268,"USD","SOFR",I2268,J2268,0,"Actual360","Simple","Annual","Annual","Annual")</f>
        <v>QSObject:Swap:w1~swap.2266:17936</v>
      </c>
      <c r="F2268" s="6" t="str">
        <f>_xll.QS.TRADE.CREATE("trade.2266",E2268,A2268,"Receive")</f>
        <v>QSObject:SwapTrade:w1~trade.2266:29767</v>
      </c>
      <c r="G2268" s="3">
        <f>_xll.QS.EVALUATE(C2268,F2268)</f>
        <v>25881.378130561432</v>
      </c>
      <c r="H2268" s="5" t="s">
        <v>922</v>
      </c>
      <c r="I2268" s="7">
        <v>1226600</v>
      </c>
      <c r="J2268" s="8">
        <v>3.6600000000000001E-2</v>
      </c>
    </row>
    <row r="2269" spans="1:10" x14ac:dyDescent="0.25">
      <c r="A2269" s="5" t="s">
        <v>910</v>
      </c>
      <c r="B2269" s="5" t="s">
        <v>4136</v>
      </c>
      <c r="C2269" s="6" t="str">
        <f>_xll.QS.CONTEXT.CREATE("market.2267",A2269,"USD","SOFR")</f>
        <v>QSObject:PricingContext:w1~market.2267:17935</v>
      </c>
      <c r="D2269" s="6" t="str">
        <f>_xll.QS.CONTEXT.ADD.CURVE(C2269,"SOFR",$K$2:$K$7,$L$2:$L$7,,,"Actual360","LogLinear",TRUE)</f>
        <v>QSObject:ContextInput:w1~input.qs_context_add_curve.2359132437744.2268.3.0:38031</v>
      </c>
      <c r="E2269" s="6" t="str">
        <f>_xll.QS.INSTRUMENT.SWAP("swap.2267",H2269,B2269,"USD","SOFR",I2269,J2269,0,"Actual360","Simple","Annual","Annual","Annual")</f>
        <v>QSObject:Swap:w1~swap.2267:17934</v>
      </c>
      <c r="F2269" s="6" t="str">
        <f>_xll.QS.TRADE.CREATE("trade.2267",E2269,A2269,"Receive")</f>
        <v>QSObject:SwapTrade:w1~trade.2267:29766</v>
      </c>
      <c r="G2269" s="3">
        <f>_xll.QS.EVALUATE(C2269,F2269)</f>
        <v>26350.287008541709</v>
      </c>
      <c r="H2269" s="5" t="s">
        <v>924</v>
      </c>
      <c r="I2269" s="7">
        <v>1226700</v>
      </c>
      <c r="J2269" s="8">
        <v>3.6700000000000003E-2</v>
      </c>
    </row>
    <row r="2270" spans="1:10" x14ac:dyDescent="0.25">
      <c r="A2270" s="5" t="s">
        <v>912</v>
      </c>
      <c r="B2270" s="5" t="s">
        <v>4137</v>
      </c>
      <c r="C2270" s="6" t="str">
        <f>_xll.QS.CONTEXT.CREATE("market.2268",A2270,"USD","SOFR")</f>
        <v>QSObject:PricingContext:w1~market.2268:17933</v>
      </c>
      <c r="D2270" s="6" t="str">
        <f>_xll.QS.CONTEXT.ADD.CURVE(C2270,"SOFR",$K$2:$K$7,$L$2:$L$7,,,"Actual360","LogLinear",TRUE)</f>
        <v>QSObject:ContextInput:w1~input.qs_context_add_curve.2359132437744.2269.3.0:38030</v>
      </c>
      <c r="E2270" s="6" t="str">
        <f>_xll.QS.INSTRUMENT.SWAP("swap.2268",H2270,B2270,"USD","SOFR",I2270,J2270,0,"Actual360","Simple","Annual","Annual","Annual")</f>
        <v>QSObject:Swap:w1~swap.2268:17932</v>
      </c>
      <c r="F2270" s="6" t="str">
        <f>_xll.QS.TRADE.CREATE("trade.2268",E2270,A2270,"Receive")</f>
        <v>QSObject:SwapTrade:w1~trade.2268:29765</v>
      </c>
      <c r="G2270" s="3">
        <f>_xll.QS.EVALUATE(C2270,F2270)</f>
        <v>26969.675256608818</v>
      </c>
      <c r="H2270" s="5" t="s">
        <v>926</v>
      </c>
      <c r="I2270" s="7">
        <v>1226800</v>
      </c>
      <c r="J2270" s="8">
        <v>3.6800000000000013E-2</v>
      </c>
    </row>
    <row r="2271" spans="1:10" x14ac:dyDescent="0.25">
      <c r="A2271" s="5" t="s">
        <v>914</v>
      </c>
      <c r="B2271" s="5" t="s">
        <v>4138</v>
      </c>
      <c r="C2271" s="6" t="str">
        <f>_xll.QS.CONTEXT.CREATE("market.2269",A2271,"USD","SOFR")</f>
        <v>QSObject:PricingContext:w1~market.2269:17931</v>
      </c>
      <c r="D2271" s="6" t="str">
        <f>_xll.QS.CONTEXT.ADD.CURVE(C2271,"SOFR",$K$2:$K$7,$L$2:$L$7,,,"Actual360","LogLinear",TRUE)</f>
        <v>QSObject:ContextInput:w1~input.qs_context_add_curve.2359132437744.2270.3.0:38029</v>
      </c>
      <c r="E2271" s="6" t="str">
        <f>_xll.QS.INSTRUMENT.SWAP("swap.2269",H2271,B2271,"USD","SOFR",I2271,J2271,0,"Actual360","Simple","Annual","Annual","Annual")</f>
        <v>QSObject:Swap:w1~swap.2269:17930</v>
      </c>
      <c r="F2271" s="6" t="str">
        <f>_xll.QS.TRADE.CREATE("trade.2269",E2271,A2271,"Receive")</f>
        <v>QSObject:SwapTrade:w1~trade.2269:29764</v>
      </c>
      <c r="G2271" s="3">
        <f>_xll.QS.EVALUATE(C2271,F2271)</f>
        <v>27571.414159821899</v>
      </c>
      <c r="H2271" s="5" t="s">
        <v>928</v>
      </c>
      <c r="I2271" s="7">
        <v>1226900</v>
      </c>
      <c r="J2271" s="8">
        <v>3.6900000000000002E-2</v>
      </c>
    </row>
    <row r="2272" spans="1:10" x14ac:dyDescent="0.25">
      <c r="A2272" s="5" t="s">
        <v>916</v>
      </c>
      <c r="B2272" s="5" t="s">
        <v>4139</v>
      </c>
      <c r="C2272" s="6" t="str">
        <f>_xll.QS.CONTEXT.CREATE("market.2270",A2272,"USD","SOFR")</f>
        <v>QSObject:PricingContext:w1~market.2270:17929</v>
      </c>
      <c r="D2272" s="6" t="str">
        <f>_xll.QS.CONTEXT.ADD.CURVE(C2272,"SOFR",$K$2:$K$7,$L$2:$L$7,,,"Actual360","LogLinear",TRUE)</f>
        <v>QSObject:ContextInput:w1~input.qs_context_add_curve.2359132437744.2271.3.0:38028</v>
      </c>
      <c r="E2272" s="6" t="str">
        <f>_xll.QS.INSTRUMENT.SWAP("swap.2270",H2272,B2272,"USD","SOFR",I2272,J2272,0,"Actual360","Simple","Annual","Annual","Annual")</f>
        <v>QSObject:Swap:w1~swap.2270:17928</v>
      </c>
      <c r="F2272" s="6" t="str">
        <f>_xll.QS.TRADE.CREATE("trade.2270",E2272,A2272,"Receive")</f>
        <v>QSObject:SwapTrade:w1~trade.2270:29763</v>
      </c>
      <c r="G2272" s="3">
        <f>_xll.QS.EVALUATE(C2272,F2272)</f>
        <v>28229.063591031852</v>
      </c>
      <c r="H2272" s="5" t="s">
        <v>930</v>
      </c>
      <c r="I2272" s="7">
        <v>1227000</v>
      </c>
      <c r="J2272" s="8">
        <v>3.7000000000000012E-2</v>
      </c>
    </row>
    <row r="2273" spans="1:10" x14ac:dyDescent="0.25">
      <c r="A2273" s="5" t="s">
        <v>918</v>
      </c>
      <c r="B2273" s="5" t="s">
        <v>4140</v>
      </c>
      <c r="C2273" s="6" t="str">
        <f>_xll.QS.CONTEXT.CREATE("market.2271",A2273,"USD","SOFR")</f>
        <v>QSObject:PricingContext:w1~market.2271:17927</v>
      </c>
      <c r="D2273" s="6" t="str">
        <f>_xll.QS.CONTEXT.ADD.CURVE(C2273,"SOFR",$K$2:$K$7,$L$2:$L$7,,,"Actual360","LogLinear",TRUE)</f>
        <v>QSObject:ContextInput:w1~input.qs_context_add_curve.2359132437744.2272.3.0:38027</v>
      </c>
      <c r="E2273" s="6" t="str">
        <f>_xll.QS.INSTRUMENT.SWAP("swap.2271",H2273,B2273,"USD","SOFR",I2273,J2273,0,"Actual360","Simple","Annual","Annual","Annual")</f>
        <v>QSObject:Swap:w1~swap.2271:17926</v>
      </c>
      <c r="F2273" s="6" t="str">
        <f>_xll.QS.TRADE.CREATE("trade.2271",E2273,A2273,"Receive")</f>
        <v>QSObject:SwapTrade:w1~trade.2271:29762</v>
      </c>
      <c r="G2273" s="3">
        <f>_xll.QS.EVALUATE(C2273,F2273)</f>
        <v>28850.583201147878</v>
      </c>
      <c r="H2273" s="5" t="s">
        <v>932</v>
      </c>
      <c r="I2273" s="7">
        <v>1227100</v>
      </c>
      <c r="J2273" s="8">
        <v>3.7100000000000001E-2</v>
      </c>
    </row>
    <row r="2274" spans="1:10" x14ac:dyDescent="0.25">
      <c r="A2274" s="5" t="s">
        <v>920</v>
      </c>
      <c r="B2274" s="5" t="s">
        <v>4141</v>
      </c>
      <c r="C2274" s="6" t="str">
        <f>_xll.QS.CONTEXT.CREATE("market.2272",A2274,"USD","SOFR")</f>
        <v>QSObject:PricingContext:w1~market.2272:17925</v>
      </c>
      <c r="D2274" s="6" t="str">
        <f>_xll.QS.CONTEXT.ADD.CURVE(C2274,"SOFR",$K$2:$K$7,$L$2:$L$7,,,"Actual360","LogLinear",TRUE)</f>
        <v>QSObject:ContextInput:w1~input.qs_context_add_curve.2359132437744.2273.3.0:38026</v>
      </c>
      <c r="E2274" s="6" t="str">
        <f>_xll.QS.INSTRUMENT.SWAP("swap.2272",H2274,B2274,"USD","SOFR",I2274,J2274,0,"Actual360","Simple","Annual","Annual","Annual")</f>
        <v>QSObject:Swap:w1~swap.2272:17924</v>
      </c>
      <c r="F2274" s="6" t="str">
        <f>_xll.QS.TRADE.CREATE("trade.2272",E2274,A2274,"Receive")</f>
        <v>QSObject:SwapTrade:w1~trade.2272:29761</v>
      </c>
      <c r="G2274" s="3">
        <f>_xll.QS.EVALUATE(C2274,F2274)</f>
        <v>29372.856983695623</v>
      </c>
      <c r="H2274" s="5" t="s">
        <v>934</v>
      </c>
      <c r="I2274" s="7">
        <v>1227200</v>
      </c>
      <c r="J2274" s="8">
        <v>3.7199999999999997E-2</v>
      </c>
    </row>
    <row r="2275" spans="1:10" x14ac:dyDescent="0.25">
      <c r="A2275" s="5" t="s">
        <v>922</v>
      </c>
      <c r="B2275" s="5" t="s">
        <v>4142</v>
      </c>
      <c r="C2275" s="6" t="str">
        <f>_xll.QS.CONTEXT.CREATE("market.2273",A2275,"USD","SOFR")</f>
        <v>QSObject:PricingContext:w1~market.2273:17923</v>
      </c>
      <c r="D2275" s="6" t="str">
        <f>_xll.QS.CONTEXT.ADD.CURVE(C2275,"SOFR",$K$2:$K$7,$L$2:$L$7,,,"Actual360","LogLinear",TRUE)</f>
        <v>QSObject:ContextInput:w1~input.qs_context_add_curve.2359132437744.2274.3.0:38025</v>
      </c>
      <c r="E2275" s="6" t="str">
        <f>_xll.QS.INSTRUMENT.SWAP("swap.2273",H2275,B2275,"USD","SOFR",I2275,J2275,0,"Actual360","Simple","Annual","Annual","Annual")</f>
        <v>QSObject:Swap:w1~swap.2273:17922</v>
      </c>
      <c r="F2275" s="6" t="str">
        <f>_xll.QS.TRADE.CREATE("trade.2273",E2275,A2275,"Receive")</f>
        <v>QSObject:SwapTrade:w1~trade.2273:29760</v>
      </c>
      <c r="G2275" s="3">
        <f>_xll.QS.EVALUATE(C2275,F2275)</f>
        <v>29911.85943484764</v>
      </c>
      <c r="H2275" s="5" t="s">
        <v>936</v>
      </c>
      <c r="I2275" s="7">
        <v>1227300</v>
      </c>
      <c r="J2275" s="8">
        <v>3.73E-2</v>
      </c>
    </row>
    <row r="2276" spans="1:10" x14ac:dyDescent="0.25">
      <c r="A2276" s="5" t="s">
        <v>924</v>
      </c>
      <c r="B2276" s="5" t="s">
        <v>4143</v>
      </c>
      <c r="C2276" s="6" t="str">
        <f>_xll.QS.CONTEXT.CREATE("market.2274",A2276,"USD","SOFR")</f>
        <v>QSObject:PricingContext:w1~market.2274:17921</v>
      </c>
      <c r="D2276" s="6" t="str">
        <f>_xll.QS.CONTEXT.ADD.CURVE(C2276,"SOFR",$K$2:$K$7,$L$2:$L$7,,,"Actual360","LogLinear",TRUE)</f>
        <v>QSObject:ContextInput:w1~input.qs_context_add_curve.2359132437744.2275.3.0:38024</v>
      </c>
      <c r="E2276" s="6" t="str">
        <f>_xll.QS.INSTRUMENT.SWAP("swap.2274",H2276,B2276,"USD","SOFR",I2276,J2276,0,"Actual360","Simple","Annual","Annual","Annual")</f>
        <v>QSObject:Swap:w1~swap.2274:17920</v>
      </c>
      <c r="F2276" s="6" t="str">
        <f>_xll.QS.TRADE.CREATE("trade.2274",E2276,A2276,"Receive")</f>
        <v>QSObject:SwapTrade:w1~trade.2274:29759</v>
      </c>
      <c r="G2276" s="3">
        <f>_xll.QS.EVALUATE(C2276,F2276)</f>
        <v>30483.044167723005</v>
      </c>
      <c r="H2276" s="5" t="s">
        <v>938</v>
      </c>
      <c r="I2276" s="7">
        <v>1227400</v>
      </c>
      <c r="J2276" s="8">
        <v>3.7400000000000003E-2</v>
      </c>
    </row>
    <row r="2277" spans="1:10" x14ac:dyDescent="0.25">
      <c r="A2277" s="5" t="s">
        <v>926</v>
      </c>
      <c r="B2277" s="5" t="s">
        <v>4144</v>
      </c>
      <c r="C2277" s="6" t="str">
        <f>_xll.QS.CONTEXT.CREATE("market.2275",A2277,"USD","SOFR")</f>
        <v>QSObject:PricingContext:w1~market.2275:17919</v>
      </c>
      <c r="D2277" s="6" t="str">
        <f>_xll.QS.CONTEXT.ADD.CURVE(C2277,"SOFR",$K$2:$K$7,$L$2:$L$7,,,"Actual360","LogLinear",TRUE)</f>
        <v>QSObject:ContextInput:w1~input.qs_context_add_curve.2359132437744.2276.3.0:38023</v>
      </c>
      <c r="E2277" s="6" t="str">
        <f>_xll.QS.INSTRUMENT.SWAP("swap.2275",H2277,B2277,"USD","SOFR",I2277,J2277,0,"Actual360","Simple","Annual","Annual","Annual")</f>
        <v>QSObject:Swap:w1~swap.2275:17918</v>
      </c>
      <c r="F2277" s="6" t="str">
        <f>_xll.QS.TRADE.CREATE("trade.2275",E2277,A2277,"Receive")</f>
        <v>QSObject:SwapTrade:w1~trade.2275:29758</v>
      </c>
      <c r="G2277" s="3">
        <f>_xll.QS.EVALUATE(C2277,F2277)</f>
        <v>30949.608026930764</v>
      </c>
      <c r="H2277" s="5" t="s">
        <v>940</v>
      </c>
      <c r="I2277" s="7">
        <v>1227500</v>
      </c>
      <c r="J2277" s="8">
        <v>3.7500000000000012E-2</v>
      </c>
    </row>
    <row r="2278" spans="1:10" x14ac:dyDescent="0.25">
      <c r="A2278" s="5" t="s">
        <v>928</v>
      </c>
      <c r="B2278" s="5" t="s">
        <v>4145</v>
      </c>
      <c r="C2278" s="6" t="str">
        <f>_xll.QS.CONTEXT.CREATE("market.2276",A2278,"USD","SOFR")</f>
        <v>QSObject:PricingContext:w1~market.2276:17917</v>
      </c>
      <c r="D2278" s="6" t="str">
        <f>_xll.QS.CONTEXT.ADD.CURVE(C2278,"SOFR",$K$2:$K$7,$L$2:$L$7,,,"Actual360","LogLinear",TRUE)</f>
        <v>QSObject:ContextInput:w1~input.qs_context_add_curve.2359132437744.2277.3.0:38022</v>
      </c>
      <c r="E2278" s="6" t="str">
        <f>_xll.QS.INSTRUMENT.SWAP("swap.2276",H2278,B2278,"USD","SOFR",I2278,J2278,0,"Actual360","Simple","Annual","Annual","Annual")</f>
        <v>QSObject:Swap:w1~swap.2276:17916</v>
      </c>
      <c r="F2278" s="6" t="str">
        <f>_xll.QS.TRADE.CREATE("trade.2276",E2278,A2278,"Receive")</f>
        <v>QSObject:SwapTrade:w1~trade.2276:29757</v>
      </c>
      <c r="G2278" s="3">
        <f>_xll.QS.EVALUATE(C2278,F2278)</f>
        <v>31549.082751952061</v>
      </c>
      <c r="H2278" s="5" t="s">
        <v>942</v>
      </c>
      <c r="I2278" s="7">
        <v>1227600</v>
      </c>
      <c r="J2278" s="8">
        <v>3.7600000000000001E-2</v>
      </c>
    </row>
    <row r="2279" spans="1:10" x14ac:dyDescent="0.25">
      <c r="A2279" s="5" t="s">
        <v>930</v>
      </c>
      <c r="B2279" s="5" t="s">
        <v>4146</v>
      </c>
      <c r="C2279" s="6" t="str">
        <f>_xll.QS.CONTEXT.CREATE("market.2277",A2279,"USD","SOFR")</f>
        <v>QSObject:PricingContext:w1~market.2277:17915</v>
      </c>
      <c r="D2279" s="6" t="str">
        <f>_xll.QS.CONTEXT.ADD.CURVE(C2279,"SOFR",$K$2:$K$7,$L$2:$L$7,,,"Actual360","LogLinear",TRUE)</f>
        <v>QSObject:ContextInput:w1~input.qs_context_add_curve.2359132437744.2278.3.0:38021</v>
      </c>
      <c r="E2279" s="6" t="str">
        <f>_xll.QS.INSTRUMENT.SWAP("swap.2277",H2279,B2279,"USD","SOFR",I2279,J2279,0,"Actual360","Simple","Annual","Annual","Annual")</f>
        <v>QSObject:Swap:w1~swap.2277:17914</v>
      </c>
      <c r="F2279" s="6" t="str">
        <f>_xll.QS.TRADE.CREATE("trade.2277",E2279,A2279,"Receive")</f>
        <v>QSObject:SwapTrade:w1~trade.2277:29756</v>
      </c>
      <c r="G2279" s="3">
        <f>_xll.QS.EVALUATE(C2279,F2279)</f>
        <v>32255.217583269972</v>
      </c>
      <c r="H2279" s="5" t="s">
        <v>944</v>
      </c>
      <c r="I2279" s="7">
        <v>1227700</v>
      </c>
      <c r="J2279" s="8">
        <v>3.7699999999999997E-2</v>
      </c>
    </row>
    <row r="2280" spans="1:10" x14ac:dyDescent="0.25">
      <c r="A2280" s="5" t="s">
        <v>932</v>
      </c>
      <c r="B2280" s="5" t="s">
        <v>4147</v>
      </c>
      <c r="C2280" s="6" t="str">
        <f>_xll.QS.CONTEXT.CREATE("market.2278",A2280,"USD","SOFR")</f>
        <v>QSObject:PricingContext:w1~market.2278:17913</v>
      </c>
      <c r="D2280" s="6" t="str">
        <f>_xll.QS.CONTEXT.ADD.CURVE(C2280,"SOFR",$K$2:$K$7,$L$2:$L$7,,,"Actual360","LogLinear",TRUE)</f>
        <v>QSObject:ContextInput:w1~input.qs_context_add_curve.2359132437744.2279.3.0:38020</v>
      </c>
      <c r="E2280" s="6" t="str">
        <f>_xll.QS.INSTRUMENT.SWAP("swap.2278",H2280,B2280,"USD","SOFR",I2280,J2280,0,"Actual360","Simple","Annual","Annual","Annual")</f>
        <v>QSObject:Swap:w1~swap.2278:17912</v>
      </c>
      <c r="F2280" s="6" t="str">
        <f>_xll.QS.TRADE.CREATE("trade.2278",E2280,A2280,"Receive")</f>
        <v>QSObject:SwapTrade:w1~trade.2278:29755</v>
      </c>
      <c r="G2280" s="3">
        <f>_xll.QS.EVALUATE(C2280,F2280)</f>
        <v>32830.624837998359</v>
      </c>
      <c r="H2280" s="5" t="s">
        <v>946</v>
      </c>
      <c r="I2280" s="7">
        <v>1227800</v>
      </c>
      <c r="J2280" s="8">
        <v>3.78E-2</v>
      </c>
    </row>
    <row r="2281" spans="1:10" x14ac:dyDescent="0.25">
      <c r="A2281" s="5" t="s">
        <v>934</v>
      </c>
      <c r="B2281" s="5" t="s">
        <v>4148</v>
      </c>
      <c r="C2281" s="6" t="str">
        <f>_xll.QS.CONTEXT.CREATE("market.2279",A2281,"USD","SOFR")</f>
        <v>QSObject:PricingContext:w1~market.2279:17911</v>
      </c>
      <c r="D2281" s="6" t="str">
        <f>_xll.QS.CONTEXT.ADD.CURVE(C2281,"SOFR",$K$2:$K$7,$L$2:$L$7,,,"Actual360","LogLinear",TRUE)</f>
        <v>QSObject:ContextInput:w1~input.qs_context_add_curve.2359132437744.2280.3.0:38019</v>
      </c>
      <c r="E2281" s="6" t="str">
        <f>_xll.QS.INSTRUMENT.SWAP("swap.2279",H2281,B2281,"USD","SOFR",I2281,J2281,0,"Actual360","Simple","Annual","Annual","Annual")</f>
        <v>QSObject:Swap:w1~swap.2279:17910</v>
      </c>
      <c r="F2281" s="6" t="str">
        <f>_xll.QS.TRADE.CREATE("trade.2279",E2281,A2281,"Receive")</f>
        <v>QSObject:SwapTrade:w1~trade.2279:29754</v>
      </c>
      <c r="G2281" s="3">
        <f>_xll.QS.EVALUATE(C2281,F2281)</f>
        <v>33288.768806604741</v>
      </c>
      <c r="H2281" s="5" t="s">
        <v>948</v>
      </c>
      <c r="I2281" s="7">
        <v>1227900</v>
      </c>
      <c r="J2281" s="8">
        <v>3.7900000000000003E-2</v>
      </c>
    </row>
    <row r="2282" spans="1:10" x14ac:dyDescent="0.25">
      <c r="A2282" s="5" t="s">
        <v>936</v>
      </c>
      <c r="B2282" s="5" t="s">
        <v>4149</v>
      </c>
      <c r="C2282" s="6" t="str">
        <f>_xll.QS.CONTEXT.CREATE("market.2280",A2282,"USD","SOFR")</f>
        <v>QSObject:PricingContext:w1~market.2280:17909</v>
      </c>
      <c r="D2282" s="6" t="str">
        <f>_xll.QS.CONTEXT.ADD.CURVE(C2282,"SOFR",$K$2:$K$7,$L$2:$L$7,,,"Actual360","LogLinear",TRUE)</f>
        <v>QSObject:ContextInput:w1~input.qs_context_add_curve.2359132437744.2281.3.0:38018</v>
      </c>
      <c r="E2282" s="6" t="str">
        <f>_xll.QS.INSTRUMENT.SWAP("swap.2280",H2282,B2282,"USD","SOFR",I2282,J2282,0,"Actual360","Simple","Annual","Annual","Annual")</f>
        <v>QSObject:Swap:w1~swap.2280:17908</v>
      </c>
      <c r="F2282" s="6" t="str">
        <f>_xll.QS.TRADE.CREATE("trade.2280",E2282,A2282,"Receive")</f>
        <v>QSObject:SwapTrade:w1~trade.2280:29753</v>
      </c>
      <c r="G2282" s="3">
        <f>_xll.QS.EVALUATE(C2282,F2282)</f>
        <v>33829.665909687377</v>
      </c>
      <c r="H2282" s="5" t="s">
        <v>950</v>
      </c>
      <c r="I2282" s="7">
        <v>1228000</v>
      </c>
      <c r="J2282" s="8">
        <v>3.8000000000000013E-2</v>
      </c>
    </row>
    <row r="2283" spans="1:10" x14ac:dyDescent="0.25">
      <c r="A2283" s="5" t="s">
        <v>938</v>
      </c>
      <c r="B2283" s="5" t="s">
        <v>4150</v>
      </c>
      <c r="C2283" s="6" t="str">
        <f>_xll.QS.CONTEXT.CREATE("market.2281",A2283,"USD","SOFR")</f>
        <v>QSObject:PricingContext:w1~market.2281:17907</v>
      </c>
      <c r="D2283" s="6" t="str">
        <f>_xll.QS.CONTEXT.ADD.CURVE(C2283,"SOFR",$K$2:$K$7,$L$2:$L$7,,,"Actual360","LogLinear",TRUE)</f>
        <v>QSObject:ContextInput:w1~input.qs_context_add_curve.2359132437744.2282.3.0:38017</v>
      </c>
      <c r="E2283" s="6" t="str">
        <f>_xll.QS.INSTRUMENT.SWAP("swap.2281",H2283,B2283,"USD","SOFR",I2283,J2283,0,"Actual360","Simple","Annual","Annual","Annual")</f>
        <v>QSObject:Swap:w1~swap.2281:17906</v>
      </c>
      <c r="F2283" s="6" t="str">
        <f>_xll.QS.TRADE.CREATE("trade.2281",E2283,A2283,"Receive")</f>
        <v>QSObject:SwapTrade:w1~trade.2281:29752</v>
      </c>
      <c r="G2283" s="3">
        <f>_xll.QS.EVALUATE(C2283,F2283)</f>
        <v>34312.04170037523</v>
      </c>
      <c r="H2283" s="5" t="s">
        <v>952</v>
      </c>
      <c r="I2283" s="7">
        <v>1228100</v>
      </c>
      <c r="J2283" s="8">
        <v>3.8100000000000002E-2</v>
      </c>
    </row>
    <row r="2284" spans="1:10" x14ac:dyDescent="0.25">
      <c r="A2284" s="5" t="s">
        <v>940</v>
      </c>
      <c r="B2284" s="5" t="s">
        <v>4151</v>
      </c>
      <c r="C2284" s="6" t="str">
        <f>_xll.QS.CONTEXT.CREATE("market.2282",A2284,"USD","SOFR")</f>
        <v>QSObject:PricingContext:w1~market.2282:17905</v>
      </c>
      <c r="D2284" s="6" t="str">
        <f>_xll.QS.CONTEXT.ADD.CURVE(C2284,"SOFR",$K$2:$K$7,$L$2:$L$7,,,"Actual360","LogLinear",TRUE)</f>
        <v>QSObject:ContextInput:w1~input.qs_context_add_curve.2359132437744.2283.3.0:38016</v>
      </c>
      <c r="E2284" s="6" t="str">
        <f>_xll.QS.INSTRUMENT.SWAP("swap.2282",H2284,B2284,"USD","SOFR",I2284,J2284,0,"Actual360","Simple","Annual","Annual","Annual")</f>
        <v>QSObject:Swap:w1~swap.2282:17904</v>
      </c>
      <c r="F2284" s="6" t="str">
        <f>_xll.QS.TRADE.CREATE("trade.2282",E2284,A2284,"Receive")</f>
        <v>QSObject:SwapTrade:w1~trade.2282:29751</v>
      </c>
      <c r="G2284" s="3">
        <f>_xll.QS.EVALUATE(C2284,F2284)</f>
        <v>34933.372363518065</v>
      </c>
      <c r="H2284" s="5" t="s">
        <v>954</v>
      </c>
      <c r="I2284" s="7">
        <v>1228200</v>
      </c>
      <c r="J2284" s="8">
        <v>3.8199999999999998E-2</v>
      </c>
    </row>
    <row r="2285" spans="1:10" x14ac:dyDescent="0.25">
      <c r="A2285" s="5" t="s">
        <v>942</v>
      </c>
      <c r="B2285" s="5" t="s">
        <v>4152</v>
      </c>
      <c r="C2285" s="6" t="str">
        <f>_xll.QS.CONTEXT.CREATE("market.2283",A2285,"USD","SOFR")</f>
        <v>QSObject:PricingContext:w1~market.2283:17903</v>
      </c>
      <c r="D2285" s="6" t="str">
        <f>_xll.QS.CONTEXT.ADD.CURVE(C2285,"SOFR",$K$2:$K$7,$L$2:$L$7,,,"Actual360","LogLinear",TRUE)</f>
        <v>QSObject:ContextInput:w1~input.qs_context_add_curve.2359132437744.2284.3.0:38015</v>
      </c>
      <c r="E2285" s="6" t="str">
        <f>_xll.QS.INSTRUMENT.SWAP("swap.2283",H2285,B2285,"USD","SOFR",I2285,J2285,0,"Actual360","Simple","Annual","Annual","Annual")</f>
        <v>QSObject:Swap:w1~swap.2283:17902</v>
      </c>
      <c r="F2285" s="6" t="str">
        <f>_xll.QS.TRADE.CREATE("trade.2283",E2285,A2285,"Receive")</f>
        <v>QSObject:SwapTrade:w1~trade.2283:29750</v>
      </c>
      <c r="G2285" s="3">
        <f>_xll.QS.EVALUATE(C2285,F2285)</f>
        <v>35532.594487532064</v>
      </c>
      <c r="H2285" s="5" t="s">
        <v>956</v>
      </c>
      <c r="I2285" s="7">
        <v>1228300</v>
      </c>
      <c r="J2285" s="8">
        <v>3.8300000000000001E-2</v>
      </c>
    </row>
    <row r="2286" spans="1:10" x14ac:dyDescent="0.25">
      <c r="A2286" s="5" t="s">
        <v>944</v>
      </c>
      <c r="B2286" s="5" t="s">
        <v>4153</v>
      </c>
      <c r="C2286" s="6" t="str">
        <f>_xll.QS.CONTEXT.CREATE("market.2284",A2286,"USD","SOFR")</f>
        <v>QSObject:PricingContext:w1~market.2284:17901</v>
      </c>
      <c r="D2286" s="6" t="str">
        <f>_xll.QS.CONTEXT.ADD.CURVE(C2286,"SOFR",$K$2:$K$7,$L$2:$L$7,,,"Actual360","LogLinear",TRUE)</f>
        <v>QSObject:ContextInput:w1~input.qs_context_add_curve.2359132437744.2285.3.0:38014</v>
      </c>
      <c r="E2286" s="6" t="str">
        <f>_xll.QS.INSTRUMENT.SWAP("swap.2284",H2286,B2286,"USD","SOFR",I2286,J2286,0,"Actual360","Simple","Annual","Annual","Annual")</f>
        <v>QSObject:Swap:w1~swap.2284:17900</v>
      </c>
      <c r="F2286" s="6" t="str">
        <f>_xll.QS.TRADE.CREATE("trade.2284",E2286,A2286,"Receive")</f>
        <v>QSObject:SwapTrade:w1~trade.2284:29749</v>
      </c>
      <c r="G2286" s="3">
        <f>_xll.QS.EVALUATE(C2286,F2286)</f>
        <v>36248.091664643827</v>
      </c>
      <c r="H2286" s="5" t="s">
        <v>958</v>
      </c>
      <c r="I2286" s="7">
        <v>1228400</v>
      </c>
      <c r="J2286" s="8">
        <v>3.8399999999999997E-2</v>
      </c>
    </row>
    <row r="2287" spans="1:10" x14ac:dyDescent="0.25">
      <c r="A2287" s="5" t="s">
        <v>946</v>
      </c>
      <c r="B2287" s="5" t="s">
        <v>4154</v>
      </c>
      <c r="C2287" s="6" t="str">
        <f>_xll.QS.CONTEXT.CREATE("market.2285",A2287,"USD","SOFR")</f>
        <v>QSObject:PricingContext:w1~market.2285:17899</v>
      </c>
      <c r="D2287" s="6" t="str">
        <f>_xll.QS.CONTEXT.ADD.CURVE(C2287,"SOFR",$K$2:$K$7,$L$2:$L$7,,,"Actual360","LogLinear",TRUE)</f>
        <v>QSObject:ContextInput:w1~input.qs_context_add_curve.2359132437744.2286.3.0:38013</v>
      </c>
      <c r="E2287" s="6" t="str">
        <f>_xll.QS.INSTRUMENT.SWAP("swap.2285",H2287,B2287,"USD","SOFR",I2287,J2287,0,"Actual360","Simple","Annual","Annual","Annual")</f>
        <v>QSObject:Swap:w1~swap.2285:17898</v>
      </c>
      <c r="F2287" s="6" t="str">
        <f>_xll.QS.TRADE.CREATE("trade.2285",E2287,A2287,"Receive")</f>
        <v>QSObject:SwapTrade:w1~trade.2285:29748</v>
      </c>
      <c r="G2287" s="3">
        <f>_xll.QS.EVALUATE(C2287,F2287)</f>
        <v>36816.271956756776</v>
      </c>
      <c r="H2287" s="5" t="s">
        <v>960</v>
      </c>
      <c r="I2287" s="7">
        <v>1228500</v>
      </c>
      <c r="J2287" s="8">
        <v>3.8500000000000013E-2</v>
      </c>
    </row>
    <row r="2288" spans="1:10" x14ac:dyDescent="0.25">
      <c r="A2288" s="5" t="s">
        <v>948</v>
      </c>
      <c r="B2288" s="5" t="s">
        <v>4155</v>
      </c>
      <c r="C2288" s="6" t="str">
        <f>_xll.QS.CONTEXT.CREATE("market.2286",A2288,"USD","SOFR")</f>
        <v>QSObject:PricingContext:w1~market.2286:17897</v>
      </c>
      <c r="D2288" s="6" t="str">
        <f>_xll.QS.CONTEXT.ADD.CURVE(C2288,"SOFR",$K$2:$K$7,$L$2:$L$7,,,"Actual360","LogLinear",TRUE)</f>
        <v>QSObject:ContextInput:w1~input.qs_context_add_curve.2359132437744.2287.3.0:38012</v>
      </c>
      <c r="E2288" s="6" t="str">
        <f>_xll.QS.INSTRUMENT.SWAP("swap.2286",H2288,B2288,"USD","SOFR",I2288,J2288,0,"Actual360","Simple","Annual","Annual","Annual")</f>
        <v>QSObject:Swap:w1~swap.2286:17896</v>
      </c>
      <c r="F2288" s="6" t="str">
        <f>_xll.QS.TRADE.CREATE("trade.2286",E2288,A2288,"Receive")</f>
        <v>QSObject:SwapTrade:w1~trade.2286:29747</v>
      </c>
      <c r="G2288" s="3">
        <f>_xll.QS.EVALUATE(C2288,F2288)</f>
        <v>37336.970804581775</v>
      </c>
      <c r="H2288" s="5" t="s">
        <v>962</v>
      </c>
      <c r="I2288" s="7">
        <v>1228600</v>
      </c>
      <c r="J2288" s="8">
        <v>3.8600000000000002E-2</v>
      </c>
    </row>
    <row r="2289" spans="1:10" x14ac:dyDescent="0.25">
      <c r="A2289" s="5" t="s">
        <v>950</v>
      </c>
      <c r="B2289" s="5" t="s">
        <v>4156</v>
      </c>
      <c r="C2289" s="6" t="str">
        <f>_xll.QS.CONTEXT.CREATE("market.2287",A2289,"USD","SOFR")</f>
        <v>QSObject:PricingContext:w1~market.2287:17895</v>
      </c>
      <c r="D2289" s="6" t="str">
        <f>_xll.QS.CONTEXT.ADD.CURVE(C2289,"SOFR",$K$2:$K$7,$L$2:$L$7,,,"Actual360","LogLinear",TRUE)</f>
        <v>QSObject:ContextInput:w1~input.qs_context_add_curve.2359132437744.2288.3.0:38011</v>
      </c>
      <c r="E2289" s="6" t="str">
        <f>_xll.QS.INSTRUMENT.SWAP("swap.2287",H2289,B2289,"USD","SOFR",I2289,J2289,0,"Actual360","Simple","Annual","Annual","Annual")</f>
        <v>QSObject:Swap:w1~swap.2287:17894</v>
      </c>
      <c r="F2289" s="6" t="str">
        <f>_xll.QS.TRADE.CREATE("trade.2287",E2289,A2289,"Receive")</f>
        <v>QSObject:SwapTrade:w1~trade.2287:29746</v>
      </c>
      <c r="G2289" s="3">
        <f>_xll.QS.EVALUATE(C2289,F2289)</f>
        <v>37726.32080382773</v>
      </c>
      <c r="H2289" s="5" t="s">
        <v>964</v>
      </c>
      <c r="I2289" s="7">
        <v>1228700</v>
      </c>
      <c r="J2289" s="8">
        <v>3.8700000000000012E-2</v>
      </c>
    </row>
    <row r="2290" spans="1:10" x14ac:dyDescent="0.25">
      <c r="A2290" s="5" t="s">
        <v>952</v>
      </c>
      <c r="B2290" s="5" t="s">
        <v>4157</v>
      </c>
      <c r="C2290" s="6" t="str">
        <f>_xll.QS.CONTEXT.CREATE("market.2288",A2290,"USD","SOFR")</f>
        <v>QSObject:PricingContext:w1~market.2288:17893</v>
      </c>
      <c r="D2290" s="6" t="str">
        <f>_xll.QS.CONTEXT.ADD.CURVE(C2290,"SOFR",$K$2:$K$7,$L$2:$L$7,,,"Actual360","LogLinear",TRUE)</f>
        <v>QSObject:ContextInput:w1~input.qs_context_add_curve.2359132437744.2289.3.0:38010</v>
      </c>
      <c r="E2290" s="6" t="str">
        <f>_xll.QS.INSTRUMENT.SWAP("swap.2288",H2290,B2290,"USD","SOFR",I2290,J2290,0,"Actual360","Simple","Annual","Annual","Annual")</f>
        <v>QSObject:Swap:w1~swap.2288:17892</v>
      </c>
      <c r="F2290" s="6" t="str">
        <f>_xll.QS.TRADE.CREATE("trade.2288",E2290,A2290,"Receive")</f>
        <v>QSObject:SwapTrade:w1~trade.2288:29745</v>
      </c>
      <c r="G2290" s="3">
        <f>_xll.QS.EVALUATE(C2290,F2290)</f>
        <v>38299.193270410557</v>
      </c>
      <c r="H2290" s="5" t="s">
        <v>966</v>
      </c>
      <c r="I2290" s="7">
        <v>1228800</v>
      </c>
      <c r="J2290" s="8">
        <v>3.8800000000000001E-2</v>
      </c>
    </row>
    <row r="2291" spans="1:10" x14ac:dyDescent="0.25">
      <c r="A2291" s="5" t="s">
        <v>954</v>
      </c>
      <c r="B2291" s="5" t="s">
        <v>4158</v>
      </c>
      <c r="C2291" s="6" t="str">
        <f>_xll.QS.CONTEXT.CREATE("market.2289",A2291,"USD","SOFR")</f>
        <v>QSObject:PricingContext:w1~market.2289:17891</v>
      </c>
      <c r="D2291" s="6" t="str">
        <f>_xll.QS.CONTEXT.ADD.CURVE(C2291,"SOFR",$K$2:$K$7,$L$2:$L$7,,,"Actual360","LogLinear",TRUE)</f>
        <v>QSObject:ContextInput:w1~input.qs_context_add_curve.2359132437744.2290.3.0:38009</v>
      </c>
      <c r="E2291" s="6" t="str">
        <f>_xll.QS.INSTRUMENT.SWAP("swap.2289",H2291,B2291,"USD","SOFR",I2291,J2291,0,"Actual360","Simple","Annual","Annual","Annual")</f>
        <v>QSObject:Swap:w1~swap.2289:17890</v>
      </c>
      <c r="F2291" s="6" t="str">
        <f>_xll.QS.TRADE.CREATE("trade.2289",E2291,A2291,"Receive")</f>
        <v>QSObject:SwapTrade:w1~trade.2289:29744</v>
      </c>
      <c r="G2291" s="3">
        <f>_xll.QS.EVALUATE(C2291,F2291)</f>
        <v>38922.747801024751</v>
      </c>
      <c r="H2291" s="5" t="s">
        <v>968</v>
      </c>
      <c r="I2291" s="7">
        <v>1228900</v>
      </c>
      <c r="J2291" s="8">
        <v>3.8899999999999997E-2</v>
      </c>
    </row>
    <row r="2292" spans="1:10" x14ac:dyDescent="0.25">
      <c r="A2292" s="5" t="s">
        <v>956</v>
      </c>
      <c r="B2292" s="5" t="s">
        <v>4159</v>
      </c>
      <c r="C2292" s="6" t="str">
        <f>_xll.QS.CONTEXT.CREATE("market.2290",A2292,"USD","SOFR")</f>
        <v>QSObject:PricingContext:w1~market.2290:17889</v>
      </c>
      <c r="D2292" s="6" t="str">
        <f>_xll.QS.CONTEXT.ADD.CURVE(C2292,"SOFR",$K$2:$K$7,$L$2:$L$7,,,"Actual360","LogLinear",TRUE)</f>
        <v>QSObject:ContextInput:w1~input.qs_context_add_curve.2359132437744.2291.3.0:38008</v>
      </c>
      <c r="E2292" s="6" t="str">
        <f>_xll.QS.INSTRUMENT.SWAP("swap.2290",H2292,B2292,"USD","SOFR",I2292,J2292,0,"Actual360","Simple","Annual","Annual","Annual")</f>
        <v>QSObject:Swap:w1~swap.2290:17888</v>
      </c>
      <c r="F2292" s="6" t="str">
        <f>_xll.QS.TRADE.CREATE("trade.2290",E2292,A2292,"Receive")</f>
        <v>QSObject:SwapTrade:w1~trade.2290:29743</v>
      </c>
      <c r="G2292" s="3">
        <f>_xll.QS.EVALUATE(C2292,F2292)</f>
        <v>39656.002481474694</v>
      </c>
      <c r="H2292" s="5" t="s">
        <v>970</v>
      </c>
      <c r="I2292" s="7">
        <v>1229000</v>
      </c>
      <c r="J2292" s="8">
        <v>3.9000000000000007E-2</v>
      </c>
    </row>
    <row r="2293" spans="1:10" x14ac:dyDescent="0.25">
      <c r="A2293" s="5" t="s">
        <v>958</v>
      </c>
      <c r="B2293" s="5" t="s">
        <v>4160</v>
      </c>
      <c r="C2293" s="6" t="str">
        <f>_xll.QS.CONTEXT.CREATE("market.2291",A2293,"USD","SOFR")</f>
        <v>QSObject:PricingContext:w1~market.2291:17887</v>
      </c>
      <c r="D2293" s="6" t="str">
        <f>_xll.QS.CONTEXT.ADD.CURVE(C2293,"SOFR",$K$2:$K$7,$L$2:$L$7,,,"Actual360","LogLinear",TRUE)</f>
        <v>QSObject:ContextInput:w1~input.qs_context_add_curve.2359132437744.2292.3.0:38007</v>
      </c>
      <c r="E2293" s="6" t="str">
        <f>_xll.QS.INSTRUMENT.SWAP("swap.2291",H2293,B2293,"USD","SOFR",I2293,J2293,0,"Actual360","Simple","Annual","Annual","Annual")</f>
        <v>QSObject:Swap:w1~swap.2291:17886</v>
      </c>
      <c r="F2293" s="6" t="str">
        <f>_xll.QS.TRADE.CREATE("trade.2291",E2293,A2293,"Receive")</f>
        <v>QSObject:SwapTrade:w1~trade.2291:29742</v>
      </c>
      <c r="G2293" s="3">
        <f>_xll.QS.EVALUATE(C2293,F2293)</f>
        <v>40225.29451126972</v>
      </c>
      <c r="H2293" s="5" t="s">
        <v>972</v>
      </c>
      <c r="I2293" s="7">
        <v>1229100</v>
      </c>
      <c r="J2293" s="8">
        <v>3.9100000000000003E-2</v>
      </c>
    </row>
    <row r="2294" spans="1:10" x14ac:dyDescent="0.25">
      <c r="A2294" s="5" t="s">
        <v>960</v>
      </c>
      <c r="B2294" s="5" t="s">
        <v>4161</v>
      </c>
      <c r="C2294" s="6" t="str">
        <f>_xll.QS.CONTEXT.CREATE("market.2292",A2294,"USD","SOFR")</f>
        <v>QSObject:PricingContext:w1~market.2292:17885</v>
      </c>
      <c r="D2294" s="6" t="str">
        <f>_xll.QS.CONTEXT.ADD.CURVE(C2294,"SOFR",$K$2:$K$7,$L$2:$L$7,,,"Actual360","LogLinear",TRUE)</f>
        <v>QSObject:ContextInput:w1~input.qs_context_add_curve.2359132437744.2293.3.0:38006</v>
      </c>
      <c r="E2294" s="6" t="str">
        <f>_xll.QS.INSTRUMENT.SWAP("swap.2292",H2294,B2294,"USD","SOFR",I2294,J2294,0,"Actual360","Simple","Annual","Annual","Annual")</f>
        <v>QSObject:Swap:w1~swap.2292:17884</v>
      </c>
      <c r="F2294" s="6" t="str">
        <f>_xll.QS.TRADE.CREATE("trade.2292",E2294,A2294,"Receive")</f>
        <v>QSObject:SwapTrade:w1~trade.2292:29741</v>
      </c>
      <c r="G2294" s="3">
        <f>_xll.QS.EVALUATE(C2294,F2294)</f>
        <v>40803.798331727085</v>
      </c>
      <c r="H2294" s="5" t="s">
        <v>974</v>
      </c>
      <c r="I2294" s="7">
        <v>1229200</v>
      </c>
      <c r="J2294" s="8">
        <v>3.9200000000000013E-2</v>
      </c>
    </row>
    <row r="2295" spans="1:10" x14ac:dyDescent="0.25">
      <c r="A2295" s="5" t="s">
        <v>962</v>
      </c>
      <c r="B2295" s="5" t="s">
        <v>4162</v>
      </c>
      <c r="C2295" s="6" t="str">
        <f>_xll.QS.CONTEXT.CREATE("market.2293",A2295,"USD","SOFR")</f>
        <v>QSObject:PricingContext:w1~market.2293:17883</v>
      </c>
      <c r="D2295" s="6" t="str">
        <f>_xll.QS.CONTEXT.ADD.CURVE(C2295,"SOFR",$K$2:$K$7,$L$2:$L$7,,,"Actual360","LogLinear",TRUE)</f>
        <v>QSObject:ContextInput:w1~input.qs_context_add_curve.2359132437744.2294.3.0:38005</v>
      </c>
      <c r="E2295" s="6" t="str">
        <f>_xll.QS.INSTRUMENT.SWAP("swap.2293",H2295,B2295,"USD","SOFR",I2295,J2295,0,"Actual360","Simple","Annual","Annual","Annual")</f>
        <v>QSObject:Swap:w1~swap.2293:17882</v>
      </c>
      <c r="F2295" s="6" t="str">
        <f>_xll.QS.TRADE.CREATE("trade.2293",E2295,A2295,"Receive")</f>
        <v>QSObject:SwapTrade:w1~trade.2293:29740</v>
      </c>
      <c r="G2295" s="3">
        <f>_xll.QS.EVALUATE(C2295,F2295)</f>
        <v>41326.513695870017</v>
      </c>
      <c r="H2295" s="5" t="s">
        <v>976</v>
      </c>
      <c r="I2295" s="7">
        <v>1229300</v>
      </c>
      <c r="J2295" s="8">
        <v>3.9300000000000002E-2</v>
      </c>
    </row>
    <row r="2296" spans="1:10" x14ac:dyDescent="0.25">
      <c r="A2296" s="5" t="s">
        <v>964</v>
      </c>
      <c r="B2296" s="5" t="s">
        <v>4163</v>
      </c>
      <c r="C2296" s="6" t="str">
        <f>_xll.QS.CONTEXT.CREATE("market.2294",A2296,"USD","SOFR")</f>
        <v>QSObject:PricingContext:w1~market.2294:17881</v>
      </c>
      <c r="D2296" s="6" t="str">
        <f>_xll.QS.CONTEXT.ADD.CURVE(C2296,"SOFR",$K$2:$K$7,$L$2:$L$7,,,"Actual360","LogLinear",TRUE)</f>
        <v>QSObject:ContextInput:w1~input.qs_context_add_curve.2359132437744.2295.3.0:38004</v>
      </c>
      <c r="E2296" s="6" t="str">
        <f>_xll.QS.INSTRUMENT.SWAP("swap.2294",H2296,B2296,"USD","SOFR",I2296,J2296,0,"Actual360","Simple","Annual","Annual","Annual")</f>
        <v>QSObject:Swap:w1~swap.2294:17880</v>
      </c>
      <c r="F2296" s="6" t="str">
        <f>_xll.QS.TRADE.CREATE("trade.2294",E2296,A2296,"Receive")</f>
        <v>QSObject:SwapTrade:w1~trade.2294:29739</v>
      </c>
      <c r="G2296" s="3">
        <f>_xll.QS.EVALUATE(C2296,F2296)</f>
        <v>41795.64807840241</v>
      </c>
      <c r="H2296" s="5" t="s">
        <v>978</v>
      </c>
      <c r="I2296" s="7">
        <v>1229400</v>
      </c>
      <c r="J2296" s="8">
        <v>3.9399999999999998E-2</v>
      </c>
    </row>
    <row r="2297" spans="1:10" x14ac:dyDescent="0.25">
      <c r="A2297" s="5" t="s">
        <v>966</v>
      </c>
      <c r="B2297" s="5" t="s">
        <v>4164</v>
      </c>
      <c r="C2297" s="6" t="str">
        <f>_xll.QS.CONTEXT.CREATE("market.2295",A2297,"USD","SOFR")</f>
        <v>QSObject:PricingContext:w1~market.2295:17879</v>
      </c>
      <c r="D2297" s="6" t="str">
        <f>_xll.QS.CONTEXT.ADD.CURVE(C2297,"SOFR",$K$2:$K$7,$L$2:$L$7,,,"Actual360","LogLinear",TRUE)</f>
        <v>QSObject:ContextInput:w1~input.qs_context_add_curve.2359132437744.2296.3.0:38003</v>
      </c>
      <c r="E2297" s="6" t="str">
        <f>_xll.QS.INSTRUMENT.SWAP("swap.2295",H2297,B2297,"USD","SOFR",I2297,J2297,0,"Actual360","Simple","Annual","Annual","Annual")</f>
        <v>QSObject:Swap:w1~swap.2295:17878</v>
      </c>
      <c r="F2297" s="6" t="str">
        <f>_xll.QS.TRADE.CREATE("trade.2295",E2297,A2297,"Receive")</f>
        <v>QSObject:SwapTrade:w1~trade.2295:29738</v>
      </c>
      <c r="G2297" s="3">
        <f>_xll.QS.EVALUATE(C2297,F2297)</f>
        <v>42291.347292986058</v>
      </c>
      <c r="H2297" s="5" t="s">
        <v>980</v>
      </c>
      <c r="I2297" s="7">
        <v>1229500</v>
      </c>
      <c r="J2297" s="8">
        <v>3.9500000000000007E-2</v>
      </c>
    </row>
    <row r="2298" spans="1:10" x14ac:dyDescent="0.25">
      <c r="A2298" s="5" t="s">
        <v>968</v>
      </c>
      <c r="B2298" s="5" t="s">
        <v>4165</v>
      </c>
      <c r="C2298" s="6" t="str">
        <f>_xll.QS.CONTEXT.CREATE("market.2296",A2298,"USD","SOFR")</f>
        <v>QSObject:PricingContext:w1~market.2296:17877</v>
      </c>
      <c r="D2298" s="6" t="str">
        <f>_xll.QS.CONTEXT.ADD.CURVE(C2298,"SOFR",$K$2:$K$7,$L$2:$L$7,,,"Actual360","LogLinear",TRUE)</f>
        <v>QSObject:ContextInput:w1~input.qs_context_add_curve.2359132437744.2297.3.0:38002</v>
      </c>
      <c r="E2298" s="6" t="str">
        <f>_xll.QS.INSTRUMENT.SWAP("swap.2296",H2298,B2298,"USD","SOFR",I2298,J2298,0,"Actual360","Simple","Annual","Annual","Annual")</f>
        <v>QSObject:Swap:w1~swap.2296:17876</v>
      </c>
      <c r="F2298" s="6" t="str">
        <f>_xll.QS.TRADE.CREATE("trade.2296",E2298,A2298,"Receive")</f>
        <v>QSObject:SwapTrade:w1~trade.2296:29737</v>
      </c>
      <c r="G2298" s="3">
        <f>_xll.QS.EVALUATE(C2298,F2298)</f>
        <v>42915.151864180632</v>
      </c>
      <c r="H2298" s="5" t="s">
        <v>982</v>
      </c>
      <c r="I2298" s="7">
        <v>1229600</v>
      </c>
      <c r="J2298" s="8">
        <v>3.9600000000000003E-2</v>
      </c>
    </row>
    <row r="2299" spans="1:10" x14ac:dyDescent="0.25">
      <c r="A2299" s="5" t="s">
        <v>970</v>
      </c>
      <c r="B2299" s="5" t="s">
        <v>4166</v>
      </c>
      <c r="C2299" s="6" t="str">
        <f>_xll.QS.CONTEXT.CREATE("market.2297",A2299,"USD","SOFR")</f>
        <v>QSObject:PricingContext:w1~market.2297:17875</v>
      </c>
      <c r="D2299" s="6" t="str">
        <f>_xll.QS.CONTEXT.ADD.CURVE(C2299,"SOFR",$K$2:$K$7,$L$2:$L$7,,,"Actual360","LogLinear",TRUE)</f>
        <v>QSObject:ContextInput:w1~input.qs_context_add_curve.2359132437744.2298.3.0:38001</v>
      </c>
      <c r="E2299" s="6" t="str">
        <f>_xll.QS.INSTRUMENT.SWAP("swap.2297",H2299,B2299,"USD","SOFR",I2299,J2299,0,"Actual360","Simple","Annual","Annual","Annual")</f>
        <v>QSObject:Swap:w1~swap.2297:17874</v>
      </c>
      <c r="F2299" s="6" t="str">
        <f>_xll.QS.TRADE.CREATE("trade.2297",E2299,A2299,"Receive")</f>
        <v>QSObject:SwapTrade:w1~trade.2297:29736</v>
      </c>
      <c r="G2299" s="3">
        <f>_xll.QS.EVALUATE(C2299,F2299)</f>
        <v>43511.856051450057</v>
      </c>
      <c r="H2299" s="5" t="s">
        <v>984</v>
      </c>
      <c r="I2299" s="7">
        <v>1229700</v>
      </c>
      <c r="J2299" s="8">
        <v>3.9700000000000013E-2</v>
      </c>
    </row>
    <row r="2300" spans="1:10" x14ac:dyDescent="0.25">
      <c r="A2300" s="5" t="s">
        <v>972</v>
      </c>
      <c r="B2300" s="5" t="s">
        <v>4167</v>
      </c>
      <c r="C2300" s="6" t="str">
        <f>_xll.QS.CONTEXT.CREATE("market.2298",A2300,"USD","SOFR")</f>
        <v>QSObject:PricingContext:w1~market.2298:17873</v>
      </c>
      <c r="D2300" s="6" t="str">
        <f>_xll.QS.CONTEXT.ADD.CURVE(C2300,"SOFR",$K$2:$K$7,$L$2:$L$7,,,"Actual360","LogLinear",TRUE)</f>
        <v>QSObject:ContextInput:w1~input.qs_context_add_curve.2359132437744.2299.3.0:38000</v>
      </c>
      <c r="E2300" s="6" t="str">
        <f>_xll.QS.INSTRUMENT.SWAP("swap.2298",H2300,B2300,"USD","SOFR",I2300,J2300,0,"Actual360","Simple","Annual","Annual","Annual")</f>
        <v>QSObject:Swap:w1~swap.2298:17872</v>
      </c>
      <c r="F2300" s="6" t="str">
        <f>_xll.QS.TRADE.CREATE("trade.2298",E2300,A2300,"Receive")</f>
        <v>QSObject:SwapTrade:w1~trade.2298:29735</v>
      </c>
      <c r="G2300" s="3">
        <f>_xll.QS.EVALUATE(C2300,F2300)</f>
        <v>44172.524487845403</v>
      </c>
      <c r="H2300" s="5" t="s">
        <v>986</v>
      </c>
      <c r="I2300" s="7">
        <v>1229800</v>
      </c>
      <c r="J2300" s="8">
        <v>3.9800000000000002E-2</v>
      </c>
    </row>
    <row r="2301" spans="1:10" x14ac:dyDescent="0.25">
      <c r="A2301" s="5" t="s">
        <v>974</v>
      </c>
      <c r="B2301" s="5" t="s">
        <v>4168</v>
      </c>
      <c r="C2301" s="6" t="str">
        <f>_xll.QS.CONTEXT.CREATE("market.2299",A2301,"USD","SOFR")</f>
        <v>QSObject:PricingContext:w1~market.2299:17871</v>
      </c>
      <c r="D2301" s="6" t="str">
        <f>_xll.QS.CONTEXT.ADD.CURVE(C2301,"SOFR",$K$2:$K$7,$L$2:$L$7,,,"Actual360","LogLinear",TRUE)</f>
        <v>QSObject:ContextInput:w1~input.qs_context_add_curve.2359132437744.2300.3.0:37999</v>
      </c>
      <c r="E2301" s="6" t="str">
        <f>_xll.QS.INSTRUMENT.SWAP("swap.2299",H2301,B2301,"USD","SOFR",I2301,J2301,0,"Actual360","Simple","Annual","Annual","Annual")</f>
        <v>QSObject:Swap:w1~swap.2299:17870</v>
      </c>
      <c r="F2301" s="6" t="str">
        <f>_xll.QS.TRADE.CREATE("trade.2299",E2301,A2301,"Receive")</f>
        <v>QSObject:SwapTrade:w1~trade.2299:29734</v>
      </c>
      <c r="G2301" s="3">
        <f>_xll.QS.EVALUATE(C2301,F2301)</f>
        <v>44797.163757674462</v>
      </c>
      <c r="H2301" s="5" t="s">
        <v>988</v>
      </c>
      <c r="I2301" s="7">
        <v>1229900</v>
      </c>
      <c r="J2301" s="8">
        <v>3.9899999999999998E-2</v>
      </c>
    </row>
    <row r="2302" spans="1:10" x14ac:dyDescent="0.25">
      <c r="A2302" s="5" t="s">
        <v>976</v>
      </c>
      <c r="B2302" s="5" t="s">
        <v>4169</v>
      </c>
      <c r="C2302" s="6" t="str">
        <f>_xll.QS.CONTEXT.CREATE("market.2300",A2302,"USD","SOFR")</f>
        <v>QSObject:PricingContext:w1~market.2300:17869</v>
      </c>
      <c r="D2302" s="6" t="str">
        <f>_xll.QS.CONTEXT.ADD.CURVE(C2302,"SOFR",$K$2:$K$7,$L$2:$L$7,,,"Actual360","LogLinear",TRUE)</f>
        <v>QSObject:ContextInput:w1~input.qs_context_add_curve.2359132437744.2301.3.0:37998</v>
      </c>
      <c r="E2302" s="6" t="str">
        <f>_xll.QS.INSTRUMENT.SWAP("swap.2300",H2302,B2302,"USD","SOFR",I2302,J2302,0,"Actual360","Simple","Annual","Annual","Annual")</f>
        <v>QSObject:Swap:w1~swap.2300:17868</v>
      </c>
      <c r="F2302" s="6" t="str">
        <f>_xll.QS.TRADE.CREATE("trade.2300",E2302,A2302,"Receive")</f>
        <v>QSObject:SwapTrade:w1~trade.2300:29733</v>
      </c>
      <c r="G2302" s="3">
        <f>_xll.QS.EVALUATE(C2302,F2302)</f>
        <v>16960.395881312244</v>
      </c>
      <c r="H2302" s="5" t="s">
        <v>990</v>
      </c>
      <c r="I2302" s="7">
        <v>1230000</v>
      </c>
      <c r="J2302" s="8">
        <v>3.5000000000000003E-2</v>
      </c>
    </row>
    <row r="2303" spans="1:10" x14ac:dyDescent="0.25">
      <c r="A2303" s="5" t="s">
        <v>978</v>
      </c>
      <c r="B2303" s="5" t="s">
        <v>4170</v>
      </c>
      <c r="C2303" s="6" t="str">
        <f>_xll.QS.CONTEXT.CREATE("market.2301",A2303,"USD","SOFR")</f>
        <v>QSObject:PricingContext:w1~market.2301:17867</v>
      </c>
      <c r="D2303" s="6" t="str">
        <f>_xll.QS.CONTEXT.ADD.CURVE(C2303,"SOFR",$K$2:$K$7,$L$2:$L$7,,,"Actual360","LogLinear",TRUE)</f>
        <v>QSObject:ContextInput:w1~input.qs_context_add_curve.2359132437744.2302.3.0:37997</v>
      </c>
      <c r="E2303" s="6" t="str">
        <f>_xll.QS.INSTRUMENT.SWAP("swap.2301",H2303,B2303,"USD","SOFR",I2303,J2303,0,"Actual360","Simple","Annual","Annual","Annual")</f>
        <v>QSObject:Swap:w1~swap.2301:17866</v>
      </c>
      <c r="F2303" s="6" t="str">
        <f>_xll.QS.TRADE.CREATE("trade.2301",E2303,A2303,"Receive")</f>
        <v>QSObject:SwapTrade:w1~trade.2301:29732</v>
      </c>
      <c r="G2303" s="3">
        <f>_xll.QS.EVALUATE(C2303,F2303)</f>
        <v>17456.538385765736</v>
      </c>
      <c r="H2303" s="5" t="s">
        <v>992</v>
      </c>
      <c r="I2303" s="7">
        <v>1230100</v>
      </c>
      <c r="J2303" s="8">
        <v>3.5100000000000013E-2</v>
      </c>
    </row>
    <row r="2304" spans="1:10" x14ac:dyDescent="0.25">
      <c r="A2304" s="5" t="s">
        <v>980</v>
      </c>
      <c r="B2304" s="5" t="s">
        <v>4171</v>
      </c>
      <c r="C2304" s="6" t="str">
        <f>_xll.QS.CONTEXT.CREATE("market.2302",A2304,"USD","SOFR")</f>
        <v>QSObject:PricingContext:w1~market.2302:17865</v>
      </c>
      <c r="D2304" s="6" t="str">
        <f>_xll.QS.CONTEXT.ADD.CURVE(C2304,"SOFR",$K$2:$K$7,$L$2:$L$7,,,"Actual360","LogLinear",TRUE)</f>
        <v>QSObject:ContextInput:w1~input.qs_context_add_curve.2359132437744.2303.3.0:37996</v>
      </c>
      <c r="E2304" s="6" t="str">
        <f>_xll.QS.INSTRUMENT.SWAP("swap.2302",H2304,B2304,"USD","SOFR",I2304,J2304,0,"Actual360","Simple","Annual","Annual","Annual")</f>
        <v>QSObject:Swap:w1~swap.2302:17864</v>
      </c>
      <c r="F2304" s="6" t="str">
        <f>_xll.QS.TRADE.CREATE("trade.2302",E2304,A2304,"Receive")</f>
        <v>QSObject:SwapTrade:w1~trade.2302:29731</v>
      </c>
      <c r="G2304" s="3">
        <f>_xll.QS.EVALUATE(C2304,F2304)</f>
        <v>17912.895865255137</v>
      </c>
      <c r="H2304" s="5" t="s">
        <v>994</v>
      </c>
      <c r="I2304" s="7">
        <v>1230200</v>
      </c>
      <c r="J2304" s="8">
        <v>3.5200000000000002E-2</v>
      </c>
    </row>
    <row r="2305" spans="1:10" x14ac:dyDescent="0.25">
      <c r="A2305" s="5" t="s">
        <v>982</v>
      </c>
      <c r="B2305" s="5" t="s">
        <v>4172</v>
      </c>
      <c r="C2305" s="6" t="str">
        <f>_xll.QS.CONTEXT.CREATE("market.2303",A2305,"USD","SOFR")</f>
        <v>QSObject:PricingContext:w1~market.2303:17863</v>
      </c>
      <c r="D2305" s="6" t="str">
        <f>_xll.QS.CONTEXT.ADD.CURVE(C2305,"SOFR",$K$2:$K$7,$L$2:$L$7,,,"Actual360","LogLinear",TRUE)</f>
        <v>QSObject:ContextInput:w1~input.qs_context_add_curve.2359132437744.2304.3.0:37995</v>
      </c>
      <c r="E2305" s="6" t="str">
        <f>_xll.QS.INSTRUMENT.SWAP("swap.2303",H2305,B2305,"USD","SOFR",I2305,J2305,0,"Actual360","Simple","Annual","Annual","Annual")</f>
        <v>QSObject:Swap:w1~swap.2303:17862</v>
      </c>
      <c r="F2305" s="6" t="str">
        <f>_xll.QS.TRADE.CREATE("trade.2303",E2305,A2305,"Receive")</f>
        <v>QSObject:SwapTrade:w1~trade.2303:29730</v>
      </c>
      <c r="G2305" s="3">
        <f>_xll.QS.EVALUATE(C2305,F2305)</f>
        <v>18532.66609332215</v>
      </c>
      <c r="H2305" s="5" t="s">
        <v>996</v>
      </c>
      <c r="I2305" s="7">
        <v>1230300</v>
      </c>
      <c r="J2305" s="8">
        <v>3.5299999999999998E-2</v>
      </c>
    </row>
    <row r="2306" spans="1:10" x14ac:dyDescent="0.25">
      <c r="A2306" s="5" t="s">
        <v>984</v>
      </c>
      <c r="B2306" s="5" t="s">
        <v>4173</v>
      </c>
      <c r="C2306" s="6" t="str">
        <f>_xll.QS.CONTEXT.CREATE("market.2304",A2306,"USD","SOFR")</f>
        <v>QSObject:PricingContext:w1~market.2304:17861</v>
      </c>
      <c r="D2306" s="6" t="str">
        <f>_xll.QS.CONTEXT.ADD.CURVE(C2306,"SOFR",$K$2:$K$7,$L$2:$L$7,,,"Actual360","LogLinear",TRUE)</f>
        <v>QSObject:ContextInput:w1~input.qs_context_add_curve.2359132437744.2305.3.0:37994</v>
      </c>
      <c r="E2306" s="6" t="str">
        <f>_xll.QS.INSTRUMENT.SWAP("swap.2304",H2306,B2306,"USD","SOFR",I2306,J2306,0,"Actual360","Simple","Annual","Annual","Annual")</f>
        <v>QSObject:Swap:w1~swap.2304:17860</v>
      </c>
      <c r="F2306" s="6" t="str">
        <f>_xll.QS.TRADE.CREATE("trade.2304",E2306,A2306,"Receive")</f>
        <v>QSObject:SwapTrade:w1~trade.2304:29729</v>
      </c>
      <c r="G2306" s="3">
        <f>_xll.QS.EVALUATE(C2306,F2306)</f>
        <v>19139.537318070936</v>
      </c>
      <c r="H2306" s="5" t="s">
        <v>998</v>
      </c>
      <c r="I2306" s="7">
        <v>1230400</v>
      </c>
      <c r="J2306" s="8">
        <v>3.5400000000000001E-2</v>
      </c>
    </row>
    <row r="2307" spans="1:10" x14ac:dyDescent="0.25">
      <c r="A2307" s="5" t="s">
        <v>986</v>
      </c>
      <c r="B2307" s="5" t="s">
        <v>4174</v>
      </c>
      <c r="C2307" s="6" t="str">
        <f>_xll.QS.CONTEXT.CREATE("market.2305",A2307,"USD","SOFR")</f>
        <v>QSObject:PricingContext:w1~market.2305:17859</v>
      </c>
      <c r="D2307" s="6" t="str">
        <f>_xll.QS.CONTEXT.ADD.CURVE(C2307,"SOFR",$K$2:$K$7,$L$2:$L$7,,,"Actual360","LogLinear",TRUE)</f>
        <v>QSObject:ContextInput:w1~input.qs_context_add_curve.2359132437744.2306.3.0:37993</v>
      </c>
      <c r="E2307" s="6" t="str">
        <f>_xll.QS.INSTRUMENT.SWAP("swap.2305",H2307,B2307,"USD","SOFR",I2307,J2307,0,"Actual360","Simple","Annual","Annual","Annual")</f>
        <v>QSObject:Swap:w1~swap.2305:17858</v>
      </c>
      <c r="F2307" s="6" t="str">
        <f>_xll.QS.TRADE.CREATE("trade.2305",E2307,A2307,"Receive")</f>
        <v>QSObject:SwapTrade:w1~trade.2305:29728</v>
      </c>
      <c r="G2307" s="3">
        <f>_xll.QS.EVALUATE(C2307,F2307)</f>
        <v>19798.115509888245</v>
      </c>
      <c r="H2307" s="5" t="s">
        <v>1000</v>
      </c>
      <c r="I2307" s="7">
        <v>1230500</v>
      </c>
      <c r="J2307" s="8">
        <v>3.5499999999999997E-2</v>
      </c>
    </row>
    <row r="2308" spans="1:10" x14ac:dyDescent="0.25">
      <c r="A2308" s="5" t="s">
        <v>988</v>
      </c>
      <c r="B2308" s="5" t="s">
        <v>4175</v>
      </c>
      <c r="C2308" s="6" t="str">
        <f>_xll.QS.CONTEXT.CREATE("market.2306",A2308,"USD","SOFR")</f>
        <v>QSObject:PricingContext:w1~market.2306:17857</v>
      </c>
      <c r="D2308" s="6" t="str">
        <f>_xll.QS.CONTEXT.ADD.CURVE(C2308,"SOFR",$K$2:$K$7,$L$2:$L$7,,,"Actual360","LogLinear",TRUE)</f>
        <v>QSObject:ContextInput:w1~input.qs_context_add_curve.2359132437744.2307.3.0:37992</v>
      </c>
      <c r="E2308" s="6" t="str">
        <f>_xll.QS.INSTRUMENT.SWAP("swap.2306",H2308,B2308,"USD","SOFR",I2308,J2308,0,"Actual360","Simple","Annual","Annual","Annual")</f>
        <v>QSObject:Swap:w1~swap.2306:17856</v>
      </c>
      <c r="F2308" s="6" t="str">
        <f>_xll.QS.TRADE.CREATE("trade.2306",E2308,A2308,"Receive")</f>
        <v>QSObject:SwapTrade:w1~trade.2306:29727</v>
      </c>
      <c r="G2308" s="3">
        <f>_xll.QS.EVALUATE(C2308,F2308)</f>
        <v>20420.674486607597</v>
      </c>
      <c r="H2308" s="5" t="s">
        <v>1002</v>
      </c>
      <c r="I2308" s="7">
        <v>1230600</v>
      </c>
      <c r="J2308" s="8">
        <v>3.5600000000000007E-2</v>
      </c>
    </row>
    <row r="2309" spans="1:10" x14ac:dyDescent="0.25">
      <c r="A2309" s="5" t="s">
        <v>990</v>
      </c>
      <c r="B2309" s="5" t="s">
        <v>4176</v>
      </c>
      <c r="C2309" s="6" t="str">
        <f>_xll.QS.CONTEXT.CREATE("market.2307",A2309,"USD","SOFR")</f>
        <v>QSObject:PricingContext:w1~market.2307:17855</v>
      </c>
      <c r="D2309" s="6" t="str">
        <f>_xll.QS.CONTEXT.ADD.CURVE(C2309,"SOFR",$K$2:$K$7,$L$2:$L$7,,,"Actual360","LogLinear",TRUE)</f>
        <v>QSObject:ContextInput:w1~input.qs_context_add_curve.2359132437744.2308.3.0:37991</v>
      </c>
      <c r="E2309" s="6" t="str">
        <f>_xll.QS.INSTRUMENT.SWAP("swap.2307",H2309,B2309,"USD","SOFR",I2309,J2309,0,"Actual360","Simple","Annual","Annual","Annual")</f>
        <v>QSObject:Swap:w1~swap.2307:17854</v>
      </c>
      <c r="F2309" s="6" t="str">
        <f>_xll.QS.TRADE.CREATE("trade.2307",E2309,A2309,"Receive")</f>
        <v>QSObject:SwapTrade:w1~trade.2307:29726</v>
      </c>
      <c r="G2309" s="3">
        <f>_xll.QS.EVALUATE(C2309,F2309)</f>
        <v>20942.527162000435</v>
      </c>
      <c r="H2309" s="5" t="s">
        <v>1004</v>
      </c>
      <c r="I2309" s="7">
        <v>1230700</v>
      </c>
      <c r="J2309" s="8">
        <v>3.5700000000000003E-2</v>
      </c>
    </row>
    <row r="2310" spans="1:10" x14ac:dyDescent="0.25">
      <c r="A2310" s="5" t="s">
        <v>992</v>
      </c>
      <c r="B2310" s="5" t="s">
        <v>4177</v>
      </c>
      <c r="C2310" s="6" t="str">
        <f>_xll.QS.CONTEXT.CREATE("market.2308",A2310,"USD","SOFR")</f>
        <v>QSObject:PricingContext:w1~market.2308:17853</v>
      </c>
      <c r="D2310" s="6" t="str">
        <f>_xll.QS.CONTEXT.ADD.CURVE(C2310,"SOFR",$K$2:$K$7,$L$2:$L$7,,,"Actual360","LogLinear",TRUE)</f>
        <v>QSObject:ContextInput:w1~input.qs_context_add_curve.2359132437744.2309.3.0:37990</v>
      </c>
      <c r="E2310" s="6" t="str">
        <f>_xll.QS.INSTRUMENT.SWAP("swap.2308",H2310,B2310,"USD","SOFR",I2310,J2310,0,"Actual360","Simple","Annual","Annual","Annual")</f>
        <v>QSObject:Swap:w1~swap.2308:17852</v>
      </c>
      <c r="F2310" s="6" t="str">
        <f>_xll.QS.TRADE.CREATE("trade.2308",E2310,A2310,"Receive")</f>
        <v>QSObject:SwapTrade:w1~trade.2308:29725</v>
      </c>
      <c r="G2310" s="3">
        <f>_xll.QS.EVALUATE(C2310,F2310)</f>
        <v>21434.552386723648</v>
      </c>
      <c r="H2310" s="5" t="s">
        <v>1006</v>
      </c>
      <c r="I2310" s="7">
        <v>1230800</v>
      </c>
      <c r="J2310" s="8">
        <v>3.5800000000000012E-2</v>
      </c>
    </row>
    <row r="2311" spans="1:10" x14ac:dyDescent="0.25">
      <c r="A2311" s="5" t="s">
        <v>994</v>
      </c>
      <c r="B2311" s="5" t="s">
        <v>4178</v>
      </c>
      <c r="C2311" s="6" t="str">
        <f>_xll.QS.CONTEXT.CREATE("market.2309",A2311,"USD","SOFR")</f>
        <v>QSObject:PricingContext:w1~market.2309:17851</v>
      </c>
      <c r="D2311" s="6" t="str">
        <f>_xll.QS.CONTEXT.ADD.CURVE(C2311,"SOFR",$K$2:$K$7,$L$2:$L$7,,,"Actual360","LogLinear",TRUE)</f>
        <v>QSObject:ContextInput:w1~input.qs_context_add_curve.2359132437744.2310.3.0:37989</v>
      </c>
      <c r="E2311" s="6" t="str">
        <f>_xll.QS.INSTRUMENT.SWAP("swap.2309",H2311,B2311,"USD","SOFR",I2311,J2311,0,"Actual360","Simple","Annual","Annual","Annual")</f>
        <v>QSObject:Swap:w1~swap.2309:17850</v>
      </c>
      <c r="F2311" s="6" t="str">
        <f>_xll.QS.TRADE.CREATE("trade.2309",E2311,A2311,"Receive")</f>
        <v>QSObject:SwapTrade:w1~trade.2309:29724</v>
      </c>
      <c r="G2311" s="3">
        <f>_xll.QS.EVALUATE(C2311,F2311)</f>
        <v>21897.522179767708</v>
      </c>
      <c r="H2311" s="5" t="s">
        <v>1008</v>
      </c>
      <c r="I2311" s="7">
        <v>1230900</v>
      </c>
      <c r="J2311" s="8">
        <v>3.5900000000000001E-2</v>
      </c>
    </row>
    <row r="2312" spans="1:10" x14ac:dyDescent="0.25">
      <c r="A2312" s="5" t="s">
        <v>996</v>
      </c>
      <c r="B2312" s="5" t="s">
        <v>4179</v>
      </c>
      <c r="C2312" s="6" t="str">
        <f>_xll.QS.CONTEXT.CREATE("market.2310",A2312,"USD","SOFR")</f>
        <v>QSObject:PricingContext:w1~market.2310:17849</v>
      </c>
      <c r="D2312" s="6" t="str">
        <f>_xll.QS.CONTEXT.ADD.CURVE(C2312,"SOFR",$K$2:$K$7,$L$2:$L$7,,,"Actual360","LogLinear",TRUE)</f>
        <v>QSObject:ContextInput:w1~input.qs_context_add_curve.2359132437744.2311.3.0:37988</v>
      </c>
      <c r="E2312" s="6" t="str">
        <f>_xll.QS.INSTRUMENT.SWAP("swap.2310",H2312,B2312,"USD","SOFR",I2312,J2312,0,"Actual360","Simple","Annual","Annual","Annual")</f>
        <v>QSObject:Swap:w1~swap.2310:17848</v>
      </c>
      <c r="F2312" s="6" t="str">
        <f>_xll.QS.TRADE.CREATE("trade.2310",E2312,A2312,"Receive")</f>
        <v>QSObject:SwapTrade:w1~trade.2310:29723</v>
      </c>
      <c r="G2312" s="3">
        <f>_xll.QS.EVALUATE(C2312,F2312)</f>
        <v>22518.575620564909</v>
      </c>
      <c r="H2312" s="5" t="s">
        <v>1010</v>
      </c>
      <c r="I2312" s="7">
        <v>1231000</v>
      </c>
      <c r="J2312" s="8">
        <v>3.5999999999999997E-2</v>
      </c>
    </row>
    <row r="2313" spans="1:10" x14ac:dyDescent="0.25">
      <c r="A2313" s="5" t="s">
        <v>998</v>
      </c>
      <c r="B2313" s="5" t="s">
        <v>4180</v>
      </c>
      <c r="C2313" s="6" t="str">
        <f>_xll.QS.CONTEXT.CREATE("market.2311",A2313,"USD","SOFR")</f>
        <v>QSObject:PricingContext:w1~market.2311:17847</v>
      </c>
      <c r="D2313" s="6" t="str">
        <f>_xll.QS.CONTEXT.ADD.CURVE(C2313,"SOFR",$K$2:$K$7,$L$2:$L$7,,,"Actual360","LogLinear",TRUE)</f>
        <v>QSObject:ContextInput:w1~input.qs_context_add_curve.2359132437744.2312.3.0:37987</v>
      </c>
      <c r="E2313" s="6" t="str">
        <f>_xll.QS.INSTRUMENT.SWAP("swap.2311",H2313,B2313,"USD","SOFR",I2313,J2313,0,"Actual360","Simple","Annual","Annual","Annual")</f>
        <v>QSObject:Swap:w1~swap.2311:17846</v>
      </c>
      <c r="F2313" s="6" t="str">
        <f>_xll.QS.TRADE.CREATE("trade.2311",E2313,A2313,"Receive")</f>
        <v>QSObject:SwapTrade:w1~trade.2311:29722</v>
      </c>
      <c r="G2313" s="3">
        <f>_xll.QS.EVALUATE(C2313,F2313)</f>
        <v>23124.20100878286</v>
      </c>
      <c r="H2313" s="5" t="s">
        <v>1012</v>
      </c>
      <c r="I2313" s="7">
        <v>1231100</v>
      </c>
      <c r="J2313" s="8">
        <v>3.61E-2</v>
      </c>
    </row>
    <row r="2314" spans="1:10" x14ac:dyDescent="0.25">
      <c r="A2314" s="5" t="s">
        <v>1000</v>
      </c>
      <c r="B2314" s="5" t="s">
        <v>4181</v>
      </c>
      <c r="C2314" s="6" t="str">
        <f>_xll.QS.CONTEXT.CREATE("market.2312",A2314,"USD","SOFR")</f>
        <v>QSObject:PricingContext:w1~market.2312:17845</v>
      </c>
      <c r="D2314" s="6" t="str">
        <f>_xll.QS.CONTEXT.ADD.CURVE(C2314,"SOFR",$K$2:$K$7,$L$2:$L$7,,,"Actual360","LogLinear",TRUE)</f>
        <v>QSObject:ContextInput:w1~input.qs_context_add_curve.2359132437744.2313.3.0:37986</v>
      </c>
      <c r="E2314" s="6" t="str">
        <f>_xll.QS.INSTRUMENT.SWAP("swap.2312",H2314,B2314,"USD","SOFR",I2314,J2314,0,"Actual360","Simple","Annual","Annual","Annual")</f>
        <v>QSObject:Swap:w1~swap.2312:17844</v>
      </c>
      <c r="F2314" s="6" t="str">
        <f>_xll.QS.TRADE.CREATE("trade.2312",E2314,A2314,"Receive")</f>
        <v>QSObject:SwapTrade:w1~trade.2312:29721</v>
      </c>
      <c r="G2314" s="3">
        <f>_xll.QS.EVALUATE(C2314,F2314)</f>
        <v>23783.657570817486</v>
      </c>
      <c r="H2314" s="5" t="s">
        <v>1014</v>
      </c>
      <c r="I2314" s="7">
        <v>1231200</v>
      </c>
      <c r="J2314" s="8">
        <v>3.6200000000000003E-2</v>
      </c>
    </row>
    <row r="2315" spans="1:10" x14ac:dyDescent="0.25">
      <c r="A2315" s="5" t="s">
        <v>1002</v>
      </c>
      <c r="B2315" s="5" t="s">
        <v>4182</v>
      </c>
      <c r="C2315" s="6" t="str">
        <f>_xll.QS.CONTEXT.CREATE("market.2313",A2315,"USD","SOFR")</f>
        <v>QSObject:PricingContext:w1~market.2313:17843</v>
      </c>
      <c r="D2315" s="6" t="str">
        <f>_xll.QS.CONTEXT.ADD.CURVE(C2315,"SOFR",$K$2:$K$7,$L$2:$L$7,,,"Actual360","LogLinear",TRUE)</f>
        <v>QSObject:ContextInput:w1~input.qs_context_add_curve.2359132437744.2314.3.0:37985</v>
      </c>
      <c r="E2315" s="6" t="str">
        <f>_xll.QS.INSTRUMENT.SWAP("swap.2313",H2315,B2315,"USD","SOFR",I2315,J2315,0,"Actual360","Simple","Annual","Annual","Annual")</f>
        <v>QSObject:Swap:w1~swap.2313:17842</v>
      </c>
      <c r="F2315" s="6" t="str">
        <f>_xll.QS.TRADE.CREATE("trade.2313",E2315,A2315,"Receive")</f>
        <v>QSObject:SwapTrade:w1~trade.2313:29720</v>
      </c>
      <c r="G2315" s="3">
        <f>_xll.QS.EVALUATE(C2315,F2315)</f>
        <v>24407.110450322434</v>
      </c>
      <c r="H2315" s="5" t="s">
        <v>1016</v>
      </c>
      <c r="I2315" s="7">
        <v>1231300</v>
      </c>
      <c r="J2315" s="8">
        <v>3.6300000000000013E-2</v>
      </c>
    </row>
    <row r="2316" spans="1:10" x14ac:dyDescent="0.25">
      <c r="A2316" s="5" t="s">
        <v>1004</v>
      </c>
      <c r="B2316" s="5" t="s">
        <v>4183</v>
      </c>
      <c r="C2316" s="6" t="str">
        <f>_xll.QS.CONTEXT.CREATE("market.2314",A2316,"USD","SOFR")</f>
        <v>QSObject:PricingContext:w1~market.2314:17841</v>
      </c>
      <c r="D2316" s="6" t="str">
        <f>_xll.QS.CONTEXT.ADD.CURVE(C2316,"SOFR",$K$2:$K$7,$L$2:$L$7,,,"Actual360","LogLinear",TRUE)</f>
        <v>QSObject:ContextInput:w1~input.qs_context_add_curve.2359132437744.2315.3.0:37984</v>
      </c>
      <c r="E2316" s="6" t="str">
        <f>_xll.QS.INSTRUMENT.SWAP("swap.2314",H2316,B2316,"USD","SOFR",I2316,J2316,0,"Actual360","Simple","Annual","Annual","Annual")</f>
        <v>QSObject:Swap:w1~swap.2314:17840</v>
      </c>
      <c r="F2316" s="6" t="str">
        <f>_xll.QS.TRADE.CREATE("trade.2314",E2316,A2316,"Receive")</f>
        <v>QSObject:SwapTrade:w1~trade.2314:29719</v>
      </c>
      <c r="G2316" s="3">
        <f>_xll.QS.EVALUATE(C2316,F2316)</f>
        <v>24929.555793500876</v>
      </c>
      <c r="H2316" s="5" t="s">
        <v>1018</v>
      </c>
      <c r="I2316" s="7">
        <v>1231400</v>
      </c>
      <c r="J2316" s="8">
        <v>3.6400000000000002E-2</v>
      </c>
    </row>
    <row r="2317" spans="1:10" x14ac:dyDescent="0.25">
      <c r="A2317" s="5" t="s">
        <v>1006</v>
      </c>
      <c r="B2317" s="5" t="s">
        <v>4184</v>
      </c>
      <c r="C2317" s="6" t="str">
        <f>_xll.QS.CONTEXT.CREATE("market.2315",A2317,"USD","SOFR")</f>
        <v>QSObject:PricingContext:w1~market.2315:17839</v>
      </c>
      <c r="D2317" s="6" t="str">
        <f>_xll.QS.CONTEXT.ADD.CURVE(C2317,"SOFR",$K$2:$K$7,$L$2:$L$7,,,"Actual360","LogLinear",TRUE)</f>
        <v>QSObject:ContextInput:w1~input.qs_context_add_curve.2359132437744.2316.3.0:37983</v>
      </c>
      <c r="E2317" s="6" t="str">
        <f>_xll.QS.INSTRUMENT.SWAP("swap.2315",H2317,B2317,"USD","SOFR",I2317,J2317,0,"Actual360","Simple","Annual","Annual","Annual")</f>
        <v>QSObject:Swap:w1~swap.2315:17838</v>
      </c>
      <c r="F2317" s="6" t="str">
        <f>_xll.QS.TRADE.CREATE("trade.2315",E2317,A2317,"Receive")</f>
        <v>QSObject:SwapTrade:w1~trade.2315:29718</v>
      </c>
      <c r="G2317" s="3">
        <f>_xll.QS.EVALUATE(C2317,F2317)</f>
        <v>25417.54442904915</v>
      </c>
      <c r="H2317" s="5" t="s">
        <v>1020</v>
      </c>
      <c r="I2317" s="7">
        <v>1231500</v>
      </c>
      <c r="J2317" s="8">
        <v>3.6499999999999998E-2</v>
      </c>
    </row>
    <row r="2318" spans="1:10" x14ac:dyDescent="0.25">
      <c r="A2318" s="5" t="s">
        <v>1008</v>
      </c>
      <c r="B2318" s="5" t="s">
        <v>4185</v>
      </c>
      <c r="C2318" s="6" t="str">
        <f>_xll.QS.CONTEXT.CREATE("market.2316",A2318,"USD","SOFR")</f>
        <v>QSObject:PricingContext:w1~market.2316:17837</v>
      </c>
      <c r="D2318" s="6" t="str">
        <f>_xll.QS.CONTEXT.ADD.CURVE(C2318,"SOFR",$K$2:$K$7,$L$2:$L$7,,,"Actual360","LogLinear",TRUE)</f>
        <v>QSObject:ContextInput:w1~input.qs_context_add_curve.2359132437744.2317.3.0:37982</v>
      </c>
      <c r="E2318" s="6" t="str">
        <f>_xll.QS.INSTRUMENT.SWAP("swap.2316",H2318,B2318,"USD","SOFR",I2318,J2318,0,"Actual360","Simple","Annual","Annual","Annual")</f>
        <v>QSObject:Swap:w1~swap.2316:17836</v>
      </c>
      <c r="F2318" s="6" t="str">
        <f>_xll.QS.TRADE.CREATE("trade.2316",E2318,A2318,"Receive")</f>
        <v>QSObject:SwapTrade:w1~trade.2316:29717</v>
      </c>
      <c r="G2318" s="3">
        <f>_xll.QS.EVALUATE(C2318,F2318)</f>
        <v>25887.391363250143</v>
      </c>
      <c r="H2318" s="5" t="s">
        <v>1022</v>
      </c>
      <c r="I2318" s="7">
        <v>1231600</v>
      </c>
      <c r="J2318" s="8">
        <v>3.6600000000000001E-2</v>
      </c>
    </row>
    <row r="2319" spans="1:10" x14ac:dyDescent="0.25">
      <c r="A2319" s="5" t="s">
        <v>1010</v>
      </c>
      <c r="B2319" s="5" t="s">
        <v>4186</v>
      </c>
      <c r="C2319" s="6" t="str">
        <f>_xll.QS.CONTEXT.CREATE("market.2317",A2319,"USD","SOFR")</f>
        <v>QSObject:PricingContext:w1~market.2317:17835</v>
      </c>
      <c r="D2319" s="6" t="str">
        <f>_xll.QS.CONTEXT.ADD.CURVE(C2319,"SOFR",$K$2:$K$7,$L$2:$L$7,,,"Actual360","LogLinear",TRUE)</f>
        <v>QSObject:ContextInput:w1~input.qs_context_add_curve.2359132437744.2318.3.0:37981</v>
      </c>
      <c r="E2319" s="6" t="str">
        <f>_xll.QS.INSTRUMENT.SWAP("swap.2317",H2319,B2319,"USD","SOFR",I2319,J2319,0,"Actual360","Simple","Annual","Annual","Annual")</f>
        <v>QSObject:Swap:w1~swap.2317:17834</v>
      </c>
      <c r="F2319" s="6" t="str">
        <f>_xll.QS.TRADE.CREATE("trade.2317",E2319,A2319,"Receive")</f>
        <v>QSObject:SwapTrade:w1~trade.2317:29716</v>
      </c>
      <c r="G2319" s="3">
        <f>_xll.QS.EVALUATE(C2319,F2319)</f>
        <v>26509.143797688601</v>
      </c>
      <c r="H2319" s="5" t="s">
        <v>1024</v>
      </c>
      <c r="I2319" s="7">
        <v>1231700</v>
      </c>
      <c r="J2319" s="8">
        <v>3.6700000000000003E-2</v>
      </c>
    </row>
    <row r="2320" spans="1:10" x14ac:dyDescent="0.25">
      <c r="A2320" s="5" t="s">
        <v>1012</v>
      </c>
      <c r="B2320" s="5" t="s">
        <v>4187</v>
      </c>
      <c r="C2320" s="6" t="str">
        <f>_xll.QS.CONTEXT.CREATE("market.2318",A2320,"USD","SOFR")</f>
        <v>QSObject:PricingContext:w1~market.2318:17833</v>
      </c>
      <c r="D2320" s="6" t="str">
        <f>_xll.QS.CONTEXT.ADD.CURVE(C2320,"SOFR",$K$2:$K$7,$L$2:$L$7,,,"Actual360","LogLinear",TRUE)</f>
        <v>QSObject:ContextInput:w1~input.qs_context_add_curve.2359132437744.2319.3.0:37980</v>
      </c>
      <c r="E2320" s="6" t="str">
        <f>_xll.QS.INSTRUMENT.SWAP("swap.2318",H2320,B2320,"USD","SOFR",I2320,J2320,0,"Actual360","Simple","Annual","Annual","Annual")</f>
        <v>QSObject:Swap:w1~swap.2318:17832</v>
      </c>
      <c r="F2320" s="6" t="str">
        <f>_xll.QS.TRADE.CREATE("trade.2318",E2320,A2320,"Receive")</f>
        <v>QSObject:SwapTrade:w1~trade.2318:29715</v>
      </c>
      <c r="G2320" s="3">
        <f>_xll.QS.EVALUATE(C2320,F2320)</f>
        <v>27113.506568360179</v>
      </c>
      <c r="H2320" s="5" t="s">
        <v>1026</v>
      </c>
      <c r="I2320" s="7">
        <v>1231800</v>
      </c>
      <c r="J2320" s="8">
        <v>3.6800000000000013E-2</v>
      </c>
    </row>
    <row r="2321" spans="1:10" x14ac:dyDescent="0.25">
      <c r="A2321" s="5" t="s">
        <v>1014</v>
      </c>
      <c r="B2321" s="5" t="s">
        <v>4188</v>
      </c>
      <c r="C2321" s="6" t="str">
        <f>_xll.QS.CONTEXT.CREATE("market.2319",A2321,"USD","SOFR")</f>
        <v>QSObject:PricingContext:w1~market.2319:17831</v>
      </c>
      <c r="D2321" s="6" t="str">
        <f>_xll.QS.CONTEXT.ADD.CURVE(C2321,"SOFR",$K$2:$K$7,$L$2:$L$7,,,"Actual360","LogLinear",TRUE)</f>
        <v>QSObject:ContextInput:w1~input.qs_context_add_curve.2359132437744.2320.3.0:37979</v>
      </c>
      <c r="E2321" s="6" t="str">
        <f>_xll.QS.INSTRUMENT.SWAP("swap.2319",H2321,B2321,"USD","SOFR",I2321,J2321,0,"Actual360","Simple","Annual","Annual","Annual")</f>
        <v>QSObject:Swap:w1~swap.2319:17830</v>
      </c>
      <c r="F2321" s="6" t="str">
        <f>_xll.QS.TRADE.CREATE("trade.2319",E2321,A2321,"Receive")</f>
        <v>QSObject:SwapTrade:w1~trade.2319:29714</v>
      </c>
      <c r="G2321" s="3">
        <f>_xll.QS.EVALUATE(C2321,F2321)</f>
        <v>27773.718792879183</v>
      </c>
      <c r="H2321" s="5" t="s">
        <v>1028</v>
      </c>
      <c r="I2321" s="7">
        <v>1231900</v>
      </c>
      <c r="J2321" s="8">
        <v>3.6900000000000002E-2</v>
      </c>
    </row>
    <row r="2322" spans="1:10" x14ac:dyDescent="0.25">
      <c r="A2322" s="5" t="s">
        <v>1016</v>
      </c>
      <c r="B2322" s="5" t="s">
        <v>4189</v>
      </c>
      <c r="C2322" s="6" t="str">
        <f>_xll.QS.CONTEXT.CREATE("market.2320",A2322,"USD","SOFR")</f>
        <v>QSObject:PricingContext:w1~market.2320:17829</v>
      </c>
      <c r="D2322" s="6" t="str">
        <f>_xll.QS.CONTEXT.ADD.CURVE(C2322,"SOFR",$K$2:$K$7,$L$2:$L$7,,,"Actual360","LogLinear",TRUE)</f>
        <v>QSObject:ContextInput:w1~input.qs_context_add_curve.2359132437744.2321.3.0:37978</v>
      </c>
      <c r="E2322" s="6" t="str">
        <f>_xll.QS.INSTRUMENT.SWAP("swap.2320",H2322,B2322,"USD","SOFR",I2322,J2322,0,"Actual360","Simple","Annual","Annual","Annual")</f>
        <v>QSObject:Swap:w1~swap.2320:17828</v>
      </c>
      <c r="F2322" s="6" t="str">
        <f>_xll.QS.TRADE.CREATE("trade.2320",E2322,A2322,"Receive")</f>
        <v>QSObject:SwapTrade:w1~trade.2320:29713</v>
      </c>
      <c r="G2322" s="3">
        <f>_xll.QS.EVALUATE(C2322,F2322)</f>
        <v>28397.893468829308</v>
      </c>
      <c r="H2322" s="5" t="s">
        <v>1030</v>
      </c>
      <c r="I2322" s="7">
        <v>1232000</v>
      </c>
      <c r="J2322" s="8">
        <v>3.7000000000000012E-2</v>
      </c>
    </row>
    <row r="2323" spans="1:10" x14ac:dyDescent="0.25">
      <c r="A2323" s="5" t="s">
        <v>1018</v>
      </c>
      <c r="B2323" s="5" t="s">
        <v>4190</v>
      </c>
      <c r="C2323" s="6" t="str">
        <f>_xll.QS.CONTEXT.CREATE("market.2321",A2323,"USD","SOFR")</f>
        <v>QSObject:PricingContext:w1~market.2321:17827</v>
      </c>
      <c r="D2323" s="6" t="str">
        <f>_xll.QS.CONTEXT.ADD.CURVE(C2323,"SOFR",$K$2:$K$7,$L$2:$L$7,,,"Actual360","LogLinear",TRUE)</f>
        <v>QSObject:ContextInput:w1~input.qs_context_add_curve.2359132437744.2322.3.0:37977</v>
      </c>
      <c r="E2323" s="6" t="str">
        <f>_xll.QS.INSTRUMENT.SWAP("swap.2321",H2323,B2323,"USD","SOFR",I2323,J2323,0,"Actual360","Simple","Annual","Annual","Annual")</f>
        <v>QSObject:Swap:w1~swap.2321:17826</v>
      </c>
      <c r="F2323" s="6" t="str">
        <f>_xll.QS.TRADE.CREATE("trade.2321",E2323,A2323,"Receive")</f>
        <v>QSObject:SwapTrade:w1~trade.2321:29712</v>
      </c>
      <c r="G2323" s="3">
        <f>_xll.QS.EVALUATE(C2323,F2323)</f>
        <v>28920.914495873025</v>
      </c>
      <c r="H2323" s="5" t="s">
        <v>1032</v>
      </c>
      <c r="I2323" s="7">
        <v>1232100</v>
      </c>
      <c r="J2323" s="8">
        <v>3.7100000000000001E-2</v>
      </c>
    </row>
    <row r="2324" spans="1:10" x14ac:dyDescent="0.25">
      <c r="A2324" s="5" t="s">
        <v>1020</v>
      </c>
      <c r="B2324" s="5" t="s">
        <v>4191</v>
      </c>
      <c r="C2324" s="6" t="str">
        <f>_xll.QS.CONTEXT.CREATE("market.2322",A2324,"USD","SOFR")</f>
        <v>QSObject:PricingContext:w1~market.2322:17825</v>
      </c>
      <c r="D2324" s="6" t="str">
        <f>_xll.QS.CONTEXT.ADD.CURVE(C2324,"SOFR",$K$2:$K$7,$L$2:$L$7,,,"Actual360","LogLinear",TRUE)</f>
        <v>QSObject:ContextInput:w1~input.qs_context_add_curve.2359132437744.2323.3.0:37976</v>
      </c>
      <c r="E2324" s="6" t="str">
        <f>_xll.QS.INSTRUMENT.SWAP("swap.2322",H2324,B2324,"USD","SOFR",I2324,J2324,0,"Actual360","Simple","Annual","Annual","Annual")</f>
        <v>QSObject:Swap:w1~swap.2322:17824</v>
      </c>
      <c r="F2324" s="6" t="str">
        <f>_xll.QS.TRADE.CREATE("trade.2322",E2324,A2324,"Receive")</f>
        <v>QSObject:SwapTrade:w1~trade.2322:29711</v>
      </c>
      <c r="G2324" s="3">
        <f>_xll.QS.EVALUATE(C2324,F2324)</f>
        <v>29404.818214271465</v>
      </c>
      <c r="H2324" s="5" t="s">
        <v>1034</v>
      </c>
      <c r="I2324" s="7">
        <v>1232200</v>
      </c>
      <c r="J2324" s="8">
        <v>3.7199999999999997E-2</v>
      </c>
    </row>
    <row r="2325" spans="1:10" x14ac:dyDescent="0.25">
      <c r="A2325" s="5" t="s">
        <v>1022</v>
      </c>
      <c r="B2325" s="5" t="s">
        <v>4192</v>
      </c>
      <c r="C2325" s="6" t="str">
        <f>_xll.QS.CONTEXT.CREATE("market.2323",A2325,"USD","SOFR")</f>
        <v>QSObject:PricingContext:w1~market.2323:17823</v>
      </c>
      <c r="D2325" s="6" t="str">
        <f>_xll.QS.CONTEXT.ADD.CURVE(C2325,"SOFR",$K$2:$K$7,$L$2:$L$7,,,"Actual360","LogLinear",TRUE)</f>
        <v>QSObject:ContextInput:w1~input.qs_context_add_curve.2359132437744.2324.3.0:37975</v>
      </c>
      <c r="E2325" s="6" t="str">
        <f>_xll.QS.INSTRUMENT.SWAP("swap.2323",H2325,B2325,"USD","SOFR",I2325,J2325,0,"Actual360","Simple","Annual","Annual","Annual")</f>
        <v>QSObject:Swap:w1~swap.2323:17822</v>
      </c>
      <c r="F2325" s="6" t="str">
        <f>_xll.QS.TRADE.CREATE("trade.2323",E2325,A2325,"Receive")</f>
        <v>QSObject:SwapTrade:w1~trade.2323:29710</v>
      </c>
      <c r="G2325" s="3">
        <f>_xll.QS.EVALUATE(C2325,F2325)</f>
        <v>29881.420385110658</v>
      </c>
      <c r="H2325" s="5" t="s">
        <v>1036</v>
      </c>
      <c r="I2325" s="7">
        <v>1232300</v>
      </c>
      <c r="J2325" s="8">
        <v>3.73E-2</v>
      </c>
    </row>
    <row r="2326" spans="1:10" x14ac:dyDescent="0.25">
      <c r="A2326" s="5" t="s">
        <v>1024</v>
      </c>
      <c r="B2326" s="5" t="s">
        <v>4193</v>
      </c>
      <c r="C2326" s="6" t="str">
        <f>_xll.QS.CONTEXT.CREATE("market.2324",A2326,"USD","SOFR")</f>
        <v>QSObject:PricingContext:w1~market.2324:17821</v>
      </c>
      <c r="D2326" s="6" t="str">
        <f>_xll.QS.CONTEXT.ADD.CURVE(C2326,"SOFR",$K$2:$K$7,$L$2:$L$7,,,"Actual360","LogLinear",TRUE)</f>
        <v>QSObject:ContextInput:w1~input.qs_context_add_curve.2359132437744.2325.3.0:37974</v>
      </c>
      <c r="E2326" s="6" t="str">
        <f>_xll.QS.INSTRUMENT.SWAP("swap.2324",H2326,B2326,"USD","SOFR",I2326,J2326,0,"Actual360","Simple","Annual","Annual","Annual")</f>
        <v>QSObject:Swap:w1~swap.2324:17820</v>
      </c>
      <c r="F2326" s="6" t="str">
        <f>_xll.QS.TRADE.CREATE("trade.2324",E2326,A2326,"Receive")</f>
        <v>QSObject:SwapTrade:w1~trade.2324:29709</v>
      </c>
      <c r="G2326" s="3">
        <f>_xll.QS.EVALUATE(C2326,F2326)</f>
        <v>30504.233261159097</v>
      </c>
      <c r="H2326" s="5" t="s">
        <v>1038</v>
      </c>
      <c r="I2326" s="7">
        <v>1232400</v>
      </c>
      <c r="J2326" s="8">
        <v>3.7400000000000003E-2</v>
      </c>
    </row>
    <row r="2327" spans="1:10" x14ac:dyDescent="0.25">
      <c r="A2327" s="5" t="s">
        <v>1026</v>
      </c>
      <c r="B2327" s="5" t="s">
        <v>4194</v>
      </c>
      <c r="C2327" s="6" t="str">
        <f>_xll.QS.CONTEXT.CREATE("market.2325",A2327,"USD","SOFR")</f>
        <v>QSObject:PricingContext:w1~market.2325:17819</v>
      </c>
      <c r="D2327" s="6" t="str">
        <f>_xll.QS.CONTEXT.ADD.CURVE(C2327,"SOFR",$K$2:$K$7,$L$2:$L$7,,,"Actual360","LogLinear",TRUE)</f>
        <v>QSObject:ContextInput:w1~input.qs_context_add_curve.2359132437744.2326.3.0:37973</v>
      </c>
      <c r="E2327" s="6" t="str">
        <f>_xll.QS.INSTRUMENT.SWAP("swap.2325",H2327,B2327,"USD","SOFR",I2327,J2327,0,"Actual360","Simple","Annual","Annual","Annual")</f>
        <v>QSObject:Swap:w1~swap.2325:17818</v>
      </c>
      <c r="F2327" s="6" t="str">
        <f>_xll.QS.TRADE.CREATE("trade.2325",E2327,A2327,"Receive")</f>
        <v>QSObject:SwapTrade:w1~trade.2325:29708</v>
      </c>
      <c r="G2327" s="3">
        <f>_xll.QS.EVALUATE(C2327,F2327)</f>
        <v>31107.331222015418</v>
      </c>
      <c r="H2327" s="5" t="s">
        <v>1040</v>
      </c>
      <c r="I2327" s="7">
        <v>1232500</v>
      </c>
      <c r="J2327" s="8">
        <v>3.7500000000000012E-2</v>
      </c>
    </row>
    <row r="2328" spans="1:10" x14ac:dyDescent="0.25">
      <c r="A2328" s="5" t="s">
        <v>1028</v>
      </c>
      <c r="B2328" s="5" t="s">
        <v>4195</v>
      </c>
      <c r="C2328" s="6" t="str">
        <f>_xll.QS.CONTEXT.CREATE("market.2326",A2328,"USD","SOFR")</f>
        <v>QSObject:PricingContext:w1~market.2326:17817</v>
      </c>
      <c r="D2328" s="6" t="str">
        <f>_xll.QS.CONTEXT.ADD.CURVE(C2328,"SOFR",$K$2:$K$7,$L$2:$L$7,,,"Actual360","LogLinear",TRUE)</f>
        <v>QSObject:ContextInput:w1~input.qs_context_add_curve.2359132437744.2327.3.0:37972</v>
      </c>
      <c r="E2328" s="6" t="str">
        <f>_xll.QS.INSTRUMENT.SWAP("swap.2326",H2328,B2328,"USD","SOFR",I2328,J2328,0,"Actual360","Simple","Annual","Annual","Annual")</f>
        <v>QSObject:Swap:w1~swap.2326:17816</v>
      </c>
      <c r="F2328" s="6" t="str">
        <f>_xll.QS.TRADE.CREATE("trade.2326",E2328,A2328,"Receive")</f>
        <v>QSObject:SwapTrade:w1~trade.2326:29707</v>
      </c>
      <c r="G2328" s="3">
        <f>_xll.QS.EVALUATE(C2328,F2328)</f>
        <v>31768.299176073786</v>
      </c>
      <c r="H2328" s="5" t="s">
        <v>1042</v>
      </c>
      <c r="I2328" s="7">
        <v>1232600</v>
      </c>
      <c r="J2328" s="8">
        <v>3.7600000000000001E-2</v>
      </c>
    </row>
    <row r="2329" spans="1:10" x14ac:dyDescent="0.25">
      <c r="A2329" s="5" t="s">
        <v>1030</v>
      </c>
      <c r="B2329" s="5" t="s">
        <v>4196</v>
      </c>
      <c r="C2329" s="6" t="str">
        <f>_xll.QS.CONTEXT.CREATE("market.2327",A2329,"USD","SOFR")</f>
        <v>QSObject:PricingContext:w1~market.2327:17815</v>
      </c>
      <c r="D2329" s="6" t="str">
        <f>_xll.QS.CONTEXT.ADD.CURVE(C2329,"SOFR",$K$2:$K$7,$L$2:$L$7,,,"Actual360","LogLinear",TRUE)</f>
        <v>QSObject:ContextInput:w1~input.qs_context_add_curve.2359132437744.2328.3.0:37971</v>
      </c>
      <c r="E2329" s="6" t="str">
        <f>_xll.QS.INSTRUMENT.SWAP("swap.2327",H2329,B2329,"USD","SOFR",I2329,J2329,0,"Actual360","Simple","Annual","Annual","Annual")</f>
        <v>QSObject:Swap:w1~swap.2327:17814</v>
      </c>
      <c r="F2329" s="6" t="str">
        <f>_xll.QS.TRADE.CREATE("trade.2327",E2329,A2329,"Receive")</f>
        <v>QSObject:SwapTrade:w1~trade.2327:29706</v>
      </c>
      <c r="G2329" s="3">
        <f>_xll.QS.EVALUATE(C2329,F2329)</f>
        <v>32393.092845786923</v>
      </c>
      <c r="H2329" s="5" t="s">
        <v>1044</v>
      </c>
      <c r="I2329" s="7">
        <v>1232700</v>
      </c>
      <c r="J2329" s="8">
        <v>3.7699999999999997E-2</v>
      </c>
    </row>
    <row r="2330" spans="1:10" x14ac:dyDescent="0.25">
      <c r="A2330" s="5" t="s">
        <v>1032</v>
      </c>
      <c r="B2330" s="5" t="s">
        <v>4197</v>
      </c>
      <c r="C2330" s="6" t="str">
        <f>_xll.QS.CONTEXT.CREATE("market.2328",A2330,"USD","SOFR")</f>
        <v>QSObject:PricingContext:w1~market.2328:17813</v>
      </c>
      <c r="D2330" s="6" t="str">
        <f>_xll.QS.CONTEXT.ADD.CURVE(C2330,"SOFR",$K$2:$K$7,$L$2:$L$7,,,"Actual360","LogLinear",TRUE)</f>
        <v>QSObject:ContextInput:w1~input.qs_context_add_curve.2359132437744.2329.3.0:37970</v>
      </c>
      <c r="E2330" s="6" t="str">
        <f>_xll.QS.INSTRUMENT.SWAP("swap.2328",H2330,B2330,"USD","SOFR",I2330,J2330,0,"Actual360","Simple","Annual","Annual","Annual")</f>
        <v>QSObject:Swap:w1~swap.2328:17812</v>
      </c>
      <c r="F2330" s="6" t="str">
        <f>_xll.QS.TRADE.CREATE("trade.2328",E2330,A2330,"Receive")</f>
        <v>QSObject:SwapTrade:w1~trade.2328:29705</v>
      </c>
      <c r="G2330" s="3">
        <f>_xll.QS.EVALUATE(C2330,F2330)</f>
        <v>32916.372836874929</v>
      </c>
      <c r="H2330" s="5" t="s">
        <v>1046</v>
      </c>
      <c r="I2330" s="7">
        <v>1232800</v>
      </c>
      <c r="J2330" s="8">
        <v>3.78E-2</v>
      </c>
    </row>
    <row r="2331" spans="1:10" x14ac:dyDescent="0.25">
      <c r="A2331" s="5" t="s">
        <v>1034</v>
      </c>
      <c r="B2331" s="5" t="s">
        <v>4198</v>
      </c>
      <c r="C2331" s="6" t="str">
        <f>_xll.QS.CONTEXT.CREATE("market.2329",A2331,"USD","SOFR")</f>
        <v>QSObject:PricingContext:w1~market.2329:17811</v>
      </c>
      <c r="D2331" s="6" t="str">
        <f>_xll.QS.CONTEXT.ADD.CURVE(C2331,"SOFR",$K$2:$K$7,$L$2:$L$7,,,"Actual360","LogLinear",TRUE)</f>
        <v>QSObject:ContextInput:w1~input.qs_context_add_curve.2359132437744.2330.3.0:37969</v>
      </c>
      <c r="E2331" s="6" t="str">
        <f>_xll.QS.INSTRUMENT.SWAP("swap.2329",H2331,B2331,"USD","SOFR",I2331,J2331,0,"Actual360","Simple","Annual","Annual","Annual")</f>
        <v>QSObject:Swap:w1~swap.2329:17810</v>
      </c>
      <c r="F2331" s="6" t="str">
        <f>_xll.QS.TRADE.CREATE("trade.2329",E2331,A2331,"Receive")</f>
        <v>QSObject:SwapTrade:w1~trade.2329:29704</v>
      </c>
      <c r="G2331" s="3">
        <f>_xll.QS.EVALUATE(C2331,F2331)</f>
        <v>33374.93499103139</v>
      </c>
      <c r="H2331" s="5" t="s">
        <v>1048</v>
      </c>
      <c r="I2331" s="7">
        <v>1232900</v>
      </c>
      <c r="J2331" s="8">
        <v>3.7900000000000003E-2</v>
      </c>
    </row>
    <row r="2332" spans="1:10" x14ac:dyDescent="0.25">
      <c r="A2332" s="5" t="s">
        <v>1036</v>
      </c>
      <c r="B2332" s="5" t="s">
        <v>4199</v>
      </c>
      <c r="C2332" s="6" t="str">
        <f>_xll.QS.CONTEXT.CREATE("market.2330",A2332,"USD","SOFR")</f>
        <v>QSObject:PricingContext:w1~market.2330:17809</v>
      </c>
      <c r="D2332" s="6" t="str">
        <f>_xll.QS.CONTEXT.ADD.CURVE(C2332,"SOFR",$K$2:$K$7,$L$2:$L$7,,,"Actual360","LogLinear",TRUE)</f>
        <v>QSObject:ContextInput:w1~input.qs_context_add_curve.2359132437744.2331.3.0:37968</v>
      </c>
      <c r="E2332" s="6" t="str">
        <f>_xll.QS.INSTRUMENT.SWAP("swap.2330",H2332,B2332,"USD","SOFR",I2332,J2332,0,"Actual360","Simple","Annual","Annual","Annual")</f>
        <v>QSObject:Swap:w1~swap.2330:17808</v>
      </c>
      <c r="F2332" s="6" t="str">
        <f>_xll.QS.TRADE.CREATE("trade.2330",E2332,A2332,"Receive")</f>
        <v>QSObject:SwapTrade:w1~trade.2330:29703</v>
      </c>
      <c r="G2332" s="3">
        <f>_xll.QS.EVALUATE(C2332,F2332)</f>
        <v>33828.015275803547</v>
      </c>
      <c r="H2332" s="5" t="s">
        <v>1050</v>
      </c>
      <c r="I2332" s="7">
        <v>1233000</v>
      </c>
      <c r="J2332" s="8">
        <v>3.8000000000000013E-2</v>
      </c>
    </row>
    <row r="2333" spans="1:10" x14ac:dyDescent="0.25">
      <c r="A2333" s="5" t="s">
        <v>1038</v>
      </c>
      <c r="B2333" s="5" t="s">
        <v>4200</v>
      </c>
      <c r="C2333" s="6" t="str">
        <f>_xll.QS.CONTEXT.CREATE("market.2331",A2333,"USD","SOFR")</f>
        <v>QSObject:PricingContext:w1~market.2331:17807</v>
      </c>
      <c r="D2333" s="6" t="str">
        <f>_xll.QS.CONTEXT.ADD.CURVE(C2333,"SOFR",$K$2:$K$7,$L$2:$L$7,,,"Actual360","LogLinear",TRUE)</f>
        <v>QSObject:ContextInput:w1~input.qs_context_add_curve.2359132437744.2332.3.0:37967</v>
      </c>
      <c r="E2333" s="6" t="str">
        <f>_xll.QS.INSTRUMENT.SWAP("swap.2331",H2333,B2333,"USD","SOFR",I2333,J2333,0,"Actual360","Simple","Annual","Annual","Annual")</f>
        <v>QSObject:Swap:w1~swap.2331:17806</v>
      </c>
      <c r="F2333" s="6" t="str">
        <f>_xll.QS.TRADE.CREATE("trade.2331",E2333,A2333,"Receive")</f>
        <v>QSObject:SwapTrade:w1~trade.2331:29702</v>
      </c>
      <c r="G2333" s="3">
        <f>_xll.QS.EVALUATE(C2333,F2333)</f>
        <v>34452.197755671579</v>
      </c>
      <c r="H2333" s="5" t="s">
        <v>1052</v>
      </c>
      <c r="I2333" s="7">
        <v>1233100</v>
      </c>
      <c r="J2333" s="8">
        <v>3.8100000000000002E-2</v>
      </c>
    </row>
    <row r="2334" spans="1:10" x14ac:dyDescent="0.25">
      <c r="A2334" s="5" t="s">
        <v>1040</v>
      </c>
      <c r="B2334" s="5" t="s">
        <v>4201</v>
      </c>
      <c r="C2334" s="6" t="str">
        <f>_xll.QS.CONTEXT.CREATE("market.2332",A2334,"USD","SOFR")</f>
        <v>QSObject:PricingContext:w1~market.2332:17805</v>
      </c>
      <c r="D2334" s="6" t="str">
        <f>_xll.QS.CONTEXT.ADD.CURVE(C2334,"SOFR",$K$2:$K$7,$L$2:$L$7,,,"Actual360","LogLinear",TRUE)</f>
        <v>QSObject:ContextInput:w1~input.qs_context_add_curve.2359132437744.2333.3.0:37966</v>
      </c>
      <c r="E2334" s="6" t="str">
        <f>_xll.QS.INSTRUMENT.SWAP("swap.2332",H2334,B2334,"USD","SOFR",I2334,J2334,0,"Actual360","Simple","Annual","Annual","Annual")</f>
        <v>QSObject:Swap:w1~swap.2332:17804</v>
      </c>
      <c r="F2334" s="6" t="str">
        <f>_xll.QS.TRADE.CREATE("trade.2332",E2334,A2334,"Receive")</f>
        <v>QSObject:SwapTrade:w1~trade.2332:29701</v>
      </c>
      <c r="G2334" s="3">
        <f>_xll.QS.EVALUATE(C2334,F2334)</f>
        <v>35076.623422825032</v>
      </c>
      <c r="H2334" s="5" t="s">
        <v>1054</v>
      </c>
      <c r="I2334" s="7">
        <v>1233200</v>
      </c>
      <c r="J2334" s="8">
        <v>3.8199999999999998E-2</v>
      </c>
    </row>
    <row r="2335" spans="1:10" x14ac:dyDescent="0.25">
      <c r="A2335" s="5" t="s">
        <v>1042</v>
      </c>
      <c r="B2335" s="5" t="s">
        <v>4202</v>
      </c>
      <c r="C2335" s="6" t="str">
        <f>_xll.QS.CONTEXT.CREATE("market.2333",A2335,"USD","SOFR")</f>
        <v>QSObject:PricingContext:w1~market.2333:17803</v>
      </c>
      <c r="D2335" s="6" t="str">
        <f>_xll.QS.CONTEXT.ADD.CURVE(C2335,"SOFR",$K$2:$K$7,$L$2:$L$7,,,"Actual360","LogLinear",TRUE)</f>
        <v>QSObject:ContextInput:w1~input.qs_context_add_curve.2359132437744.2334.3.0:37965</v>
      </c>
      <c r="E2335" s="6" t="str">
        <f>_xll.QS.INSTRUMENT.SWAP("swap.2333",H2335,B2335,"USD","SOFR",I2335,J2335,0,"Actual360","Simple","Annual","Annual","Annual")</f>
        <v>QSObject:Swap:w1~swap.2333:17802</v>
      </c>
      <c r="F2335" s="6" t="str">
        <f>_xll.QS.TRADE.CREATE("trade.2333",E2335,A2335,"Receive")</f>
        <v>QSObject:SwapTrade:w1~trade.2333:29700</v>
      </c>
      <c r="G2335" s="3">
        <f>_xll.QS.EVALUATE(C2335,F2335)</f>
        <v>35813.208346531785</v>
      </c>
      <c r="H2335" s="5" t="s">
        <v>1056</v>
      </c>
      <c r="I2335" s="7">
        <v>1233300</v>
      </c>
      <c r="J2335" s="8">
        <v>3.8300000000000001E-2</v>
      </c>
    </row>
    <row r="2336" spans="1:10" x14ac:dyDescent="0.25">
      <c r="A2336" s="5" t="s">
        <v>1044</v>
      </c>
      <c r="B2336" s="5" t="s">
        <v>4203</v>
      </c>
      <c r="C2336" s="6" t="str">
        <f>_xll.QS.CONTEXT.CREATE("market.2334",A2336,"USD","SOFR")</f>
        <v>QSObject:PricingContext:w1~market.2334:17801</v>
      </c>
      <c r="D2336" s="6" t="str">
        <f>_xll.QS.CONTEXT.ADD.CURVE(C2336,"SOFR",$K$2:$K$7,$L$2:$L$7,,,"Actual360","LogLinear",TRUE)</f>
        <v>QSObject:ContextInput:w1~input.qs_context_add_curve.2359132437744.2335.3.0:37964</v>
      </c>
      <c r="E2336" s="6" t="str">
        <f>_xll.QS.INSTRUMENT.SWAP("swap.2334",H2336,B2336,"USD","SOFR",I2336,J2336,0,"Actual360","Simple","Annual","Annual","Annual")</f>
        <v>QSObject:Swap:w1~swap.2334:17800</v>
      </c>
      <c r="F2336" s="6" t="str">
        <f>_xll.QS.TRADE.CREATE("trade.2334",E2336,A2336,"Receive")</f>
        <v>QSObject:SwapTrade:w1~trade.2334:29699</v>
      </c>
      <c r="G2336" s="3">
        <f>_xll.QS.EVALUATE(C2336,F2336)</f>
        <v>36396.761256974438</v>
      </c>
      <c r="H2336" s="5" t="s">
        <v>1058</v>
      </c>
      <c r="I2336" s="7">
        <v>1233400</v>
      </c>
      <c r="J2336" s="8">
        <v>3.8399999999999997E-2</v>
      </c>
    </row>
    <row r="2337" spans="1:10" x14ac:dyDescent="0.25">
      <c r="A2337" s="5" t="s">
        <v>1046</v>
      </c>
      <c r="B2337" s="5" t="s">
        <v>4204</v>
      </c>
      <c r="C2337" s="6" t="str">
        <f>_xll.QS.CONTEXT.CREATE("market.2335",A2337,"USD","SOFR")</f>
        <v>QSObject:PricingContext:w1~market.2335:17799</v>
      </c>
      <c r="D2337" s="6" t="str">
        <f>_xll.QS.CONTEXT.ADD.CURVE(C2337,"SOFR",$K$2:$K$7,$L$2:$L$7,,,"Actual360","LogLinear",TRUE)</f>
        <v>QSObject:ContextInput:w1~input.qs_context_add_curve.2359132437744.2336.3.0:37963</v>
      </c>
      <c r="E2337" s="6" t="str">
        <f>_xll.QS.INSTRUMENT.SWAP("swap.2335",H2337,B2337,"USD","SOFR",I2337,J2337,0,"Actual360","Simple","Annual","Annual","Annual")</f>
        <v>QSObject:Swap:w1~swap.2335:17798</v>
      </c>
      <c r="F2337" s="6" t="str">
        <f>_xll.QS.TRADE.CREATE("trade.2335",E2337,A2337,"Receive")</f>
        <v>QSObject:SwapTrade:w1~trade.2335:29698</v>
      </c>
      <c r="G2337" s="3">
        <f>_xll.QS.EVALUATE(C2337,F2337)</f>
        <v>36967.164271435402</v>
      </c>
      <c r="H2337" s="5" t="s">
        <v>1060</v>
      </c>
      <c r="I2337" s="7">
        <v>1233500</v>
      </c>
      <c r="J2337" s="8">
        <v>3.8500000000000013E-2</v>
      </c>
    </row>
    <row r="2338" spans="1:10" x14ac:dyDescent="0.25">
      <c r="A2338" s="5" t="s">
        <v>1048</v>
      </c>
      <c r="B2338" s="5" t="s">
        <v>4205</v>
      </c>
      <c r="C2338" s="6" t="str">
        <f>_xll.QS.CONTEXT.CREATE("market.2336",A2338,"USD","SOFR")</f>
        <v>QSObject:PricingContext:w1~market.2336:17797</v>
      </c>
      <c r="D2338" s="6" t="str">
        <f>_xll.QS.CONTEXT.ADD.CURVE(C2338,"SOFR",$K$2:$K$7,$L$2:$L$7,,,"Actual360","LogLinear",TRUE)</f>
        <v>QSObject:ContextInput:w1~input.qs_context_add_curve.2359132437744.2337.3.0:37962</v>
      </c>
      <c r="E2338" s="6" t="str">
        <f>_xll.QS.INSTRUMENT.SWAP("swap.2336",H2338,B2338,"USD","SOFR",I2338,J2338,0,"Actual360","Simple","Annual","Annual","Annual")</f>
        <v>QSObject:Swap:w1~swap.2336:17796</v>
      </c>
      <c r="F2338" s="6" t="str">
        <f>_xll.QS.TRADE.CREATE("trade.2336",E2338,A2338,"Receive")</f>
        <v>QSObject:SwapTrade:w1~trade.2336:29697</v>
      </c>
      <c r="G2338" s="3">
        <f>_xll.QS.EVALUATE(C2338,F2338)</f>
        <v>37442.758371603872</v>
      </c>
      <c r="H2338" s="5" t="s">
        <v>1062</v>
      </c>
      <c r="I2338" s="7">
        <v>1233600</v>
      </c>
      <c r="J2338" s="8">
        <v>3.8600000000000002E-2</v>
      </c>
    </row>
    <row r="2339" spans="1:10" x14ac:dyDescent="0.25">
      <c r="A2339" s="5" t="s">
        <v>1050</v>
      </c>
      <c r="B2339" s="5" t="s">
        <v>4206</v>
      </c>
      <c r="C2339" s="6" t="str">
        <f>_xll.QS.CONTEXT.CREATE("market.2337",A2339,"USD","SOFR")</f>
        <v>QSObject:PricingContext:w1~market.2337:17795</v>
      </c>
      <c r="D2339" s="6" t="str">
        <f>_xll.QS.CONTEXT.ADD.CURVE(C2339,"SOFR",$K$2:$K$7,$L$2:$L$7,,,"Actual360","LogLinear",TRUE)</f>
        <v>QSObject:ContextInput:w1~input.qs_context_add_curve.2359132437744.2338.3.0:37961</v>
      </c>
      <c r="E2339" s="6" t="str">
        <f>_xll.QS.INSTRUMENT.SWAP("swap.2337",H2339,B2339,"USD","SOFR",I2339,J2339,0,"Actual360","Simple","Annual","Annual","Annual")</f>
        <v>QSObject:Swap:w1~swap.2337:17794</v>
      </c>
      <c r="F2339" s="6" t="str">
        <f>_xll.QS.TRADE.CREATE("trade.2337",E2339,A2339,"Receive")</f>
        <v>QSObject:SwapTrade:w1~trade.2337:29696</v>
      </c>
      <c r="G2339" s="3">
        <f>_xll.QS.EVALUATE(C2339,F2339)</f>
        <v>37932.768600459262</v>
      </c>
      <c r="H2339" s="5" t="s">
        <v>1064</v>
      </c>
      <c r="I2339" s="7">
        <v>1233700</v>
      </c>
      <c r="J2339" s="8">
        <v>3.8700000000000012E-2</v>
      </c>
    </row>
    <row r="2340" spans="1:10" x14ac:dyDescent="0.25">
      <c r="A2340" s="5" t="s">
        <v>1052</v>
      </c>
      <c r="B2340" s="5" t="s">
        <v>4207</v>
      </c>
      <c r="C2340" s="6" t="str">
        <f>_xll.QS.CONTEXT.CREATE("market.2338",A2340,"USD","SOFR")</f>
        <v>QSObject:PricingContext:w1~market.2338:17793</v>
      </c>
      <c r="D2340" s="6" t="str">
        <f>_xll.QS.CONTEXT.ADD.CURVE(C2340,"SOFR",$K$2:$K$7,$L$2:$L$7,,,"Actual360","LogLinear",TRUE)</f>
        <v>QSObject:ContextInput:w1~input.qs_context_add_curve.2359132437744.2339.3.0:37960</v>
      </c>
      <c r="E2340" s="6" t="str">
        <f>_xll.QS.INSTRUMENT.SWAP("swap.2338",H2340,B2340,"USD","SOFR",I2340,J2340,0,"Actual360","Simple","Annual","Annual","Annual")</f>
        <v>QSObject:Swap:w1~swap.2338:17792</v>
      </c>
      <c r="F2340" s="6" t="str">
        <f>_xll.QS.TRADE.CREATE("trade.2338",E2340,A2340,"Receive")</f>
        <v>QSObject:SwapTrade:w1~trade.2338:29695</v>
      </c>
      <c r="G2340" s="3">
        <f>_xll.QS.EVALUATE(C2340,F2340)</f>
        <v>38507.947761892872</v>
      </c>
      <c r="H2340" s="5" t="s">
        <v>1066</v>
      </c>
      <c r="I2340" s="7">
        <v>1233800</v>
      </c>
      <c r="J2340" s="8">
        <v>3.8800000000000001E-2</v>
      </c>
    </row>
    <row r="2341" spans="1:10" x14ac:dyDescent="0.25">
      <c r="A2341" s="5" t="s">
        <v>1054</v>
      </c>
      <c r="B2341" s="5" t="s">
        <v>4208</v>
      </c>
      <c r="C2341" s="6" t="str">
        <f>_xll.QS.CONTEXT.CREATE("market.2339",A2341,"USD","SOFR")</f>
        <v>QSObject:PricingContext:w1~market.2339:17791</v>
      </c>
      <c r="D2341" s="6" t="str">
        <f>_xll.QS.CONTEXT.ADD.CURVE(C2341,"SOFR",$K$2:$K$7,$L$2:$L$7,,,"Actual360","LogLinear",TRUE)</f>
        <v>QSObject:ContextInput:w1~input.qs_context_add_curve.2359132437744.2340.3.0:37959</v>
      </c>
      <c r="E2341" s="6" t="str">
        <f>_xll.QS.INSTRUMENT.SWAP("swap.2339",H2341,B2341,"USD","SOFR",I2341,J2341,0,"Actual360","Simple","Annual","Annual","Annual")</f>
        <v>QSObject:Swap:w1~swap.2339:17790</v>
      </c>
      <c r="F2341" s="6" t="str">
        <f>_xll.QS.TRADE.CREATE("trade.2339",E2341,A2341,"Receive")</f>
        <v>QSObject:SwapTrade:w1~trade.2339:29694</v>
      </c>
      <c r="G2341" s="3">
        <f>_xll.QS.EVALUATE(C2341,F2341)</f>
        <v>39107.684272023864</v>
      </c>
      <c r="H2341" s="5" t="s">
        <v>1068</v>
      </c>
      <c r="I2341" s="7">
        <v>1233900</v>
      </c>
      <c r="J2341" s="8">
        <v>3.8899999999999997E-2</v>
      </c>
    </row>
    <row r="2342" spans="1:10" x14ac:dyDescent="0.25">
      <c r="A2342" s="5" t="s">
        <v>1056</v>
      </c>
      <c r="B2342" s="5" t="s">
        <v>4209</v>
      </c>
      <c r="C2342" s="6" t="str">
        <f>_xll.QS.CONTEXT.CREATE("market.2340",A2342,"USD","SOFR")</f>
        <v>QSObject:PricingContext:w1~market.2340:17789</v>
      </c>
      <c r="D2342" s="6" t="str">
        <f>_xll.QS.CONTEXT.ADD.CURVE(C2342,"SOFR",$K$2:$K$7,$L$2:$L$7,,,"Actual360","LogLinear",TRUE)</f>
        <v>QSObject:ContextInput:w1~input.qs_context_add_curve.2359132437744.2341.3.0:37958</v>
      </c>
      <c r="E2342" s="6" t="str">
        <f>_xll.QS.INSTRUMENT.SWAP("swap.2340",H2342,B2342,"USD","SOFR",I2342,J2342,0,"Actual360","Simple","Annual","Annual","Annual")</f>
        <v>QSObject:Swap:w1~swap.2340:17788</v>
      </c>
      <c r="F2342" s="6" t="str">
        <f>_xll.QS.TRADE.CREATE("trade.2340",E2342,A2342,"Receive")</f>
        <v>QSObject:SwapTrade:w1~trade.2340:29693</v>
      </c>
      <c r="G2342" s="3">
        <f>_xll.QS.EVALUATE(C2342,F2342)</f>
        <v>39770.675617444424</v>
      </c>
      <c r="H2342" s="5" t="s">
        <v>1070</v>
      </c>
      <c r="I2342" s="7">
        <v>1234000</v>
      </c>
      <c r="J2342" s="8">
        <v>3.9000000000000007E-2</v>
      </c>
    </row>
    <row r="2343" spans="1:10" x14ac:dyDescent="0.25">
      <c r="A2343" s="5" t="s">
        <v>1058</v>
      </c>
      <c r="B2343" s="5" t="s">
        <v>4210</v>
      </c>
      <c r="C2343" s="6" t="str">
        <f>_xll.QS.CONTEXT.CREATE("market.2341",A2343,"USD","SOFR")</f>
        <v>QSObject:PricingContext:w1~market.2341:17787</v>
      </c>
      <c r="D2343" s="6" t="str">
        <f>_xll.QS.CONTEXT.ADD.CURVE(C2343,"SOFR",$K$2:$K$7,$L$2:$L$7,,,"Actual360","LogLinear",TRUE)</f>
        <v>QSObject:ContextInput:w1~input.qs_context_add_curve.2359132437744.2342.3.0:37957</v>
      </c>
      <c r="E2343" s="6" t="str">
        <f>_xll.QS.INSTRUMENT.SWAP("swap.2341",H2343,B2343,"USD","SOFR",I2343,J2343,0,"Actual360","Simple","Annual","Annual","Annual")</f>
        <v>QSObject:Swap:w1~swap.2341:17786</v>
      </c>
      <c r="F2343" s="6" t="str">
        <f>_xll.QS.TRADE.CREATE("trade.2341",E2343,A2343,"Receive")</f>
        <v>QSObject:SwapTrade:w1~trade.2341:29692</v>
      </c>
      <c r="G2343" s="3">
        <f>_xll.QS.EVALUATE(C2343,F2343)</f>
        <v>40397.35780247458</v>
      </c>
      <c r="H2343" s="5" t="s">
        <v>1072</v>
      </c>
      <c r="I2343" s="7">
        <v>1234100</v>
      </c>
      <c r="J2343" s="8">
        <v>3.9100000000000003E-2</v>
      </c>
    </row>
    <row r="2344" spans="1:10" x14ac:dyDescent="0.25">
      <c r="A2344" s="5" t="s">
        <v>1060</v>
      </c>
      <c r="B2344" s="5" t="s">
        <v>4211</v>
      </c>
      <c r="C2344" s="6" t="str">
        <f>_xll.QS.CONTEXT.CREATE("market.2342",A2344,"USD","SOFR")</f>
        <v>QSObject:PricingContext:w1~market.2342:17785</v>
      </c>
      <c r="D2344" s="6" t="str">
        <f>_xll.QS.CONTEXT.ADD.CURVE(C2344,"SOFR",$K$2:$K$7,$L$2:$L$7,,,"Actual360","LogLinear",TRUE)</f>
        <v>QSObject:ContextInput:w1~input.qs_context_add_curve.2359132437744.2343.3.0:37956</v>
      </c>
      <c r="E2344" s="6" t="str">
        <f>_xll.QS.INSTRUMENT.SWAP("swap.2342",H2344,B2344,"USD","SOFR",I2344,J2344,0,"Actual360","Simple","Annual","Annual","Annual")</f>
        <v>QSObject:Swap:w1~swap.2342:17784</v>
      </c>
      <c r="F2344" s="6" t="str">
        <f>_xll.QS.TRADE.CREATE("trade.2342",E2344,A2344,"Receive")</f>
        <v>QSObject:SwapTrade:w1~trade.2342:29691</v>
      </c>
      <c r="G2344" s="3">
        <f>_xll.QS.EVALUATE(C2344,F2344)</f>
        <v>40922.105588099977</v>
      </c>
      <c r="H2344" s="5" t="s">
        <v>1074</v>
      </c>
      <c r="I2344" s="7">
        <v>1234200</v>
      </c>
      <c r="J2344" s="8">
        <v>3.9200000000000013E-2</v>
      </c>
    </row>
    <row r="2345" spans="1:10" x14ac:dyDescent="0.25">
      <c r="A2345" s="5" t="s">
        <v>1062</v>
      </c>
      <c r="B2345" s="5" t="s">
        <v>4212</v>
      </c>
      <c r="C2345" s="6" t="str">
        <f>_xll.QS.CONTEXT.CREATE("market.2343",A2345,"USD","SOFR")</f>
        <v>QSObject:PricingContext:w1~market.2343:17783</v>
      </c>
      <c r="D2345" s="6" t="str">
        <f>_xll.QS.CONTEXT.ADD.CURVE(C2345,"SOFR",$K$2:$K$7,$L$2:$L$7,,,"Actual360","LogLinear",TRUE)</f>
        <v>QSObject:ContextInput:w1~input.qs_context_add_curve.2359132437744.2344.3.0:37955</v>
      </c>
      <c r="E2345" s="6" t="str">
        <f>_xll.QS.INSTRUMENT.SWAP("swap.2343",H2345,B2345,"USD","SOFR",I2345,J2345,0,"Actual360","Simple","Annual","Annual","Annual")</f>
        <v>QSObject:Swap:w1~swap.2343:17782</v>
      </c>
      <c r="F2345" s="6" t="str">
        <f>_xll.QS.TRADE.CREATE("trade.2343",E2345,A2345,"Receive")</f>
        <v>QSObject:SwapTrade:w1~trade.2343:29690</v>
      </c>
      <c r="G2345" s="3">
        <f>_xll.QS.EVALUATE(C2345,F2345)</f>
        <v>41393.722624259339</v>
      </c>
      <c r="H2345" s="5" t="s">
        <v>1076</v>
      </c>
      <c r="I2345" s="7">
        <v>1234300</v>
      </c>
      <c r="J2345" s="8">
        <v>3.9300000000000002E-2</v>
      </c>
    </row>
    <row r="2346" spans="1:10" x14ac:dyDescent="0.25">
      <c r="A2346" s="5" t="s">
        <v>1064</v>
      </c>
      <c r="B2346" s="5" t="s">
        <v>4213</v>
      </c>
      <c r="C2346" s="6" t="str">
        <f>_xll.QS.CONTEXT.CREATE("market.2344",A2346,"USD","SOFR")</f>
        <v>QSObject:PricingContext:w1~market.2344:17781</v>
      </c>
      <c r="D2346" s="6" t="str">
        <f>_xll.QS.CONTEXT.ADD.CURVE(C2346,"SOFR",$K$2:$K$7,$L$2:$L$7,,,"Actual360","LogLinear",TRUE)</f>
        <v>QSObject:ContextInput:w1~input.qs_context_add_curve.2359132437744.2345.3.0:37954</v>
      </c>
      <c r="E2346" s="6" t="str">
        <f>_xll.QS.INSTRUMENT.SWAP("swap.2344",H2346,B2346,"USD","SOFR",I2346,J2346,0,"Actual360","Simple","Annual","Annual","Annual")</f>
        <v>QSObject:Swap:w1~swap.2344:17780</v>
      </c>
      <c r="F2346" s="6" t="str">
        <f>_xll.QS.TRADE.CREATE("trade.2344",E2346,A2346,"Receive")</f>
        <v>QSObject:SwapTrade:w1~trade.2344:29689</v>
      </c>
      <c r="G2346" s="3">
        <f>_xll.QS.EVALUATE(C2346,F2346)</f>
        <v>41890.632542145009</v>
      </c>
      <c r="H2346" s="5" t="s">
        <v>1078</v>
      </c>
      <c r="I2346" s="7">
        <v>1234400</v>
      </c>
      <c r="J2346" s="8">
        <v>3.9399999999999998E-2</v>
      </c>
    </row>
    <row r="2347" spans="1:10" x14ac:dyDescent="0.25">
      <c r="A2347" s="5" t="s">
        <v>1066</v>
      </c>
      <c r="B2347" s="5" t="s">
        <v>4214</v>
      </c>
      <c r="C2347" s="6" t="str">
        <f>_xll.QS.CONTEXT.CREATE("market.2345",A2347,"USD","SOFR")</f>
        <v>QSObject:PricingContext:w1~market.2345:17779</v>
      </c>
      <c r="D2347" s="6" t="str">
        <f>_xll.QS.CONTEXT.ADD.CURVE(C2347,"SOFR",$K$2:$K$7,$L$2:$L$7,,,"Actual360","LogLinear",TRUE)</f>
        <v>QSObject:ContextInput:w1~input.qs_context_add_curve.2359132437744.2346.3.0:37953</v>
      </c>
      <c r="E2347" s="6" t="str">
        <f>_xll.QS.INSTRUMENT.SWAP("swap.2345",H2347,B2347,"USD","SOFR",I2347,J2347,0,"Actual360","Simple","Annual","Annual","Annual")</f>
        <v>QSObject:Swap:w1~swap.2345:17778</v>
      </c>
      <c r="F2347" s="6" t="str">
        <f>_xll.QS.TRADE.CREATE("trade.2345",E2347,A2347,"Receive")</f>
        <v>QSObject:SwapTrade:w1~trade.2345:29688</v>
      </c>
      <c r="G2347" s="3">
        <f>_xll.QS.EVALUATE(C2347,F2347)</f>
        <v>42516.629369652081</v>
      </c>
      <c r="H2347" s="5" t="s">
        <v>1080</v>
      </c>
      <c r="I2347" s="7">
        <v>1234500</v>
      </c>
      <c r="J2347" s="8">
        <v>3.9500000000000007E-2</v>
      </c>
    </row>
    <row r="2348" spans="1:10" x14ac:dyDescent="0.25">
      <c r="A2348" s="5" t="s">
        <v>1068</v>
      </c>
      <c r="B2348" s="5" t="s">
        <v>4215</v>
      </c>
      <c r="C2348" s="6" t="str">
        <f>_xll.QS.CONTEXT.CREATE("market.2346",A2348,"USD","SOFR")</f>
        <v>QSObject:PricingContext:w1~market.2346:17777</v>
      </c>
      <c r="D2348" s="6" t="str">
        <f>_xll.QS.CONTEXT.ADD.CURVE(C2348,"SOFR",$K$2:$K$7,$L$2:$L$7,,,"Actual360","LogLinear",TRUE)</f>
        <v>QSObject:ContextInput:w1~input.qs_context_add_curve.2359132437744.2347.3.0:37952</v>
      </c>
      <c r="E2348" s="6" t="str">
        <f>_xll.QS.INSTRUMENT.SWAP("swap.2346",H2348,B2348,"USD","SOFR",I2348,J2348,0,"Actual360","Simple","Annual","Annual","Annual")</f>
        <v>QSObject:Swap:w1~swap.2346:17776</v>
      </c>
      <c r="F2348" s="6" t="str">
        <f>_xll.QS.TRADE.CREATE("trade.2346",E2348,A2348,"Receive")</f>
        <v>QSObject:SwapTrade:w1~trade.2346:29423</v>
      </c>
      <c r="G2348" s="3">
        <f>_xll.QS.EVALUATE(C2348,F2348)</f>
        <v>43115.919747449858</v>
      </c>
      <c r="H2348" s="5" t="s">
        <v>1082</v>
      </c>
      <c r="I2348" s="7">
        <v>1234600</v>
      </c>
      <c r="J2348" s="8">
        <v>3.9600000000000003E-2</v>
      </c>
    </row>
    <row r="2349" spans="1:10" x14ac:dyDescent="0.25">
      <c r="A2349" s="5" t="s">
        <v>1070</v>
      </c>
      <c r="B2349" s="5" t="s">
        <v>4216</v>
      </c>
      <c r="C2349" s="6" t="str">
        <f>_xll.QS.CONTEXT.CREATE("market.2347",A2349,"USD","SOFR")</f>
        <v>QSObject:PricingContext:w1~market.2347:17775</v>
      </c>
      <c r="D2349" s="6" t="str">
        <f>_xll.QS.CONTEXT.ADD.CURVE(C2349,"SOFR",$K$2:$K$7,$L$2:$L$7,,,"Actual360","LogLinear",TRUE)</f>
        <v>QSObject:ContextInput:w1~input.qs_context_add_curve.2359132437744.2348.3.0:37951</v>
      </c>
      <c r="E2349" s="6" t="str">
        <f>_xll.QS.INSTRUMENT.SWAP("swap.2347",H2349,B2349,"USD","SOFR",I2349,J2349,0,"Actual360","Simple","Annual","Annual","Annual")</f>
        <v>QSObject:Swap:w1~swap.2347:17774</v>
      </c>
      <c r="F2349" s="6" t="str">
        <f>_xll.QS.TRADE.CREATE("trade.2347",E2349,A2349,"Receive")</f>
        <v>QSObject:SwapTrade:w1~trade.2347:29422</v>
      </c>
      <c r="G2349" s="3">
        <f>_xll.QS.EVALUATE(C2349,F2349)</f>
        <v>43779.155292453892</v>
      </c>
      <c r="H2349" s="5" t="s">
        <v>1084</v>
      </c>
      <c r="I2349" s="7">
        <v>1234700</v>
      </c>
      <c r="J2349" s="8">
        <v>3.9700000000000013E-2</v>
      </c>
    </row>
    <row r="2350" spans="1:10" x14ac:dyDescent="0.25">
      <c r="A2350" s="5" t="s">
        <v>1072</v>
      </c>
      <c r="B2350" s="5" t="s">
        <v>4217</v>
      </c>
      <c r="C2350" s="6" t="str">
        <f>_xll.QS.CONTEXT.CREATE("market.2348",A2350,"USD","SOFR")</f>
        <v>QSObject:PricingContext:w1~market.2348:17773</v>
      </c>
      <c r="D2350" s="6" t="str">
        <f>_xll.QS.CONTEXT.ADD.CURVE(C2350,"SOFR",$K$2:$K$7,$L$2:$L$7,,,"Actual360","LogLinear",TRUE)</f>
        <v>QSObject:ContextInput:w1~input.qs_context_add_curve.2359132437744.2349.3.0:37950</v>
      </c>
      <c r="E2350" s="6" t="str">
        <f>_xll.QS.INSTRUMENT.SWAP("swap.2348",H2350,B2350,"USD","SOFR",I2350,J2350,0,"Actual360","Simple","Annual","Annual","Annual")</f>
        <v>QSObject:Swap:w1~swap.2348:17772</v>
      </c>
      <c r="F2350" s="6" t="str">
        <f>_xll.QS.TRADE.CREATE("trade.2348",E2350,A2350,"Receive")</f>
        <v>QSObject:SwapTrade:w1~trade.2348:29421</v>
      </c>
      <c r="G2350" s="3">
        <f>_xll.QS.EVALUATE(C2350,F2350)</f>
        <v>44406.217673064675</v>
      </c>
      <c r="H2350" s="5" t="s">
        <v>1086</v>
      </c>
      <c r="I2350" s="7">
        <v>1234800</v>
      </c>
      <c r="J2350" s="8">
        <v>3.9800000000000002E-2</v>
      </c>
    </row>
    <row r="2351" spans="1:10" x14ac:dyDescent="0.25">
      <c r="A2351" s="5" t="s">
        <v>1074</v>
      </c>
      <c r="B2351" s="5" t="s">
        <v>4218</v>
      </c>
      <c r="C2351" s="6" t="str">
        <f>_xll.QS.CONTEXT.CREATE("market.2349",A2351,"USD","SOFR")</f>
        <v>QSObject:PricingContext:w1~market.2349:17771</v>
      </c>
      <c r="D2351" s="6" t="str">
        <f>_xll.QS.CONTEXT.ADD.CURVE(C2351,"SOFR",$K$2:$K$7,$L$2:$L$7,,,"Actual360","LogLinear",TRUE)</f>
        <v>QSObject:ContextInput:w1~input.qs_context_add_curve.2359132437744.2350.3.0:37949</v>
      </c>
      <c r="E2351" s="6" t="str">
        <f>_xll.QS.INSTRUMENT.SWAP("swap.2349",H2351,B2351,"USD","SOFR",I2351,J2351,0,"Actual360","Simple","Annual","Annual","Annual")</f>
        <v>QSObject:Swap:w1~swap.2349:17770</v>
      </c>
      <c r="F2351" s="6" t="str">
        <f>_xll.QS.TRADE.CREATE("trade.2349",E2351,A2351,"Receive")</f>
        <v>QSObject:SwapTrade:w1~trade.2349:29420</v>
      </c>
      <c r="G2351" s="3">
        <f>_xll.QS.EVALUATE(C2351,F2351)</f>
        <v>44931.542526223158</v>
      </c>
      <c r="H2351" s="5" t="s">
        <v>1088</v>
      </c>
      <c r="I2351" s="7">
        <v>1234900</v>
      </c>
      <c r="J2351" s="8">
        <v>3.9899999999999998E-2</v>
      </c>
    </row>
    <row r="2352" spans="1:10" x14ac:dyDescent="0.25">
      <c r="A2352" s="5" t="s">
        <v>1076</v>
      </c>
      <c r="B2352" s="5" t="s">
        <v>4219</v>
      </c>
      <c r="C2352" s="6" t="str">
        <f>_xll.QS.CONTEXT.CREATE("market.2350",A2352,"USD","SOFR")</f>
        <v>QSObject:PricingContext:w1~market.2350:17769</v>
      </c>
      <c r="D2352" s="6" t="str">
        <f>_xll.QS.CONTEXT.ADD.CURVE(C2352,"SOFR",$K$2:$K$7,$L$2:$L$7,,,"Actual360","LogLinear",TRUE)</f>
        <v>QSObject:ContextInput:w1~input.qs_context_add_curve.2359132437744.2351.3.0:37948</v>
      </c>
      <c r="E2352" s="6" t="str">
        <f>_xll.QS.INSTRUMENT.SWAP("swap.2350",H2352,B2352,"USD","SOFR",I2352,J2352,0,"Actual360","Simple","Annual","Annual","Annual")</f>
        <v>QSObject:Swap:w1~swap.2350:17768</v>
      </c>
      <c r="F2352" s="6" t="str">
        <f>_xll.QS.TRADE.CREATE("trade.2350",E2352,A2352,"Receive")</f>
        <v>QSObject:SwapTrade:w1~trade.2350:29419</v>
      </c>
      <c r="G2352" s="3">
        <f>_xll.QS.EVALUATE(C2352,F2352)</f>
        <v>16957.241922842462</v>
      </c>
      <c r="H2352" s="5" t="s">
        <v>1090</v>
      </c>
      <c r="I2352" s="7">
        <v>1235000</v>
      </c>
      <c r="J2352" s="8">
        <v>3.5000000000000003E-2</v>
      </c>
    </row>
    <row r="2353" spans="1:10" x14ac:dyDescent="0.25">
      <c r="A2353" s="5" t="s">
        <v>1078</v>
      </c>
      <c r="B2353" s="5" t="s">
        <v>4220</v>
      </c>
      <c r="C2353" s="6" t="str">
        <f>_xll.QS.CONTEXT.CREATE("market.2351",A2353,"USD","SOFR")</f>
        <v>QSObject:PricingContext:w1~market.2351:17767</v>
      </c>
      <c r="D2353" s="6" t="str">
        <f>_xll.QS.CONTEXT.ADD.CURVE(C2353,"SOFR",$K$2:$K$7,$L$2:$L$7,,,"Actual360","LogLinear",TRUE)</f>
        <v>QSObject:ContextInput:w1~input.qs_context_add_curve.2359132437744.2352.3.0:37947</v>
      </c>
      <c r="E2353" s="6" t="str">
        <f>_xll.QS.INSTRUMENT.SWAP("swap.2351",H2353,B2353,"USD","SOFR",I2353,J2353,0,"Actual360","Simple","Annual","Annual","Annual")</f>
        <v>QSObject:Swap:w1~swap.2351:17766</v>
      </c>
      <c r="F2353" s="6" t="str">
        <f>_xll.QS.TRADE.CREATE("trade.2351",E2353,A2353,"Receive")</f>
        <v>QSObject:SwapTrade:w1~trade.2351:29418</v>
      </c>
      <c r="G2353" s="3">
        <f>_xll.QS.EVALUATE(C2353,F2353)</f>
        <v>17414.48712502198</v>
      </c>
      <c r="H2353" s="5" t="s">
        <v>1092</v>
      </c>
      <c r="I2353" s="7">
        <v>1235100</v>
      </c>
      <c r="J2353" s="8">
        <v>3.5100000000000013E-2</v>
      </c>
    </row>
    <row r="2354" spans="1:10" x14ac:dyDescent="0.25">
      <c r="A2354" s="5" t="s">
        <v>1080</v>
      </c>
      <c r="B2354" s="5" t="s">
        <v>4221</v>
      </c>
      <c r="C2354" s="6" t="str">
        <f>_xll.QS.CONTEXT.CREATE("market.2352",A2354,"USD","SOFR")</f>
        <v>QSObject:PricingContext:w1~market.2352:17765</v>
      </c>
      <c r="D2354" s="6" t="str">
        <f>_xll.QS.CONTEXT.ADD.CURVE(C2354,"SOFR",$K$2:$K$7,$L$2:$L$7,,,"Actual360","LogLinear",TRUE)</f>
        <v>QSObject:ContextInput:w1~input.qs_context_add_curve.2359132437744.2353.3.0:37946</v>
      </c>
      <c r="E2354" s="6" t="str">
        <f>_xll.QS.INSTRUMENT.SWAP("swap.2352",H2354,B2354,"USD","SOFR",I2354,J2354,0,"Actual360","Simple","Annual","Annual","Annual")</f>
        <v>QSObject:Swap:w1~swap.2352:17764</v>
      </c>
      <c r="F2354" s="6" t="str">
        <f>_xll.QS.TRADE.CREATE("trade.2352",E2354,A2354,"Receive")</f>
        <v>QSObject:SwapTrade:w1~trade.2352:29417</v>
      </c>
      <c r="G2354" s="3">
        <f>_xll.QS.EVALUATE(C2354,F2354)</f>
        <v>18036.472878142406</v>
      </c>
      <c r="H2354" s="5" t="s">
        <v>1094</v>
      </c>
      <c r="I2354" s="7">
        <v>1235200</v>
      </c>
      <c r="J2354" s="8">
        <v>3.5200000000000002E-2</v>
      </c>
    </row>
    <row r="2355" spans="1:10" x14ac:dyDescent="0.25">
      <c r="A2355" s="5" t="s">
        <v>1082</v>
      </c>
      <c r="B2355" s="5" t="s">
        <v>4222</v>
      </c>
      <c r="C2355" s="6" t="str">
        <f>_xll.QS.CONTEXT.CREATE("market.2353",A2355,"USD","SOFR")</f>
        <v>QSObject:PricingContext:w1~market.2353:17763</v>
      </c>
      <c r="D2355" s="6" t="str">
        <f>_xll.QS.CONTEXT.ADD.CURVE(C2355,"SOFR",$K$2:$K$7,$L$2:$L$7,,,"Actual360","LogLinear",TRUE)</f>
        <v>QSObject:ContextInput:w1~input.qs_context_add_curve.2359132437744.2354.3.0:37945</v>
      </c>
      <c r="E2355" s="6" t="str">
        <f>_xll.QS.INSTRUMENT.SWAP("swap.2353",H2355,B2355,"USD","SOFR",I2355,J2355,0,"Actual360","Simple","Annual","Annual","Annual")</f>
        <v>QSObject:Swap:w1~swap.2353:17762</v>
      </c>
      <c r="F2355" s="6" t="str">
        <f>_xll.QS.TRADE.CREATE("trade.2353",E2355,A2355,"Receive")</f>
        <v>QSObject:SwapTrade:w1~trade.2353:29416</v>
      </c>
      <c r="G2355" s="3">
        <f>_xll.QS.EVALUATE(C2355,F2355)</f>
        <v>18645.999784065345</v>
      </c>
      <c r="H2355" s="5" t="s">
        <v>1096</v>
      </c>
      <c r="I2355" s="7">
        <v>1235300</v>
      </c>
      <c r="J2355" s="8">
        <v>3.5299999999999998E-2</v>
      </c>
    </row>
    <row r="2356" spans="1:10" x14ac:dyDescent="0.25">
      <c r="A2356" s="5" t="s">
        <v>1084</v>
      </c>
      <c r="B2356" s="5" t="s">
        <v>4223</v>
      </c>
      <c r="C2356" s="6" t="str">
        <f>_xll.QS.CONTEXT.CREATE("market.2354",A2356,"USD","SOFR")</f>
        <v>QSObject:PricingContext:w1~market.2354:17761</v>
      </c>
      <c r="D2356" s="6" t="str">
        <f>_xll.QS.CONTEXT.ADD.CURVE(C2356,"SOFR",$K$2:$K$7,$L$2:$L$7,,,"Actual360","LogLinear",TRUE)</f>
        <v>QSObject:ContextInput:w1~input.qs_context_add_curve.2359132437744.2355.3.0:37944</v>
      </c>
      <c r="E2356" s="6" t="str">
        <f>_xll.QS.INSTRUMENT.SWAP("swap.2354",H2356,B2356,"USD","SOFR",I2356,J2356,0,"Actual360","Simple","Annual","Annual","Annual")</f>
        <v>QSObject:Swap:w1~swap.2354:17760</v>
      </c>
      <c r="F2356" s="6" t="str">
        <f>_xll.QS.TRADE.CREATE("trade.2354",E2356,A2356,"Receive")</f>
        <v>QSObject:SwapTrade:w1~trade.2354:29415</v>
      </c>
      <c r="G2356" s="3">
        <f>_xll.QS.EVALUATE(C2356,F2356)</f>
        <v>19307.263017121404</v>
      </c>
      <c r="H2356" s="5" t="s">
        <v>1098</v>
      </c>
      <c r="I2356" s="7">
        <v>1235400</v>
      </c>
      <c r="J2356" s="8">
        <v>3.5400000000000001E-2</v>
      </c>
    </row>
    <row r="2357" spans="1:10" x14ac:dyDescent="0.25">
      <c r="A2357" s="5" t="s">
        <v>1086</v>
      </c>
      <c r="B2357" s="5" t="s">
        <v>4224</v>
      </c>
      <c r="C2357" s="6" t="str">
        <f>_xll.QS.CONTEXT.CREATE("market.2355",A2357,"USD","SOFR")</f>
        <v>QSObject:PricingContext:w1~market.2355:17759</v>
      </c>
      <c r="D2357" s="6" t="str">
        <f>_xll.QS.CONTEXT.ADD.CURVE(C2357,"SOFR",$K$2:$K$7,$L$2:$L$7,,,"Actual360","LogLinear",TRUE)</f>
        <v>QSObject:ContextInput:w1~input.qs_context_add_curve.2359132437744.2356.3.0:37943</v>
      </c>
      <c r="E2357" s="6" t="str">
        <f>_xll.QS.INSTRUMENT.SWAP("swap.2355",H2357,B2357,"USD","SOFR",I2357,J2357,0,"Actual360","Simple","Annual","Annual","Annual")</f>
        <v>QSObject:Swap:w1~swap.2355:17758</v>
      </c>
      <c r="F2357" s="6" t="str">
        <f>_xll.QS.TRADE.CREATE("trade.2355",E2357,A2357,"Receive")</f>
        <v>QSObject:SwapTrade:w1~trade.2355:29414</v>
      </c>
      <c r="G2357" s="3">
        <f>_xll.QS.EVALUATE(C2357,F2357)</f>
        <v>19932.414679349713</v>
      </c>
      <c r="H2357" s="5" t="s">
        <v>1100</v>
      </c>
      <c r="I2357" s="7">
        <v>1235500</v>
      </c>
      <c r="J2357" s="8">
        <v>3.5499999999999997E-2</v>
      </c>
    </row>
    <row r="2358" spans="1:10" x14ac:dyDescent="0.25">
      <c r="A2358" s="5" t="s">
        <v>1088</v>
      </c>
      <c r="B2358" s="5" t="s">
        <v>4225</v>
      </c>
      <c r="C2358" s="6" t="str">
        <f>_xll.QS.CONTEXT.CREATE("market.2356",A2358,"USD","SOFR")</f>
        <v>QSObject:PricingContext:w1~market.2356:17757</v>
      </c>
      <c r="D2358" s="6" t="str">
        <f>_xll.QS.CONTEXT.ADD.CURVE(C2358,"SOFR",$K$2:$K$7,$L$2:$L$7,,,"Actual360","LogLinear",TRUE)</f>
        <v>QSObject:ContextInput:w1~input.qs_context_add_curve.2359132437744.2357.3.0:37942</v>
      </c>
      <c r="E2358" s="6" t="str">
        <f>_xll.QS.INSTRUMENT.SWAP("swap.2356",H2358,B2358,"USD","SOFR",I2358,J2358,0,"Actual360","Simple","Annual","Annual","Annual")</f>
        <v>QSObject:Swap:w1~swap.2356:17756</v>
      </c>
      <c r="F2358" s="6" t="str">
        <f>_xll.QS.TRADE.CREATE("trade.2356",E2358,A2358,"Receive")</f>
        <v>QSObject:SwapTrade:w1~trade.2356:29413</v>
      </c>
      <c r="G2358" s="3">
        <f>_xll.QS.EVALUATE(C2358,F2358)</f>
        <v>20456.315536002432</v>
      </c>
      <c r="H2358" s="5" t="s">
        <v>1102</v>
      </c>
      <c r="I2358" s="7">
        <v>1235600</v>
      </c>
      <c r="J2358" s="8">
        <v>3.5600000000000007E-2</v>
      </c>
    </row>
    <row r="2359" spans="1:10" x14ac:dyDescent="0.25">
      <c r="A2359" s="5" t="s">
        <v>1090</v>
      </c>
      <c r="B2359" s="5" t="s">
        <v>4226</v>
      </c>
      <c r="C2359" s="6" t="str">
        <f>_xll.QS.CONTEXT.CREATE("market.2357",A2359,"USD","SOFR")</f>
        <v>QSObject:PricingContext:w1~market.2357:17755</v>
      </c>
      <c r="D2359" s="6" t="str">
        <f>_xll.QS.CONTEXT.ADD.CURVE(C2359,"SOFR",$K$2:$K$7,$L$2:$L$7,,,"Actual360","LogLinear",TRUE)</f>
        <v>QSObject:ContextInput:w1~input.qs_context_add_curve.2359132437744.2358.3.0:37941</v>
      </c>
      <c r="E2359" s="6" t="str">
        <f>_xll.QS.INSTRUMENT.SWAP("swap.2357",H2359,B2359,"USD","SOFR",I2359,J2359,0,"Actual360","Simple","Annual","Annual","Annual")</f>
        <v>QSObject:Swap:w1~swap.2357:17754</v>
      </c>
      <c r="F2359" s="6" t="str">
        <f>_xll.QS.TRADE.CREATE("trade.2357",E2359,A2359,"Receive")</f>
        <v>QSObject:SwapTrade:w1~trade.2357:29412</v>
      </c>
      <c r="G2359" s="3">
        <f>_xll.QS.EVALUATE(C2359,F2359)</f>
        <v>20950.960911273985</v>
      </c>
      <c r="H2359" s="5" t="s">
        <v>1104</v>
      </c>
      <c r="I2359" s="7">
        <v>1235700</v>
      </c>
      <c r="J2359" s="8">
        <v>3.5700000000000003E-2</v>
      </c>
    </row>
    <row r="2360" spans="1:10" x14ac:dyDescent="0.25">
      <c r="A2360" s="5" t="s">
        <v>1092</v>
      </c>
      <c r="B2360" s="5" t="s">
        <v>4227</v>
      </c>
      <c r="C2360" s="6" t="str">
        <f>_xll.QS.CONTEXT.CREATE("market.2358",A2360,"USD","SOFR")</f>
        <v>QSObject:PricingContext:w1~market.2358:17753</v>
      </c>
      <c r="D2360" s="6" t="str">
        <f>_xll.QS.CONTEXT.ADD.CURVE(C2360,"SOFR",$K$2:$K$7,$L$2:$L$7,,,"Actual360","LogLinear",TRUE)</f>
        <v>QSObject:ContextInput:w1~input.qs_context_add_curve.2359132437744.2359.3.0:37940</v>
      </c>
      <c r="E2360" s="6" t="str">
        <f>_xll.QS.INSTRUMENT.SWAP("swap.2358",H2360,B2360,"USD","SOFR",I2360,J2360,0,"Actual360","Simple","Annual","Annual","Annual")</f>
        <v>QSObject:Swap:w1~swap.2358:17752</v>
      </c>
      <c r="F2360" s="6" t="str">
        <f>_xll.QS.TRADE.CREATE("trade.2358",E2360,A2360,"Receive")</f>
        <v>QSObject:SwapTrade:w1~trade.2358:29411</v>
      </c>
      <c r="G2360" s="3">
        <f>_xll.QS.EVALUATE(C2360,F2360)</f>
        <v>21414.96664383926</v>
      </c>
      <c r="H2360" s="5" t="s">
        <v>1106</v>
      </c>
      <c r="I2360" s="7">
        <v>1235800</v>
      </c>
      <c r="J2360" s="8">
        <v>3.5800000000000012E-2</v>
      </c>
    </row>
    <row r="2361" spans="1:10" x14ac:dyDescent="0.25">
      <c r="A2361" s="5" t="s">
        <v>1094</v>
      </c>
      <c r="B2361" s="5" t="s">
        <v>4228</v>
      </c>
      <c r="C2361" s="6" t="str">
        <f>_xll.QS.CONTEXT.CREATE("market.2359",A2361,"USD","SOFR")</f>
        <v>QSObject:PricingContext:w1~market.2359:17751</v>
      </c>
      <c r="D2361" s="6" t="str">
        <f>_xll.QS.CONTEXT.ADD.CURVE(C2361,"SOFR",$K$2:$K$7,$L$2:$L$7,,,"Actual360","LogLinear",TRUE)</f>
        <v>QSObject:ContextInput:w1~input.qs_context_add_curve.2359132437744.2360.3.0:37939</v>
      </c>
      <c r="E2361" s="6" t="str">
        <f>_xll.QS.INSTRUMENT.SWAP("swap.2359",H2361,B2361,"USD","SOFR",I2361,J2361,0,"Actual360","Simple","Annual","Annual","Annual")</f>
        <v>QSObject:Swap:w1~swap.2359:17750</v>
      </c>
      <c r="F2361" s="6" t="str">
        <f>_xll.QS.TRADE.CREATE("trade.2359",E2361,A2361,"Receive")</f>
        <v>QSObject:SwapTrade:w1~trade.2359:29410</v>
      </c>
      <c r="G2361" s="3">
        <f>_xll.QS.EVALUATE(C2361,F2361)</f>
        <v>22038.021322108398</v>
      </c>
      <c r="H2361" s="5" t="s">
        <v>1108</v>
      </c>
      <c r="I2361" s="7">
        <v>1235900</v>
      </c>
      <c r="J2361" s="8">
        <v>3.5900000000000001E-2</v>
      </c>
    </row>
    <row r="2362" spans="1:10" x14ac:dyDescent="0.25">
      <c r="A2362" s="5" t="s">
        <v>1096</v>
      </c>
      <c r="B2362" s="5" t="s">
        <v>4229</v>
      </c>
      <c r="C2362" s="6" t="str">
        <f>_xll.QS.CONTEXT.CREATE("market.2360",A2362,"USD","SOFR")</f>
        <v>QSObject:PricingContext:w1~market.2360:17749</v>
      </c>
      <c r="D2362" s="6" t="str">
        <f>_xll.QS.CONTEXT.ADD.CURVE(C2362,"SOFR",$K$2:$K$7,$L$2:$L$7,,,"Actual360","LogLinear",TRUE)</f>
        <v>QSObject:ContextInput:w1~input.qs_context_add_curve.2359132437744.2361.3.0:37938</v>
      </c>
      <c r="E2362" s="6" t="str">
        <f>_xll.QS.INSTRUMENT.SWAP("swap.2360",H2362,B2362,"USD","SOFR",I2362,J2362,0,"Actual360","Simple","Annual","Annual","Annual")</f>
        <v>QSObject:Swap:w1~swap.2360:17748</v>
      </c>
      <c r="F2362" s="6" t="str">
        <f>_xll.QS.TRADE.CREATE("trade.2360",E2362,A2362,"Receive")</f>
        <v>QSObject:SwapTrade:w1~trade.2360:29409</v>
      </c>
      <c r="G2362" s="3">
        <f>_xll.QS.EVALUATE(C2362,F2362)</f>
        <v>22646.280286403788</v>
      </c>
      <c r="H2362" s="5" t="s">
        <v>1110</v>
      </c>
      <c r="I2362" s="7">
        <v>1236000</v>
      </c>
      <c r="J2362" s="8">
        <v>3.5999999999999997E-2</v>
      </c>
    </row>
    <row r="2363" spans="1:10" x14ac:dyDescent="0.25">
      <c r="A2363" s="5" t="s">
        <v>1098</v>
      </c>
      <c r="B2363" s="5" t="s">
        <v>4230</v>
      </c>
      <c r="C2363" s="6" t="str">
        <f>_xll.QS.CONTEXT.CREATE("market.2361",A2363,"USD","SOFR")</f>
        <v>QSObject:PricingContext:w1~market.2361:17747</v>
      </c>
      <c r="D2363" s="6" t="str">
        <f>_xll.QS.CONTEXT.ADD.CURVE(C2363,"SOFR",$K$2:$K$7,$L$2:$L$7,,,"Actual360","LogLinear",TRUE)</f>
        <v>QSObject:ContextInput:w1~input.qs_context_add_curve.2359132437744.2362.3.0:37937</v>
      </c>
      <c r="E2363" s="6" t="str">
        <f>_xll.QS.INSTRUMENT.SWAP("swap.2361",H2363,B2363,"USD","SOFR",I2363,J2363,0,"Actual360","Simple","Annual","Annual","Annual")</f>
        <v>QSObject:Swap:w1~swap.2361:17746</v>
      </c>
      <c r="F2363" s="6" t="str">
        <f>_xll.QS.TRADE.CREATE("trade.2361",E2363,A2363,"Receive")</f>
        <v>QSObject:SwapTrade:w1~trade.2361:29408</v>
      </c>
      <c r="G2363" s="3">
        <f>_xll.QS.EVALUATE(C2363,F2363)</f>
        <v>23308.299344791238</v>
      </c>
      <c r="H2363" s="5" t="s">
        <v>1112</v>
      </c>
      <c r="I2363" s="7">
        <v>1236100</v>
      </c>
      <c r="J2363" s="8">
        <v>3.61E-2</v>
      </c>
    </row>
    <row r="2364" spans="1:10" x14ac:dyDescent="0.25">
      <c r="A2364" s="5" t="s">
        <v>1100</v>
      </c>
      <c r="B2364" s="5" t="s">
        <v>4231</v>
      </c>
      <c r="C2364" s="6" t="str">
        <f>_xll.QS.CONTEXT.CREATE("market.2362",A2364,"USD","SOFR")</f>
        <v>QSObject:PricingContext:w1~market.2362:17745</v>
      </c>
      <c r="D2364" s="6" t="str">
        <f>_xll.QS.CONTEXT.ADD.CURVE(C2364,"SOFR",$K$2:$K$7,$L$2:$L$7,,,"Actual360","LogLinear",TRUE)</f>
        <v>QSObject:ContextInput:w1~input.qs_context_add_curve.2359132437744.2363.3.0:37936</v>
      </c>
      <c r="E2364" s="6" t="str">
        <f>_xll.QS.INSTRUMENT.SWAP("swap.2362",H2364,B2364,"USD","SOFR",I2364,J2364,0,"Actual360","Simple","Annual","Annual","Annual")</f>
        <v>QSObject:Swap:w1~swap.2362:17744</v>
      </c>
      <c r="F2364" s="6" t="str">
        <f>_xll.QS.TRADE.CREATE("trade.2362",E2364,A2364,"Receive")</f>
        <v>QSObject:SwapTrade:w1~trade.2362:29407</v>
      </c>
      <c r="G2364" s="3">
        <f>_xll.QS.EVALUATE(C2364,F2364)</f>
        <v>23934.172929478722</v>
      </c>
      <c r="H2364" s="5" t="s">
        <v>1114</v>
      </c>
      <c r="I2364" s="7">
        <v>1236200</v>
      </c>
      <c r="J2364" s="8">
        <v>3.6200000000000003E-2</v>
      </c>
    </row>
    <row r="2365" spans="1:10" x14ac:dyDescent="0.25">
      <c r="A2365" s="5" t="s">
        <v>1102</v>
      </c>
      <c r="B2365" s="5" t="s">
        <v>4232</v>
      </c>
      <c r="C2365" s="6" t="str">
        <f>_xll.QS.CONTEXT.CREATE("market.2363",A2365,"USD","SOFR")</f>
        <v>QSObject:PricingContext:w1~market.2363:17743</v>
      </c>
      <c r="D2365" s="6" t="str">
        <f>_xll.QS.CONTEXT.ADD.CURVE(C2365,"SOFR",$K$2:$K$7,$L$2:$L$7,,,"Actual360","LogLinear",TRUE)</f>
        <v>QSObject:ContextInput:w1~input.qs_context_add_curve.2359132437744.2364.3.0:37935</v>
      </c>
      <c r="E2365" s="6" t="str">
        <f>_xll.QS.INSTRUMENT.SWAP("swap.2363",H2365,B2365,"USD","SOFR",I2365,J2365,0,"Actual360","Simple","Annual","Annual","Annual")</f>
        <v>QSObject:Swap:w1~swap.2363:17742</v>
      </c>
      <c r="F2365" s="6" t="str">
        <f>_xll.QS.TRADE.CREATE("trade.2363",E2365,A2365,"Receive")</f>
        <v>QSObject:SwapTrade:w1~trade.2363:29406</v>
      </c>
      <c r="G2365" s="3">
        <f>_xll.QS.EVALUATE(C2365,F2365)</f>
        <v>24458.649351395579</v>
      </c>
      <c r="H2365" s="5" t="s">
        <v>1116</v>
      </c>
      <c r="I2365" s="7">
        <v>1236300</v>
      </c>
      <c r="J2365" s="8">
        <v>3.6300000000000013E-2</v>
      </c>
    </row>
    <row r="2366" spans="1:10" x14ac:dyDescent="0.25">
      <c r="A2366" s="5" t="s">
        <v>1104</v>
      </c>
      <c r="B2366" s="5" t="s">
        <v>4233</v>
      </c>
      <c r="C2366" s="6" t="str">
        <f>_xll.QS.CONTEXT.CREATE("market.2364",A2366,"USD","SOFR")</f>
        <v>QSObject:PricingContext:w1~market.2364:17741</v>
      </c>
      <c r="D2366" s="6" t="str">
        <f>_xll.QS.CONTEXT.ADD.CURVE(C2366,"SOFR",$K$2:$K$7,$L$2:$L$7,,,"Actual360","LogLinear",TRUE)</f>
        <v>QSObject:ContextInput:w1~input.qs_context_add_curve.2359132437744.2365.3.0:37934</v>
      </c>
      <c r="E2366" s="6" t="str">
        <f>_xll.QS.INSTRUMENT.SWAP("swap.2364",H2366,B2366,"USD","SOFR",I2366,J2366,0,"Actual360","Simple","Annual","Annual","Annual")</f>
        <v>QSObject:Swap:w1~swap.2364:17740</v>
      </c>
      <c r="F2366" s="6" t="str">
        <f>_xll.QS.TRADE.CREATE("trade.2364",E2366,A2366,"Receive")</f>
        <v>QSObject:SwapTrade:w1~trade.2364:29405</v>
      </c>
      <c r="G2366" s="3">
        <f>_xll.QS.EVALUATE(C2366,F2366)</f>
        <v>24998.2704584167</v>
      </c>
      <c r="H2366" s="5" t="s">
        <v>1118</v>
      </c>
      <c r="I2366" s="7">
        <v>1236400</v>
      </c>
      <c r="J2366" s="8">
        <v>3.6400000000000002E-2</v>
      </c>
    </row>
    <row r="2367" spans="1:10" x14ac:dyDescent="0.25">
      <c r="A2367" s="5" t="s">
        <v>1106</v>
      </c>
      <c r="B2367" s="5" t="s">
        <v>4234</v>
      </c>
      <c r="C2367" s="6" t="str">
        <f>_xll.QS.CONTEXT.CREATE("market.2365",A2367,"USD","SOFR")</f>
        <v>QSObject:PricingContext:w1~market.2365:17739</v>
      </c>
      <c r="D2367" s="6" t="str">
        <f>_xll.QS.CONTEXT.ADD.CURVE(C2367,"SOFR",$K$2:$K$7,$L$2:$L$7,,,"Actual360","LogLinear",TRUE)</f>
        <v>QSObject:ContextInput:w1~input.qs_context_add_curve.2359132437744.2366.3.0:37933</v>
      </c>
      <c r="E2367" s="6" t="str">
        <f>_xll.QS.INSTRUMENT.SWAP("swap.2365",H2367,B2367,"USD","SOFR",I2367,J2367,0,"Actual360","Simple","Annual","Annual","Annual")</f>
        <v>QSObject:Swap:w1~swap.2365:17738</v>
      </c>
      <c r="F2367" s="6" t="str">
        <f>_xll.QS.TRADE.CREATE("trade.2365",E2367,A2367,"Receive")</f>
        <v>QSObject:SwapTrade:w1~trade.2365:29404</v>
      </c>
      <c r="G2367" s="3">
        <f>_xll.QS.EVALUATE(C2367,F2367)</f>
        <v>25572.823027730003</v>
      </c>
      <c r="H2367" s="5" t="s">
        <v>1120</v>
      </c>
      <c r="I2367" s="7">
        <v>1236500</v>
      </c>
      <c r="J2367" s="8">
        <v>3.6499999999999998E-2</v>
      </c>
    </row>
    <row r="2368" spans="1:10" x14ac:dyDescent="0.25">
      <c r="A2368" s="5" t="s">
        <v>1108</v>
      </c>
      <c r="B2368" s="5" t="s">
        <v>4235</v>
      </c>
      <c r="C2368" s="6" t="str">
        <f>_xll.QS.CONTEXT.CREATE("market.2366",A2368,"USD","SOFR")</f>
        <v>QSObject:PricingContext:w1~market.2366:17737</v>
      </c>
      <c r="D2368" s="6" t="str">
        <f>_xll.QS.CONTEXT.ADD.CURVE(C2368,"SOFR",$K$2:$K$7,$L$2:$L$7,,,"Actual360","LogLinear",TRUE)</f>
        <v>QSObject:ContextInput:w1~input.qs_context_add_curve.2359132437744.2367.3.0:37932</v>
      </c>
      <c r="E2368" s="6" t="str">
        <f>_xll.QS.INSTRUMENT.SWAP("swap.2366",H2368,B2368,"USD","SOFR",I2368,J2368,0,"Actual360","Simple","Annual","Annual","Annual")</f>
        <v>QSObject:Swap:w1~swap.2366:17736</v>
      </c>
      <c r="F2368" s="6" t="str">
        <f>_xll.QS.TRADE.CREATE("trade.2366",E2368,A2368,"Receive")</f>
        <v>QSObject:SwapTrade:w1~trade.2366:29403</v>
      </c>
      <c r="G2368" s="3">
        <f>_xll.QS.EVALUATE(C2368,F2368)</f>
        <v>26044.091052421594</v>
      </c>
      <c r="H2368" s="5" t="s">
        <v>1122</v>
      </c>
      <c r="I2368" s="7">
        <v>1236600</v>
      </c>
      <c r="J2368" s="8">
        <v>3.6600000000000001E-2</v>
      </c>
    </row>
    <row r="2369" spans="1:10" x14ac:dyDescent="0.25">
      <c r="A2369" s="5" t="s">
        <v>1110</v>
      </c>
      <c r="B2369" s="5" t="s">
        <v>4236</v>
      </c>
      <c r="C2369" s="6" t="str">
        <f>_xll.QS.CONTEXT.CREATE("market.2367",A2369,"USD","SOFR")</f>
        <v>QSObject:PricingContext:w1~market.2367:17735</v>
      </c>
      <c r="D2369" s="6" t="str">
        <f>_xll.QS.CONTEXT.ADD.CURVE(C2369,"SOFR",$K$2:$K$7,$L$2:$L$7,,,"Actual360","LogLinear",TRUE)</f>
        <v>QSObject:ContextInput:w1~input.qs_context_add_curve.2359132437744.2368.3.0:37931</v>
      </c>
      <c r="E2369" s="6" t="str">
        <f>_xll.QS.INSTRUMENT.SWAP("swap.2367",H2369,B2369,"USD","SOFR",I2369,J2369,0,"Actual360","Simple","Annual","Annual","Annual")</f>
        <v>QSObject:Swap:w1~swap.2367:17734</v>
      </c>
      <c r="F2369" s="6" t="str">
        <f>_xll.QS.TRADE.CREATE("trade.2367",E2369,A2369,"Receive")</f>
        <v>QSObject:SwapTrade:w1~trade.2367:29402</v>
      </c>
      <c r="G2369" s="3">
        <f>_xll.QS.EVALUATE(C2369,F2369)</f>
        <v>26651.079882820079</v>
      </c>
      <c r="H2369" s="5" t="s">
        <v>1124</v>
      </c>
      <c r="I2369" s="7">
        <v>1236700</v>
      </c>
      <c r="J2369" s="8">
        <v>3.6700000000000003E-2</v>
      </c>
    </row>
    <row r="2370" spans="1:10" x14ac:dyDescent="0.25">
      <c r="A2370" s="5" t="s">
        <v>1112</v>
      </c>
      <c r="B2370" s="5" t="s">
        <v>4237</v>
      </c>
      <c r="C2370" s="6" t="str">
        <f>_xll.QS.CONTEXT.CREATE("market.2368",A2370,"USD","SOFR")</f>
        <v>QSObject:PricingContext:w1~market.2368:17733</v>
      </c>
      <c r="D2370" s="6" t="str">
        <f>_xll.QS.CONTEXT.ADD.CURVE(C2370,"SOFR",$K$2:$K$7,$L$2:$L$7,,,"Actual360","LogLinear",TRUE)</f>
        <v>QSObject:ContextInput:w1~input.qs_context_add_curve.2359132437744.2369.3.0:37930</v>
      </c>
      <c r="E2370" s="6" t="str">
        <f>_xll.QS.INSTRUMENT.SWAP("swap.2368",H2370,B2370,"USD","SOFR",I2370,J2370,0,"Actual360","Simple","Annual","Annual","Annual")</f>
        <v>QSObject:Swap:w1~swap.2368:17732</v>
      </c>
      <c r="F2370" s="6" t="str">
        <f>_xll.QS.TRADE.CREATE("trade.2368",E2370,A2370,"Receive")</f>
        <v>QSObject:SwapTrade:w1~trade.2368:29401</v>
      </c>
      <c r="G2370" s="3">
        <f>_xll.QS.EVALUATE(C2370,F2370)</f>
        <v>27360.948559404009</v>
      </c>
      <c r="H2370" s="5" t="s">
        <v>1126</v>
      </c>
      <c r="I2370" s="7">
        <v>1236800</v>
      </c>
      <c r="J2370" s="8">
        <v>3.6800000000000013E-2</v>
      </c>
    </row>
    <row r="2371" spans="1:10" x14ac:dyDescent="0.25">
      <c r="A2371" s="5" t="s">
        <v>1114</v>
      </c>
      <c r="B2371" s="5" t="s">
        <v>4238</v>
      </c>
      <c r="C2371" s="6" t="str">
        <f>_xll.QS.CONTEXT.CREATE("market.2369",A2371,"USD","SOFR")</f>
        <v>QSObject:PricingContext:w1~market.2369:17731</v>
      </c>
      <c r="D2371" s="6" t="str">
        <f>_xll.QS.CONTEXT.ADD.CURVE(C2371,"SOFR",$K$2:$K$7,$L$2:$L$7,,,"Actual360","LogLinear",TRUE)</f>
        <v>QSObject:ContextInput:w1~input.qs_context_add_curve.2359132437744.2370.3.0:37929</v>
      </c>
      <c r="E2371" s="6" t="str">
        <f>_xll.QS.INSTRUMENT.SWAP("swap.2369",H2371,B2371,"USD","SOFR",I2371,J2371,0,"Actual360","Simple","Annual","Annual","Annual")</f>
        <v>QSObject:Swap:w1~swap.2369:17730</v>
      </c>
      <c r="F2371" s="6" t="str">
        <f>_xll.QS.TRADE.CREATE("trade.2369",E2371,A2371,"Receive")</f>
        <v>QSObject:SwapTrade:w1~trade.2369:29400</v>
      </c>
      <c r="G2371" s="3">
        <f>_xll.QS.EVALUATE(C2371,F2371)</f>
        <v>27933.770430488825</v>
      </c>
      <c r="H2371" s="5" t="s">
        <v>1128</v>
      </c>
      <c r="I2371" s="7">
        <v>1236900</v>
      </c>
      <c r="J2371" s="8">
        <v>3.6900000000000002E-2</v>
      </c>
    </row>
    <row r="2372" spans="1:10" x14ac:dyDescent="0.25">
      <c r="A2372" s="5" t="s">
        <v>1116</v>
      </c>
      <c r="B2372" s="5" t="s">
        <v>4239</v>
      </c>
      <c r="C2372" s="6" t="str">
        <f>_xll.QS.CONTEXT.CREATE("market.2370",A2372,"USD","SOFR")</f>
        <v>QSObject:PricingContext:w1~market.2370:17729</v>
      </c>
      <c r="D2372" s="6" t="str">
        <f>_xll.QS.CONTEXT.ADD.CURVE(C2372,"SOFR",$K$2:$K$7,$L$2:$L$7,,,"Actual360","LogLinear",TRUE)</f>
        <v>QSObject:ContextInput:w1~input.qs_context_add_curve.2359132437744.2371.3.0:37928</v>
      </c>
      <c r="E2372" s="6" t="str">
        <f>_xll.QS.INSTRUMENT.SWAP("swap.2370",H2372,B2372,"USD","SOFR",I2372,J2372,0,"Actual360","Simple","Annual","Annual","Annual")</f>
        <v>QSObject:Swap:w1~swap.2370:17728</v>
      </c>
      <c r="F2372" s="6" t="str">
        <f>_xll.QS.TRADE.CREATE("trade.2370",E2372,A2372,"Receive")</f>
        <v>QSObject:SwapTrade:w1~trade.2370:29399</v>
      </c>
      <c r="G2372" s="3">
        <f>_xll.QS.EVALUATE(C2372,F2372)</f>
        <v>28511.940522722063</v>
      </c>
      <c r="H2372" s="5" t="s">
        <v>1130</v>
      </c>
      <c r="I2372" s="7">
        <v>1237000</v>
      </c>
      <c r="J2372" s="8">
        <v>3.7000000000000012E-2</v>
      </c>
    </row>
    <row r="2373" spans="1:10" x14ac:dyDescent="0.25">
      <c r="A2373" s="5" t="s">
        <v>1118</v>
      </c>
      <c r="B2373" s="5" t="s">
        <v>4240</v>
      </c>
      <c r="C2373" s="6" t="str">
        <f>_xll.QS.CONTEXT.CREATE("market.2371",A2373,"USD","SOFR")</f>
        <v>QSObject:PricingContext:w1~market.2371:17727</v>
      </c>
      <c r="D2373" s="6" t="str">
        <f>_xll.QS.CONTEXT.ADD.CURVE(C2373,"SOFR",$K$2:$K$7,$L$2:$L$7,,,"Actual360","LogLinear",TRUE)</f>
        <v>QSObject:ContextInput:w1~input.qs_context_add_curve.2359132437744.2372.3.0:37927</v>
      </c>
      <c r="E2373" s="6" t="str">
        <f>_xll.QS.INSTRUMENT.SWAP("swap.2371",H2373,B2373,"USD","SOFR",I2373,J2373,0,"Actual360","Simple","Annual","Annual","Annual")</f>
        <v>QSObject:Swap:w1~swap.2371:17726</v>
      </c>
      <c r="F2373" s="6" t="str">
        <f>_xll.QS.TRADE.CREATE("trade.2371",E2373,A2373,"Receive")</f>
        <v>QSObject:SwapTrade:w1~trade.2371:29398</v>
      </c>
      <c r="G2373" s="3">
        <f>_xll.QS.EVALUATE(C2373,F2373)</f>
        <v>28998.407272821139</v>
      </c>
      <c r="H2373" s="5" t="s">
        <v>1132</v>
      </c>
      <c r="I2373" s="7">
        <v>1237100</v>
      </c>
      <c r="J2373" s="8">
        <v>3.7100000000000001E-2</v>
      </c>
    </row>
    <row r="2374" spans="1:10" x14ac:dyDescent="0.25">
      <c r="A2374" s="5" t="s">
        <v>1120</v>
      </c>
      <c r="B2374" s="5" t="s">
        <v>4241</v>
      </c>
      <c r="C2374" s="6" t="str">
        <f>_xll.QS.CONTEXT.CREATE("market.2372",A2374,"USD","SOFR")</f>
        <v>QSObject:PricingContext:w1~market.2372:17725</v>
      </c>
      <c r="D2374" s="6" t="str">
        <f>_xll.QS.CONTEXT.ADD.CURVE(C2374,"SOFR",$K$2:$K$7,$L$2:$L$7,,,"Actual360","LogLinear",TRUE)</f>
        <v>QSObject:ContextInput:w1~input.qs_context_add_curve.2359132437744.2373.3.0:37926</v>
      </c>
      <c r="E2374" s="6" t="str">
        <f>_xll.QS.INSTRUMENT.SWAP("swap.2372",H2374,B2374,"USD","SOFR",I2374,J2374,0,"Actual360","Simple","Annual","Annual","Annual")</f>
        <v>QSObject:Swap:w1~swap.2372:17724</v>
      </c>
      <c r="F2374" s="6" t="str">
        <f>_xll.QS.TRADE.CREATE("trade.2372",E2374,A2374,"Receive")</f>
        <v>QSObject:SwapTrade:w1~trade.2372:29397</v>
      </c>
      <c r="G2374" s="3">
        <f>_xll.QS.EVALUATE(C2374,F2374)</f>
        <v>29475.761209200085</v>
      </c>
      <c r="H2374" s="5" t="s">
        <v>1134</v>
      </c>
      <c r="I2374" s="7">
        <v>1237200</v>
      </c>
      <c r="J2374" s="8">
        <v>3.7199999999999997E-2</v>
      </c>
    </row>
    <row r="2375" spans="1:10" x14ac:dyDescent="0.25">
      <c r="A2375" s="5" t="s">
        <v>1122</v>
      </c>
      <c r="B2375" s="5" t="s">
        <v>4242</v>
      </c>
      <c r="C2375" s="6" t="str">
        <f>_xll.QS.CONTEXT.CREATE("market.2373",A2375,"USD","SOFR")</f>
        <v>QSObject:PricingContext:w1~market.2373:17723</v>
      </c>
      <c r="D2375" s="6" t="str">
        <f>_xll.QS.CONTEXT.ADD.CURVE(C2375,"SOFR",$K$2:$K$7,$L$2:$L$7,,,"Actual360","LogLinear",TRUE)</f>
        <v>QSObject:ContextInput:w1~input.qs_context_add_curve.2359132437744.2374.3.0:37925</v>
      </c>
      <c r="E2375" s="6" t="str">
        <f>_xll.QS.INSTRUMENT.SWAP("swap.2373",H2375,B2375,"USD","SOFR",I2375,J2375,0,"Actual360","Simple","Annual","Annual","Annual")</f>
        <v>QSObject:Swap:w1~swap.2373:17722</v>
      </c>
      <c r="F2375" s="6" t="str">
        <f>_xll.QS.TRADE.CREATE("trade.2373",E2375,A2375,"Receive")</f>
        <v>QSObject:SwapTrade:w1~trade.2373:29396</v>
      </c>
      <c r="G2375" s="3">
        <f>_xll.QS.EVALUATE(C2375,F2375)</f>
        <v>30101.287448357718</v>
      </c>
      <c r="H2375" s="5" t="s">
        <v>1136</v>
      </c>
      <c r="I2375" s="7">
        <v>1237300</v>
      </c>
      <c r="J2375" s="8">
        <v>3.73E-2</v>
      </c>
    </row>
    <row r="2376" spans="1:10" x14ac:dyDescent="0.25">
      <c r="A2376" s="5" t="s">
        <v>1124</v>
      </c>
      <c r="B2376" s="5" t="s">
        <v>4243</v>
      </c>
      <c r="C2376" s="6" t="str">
        <f>_xll.QS.CONTEXT.CREATE("market.2374",A2376,"USD","SOFR")</f>
        <v>QSObject:PricingContext:w1~market.2374:17721</v>
      </c>
      <c r="D2376" s="6" t="str">
        <f>_xll.QS.CONTEXT.ADD.CURVE(C2376,"SOFR",$K$2:$K$7,$L$2:$L$7,,,"Actual360","LogLinear",TRUE)</f>
        <v>QSObject:ContextInput:w1~input.qs_context_add_curve.2359132437744.2375.3.0:37924</v>
      </c>
      <c r="E2376" s="6" t="str">
        <f>_xll.QS.INSTRUMENT.SWAP("swap.2374",H2376,B2376,"USD","SOFR",I2376,J2376,0,"Actual360","Simple","Annual","Annual","Annual")</f>
        <v>QSObject:Swap:w1~swap.2374:17720</v>
      </c>
      <c r="F2376" s="6" t="str">
        <f>_xll.QS.TRADE.CREATE("trade.2374",E2376,A2376,"Receive")</f>
        <v>QSObject:SwapTrade:w1~trade.2374:29395</v>
      </c>
      <c r="G2376" s="3">
        <f>_xll.QS.EVALUATE(C2376,F2376)</f>
        <v>30800.077894785936</v>
      </c>
      <c r="H2376" s="5" t="s">
        <v>1138</v>
      </c>
      <c r="I2376" s="7">
        <v>1237400</v>
      </c>
      <c r="J2376" s="8">
        <v>3.7400000000000003E-2</v>
      </c>
    </row>
    <row r="2377" spans="1:10" x14ac:dyDescent="0.25">
      <c r="A2377" s="5" t="s">
        <v>1126</v>
      </c>
      <c r="B2377" s="5" t="s">
        <v>4244</v>
      </c>
      <c r="C2377" s="6" t="str">
        <f>_xll.QS.CONTEXT.CREATE("market.2375",A2377,"USD","SOFR")</f>
        <v>QSObject:PricingContext:w1~market.2375:17719</v>
      </c>
      <c r="D2377" s="6" t="str">
        <f>_xll.QS.CONTEXT.ADD.CURVE(C2377,"SOFR",$K$2:$K$7,$L$2:$L$7,,,"Actual360","LogLinear",TRUE)</f>
        <v>QSObject:ContextInput:w1~input.qs_context_add_curve.2359132437744.2376.3.0:37923</v>
      </c>
      <c r="E2377" s="6" t="str">
        <f>_xll.QS.INSTRUMENT.SWAP("swap.2375",H2377,B2377,"USD","SOFR",I2377,J2377,0,"Actual360","Simple","Annual","Annual","Annual")</f>
        <v>QSObject:Swap:w1~swap.2375:17718</v>
      </c>
      <c r="F2377" s="6" t="str">
        <f>_xll.QS.TRADE.CREATE("trade.2375",E2377,A2377,"Receive")</f>
        <v>QSObject:SwapTrade:w1~trade.2375:29394</v>
      </c>
      <c r="G2377" s="3">
        <f>_xll.QS.EVALUATE(C2377,F2377)</f>
        <v>31381.59514220577</v>
      </c>
      <c r="H2377" s="5" t="s">
        <v>1140</v>
      </c>
      <c r="I2377" s="7">
        <v>1237500</v>
      </c>
      <c r="J2377" s="8">
        <v>3.7500000000000012E-2</v>
      </c>
    </row>
    <row r="2378" spans="1:10" x14ac:dyDescent="0.25">
      <c r="A2378" s="5" t="s">
        <v>1128</v>
      </c>
      <c r="B2378" s="5" t="s">
        <v>4245</v>
      </c>
      <c r="C2378" s="6" t="str">
        <f>_xll.QS.CONTEXT.CREATE("market.2376",A2378,"USD","SOFR")</f>
        <v>QSObject:PricingContext:w1~market.2376:17717</v>
      </c>
      <c r="D2378" s="6" t="str">
        <f>_xll.QS.CONTEXT.ADD.CURVE(C2378,"SOFR",$K$2:$K$7,$L$2:$L$7,,,"Actual360","LogLinear",TRUE)</f>
        <v>QSObject:ContextInput:w1~input.qs_context_add_curve.2359132437744.2377.3.0:37922</v>
      </c>
      <c r="E2378" s="6" t="str">
        <f>_xll.QS.INSTRUMENT.SWAP("swap.2376",H2378,B2378,"USD","SOFR",I2378,J2378,0,"Actual360","Simple","Annual","Annual","Annual")</f>
        <v>QSObject:Swap:w1~swap.2376:17716</v>
      </c>
      <c r="F2378" s="6" t="str">
        <f>_xll.QS.TRADE.CREATE("trade.2376",E2378,A2378,"Receive")</f>
        <v>QSObject:SwapTrade:w1~trade.2376:29393</v>
      </c>
      <c r="G2378" s="3">
        <f>_xll.QS.EVALUATE(C2378,F2378)</f>
        <v>31951.247068798475</v>
      </c>
      <c r="H2378" s="5" t="s">
        <v>1142</v>
      </c>
      <c r="I2378" s="7">
        <v>1237600</v>
      </c>
      <c r="J2378" s="8">
        <v>3.7600000000000001E-2</v>
      </c>
    </row>
    <row r="2379" spans="1:10" x14ac:dyDescent="0.25">
      <c r="A2379" s="5" t="s">
        <v>1130</v>
      </c>
      <c r="B2379" s="5" t="s">
        <v>4246</v>
      </c>
      <c r="C2379" s="6" t="str">
        <f>_xll.QS.CONTEXT.CREATE("market.2377",A2379,"USD","SOFR")</f>
        <v>QSObject:PricingContext:w1~market.2377:17715</v>
      </c>
      <c r="D2379" s="6" t="str">
        <f>_xll.QS.CONTEXT.ADD.CURVE(C2379,"SOFR",$K$2:$K$7,$L$2:$L$7,,,"Actual360","LogLinear",TRUE)</f>
        <v>QSObject:ContextInput:w1~input.qs_context_add_curve.2359132437744.2378.3.0:37921</v>
      </c>
      <c r="E2379" s="6" t="str">
        <f>_xll.QS.INSTRUMENT.SWAP("swap.2377",H2379,B2379,"USD","SOFR",I2379,J2379,0,"Actual360","Simple","Annual","Annual","Annual")</f>
        <v>QSObject:Swap:w1~swap.2377:17714</v>
      </c>
      <c r="F2379" s="6" t="str">
        <f>_xll.QS.TRADE.CREATE("trade.2377",E2379,A2379,"Receive")</f>
        <v>QSObject:SwapTrade:w1~trade.2377:29392</v>
      </c>
      <c r="G2379" s="3">
        <f>_xll.QS.EVALUATE(C2379,F2379)</f>
        <v>32476.874474736942</v>
      </c>
      <c r="H2379" s="5" t="s">
        <v>1144</v>
      </c>
      <c r="I2379" s="7">
        <v>1237700</v>
      </c>
      <c r="J2379" s="8">
        <v>3.7699999999999997E-2</v>
      </c>
    </row>
    <row r="2380" spans="1:10" x14ac:dyDescent="0.25">
      <c r="A2380" s="5" t="s">
        <v>1132</v>
      </c>
      <c r="B2380" s="5" t="s">
        <v>4247</v>
      </c>
      <c r="C2380" s="6" t="str">
        <f>_xll.QS.CONTEXT.CREATE("market.2378",A2380,"USD","SOFR")</f>
        <v>QSObject:PricingContext:w1~market.2378:17713</v>
      </c>
      <c r="D2380" s="6" t="str">
        <f>_xll.QS.CONTEXT.ADD.CURVE(C2380,"SOFR",$K$2:$K$7,$L$2:$L$7,,,"Actual360","LogLinear",TRUE)</f>
        <v>QSObject:ContextInput:w1~input.qs_context_add_curve.2359132437744.2379.3.0:37920</v>
      </c>
      <c r="E2380" s="6" t="str">
        <f>_xll.QS.INSTRUMENT.SWAP("swap.2378",H2380,B2380,"USD","SOFR",I2380,J2380,0,"Actual360","Simple","Annual","Annual","Annual")</f>
        <v>QSObject:Swap:w1~swap.2378:17712</v>
      </c>
      <c r="F2380" s="6" t="str">
        <f>_xll.QS.TRADE.CREATE("trade.2378",E2380,A2380,"Receive")</f>
        <v>QSObject:SwapTrade:w1~trade.2378:29391</v>
      </c>
      <c r="G2380" s="3">
        <f>_xll.QS.EVALUATE(C2380,F2380)</f>
        <v>32959.210360063073</v>
      </c>
      <c r="H2380" s="5" t="s">
        <v>1146</v>
      </c>
      <c r="I2380" s="7">
        <v>1237800</v>
      </c>
      <c r="J2380" s="8">
        <v>3.78E-2</v>
      </c>
    </row>
    <row r="2381" spans="1:10" x14ac:dyDescent="0.25">
      <c r="A2381" s="5" t="s">
        <v>1134</v>
      </c>
      <c r="B2381" s="5" t="s">
        <v>4248</v>
      </c>
      <c r="C2381" s="6" t="str">
        <f>_xll.QS.CONTEXT.CREATE("market.2379",A2381,"USD","SOFR")</f>
        <v>QSObject:PricingContext:w1~market.2379:17711</v>
      </c>
      <c r="D2381" s="6" t="str">
        <f>_xll.QS.CONTEXT.ADD.CURVE(C2381,"SOFR",$K$2:$K$7,$L$2:$L$7,,,"Actual360","LogLinear",TRUE)</f>
        <v>QSObject:ContextInput:w1~input.qs_context_add_curve.2359132437744.2380.3.0:37919</v>
      </c>
      <c r="E2381" s="6" t="str">
        <f>_xll.QS.INSTRUMENT.SWAP("swap.2379",H2381,B2381,"USD","SOFR",I2381,J2381,0,"Actual360","Simple","Annual","Annual","Annual")</f>
        <v>QSObject:Swap:w1~swap.2379:17710</v>
      </c>
      <c r="F2381" s="6" t="str">
        <f>_xll.QS.TRADE.CREATE("trade.2379",E2381,A2381,"Receive")</f>
        <v>QSObject:SwapTrade:w1~trade.2379:29390</v>
      </c>
      <c r="G2381" s="3">
        <f>_xll.QS.EVALUATE(C2381,F2381)</f>
        <v>33443.553866197035</v>
      </c>
      <c r="H2381" s="5" t="s">
        <v>1148</v>
      </c>
      <c r="I2381" s="7">
        <v>1237900</v>
      </c>
      <c r="J2381" s="8">
        <v>3.7900000000000003E-2</v>
      </c>
    </row>
    <row r="2382" spans="1:10" x14ac:dyDescent="0.25">
      <c r="A2382" s="5" t="s">
        <v>1136</v>
      </c>
      <c r="B2382" s="5" t="s">
        <v>4249</v>
      </c>
      <c r="C2382" s="6" t="str">
        <f>_xll.QS.CONTEXT.CREATE("market.2380",A2382,"USD","SOFR")</f>
        <v>QSObject:PricingContext:w1~market.2380:17709</v>
      </c>
      <c r="D2382" s="6" t="str">
        <f>_xll.QS.CONTEXT.ADD.CURVE(C2382,"SOFR",$K$2:$K$7,$L$2:$L$7,,,"Actual360","LogLinear",TRUE)</f>
        <v>QSObject:ContextInput:w1~input.qs_context_add_curve.2359132437744.2381.3.0:37918</v>
      </c>
      <c r="E2382" s="6" t="str">
        <f>_xll.QS.INSTRUMENT.SWAP("swap.2380",H2382,B2382,"USD","SOFR",I2382,J2382,0,"Actual360","Simple","Annual","Annual","Annual")</f>
        <v>QSObject:Swap:w1~swap.2380:17708</v>
      </c>
      <c r="F2382" s="6" t="str">
        <f>_xll.QS.TRADE.CREATE("trade.2380",E2382,A2382,"Receive")</f>
        <v>QSObject:SwapTrade:w1~trade.2380:29389</v>
      </c>
      <c r="G2382" s="3">
        <f>_xll.QS.EVALUATE(C2382,F2382)</f>
        <v>34069.794372088138</v>
      </c>
      <c r="H2382" s="5" t="s">
        <v>1150</v>
      </c>
      <c r="I2382" s="7">
        <v>1238000</v>
      </c>
      <c r="J2382" s="8">
        <v>3.8000000000000013E-2</v>
      </c>
    </row>
    <row r="2383" spans="1:10" x14ac:dyDescent="0.25">
      <c r="A2383" s="5" t="s">
        <v>1138</v>
      </c>
      <c r="B2383" s="5" t="s">
        <v>4250</v>
      </c>
      <c r="C2383" s="6" t="str">
        <f>_xll.QS.CONTEXT.CREATE("market.2381",A2383,"USD","SOFR")</f>
        <v>QSObject:PricingContext:w1~market.2381:17707</v>
      </c>
      <c r="D2383" s="6" t="str">
        <f>_xll.QS.CONTEXT.ADD.CURVE(C2383,"SOFR",$K$2:$K$7,$L$2:$L$7,,,"Actual360","LogLinear",TRUE)</f>
        <v>QSObject:ContextInput:w1~input.qs_context_add_curve.2359132437744.2382.3.0:37917</v>
      </c>
      <c r="E2383" s="6" t="str">
        <f>_xll.QS.INSTRUMENT.SWAP("swap.2381",H2383,B2383,"USD","SOFR",I2383,J2383,0,"Actual360","Simple","Annual","Annual","Annual")</f>
        <v>QSObject:Swap:w1~swap.2381:17706</v>
      </c>
      <c r="F2383" s="6" t="str">
        <f>_xll.QS.TRADE.CREATE("trade.2381",E2383,A2383,"Receive")</f>
        <v>QSObject:SwapTrade:w1~trade.2381:29388</v>
      </c>
      <c r="G2383" s="3">
        <f>_xll.QS.EVALUATE(C2383,F2383)</f>
        <v>34674.236357887414</v>
      </c>
      <c r="H2383" s="5" t="s">
        <v>1152</v>
      </c>
      <c r="I2383" s="7">
        <v>1238100</v>
      </c>
      <c r="J2383" s="8">
        <v>3.8100000000000002E-2</v>
      </c>
    </row>
    <row r="2384" spans="1:10" x14ac:dyDescent="0.25">
      <c r="A2384" s="5" t="s">
        <v>1140</v>
      </c>
      <c r="B2384" s="5" t="s">
        <v>4251</v>
      </c>
      <c r="C2384" s="6" t="str">
        <f>_xll.QS.CONTEXT.CREATE("market.2382",A2384,"USD","SOFR")</f>
        <v>QSObject:PricingContext:w1~market.2382:17705</v>
      </c>
      <c r="D2384" s="6" t="str">
        <f>_xll.QS.CONTEXT.ADD.CURVE(C2384,"SOFR",$K$2:$K$7,$L$2:$L$7,,,"Actual360","LogLinear",TRUE)</f>
        <v>QSObject:ContextInput:w1~input.qs_context_add_curve.2359132437744.2383.3.0:37916</v>
      </c>
      <c r="E2384" s="6" t="str">
        <f>_xll.QS.INSTRUMENT.SWAP("swap.2382",H2384,B2384,"USD","SOFR",I2384,J2384,0,"Actual360","Simple","Annual","Annual","Annual")</f>
        <v>QSObject:Swap:w1~swap.2382:17704</v>
      </c>
      <c r="F2384" s="6" t="str">
        <f>_xll.QS.TRADE.CREATE("trade.2382",E2384,A2384,"Receive")</f>
        <v>QSObject:SwapTrade:w1~trade.2382:29387</v>
      </c>
      <c r="G2384" s="3">
        <f>_xll.QS.EVALUATE(C2384,F2384)</f>
        <v>35338.523294597522</v>
      </c>
      <c r="H2384" s="5" t="s">
        <v>1154</v>
      </c>
      <c r="I2384" s="7">
        <v>1238200</v>
      </c>
      <c r="J2384" s="8">
        <v>3.8199999999999998E-2</v>
      </c>
    </row>
    <row r="2385" spans="1:10" x14ac:dyDescent="0.25">
      <c r="A2385" s="5" t="s">
        <v>1142</v>
      </c>
      <c r="B2385" s="5" t="s">
        <v>4252</v>
      </c>
      <c r="C2385" s="6" t="str">
        <f>_xll.QS.CONTEXT.CREATE("market.2383",A2385,"USD","SOFR")</f>
        <v>QSObject:PricingContext:w1~market.2383:17703</v>
      </c>
      <c r="D2385" s="6" t="str">
        <f>_xll.QS.CONTEXT.ADD.CURVE(C2385,"SOFR",$K$2:$K$7,$L$2:$L$7,,,"Actual360","LogLinear",TRUE)</f>
        <v>QSObject:ContextInput:w1~input.qs_context_add_curve.2359132437744.2384.3.0:37915</v>
      </c>
      <c r="E2385" s="6" t="str">
        <f>_xll.QS.INSTRUMENT.SWAP("swap.2383",H2385,B2385,"USD","SOFR",I2385,J2385,0,"Actual360","Simple","Annual","Annual","Annual")</f>
        <v>QSObject:Swap:w1~swap.2383:17702</v>
      </c>
      <c r="F2385" s="6" t="str">
        <f>_xll.QS.TRADE.CREATE("trade.2383",E2385,A2385,"Receive")</f>
        <v>QSObject:SwapTrade:w1~trade.2383:29386</v>
      </c>
      <c r="G2385" s="3">
        <f>_xll.QS.EVALUATE(C2385,F2385)</f>
        <v>35966.562957989649</v>
      </c>
      <c r="H2385" s="5" t="s">
        <v>1156</v>
      </c>
      <c r="I2385" s="7">
        <v>1238300</v>
      </c>
      <c r="J2385" s="8">
        <v>3.8300000000000001E-2</v>
      </c>
    </row>
    <row r="2386" spans="1:10" x14ac:dyDescent="0.25">
      <c r="A2386" s="5" t="s">
        <v>1144</v>
      </c>
      <c r="B2386" s="5" t="s">
        <v>4253</v>
      </c>
      <c r="C2386" s="6" t="str">
        <f>_xll.QS.CONTEXT.CREATE("market.2384",A2386,"USD","SOFR")</f>
        <v>QSObject:PricingContext:w1~market.2384:17701</v>
      </c>
      <c r="D2386" s="6" t="str">
        <f>_xll.QS.CONTEXT.ADD.CURVE(C2386,"SOFR",$K$2:$K$7,$L$2:$L$7,,,"Actual360","LogLinear",TRUE)</f>
        <v>QSObject:ContextInput:w1~input.qs_context_add_curve.2359132437744.2385.3.0:37914</v>
      </c>
      <c r="E2386" s="6" t="str">
        <f>_xll.QS.INSTRUMENT.SWAP("swap.2384",H2386,B2386,"USD","SOFR",I2386,J2386,0,"Actual360","Simple","Annual","Annual","Annual")</f>
        <v>QSObject:Swap:w1~swap.2384:17700</v>
      </c>
      <c r="F2386" s="6" t="str">
        <f>_xll.QS.TRADE.CREATE("trade.2384",E2386,A2386,"Receive")</f>
        <v>QSObject:SwapTrade:w1~trade.2384:29385</v>
      </c>
      <c r="G2386" s="3">
        <f>_xll.QS.EVALUATE(C2386,F2386)</f>
        <v>36492.765782685405</v>
      </c>
      <c r="H2386" s="5" t="s">
        <v>1158</v>
      </c>
      <c r="I2386" s="7">
        <v>1238400</v>
      </c>
      <c r="J2386" s="8">
        <v>3.8399999999999997E-2</v>
      </c>
    </row>
    <row r="2387" spans="1:10" x14ac:dyDescent="0.25">
      <c r="A2387" s="5" t="s">
        <v>1146</v>
      </c>
      <c r="B2387" s="5" t="s">
        <v>4254</v>
      </c>
      <c r="C2387" s="6" t="str">
        <f>_xll.QS.CONTEXT.CREATE("market.2385",A2387,"USD","SOFR")</f>
        <v>QSObject:PricingContext:w1~market.2385:17699</v>
      </c>
      <c r="D2387" s="6" t="str">
        <f>_xll.QS.CONTEXT.ADD.CURVE(C2387,"SOFR",$K$2:$K$7,$L$2:$L$7,,,"Actual360","LogLinear",TRUE)</f>
        <v>QSObject:ContextInput:w1~input.qs_context_add_curve.2359132437744.2386.3.0:37913</v>
      </c>
      <c r="E2387" s="6" t="str">
        <f>_xll.QS.INSTRUMENT.SWAP("swap.2385",H2387,B2387,"USD","SOFR",I2387,J2387,0,"Actual360","Simple","Annual","Annual","Annual")</f>
        <v>QSObject:Swap:w1~swap.2385:17698</v>
      </c>
      <c r="F2387" s="6" t="str">
        <f>_xll.QS.TRADE.CREATE("trade.2385",E2387,A2387,"Receive")</f>
        <v>QSObject:SwapTrade:w1~trade.2385:29384</v>
      </c>
      <c r="G2387" s="3">
        <f>_xll.QS.EVALUATE(C2387,F2387)</f>
        <v>36970.987861099959</v>
      </c>
      <c r="H2387" s="5" t="s">
        <v>1160</v>
      </c>
      <c r="I2387" s="7">
        <v>1238500</v>
      </c>
      <c r="J2387" s="8">
        <v>3.8500000000000013E-2</v>
      </c>
    </row>
    <row r="2388" spans="1:10" x14ac:dyDescent="0.25">
      <c r="A2388" s="5" t="s">
        <v>1148</v>
      </c>
      <c r="B2388" s="5" t="s">
        <v>4255</v>
      </c>
      <c r="C2388" s="6" t="str">
        <f>_xll.QS.CONTEXT.CREATE("market.2386",A2388,"USD","SOFR")</f>
        <v>QSObject:PricingContext:w1~market.2386:17697</v>
      </c>
      <c r="D2388" s="6" t="str">
        <f>_xll.QS.CONTEXT.ADD.CURVE(C2388,"SOFR",$K$2:$K$7,$L$2:$L$7,,,"Actual360","LogLinear",TRUE)</f>
        <v>QSObject:ContextInput:w1~input.qs_context_add_curve.2359132437744.2387.3.0:37912</v>
      </c>
      <c r="E2388" s="6" t="str">
        <f>_xll.QS.INSTRUMENT.SWAP("swap.2386",H2388,B2388,"USD","SOFR",I2388,J2388,0,"Actual360","Simple","Annual","Annual","Annual")</f>
        <v>QSObject:Swap:w1~swap.2386:17696</v>
      </c>
      <c r="F2388" s="6" t="str">
        <f>_xll.QS.TRADE.CREATE("trade.2386",E2388,A2388,"Receive")</f>
        <v>QSObject:SwapTrade:w1~trade.2386:29383</v>
      </c>
      <c r="G2388" s="3">
        <f>_xll.QS.EVALUATE(C2388,F2388)</f>
        <v>37462.124637466957</v>
      </c>
      <c r="H2388" s="5" t="s">
        <v>1162</v>
      </c>
      <c r="I2388" s="7">
        <v>1238600</v>
      </c>
      <c r="J2388" s="8">
        <v>3.8600000000000002E-2</v>
      </c>
    </row>
    <row r="2389" spans="1:10" x14ac:dyDescent="0.25">
      <c r="A2389" s="5" t="s">
        <v>1150</v>
      </c>
      <c r="B2389" s="5" t="s">
        <v>4256</v>
      </c>
      <c r="C2389" s="6" t="str">
        <f>_xll.QS.CONTEXT.CREATE("market.2387",A2389,"USD","SOFR")</f>
        <v>QSObject:PricingContext:w1~market.2387:17695</v>
      </c>
      <c r="D2389" s="6" t="str">
        <f>_xll.QS.CONTEXT.ADD.CURVE(C2389,"SOFR",$K$2:$K$7,$L$2:$L$7,,,"Actual360","LogLinear",TRUE)</f>
        <v>QSObject:ContextInput:w1~input.qs_context_add_curve.2359132437744.2388.3.0:37911</v>
      </c>
      <c r="E2389" s="6" t="str">
        <f>_xll.QS.INSTRUMENT.SWAP("swap.2387",H2389,B2389,"USD","SOFR",I2389,J2389,0,"Actual360","Simple","Annual","Annual","Annual")</f>
        <v>QSObject:Swap:w1~swap.2387:17694</v>
      </c>
      <c r="F2389" s="6" t="str">
        <f>_xll.QS.TRADE.CREATE("trade.2387",E2389,A2389,"Receive")</f>
        <v>QSObject:SwapTrade:w1~trade.2387:29382</v>
      </c>
      <c r="G2389" s="3">
        <f>_xll.QS.EVALUATE(C2389,F2389)</f>
        <v>38089.427961441768</v>
      </c>
      <c r="H2389" s="5" t="s">
        <v>1164</v>
      </c>
      <c r="I2389" s="7">
        <v>1238700</v>
      </c>
      <c r="J2389" s="8">
        <v>3.8700000000000012E-2</v>
      </c>
    </row>
    <row r="2390" spans="1:10" x14ac:dyDescent="0.25">
      <c r="A2390" s="5" t="s">
        <v>1152</v>
      </c>
      <c r="B2390" s="5" t="s">
        <v>4257</v>
      </c>
      <c r="C2390" s="6" t="str">
        <f>_xll.QS.CONTEXT.CREATE("market.2388",A2390,"USD","SOFR")</f>
        <v>QSObject:PricingContext:w1~market.2388:17693</v>
      </c>
      <c r="D2390" s="6" t="str">
        <f>_xll.QS.CONTEXT.ADD.CURVE(C2390,"SOFR",$K$2:$K$7,$L$2:$L$7,,,"Actual360","LogLinear",TRUE)</f>
        <v>QSObject:ContextInput:w1~input.qs_context_add_curve.2359132437744.2389.3.0:37910</v>
      </c>
      <c r="E2390" s="6" t="str">
        <f>_xll.QS.INSTRUMENT.SWAP("swap.2388",H2390,B2390,"USD","SOFR",I2390,J2390,0,"Actual360","Simple","Annual","Annual","Annual")</f>
        <v>QSObject:Swap:w1~swap.2388:17692</v>
      </c>
      <c r="F2390" s="6" t="str">
        <f>_xll.QS.TRADE.CREATE("trade.2388",E2390,A2390,"Receive")</f>
        <v>QSObject:SwapTrade:w1~trade.2388:29381</v>
      </c>
      <c r="G2390" s="3">
        <f>_xll.QS.EVALUATE(C2390,F2390)</f>
        <v>38692.593236538007</v>
      </c>
      <c r="H2390" s="5" t="s">
        <v>1166</v>
      </c>
      <c r="I2390" s="7">
        <v>1238800</v>
      </c>
      <c r="J2390" s="8">
        <v>3.8800000000000001E-2</v>
      </c>
    </row>
    <row r="2391" spans="1:10" x14ac:dyDescent="0.25">
      <c r="A2391" s="5" t="s">
        <v>1154</v>
      </c>
      <c r="B2391" s="5" t="s">
        <v>4258</v>
      </c>
      <c r="C2391" s="6" t="str">
        <f>_xll.QS.CONTEXT.CREATE("market.2389",A2391,"USD","SOFR")</f>
        <v>QSObject:PricingContext:w1~market.2389:17691</v>
      </c>
      <c r="D2391" s="6" t="str">
        <f>_xll.QS.CONTEXT.ADD.CURVE(C2391,"SOFR",$K$2:$K$7,$L$2:$L$7,,,"Actual360","LogLinear",TRUE)</f>
        <v>QSObject:ContextInput:w1~input.qs_context_add_curve.2359132437744.2390.3.0:37909</v>
      </c>
      <c r="E2391" s="6" t="str">
        <f>_xll.QS.INSTRUMENT.SWAP("swap.2389",H2391,B2391,"USD","SOFR",I2391,J2391,0,"Actual360","Simple","Annual","Annual","Annual")</f>
        <v>QSObject:Swap:w1~swap.2389:17690</v>
      </c>
      <c r="F2391" s="6" t="str">
        <f>_xll.QS.TRADE.CREATE("trade.2389",E2391,A2391,"Receive")</f>
        <v>QSObject:SwapTrade:w1~trade.2389:29380</v>
      </c>
      <c r="G2391" s="3">
        <f>_xll.QS.EVALUATE(C2391,F2391)</f>
        <v>39357.636266798334</v>
      </c>
      <c r="H2391" s="5" t="s">
        <v>1168</v>
      </c>
      <c r="I2391" s="7">
        <v>1238900</v>
      </c>
      <c r="J2391" s="8">
        <v>3.8899999999999997E-2</v>
      </c>
    </row>
    <row r="2392" spans="1:10" x14ac:dyDescent="0.25">
      <c r="A2392" s="5" t="s">
        <v>1156</v>
      </c>
      <c r="B2392" s="5" t="s">
        <v>4259</v>
      </c>
      <c r="C2392" s="6" t="str">
        <f>_xll.QS.CONTEXT.CREATE("market.2390",A2392,"USD","SOFR")</f>
        <v>QSObject:PricingContext:w1~market.2390:17689</v>
      </c>
      <c r="D2392" s="6" t="str">
        <f>_xll.QS.CONTEXT.ADD.CURVE(C2392,"SOFR",$K$2:$K$7,$L$2:$L$7,,,"Actual360","LogLinear",TRUE)</f>
        <v>QSObject:ContextInput:w1~input.qs_context_add_curve.2359132437744.2391.3.0:37908</v>
      </c>
      <c r="E2392" s="6" t="str">
        <f>_xll.QS.INSTRUMENT.SWAP("swap.2390",H2392,B2392,"USD","SOFR",I2392,J2392,0,"Actual360","Simple","Annual","Annual","Annual")</f>
        <v>QSObject:Swap:w1~swap.2390:17688</v>
      </c>
      <c r="F2392" s="6" t="str">
        <f>_xll.QS.TRADE.CREATE("trade.2390",E2392,A2392,"Receive")</f>
        <v>QSObject:SwapTrade:w1~trade.2390:29379</v>
      </c>
      <c r="G2392" s="3">
        <f>_xll.QS.EVALUATE(C2392,F2392)</f>
        <v>39986.398060201631</v>
      </c>
      <c r="H2392" s="5" t="s">
        <v>1170</v>
      </c>
      <c r="I2392" s="7">
        <v>1239000</v>
      </c>
      <c r="J2392" s="8">
        <v>3.9000000000000007E-2</v>
      </c>
    </row>
    <row r="2393" spans="1:10" x14ac:dyDescent="0.25">
      <c r="A2393" s="5" t="s">
        <v>1158</v>
      </c>
      <c r="B2393" s="5" t="s">
        <v>4260</v>
      </c>
      <c r="C2393" s="6" t="str">
        <f>_xll.QS.CONTEXT.CREATE("market.2391",A2393,"USD","SOFR")</f>
        <v>QSObject:PricingContext:w1~market.2391:17687</v>
      </c>
      <c r="D2393" s="6" t="str">
        <f>_xll.QS.CONTEXT.ADD.CURVE(C2393,"SOFR",$K$2:$K$7,$L$2:$L$7,,,"Actual360","LogLinear",TRUE)</f>
        <v>QSObject:ContextInput:w1~input.qs_context_add_curve.2359132437744.2392.3.0:37907</v>
      </c>
      <c r="E2393" s="6" t="str">
        <f>_xll.QS.INSTRUMENT.SWAP("swap.2391",H2393,B2393,"USD","SOFR",I2393,J2393,0,"Actual360","Simple","Annual","Annual","Annual")</f>
        <v>QSObject:Swap:w1~swap.2391:17686</v>
      </c>
      <c r="F2393" s="6" t="str">
        <f>_xll.QS.TRADE.CREATE("trade.2391",E2393,A2393,"Receive")</f>
        <v>QSObject:SwapTrade:w1~trade.2391:29378</v>
      </c>
      <c r="G2393" s="3">
        <f>_xll.QS.EVALUATE(C2393,F2393)</f>
        <v>40513.176254819191</v>
      </c>
      <c r="H2393" s="5" t="s">
        <v>1172</v>
      </c>
      <c r="I2393" s="7">
        <v>1239100</v>
      </c>
      <c r="J2393" s="8">
        <v>3.9100000000000003E-2</v>
      </c>
    </row>
    <row r="2394" spans="1:10" x14ac:dyDescent="0.25">
      <c r="A2394" s="5" t="s">
        <v>1160</v>
      </c>
      <c r="B2394" s="5" t="s">
        <v>4261</v>
      </c>
      <c r="C2394" s="6" t="str">
        <f>_xll.QS.CONTEXT.CREATE("market.2392",A2394,"USD","SOFR")</f>
        <v>QSObject:PricingContext:w1~market.2392:17685</v>
      </c>
      <c r="D2394" s="6" t="str">
        <f>_xll.QS.CONTEXT.ADD.CURVE(C2394,"SOFR",$K$2:$K$7,$L$2:$L$7,,,"Actual360","LogLinear",TRUE)</f>
        <v>QSObject:ContextInput:w1~input.qs_context_add_curve.2359132437744.2393.3.0:37906</v>
      </c>
      <c r="E2394" s="6" t="str">
        <f>_xll.QS.INSTRUMENT.SWAP("swap.2392",H2394,B2394,"USD","SOFR",I2394,J2394,0,"Actual360","Simple","Annual","Annual","Annual")</f>
        <v>QSObject:Swap:w1~swap.2392:17684</v>
      </c>
      <c r="F2394" s="6" t="str">
        <f>_xll.QS.TRADE.CREATE("trade.2392",E2394,A2394,"Receive")</f>
        <v>QSObject:SwapTrade:w1~trade.2392:29377</v>
      </c>
      <c r="G2394" s="3">
        <f>_xll.QS.EVALUATE(C2394,F2394)</f>
        <v>40987.279204523744</v>
      </c>
      <c r="H2394" s="5" t="s">
        <v>1174</v>
      </c>
      <c r="I2394" s="7">
        <v>1239200</v>
      </c>
      <c r="J2394" s="8">
        <v>3.9200000000000013E-2</v>
      </c>
    </row>
    <row r="2395" spans="1:10" x14ac:dyDescent="0.25">
      <c r="A2395" s="5" t="s">
        <v>1162</v>
      </c>
      <c r="B2395" s="5" t="s">
        <v>4262</v>
      </c>
      <c r="C2395" s="6" t="str">
        <f>_xll.QS.CONTEXT.CREATE("market.2393",A2395,"USD","SOFR")</f>
        <v>QSObject:PricingContext:w1~market.2393:17683</v>
      </c>
      <c r="D2395" s="6" t="str">
        <f>_xll.QS.CONTEXT.ADD.CURVE(C2395,"SOFR",$K$2:$K$7,$L$2:$L$7,,,"Actual360","LogLinear",TRUE)</f>
        <v>QSObject:ContextInput:w1~input.qs_context_add_curve.2359132437744.2394.3.0:37905</v>
      </c>
      <c r="E2395" s="6" t="str">
        <f>_xll.QS.INSTRUMENT.SWAP("swap.2393",H2395,B2395,"USD","SOFR",I2395,J2395,0,"Actual360","Simple","Annual","Annual","Annual")</f>
        <v>QSObject:Swap:w1~swap.2393:17682</v>
      </c>
      <c r="F2395" s="6" t="str">
        <f>_xll.QS.TRADE.CREATE("trade.2393",E2395,A2395,"Receive")</f>
        <v>QSObject:SwapTrade:w1~trade.2393:29376</v>
      </c>
      <c r="G2395" s="3">
        <f>_xll.QS.EVALUATE(C2395,F2395)</f>
        <v>41485.216257312568</v>
      </c>
      <c r="H2395" s="5" t="s">
        <v>1176</v>
      </c>
      <c r="I2395" s="7">
        <v>1239300</v>
      </c>
      <c r="J2395" s="8">
        <v>3.9300000000000002E-2</v>
      </c>
    </row>
    <row r="2396" spans="1:10" x14ac:dyDescent="0.25">
      <c r="A2396" s="5" t="s">
        <v>1164</v>
      </c>
      <c r="B2396" s="5" t="s">
        <v>4263</v>
      </c>
      <c r="C2396" s="6" t="str">
        <f>_xll.QS.CONTEXT.CREATE("market.2394",A2396,"USD","SOFR")</f>
        <v>QSObject:PricingContext:w1~market.2394:17681</v>
      </c>
      <c r="D2396" s="6" t="str">
        <f>_xll.QS.CONTEXT.ADD.CURVE(C2396,"SOFR",$K$2:$K$7,$L$2:$L$7,,,"Actual360","LogLinear",TRUE)</f>
        <v>QSObject:ContextInput:w1~input.qs_context_add_curve.2359132437744.2395.3.0:37904</v>
      </c>
      <c r="E2396" s="6" t="str">
        <f>_xll.QS.INSTRUMENT.SWAP("swap.2394",H2396,B2396,"USD","SOFR",I2396,J2396,0,"Actual360","Simple","Annual","Annual","Annual")</f>
        <v>QSObject:Swap:w1~swap.2394:17680</v>
      </c>
      <c r="F2396" s="6" t="str">
        <f>_xll.QS.TRADE.CREATE("trade.2394",E2396,A2396,"Receive")</f>
        <v>QSObject:SwapTrade:w1~trade.2394:29375</v>
      </c>
      <c r="G2396" s="3">
        <f>_xll.QS.EVALUATE(C2396,F2396)</f>
        <v>42113.582837142312</v>
      </c>
      <c r="H2396" s="5" t="s">
        <v>1178</v>
      </c>
      <c r="I2396" s="7">
        <v>1239400</v>
      </c>
      <c r="J2396" s="8">
        <v>3.9399999999999998E-2</v>
      </c>
    </row>
    <row r="2397" spans="1:10" x14ac:dyDescent="0.25">
      <c r="A2397" s="5" t="s">
        <v>1166</v>
      </c>
      <c r="B2397" s="5" t="s">
        <v>4264</v>
      </c>
      <c r="C2397" s="6" t="str">
        <f>_xll.QS.CONTEXT.CREATE("market.2395",A2397,"USD","SOFR")</f>
        <v>QSObject:PricingContext:w1~market.2395:17679</v>
      </c>
      <c r="D2397" s="6" t="str">
        <f>_xll.QS.CONTEXT.ADD.CURVE(C2397,"SOFR",$K$2:$K$7,$L$2:$L$7,,,"Actual360","LogLinear",TRUE)</f>
        <v>QSObject:ContextInput:w1~input.qs_context_add_curve.2359132437744.2396.3.0:37903</v>
      </c>
      <c r="E2397" s="6" t="str">
        <f>_xll.QS.INSTRUMENT.SWAP("swap.2395",H2397,B2397,"USD","SOFR",I2397,J2397,0,"Actual360","Simple","Annual","Annual","Annual")</f>
        <v>QSObject:Swap:w1~swap.2395:17678</v>
      </c>
      <c r="F2397" s="6" t="str">
        <f>_xll.QS.TRADE.CREATE("trade.2395",E2397,A2397,"Receive")</f>
        <v>QSObject:SwapTrade:w1~trade.2395:29374</v>
      </c>
      <c r="G2397" s="3">
        <f>_xll.QS.EVALUATE(C2397,F2397)</f>
        <v>42715.469209266972</v>
      </c>
      <c r="H2397" s="5" t="s">
        <v>1180</v>
      </c>
      <c r="I2397" s="7">
        <v>1239500</v>
      </c>
      <c r="J2397" s="8">
        <v>3.9500000000000007E-2</v>
      </c>
    </row>
    <row r="2398" spans="1:10" x14ac:dyDescent="0.25">
      <c r="A2398" s="5" t="s">
        <v>1168</v>
      </c>
      <c r="B2398" s="5" t="s">
        <v>4265</v>
      </c>
      <c r="C2398" s="6" t="str">
        <f>_xll.QS.CONTEXT.CREATE("market.2396",A2398,"USD","SOFR")</f>
        <v>QSObject:PricingContext:w1~market.2396:17677</v>
      </c>
      <c r="D2398" s="6" t="str">
        <f>_xll.QS.CONTEXT.ADD.CURVE(C2398,"SOFR",$K$2:$K$7,$L$2:$L$7,,,"Actual360","LogLinear",TRUE)</f>
        <v>QSObject:ContextInput:w1~input.qs_context_add_curve.2359132437744.2397.3.0:37902</v>
      </c>
      <c r="E2398" s="6" t="str">
        <f>_xll.QS.INSTRUMENT.SWAP("swap.2396",H2398,B2398,"USD","SOFR",I2398,J2398,0,"Actual360","Simple","Annual","Annual","Annual")</f>
        <v>QSObject:Swap:w1~swap.2396:17676</v>
      </c>
      <c r="F2398" s="6" t="str">
        <f>_xll.QS.TRADE.CREATE("trade.2396",E2398,A2398,"Receive")</f>
        <v>QSObject:SwapTrade:w1~trade.2396:29373</v>
      </c>
      <c r="G2398" s="3">
        <f>_xll.QS.EVALUATE(C2398,F2398)</f>
        <v>43381.456227059556</v>
      </c>
      <c r="H2398" s="5" t="s">
        <v>1182</v>
      </c>
      <c r="I2398" s="7">
        <v>1239600</v>
      </c>
      <c r="J2398" s="8">
        <v>3.9600000000000003E-2</v>
      </c>
    </row>
    <row r="2399" spans="1:10" x14ac:dyDescent="0.25">
      <c r="A2399" s="5" t="s">
        <v>1170</v>
      </c>
      <c r="B2399" s="5" t="s">
        <v>4266</v>
      </c>
      <c r="C2399" s="6" t="str">
        <f>_xll.QS.CONTEXT.CREATE("market.2397",A2399,"USD","SOFR")</f>
        <v>QSObject:PricingContext:w1~market.2397:17675</v>
      </c>
      <c r="D2399" s="6" t="str">
        <f>_xll.QS.CONTEXT.ADD.CURVE(C2399,"SOFR",$K$2:$K$7,$L$2:$L$7,,,"Actual360","LogLinear",TRUE)</f>
        <v>QSObject:ContextInput:w1~input.qs_context_add_curve.2359132437744.2398.3.0:37901</v>
      </c>
      <c r="E2399" s="6" t="str">
        <f>_xll.QS.INSTRUMENT.SWAP("swap.2397",H2399,B2399,"USD","SOFR",I2399,J2399,0,"Actual360","Simple","Annual","Annual","Annual")</f>
        <v>QSObject:Swap:w1~swap.2397:17674</v>
      </c>
      <c r="F2399" s="6" t="str">
        <f>_xll.QS.TRADE.CREATE("trade.2397",E2399,A2399,"Receive")</f>
        <v>QSObject:SwapTrade:w1~trade.2397:29372</v>
      </c>
      <c r="G2399" s="3">
        <f>_xll.QS.EVALUATE(C2399,F2399)</f>
        <v>44010.752375434189</v>
      </c>
      <c r="H2399" s="5" t="s">
        <v>1184</v>
      </c>
      <c r="I2399" s="7">
        <v>1239700</v>
      </c>
      <c r="J2399" s="8">
        <v>3.9700000000000013E-2</v>
      </c>
    </row>
    <row r="2400" spans="1:10" x14ac:dyDescent="0.25">
      <c r="A2400" s="5" t="s">
        <v>1172</v>
      </c>
      <c r="B2400" s="5" t="s">
        <v>4267</v>
      </c>
      <c r="C2400" s="6" t="str">
        <f>_xll.QS.CONTEXT.CREATE("market.2398",A2400,"USD","SOFR")</f>
        <v>QSObject:PricingContext:w1~market.2398:17673</v>
      </c>
      <c r="D2400" s="6" t="str">
        <f>_xll.QS.CONTEXT.ADD.CURVE(C2400,"SOFR",$K$2:$K$7,$L$2:$L$7,,,"Actual360","LogLinear",TRUE)</f>
        <v>QSObject:ContextInput:w1~input.qs_context_add_curve.2359132437744.2399.3.0:37900</v>
      </c>
      <c r="E2400" s="6" t="str">
        <f>_xll.QS.INSTRUMENT.SWAP("swap.2398",H2400,B2400,"USD","SOFR",I2400,J2400,0,"Actual360","Simple","Annual","Annual","Annual")</f>
        <v>QSObject:Swap:w1~swap.2398:17672</v>
      </c>
      <c r="F2400" s="6" t="str">
        <f>_xll.QS.TRADE.CREATE("trade.2398",E2400,A2400,"Receive")</f>
        <v>QSObject:SwapTrade:w1~trade.2398:29371</v>
      </c>
      <c r="G2400" s="3">
        <f>_xll.QS.EVALUATE(C2400,F2400)</f>
        <v>44538.104433460714</v>
      </c>
      <c r="H2400" s="5" t="s">
        <v>1186</v>
      </c>
      <c r="I2400" s="7">
        <v>1239800</v>
      </c>
      <c r="J2400" s="8">
        <v>3.9800000000000002E-2</v>
      </c>
    </row>
    <row r="2401" spans="1:10" x14ac:dyDescent="0.25">
      <c r="A2401" s="5" t="s">
        <v>1174</v>
      </c>
      <c r="B2401" s="5" t="s">
        <v>4268</v>
      </c>
      <c r="C2401" s="6" t="str">
        <f>_xll.QS.CONTEXT.CREATE("market.2399",A2401,"USD","SOFR")</f>
        <v>QSObject:PricingContext:w1~market.2399:17671</v>
      </c>
      <c r="D2401" s="6" t="str">
        <f>_xll.QS.CONTEXT.ADD.CURVE(C2401,"SOFR",$K$2:$K$7,$L$2:$L$7,,,"Actual360","LogLinear",TRUE)</f>
        <v>QSObject:ContextInput:w1~input.qs_context_add_curve.2359132437744.2400.3.0:37899</v>
      </c>
      <c r="E2401" s="6" t="str">
        <f>_xll.QS.INSTRUMENT.SWAP("swap.2399",H2401,B2401,"USD","SOFR",I2401,J2401,0,"Actual360","Simple","Annual","Annual","Annual")</f>
        <v>QSObject:Swap:w1~swap.2399:17670</v>
      </c>
      <c r="F2401" s="6" t="str">
        <f>_xll.QS.TRADE.CREATE("trade.2399",E2401,A2401,"Receive")</f>
        <v>QSObject:SwapTrade:w1~trade.2399:29370</v>
      </c>
      <c r="G2401" s="3">
        <f>_xll.QS.EVALUATE(C2401,F2401)</f>
        <v>45008.081474590057</v>
      </c>
      <c r="H2401" s="5" t="s">
        <v>1188</v>
      </c>
      <c r="I2401" s="7">
        <v>1239900</v>
      </c>
      <c r="J2401" s="8">
        <v>3.9899999999999998E-2</v>
      </c>
    </row>
    <row r="2402" spans="1:10" x14ac:dyDescent="0.25">
      <c r="A2402" s="5" t="s">
        <v>1176</v>
      </c>
      <c r="B2402" s="5" t="s">
        <v>4269</v>
      </c>
      <c r="C2402" s="6" t="str">
        <f>_xll.QS.CONTEXT.CREATE("market.2400",A2402,"USD","SOFR")</f>
        <v>QSObject:PricingContext:w1~market.2400:17669</v>
      </c>
      <c r="D2402" s="6" t="str">
        <f>_xll.QS.CONTEXT.ADD.CURVE(C2402,"SOFR",$K$2:$K$7,$L$2:$L$7,,,"Actual360","LogLinear",TRUE)</f>
        <v>QSObject:ContextInput:w1~input.qs_context_add_curve.2359132437744.2401.3.0:37898</v>
      </c>
      <c r="E2402" s="6" t="str">
        <f>_xll.QS.INSTRUMENT.SWAP("swap.2400",H2402,B2402,"USD","SOFR",I2402,J2402,0,"Actual360","Simple","Annual","Annual","Annual")</f>
        <v>QSObject:Swap:w1~swap.2400:17668</v>
      </c>
      <c r="F2402" s="6" t="str">
        <f>_xll.QS.TRADE.CREATE("trade.2400",E2402,A2402,"Receive")</f>
        <v>QSObject:SwapTrade:w1~trade.2400:29369</v>
      </c>
      <c r="G2402" s="3">
        <f>_xll.QS.EVALUATE(C2402,F2402)</f>
        <v>16911.53456560403</v>
      </c>
      <c r="H2402" s="5" t="s">
        <v>1190</v>
      </c>
      <c r="I2402" s="7">
        <v>1240000</v>
      </c>
      <c r="J2402" s="8">
        <v>3.5000000000000003E-2</v>
      </c>
    </row>
    <row r="2403" spans="1:10" x14ac:dyDescent="0.25">
      <c r="A2403" s="5" t="s">
        <v>1178</v>
      </c>
      <c r="B2403" s="5" t="s">
        <v>4270</v>
      </c>
      <c r="C2403" s="6" t="str">
        <f>_xll.QS.CONTEXT.CREATE("market.2401",A2403,"USD","SOFR")</f>
        <v>QSObject:PricingContext:w1~market.2401:17667</v>
      </c>
      <c r="D2403" s="6" t="str">
        <f>_xll.QS.CONTEXT.ADD.CURVE(C2403,"SOFR",$K$2:$K$7,$L$2:$L$7,,,"Actual360","LogLinear",TRUE)</f>
        <v>QSObject:ContextInput:w1~input.qs_context_add_curve.2359132437744.2402.3.0:37897</v>
      </c>
      <c r="E2403" s="6" t="str">
        <f>_xll.QS.INSTRUMENT.SWAP("swap.2401",H2403,B2403,"USD","SOFR",I2403,J2403,0,"Actual360","Simple","Annual","Annual","Annual")</f>
        <v>QSObject:Swap:w1~swap.2401:17666</v>
      </c>
      <c r="F2403" s="6" t="str">
        <f>_xll.QS.TRADE.CREATE("trade.2401",E2403,A2403,"Receive")</f>
        <v>QSObject:SwapTrade:w1~trade.2401:29368</v>
      </c>
      <c r="G2403" s="3">
        <f>_xll.QS.EVALUATE(C2403,F2403)</f>
        <v>17535.732996068837</v>
      </c>
      <c r="H2403" s="5" t="s">
        <v>1192</v>
      </c>
      <c r="I2403" s="7">
        <v>1240100</v>
      </c>
      <c r="J2403" s="8">
        <v>3.5100000000000013E-2</v>
      </c>
    </row>
    <row r="2404" spans="1:10" x14ac:dyDescent="0.25">
      <c r="A2404" s="5" t="s">
        <v>1180</v>
      </c>
      <c r="B2404" s="5" t="s">
        <v>4271</v>
      </c>
      <c r="C2404" s="6" t="str">
        <f>_xll.QS.CONTEXT.CREATE("market.2402",A2404,"USD","SOFR")</f>
        <v>QSObject:PricingContext:w1~market.2402:17665</v>
      </c>
      <c r="D2404" s="6" t="str">
        <f>_xll.QS.CONTEXT.ADD.CURVE(C2404,"SOFR",$K$2:$K$7,$L$2:$L$7,,,"Actual360","LogLinear",TRUE)</f>
        <v>QSObject:ContextInput:w1~input.qs_context_add_curve.2359132437744.2403.3.0:37896</v>
      </c>
      <c r="E2404" s="6" t="str">
        <f>_xll.QS.INSTRUMENT.SWAP("swap.2402",H2404,B2404,"USD","SOFR",I2404,J2404,0,"Actual360","Simple","Annual","Annual","Annual")</f>
        <v>QSObject:Swap:w1~swap.2402:17664</v>
      </c>
      <c r="F2404" s="6" t="str">
        <f>_xll.QS.TRADE.CREATE("trade.2402",E2404,A2404,"Receive")</f>
        <v>QSObject:SwapTrade:w1~trade.2402:29367</v>
      </c>
      <c r="G2404" s="3">
        <f>_xll.QS.EVALUATE(C2404,F2404)</f>
        <v>18148.065930768986</v>
      </c>
      <c r="H2404" s="5" t="s">
        <v>1194</v>
      </c>
      <c r="I2404" s="7">
        <v>1240200</v>
      </c>
      <c r="J2404" s="8">
        <v>3.5200000000000002E-2</v>
      </c>
    </row>
    <row r="2405" spans="1:10" x14ac:dyDescent="0.25">
      <c r="A2405" s="5" t="s">
        <v>1182</v>
      </c>
      <c r="B2405" s="5" t="s">
        <v>4272</v>
      </c>
      <c r="C2405" s="6" t="str">
        <f>_xll.QS.CONTEXT.CREATE("market.2403",A2405,"USD","SOFR")</f>
        <v>QSObject:PricingContext:w1~market.2403:17663</v>
      </c>
      <c r="D2405" s="6" t="str">
        <f>_xll.QS.CONTEXT.ADD.CURVE(C2405,"SOFR",$K$2:$K$7,$L$2:$L$7,,,"Actual360","LogLinear",TRUE)</f>
        <v>QSObject:ContextInput:w1~input.qs_context_add_curve.2359132437744.2404.3.0:37895</v>
      </c>
      <c r="E2405" s="6" t="str">
        <f>_xll.QS.INSTRUMENT.SWAP("swap.2403",H2405,B2405,"USD","SOFR",I2405,J2405,0,"Actual360","Simple","Annual","Annual","Annual")</f>
        <v>QSObject:Swap:w1~swap.2403:17662</v>
      </c>
      <c r="F2405" s="6" t="str">
        <f>_xll.QS.TRADE.CREATE("trade.2403",E2405,A2405,"Receive")</f>
        <v>QSObject:SwapTrade:w1~trade.2403:29366</v>
      </c>
      <c r="G2405" s="3">
        <f>_xll.QS.EVALUATE(C2405,F2405)</f>
        <v>18811.89136322157</v>
      </c>
      <c r="H2405" s="5" t="s">
        <v>1196</v>
      </c>
      <c r="I2405" s="7">
        <v>1240300</v>
      </c>
      <c r="J2405" s="8">
        <v>3.5299999999999998E-2</v>
      </c>
    </row>
    <row r="2406" spans="1:10" x14ac:dyDescent="0.25">
      <c r="A2406" s="5" t="s">
        <v>1184</v>
      </c>
      <c r="B2406" s="5" t="s">
        <v>4273</v>
      </c>
      <c r="C2406" s="6" t="str">
        <f>_xll.QS.CONTEXT.CREATE("market.2404",A2406,"USD","SOFR")</f>
        <v>QSObject:PricingContext:w1~market.2404:17661</v>
      </c>
      <c r="D2406" s="6" t="str">
        <f>_xll.QS.CONTEXT.ADD.CURVE(C2406,"SOFR",$K$2:$K$7,$L$2:$L$7,,,"Actual360","LogLinear",TRUE)</f>
        <v>QSObject:ContextInput:w1~input.qs_context_add_curve.2359132437744.2405.3.0:37894</v>
      </c>
      <c r="E2406" s="6" t="str">
        <f>_xll.QS.INSTRUMENT.SWAP("swap.2404",H2406,B2406,"USD","SOFR",I2406,J2406,0,"Actual360","Simple","Annual","Annual","Annual")</f>
        <v>QSObject:Swap:w1~swap.2404:17660</v>
      </c>
      <c r="F2406" s="6" t="str">
        <f>_xll.QS.TRADE.CREATE("trade.2404",E2406,A2406,"Receive")</f>
        <v>QSObject:SwapTrade:w1~trade.2404:29365</v>
      </c>
      <c r="G2406" s="3">
        <f>_xll.QS.EVALUATE(C2406,F2406)</f>
        <v>19439.463500842794</v>
      </c>
      <c r="H2406" s="5" t="s">
        <v>1198</v>
      </c>
      <c r="I2406" s="7">
        <v>1240400</v>
      </c>
      <c r="J2406" s="8">
        <v>3.5400000000000001E-2</v>
      </c>
    </row>
    <row r="2407" spans="1:10" x14ac:dyDescent="0.25">
      <c r="A2407" s="5" t="s">
        <v>1186</v>
      </c>
      <c r="B2407" s="5" t="s">
        <v>4274</v>
      </c>
      <c r="C2407" s="6" t="str">
        <f>_xll.QS.CONTEXT.CREATE("market.2405",A2407,"USD","SOFR")</f>
        <v>QSObject:PricingContext:w1~market.2405:17659</v>
      </c>
      <c r="D2407" s="6" t="str">
        <f>_xll.QS.CONTEXT.ADD.CURVE(C2407,"SOFR",$K$2:$K$7,$L$2:$L$7,,,"Actual360","LogLinear",TRUE)</f>
        <v>QSObject:ContextInput:w1~input.qs_context_add_curve.2359132437744.2406.3.0:37893</v>
      </c>
      <c r="E2407" s="6" t="str">
        <f>_xll.QS.INSTRUMENT.SWAP("swap.2405",H2407,B2407,"USD","SOFR",I2407,J2407,0,"Actual360","Simple","Annual","Annual","Annual")</f>
        <v>QSObject:Swap:w1~swap.2405:17658</v>
      </c>
      <c r="F2407" s="6" t="str">
        <f>_xll.QS.TRADE.CREATE("trade.2405",E2407,A2407,"Receive")</f>
        <v>QSObject:SwapTrade:w1~trade.2405:29364</v>
      </c>
      <c r="G2407" s="3">
        <f>_xll.QS.EVALUATE(C2407,F2407)</f>
        <v>19965.39565250538</v>
      </c>
      <c r="H2407" s="5" t="s">
        <v>1200</v>
      </c>
      <c r="I2407" s="7">
        <v>1240500</v>
      </c>
      <c r="J2407" s="8">
        <v>3.5499999999999997E-2</v>
      </c>
    </row>
    <row r="2408" spans="1:10" x14ac:dyDescent="0.25">
      <c r="A2408" s="5" t="s">
        <v>1188</v>
      </c>
      <c r="B2408" s="5" t="s">
        <v>4275</v>
      </c>
      <c r="C2408" s="6" t="str">
        <f>_xll.QS.CONTEXT.CREATE("market.2406",A2408,"USD","SOFR")</f>
        <v>QSObject:PricingContext:w1~market.2406:17657</v>
      </c>
      <c r="D2408" s="6" t="str">
        <f>_xll.QS.CONTEXT.ADD.CURVE(C2408,"SOFR",$K$2:$K$7,$L$2:$L$7,,,"Actual360","LogLinear",TRUE)</f>
        <v>QSObject:ContextInput:w1~input.qs_context_add_curve.2359132437744.2407.3.0:37892</v>
      </c>
      <c r="E2408" s="6" t="str">
        <f>_xll.QS.INSTRUMENT.SWAP("swap.2406",H2408,B2408,"USD","SOFR",I2408,J2408,0,"Actual360","Simple","Annual","Annual","Annual")</f>
        <v>QSObject:Swap:w1~swap.2406:17656</v>
      </c>
      <c r="F2408" s="6" t="str">
        <f>_xll.QS.TRADE.CREATE("trade.2406",E2408,A2408,"Receive")</f>
        <v>QSObject:SwapTrade:w1~trade.2406:29363</v>
      </c>
      <c r="G2408" s="3">
        <f>_xll.QS.EVALUATE(C2408,F2408)</f>
        <v>20462.623493947169</v>
      </c>
      <c r="H2408" s="5" t="s">
        <v>1202</v>
      </c>
      <c r="I2408" s="7">
        <v>1240600</v>
      </c>
      <c r="J2408" s="8">
        <v>3.5600000000000007E-2</v>
      </c>
    </row>
    <row r="2409" spans="1:10" x14ac:dyDescent="0.25">
      <c r="A2409" s="5" t="s">
        <v>1190</v>
      </c>
      <c r="B2409" s="5" t="s">
        <v>4276</v>
      </c>
      <c r="C2409" s="6" t="str">
        <f>_xll.QS.CONTEXT.CREATE("market.2407",A2409,"USD","SOFR")</f>
        <v>QSObject:PricingContext:w1~market.2407:17655</v>
      </c>
      <c r="D2409" s="6" t="str">
        <f>_xll.QS.CONTEXT.ADD.CURVE(C2409,"SOFR",$K$2:$K$7,$L$2:$L$7,,,"Actual360","LogLinear",TRUE)</f>
        <v>QSObject:ContextInput:w1~input.qs_context_add_curve.2359132437744.2408.3.0:37891</v>
      </c>
      <c r="E2409" s="6" t="str">
        <f>_xll.QS.INSTRUMENT.SWAP("swap.2407",H2409,B2409,"USD","SOFR",I2409,J2409,0,"Actual360","Simple","Annual","Annual","Annual")</f>
        <v>QSObject:Swap:w1~swap.2407:17654</v>
      </c>
      <c r="F2409" s="6" t="str">
        <f>_xll.QS.TRADE.CREATE("trade.2407",E2409,A2409,"Receive")</f>
        <v>QSObject:SwapTrade:w1~trade.2407:29362</v>
      </c>
      <c r="G2409" s="3">
        <f>_xll.QS.EVALUATE(C2409,F2409)</f>
        <v>20927.529249138301</v>
      </c>
      <c r="H2409" s="5" t="s">
        <v>1204</v>
      </c>
      <c r="I2409" s="7">
        <v>1240700</v>
      </c>
      <c r="J2409" s="8">
        <v>3.5700000000000003E-2</v>
      </c>
    </row>
    <row r="2410" spans="1:10" x14ac:dyDescent="0.25">
      <c r="A2410" s="5" t="s">
        <v>1192</v>
      </c>
      <c r="B2410" s="5" t="s">
        <v>4277</v>
      </c>
      <c r="C2410" s="6" t="str">
        <f>_xll.QS.CONTEXT.CREATE("market.2408",A2410,"USD","SOFR")</f>
        <v>QSObject:PricingContext:w1~market.2408:17653</v>
      </c>
      <c r="D2410" s="6" t="str">
        <f>_xll.QS.CONTEXT.ADD.CURVE(C2410,"SOFR",$K$2:$K$7,$L$2:$L$7,,,"Actual360","LogLinear",TRUE)</f>
        <v>QSObject:ContextInput:w1~input.qs_context_add_curve.2359132437744.2409.3.0:37890</v>
      </c>
      <c r="E2410" s="6" t="str">
        <f>_xll.QS.INSTRUMENT.SWAP("swap.2408",H2410,B2410,"USD","SOFR",I2410,J2410,0,"Actual360","Simple","Annual","Annual","Annual")</f>
        <v>QSObject:Swap:w1~swap.2408:17652</v>
      </c>
      <c r="F2410" s="6" t="str">
        <f>_xll.QS.TRADE.CREATE("trade.2408",E2410,A2410,"Receive")</f>
        <v>QSObject:SwapTrade:w1~trade.2408:29361</v>
      </c>
      <c r="G2410" s="3">
        <f>_xll.QS.EVALUATE(C2410,F2410)</f>
        <v>21552.945737305206</v>
      </c>
      <c r="H2410" s="5" t="s">
        <v>1206</v>
      </c>
      <c r="I2410" s="7">
        <v>1240800</v>
      </c>
      <c r="J2410" s="8">
        <v>3.5800000000000012E-2</v>
      </c>
    </row>
    <row r="2411" spans="1:10" x14ac:dyDescent="0.25">
      <c r="A2411" s="5" t="s">
        <v>1194</v>
      </c>
      <c r="B2411" s="5" t="s">
        <v>4278</v>
      </c>
      <c r="C2411" s="6" t="str">
        <f>_xll.QS.CONTEXT.CREATE("market.2409",A2411,"USD","SOFR")</f>
        <v>QSObject:PricingContext:w1~market.2409:17651</v>
      </c>
      <c r="D2411" s="6" t="str">
        <f>_xll.QS.CONTEXT.ADD.CURVE(C2411,"SOFR",$K$2:$K$7,$L$2:$L$7,,,"Actual360","LogLinear",TRUE)</f>
        <v>QSObject:ContextInput:w1~input.qs_context_add_curve.2359132437744.2410.3.0:37889</v>
      </c>
      <c r="E2411" s="6" t="str">
        <f>_xll.QS.INSTRUMENT.SWAP("swap.2409",H2411,B2411,"USD","SOFR",I2411,J2411,0,"Actual360","Simple","Annual","Annual","Annual")</f>
        <v>QSObject:Swap:w1~swap.2409:17650</v>
      </c>
      <c r="F2411" s="6" t="str">
        <f>_xll.QS.TRADE.CREATE("trade.2409",E2411,A2411,"Receive")</f>
        <v>QSObject:SwapTrade:w1~trade.2409:29360</v>
      </c>
      <c r="G2411" s="3">
        <f>_xll.QS.EVALUATE(C2411,F2411)</f>
        <v>22163.840469946488</v>
      </c>
      <c r="H2411" s="5" t="s">
        <v>1208</v>
      </c>
      <c r="I2411" s="7">
        <v>1240900</v>
      </c>
      <c r="J2411" s="8">
        <v>3.5900000000000001E-2</v>
      </c>
    </row>
    <row r="2412" spans="1:10" x14ac:dyDescent="0.25">
      <c r="A2412" s="5" t="s">
        <v>1196</v>
      </c>
      <c r="B2412" s="5" t="s">
        <v>4279</v>
      </c>
      <c r="C2412" s="6" t="str">
        <f>_xll.QS.CONTEXT.CREATE("market.2410",A2412,"USD","SOFR")</f>
        <v>QSObject:PricingContext:w1~market.2410:17649</v>
      </c>
      <c r="D2412" s="6" t="str">
        <f>_xll.QS.CONTEXT.ADD.CURVE(C2412,"SOFR",$K$2:$K$7,$L$2:$L$7,,,"Actual360","LogLinear",TRUE)</f>
        <v>QSObject:ContextInput:w1~input.qs_context_add_curve.2359132437744.2411.3.0:37888</v>
      </c>
      <c r="E2412" s="6" t="str">
        <f>_xll.QS.INSTRUMENT.SWAP("swap.2410",H2412,B2412,"USD","SOFR",I2412,J2412,0,"Actual360","Simple","Annual","Annual","Annual")</f>
        <v>QSObject:Swap:w1~swap.2410:17648</v>
      </c>
      <c r="F2412" s="6" t="str">
        <f>_xll.QS.TRADE.CREATE("trade.2410",E2412,A2412,"Receive")</f>
        <v>QSObject:SwapTrade:w1~trade.2410:29359</v>
      </c>
      <c r="G2412" s="3">
        <f>_xll.QS.EVALUATE(C2412,F2412)</f>
        <v>22828.421957632359</v>
      </c>
      <c r="H2412" s="5" t="s">
        <v>1210</v>
      </c>
      <c r="I2412" s="7">
        <v>1241000</v>
      </c>
      <c r="J2412" s="8">
        <v>3.5999999999999997E-2</v>
      </c>
    </row>
    <row r="2413" spans="1:10" x14ac:dyDescent="0.25">
      <c r="A2413" s="5" t="s">
        <v>1198</v>
      </c>
      <c r="B2413" s="5" t="s">
        <v>4280</v>
      </c>
      <c r="C2413" s="6" t="str">
        <f>_xll.QS.CONTEXT.CREATE("market.2411",A2413,"USD","SOFR")</f>
        <v>QSObject:PricingContext:w1~market.2411:17647</v>
      </c>
      <c r="D2413" s="6" t="str">
        <f>_xll.QS.CONTEXT.ADD.CURVE(C2413,"SOFR",$K$2:$K$7,$L$2:$L$7,,,"Actual360","LogLinear",TRUE)</f>
        <v>QSObject:ContextInput:w1~input.qs_context_add_curve.2359132437744.2412.3.0:37887</v>
      </c>
      <c r="E2413" s="6" t="str">
        <f>_xll.QS.INSTRUMENT.SWAP("swap.2411",H2413,B2413,"USD","SOFR",I2413,J2413,0,"Actual360","Simple","Annual","Annual","Annual")</f>
        <v>QSObject:Swap:w1~swap.2411:17646</v>
      </c>
      <c r="F2413" s="6" t="str">
        <f>_xll.QS.TRADE.CREATE("trade.2411",E2413,A2413,"Receive")</f>
        <v>QSObject:SwapTrade:w1~trade.2411:29358</v>
      </c>
      <c r="G2413" s="3">
        <f>_xll.QS.EVALUATE(C2413,F2413)</f>
        <v>23456.716195614259</v>
      </c>
      <c r="H2413" s="5" t="s">
        <v>1212</v>
      </c>
      <c r="I2413" s="7">
        <v>1241100</v>
      </c>
      <c r="J2413" s="8">
        <v>3.61E-2</v>
      </c>
    </row>
    <row r="2414" spans="1:10" x14ac:dyDescent="0.25">
      <c r="A2414" s="5" t="s">
        <v>1200</v>
      </c>
      <c r="B2414" s="5" t="s">
        <v>4281</v>
      </c>
      <c r="C2414" s="6" t="str">
        <f>_xll.QS.CONTEXT.CREATE("market.2412",A2414,"USD","SOFR")</f>
        <v>QSObject:PricingContext:w1~market.2412:17645</v>
      </c>
      <c r="D2414" s="6" t="str">
        <f>_xll.QS.CONTEXT.ADD.CURVE(C2414,"SOFR",$K$2:$K$7,$L$2:$L$7,,,"Actual360","LogLinear",TRUE)</f>
        <v>QSObject:ContextInput:w1~input.qs_context_add_curve.2359132437744.2413.3.0:37886</v>
      </c>
      <c r="E2414" s="6" t="str">
        <f>_xll.QS.INSTRUMENT.SWAP("swap.2412",H2414,B2414,"USD","SOFR",I2414,J2414,0,"Actual360","Simple","Annual","Annual","Annual")</f>
        <v>QSObject:Swap:w1~swap.2412:17644</v>
      </c>
      <c r="F2414" s="6" t="str">
        <f>_xll.QS.TRADE.CREATE("trade.2412",E2414,A2414,"Receive")</f>
        <v>QSObject:SwapTrade:w1~trade.2412:29357</v>
      </c>
      <c r="G2414" s="3">
        <f>_xll.QS.EVALUATE(C2414,F2414)</f>
        <v>23983.223745104719</v>
      </c>
      <c r="H2414" s="5" t="s">
        <v>1214</v>
      </c>
      <c r="I2414" s="7">
        <v>1241200</v>
      </c>
      <c r="J2414" s="8">
        <v>3.6200000000000003E-2</v>
      </c>
    </row>
    <row r="2415" spans="1:10" x14ac:dyDescent="0.25">
      <c r="A2415" s="5" t="s">
        <v>1202</v>
      </c>
      <c r="B2415" s="5" t="s">
        <v>4282</v>
      </c>
      <c r="C2415" s="6" t="str">
        <f>_xll.QS.CONTEXT.CREATE("market.2413",A2415,"USD","SOFR")</f>
        <v>QSObject:PricingContext:w1~market.2413:17643</v>
      </c>
      <c r="D2415" s="6" t="str">
        <f>_xll.QS.CONTEXT.ADD.CURVE(C2415,"SOFR",$K$2:$K$7,$L$2:$L$7,,,"Actual360","LogLinear",TRUE)</f>
        <v>QSObject:ContextInput:w1~input.qs_context_add_curve.2359132437744.2414.3.0:37885</v>
      </c>
      <c r="E2415" s="6" t="str">
        <f>_xll.QS.INSTRUMENT.SWAP("swap.2413",H2415,B2415,"USD","SOFR",I2415,J2415,0,"Actual360","Simple","Annual","Annual","Annual")</f>
        <v>QSObject:Swap:w1~swap.2413:17642</v>
      </c>
      <c r="F2415" s="6" t="str">
        <f>_xll.QS.TRADE.CREATE("trade.2413",E2415,A2415,"Receive")</f>
        <v>QSObject:SwapTrade:w1~trade.2413:29356</v>
      </c>
      <c r="G2415" s="3">
        <f>_xll.QS.EVALUATE(C2415,F2415)</f>
        <v>24476.335498864137</v>
      </c>
      <c r="H2415" s="5" t="s">
        <v>1216</v>
      </c>
      <c r="I2415" s="7">
        <v>1241300</v>
      </c>
      <c r="J2415" s="8">
        <v>3.6300000000000013E-2</v>
      </c>
    </row>
    <row r="2416" spans="1:10" x14ac:dyDescent="0.25">
      <c r="A2416" s="5" t="s">
        <v>1204</v>
      </c>
      <c r="B2416" s="5" t="s">
        <v>4283</v>
      </c>
      <c r="C2416" s="6" t="str">
        <f>_xll.QS.CONTEXT.CREATE("market.2414",A2416,"USD","SOFR")</f>
        <v>QSObject:PricingContext:w1~market.2414:17641</v>
      </c>
      <c r="D2416" s="6" t="str">
        <f>_xll.QS.CONTEXT.ADD.CURVE(C2416,"SOFR",$K$2:$K$7,$L$2:$L$7,,,"Actual360","LogLinear",TRUE)</f>
        <v>QSObject:ContextInput:w1~input.qs_context_add_curve.2359132437744.2415.3.0:37884</v>
      </c>
      <c r="E2416" s="6" t="str">
        <f>_xll.QS.INSTRUMENT.SWAP("swap.2414",H2416,B2416,"USD","SOFR",I2416,J2416,0,"Actual360","Simple","Annual","Annual","Annual")</f>
        <v>QSObject:Swap:w1~swap.2414:17640</v>
      </c>
      <c r="F2416" s="6" t="str">
        <f>_xll.QS.TRADE.CREATE("trade.2414",E2416,A2416,"Receive")</f>
        <v>QSObject:SwapTrade:w1~trade.2414:29355</v>
      </c>
      <c r="G2416" s="3">
        <f>_xll.QS.EVALUATE(C2416,F2416)</f>
        <v>24948.037526940541</v>
      </c>
      <c r="H2416" s="5" t="s">
        <v>1218</v>
      </c>
      <c r="I2416" s="7">
        <v>1241400</v>
      </c>
      <c r="J2416" s="8">
        <v>3.6400000000000002E-2</v>
      </c>
    </row>
    <row r="2417" spans="1:10" x14ac:dyDescent="0.25">
      <c r="A2417" s="5" t="s">
        <v>1206</v>
      </c>
      <c r="B2417" s="5" t="s">
        <v>4284</v>
      </c>
      <c r="C2417" s="6" t="str">
        <f>_xll.QS.CONTEXT.CREATE("market.2415",A2417,"USD","SOFR")</f>
        <v>QSObject:PricingContext:w1~market.2415:17639</v>
      </c>
      <c r="D2417" s="6" t="str">
        <f>_xll.QS.CONTEXT.ADD.CURVE(C2417,"SOFR",$K$2:$K$7,$L$2:$L$7,,,"Actual360","LogLinear",TRUE)</f>
        <v>QSObject:ContextInput:w1~input.qs_context_add_curve.2359132437744.2416.3.0:37883</v>
      </c>
      <c r="E2417" s="6" t="str">
        <f>_xll.QS.INSTRUMENT.SWAP("swap.2415",H2417,B2417,"USD","SOFR",I2417,J2417,0,"Actual360","Simple","Annual","Annual","Annual")</f>
        <v>QSObject:Swap:w1~swap.2415:17638</v>
      </c>
      <c r="F2417" s="6" t="str">
        <f>_xll.QS.TRADE.CREATE("trade.2415",E2417,A2417,"Receive")</f>
        <v>QSObject:SwapTrade:w1~trade.2415:29354</v>
      </c>
      <c r="G2417" s="3">
        <f>_xll.QS.EVALUATE(C2417,F2417)</f>
        <v>25574.517020807609</v>
      </c>
      <c r="H2417" s="5" t="s">
        <v>1220</v>
      </c>
      <c r="I2417" s="7">
        <v>1241500</v>
      </c>
      <c r="J2417" s="8">
        <v>3.6499999999999998E-2</v>
      </c>
    </row>
    <row r="2418" spans="1:10" x14ac:dyDescent="0.25">
      <c r="A2418" s="5" t="s">
        <v>1208</v>
      </c>
      <c r="B2418" s="5" t="s">
        <v>4285</v>
      </c>
      <c r="C2418" s="6" t="str">
        <f>_xll.QS.CONTEXT.CREATE("market.2416",A2418,"USD","SOFR")</f>
        <v>QSObject:PricingContext:w1~market.2416:17637</v>
      </c>
      <c r="D2418" s="6" t="str">
        <f>_xll.QS.CONTEXT.ADD.CURVE(C2418,"SOFR",$K$2:$K$7,$L$2:$L$7,,,"Actual360","LogLinear",TRUE)</f>
        <v>QSObject:ContextInput:w1~input.qs_context_add_curve.2359132437744.2417.3.0:37882</v>
      </c>
      <c r="E2418" s="6" t="str">
        <f>_xll.QS.INSTRUMENT.SWAP("swap.2416",H2418,B2418,"USD","SOFR",I2418,J2418,0,"Actual360","Simple","Annual","Annual","Annual")</f>
        <v>QSObject:Swap:w1~swap.2416:17636</v>
      </c>
      <c r="F2418" s="6" t="str">
        <f>_xll.QS.TRADE.CREATE("trade.2416",E2418,A2418,"Receive")</f>
        <v>QSObject:SwapTrade:w1~trade.2416:29353</v>
      </c>
      <c r="G2418" s="3">
        <f>_xll.QS.EVALUATE(C2418,F2418)</f>
        <v>26184.134103202123</v>
      </c>
      <c r="H2418" s="5" t="s">
        <v>1222</v>
      </c>
      <c r="I2418" s="7">
        <v>1241600</v>
      </c>
      <c r="J2418" s="8">
        <v>3.6600000000000001E-2</v>
      </c>
    </row>
    <row r="2419" spans="1:10" x14ac:dyDescent="0.25">
      <c r="A2419" s="5" t="s">
        <v>1210</v>
      </c>
      <c r="B2419" s="5" t="s">
        <v>4286</v>
      </c>
      <c r="C2419" s="6" t="str">
        <f>_xll.QS.CONTEXT.CREATE("market.2417",A2419,"USD","SOFR")</f>
        <v>QSObject:PricingContext:w1~market.2417:17635</v>
      </c>
      <c r="D2419" s="6" t="str">
        <f>_xll.QS.CONTEXT.ADD.CURVE(C2419,"SOFR",$K$2:$K$7,$L$2:$L$7,,,"Actual360","LogLinear",TRUE)</f>
        <v>QSObject:ContextInput:w1~input.qs_context_add_curve.2359132437744.2418.3.0:37881</v>
      </c>
      <c r="E2419" s="6" t="str">
        <f>_xll.QS.INSTRUMENT.SWAP("swap.2417",H2419,B2419,"USD","SOFR",I2419,J2419,0,"Actual360","Simple","Annual","Annual","Annual")</f>
        <v>QSObject:Swap:w1~swap.2417:17634</v>
      </c>
      <c r="F2419" s="6" t="str">
        <f>_xll.QS.TRADE.CREATE("trade.2417",E2419,A2419,"Receive")</f>
        <v>QSObject:SwapTrade:w1~trade.2417:29352</v>
      </c>
      <c r="G2419" s="3">
        <f>_xll.QS.EVALUATE(C2419,F2419)</f>
        <v>26849.471713175881</v>
      </c>
      <c r="H2419" s="5" t="s">
        <v>1224</v>
      </c>
      <c r="I2419" s="7">
        <v>1241700</v>
      </c>
      <c r="J2419" s="8">
        <v>3.6700000000000003E-2</v>
      </c>
    </row>
    <row r="2420" spans="1:10" x14ac:dyDescent="0.25">
      <c r="A2420" s="5" t="s">
        <v>1212</v>
      </c>
      <c r="B2420" s="5" t="s">
        <v>4287</v>
      </c>
      <c r="C2420" s="6" t="str">
        <f>_xll.QS.CONTEXT.CREATE("market.2418",A2420,"USD","SOFR")</f>
        <v>QSObject:PricingContext:w1~market.2418:17633</v>
      </c>
      <c r="D2420" s="6" t="str">
        <f>_xll.QS.CONTEXT.ADD.CURVE(C2420,"SOFR",$K$2:$K$7,$L$2:$L$7,,,"Actual360","LogLinear",TRUE)</f>
        <v>QSObject:ContextInput:w1~input.qs_context_add_curve.2359132437744.2419.3.0:37880</v>
      </c>
      <c r="E2420" s="6" t="str">
        <f>_xll.QS.INSTRUMENT.SWAP("swap.2418",H2420,B2420,"USD","SOFR",I2420,J2420,0,"Actual360","Simple","Annual","Annual","Annual")</f>
        <v>QSObject:Swap:w1~swap.2418:17632</v>
      </c>
      <c r="F2420" s="6" t="str">
        <f>_xll.QS.TRADE.CREATE("trade.2418",E2420,A2420,"Receive")</f>
        <v>QSObject:SwapTrade:w1~trade.2418:29351</v>
      </c>
      <c r="G2420" s="3">
        <f>_xll.QS.EVALUATE(C2420,F2420)</f>
        <v>27478.488103406497</v>
      </c>
      <c r="H2420" s="5" t="s">
        <v>1226</v>
      </c>
      <c r="I2420" s="7">
        <v>1241800</v>
      </c>
      <c r="J2420" s="8">
        <v>3.6800000000000013E-2</v>
      </c>
    </row>
    <row r="2421" spans="1:10" x14ac:dyDescent="0.25">
      <c r="A2421" s="5" t="s">
        <v>1214</v>
      </c>
      <c r="B2421" s="5" t="s">
        <v>4288</v>
      </c>
      <c r="C2421" s="6" t="str">
        <f>_xll.QS.CONTEXT.CREATE("market.2419",A2421,"USD","SOFR")</f>
        <v>QSObject:PricingContext:w1~market.2419:17631</v>
      </c>
      <c r="D2421" s="6" t="str">
        <f>_xll.QS.CONTEXT.ADD.CURVE(C2421,"SOFR",$K$2:$K$7,$L$2:$L$7,,,"Actual360","LogLinear",TRUE)</f>
        <v>QSObject:ContextInput:w1~input.qs_context_add_curve.2359132437744.2420.3.0:37879</v>
      </c>
      <c r="E2421" s="6" t="str">
        <f>_xll.QS.INSTRUMENT.SWAP("swap.2419",H2421,B2421,"USD","SOFR",I2421,J2421,0,"Actual360","Simple","Annual","Annual","Annual")</f>
        <v>QSObject:Swap:w1~swap.2419:17630</v>
      </c>
      <c r="F2421" s="6" t="str">
        <f>_xll.QS.TRADE.CREATE("trade.2419",E2421,A2421,"Receive")</f>
        <v>QSObject:SwapTrade:w1~trade.2419:29350</v>
      </c>
      <c r="G2421" s="3">
        <f>_xll.QS.EVALUATE(C2421,F2421)</f>
        <v>28005.571001889184</v>
      </c>
      <c r="H2421" s="5" t="s">
        <v>1228</v>
      </c>
      <c r="I2421" s="7">
        <v>1241900</v>
      </c>
      <c r="J2421" s="8">
        <v>3.6900000000000002E-2</v>
      </c>
    </row>
    <row r="2422" spans="1:10" x14ac:dyDescent="0.25">
      <c r="A2422" s="5" t="s">
        <v>1216</v>
      </c>
      <c r="B2422" s="5" t="s">
        <v>4289</v>
      </c>
      <c r="C2422" s="6" t="str">
        <f>_xll.QS.CONTEXT.CREATE("market.2420",A2422,"USD","SOFR")</f>
        <v>QSObject:PricingContext:w1~market.2420:17629</v>
      </c>
      <c r="D2422" s="6" t="str">
        <f>_xll.QS.CONTEXT.ADD.CURVE(C2422,"SOFR",$K$2:$K$7,$L$2:$L$7,,,"Actual360","LogLinear",TRUE)</f>
        <v>QSObject:ContextInput:w1~input.qs_context_add_curve.2359132437744.2421.3.0:37878</v>
      </c>
      <c r="E2422" s="6" t="str">
        <f>_xll.QS.INSTRUMENT.SWAP("swap.2420",H2422,B2422,"USD","SOFR",I2422,J2422,0,"Actual360","Simple","Annual","Annual","Annual")</f>
        <v>QSObject:Swap:w1~swap.2420:17628</v>
      </c>
      <c r="F2422" s="6" t="str">
        <f>_xll.QS.TRADE.CREATE("trade.2420",E2422,A2422,"Receive")</f>
        <v>QSObject:SwapTrade:w1~trade.2420:29349</v>
      </c>
      <c r="G2422" s="3">
        <f>_xll.QS.EVALUATE(C2422,F2422)</f>
        <v>28494.561346167997</v>
      </c>
      <c r="H2422" s="5" t="s">
        <v>1230</v>
      </c>
      <c r="I2422" s="7">
        <v>1242000</v>
      </c>
      <c r="J2422" s="8">
        <v>3.7000000000000012E-2</v>
      </c>
    </row>
    <row r="2423" spans="1:10" x14ac:dyDescent="0.25">
      <c r="A2423" s="5" t="s">
        <v>1218</v>
      </c>
      <c r="B2423" s="5" t="s">
        <v>4290</v>
      </c>
      <c r="C2423" s="6" t="str">
        <f>_xll.QS.CONTEXT.CREATE("market.2421",A2423,"USD","SOFR")</f>
        <v>QSObject:PricingContext:w1~market.2421:17627</v>
      </c>
      <c r="D2423" s="6" t="str">
        <f>_xll.QS.CONTEXT.ADD.CURVE(C2423,"SOFR",$K$2:$K$7,$L$2:$L$7,,,"Actual360","LogLinear",TRUE)</f>
        <v>QSObject:ContextInput:w1~input.qs_context_add_curve.2359132437744.2422.3.0:37877</v>
      </c>
      <c r="E2423" s="6" t="str">
        <f>_xll.QS.INSTRUMENT.SWAP("swap.2421",H2423,B2423,"USD","SOFR",I2423,J2423,0,"Actual360","Simple","Annual","Annual","Annual")</f>
        <v>QSObject:Swap:w1~swap.2421:17626</v>
      </c>
      <c r="F2423" s="6" t="str">
        <f>_xll.QS.TRADE.CREATE("trade.2421",E2423,A2423,"Receive")</f>
        <v>QSObject:SwapTrade:w1~trade.2421:29348</v>
      </c>
      <c r="G2423" s="3">
        <f>_xll.QS.EVALUATE(C2423,F2423)</f>
        <v>28973.066653318478</v>
      </c>
      <c r="H2423" s="5" t="s">
        <v>1232</v>
      </c>
      <c r="I2423" s="7">
        <v>1242100</v>
      </c>
      <c r="J2423" s="8">
        <v>3.7100000000000001E-2</v>
      </c>
    </row>
    <row r="2424" spans="1:10" x14ac:dyDescent="0.25">
      <c r="A2424" s="5" t="s">
        <v>1220</v>
      </c>
      <c r="B2424" s="5" t="s">
        <v>4291</v>
      </c>
      <c r="C2424" s="6" t="str">
        <f>_xll.QS.CONTEXT.CREATE("market.2422",A2424,"USD","SOFR")</f>
        <v>QSObject:PricingContext:w1~market.2422:17625</v>
      </c>
      <c r="D2424" s="6" t="str">
        <f>_xll.QS.CONTEXT.ADD.CURVE(C2424,"SOFR",$K$2:$K$7,$L$2:$L$7,,,"Actual360","LogLinear",TRUE)</f>
        <v>QSObject:ContextInput:w1~input.qs_context_add_curve.2359132437744.2423.3.0:37876</v>
      </c>
      <c r="E2424" s="6" t="str">
        <f>_xll.QS.INSTRUMENT.SWAP("swap.2422",H2424,B2424,"USD","SOFR",I2424,J2424,0,"Actual360","Simple","Annual","Annual","Annual")</f>
        <v>QSObject:Swap:w1~swap.2422:17624</v>
      </c>
      <c r="F2424" s="6" t="str">
        <f>_xll.QS.TRADE.CREATE("trade.2422",E2424,A2424,"Receive")</f>
        <v>QSObject:SwapTrade:w1~trade.2422:29347</v>
      </c>
      <c r="G2424" s="3">
        <f>_xll.QS.EVALUATE(C2424,F2424)</f>
        <v>29600.609590656801</v>
      </c>
      <c r="H2424" s="5" t="s">
        <v>1234</v>
      </c>
      <c r="I2424" s="7">
        <v>1242200</v>
      </c>
      <c r="J2424" s="8">
        <v>3.7199999999999997E-2</v>
      </c>
    </row>
    <row r="2425" spans="1:10" x14ac:dyDescent="0.25">
      <c r="A2425" s="5" t="s">
        <v>1222</v>
      </c>
      <c r="B2425" s="5" t="s">
        <v>4292</v>
      </c>
      <c r="C2425" s="6" t="str">
        <f>_xll.QS.CONTEXT.CREATE("market.2423",A2425,"USD","SOFR")</f>
        <v>QSObject:PricingContext:w1~market.2423:17623</v>
      </c>
      <c r="D2425" s="6" t="str">
        <f>_xll.QS.CONTEXT.ADD.CURVE(C2425,"SOFR",$K$2:$K$7,$L$2:$L$7,,,"Actual360","LogLinear",TRUE)</f>
        <v>QSObject:ContextInput:w1~input.qs_context_add_curve.2359132437744.2424.3.0:37875</v>
      </c>
      <c r="E2425" s="6" t="str">
        <f>_xll.QS.INSTRUMENT.SWAP("swap.2423",H2425,B2425,"USD","SOFR",I2425,J2425,0,"Actual360","Simple","Annual","Annual","Annual")</f>
        <v>QSObject:Swap:w1~swap.2423:17622</v>
      </c>
      <c r="F2425" s="6" t="str">
        <f>_xll.QS.TRADE.CREATE("trade.2423",E2425,A2425,"Receive")</f>
        <v>QSObject:SwapTrade:w1~trade.2423:29346</v>
      </c>
      <c r="G2425" s="3">
        <f>_xll.QS.EVALUATE(C2425,F2425)</f>
        <v>30208.946830535882</v>
      </c>
      <c r="H2425" s="5" t="s">
        <v>1236</v>
      </c>
      <c r="I2425" s="7">
        <v>1242300</v>
      </c>
      <c r="J2425" s="8">
        <v>3.73E-2</v>
      </c>
    </row>
    <row r="2426" spans="1:10" x14ac:dyDescent="0.25">
      <c r="A2426" s="5" t="s">
        <v>1224</v>
      </c>
      <c r="B2426" s="5" t="s">
        <v>4293</v>
      </c>
      <c r="C2426" s="6" t="str">
        <f>_xll.QS.CONTEXT.CREATE("market.2424",A2426,"USD","SOFR")</f>
        <v>QSObject:PricingContext:w1~market.2424:17621</v>
      </c>
      <c r="D2426" s="6" t="str">
        <f>_xll.QS.CONTEXT.ADD.CURVE(C2426,"SOFR",$K$2:$K$7,$L$2:$L$7,,,"Actual360","LogLinear",TRUE)</f>
        <v>QSObject:ContextInput:w1~input.qs_context_add_curve.2359132437744.2425.3.0:37874</v>
      </c>
      <c r="E2426" s="6" t="str">
        <f>_xll.QS.INSTRUMENT.SWAP("swap.2424",H2426,B2426,"USD","SOFR",I2426,J2426,0,"Actual360","Simple","Annual","Annual","Annual")</f>
        <v>QSObject:Swap:w1~swap.2424:17620</v>
      </c>
      <c r="F2426" s="6" t="str">
        <f>_xll.QS.TRADE.CREATE("trade.2424",E2426,A2426,"Receive")</f>
        <v>QSObject:SwapTrade:w1~trade.2424:29345</v>
      </c>
      <c r="G2426" s="3">
        <f>_xll.QS.EVALUATE(C2426,F2426)</f>
        <v>30875.040629852148</v>
      </c>
      <c r="H2426" s="5" t="s">
        <v>1238</v>
      </c>
      <c r="I2426" s="7">
        <v>1242400</v>
      </c>
      <c r="J2426" s="8">
        <v>3.7400000000000003E-2</v>
      </c>
    </row>
    <row r="2427" spans="1:10" x14ac:dyDescent="0.25">
      <c r="A2427" s="5" t="s">
        <v>1226</v>
      </c>
      <c r="B2427" s="5" t="s">
        <v>4294</v>
      </c>
      <c r="C2427" s="6" t="str">
        <f>_xll.QS.CONTEXT.CREATE("market.2425",A2427,"USD","SOFR")</f>
        <v>QSObject:PricingContext:w1~market.2425:17619</v>
      </c>
      <c r="D2427" s="6" t="str">
        <f>_xll.QS.CONTEXT.ADD.CURVE(C2427,"SOFR",$K$2:$K$7,$L$2:$L$7,,,"Actual360","LogLinear",TRUE)</f>
        <v>QSObject:ContextInput:w1~input.qs_context_add_curve.2359132437744.2426.3.0:37873</v>
      </c>
      <c r="E2427" s="6" t="str">
        <f>_xll.QS.INSTRUMENT.SWAP("swap.2425",H2427,B2427,"USD","SOFR",I2427,J2427,0,"Actual360","Simple","Annual","Annual","Annual")</f>
        <v>QSObject:Swap:w1~swap.2425:17618</v>
      </c>
      <c r="F2427" s="6" t="str">
        <f>_xll.QS.TRADE.CREATE("trade.2425",E2427,A2427,"Receive")</f>
        <v>QSObject:SwapTrade:w1~trade.2425:29344</v>
      </c>
      <c r="G2427" s="3">
        <f>_xll.QS.EVALUATE(C2427,F2427)</f>
        <v>31504.779224219346</v>
      </c>
      <c r="H2427" s="5" t="s">
        <v>1240</v>
      </c>
      <c r="I2427" s="7">
        <v>1242500</v>
      </c>
      <c r="J2427" s="8">
        <v>3.7500000000000012E-2</v>
      </c>
    </row>
    <row r="2428" spans="1:10" x14ac:dyDescent="0.25">
      <c r="A2428" s="5" t="s">
        <v>1228</v>
      </c>
      <c r="B2428" s="5" t="s">
        <v>4295</v>
      </c>
      <c r="C2428" s="6" t="str">
        <f>_xll.QS.CONTEXT.CREATE("market.2426",A2428,"USD","SOFR")</f>
        <v>QSObject:PricingContext:w1~market.2426:17617</v>
      </c>
      <c r="D2428" s="6" t="str">
        <f>_xll.QS.CONTEXT.ADD.CURVE(C2428,"SOFR",$K$2:$K$7,$L$2:$L$7,,,"Actual360","LogLinear",TRUE)</f>
        <v>QSObject:ContextInput:w1~input.qs_context_add_curve.2359132437744.2427.3.0:37872</v>
      </c>
      <c r="E2428" s="6" t="str">
        <f>_xll.QS.INSTRUMENT.SWAP("swap.2426",H2428,B2428,"USD","SOFR",I2428,J2428,0,"Actual360","Simple","Annual","Annual","Annual")</f>
        <v>QSObject:Swap:w1~swap.2426:17616</v>
      </c>
      <c r="F2428" s="6" t="str">
        <f>_xll.QS.TRADE.CREATE("trade.2426",E2428,A2428,"Receive")</f>
        <v>QSObject:SwapTrade:w1~trade.2426:29343</v>
      </c>
      <c r="G2428" s="3">
        <f>_xll.QS.EVALUATE(C2428,F2428)</f>
        <v>32032.64058567243</v>
      </c>
      <c r="H2428" s="5" t="s">
        <v>1242</v>
      </c>
      <c r="I2428" s="7">
        <v>1242600</v>
      </c>
      <c r="J2428" s="8">
        <v>3.7600000000000001E-2</v>
      </c>
    </row>
    <row r="2429" spans="1:10" x14ac:dyDescent="0.25">
      <c r="A2429" s="5" t="s">
        <v>1230</v>
      </c>
      <c r="B2429" s="5" t="s">
        <v>4296</v>
      </c>
      <c r="C2429" s="6" t="str">
        <f>_xll.QS.CONTEXT.CREATE("market.2427",A2429,"USD","SOFR")</f>
        <v>QSObject:PricingContext:w1~market.2427:17615</v>
      </c>
      <c r="D2429" s="6" t="str">
        <f>_xll.QS.CONTEXT.ADD.CURVE(C2429,"SOFR",$K$2:$K$7,$L$2:$L$7,,,"Actual360","LogLinear",TRUE)</f>
        <v>QSObject:ContextInput:w1~input.qs_context_add_curve.2359132437744.2428.3.0:37871</v>
      </c>
      <c r="E2429" s="6" t="str">
        <f>_xll.QS.INSTRUMENT.SWAP("swap.2427",H2429,B2429,"USD","SOFR",I2429,J2429,0,"Actual360","Simple","Annual","Annual","Annual")</f>
        <v>QSObject:Swap:w1~swap.2427:17614</v>
      </c>
      <c r="F2429" s="6" t="str">
        <f>_xll.QS.TRADE.CREATE("trade.2427",E2429,A2429,"Receive")</f>
        <v>QSObject:SwapTrade:w1~trade.2427:29342</v>
      </c>
      <c r="G2429" s="3">
        <f>_xll.QS.EVALUATE(C2429,F2429)</f>
        <v>32579.871673697919</v>
      </c>
      <c r="H2429" s="5" t="s">
        <v>1244</v>
      </c>
      <c r="I2429" s="7">
        <v>1242700</v>
      </c>
      <c r="J2429" s="8">
        <v>3.7699999999999997E-2</v>
      </c>
    </row>
    <row r="2430" spans="1:10" x14ac:dyDescent="0.25">
      <c r="A2430" s="5" t="s">
        <v>1232</v>
      </c>
      <c r="B2430" s="5" t="s">
        <v>4297</v>
      </c>
      <c r="C2430" s="6" t="str">
        <f>_xll.QS.CONTEXT.CREATE("market.2428",A2430,"USD","SOFR")</f>
        <v>QSObject:PricingContext:w1~market.2428:17613</v>
      </c>
      <c r="D2430" s="6" t="str">
        <f>_xll.QS.CONTEXT.ADD.CURVE(C2430,"SOFR",$K$2:$K$7,$L$2:$L$7,,,"Actual360","LogLinear",TRUE)</f>
        <v>QSObject:ContextInput:w1~input.qs_context_add_curve.2359132437744.2429.3.0:37870</v>
      </c>
      <c r="E2430" s="6" t="str">
        <f>_xll.QS.INSTRUMENT.SWAP("swap.2428",H2430,B2430,"USD","SOFR",I2430,J2430,0,"Actual360","Simple","Annual","Annual","Annual")</f>
        <v>QSObject:Swap:w1~swap.2428:17612</v>
      </c>
      <c r="F2430" s="6" t="str">
        <f>_xll.QS.TRADE.CREATE("trade.2428",E2430,A2430,"Receive")</f>
        <v>QSObject:SwapTrade:w1~trade.2428:29341</v>
      </c>
      <c r="G2430" s="3">
        <f>_xll.QS.EVALUATE(C2430,F2430)</f>
        <v>32950.605706314847</v>
      </c>
      <c r="H2430" s="5" t="s">
        <v>1246</v>
      </c>
      <c r="I2430" s="7">
        <v>1242800</v>
      </c>
      <c r="J2430" s="8">
        <v>3.78E-2</v>
      </c>
    </row>
    <row r="2431" spans="1:10" x14ac:dyDescent="0.25">
      <c r="A2431" s="5" t="s">
        <v>1234</v>
      </c>
      <c r="B2431" s="5" t="s">
        <v>4298</v>
      </c>
      <c r="C2431" s="6" t="str">
        <f>_xll.QS.CONTEXT.CREATE("market.2429",A2431,"USD","SOFR")</f>
        <v>QSObject:PricingContext:w1~market.2429:17611</v>
      </c>
      <c r="D2431" s="6" t="str">
        <f>_xll.QS.CONTEXT.ADD.CURVE(C2431,"SOFR",$K$2:$K$7,$L$2:$L$7,,,"Actual360","LogLinear",TRUE)</f>
        <v>QSObject:ContextInput:w1~input.qs_context_add_curve.2359132437744.2430.3.0:37869</v>
      </c>
      <c r="E2431" s="6" t="str">
        <f>_xll.QS.INSTRUMENT.SWAP("swap.2429",H2431,B2431,"USD","SOFR",I2431,J2431,0,"Actual360","Simple","Annual","Annual","Annual")</f>
        <v>QSObject:Swap:w1~swap.2429:17610</v>
      </c>
      <c r="F2431" s="6" t="str">
        <f>_xll.QS.TRADE.CREATE("trade.2429",E2431,A2431,"Receive")</f>
        <v>QSObject:SwapTrade:w1~trade.2429:29340</v>
      </c>
      <c r="G2431" s="3">
        <f>_xll.QS.EVALUATE(C2431,F2431)</f>
        <v>33579.525496739167</v>
      </c>
      <c r="H2431" s="5" t="s">
        <v>1248</v>
      </c>
      <c r="I2431" s="7">
        <v>1242900</v>
      </c>
      <c r="J2431" s="8">
        <v>3.7900000000000003E-2</v>
      </c>
    </row>
    <row r="2432" spans="1:10" x14ac:dyDescent="0.25">
      <c r="A2432" s="5" t="s">
        <v>1236</v>
      </c>
      <c r="B2432" s="5" t="s">
        <v>4299</v>
      </c>
      <c r="C2432" s="6" t="str">
        <f>_xll.QS.CONTEXT.CREATE("market.2430",A2432,"USD","SOFR")</f>
        <v>QSObject:PricingContext:w1~market.2430:17609</v>
      </c>
      <c r="D2432" s="6" t="str">
        <f>_xll.QS.CONTEXT.ADD.CURVE(C2432,"SOFR",$K$2:$K$7,$L$2:$L$7,,,"Actual360","LogLinear",TRUE)</f>
        <v>QSObject:ContextInput:w1~input.qs_context_add_curve.2359132437744.2431.3.0:37868</v>
      </c>
      <c r="E2432" s="6" t="str">
        <f>_xll.QS.INSTRUMENT.SWAP("swap.2430",H2432,B2432,"USD","SOFR",I2432,J2432,0,"Actual360","Simple","Annual","Annual","Annual")</f>
        <v>QSObject:Swap:w1~swap.2430:17608</v>
      </c>
      <c r="F2432" s="6" t="str">
        <f>_xll.QS.TRADE.CREATE("trade.2430",E2432,A2432,"Receive")</f>
        <v>QSObject:SwapTrade:w1~trade.2430:29339</v>
      </c>
      <c r="G2432" s="3">
        <f>_xll.QS.EVALUATE(C2432,F2432)</f>
        <v>34208.329763217822</v>
      </c>
      <c r="H2432" s="5" t="s">
        <v>1250</v>
      </c>
      <c r="I2432" s="7">
        <v>1243000</v>
      </c>
      <c r="J2432" s="8">
        <v>3.8000000000000013E-2</v>
      </c>
    </row>
    <row r="2433" spans="1:10" x14ac:dyDescent="0.25">
      <c r="A2433" s="5" t="s">
        <v>1238</v>
      </c>
      <c r="B2433" s="5" t="s">
        <v>4300</v>
      </c>
      <c r="C2433" s="6" t="str">
        <f>_xll.QS.CONTEXT.CREATE("market.2431",A2433,"USD","SOFR")</f>
        <v>QSObject:PricingContext:w1~market.2431:17607</v>
      </c>
      <c r="D2433" s="6" t="str">
        <f>_xll.QS.CONTEXT.ADD.CURVE(C2433,"SOFR",$K$2:$K$7,$L$2:$L$7,,,"Actual360","LogLinear",TRUE)</f>
        <v>QSObject:ContextInput:w1~input.qs_context_add_curve.2359132437744.2432.3.0:37867</v>
      </c>
      <c r="E2433" s="6" t="str">
        <f>_xll.QS.INSTRUMENT.SWAP("swap.2431",H2433,B2433,"USD","SOFR",I2433,J2433,0,"Actual360","Simple","Annual","Annual","Annual")</f>
        <v>QSObject:Swap:w1~swap.2431:17606</v>
      </c>
      <c r="F2433" s="6" t="str">
        <f>_xll.QS.TRADE.CREATE("trade.2431",E2433,A2433,"Receive")</f>
        <v>QSObject:SwapTrade:w1~trade.2431:29338</v>
      </c>
      <c r="G2433" s="3">
        <f>_xll.QS.EVALUATE(C2433,F2433)</f>
        <v>34953.330315935156</v>
      </c>
      <c r="H2433" s="5" t="s">
        <v>1252</v>
      </c>
      <c r="I2433" s="7">
        <v>1243100</v>
      </c>
      <c r="J2433" s="8">
        <v>3.8100000000000002E-2</v>
      </c>
    </row>
    <row r="2434" spans="1:10" x14ac:dyDescent="0.25">
      <c r="A2434" s="5" t="s">
        <v>1240</v>
      </c>
      <c r="B2434" s="5" t="s">
        <v>4301</v>
      </c>
      <c r="C2434" s="6" t="str">
        <f>_xll.QS.CONTEXT.CREATE("market.2432",A2434,"USD","SOFR")</f>
        <v>QSObject:PricingContext:w1~market.2432:17605</v>
      </c>
      <c r="D2434" s="6" t="str">
        <f>_xll.QS.CONTEXT.ADD.CURVE(C2434,"SOFR",$K$2:$K$7,$L$2:$L$7,,,"Actual360","LogLinear",TRUE)</f>
        <v>QSObject:ContextInput:w1~input.qs_context_add_curve.2359132437744.2433.3.0:37866</v>
      </c>
      <c r="E2434" s="6" t="str">
        <f>_xll.QS.INSTRUMENT.SWAP("swap.2432",H2434,B2434,"USD","SOFR",I2434,J2434,0,"Actual360","Simple","Annual","Annual","Annual")</f>
        <v>QSObject:Swap:w1~swap.2432:17604</v>
      </c>
      <c r="F2434" s="6" t="str">
        <f>_xll.QS.TRADE.CREATE("trade.2432",E2434,A2434,"Receive")</f>
        <v>QSObject:SwapTrade:w1~trade.2432:29337</v>
      </c>
      <c r="G2434" s="3">
        <f>_xll.QS.EVALUATE(C2434,F2434)</f>
        <v>35538.226993406497</v>
      </c>
      <c r="H2434" s="5" t="s">
        <v>1254</v>
      </c>
      <c r="I2434" s="7">
        <v>1243200</v>
      </c>
      <c r="J2434" s="8">
        <v>3.8199999999999998E-2</v>
      </c>
    </row>
    <row r="2435" spans="1:10" x14ac:dyDescent="0.25">
      <c r="A2435" s="5" t="s">
        <v>1242</v>
      </c>
      <c r="B2435" s="5" t="s">
        <v>4302</v>
      </c>
      <c r="C2435" s="6" t="str">
        <f>_xll.QS.CONTEXT.CREATE("market.2433",A2435,"USD","SOFR")</f>
        <v>QSObject:PricingContext:w1~market.2433:17603</v>
      </c>
      <c r="D2435" s="6" t="str">
        <f>_xll.QS.CONTEXT.ADD.CURVE(C2435,"SOFR",$K$2:$K$7,$L$2:$L$7,,,"Actual360","LogLinear",TRUE)</f>
        <v>QSObject:ContextInput:w1~input.qs_context_add_curve.2359132437744.2434.3.0:37865</v>
      </c>
      <c r="E2435" s="6" t="str">
        <f>_xll.QS.INSTRUMENT.SWAP("swap.2433",H2435,B2435,"USD","SOFR",I2435,J2435,0,"Actual360","Simple","Annual","Annual","Annual")</f>
        <v>QSObject:Swap:w1~swap.2433:17602</v>
      </c>
      <c r="F2435" s="6" t="str">
        <f>_xll.QS.TRADE.CREATE("trade.2433",E2435,A2435,"Receive")</f>
        <v>QSObject:SwapTrade:w1~trade.2433:29336</v>
      </c>
      <c r="G2435" s="3">
        <f>_xll.QS.EVALUATE(C2435,F2435)</f>
        <v>36113.892153839537</v>
      </c>
      <c r="H2435" s="5" t="s">
        <v>1256</v>
      </c>
      <c r="I2435" s="7">
        <v>1243300</v>
      </c>
      <c r="J2435" s="8">
        <v>3.8300000000000001E-2</v>
      </c>
    </row>
    <row r="2436" spans="1:10" x14ac:dyDescent="0.25">
      <c r="A2436" s="5" t="s">
        <v>1244</v>
      </c>
      <c r="B2436" s="5" t="s">
        <v>4303</v>
      </c>
      <c r="C2436" s="6" t="str">
        <f>_xll.QS.CONTEXT.CREATE("market.2434",A2436,"USD","SOFR")</f>
        <v>QSObject:PricingContext:w1~market.2434:17601</v>
      </c>
      <c r="D2436" s="6" t="str">
        <f>_xll.QS.CONTEXT.ADD.CURVE(C2436,"SOFR",$K$2:$K$7,$L$2:$L$7,,,"Actual360","LogLinear",TRUE)</f>
        <v>QSObject:ContextInput:w1~input.qs_context_add_curve.2359132437744.2435.3.0:37864</v>
      </c>
      <c r="E2436" s="6" t="str">
        <f>_xll.QS.INSTRUMENT.SWAP("swap.2434",H2436,B2436,"USD","SOFR",I2436,J2436,0,"Actual360","Simple","Annual","Annual","Annual")</f>
        <v>QSObject:Swap:w1~swap.2434:17600</v>
      </c>
      <c r="F2436" s="6" t="str">
        <f>_xll.QS.TRADE.CREATE("trade.2434",E2436,A2436,"Receive")</f>
        <v>QSObject:SwapTrade:w1~trade.2434:29335</v>
      </c>
      <c r="G2436" s="3">
        <f>_xll.QS.EVALUATE(C2436,F2436)</f>
        <v>36594.677886402351</v>
      </c>
      <c r="H2436" s="5" t="s">
        <v>1258</v>
      </c>
      <c r="I2436" s="7">
        <v>1243400</v>
      </c>
      <c r="J2436" s="8">
        <v>3.8399999999999997E-2</v>
      </c>
    </row>
    <row r="2437" spans="1:10" x14ac:dyDescent="0.25">
      <c r="A2437" s="5" t="s">
        <v>1246</v>
      </c>
      <c r="B2437" s="5" t="s">
        <v>4304</v>
      </c>
      <c r="C2437" s="6" t="str">
        <f>_xll.QS.CONTEXT.CREATE("market.2435",A2437,"USD","SOFR")</f>
        <v>QSObject:PricingContext:w1~market.2435:17599</v>
      </c>
      <c r="D2437" s="6" t="str">
        <f>_xll.QS.CONTEXT.ADD.CURVE(C2437,"SOFR",$K$2:$K$7,$L$2:$L$7,,,"Actual360","LogLinear",TRUE)</f>
        <v>QSObject:ContextInput:w1~input.qs_context_add_curve.2359132437744.2436.3.0:37863</v>
      </c>
      <c r="E2437" s="6" t="str">
        <f>_xll.QS.INSTRUMENT.SWAP("swap.2435",H2437,B2437,"USD","SOFR",I2437,J2437,0,"Actual360","Simple","Annual","Annual","Annual")</f>
        <v>QSObject:Swap:w1~swap.2435:17598</v>
      </c>
      <c r="F2437" s="6" t="str">
        <f>_xll.QS.TRADE.CREATE("trade.2435",E2437,A2437,"Receive")</f>
        <v>QSObject:SwapTrade:w1~trade.2435:29334</v>
      </c>
      <c r="G2437" s="3">
        <f>_xll.QS.EVALUATE(C2437,F2437)</f>
        <v>37086.882690009508</v>
      </c>
      <c r="H2437" s="5" t="s">
        <v>1260</v>
      </c>
      <c r="I2437" s="7">
        <v>1243500</v>
      </c>
      <c r="J2437" s="8">
        <v>3.8500000000000013E-2</v>
      </c>
    </row>
    <row r="2438" spans="1:10" x14ac:dyDescent="0.25">
      <c r="A2438" s="5" t="s">
        <v>1248</v>
      </c>
      <c r="B2438" s="5" t="s">
        <v>4305</v>
      </c>
      <c r="C2438" s="6" t="str">
        <f>_xll.QS.CONTEXT.CREATE("market.2436",A2438,"USD","SOFR")</f>
        <v>QSObject:PricingContext:w1~market.2436:17597</v>
      </c>
      <c r="D2438" s="6" t="str">
        <f>_xll.QS.CONTEXT.ADD.CURVE(C2438,"SOFR",$K$2:$K$7,$L$2:$L$7,,,"Actual360","LogLinear",TRUE)</f>
        <v>QSObject:ContextInput:w1~input.qs_context_add_curve.2359132437744.2437.3.0:37862</v>
      </c>
      <c r="E2438" s="6" t="str">
        <f>_xll.QS.INSTRUMENT.SWAP("swap.2436",H2438,B2438,"USD","SOFR",I2438,J2438,0,"Actual360","Simple","Annual","Annual","Annual")</f>
        <v>QSObject:Swap:w1~swap.2436:17596</v>
      </c>
      <c r="F2438" s="6" t="str">
        <f>_xll.QS.TRADE.CREATE("trade.2436",E2438,A2438,"Receive")</f>
        <v>QSObject:SwapTrade:w1~trade.2436:29333</v>
      </c>
      <c r="G2438" s="3">
        <f>_xll.QS.EVALUATE(C2438,F2438)</f>
        <v>37666.288034696619</v>
      </c>
      <c r="H2438" s="5" t="s">
        <v>1262</v>
      </c>
      <c r="I2438" s="7">
        <v>1243600</v>
      </c>
      <c r="J2438" s="8">
        <v>3.8600000000000002E-2</v>
      </c>
    </row>
    <row r="2439" spans="1:10" x14ac:dyDescent="0.25">
      <c r="A2439" s="5" t="s">
        <v>1250</v>
      </c>
      <c r="B2439" s="5" t="s">
        <v>4306</v>
      </c>
      <c r="C2439" s="6" t="str">
        <f>_xll.QS.CONTEXT.CREATE("market.2437",A2439,"USD","SOFR")</f>
        <v>QSObject:PricingContext:w1~market.2437:17595</v>
      </c>
      <c r="D2439" s="6" t="str">
        <f>_xll.QS.CONTEXT.ADD.CURVE(C2439,"SOFR",$K$2:$K$7,$L$2:$L$7,,,"Actual360","LogLinear",TRUE)</f>
        <v>QSObject:ContextInput:w1~input.qs_context_add_curve.2359132437744.2438.3.0:37861</v>
      </c>
      <c r="E2439" s="6" t="str">
        <f>_xll.QS.INSTRUMENT.SWAP("swap.2437",H2439,B2439,"USD","SOFR",I2439,J2439,0,"Actual360","Simple","Annual","Annual","Annual")</f>
        <v>QSObject:Swap:w1~swap.2437:17594</v>
      </c>
      <c r="F2439" s="6" t="str">
        <f>_xll.QS.TRADE.CREATE("trade.2437",E2439,A2439,"Receive")</f>
        <v>QSObject:SwapTrade:w1~trade.2437:29332</v>
      </c>
      <c r="G2439" s="3">
        <f>_xll.QS.EVALUATE(C2439,F2439)</f>
        <v>38272.279625875206</v>
      </c>
      <c r="H2439" s="5" t="s">
        <v>1264</v>
      </c>
      <c r="I2439" s="7">
        <v>1243700</v>
      </c>
      <c r="J2439" s="8">
        <v>3.8700000000000012E-2</v>
      </c>
    </row>
    <row r="2440" spans="1:10" x14ac:dyDescent="0.25">
      <c r="A2440" s="5" t="s">
        <v>1252</v>
      </c>
      <c r="B2440" s="5" t="s">
        <v>4307</v>
      </c>
      <c r="C2440" s="6" t="str">
        <f>_xll.QS.CONTEXT.CREATE("market.2438",A2440,"USD","SOFR")</f>
        <v>QSObject:PricingContext:w1~market.2438:17593</v>
      </c>
      <c r="D2440" s="6" t="str">
        <f>_xll.QS.CONTEXT.ADD.CURVE(C2440,"SOFR",$K$2:$K$7,$L$2:$L$7,,,"Actual360","LogLinear",TRUE)</f>
        <v>QSObject:ContextInput:w1~input.qs_context_add_curve.2359132437744.2439.3.0:37860</v>
      </c>
      <c r="E2440" s="6" t="str">
        <f>_xll.QS.INSTRUMENT.SWAP("swap.2438",H2440,B2440,"USD","SOFR",I2440,J2440,0,"Actual360","Simple","Annual","Annual","Annual")</f>
        <v>QSObject:Swap:w1~swap.2438:17592</v>
      </c>
      <c r="F2440" s="6" t="str">
        <f>_xll.QS.TRADE.CREATE("trade.2438",E2440,A2440,"Receive")</f>
        <v>QSObject:SwapTrade:w1~trade.2438:29331</v>
      </c>
      <c r="G2440" s="3">
        <f>_xll.QS.EVALUATE(C2440,F2440)</f>
        <v>38939.846739261309</v>
      </c>
      <c r="H2440" s="5" t="s">
        <v>1266</v>
      </c>
      <c r="I2440" s="7">
        <v>1243800</v>
      </c>
      <c r="J2440" s="8">
        <v>3.8800000000000001E-2</v>
      </c>
    </row>
    <row r="2441" spans="1:10" x14ac:dyDescent="0.25">
      <c r="A2441" s="5" t="s">
        <v>1254</v>
      </c>
      <c r="B2441" s="5" t="s">
        <v>4308</v>
      </c>
      <c r="C2441" s="6" t="str">
        <f>_xll.QS.CONTEXT.CREATE("market.2439",A2441,"USD","SOFR")</f>
        <v>QSObject:PricingContext:w1~market.2439:17591</v>
      </c>
      <c r="D2441" s="6" t="str">
        <f>_xll.QS.CONTEXT.ADD.CURVE(C2441,"SOFR",$K$2:$K$7,$L$2:$L$7,,,"Actual360","LogLinear",TRUE)</f>
        <v>QSObject:ContextInput:w1~input.qs_context_add_curve.2359132437744.2440.3.0:37859</v>
      </c>
      <c r="E2441" s="6" t="str">
        <f>_xll.QS.INSTRUMENT.SWAP("swap.2439",H2441,B2441,"USD","SOFR",I2441,J2441,0,"Actual360","Simple","Annual","Annual","Annual")</f>
        <v>QSObject:Swap:w1~swap.2439:17590</v>
      </c>
      <c r="F2441" s="6" t="str">
        <f>_xll.QS.TRADE.CREATE("trade.2439",E2441,A2441,"Receive")</f>
        <v>QSObject:SwapTrade:w1~trade.2439:29330</v>
      </c>
      <c r="G2441" s="3">
        <f>_xll.QS.EVALUATE(C2441,F2441)</f>
        <v>39570.919104907443</v>
      </c>
      <c r="H2441" s="5" t="s">
        <v>1268</v>
      </c>
      <c r="I2441" s="7">
        <v>1243900</v>
      </c>
      <c r="J2441" s="8">
        <v>3.8899999999999997E-2</v>
      </c>
    </row>
    <row r="2442" spans="1:10" x14ac:dyDescent="0.25">
      <c r="A2442" s="5" t="s">
        <v>1256</v>
      </c>
      <c r="B2442" s="5" t="s">
        <v>4309</v>
      </c>
      <c r="C2442" s="6" t="str">
        <f>_xll.QS.CONTEXT.CREATE("market.2440",A2442,"USD","SOFR")</f>
        <v>QSObject:PricingContext:w1~market.2440:17589</v>
      </c>
      <c r="D2442" s="6" t="str">
        <f>_xll.QS.CONTEXT.ADD.CURVE(C2442,"SOFR",$K$2:$K$7,$L$2:$L$7,,,"Actual360","LogLinear",TRUE)</f>
        <v>QSObject:ContextInput:w1~input.qs_context_add_curve.2359132437744.2441.3.0:37858</v>
      </c>
      <c r="E2442" s="6" t="str">
        <f>_xll.QS.INSTRUMENT.SWAP("swap.2440",H2442,B2442,"USD","SOFR",I2442,J2442,0,"Actual360","Simple","Annual","Annual","Annual")</f>
        <v>QSObject:Swap:w1~swap.2440:17588</v>
      </c>
      <c r="F2442" s="6" t="str">
        <f>_xll.QS.TRADE.CREATE("trade.2440",E2442,A2442,"Receive")</f>
        <v>QSObject:SwapTrade:w1~trade.2440:29329</v>
      </c>
      <c r="G2442" s="3">
        <f>_xll.QS.EVALUATE(C2442,F2442)</f>
        <v>40099.727757353387</v>
      </c>
      <c r="H2442" s="5" t="s">
        <v>1270</v>
      </c>
      <c r="I2442" s="7">
        <v>1244000</v>
      </c>
      <c r="J2442" s="8">
        <v>3.9000000000000007E-2</v>
      </c>
    </row>
    <row r="2443" spans="1:10" x14ac:dyDescent="0.25">
      <c r="A2443" s="5" t="s">
        <v>1258</v>
      </c>
      <c r="B2443" s="5" t="s">
        <v>4310</v>
      </c>
      <c r="C2443" s="6" t="str">
        <f>_xll.QS.CONTEXT.CREATE("market.2441",A2443,"USD","SOFR")</f>
        <v>QSObject:PricingContext:w1~market.2441:17587</v>
      </c>
      <c r="D2443" s="6" t="str">
        <f>_xll.QS.CONTEXT.ADD.CURVE(C2443,"SOFR",$K$2:$K$7,$L$2:$L$7,,,"Actual360","LogLinear",TRUE)</f>
        <v>QSObject:ContextInput:w1~input.qs_context_add_curve.2359132437744.2442.3.0:37857</v>
      </c>
      <c r="E2443" s="6" t="str">
        <f>_xll.QS.INSTRUMENT.SWAP("swap.2441",H2443,B2443,"USD","SOFR",I2443,J2443,0,"Actual360","Simple","Annual","Annual","Annual")</f>
        <v>QSObject:Swap:w1~swap.2441:17586</v>
      </c>
      <c r="F2443" s="6" t="str">
        <f>_xll.QS.TRADE.CREATE("trade.2441",E2443,A2443,"Receive")</f>
        <v>QSObject:SwapTrade:w1~trade.2441:29328</v>
      </c>
      <c r="G2443" s="3">
        <f>_xll.QS.EVALUATE(C2443,F2443)</f>
        <v>40576.321942401242</v>
      </c>
      <c r="H2443" s="5" t="s">
        <v>1272</v>
      </c>
      <c r="I2443" s="7">
        <v>1244100</v>
      </c>
      <c r="J2443" s="8">
        <v>3.9100000000000003E-2</v>
      </c>
    </row>
    <row r="2444" spans="1:10" x14ac:dyDescent="0.25">
      <c r="A2444" s="5" t="s">
        <v>1260</v>
      </c>
      <c r="B2444" s="5" t="s">
        <v>4311</v>
      </c>
      <c r="C2444" s="6" t="str">
        <f>_xll.QS.CONTEXT.CREATE("market.2442",A2444,"USD","SOFR")</f>
        <v>QSObject:PricingContext:w1~market.2442:17585</v>
      </c>
      <c r="D2444" s="6" t="str">
        <f>_xll.QS.CONTEXT.ADD.CURVE(C2444,"SOFR",$K$2:$K$7,$L$2:$L$7,,,"Actual360","LogLinear",TRUE)</f>
        <v>QSObject:ContextInput:w1~input.qs_context_add_curve.2359132437744.2443.3.0:37856</v>
      </c>
      <c r="E2444" s="6" t="str">
        <f>_xll.QS.INSTRUMENT.SWAP("swap.2442",H2444,B2444,"USD","SOFR",I2444,J2444,0,"Actual360","Simple","Annual","Annual","Annual")</f>
        <v>QSObject:Swap:w1~swap.2442:17584</v>
      </c>
      <c r="F2444" s="6" t="str">
        <f>_xll.QS.TRADE.CREATE("trade.2442",E2444,A2444,"Receive")</f>
        <v>QSObject:SwapTrade:w1~trade.2442:29327</v>
      </c>
      <c r="G2444" s="3">
        <f>_xll.QS.EVALUATE(C2444,F2444)</f>
        <v>41075.279123904678</v>
      </c>
      <c r="H2444" s="5" t="s">
        <v>1274</v>
      </c>
      <c r="I2444" s="7">
        <v>1244200</v>
      </c>
      <c r="J2444" s="8">
        <v>3.9200000000000013E-2</v>
      </c>
    </row>
    <row r="2445" spans="1:10" x14ac:dyDescent="0.25">
      <c r="A2445" s="5" t="s">
        <v>1262</v>
      </c>
      <c r="B2445" s="5" t="s">
        <v>4312</v>
      </c>
      <c r="C2445" s="6" t="str">
        <f>_xll.QS.CONTEXT.CREATE("market.2443",A2445,"USD","SOFR")</f>
        <v>QSObject:PricingContext:w1~market.2443:17583</v>
      </c>
      <c r="D2445" s="6" t="str">
        <f>_xll.QS.CONTEXT.ADD.CURVE(C2445,"SOFR",$K$2:$K$7,$L$2:$L$7,,,"Actual360","LogLinear",TRUE)</f>
        <v>QSObject:ContextInput:w1~input.qs_context_add_curve.2359132437744.2444.3.0:37855</v>
      </c>
      <c r="E2445" s="6" t="str">
        <f>_xll.QS.INSTRUMENT.SWAP("swap.2443",H2445,B2445,"USD","SOFR",I2445,J2445,0,"Actual360","Simple","Annual","Annual","Annual")</f>
        <v>QSObject:Swap:w1~swap.2443:17582</v>
      </c>
      <c r="F2445" s="6" t="str">
        <f>_xll.QS.TRADE.CREATE("trade.2443",E2445,A2445,"Receive")</f>
        <v>QSObject:SwapTrade:w1~trade.2443:29326</v>
      </c>
      <c r="G2445" s="3">
        <f>_xll.QS.EVALUATE(C2445,F2445)</f>
        <v>41706.015018285732</v>
      </c>
      <c r="H2445" s="5" t="s">
        <v>1276</v>
      </c>
      <c r="I2445" s="7">
        <v>1244300</v>
      </c>
      <c r="J2445" s="8">
        <v>3.9300000000000002E-2</v>
      </c>
    </row>
    <row r="2446" spans="1:10" x14ac:dyDescent="0.25">
      <c r="A2446" s="5" t="s">
        <v>1264</v>
      </c>
      <c r="B2446" s="5" t="s">
        <v>4313</v>
      </c>
      <c r="C2446" s="6" t="str">
        <f>_xll.QS.CONTEXT.CREATE("market.2444",A2446,"USD","SOFR")</f>
        <v>QSObject:PricingContext:w1~market.2444:17581</v>
      </c>
      <c r="D2446" s="6" t="str">
        <f>_xll.QS.CONTEXT.ADD.CURVE(C2446,"SOFR",$K$2:$K$7,$L$2:$L$7,,,"Actual360","LogLinear",TRUE)</f>
        <v>QSObject:ContextInput:w1~input.qs_context_add_curve.2359132437744.2445.3.0:37854</v>
      </c>
      <c r="E2446" s="6" t="str">
        <f>_xll.QS.INSTRUMENT.SWAP("swap.2444",H2446,B2446,"USD","SOFR",I2446,J2446,0,"Actual360","Simple","Annual","Annual","Annual")</f>
        <v>QSObject:Swap:w1~swap.2444:17580</v>
      </c>
      <c r="F2446" s="6" t="str">
        <f>_xll.QS.TRADE.CREATE("trade.2444",E2446,A2446,"Receive")</f>
        <v>QSObject:SwapTrade:w1~trade.2444:29325</v>
      </c>
      <c r="G2446" s="3">
        <f>_xll.QS.EVALUATE(C2446,F2446)</f>
        <v>42310.499577005925</v>
      </c>
      <c r="H2446" s="5" t="s">
        <v>1278</v>
      </c>
      <c r="I2446" s="7">
        <v>1244400</v>
      </c>
      <c r="J2446" s="8">
        <v>3.9399999999999998E-2</v>
      </c>
    </row>
    <row r="2447" spans="1:10" x14ac:dyDescent="0.25">
      <c r="A2447" s="5" t="s">
        <v>1266</v>
      </c>
      <c r="B2447" s="5" t="s">
        <v>4314</v>
      </c>
      <c r="C2447" s="6" t="str">
        <f>_xll.QS.CONTEXT.CREATE("market.2445",A2447,"USD","SOFR")</f>
        <v>QSObject:PricingContext:w1~market.2445:17579</v>
      </c>
      <c r="D2447" s="6" t="str">
        <f>_xll.QS.CONTEXT.ADD.CURVE(C2447,"SOFR",$K$2:$K$7,$L$2:$L$7,,,"Actual360","LogLinear",TRUE)</f>
        <v>QSObject:ContextInput:w1~input.qs_context_add_curve.2359132437744.2446.3.0:37853</v>
      </c>
      <c r="E2447" s="6" t="str">
        <f>_xll.QS.INSTRUMENT.SWAP("swap.2445",H2447,B2447,"USD","SOFR",I2447,J2447,0,"Actual360","Simple","Annual","Annual","Annual")</f>
        <v>QSObject:Swap:w1~swap.2445:17578</v>
      </c>
      <c r="F2447" s="6" t="str">
        <f>_xll.QS.TRADE.CREATE("trade.2445",E2447,A2447,"Receive")</f>
        <v>QSObject:SwapTrade:w1~trade.2445:29324</v>
      </c>
      <c r="G2447" s="3">
        <f>_xll.QS.EVALUATE(C2447,F2447)</f>
        <v>42978.862346677386</v>
      </c>
      <c r="H2447" s="5" t="s">
        <v>1280</v>
      </c>
      <c r="I2447" s="7">
        <v>1244500</v>
      </c>
      <c r="J2447" s="8">
        <v>3.9500000000000007E-2</v>
      </c>
    </row>
    <row r="2448" spans="1:10" x14ac:dyDescent="0.25">
      <c r="A2448" s="5" t="s">
        <v>1268</v>
      </c>
      <c r="B2448" s="5" t="s">
        <v>4315</v>
      </c>
      <c r="C2448" s="6" t="str">
        <f>_xll.QS.CONTEXT.CREATE("market.2446",A2448,"USD","SOFR")</f>
        <v>QSObject:PricingContext:w1~market.2446:17577</v>
      </c>
      <c r="D2448" s="6" t="str">
        <f>_xll.QS.CONTEXT.ADD.CURVE(C2448,"SOFR",$K$2:$K$7,$L$2:$L$7,,,"Actual360","LogLinear",TRUE)</f>
        <v>QSObject:ContextInput:w1~input.qs_context_add_curve.2359132437744.2447.3.0:37852</v>
      </c>
      <c r="E2448" s="6" t="str">
        <f>_xll.QS.INSTRUMENT.SWAP("swap.2446",H2448,B2448,"USD","SOFR",I2448,J2448,0,"Actual360","Simple","Annual","Annual","Annual")</f>
        <v>QSObject:Swap:w1~swap.2446:17576</v>
      </c>
      <c r="F2448" s="6" t="str">
        <f>_xll.QS.TRADE.CREATE("trade.2446",E2448,A2448,"Receive")</f>
        <v>QSObject:SwapTrade:w1~trade.2446:29323</v>
      </c>
      <c r="G2448" s="3">
        <f>_xll.QS.EVALUATE(C2448,F2448)</f>
        <v>43610.767864782902</v>
      </c>
      <c r="H2448" s="5" t="s">
        <v>1282</v>
      </c>
      <c r="I2448" s="7">
        <v>1244600</v>
      </c>
      <c r="J2448" s="8">
        <v>3.9600000000000003E-2</v>
      </c>
    </row>
    <row r="2449" spans="1:10" x14ac:dyDescent="0.25">
      <c r="A2449" s="5" t="s">
        <v>1270</v>
      </c>
      <c r="B2449" s="5" t="s">
        <v>4316</v>
      </c>
      <c r="C2449" s="6" t="str">
        <f>_xll.QS.CONTEXT.CREATE("market.2447",A2449,"USD","SOFR")</f>
        <v>QSObject:PricingContext:w1~market.2447:17575</v>
      </c>
      <c r="D2449" s="6" t="str">
        <f>_xll.QS.CONTEXT.ADD.CURVE(C2449,"SOFR",$K$2:$K$7,$L$2:$L$7,,,"Actual360","LogLinear",TRUE)</f>
        <v>QSObject:ContextInput:w1~input.qs_context_add_curve.2359132437744.2448.3.0:37851</v>
      </c>
      <c r="E2449" s="6" t="str">
        <f>_xll.QS.INSTRUMENT.SWAP("swap.2447",H2449,B2449,"USD","SOFR",I2449,J2449,0,"Actual360","Simple","Annual","Annual","Annual")</f>
        <v>QSObject:Swap:w1~swap.2447:17574</v>
      </c>
      <c r="F2449" s="6" t="str">
        <f>_xll.QS.TRADE.CREATE("trade.2447",E2449,A2449,"Receive")</f>
        <v>QSObject:SwapTrade:w1~trade.2447:29322</v>
      </c>
      <c r="G2449" s="3">
        <f>_xll.QS.EVALUATE(C2449,F2449)</f>
        <v>44140.151670878426</v>
      </c>
      <c r="H2449" s="5" t="s">
        <v>1284</v>
      </c>
      <c r="I2449" s="7">
        <v>1244700</v>
      </c>
      <c r="J2449" s="8">
        <v>3.9700000000000013E-2</v>
      </c>
    </row>
    <row r="2450" spans="1:10" x14ac:dyDescent="0.25">
      <c r="A2450" s="5" t="s">
        <v>1272</v>
      </c>
      <c r="B2450" s="5" t="s">
        <v>4317</v>
      </c>
      <c r="C2450" s="6" t="str">
        <f>_xll.QS.CONTEXT.CREATE("market.2448",A2450,"USD","SOFR")</f>
        <v>QSObject:PricingContext:w1~market.2448:17573</v>
      </c>
      <c r="D2450" s="6" t="str">
        <f>_xll.QS.CONTEXT.ADD.CURVE(C2450,"SOFR",$K$2:$K$7,$L$2:$L$7,,,"Actual360","LogLinear",TRUE)</f>
        <v>QSObject:ContextInput:w1~input.qs_context_add_curve.2359132437744.2449.3.0:37850</v>
      </c>
      <c r="E2450" s="6" t="str">
        <f>_xll.QS.INSTRUMENT.SWAP("swap.2448",H2450,B2450,"USD","SOFR",I2450,J2450,0,"Actual360","Simple","Annual","Annual","Annual")</f>
        <v>QSObject:Swap:w1~swap.2448:17572</v>
      </c>
      <c r="F2450" s="6" t="str">
        <f>_xll.QS.TRADE.CREATE("trade.2448",E2450,A2450,"Receive")</f>
        <v>QSObject:SwapTrade:w1~trade.2448:29321</v>
      </c>
      <c r="G2450" s="3">
        <f>_xll.QS.EVALUATE(C2450,F2450)</f>
        <v>44612.603159252663</v>
      </c>
      <c r="H2450" s="5" t="s">
        <v>1286</v>
      </c>
      <c r="I2450" s="7">
        <v>1244800</v>
      </c>
      <c r="J2450" s="8">
        <v>3.9800000000000002E-2</v>
      </c>
    </row>
    <row r="2451" spans="1:10" x14ac:dyDescent="0.25">
      <c r="A2451" s="5" t="s">
        <v>1274</v>
      </c>
      <c r="B2451" s="5" t="s">
        <v>4318</v>
      </c>
      <c r="C2451" s="6" t="str">
        <f>_xll.QS.CONTEXT.CREATE("market.2449",A2451,"USD","SOFR")</f>
        <v>QSObject:PricingContext:w1~market.2449:17571</v>
      </c>
      <c r="D2451" s="6" t="str">
        <f>_xll.QS.CONTEXT.ADD.CURVE(C2451,"SOFR",$K$2:$K$7,$L$2:$L$7,,,"Actual360","LogLinear",TRUE)</f>
        <v>QSObject:ContextInput:w1~input.qs_context_add_curve.2359132437744.2450.3.0:37849</v>
      </c>
      <c r="E2451" s="6" t="str">
        <f>_xll.QS.INSTRUMENT.SWAP("swap.2449",H2451,B2451,"USD","SOFR",I2451,J2451,0,"Actual360","Simple","Annual","Annual","Annual")</f>
        <v>QSObject:Swap:w1~swap.2449:17570</v>
      </c>
      <c r="F2451" s="6" t="str">
        <f>_xll.QS.TRADE.CREATE("trade.2449",E2451,A2451,"Receive")</f>
        <v>QSObject:SwapTrade:w1~trade.2449:29320</v>
      </c>
      <c r="G2451" s="3">
        <f>_xll.QS.EVALUATE(C2451,F2451)</f>
        <v>45118.391644584175</v>
      </c>
      <c r="H2451" s="5" t="s">
        <v>1288</v>
      </c>
      <c r="I2451" s="7">
        <v>1244900</v>
      </c>
      <c r="J2451" s="8">
        <v>3.9899999999999998E-2</v>
      </c>
    </row>
    <row r="2452" spans="1:10" x14ac:dyDescent="0.25">
      <c r="A2452" s="5" t="s">
        <v>1276</v>
      </c>
      <c r="B2452" s="5" t="s">
        <v>4319</v>
      </c>
      <c r="C2452" s="6" t="str">
        <f>_xll.QS.CONTEXT.CREATE("market.2450",A2452,"USD","SOFR")</f>
        <v>QSObject:PricingContext:w1~market.2450:17569</v>
      </c>
      <c r="D2452" s="6" t="str">
        <f>_xll.QS.CONTEXT.ADD.CURVE(C2452,"SOFR",$K$2:$K$7,$L$2:$L$7,,,"Actual360","LogLinear",TRUE)</f>
        <v>QSObject:ContextInput:w1~input.qs_context_add_curve.2359132437744.2451.3.0:37848</v>
      </c>
      <c r="E2452" s="6" t="str">
        <f>_xll.QS.INSTRUMENT.SWAP("swap.2450",H2452,B2452,"USD","SOFR",I2452,J2452,0,"Actual360","Simple","Annual","Annual","Annual")</f>
        <v>QSObject:Swap:w1~swap.2450:17568</v>
      </c>
      <c r="F2452" s="6" t="str">
        <f>_xll.QS.TRADE.CREATE("trade.2450",E2452,A2452,"Receive")</f>
        <v>QSObject:SwapTrade:w1~trade.2450:29319</v>
      </c>
      <c r="G2452" s="3">
        <f>_xll.QS.EVALUATE(C2452,F2452)</f>
        <v>17030.797315810312</v>
      </c>
      <c r="H2452" s="5" t="s">
        <v>1290</v>
      </c>
      <c r="I2452" s="7">
        <v>1245000</v>
      </c>
      <c r="J2452" s="8">
        <v>3.5000000000000003E-2</v>
      </c>
    </row>
    <row r="2453" spans="1:10" x14ac:dyDescent="0.25">
      <c r="A2453" s="5" t="s">
        <v>1278</v>
      </c>
      <c r="B2453" s="5" t="s">
        <v>4320</v>
      </c>
      <c r="C2453" s="6" t="str">
        <f>_xll.QS.CONTEXT.CREATE("market.2451",A2453,"USD","SOFR")</f>
        <v>QSObject:PricingContext:w1~market.2451:17567</v>
      </c>
      <c r="D2453" s="6" t="str">
        <f>_xll.QS.CONTEXT.ADD.CURVE(C2453,"SOFR",$K$2:$K$7,$L$2:$L$7,,,"Actual360","LogLinear",TRUE)</f>
        <v>QSObject:ContextInput:w1~input.qs_context_add_curve.2359132437744.2452.3.0:37847</v>
      </c>
      <c r="E2453" s="6" t="str">
        <f>_xll.QS.INSTRUMENT.SWAP("swap.2451",H2453,B2453,"USD","SOFR",I2453,J2453,0,"Actual360","Simple","Annual","Annual","Annual")</f>
        <v>QSObject:Swap:w1~swap.2451:17566</v>
      </c>
      <c r="F2453" s="6" t="str">
        <f>_xll.QS.TRADE.CREATE("trade.2451",E2453,A2453,"Receive")</f>
        <v>QSObject:SwapTrade:w1~trade.2451:29318</v>
      </c>
      <c r="G2453" s="3">
        <f>_xll.QS.EVALUATE(C2453,F2453)</f>
        <v>17645.612983394451</v>
      </c>
      <c r="H2453" s="5" t="s">
        <v>1292</v>
      </c>
      <c r="I2453" s="7">
        <v>1245100</v>
      </c>
      <c r="J2453" s="8">
        <v>3.5100000000000013E-2</v>
      </c>
    </row>
    <row r="2454" spans="1:10" x14ac:dyDescent="0.25">
      <c r="A2454" s="5" t="s">
        <v>1280</v>
      </c>
      <c r="B2454" s="5" t="s">
        <v>4321</v>
      </c>
      <c r="C2454" s="6" t="str">
        <f>_xll.QS.CONTEXT.CREATE("market.2452",A2454,"USD","SOFR")</f>
        <v>QSObject:PricingContext:w1~market.2452:17565</v>
      </c>
      <c r="D2454" s="6" t="str">
        <f>_xll.QS.CONTEXT.ADD.CURVE(C2454,"SOFR",$K$2:$K$7,$L$2:$L$7,,,"Actual360","LogLinear",TRUE)</f>
        <v>QSObject:ContextInput:w1~input.qs_context_add_curve.2359132437744.2453.3.0:37846</v>
      </c>
      <c r="E2454" s="6" t="str">
        <f>_xll.QS.INSTRUMENT.SWAP("swap.2452",H2454,B2454,"USD","SOFR",I2454,J2454,0,"Actual360","Simple","Annual","Annual","Annual")</f>
        <v>QSObject:Swap:w1~swap.2452:17564</v>
      </c>
      <c r="F2454" s="6" t="str">
        <f>_xll.QS.TRADE.CREATE("trade.2452",E2454,A2454,"Receive")</f>
        <v>QSObject:SwapTrade:w1~trade.2452:29317</v>
      </c>
      <c r="G2454" s="3">
        <f>_xll.QS.EVALUATE(C2454,F2454)</f>
        <v>18312.000548189069</v>
      </c>
      <c r="H2454" s="5" t="s">
        <v>1294</v>
      </c>
      <c r="I2454" s="7">
        <v>1245200</v>
      </c>
      <c r="J2454" s="8">
        <v>3.5200000000000002E-2</v>
      </c>
    </row>
    <row r="2455" spans="1:10" x14ac:dyDescent="0.25">
      <c r="A2455" s="5" t="s">
        <v>1282</v>
      </c>
      <c r="B2455" s="5" t="s">
        <v>4322</v>
      </c>
      <c r="C2455" s="6" t="str">
        <f>_xll.QS.CONTEXT.CREATE("market.2453",A2455,"USD","SOFR")</f>
        <v>QSObject:PricingContext:w1~market.2453:17563</v>
      </c>
      <c r="D2455" s="6" t="str">
        <f>_xll.QS.CONTEXT.ADD.CURVE(C2455,"SOFR",$K$2:$K$7,$L$2:$L$7,,,"Actual360","LogLinear",TRUE)</f>
        <v>QSObject:ContextInput:w1~input.qs_context_add_curve.2359132437744.2454.3.0:37845</v>
      </c>
      <c r="E2455" s="6" t="str">
        <f>_xll.QS.INSTRUMENT.SWAP("swap.2453",H2455,B2455,"USD","SOFR",I2455,J2455,0,"Actual360","Simple","Annual","Annual","Annual")</f>
        <v>QSObject:Swap:w1~swap.2453:17562</v>
      </c>
      <c r="F2455" s="6" t="str">
        <f>_xll.QS.TRADE.CREATE("trade.2453",E2455,A2455,"Receive")</f>
        <v>QSObject:SwapTrade:w1~trade.2453:29316</v>
      </c>
      <c r="G2455" s="3">
        <f>_xll.QS.EVALUATE(C2455,F2455)</f>
        <v>18941.993109314819</v>
      </c>
      <c r="H2455" s="5" t="s">
        <v>1296</v>
      </c>
      <c r="I2455" s="7">
        <v>1245300</v>
      </c>
      <c r="J2455" s="8">
        <v>3.5299999999999998E-2</v>
      </c>
    </row>
    <row r="2456" spans="1:10" x14ac:dyDescent="0.25">
      <c r="A2456" s="5" t="s">
        <v>1284</v>
      </c>
      <c r="B2456" s="5" t="s">
        <v>4323</v>
      </c>
      <c r="C2456" s="6" t="str">
        <f>_xll.QS.CONTEXT.CREATE("market.2454",A2456,"USD","SOFR")</f>
        <v>QSObject:PricingContext:w1~market.2454:17561</v>
      </c>
      <c r="D2456" s="6" t="str">
        <f>_xll.QS.CONTEXT.ADD.CURVE(C2456,"SOFR",$K$2:$K$7,$L$2:$L$7,,,"Actual360","LogLinear",TRUE)</f>
        <v>QSObject:ContextInput:w1~input.qs_context_add_curve.2359132437744.2455.3.0:37844</v>
      </c>
      <c r="E2456" s="6" t="str">
        <f>_xll.QS.INSTRUMENT.SWAP("swap.2454",H2456,B2456,"USD","SOFR",I2456,J2456,0,"Actual360","Simple","Annual","Annual","Annual")</f>
        <v>QSObject:Swap:w1~swap.2454:17560</v>
      </c>
      <c r="F2456" s="6" t="str">
        <f>_xll.QS.TRADE.CREATE("trade.2454",E2456,A2456,"Receive")</f>
        <v>QSObject:SwapTrade:w1~trade.2454:29315</v>
      </c>
      <c r="G2456" s="3">
        <f>_xll.QS.EVALUATE(C2456,F2456)</f>
        <v>19469.956604823492</v>
      </c>
      <c r="H2456" s="5" t="s">
        <v>1298</v>
      </c>
      <c r="I2456" s="7">
        <v>1245400</v>
      </c>
      <c r="J2456" s="8">
        <v>3.5400000000000001E-2</v>
      </c>
    </row>
    <row r="2457" spans="1:10" x14ac:dyDescent="0.25">
      <c r="A2457" s="5" t="s">
        <v>1286</v>
      </c>
      <c r="B2457" s="5" t="s">
        <v>4324</v>
      </c>
      <c r="C2457" s="6" t="str">
        <f>_xll.QS.CONTEXT.CREATE("market.2455",A2457,"USD","SOFR")</f>
        <v>QSObject:PricingContext:w1~market.2455:17559</v>
      </c>
      <c r="D2457" s="6" t="str">
        <f>_xll.QS.CONTEXT.ADD.CURVE(C2457,"SOFR",$K$2:$K$7,$L$2:$L$7,,,"Actual360","LogLinear",TRUE)</f>
        <v>QSObject:ContextInput:w1~input.qs_context_add_curve.2359132437744.2456.3.0:37843</v>
      </c>
      <c r="E2457" s="6" t="str">
        <f>_xll.QS.INSTRUMENT.SWAP("swap.2455",H2457,B2457,"USD","SOFR",I2457,J2457,0,"Actual360","Simple","Annual","Annual","Annual")</f>
        <v>QSObject:Swap:w1~swap.2455:17558</v>
      </c>
      <c r="F2457" s="6" t="str">
        <f>_xll.QS.TRADE.CREATE("trade.2455",E2457,A2457,"Receive")</f>
        <v>QSObject:SwapTrade:w1~trade.2455:29314</v>
      </c>
      <c r="G2457" s="3">
        <f>_xll.QS.EVALUATE(C2457,F2457)</f>
        <v>19969.772234233002</v>
      </c>
      <c r="H2457" s="5" t="s">
        <v>1300</v>
      </c>
      <c r="I2457" s="7">
        <v>1245500</v>
      </c>
      <c r="J2457" s="8">
        <v>3.5499999999999997E-2</v>
      </c>
    </row>
    <row r="2458" spans="1:10" x14ac:dyDescent="0.25">
      <c r="A2458" s="5" t="s">
        <v>1288</v>
      </c>
      <c r="B2458" s="5" t="s">
        <v>4325</v>
      </c>
      <c r="C2458" s="6" t="str">
        <f>_xll.QS.CONTEXT.CREATE("market.2456",A2458,"USD","SOFR")</f>
        <v>QSObject:PricingContext:w1~market.2456:17557</v>
      </c>
      <c r="D2458" s="6" t="str">
        <f>_xll.QS.CONTEXT.ADD.CURVE(C2458,"SOFR",$K$2:$K$7,$L$2:$L$7,,,"Actual360","LogLinear",TRUE)</f>
        <v>QSObject:ContextInput:w1~input.qs_context_add_curve.2359132437744.2457.3.0:37842</v>
      </c>
      <c r="E2458" s="6" t="str">
        <f>_xll.QS.INSTRUMENT.SWAP("swap.2456",H2458,B2458,"USD","SOFR",I2458,J2458,0,"Actual360","Simple","Annual","Annual","Annual")</f>
        <v>QSObject:Swap:w1~swap.2456:17556</v>
      </c>
      <c r="F2458" s="6" t="str">
        <f>_xll.QS.TRADE.CREATE("trade.2456",E2458,A2458,"Receive")</f>
        <v>QSObject:SwapTrade:w1~trade.2456:29313</v>
      </c>
      <c r="G2458" s="3">
        <f>_xll.QS.EVALUATE(C2458,F2458)</f>
        <v>20546.676120300435</v>
      </c>
      <c r="H2458" s="5" t="s">
        <v>1302</v>
      </c>
      <c r="I2458" s="7">
        <v>1245600</v>
      </c>
      <c r="J2458" s="8">
        <v>3.5600000000000007E-2</v>
      </c>
    </row>
    <row r="2459" spans="1:10" x14ac:dyDescent="0.25">
      <c r="A2459" s="5" t="s">
        <v>1290</v>
      </c>
      <c r="B2459" s="5" t="s">
        <v>4326</v>
      </c>
      <c r="C2459" s="6" t="str">
        <f>_xll.QS.CONTEXT.CREATE("market.2457",A2459,"USD","SOFR")</f>
        <v>QSObject:PricingContext:w1~market.2457:17555</v>
      </c>
      <c r="D2459" s="6" t="str">
        <f>_xll.QS.CONTEXT.ADD.CURVE(C2459,"SOFR",$K$2:$K$7,$L$2:$L$7,,,"Actual360","LogLinear",TRUE)</f>
        <v>QSObject:ContextInput:w1~input.qs_context_add_curve.2359132437744.2458.3.0:37841</v>
      </c>
      <c r="E2459" s="6" t="str">
        <f>_xll.QS.INSTRUMENT.SWAP("swap.2457",H2459,B2459,"USD","SOFR",I2459,J2459,0,"Actual360","Simple","Annual","Annual","Annual")</f>
        <v>QSObject:Swap:w1~swap.2457:17554</v>
      </c>
      <c r="F2459" s="6" t="str">
        <f>_xll.QS.TRADE.CREATE("trade.2457",E2459,A2459,"Receive")</f>
        <v>QSObject:SwapTrade:w1~trade.2457:29312</v>
      </c>
      <c r="G2459" s="3">
        <f>_xll.QS.EVALUATE(C2459,F2459)</f>
        <v>21173.816812166842</v>
      </c>
      <c r="H2459" s="5" t="s">
        <v>1304</v>
      </c>
      <c r="I2459" s="7">
        <v>1245700</v>
      </c>
      <c r="J2459" s="8">
        <v>3.5700000000000003E-2</v>
      </c>
    </row>
    <row r="2460" spans="1:10" x14ac:dyDescent="0.25">
      <c r="A2460" s="5" t="s">
        <v>1292</v>
      </c>
      <c r="B2460" s="5" t="s">
        <v>4327</v>
      </c>
      <c r="C2460" s="6" t="str">
        <f>_xll.QS.CONTEXT.CREATE("market.2458",A2460,"USD","SOFR")</f>
        <v>QSObject:PricingContext:w1~market.2458:17553</v>
      </c>
      <c r="D2460" s="6" t="str">
        <f>_xll.QS.CONTEXT.ADD.CURVE(C2460,"SOFR",$K$2:$K$7,$L$2:$L$7,,,"Actual360","LogLinear",TRUE)</f>
        <v>QSObject:ContextInput:w1~input.qs_context_add_curve.2359132437744.2459.3.0:37840</v>
      </c>
      <c r="E2460" s="6" t="str">
        <f>_xll.QS.INSTRUMENT.SWAP("swap.2458",H2460,B2460,"USD","SOFR",I2460,J2460,0,"Actual360","Simple","Annual","Annual","Annual")</f>
        <v>QSObject:Swap:w1~swap.2458:17552</v>
      </c>
      <c r="F2460" s="6" t="str">
        <f>_xll.QS.TRADE.CREATE("trade.2458",E2460,A2460,"Receive")</f>
        <v>QSObject:SwapTrade:w1~trade.2458:29311</v>
      </c>
      <c r="G2460" s="3">
        <f>_xll.QS.EVALUATE(C2460,F2460)</f>
        <v>21676.881559411107</v>
      </c>
      <c r="H2460" s="5" t="s">
        <v>1306</v>
      </c>
      <c r="I2460" s="7">
        <v>1245800</v>
      </c>
      <c r="J2460" s="8">
        <v>3.5800000000000012E-2</v>
      </c>
    </row>
    <row r="2461" spans="1:10" x14ac:dyDescent="0.25">
      <c r="A2461" s="5" t="s">
        <v>1294</v>
      </c>
      <c r="B2461" s="5" t="s">
        <v>4328</v>
      </c>
      <c r="C2461" s="6" t="str">
        <f>_xll.QS.CONTEXT.CREATE("market.2459",A2461,"USD","SOFR")</f>
        <v>QSObject:PricingContext:w1~market.2459:17551</v>
      </c>
      <c r="D2461" s="6" t="str">
        <f>_xll.QS.CONTEXT.ADD.CURVE(C2461,"SOFR",$K$2:$K$7,$L$2:$L$7,,,"Actual360","LogLinear",TRUE)</f>
        <v>QSObject:ContextInput:w1~input.qs_context_add_curve.2359132437744.2460.3.0:37839</v>
      </c>
      <c r="E2461" s="6" t="str">
        <f>_xll.QS.INSTRUMENT.SWAP("swap.2459",H2461,B2461,"USD","SOFR",I2461,J2461,0,"Actual360","Simple","Annual","Annual","Annual")</f>
        <v>QSObject:Swap:w1~swap.2459:17550</v>
      </c>
      <c r="F2461" s="6" t="str">
        <f>_xll.QS.TRADE.CREATE("trade.2459",E2461,A2461,"Receive")</f>
        <v>QSObject:SwapTrade:w1~trade.2459:29310</v>
      </c>
      <c r="G2461" s="3">
        <f>_xll.QS.EVALUATE(C2461,F2461)</f>
        <v>22344.025409340669</v>
      </c>
      <c r="H2461" s="5" t="s">
        <v>1308</v>
      </c>
      <c r="I2461" s="7">
        <v>1245900</v>
      </c>
      <c r="J2461" s="8">
        <v>3.5900000000000001E-2</v>
      </c>
    </row>
    <row r="2462" spans="1:10" x14ac:dyDescent="0.25">
      <c r="A2462" s="5" t="s">
        <v>1296</v>
      </c>
      <c r="B2462" s="5" t="s">
        <v>4329</v>
      </c>
      <c r="C2462" s="6" t="str">
        <f>_xll.QS.CONTEXT.CREATE("market.2460",A2462,"USD","SOFR")</f>
        <v>QSObject:PricingContext:w1~market.2460:17549</v>
      </c>
      <c r="D2462" s="6" t="str">
        <f>_xll.QS.CONTEXT.ADD.CURVE(C2462,"SOFR",$K$2:$K$7,$L$2:$L$7,,,"Actual360","LogLinear",TRUE)</f>
        <v>QSObject:ContextInput:w1~input.qs_context_add_curve.2359132437744.2461.3.0:37838</v>
      </c>
      <c r="E2462" s="6" t="str">
        <f>_xll.QS.INSTRUMENT.SWAP("swap.2460",H2462,B2462,"USD","SOFR",I2462,J2462,0,"Actual360","Simple","Annual","Annual","Annual")</f>
        <v>QSObject:Swap:w1~swap.2460:17548</v>
      </c>
      <c r="F2462" s="6" t="str">
        <f>_xll.QS.TRADE.CREATE("trade.2460",E2462,A2462,"Receive")</f>
        <v>QSObject:SwapTrade:w1~trade.2460:29309</v>
      </c>
      <c r="G2462" s="3">
        <f>_xll.QS.EVALUATE(C2462,F2462)</f>
        <v>22924.12450741449</v>
      </c>
      <c r="H2462" s="5" t="s">
        <v>1310</v>
      </c>
      <c r="I2462" s="7">
        <v>1246000</v>
      </c>
      <c r="J2462" s="8">
        <v>3.5999999999999997E-2</v>
      </c>
    </row>
    <row r="2463" spans="1:10" x14ac:dyDescent="0.25">
      <c r="A2463" s="5" t="s">
        <v>1298</v>
      </c>
      <c r="B2463" s="5" t="s">
        <v>4330</v>
      </c>
      <c r="C2463" s="6" t="str">
        <f>_xll.QS.CONTEXT.CREATE("market.2461",A2463,"USD","SOFR")</f>
        <v>QSObject:PricingContext:w1~market.2461:17547</v>
      </c>
      <c r="D2463" s="6" t="str">
        <f>_xll.QS.CONTEXT.ADD.CURVE(C2463,"SOFR",$K$2:$K$7,$L$2:$L$7,,,"Actual360","LogLinear",TRUE)</f>
        <v>QSObject:ContextInput:w1~input.qs_context_add_curve.2359132437744.2462.3.0:37837</v>
      </c>
      <c r="E2463" s="6" t="str">
        <f>_xll.QS.INSTRUMENT.SWAP("swap.2461",H2463,B2463,"USD","SOFR",I2463,J2463,0,"Actual360","Simple","Annual","Annual","Annual")</f>
        <v>QSObject:Swap:w1~swap.2461:17546</v>
      </c>
      <c r="F2463" s="6" t="str">
        <f>_xll.QS.TRADE.CREATE("trade.2461",E2463,A2463,"Receive")</f>
        <v>QSObject:SwapTrade:w1~trade.2461:29308</v>
      </c>
      <c r="G2463" s="3">
        <f>_xll.QS.EVALUATE(C2463,F2463)</f>
        <v>23503.278974628884</v>
      </c>
      <c r="H2463" s="5" t="s">
        <v>1312</v>
      </c>
      <c r="I2463" s="7">
        <v>1246100</v>
      </c>
      <c r="J2463" s="8">
        <v>3.61E-2</v>
      </c>
    </row>
    <row r="2464" spans="1:10" x14ac:dyDescent="0.25">
      <c r="A2464" s="5" t="s">
        <v>1300</v>
      </c>
      <c r="B2464" s="5" t="s">
        <v>4331</v>
      </c>
      <c r="C2464" s="6" t="str">
        <f>_xll.QS.CONTEXT.CREATE("market.2462",A2464,"USD","SOFR")</f>
        <v>QSObject:PricingContext:w1~market.2462:17545</v>
      </c>
      <c r="D2464" s="6" t="str">
        <f>_xll.QS.CONTEXT.ADD.CURVE(C2464,"SOFR",$K$2:$K$7,$L$2:$L$7,,,"Actual360","LogLinear",TRUE)</f>
        <v>QSObject:ContextInput:w1~input.qs_context_add_curve.2359132437744.2463.3.0:37836</v>
      </c>
      <c r="E2464" s="6" t="str">
        <f>_xll.QS.INSTRUMENT.SWAP("swap.2462",H2464,B2464,"USD","SOFR",I2464,J2464,0,"Actual360","Simple","Annual","Annual","Annual")</f>
        <v>QSObject:Swap:w1~swap.2462:17544</v>
      </c>
      <c r="F2464" s="6" t="str">
        <f>_xll.QS.TRADE.CREATE("trade.2462",E2464,A2464,"Receive")</f>
        <v>QSObject:SwapTrade:w1~trade.2462:29307</v>
      </c>
      <c r="G2464" s="3">
        <f>_xll.QS.EVALUATE(C2464,F2464)</f>
        <v>23998.960270190961</v>
      </c>
      <c r="H2464" s="5" t="s">
        <v>1314</v>
      </c>
      <c r="I2464" s="7">
        <v>1246200</v>
      </c>
      <c r="J2464" s="8">
        <v>3.6200000000000003E-2</v>
      </c>
    </row>
    <row r="2465" spans="1:10" x14ac:dyDescent="0.25">
      <c r="A2465" s="5" t="s">
        <v>1302</v>
      </c>
      <c r="B2465" s="5" t="s">
        <v>4332</v>
      </c>
      <c r="C2465" s="6" t="str">
        <f>_xll.QS.CONTEXT.CREATE("market.2463",A2465,"USD","SOFR")</f>
        <v>QSObject:PricingContext:w1~market.2463:17543</v>
      </c>
      <c r="D2465" s="6" t="str">
        <f>_xll.QS.CONTEXT.ADD.CURVE(C2465,"SOFR",$K$2:$K$7,$L$2:$L$7,,,"Actual360","LogLinear",TRUE)</f>
        <v>QSObject:ContextInput:w1~input.qs_context_add_curve.2359132437744.2464.3.0:37835</v>
      </c>
      <c r="E2465" s="6" t="str">
        <f>_xll.QS.INSTRUMENT.SWAP("swap.2463",H2465,B2465,"USD","SOFR",I2465,J2465,0,"Actual360","Simple","Annual","Annual","Annual")</f>
        <v>QSObject:Swap:w1~swap.2463:17542</v>
      </c>
      <c r="F2465" s="6" t="str">
        <f>_xll.QS.TRADE.CREATE("trade.2463",E2465,A2465,"Receive")</f>
        <v>QSObject:SwapTrade:w1~trade.2463:29306</v>
      </c>
      <c r="G2465" s="3">
        <f>_xll.QS.EVALUATE(C2465,F2465)</f>
        <v>24436.471394261578</v>
      </c>
      <c r="H2465" s="5" t="s">
        <v>1316</v>
      </c>
      <c r="I2465" s="7">
        <v>1246300</v>
      </c>
      <c r="J2465" s="8">
        <v>3.6300000000000013E-2</v>
      </c>
    </row>
    <row r="2466" spans="1:10" x14ac:dyDescent="0.25">
      <c r="A2466" s="5" t="s">
        <v>1304</v>
      </c>
      <c r="B2466" s="5" t="s">
        <v>4333</v>
      </c>
      <c r="C2466" s="6" t="str">
        <f>_xll.QS.CONTEXT.CREATE("market.2464",A2466,"USD","SOFR")</f>
        <v>QSObject:PricingContext:w1~market.2464:17541</v>
      </c>
      <c r="D2466" s="6" t="str">
        <f>_xll.QS.CONTEXT.ADD.CURVE(C2466,"SOFR",$K$2:$K$7,$L$2:$L$7,,,"Actual360","LogLinear",TRUE)</f>
        <v>QSObject:ContextInput:w1~input.qs_context_add_curve.2359132437744.2465.3.0:37834</v>
      </c>
      <c r="E2466" s="6" t="str">
        <f>_xll.QS.INSTRUMENT.SWAP("swap.2464",H2466,B2466,"USD","SOFR",I2466,J2466,0,"Actual360","Simple","Annual","Annual","Annual")</f>
        <v>QSObject:Swap:w1~swap.2464:17540</v>
      </c>
      <c r="F2466" s="6" t="str">
        <f>_xll.QS.TRADE.CREATE("trade.2464",E2466,A2466,"Receive")</f>
        <v>QSObject:SwapTrade:w1~trade.2464:29305</v>
      </c>
      <c r="G2466" s="3">
        <f>_xll.QS.EVALUATE(C2466,F2466)</f>
        <v>25065.542892615616</v>
      </c>
      <c r="H2466" s="5" t="s">
        <v>1318</v>
      </c>
      <c r="I2466" s="7">
        <v>1246400</v>
      </c>
      <c r="J2466" s="8">
        <v>3.6400000000000002E-2</v>
      </c>
    </row>
    <row r="2467" spans="1:10" x14ac:dyDescent="0.25">
      <c r="A2467" s="5" t="s">
        <v>1306</v>
      </c>
      <c r="B2467" s="5" t="s">
        <v>4334</v>
      </c>
      <c r="C2467" s="6" t="str">
        <f>_xll.QS.CONTEXT.CREATE("market.2465",A2467,"USD","SOFR")</f>
        <v>QSObject:PricingContext:w1~market.2465:17539</v>
      </c>
      <c r="D2467" s="6" t="str">
        <f>_xll.QS.CONTEXT.ADD.CURVE(C2467,"SOFR",$K$2:$K$7,$L$2:$L$7,,,"Actual360","LogLinear",TRUE)</f>
        <v>QSObject:ContextInput:w1~input.qs_context_add_curve.2359132437744.2466.3.0:37833</v>
      </c>
      <c r="E2467" s="6" t="str">
        <f>_xll.QS.INSTRUMENT.SWAP("swap.2465",H2467,B2467,"USD","SOFR",I2467,J2467,0,"Actual360","Simple","Annual","Annual","Annual")</f>
        <v>QSObject:Swap:w1~swap.2465:17538</v>
      </c>
      <c r="F2467" s="6" t="str">
        <f>_xll.QS.TRADE.CREATE("trade.2465",E2467,A2467,"Receive")</f>
        <v>QSObject:SwapTrade:w1~trade.2465:29304</v>
      </c>
      <c r="G2467" s="3">
        <f>_xll.QS.EVALUATE(C2467,F2467)</f>
        <v>25678.066547863295</v>
      </c>
      <c r="H2467" s="5" t="s">
        <v>1320</v>
      </c>
      <c r="I2467" s="7">
        <v>1246500</v>
      </c>
      <c r="J2467" s="8">
        <v>3.6499999999999998E-2</v>
      </c>
    </row>
    <row r="2468" spans="1:10" x14ac:dyDescent="0.25">
      <c r="A2468" s="5" t="s">
        <v>1308</v>
      </c>
      <c r="B2468" s="5" t="s">
        <v>4335</v>
      </c>
      <c r="C2468" s="6" t="str">
        <f>_xll.QS.CONTEXT.CREATE("market.2466",A2468,"USD","SOFR")</f>
        <v>QSObject:PricingContext:w1~market.2466:17537</v>
      </c>
      <c r="D2468" s="6" t="str">
        <f>_xll.QS.CONTEXT.ADD.CURVE(C2468,"SOFR",$K$2:$K$7,$L$2:$L$7,,,"Actual360","LogLinear",TRUE)</f>
        <v>QSObject:ContextInput:w1~input.qs_context_add_curve.2359132437744.2467.3.0:37832</v>
      </c>
      <c r="E2468" s="6" t="str">
        <f>_xll.QS.INSTRUMENT.SWAP("swap.2466",H2468,B2468,"USD","SOFR",I2468,J2468,0,"Actual360","Simple","Annual","Annual","Annual")</f>
        <v>QSObject:Swap:w1~swap.2466:17536</v>
      </c>
      <c r="F2468" s="6" t="str">
        <f>_xll.QS.TRADE.CREATE("trade.2466",E2468,A2468,"Receive")</f>
        <v>QSObject:SwapTrade:w1~trade.2466:29303</v>
      </c>
      <c r="G2468" s="3">
        <f>_xll.QS.EVALUATE(C2468,F2468)</f>
        <v>26426.374724937043</v>
      </c>
      <c r="H2468" s="5" t="s">
        <v>1322</v>
      </c>
      <c r="I2468" s="7">
        <v>1246600</v>
      </c>
      <c r="J2468" s="8">
        <v>3.6600000000000001E-2</v>
      </c>
    </row>
    <row r="2469" spans="1:10" x14ac:dyDescent="0.25">
      <c r="A2469" s="5" t="s">
        <v>1310</v>
      </c>
      <c r="B2469" s="5" t="s">
        <v>4336</v>
      </c>
      <c r="C2469" s="6" t="str">
        <f>_xll.QS.CONTEXT.CREATE("market.2467",A2469,"USD","SOFR")</f>
        <v>QSObject:PricingContext:w1~market.2467:17535</v>
      </c>
      <c r="D2469" s="6" t="str">
        <f>_xll.QS.CONTEXT.ADD.CURVE(C2469,"SOFR",$K$2:$K$7,$L$2:$L$7,,,"Actual360","LogLinear",TRUE)</f>
        <v>QSObject:ContextInput:w1~input.qs_context_add_curve.2359132437744.2468.3.0:37831</v>
      </c>
      <c r="E2469" s="6" t="str">
        <f>_xll.QS.INSTRUMENT.SWAP("swap.2467",H2469,B2469,"USD","SOFR",I2469,J2469,0,"Actual360","Simple","Annual","Annual","Annual")</f>
        <v>QSObject:Swap:w1~swap.2467:17534</v>
      </c>
      <c r="F2469" s="6" t="str">
        <f>_xll.QS.TRADE.CREATE("trade.2467",E2469,A2469,"Receive")</f>
        <v>QSObject:SwapTrade:w1~trade.2467:29302</v>
      </c>
      <c r="G2469" s="3">
        <f>_xll.QS.EVALUATE(C2469,F2469)</f>
        <v>27013.458678530871</v>
      </c>
      <c r="H2469" s="5" t="s">
        <v>1324</v>
      </c>
      <c r="I2469" s="7">
        <v>1246700</v>
      </c>
      <c r="J2469" s="8">
        <v>3.6700000000000003E-2</v>
      </c>
    </row>
    <row r="2470" spans="1:10" x14ac:dyDescent="0.25">
      <c r="A2470" s="5" t="s">
        <v>1312</v>
      </c>
      <c r="B2470" s="5" t="s">
        <v>4337</v>
      </c>
      <c r="C2470" s="6" t="str">
        <f>_xll.QS.CONTEXT.CREATE("market.2468",A2470,"USD","SOFR")</f>
        <v>QSObject:PricingContext:w1~market.2468:17533</v>
      </c>
      <c r="D2470" s="6" t="str">
        <f>_xll.QS.CONTEXT.ADD.CURVE(C2470,"SOFR",$K$2:$K$7,$L$2:$L$7,,,"Actual360","LogLinear",TRUE)</f>
        <v>QSObject:ContextInput:w1~input.qs_context_add_curve.2359132437744.2469.3.0:37830</v>
      </c>
      <c r="E2470" s="6" t="str">
        <f>_xll.QS.INSTRUMENT.SWAP("swap.2468",H2470,B2470,"USD","SOFR",I2470,J2470,0,"Actual360","Simple","Annual","Annual","Annual")</f>
        <v>QSObject:Swap:w1~swap.2468:17532</v>
      </c>
      <c r="F2470" s="6" t="str">
        <f>_xll.QS.TRADE.CREATE("trade.2468",E2470,A2470,"Receive")</f>
        <v>QSObject:SwapTrade:w1~trade.2468:29301</v>
      </c>
      <c r="G2470" s="3">
        <f>_xll.QS.EVALUATE(C2470,F2470)</f>
        <v>27588.161707059422</v>
      </c>
      <c r="H2470" s="5" t="s">
        <v>1326</v>
      </c>
      <c r="I2470" s="7">
        <v>1246800</v>
      </c>
      <c r="J2470" s="8">
        <v>3.6800000000000013E-2</v>
      </c>
    </row>
    <row r="2471" spans="1:10" x14ac:dyDescent="0.25">
      <c r="A2471" s="5" t="s">
        <v>1314</v>
      </c>
      <c r="B2471" s="5" t="s">
        <v>4338</v>
      </c>
      <c r="C2471" s="6" t="str">
        <f>_xll.QS.CONTEXT.CREATE("market.2469",A2471,"USD","SOFR")</f>
        <v>QSObject:PricingContext:w1~market.2469:17531</v>
      </c>
      <c r="D2471" s="6" t="str">
        <f>_xll.QS.CONTEXT.ADD.CURVE(C2471,"SOFR",$K$2:$K$7,$L$2:$L$7,,,"Actual360","LogLinear",TRUE)</f>
        <v>QSObject:ContextInput:w1~input.qs_context_add_curve.2359132437744.2470.3.0:37829</v>
      </c>
      <c r="E2471" s="6" t="str">
        <f>_xll.QS.INSTRUMENT.SWAP("swap.2469",H2471,B2471,"USD","SOFR",I2471,J2471,0,"Actual360","Simple","Annual","Annual","Annual")</f>
        <v>QSObject:Swap:w1~swap.2469:17530</v>
      </c>
      <c r="F2471" s="6" t="str">
        <f>_xll.QS.TRADE.CREATE("trade.2469",E2471,A2471,"Receive")</f>
        <v>QSObject:SwapTrade:w1~trade.2469:29300</v>
      </c>
      <c r="G2471" s="3">
        <f>_xll.QS.EVALUATE(C2471,F2471)</f>
        <v>28061.594467968302</v>
      </c>
      <c r="H2471" s="5" t="s">
        <v>1328</v>
      </c>
      <c r="I2471" s="7">
        <v>1246900</v>
      </c>
      <c r="J2471" s="8">
        <v>3.6900000000000002E-2</v>
      </c>
    </row>
    <row r="2472" spans="1:10" x14ac:dyDescent="0.25">
      <c r="A2472" s="5" t="s">
        <v>1316</v>
      </c>
      <c r="B2472" s="5" t="s">
        <v>4339</v>
      </c>
      <c r="C2472" s="6" t="str">
        <f>_xll.QS.CONTEXT.CREATE("market.2470",A2472,"USD","SOFR")</f>
        <v>QSObject:PricingContext:w1~market.2470:17529</v>
      </c>
      <c r="D2472" s="6" t="str">
        <f>_xll.QS.CONTEXT.ADD.CURVE(C2472,"SOFR",$K$2:$K$7,$L$2:$L$7,,,"Actual360","LogLinear",TRUE)</f>
        <v>QSObject:ContextInput:w1~input.qs_context_add_curve.2359132437744.2471.3.0:37828</v>
      </c>
      <c r="E2472" s="6" t="str">
        <f>_xll.QS.INSTRUMENT.SWAP("swap.2470",H2472,B2472,"USD","SOFR",I2472,J2472,0,"Actual360","Simple","Annual","Annual","Annual")</f>
        <v>QSObject:Swap:w1~swap.2470:17528</v>
      </c>
      <c r="F2472" s="6" t="str">
        <f>_xll.QS.TRADE.CREATE("trade.2470",E2472,A2472,"Receive")</f>
        <v>QSObject:SwapTrade:w1~trade.2470:29299</v>
      </c>
      <c r="G2472" s="3">
        <f>_xll.QS.EVALUATE(C2472,F2472)</f>
        <v>28540.720641021704</v>
      </c>
      <c r="H2472" s="5" t="s">
        <v>1330</v>
      </c>
      <c r="I2472" s="7">
        <v>1247000</v>
      </c>
      <c r="J2472" s="8">
        <v>3.7000000000000012E-2</v>
      </c>
    </row>
    <row r="2473" spans="1:10" x14ac:dyDescent="0.25">
      <c r="A2473" s="5" t="s">
        <v>1318</v>
      </c>
      <c r="B2473" s="5" t="s">
        <v>4340</v>
      </c>
      <c r="C2473" s="6" t="str">
        <f>_xll.QS.CONTEXT.CREATE("market.2471",A2473,"USD","SOFR")</f>
        <v>QSObject:PricingContext:w1~market.2471:17527</v>
      </c>
      <c r="D2473" s="6" t="str">
        <f>_xll.QS.CONTEXT.ADD.CURVE(C2473,"SOFR",$K$2:$K$7,$L$2:$L$7,,,"Actual360","LogLinear",TRUE)</f>
        <v>QSObject:ContextInput:w1~input.qs_context_add_curve.2359132437744.2472.3.0:37827</v>
      </c>
      <c r="E2473" s="6" t="str">
        <f>_xll.QS.INSTRUMENT.SWAP("swap.2471",H2473,B2473,"USD","SOFR",I2473,J2473,0,"Actual360","Simple","Annual","Annual","Annual")</f>
        <v>QSObject:Swap:w1~swap.2471:17526</v>
      </c>
      <c r="F2473" s="6" t="str">
        <f>_xll.QS.TRADE.CREATE("trade.2471",E2473,A2473,"Receive")</f>
        <v>QSObject:SwapTrade:w1~trade.2471:29298</v>
      </c>
      <c r="G2473" s="3">
        <f>_xll.QS.EVALUATE(C2473,F2473)</f>
        <v>29123.446153903431</v>
      </c>
      <c r="H2473" s="5" t="s">
        <v>1332</v>
      </c>
      <c r="I2473" s="7">
        <v>1247100</v>
      </c>
      <c r="J2473" s="8">
        <v>3.7100000000000001E-2</v>
      </c>
    </row>
    <row r="2474" spans="1:10" x14ac:dyDescent="0.25">
      <c r="A2474" s="5" t="s">
        <v>1320</v>
      </c>
      <c r="B2474" s="5" t="s">
        <v>4341</v>
      </c>
      <c r="C2474" s="6" t="str">
        <f>_xll.QS.CONTEXT.CREATE("market.2472",A2474,"USD","SOFR")</f>
        <v>QSObject:PricingContext:w1~market.2472:17525</v>
      </c>
      <c r="D2474" s="6" t="str">
        <f>_xll.QS.CONTEXT.ADD.CURVE(C2474,"SOFR",$K$2:$K$7,$L$2:$L$7,,,"Actual360","LogLinear",TRUE)</f>
        <v>QSObject:ContextInput:w1~input.qs_context_add_curve.2359132437744.2473.3.0:37826</v>
      </c>
      <c r="E2474" s="6" t="str">
        <f>_xll.QS.INSTRUMENT.SWAP("swap.2472",H2474,B2474,"USD","SOFR",I2474,J2474,0,"Actual360","Simple","Annual","Annual","Annual")</f>
        <v>QSObject:Swap:w1~swap.2472:17524</v>
      </c>
      <c r="F2474" s="6" t="str">
        <f>_xll.QS.TRADE.CREATE("trade.2472",E2474,A2474,"Receive")</f>
        <v>QSObject:SwapTrade:w1~trade.2472:29297</v>
      </c>
      <c r="G2474" s="3">
        <f>_xll.QS.EVALUATE(C2474,F2474)</f>
        <v>29753.473533300385</v>
      </c>
      <c r="H2474" s="5" t="s">
        <v>1334</v>
      </c>
      <c r="I2474" s="7">
        <v>1247200</v>
      </c>
      <c r="J2474" s="8">
        <v>3.7199999999999997E-2</v>
      </c>
    </row>
    <row r="2475" spans="1:10" x14ac:dyDescent="0.25">
      <c r="A2475" s="5" t="s">
        <v>1322</v>
      </c>
      <c r="B2475" s="5" t="s">
        <v>4342</v>
      </c>
      <c r="C2475" s="6" t="str">
        <f>_xll.QS.CONTEXT.CREATE("market.2473",A2475,"USD","SOFR")</f>
        <v>QSObject:PricingContext:w1~market.2473:17523</v>
      </c>
      <c r="D2475" s="6" t="str">
        <f>_xll.QS.CONTEXT.ADD.CURVE(C2475,"SOFR",$K$2:$K$7,$L$2:$L$7,,,"Actual360","LogLinear",TRUE)</f>
        <v>QSObject:ContextInput:w1~input.qs_context_add_curve.2359132437744.2474.3.0:37825</v>
      </c>
      <c r="E2475" s="6" t="str">
        <f>_xll.QS.INSTRUMENT.SWAP("swap.2473",H2475,B2475,"USD","SOFR",I2475,J2475,0,"Actual360","Simple","Annual","Annual","Annual")</f>
        <v>QSObject:Swap:w1~swap.2473:17522</v>
      </c>
      <c r="F2475" s="6" t="str">
        <f>_xll.QS.TRADE.CREATE("trade.2473",E2475,A2475,"Receive")</f>
        <v>QSObject:SwapTrade:w1~trade.2473:29296</v>
      </c>
      <c r="G2475" s="3">
        <f>_xll.QS.EVALUATE(C2475,F2475)</f>
        <v>30421.841032464625</v>
      </c>
      <c r="H2475" s="5" t="s">
        <v>1336</v>
      </c>
      <c r="I2475" s="7">
        <v>1247300</v>
      </c>
      <c r="J2475" s="8">
        <v>3.73E-2</v>
      </c>
    </row>
    <row r="2476" spans="1:10" x14ac:dyDescent="0.25">
      <c r="A2476" s="5" t="s">
        <v>1324</v>
      </c>
      <c r="B2476" s="5" t="s">
        <v>4343</v>
      </c>
      <c r="C2476" s="6" t="str">
        <f>_xll.QS.CONTEXT.CREATE("market.2474",A2476,"USD","SOFR")</f>
        <v>QSObject:PricingContext:w1~market.2474:17521</v>
      </c>
      <c r="D2476" s="6" t="str">
        <f>_xll.QS.CONTEXT.ADD.CURVE(C2476,"SOFR",$K$2:$K$7,$L$2:$L$7,,,"Actual360","LogLinear",TRUE)</f>
        <v>QSObject:ContextInput:w1~input.qs_context_add_curve.2359132437744.2475.3.0:37824</v>
      </c>
      <c r="E2476" s="6" t="str">
        <f>_xll.QS.INSTRUMENT.SWAP("swap.2474",H2476,B2476,"USD","SOFR",I2476,J2476,0,"Actual360","Simple","Annual","Annual","Annual")</f>
        <v>QSObject:Swap:w1~swap.2474:17520</v>
      </c>
      <c r="F2476" s="6" t="str">
        <f>_xll.QS.TRADE.CREATE("trade.2474",E2476,A2476,"Receive")</f>
        <v>QSObject:SwapTrade:w1~trade.2474:29295</v>
      </c>
      <c r="G2476" s="3">
        <f>_xll.QS.EVALUATE(C2476,F2476)</f>
        <v>31055.256435973912</v>
      </c>
      <c r="H2476" s="5" t="s">
        <v>1338</v>
      </c>
      <c r="I2476" s="7">
        <v>1247400</v>
      </c>
      <c r="J2476" s="8">
        <v>3.7400000000000003E-2</v>
      </c>
    </row>
    <row r="2477" spans="1:10" x14ac:dyDescent="0.25">
      <c r="A2477" s="5" t="s">
        <v>1326</v>
      </c>
      <c r="B2477" s="5" t="s">
        <v>4344</v>
      </c>
      <c r="C2477" s="6" t="str">
        <f>_xll.QS.CONTEXT.CREATE("market.2475",A2477,"USD","SOFR")</f>
        <v>QSObject:PricingContext:w1~market.2475:17519</v>
      </c>
      <c r="D2477" s="6" t="str">
        <f>_xll.QS.CONTEXT.ADD.CURVE(C2477,"SOFR",$K$2:$K$7,$L$2:$L$7,,,"Actual360","LogLinear",TRUE)</f>
        <v>QSObject:ContextInput:w1~input.qs_context_add_curve.2359132437744.2476.3.0:37823</v>
      </c>
      <c r="E2477" s="6" t="str">
        <f>_xll.QS.INSTRUMENT.SWAP("swap.2475",H2477,B2477,"USD","SOFR",I2477,J2477,0,"Actual360","Simple","Annual","Annual","Annual")</f>
        <v>QSObject:Swap:w1~swap.2475:17518</v>
      </c>
      <c r="F2477" s="6" t="str">
        <f>_xll.QS.TRADE.CREATE("trade.2475",E2477,A2477,"Receive")</f>
        <v>QSObject:SwapTrade:w1~trade.2475:29294</v>
      </c>
      <c r="G2477" s="3">
        <f>_xll.QS.EVALUATE(C2477,F2477)</f>
        <v>31633.894421376099</v>
      </c>
      <c r="H2477" s="5" t="s">
        <v>1340</v>
      </c>
      <c r="I2477" s="7">
        <v>1247500</v>
      </c>
      <c r="J2477" s="8">
        <v>3.7500000000000012E-2</v>
      </c>
    </row>
    <row r="2478" spans="1:10" x14ac:dyDescent="0.25">
      <c r="A2478" s="5" t="s">
        <v>1328</v>
      </c>
      <c r="B2478" s="5" t="s">
        <v>4345</v>
      </c>
      <c r="C2478" s="6" t="str">
        <f>_xll.QS.CONTEXT.CREATE("market.2476",A2478,"USD","SOFR")</f>
        <v>QSObject:PricingContext:w1~market.2476:17517</v>
      </c>
      <c r="D2478" s="6" t="str">
        <f>_xll.QS.CONTEXT.ADD.CURVE(C2478,"SOFR",$K$2:$K$7,$L$2:$L$7,,,"Actual360","LogLinear",TRUE)</f>
        <v>QSObject:ContextInput:w1~input.qs_context_add_curve.2359132437744.2477.3.0:37822</v>
      </c>
      <c r="E2478" s="6" t="str">
        <f>_xll.QS.INSTRUMENT.SWAP("swap.2476",H2478,B2478,"USD","SOFR",I2478,J2478,0,"Actual360","Simple","Annual","Annual","Annual")</f>
        <v>QSObject:Swap:w1~swap.2476:17516</v>
      </c>
      <c r="F2478" s="6" t="str">
        <f>_xll.QS.TRADE.CREATE("trade.2476",E2478,A2478,"Receive")</f>
        <v>QSObject:SwapTrade:w1~trade.2476:29293</v>
      </c>
      <c r="G2478" s="3">
        <f>_xll.QS.EVALUATE(C2478,F2478)</f>
        <v>32121.281421040505</v>
      </c>
      <c r="H2478" s="5" t="s">
        <v>1342</v>
      </c>
      <c r="I2478" s="7">
        <v>1247600</v>
      </c>
      <c r="J2478" s="8">
        <v>3.7600000000000001E-2</v>
      </c>
    </row>
    <row r="2479" spans="1:10" x14ac:dyDescent="0.25">
      <c r="A2479" s="5" t="s">
        <v>1330</v>
      </c>
      <c r="B2479" s="5" t="s">
        <v>4346</v>
      </c>
      <c r="C2479" s="6" t="str">
        <f>_xll.QS.CONTEXT.CREATE("market.2477",A2479,"USD","SOFR")</f>
        <v>QSObject:PricingContext:w1~market.2477:17515</v>
      </c>
      <c r="D2479" s="6" t="str">
        <f>_xll.QS.CONTEXT.ADD.CURVE(C2479,"SOFR",$K$2:$K$7,$L$2:$L$7,,,"Actual360","LogLinear",TRUE)</f>
        <v>QSObject:ContextInput:w1~input.qs_context_add_curve.2359132437744.2478.3.0:37821</v>
      </c>
      <c r="E2479" s="6" t="str">
        <f>_xll.QS.INSTRUMENT.SWAP("swap.2477",H2479,B2479,"USD","SOFR",I2479,J2479,0,"Actual360","Simple","Annual","Annual","Annual")</f>
        <v>QSObject:Swap:w1~swap.2477:17514</v>
      </c>
      <c r="F2479" s="6" t="str">
        <f>_xll.QS.TRADE.CREATE("trade.2477",E2479,A2479,"Receive")</f>
        <v>QSObject:SwapTrade:w1~trade.2477:29292</v>
      </c>
      <c r="G2479" s="3">
        <f>_xll.QS.EVALUATE(C2479,F2479)</f>
        <v>32607.401033108414</v>
      </c>
      <c r="H2479" s="5" t="s">
        <v>1344</v>
      </c>
      <c r="I2479" s="7">
        <v>1247700</v>
      </c>
      <c r="J2479" s="8">
        <v>3.7699999999999997E-2</v>
      </c>
    </row>
    <row r="2480" spans="1:10" x14ac:dyDescent="0.25">
      <c r="A2480" s="5" t="s">
        <v>1332</v>
      </c>
      <c r="B2480" s="5" t="s">
        <v>4347</v>
      </c>
      <c r="C2480" s="6" t="str">
        <f>_xll.QS.CONTEXT.CREATE("market.2478",A2480,"USD","SOFR")</f>
        <v>QSObject:PricingContext:w1~market.2478:17513</v>
      </c>
      <c r="D2480" s="6" t="str">
        <f>_xll.QS.CONTEXT.ADD.CURVE(C2480,"SOFR",$K$2:$K$7,$L$2:$L$7,,,"Actual360","LogLinear",TRUE)</f>
        <v>QSObject:ContextInput:w1~input.qs_context_add_curve.2359132437744.2479.3.0:37820</v>
      </c>
      <c r="E2480" s="6" t="str">
        <f>_xll.QS.INSTRUMENT.SWAP("swap.2478",H2480,B2480,"USD","SOFR",I2480,J2480,0,"Actual360","Simple","Annual","Annual","Annual")</f>
        <v>QSObject:Swap:w1~swap.2478:17512</v>
      </c>
      <c r="F2480" s="6" t="str">
        <f>_xll.QS.TRADE.CREATE("trade.2478",E2480,A2480,"Receive")</f>
        <v>QSObject:SwapTrade:w1~trade.2478:29291</v>
      </c>
      <c r="G2480" s="3">
        <f>_xll.QS.EVALUATE(C2480,F2480)</f>
        <v>33188.13123527071</v>
      </c>
      <c r="H2480" s="5" t="s">
        <v>1346</v>
      </c>
      <c r="I2480" s="7">
        <v>1247800</v>
      </c>
      <c r="J2480" s="8">
        <v>3.78E-2</v>
      </c>
    </row>
    <row r="2481" spans="1:10" x14ac:dyDescent="0.25">
      <c r="A2481" s="5" t="s">
        <v>1334</v>
      </c>
      <c r="B2481" s="5" t="s">
        <v>4348</v>
      </c>
      <c r="C2481" s="6" t="str">
        <f>_xll.QS.CONTEXT.CREATE("market.2479",A2481,"USD","SOFR")</f>
        <v>QSObject:PricingContext:w1~market.2479:17511</v>
      </c>
      <c r="D2481" s="6" t="str">
        <f>_xll.QS.CONTEXT.ADD.CURVE(C2481,"SOFR",$K$2:$K$7,$L$2:$L$7,,,"Actual360","LogLinear",TRUE)</f>
        <v>QSObject:ContextInput:w1~input.qs_context_add_curve.2359132437744.2480.3.0:37819</v>
      </c>
      <c r="E2481" s="6" t="str">
        <f>_xll.QS.INSTRUMENT.SWAP("swap.2479",H2481,B2481,"USD","SOFR",I2481,J2481,0,"Actual360","Simple","Annual","Annual","Annual")</f>
        <v>QSObject:Swap:w1~swap.2479:17510</v>
      </c>
      <c r="F2481" s="6" t="str">
        <f>_xll.QS.TRADE.CREATE("trade.2479",E2481,A2481,"Receive")</f>
        <v>QSObject:SwapTrade:w1~trade.2479:29290</v>
      </c>
      <c r="G2481" s="3">
        <f>_xll.QS.EVALUATE(C2481,F2481)</f>
        <v>33797.801851930337</v>
      </c>
      <c r="H2481" s="5" t="s">
        <v>1348</v>
      </c>
      <c r="I2481" s="7">
        <v>1247900</v>
      </c>
      <c r="J2481" s="8">
        <v>3.7900000000000003E-2</v>
      </c>
    </row>
    <row r="2482" spans="1:10" x14ac:dyDescent="0.25">
      <c r="A2482" s="5" t="s">
        <v>1336</v>
      </c>
      <c r="B2482" s="5" t="s">
        <v>4349</v>
      </c>
      <c r="C2482" s="6" t="str">
        <f>_xll.QS.CONTEXT.CREATE("market.2480",A2482,"USD","SOFR")</f>
        <v>QSObject:PricingContext:w1~market.2480:17509</v>
      </c>
      <c r="D2482" s="6" t="str">
        <f>_xll.QS.CONTEXT.ADD.CURVE(C2482,"SOFR",$K$2:$K$7,$L$2:$L$7,,,"Actual360","LogLinear",TRUE)</f>
        <v>QSObject:ContextInput:w1~input.qs_context_add_curve.2359132437744.2481.3.0:37818</v>
      </c>
      <c r="E2482" s="6" t="str">
        <f>_xll.QS.INSTRUMENT.SWAP("swap.2480",H2482,B2482,"USD","SOFR",I2482,J2482,0,"Actual360","Simple","Annual","Annual","Annual")</f>
        <v>QSObject:Swap:w1~swap.2480:17508</v>
      </c>
      <c r="F2482" s="6" t="str">
        <f>_xll.QS.TRADE.CREATE("trade.2480",E2482,A2482,"Receive")</f>
        <v>QSObject:SwapTrade:w1~trade.2480:29289</v>
      </c>
      <c r="G2482" s="3">
        <f>_xll.QS.EVALUATE(C2482,F2482)</f>
        <v>34467.2149595921</v>
      </c>
      <c r="H2482" s="5" t="s">
        <v>1350</v>
      </c>
      <c r="I2482" s="7">
        <v>1248000</v>
      </c>
      <c r="J2482" s="8">
        <v>3.8000000000000013E-2</v>
      </c>
    </row>
    <row r="2483" spans="1:10" x14ac:dyDescent="0.25">
      <c r="A2483" s="5" t="s">
        <v>1338</v>
      </c>
      <c r="B2483" s="5" t="s">
        <v>4350</v>
      </c>
      <c r="C2483" s="6" t="str">
        <f>_xll.QS.CONTEXT.CREATE("market.2481",A2483,"USD","SOFR")</f>
        <v>QSObject:PricingContext:w1~market.2481:17507</v>
      </c>
      <c r="D2483" s="6" t="str">
        <f>_xll.QS.CONTEXT.ADD.CURVE(C2483,"SOFR",$K$2:$K$7,$L$2:$L$7,,,"Actual360","LogLinear",TRUE)</f>
        <v>QSObject:ContextInput:w1~input.qs_context_add_curve.2359132437744.2482.3.0:37817</v>
      </c>
      <c r="E2483" s="6" t="str">
        <f>_xll.QS.INSTRUMENT.SWAP("swap.2481",H2483,B2483,"USD","SOFR",I2483,J2483,0,"Actual360","Simple","Annual","Annual","Annual")</f>
        <v>QSObject:Swap:w1~swap.2481:17506</v>
      </c>
      <c r="F2483" s="6" t="str">
        <f>_xll.QS.TRADE.CREATE("trade.2481",E2483,A2483,"Receive")</f>
        <v>QSObject:SwapTrade:w1~trade.2481:29288</v>
      </c>
      <c r="G2483" s="3">
        <f>_xll.QS.EVALUATE(C2483,F2483)</f>
        <v>35100.096945095778</v>
      </c>
      <c r="H2483" s="5" t="s">
        <v>1352</v>
      </c>
      <c r="I2483" s="7">
        <v>1248100</v>
      </c>
      <c r="J2483" s="8">
        <v>3.8100000000000002E-2</v>
      </c>
    </row>
    <row r="2484" spans="1:10" x14ac:dyDescent="0.25">
      <c r="A2484" s="5" t="s">
        <v>1340</v>
      </c>
      <c r="B2484" s="5" t="s">
        <v>4351</v>
      </c>
      <c r="C2484" s="6" t="str">
        <f>_xll.QS.CONTEXT.CREATE("market.2482",A2484,"USD","SOFR")</f>
        <v>QSObject:PricingContext:w1~market.2482:17505</v>
      </c>
      <c r="D2484" s="6" t="str">
        <f>_xll.QS.CONTEXT.ADD.CURVE(C2484,"SOFR",$K$2:$K$7,$L$2:$L$7,,,"Actual360","LogLinear",TRUE)</f>
        <v>QSObject:ContextInput:w1~input.qs_context_add_curve.2359132437744.2483.3.0:37816</v>
      </c>
      <c r="E2484" s="6" t="str">
        <f>_xll.QS.INSTRUMENT.SWAP("swap.2482",H2484,B2484,"USD","SOFR",I2484,J2484,0,"Actual360","Simple","Annual","Annual","Annual")</f>
        <v>QSObject:Swap:w1~swap.2482:17504</v>
      </c>
      <c r="F2484" s="6" t="str">
        <f>_xll.QS.TRADE.CREATE("trade.2482",E2484,A2484,"Receive")</f>
        <v>QSObject:SwapTrade:w1~trade.2482:29287</v>
      </c>
      <c r="G2484" s="3">
        <f>_xll.QS.EVALUATE(C2484,F2484)</f>
        <v>35630.361069156264</v>
      </c>
      <c r="H2484" s="5" t="s">
        <v>1354</v>
      </c>
      <c r="I2484" s="7">
        <v>1248200</v>
      </c>
      <c r="J2484" s="8">
        <v>3.8199999999999998E-2</v>
      </c>
    </row>
    <row r="2485" spans="1:10" x14ac:dyDescent="0.25">
      <c r="A2485" s="5" t="s">
        <v>1342</v>
      </c>
      <c r="B2485" s="5" t="s">
        <v>4352</v>
      </c>
      <c r="C2485" s="6" t="str">
        <f>_xll.QS.CONTEXT.CREATE("market.2483",A2485,"USD","SOFR")</f>
        <v>QSObject:PricingContext:w1~market.2483:17503</v>
      </c>
      <c r="D2485" s="6" t="str">
        <f>_xll.QS.CONTEXT.ADD.CURVE(C2485,"SOFR",$K$2:$K$7,$L$2:$L$7,,,"Actual360","LogLinear",TRUE)</f>
        <v>QSObject:ContextInput:w1~input.qs_context_add_curve.2359132437744.2484.3.0:37815</v>
      </c>
      <c r="E2485" s="6" t="str">
        <f>_xll.QS.INSTRUMENT.SWAP("swap.2483",H2485,B2485,"USD","SOFR",I2485,J2485,0,"Actual360","Simple","Annual","Annual","Annual")</f>
        <v>QSObject:Swap:w1~swap.2483:17502</v>
      </c>
      <c r="F2485" s="6" t="str">
        <f>_xll.QS.TRADE.CREATE("trade.2483",E2485,A2485,"Receive")</f>
        <v>QSObject:SwapTrade:w1~trade.2483:29286</v>
      </c>
      <c r="G2485" s="3">
        <f>_xll.QS.EVALUATE(C2485,F2485)</f>
        <v>36113.607432386067</v>
      </c>
      <c r="H2485" s="5" t="s">
        <v>1356</v>
      </c>
      <c r="I2485" s="7">
        <v>1248300</v>
      </c>
      <c r="J2485" s="8">
        <v>3.8300000000000001E-2</v>
      </c>
    </row>
    <row r="2486" spans="1:10" x14ac:dyDescent="0.25">
      <c r="A2486" s="5" t="s">
        <v>1344</v>
      </c>
      <c r="B2486" s="5" t="s">
        <v>4353</v>
      </c>
      <c r="C2486" s="6" t="str">
        <f>_xll.QS.CONTEXT.CREATE("market.2484",A2486,"USD","SOFR")</f>
        <v>QSObject:PricingContext:w1~market.2484:17501</v>
      </c>
      <c r="D2486" s="6" t="str">
        <f>_xll.QS.CONTEXT.ADD.CURVE(C2486,"SOFR",$K$2:$K$7,$L$2:$L$7,,,"Actual360","LogLinear",TRUE)</f>
        <v>QSObject:ContextInput:w1~input.qs_context_add_curve.2359132437744.2485.3.0:37814</v>
      </c>
      <c r="E2486" s="6" t="str">
        <f>_xll.QS.INSTRUMENT.SWAP("swap.2484",H2486,B2486,"USD","SOFR",I2486,J2486,0,"Actual360","Simple","Annual","Annual","Annual")</f>
        <v>QSObject:Swap:w1~swap.2484:17500</v>
      </c>
      <c r="F2486" s="6" t="str">
        <f>_xll.QS.TRADE.CREATE("trade.2484",E2486,A2486,"Receive")</f>
        <v>QSObject:SwapTrade:w1~trade.2484:29285</v>
      </c>
      <c r="G2486" s="3">
        <f>_xll.QS.EVALUATE(C2486,F2486)</f>
        <v>36606.729417558592</v>
      </c>
      <c r="H2486" s="5" t="s">
        <v>1358</v>
      </c>
      <c r="I2486" s="7">
        <v>1248400</v>
      </c>
      <c r="J2486" s="8">
        <v>3.8399999999999997E-2</v>
      </c>
    </row>
    <row r="2487" spans="1:10" x14ac:dyDescent="0.25">
      <c r="A2487" s="5" t="s">
        <v>1346</v>
      </c>
      <c r="B2487" s="5" t="s">
        <v>4354</v>
      </c>
      <c r="C2487" s="6" t="str">
        <f>_xll.QS.CONTEXT.CREATE("market.2485",A2487,"USD","SOFR")</f>
        <v>QSObject:PricingContext:w1~market.2485:17499</v>
      </c>
      <c r="D2487" s="6" t="str">
        <f>_xll.QS.CONTEXT.ADD.CURVE(C2487,"SOFR",$K$2:$K$7,$L$2:$L$7,,,"Actual360","LogLinear",TRUE)</f>
        <v>QSObject:ContextInput:w1~input.qs_context_add_curve.2359132437744.2486.3.0:37813</v>
      </c>
      <c r="E2487" s="6" t="str">
        <f>_xll.QS.INSTRUMENT.SWAP("swap.2485",H2487,B2487,"USD","SOFR",I2487,J2487,0,"Actual360","Simple","Annual","Annual","Annual")</f>
        <v>QSObject:Swap:w1~swap.2485:17498</v>
      </c>
      <c r="F2487" s="6" t="str">
        <f>_xll.QS.TRADE.CREATE("trade.2485",E2487,A2487,"Receive")</f>
        <v>QSObject:SwapTrade:w1~trade.2485:29284</v>
      </c>
      <c r="G2487" s="3">
        <f>_xll.QS.EVALUATE(C2487,F2487)</f>
        <v>37238.767931002985</v>
      </c>
      <c r="H2487" s="5" t="s">
        <v>1360</v>
      </c>
      <c r="I2487" s="7">
        <v>1248500</v>
      </c>
      <c r="J2487" s="8">
        <v>3.8500000000000013E-2</v>
      </c>
    </row>
    <row r="2488" spans="1:10" x14ac:dyDescent="0.25">
      <c r="A2488" s="5" t="s">
        <v>1348</v>
      </c>
      <c r="B2488" s="5" t="s">
        <v>4355</v>
      </c>
      <c r="C2488" s="6" t="str">
        <f>_xll.QS.CONTEXT.CREATE("market.2486",A2488,"USD","SOFR")</f>
        <v>QSObject:PricingContext:w1~market.2486:17497</v>
      </c>
      <c r="D2488" s="6" t="str">
        <f>_xll.QS.CONTEXT.ADD.CURVE(C2488,"SOFR",$K$2:$K$7,$L$2:$L$7,,,"Actual360","LogLinear",TRUE)</f>
        <v>QSObject:ContextInput:w1~input.qs_context_add_curve.2359132437744.2487.3.0:37812</v>
      </c>
      <c r="E2488" s="6" t="str">
        <f>_xll.QS.INSTRUMENT.SWAP("swap.2486",H2488,B2488,"USD","SOFR",I2488,J2488,0,"Actual360","Simple","Annual","Annual","Annual")</f>
        <v>QSObject:Swap:w1~swap.2486:17496</v>
      </c>
      <c r="F2488" s="6" t="str">
        <f>_xll.QS.TRADE.CREATE("trade.2486",E2488,A2488,"Receive")</f>
        <v>QSObject:SwapTrade:w1~trade.2486:29283</v>
      </c>
      <c r="G2488" s="3">
        <f>_xll.QS.EVALUATE(C2488,F2488)</f>
        <v>37847.146804259413</v>
      </c>
      <c r="H2488" s="5" t="s">
        <v>1362</v>
      </c>
      <c r="I2488" s="7">
        <v>1248600</v>
      </c>
      <c r="J2488" s="8">
        <v>3.8600000000000002E-2</v>
      </c>
    </row>
    <row r="2489" spans="1:10" x14ac:dyDescent="0.25">
      <c r="A2489" s="5" t="s">
        <v>1350</v>
      </c>
      <c r="B2489" s="5" t="s">
        <v>4356</v>
      </c>
      <c r="C2489" s="6" t="str">
        <f>_xll.QS.CONTEXT.CREATE("market.2487",A2489,"USD","SOFR")</f>
        <v>QSObject:PricingContext:w1~market.2487:17495</v>
      </c>
      <c r="D2489" s="6" t="str">
        <f>_xll.QS.CONTEXT.ADD.CURVE(C2489,"SOFR",$K$2:$K$7,$L$2:$L$7,,,"Actual360","LogLinear",TRUE)</f>
        <v>QSObject:ContextInput:w1~input.qs_context_add_curve.2359132437744.2488.3.0:37811</v>
      </c>
      <c r="E2489" s="6" t="str">
        <f>_xll.QS.INSTRUMENT.SWAP("swap.2487",H2489,B2489,"USD","SOFR",I2489,J2489,0,"Actual360","Simple","Annual","Annual","Annual")</f>
        <v>QSObject:Swap:w1~swap.2487:17494</v>
      </c>
      <c r="F2489" s="6" t="str">
        <f>_xll.QS.TRADE.CREATE("trade.2487",E2489,A2489,"Receive")</f>
        <v>QSObject:SwapTrade:w1~trade.2487:29282</v>
      </c>
      <c r="G2489" s="3">
        <f>_xll.QS.EVALUATE(C2489,F2489)</f>
        <v>38517.501370923099</v>
      </c>
      <c r="H2489" s="5" t="s">
        <v>1364</v>
      </c>
      <c r="I2489" s="7">
        <v>1248700</v>
      </c>
      <c r="J2489" s="8">
        <v>3.8700000000000012E-2</v>
      </c>
    </row>
    <row r="2490" spans="1:10" x14ac:dyDescent="0.25">
      <c r="A2490" s="5" t="s">
        <v>1352</v>
      </c>
      <c r="B2490" s="5" t="s">
        <v>4357</v>
      </c>
      <c r="C2490" s="6" t="str">
        <f>_xll.QS.CONTEXT.CREATE("market.2488",A2490,"USD","SOFR")</f>
        <v>QSObject:PricingContext:w1~market.2488:17493</v>
      </c>
      <c r="D2490" s="6" t="str">
        <f>_xll.QS.CONTEXT.ADD.CURVE(C2490,"SOFR",$K$2:$K$7,$L$2:$L$7,,,"Actual360","LogLinear",TRUE)</f>
        <v>QSObject:ContextInput:w1~input.qs_context_add_curve.2359132437744.2489.3.0:37810</v>
      </c>
      <c r="E2490" s="6" t="str">
        <f>_xll.QS.INSTRUMENT.SWAP("swap.2488",H2490,B2490,"USD","SOFR",I2490,J2490,0,"Actual360","Simple","Annual","Annual","Annual")</f>
        <v>QSObject:Swap:w1~swap.2488:17492</v>
      </c>
      <c r="F2490" s="6" t="str">
        <f>_xll.QS.TRADE.CREATE("trade.2488",E2490,A2490,"Receive")</f>
        <v>QSObject:SwapTrade:w1~trade.2488:29281</v>
      </c>
      <c r="G2490" s="3">
        <f>_xll.QS.EVALUATE(C2490,F2490)</f>
        <v>39151.26668126334</v>
      </c>
      <c r="H2490" s="5" t="s">
        <v>1366</v>
      </c>
      <c r="I2490" s="7">
        <v>1248800</v>
      </c>
      <c r="J2490" s="8">
        <v>3.8800000000000001E-2</v>
      </c>
    </row>
    <row r="2491" spans="1:10" x14ac:dyDescent="0.25">
      <c r="A2491" s="5" t="s">
        <v>1354</v>
      </c>
      <c r="B2491" s="5" t="s">
        <v>4358</v>
      </c>
      <c r="C2491" s="6" t="str">
        <f>_xll.QS.CONTEXT.CREATE("market.2489",A2491,"USD","SOFR")</f>
        <v>QSObject:PricingContext:w1~market.2489:17491</v>
      </c>
      <c r="D2491" s="6" t="str">
        <f>_xll.QS.CONTEXT.ADD.CURVE(C2491,"SOFR",$K$2:$K$7,$L$2:$L$7,,,"Actual360","LogLinear",TRUE)</f>
        <v>QSObject:ContextInput:w1~input.qs_context_add_curve.2359132437744.2490.3.0:37809</v>
      </c>
      <c r="E2491" s="6" t="str">
        <f>_xll.QS.INSTRUMENT.SWAP("swap.2489",H2491,B2491,"USD","SOFR",I2491,J2491,0,"Actual360","Simple","Annual","Annual","Annual")</f>
        <v>QSObject:Swap:w1~swap.2489:17490</v>
      </c>
      <c r="F2491" s="6" t="str">
        <f>_xll.QS.TRADE.CREATE("trade.2489",E2491,A2491,"Receive")</f>
        <v>QSObject:SwapTrade:w1~trade.2489:29280</v>
      </c>
      <c r="G2491" s="3">
        <f>_xll.QS.EVALUATE(C2491,F2491)</f>
        <v>39681.760095702295</v>
      </c>
      <c r="H2491" s="5" t="s">
        <v>1368</v>
      </c>
      <c r="I2491" s="7">
        <v>1248900</v>
      </c>
      <c r="J2491" s="8">
        <v>3.8899999999999997E-2</v>
      </c>
    </row>
    <row r="2492" spans="1:10" x14ac:dyDescent="0.25">
      <c r="A2492" s="5" t="s">
        <v>1356</v>
      </c>
      <c r="B2492" s="5" t="s">
        <v>4359</v>
      </c>
      <c r="C2492" s="6" t="str">
        <f>_xll.QS.CONTEXT.CREATE("market.2490",A2492,"USD","SOFR")</f>
        <v>QSObject:PricingContext:w1~market.2490:17489</v>
      </c>
      <c r="D2492" s="6" t="str">
        <f>_xll.QS.CONTEXT.ADD.CURVE(C2492,"SOFR",$K$2:$K$7,$L$2:$L$7,,,"Actual360","LogLinear",TRUE)</f>
        <v>QSObject:ContextInput:w1~input.qs_context_add_curve.2359132437744.2491.3.0:37808</v>
      </c>
      <c r="E2492" s="6" t="str">
        <f>_xll.QS.INSTRUMENT.SWAP("swap.2490",H2492,B2492,"USD","SOFR",I2492,J2492,0,"Actual360","Simple","Annual","Annual","Annual")</f>
        <v>QSObject:Swap:w1~swap.2490:17488</v>
      </c>
      <c r="F2492" s="6" t="str">
        <f>_xll.QS.TRADE.CREATE("trade.2490",E2492,A2492,"Receive")</f>
        <v>QSObject:SwapTrade:w1~trade.2490:29279</v>
      </c>
      <c r="G2492" s="3">
        <f>_xll.QS.EVALUATE(C2492,F2492)</f>
        <v>40160.850837891849</v>
      </c>
      <c r="H2492" s="5" t="s">
        <v>1370</v>
      </c>
      <c r="I2492" s="7">
        <v>1249000</v>
      </c>
      <c r="J2492" s="8">
        <v>3.9000000000000007E-2</v>
      </c>
    </row>
    <row r="2493" spans="1:10" x14ac:dyDescent="0.25">
      <c r="A2493" s="5" t="s">
        <v>1358</v>
      </c>
      <c r="B2493" s="5" t="s">
        <v>4360</v>
      </c>
      <c r="C2493" s="6" t="str">
        <f>_xll.QS.CONTEXT.CREATE("market.2491",A2493,"USD","SOFR")</f>
        <v>QSObject:PricingContext:w1~market.2491:17487</v>
      </c>
      <c r="D2493" s="6" t="str">
        <f>_xll.QS.CONTEXT.ADD.CURVE(C2493,"SOFR",$K$2:$K$7,$L$2:$L$7,,,"Actual360","LogLinear",TRUE)</f>
        <v>QSObject:ContextInput:w1~input.qs_context_add_curve.2359132437744.2492.3.0:37807</v>
      </c>
      <c r="E2493" s="6" t="str">
        <f>_xll.QS.INSTRUMENT.SWAP("swap.2491",H2493,B2493,"USD","SOFR",I2493,J2493,0,"Actual360","Simple","Annual","Annual","Annual")</f>
        <v>QSObject:Swap:w1~swap.2491:17486</v>
      </c>
      <c r="F2493" s="6" t="str">
        <f>_xll.QS.TRADE.CREATE("trade.2491",E2493,A2493,"Receive")</f>
        <v>QSObject:SwapTrade:w1~trade.2491:29278</v>
      </c>
      <c r="G2493" s="3">
        <f>_xll.QS.EVALUATE(C2493,F2493)</f>
        <v>40660.821141921471</v>
      </c>
      <c r="H2493" s="5" t="s">
        <v>1372</v>
      </c>
      <c r="I2493" s="7">
        <v>1249100</v>
      </c>
      <c r="J2493" s="8">
        <v>3.9100000000000003E-2</v>
      </c>
    </row>
    <row r="2494" spans="1:10" x14ac:dyDescent="0.25">
      <c r="A2494" s="5" t="s">
        <v>1360</v>
      </c>
      <c r="B2494" s="5" t="s">
        <v>4361</v>
      </c>
      <c r="C2494" s="6" t="str">
        <f>_xll.QS.CONTEXT.CREATE("market.2492",A2494,"USD","SOFR")</f>
        <v>QSObject:PricingContext:w1~market.2492:17485</v>
      </c>
      <c r="D2494" s="6" t="str">
        <f>_xll.QS.CONTEXT.ADD.CURVE(C2494,"SOFR",$K$2:$K$7,$L$2:$L$7,,,"Actual360","LogLinear",TRUE)</f>
        <v>QSObject:ContextInput:w1~input.qs_context_add_curve.2359132437744.2493.3.0:37806</v>
      </c>
      <c r="E2494" s="6" t="str">
        <f>_xll.QS.INSTRUMENT.SWAP("swap.2492",H2494,B2494,"USD","SOFR",I2494,J2494,0,"Actual360","Simple","Annual","Annual","Annual")</f>
        <v>QSObject:Swap:w1~swap.2492:17484</v>
      </c>
      <c r="F2494" s="6" t="str">
        <f>_xll.QS.TRADE.CREATE("trade.2492",E2494,A2494,"Receive")</f>
        <v>QSObject:SwapTrade:w1~trade.2492:29277</v>
      </c>
      <c r="G2494" s="3">
        <f>_xll.QS.EVALUATE(C2494,F2494)</f>
        <v>41293.766581914657</v>
      </c>
      <c r="H2494" s="5" t="s">
        <v>1374</v>
      </c>
      <c r="I2494" s="7">
        <v>1249200</v>
      </c>
      <c r="J2494" s="8">
        <v>3.9200000000000013E-2</v>
      </c>
    </row>
    <row r="2495" spans="1:10" x14ac:dyDescent="0.25">
      <c r="A2495" s="5" t="s">
        <v>1362</v>
      </c>
      <c r="B2495" s="5" t="s">
        <v>4362</v>
      </c>
      <c r="C2495" s="6" t="str">
        <f>_xll.QS.CONTEXT.CREATE("market.2493",A2495,"USD","SOFR")</f>
        <v>QSObject:PricingContext:w1~market.2493:17483</v>
      </c>
      <c r="D2495" s="6" t="str">
        <f>_xll.QS.CONTEXT.ADD.CURVE(C2495,"SOFR",$K$2:$K$7,$L$2:$L$7,,,"Actual360","LogLinear",TRUE)</f>
        <v>QSObject:ContextInput:w1~input.qs_context_add_curve.2359132437744.2494.3.0:37805</v>
      </c>
      <c r="E2495" s="6" t="str">
        <f>_xll.QS.INSTRUMENT.SWAP("swap.2493",H2495,B2495,"USD","SOFR",I2495,J2495,0,"Actual360","Simple","Annual","Annual","Annual")</f>
        <v>QSObject:Swap:w1~swap.2493:17482</v>
      </c>
      <c r="F2495" s="6" t="str">
        <f>_xll.QS.TRADE.CREATE("trade.2493",E2495,A2495,"Receive")</f>
        <v>QSObject:SwapTrade:w1~trade.2493:29276</v>
      </c>
      <c r="G2495" s="3">
        <f>_xll.QS.EVALUATE(C2495,F2495)</f>
        <v>41900.138218793232</v>
      </c>
      <c r="H2495" s="5" t="s">
        <v>1376</v>
      </c>
      <c r="I2495" s="7">
        <v>1249300</v>
      </c>
      <c r="J2495" s="8">
        <v>3.9300000000000002E-2</v>
      </c>
    </row>
    <row r="2496" spans="1:10" x14ac:dyDescent="0.25">
      <c r="A2496" s="5" t="s">
        <v>1364</v>
      </c>
      <c r="B2496" s="5" t="s">
        <v>4363</v>
      </c>
      <c r="C2496" s="6" t="str">
        <f>_xll.QS.CONTEXT.CREATE("market.2494",A2496,"USD","SOFR")</f>
        <v>QSObject:PricingContext:w1~market.2494:17481</v>
      </c>
      <c r="D2496" s="6" t="str">
        <f>_xll.QS.CONTEXT.ADD.CURVE(C2496,"SOFR",$K$2:$K$7,$L$2:$L$7,,,"Actual360","LogLinear",TRUE)</f>
        <v>QSObject:ContextInput:w1~input.qs_context_add_curve.2359132437744.2495.3.0:37804</v>
      </c>
      <c r="E2496" s="6" t="str">
        <f>_xll.QS.INSTRUMENT.SWAP("swap.2494",H2496,B2496,"USD","SOFR",I2496,J2496,0,"Actual360","Simple","Annual","Annual","Annual")</f>
        <v>QSObject:Swap:w1~swap.2494:17480</v>
      </c>
      <c r="F2496" s="6" t="str">
        <f>_xll.QS.TRADE.CREATE("trade.2494",E2496,A2496,"Receive")</f>
        <v>QSObject:SwapTrade:w1~trade.2494:29275</v>
      </c>
      <c r="G2496" s="3">
        <f>_xll.QS.EVALUATE(C2496,F2496)</f>
        <v>42571.93713209009</v>
      </c>
      <c r="H2496" s="5" t="s">
        <v>1378</v>
      </c>
      <c r="I2496" s="7">
        <v>1249400</v>
      </c>
      <c r="J2496" s="8">
        <v>3.9399999999999998E-2</v>
      </c>
    </row>
    <row r="2497" spans="1:10" x14ac:dyDescent="0.25">
      <c r="A2497" s="5" t="s">
        <v>1366</v>
      </c>
      <c r="B2497" s="5" t="s">
        <v>4364</v>
      </c>
      <c r="C2497" s="6" t="str">
        <f>_xll.QS.CONTEXT.CREATE("market.2495",A2497,"USD","SOFR")</f>
        <v>QSObject:PricingContext:w1~market.2495:17479</v>
      </c>
      <c r="D2497" s="6" t="str">
        <f>_xll.QS.CONTEXT.ADD.CURVE(C2497,"SOFR",$K$2:$K$7,$L$2:$L$7,,,"Actual360","LogLinear",TRUE)</f>
        <v>QSObject:ContextInput:w1~input.qs_context_add_curve.2359132437744.2496.3.0:37803</v>
      </c>
      <c r="E2497" s="6" t="str">
        <f>_xll.QS.INSTRUMENT.SWAP("swap.2495",H2497,B2497,"USD","SOFR",I2497,J2497,0,"Actual360","Simple","Annual","Annual","Annual")</f>
        <v>QSObject:Swap:w1~swap.2495:17478</v>
      </c>
      <c r="F2497" s="6" t="str">
        <f>_xll.QS.TRADE.CREATE("trade.2495",E2497,A2497,"Receive")</f>
        <v>QSObject:SwapTrade:w1~trade.2495:29274</v>
      </c>
      <c r="G2497" s="3">
        <f>_xll.QS.EVALUATE(C2497,F2497)</f>
        <v>43206.264141110791</v>
      </c>
      <c r="H2497" s="5" t="s">
        <v>1380</v>
      </c>
      <c r="I2497" s="7">
        <v>1249500</v>
      </c>
      <c r="J2497" s="8">
        <v>3.9500000000000007E-2</v>
      </c>
    </row>
    <row r="2498" spans="1:10" x14ac:dyDescent="0.25">
      <c r="A2498" s="5" t="s">
        <v>1368</v>
      </c>
      <c r="B2498" s="5" t="s">
        <v>4365</v>
      </c>
      <c r="C2498" s="6" t="str">
        <f>_xll.QS.CONTEXT.CREATE("market.2496",A2498,"USD","SOFR")</f>
        <v>QSObject:PricingContext:w1~market.2496:17477</v>
      </c>
      <c r="D2498" s="6" t="str">
        <f>_xll.QS.CONTEXT.ADD.CURVE(C2498,"SOFR",$K$2:$K$7,$L$2:$L$7,,,"Actual360","LogLinear",TRUE)</f>
        <v>QSObject:ContextInput:w1~input.qs_context_add_curve.2359132437744.2497.3.0:37802</v>
      </c>
      <c r="E2498" s="6" t="str">
        <f>_xll.QS.INSTRUMENT.SWAP("swap.2496",H2498,B2498,"USD","SOFR",I2498,J2498,0,"Actual360","Simple","Annual","Annual","Annual")</f>
        <v>QSObject:Swap:w1~swap.2496:17476</v>
      </c>
      <c r="F2498" s="6" t="str">
        <f>_xll.QS.TRADE.CREATE("trade.2496",E2498,A2498,"Receive")</f>
        <v>QSObject:SwapTrade:w1~trade.2496:29273</v>
      </c>
      <c r="G2498" s="3">
        <f>_xll.QS.EVALUATE(C2498,F2498)</f>
        <v>43737.678286433569</v>
      </c>
      <c r="H2498" s="5" t="s">
        <v>1382</v>
      </c>
      <c r="I2498" s="7">
        <v>1249600</v>
      </c>
      <c r="J2498" s="8">
        <v>3.9600000000000003E-2</v>
      </c>
    </row>
    <row r="2499" spans="1:10" x14ac:dyDescent="0.25">
      <c r="A2499" s="5" t="s">
        <v>1370</v>
      </c>
      <c r="B2499" s="5" t="s">
        <v>4366</v>
      </c>
      <c r="C2499" s="6" t="str">
        <f>_xll.QS.CONTEXT.CREATE("market.2497",A2499,"USD","SOFR")</f>
        <v>QSObject:PricingContext:w1~market.2497:17475</v>
      </c>
      <c r="D2499" s="6" t="str">
        <f>_xll.QS.CONTEXT.ADD.CURVE(C2499,"SOFR",$K$2:$K$7,$L$2:$L$7,,,"Actual360","LogLinear",TRUE)</f>
        <v>QSObject:ContextInput:w1~input.qs_context_add_curve.2359132437744.2498.3.0:37801</v>
      </c>
      <c r="E2499" s="6" t="str">
        <f>_xll.QS.INSTRUMENT.SWAP("swap.2497",H2499,B2499,"USD","SOFR",I2499,J2499,0,"Actual360","Simple","Annual","Annual","Annual")</f>
        <v>QSObject:Swap:w1~swap.2497:17474</v>
      </c>
      <c r="F2499" s="6" t="str">
        <f>_xll.QS.TRADE.CREATE("trade.2497",E2499,A2499,"Receive")</f>
        <v>QSObject:SwapTrade:w1~trade.2497:29272</v>
      </c>
      <c r="G2499" s="3">
        <f>_xll.QS.EVALUATE(C2499,F2499)</f>
        <v>44184.957524865167</v>
      </c>
      <c r="H2499" s="5" t="s">
        <v>1384</v>
      </c>
      <c r="I2499" s="7">
        <v>1249700</v>
      </c>
      <c r="J2499" s="8">
        <v>3.9700000000000013E-2</v>
      </c>
    </row>
    <row r="2500" spans="1:10" x14ac:dyDescent="0.25">
      <c r="A2500" s="5" t="s">
        <v>1372</v>
      </c>
      <c r="B2500" s="5" t="s">
        <v>4367</v>
      </c>
      <c r="C2500" s="6" t="str">
        <f>_xll.QS.CONTEXT.CREATE("market.2498",A2500,"USD","SOFR")</f>
        <v>QSObject:PricingContext:w1~market.2498:17473</v>
      </c>
      <c r="D2500" s="6" t="str">
        <f>_xll.QS.CONTEXT.ADD.CURVE(C2500,"SOFR",$K$2:$K$7,$L$2:$L$7,,,"Actual360","LogLinear",TRUE)</f>
        <v>QSObject:ContextInput:w1~input.qs_context_add_curve.2359132437744.2499.3.0:37800</v>
      </c>
      <c r="E2500" s="6" t="str">
        <f>_xll.QS.INSTRUMENT.SWAP("swap.2498",H2500,B2500,"USD","SOFR",I2500,J2500,0,"Actual360","Simple","Annual","Annual","Annual")</f>
        <v>QSObject:Swap:w1~swap.2498:17472</v>
      </c>
      <c r="F2500" s="6" t="str">
        <f>_xll.QS.TRADE.CREATE("trade.2498",E2500,A2500,"Receive")</f>
        <v>QSObject:SwapTrade:w1~trade.2498:29271</v>
      </c>
      <c r="G2500" s="3">
        <f>_xll.QS.EVALUATE(C2500,F2500)</f>
        <v>44666.090490789611</v>
      </c>
      <c r="H2500" s="5" t="s">
        <v>1386</v>
      </c>
      <c r="I2500" s="7">
        <v>1249800</v>
      </c>
      <c r="J2500" s="8">
        <v>3.9800000000000002E-2</v>
      </c>
    </row>
    <row r="2501" spans="1:10" x14ac:dyDescent="0.25">
      <c r="A2501" s="5" t="s">
        <v>1374</v>
      </c>
      <c r="B2501" s="5" t="s">
        <v>4368</v>
      </c>
      <c r="C2501" s="6" t="str">
        <f>_xll.QS.CONTEXT.CREATE("market.2499",A2501,"USD","SOFR")</f>
        <v>QSObject:PricingContext:w1~market.2499:17471</v>
      </c>
      <c r="D2501" s="6" t="str">
        <f>_xll.QS.CONTEXT.ADD.CURVE(C2501,"SOFR",$K$2:$K$7,$L$2:$L$7,,,"Actual360","LogLinear",TRUE)</f>
        <v>QSObject:ContextInput:w1~input.qs_context_add_curve.2359132437744.2500.3.0:37799</v>
      </c>
      <c r="E2501" s="6" t="str">
        <f>_xll.QS.INSTRUMENT.SWAP("swap.2499",H2501,B2501,"USD","SOFR",I2501,J2501,0,"Actual360","Simple","Annual","Annual","Annual")</f>
        <v>QSObject:Swap:w1~swap.2499:17470</v>
      </c>
      <c r="F2501" s="6" t="str">
        <f>_xll.QS.TRADE.CREATE("trade.2499",E2501,A2501,"Receive")</f>
        <v>QSObject:SwapTrade:w1~trade.2499:29270</v>
      </c>
      <c r="G2501" s="3">
        <f>_xll.QS.EVALUATE(C2501,F2501)</f>
        <v>45300.07004430185</v>
      </c>
      <c r="H2501" s="5" t="s">
        <v>1388</v>
      </c>
      <c r="I2501" s="7">
        <v>1249900</v>
      </c>
      <c r="J2501" s="8">
        <v>3.9899999999999998E-2</v>
      </c>
    </row>
    <row r="2502" spans="1:10" x14ac:dyDescent="0.25">
      <c r="A2502" s="5" t="s">
        <v>1376</v>
      </c>
      <c r="B2502" s="5" t="s">
        <v>4369</v>
      </c>
      <c r="C2502" s="6" t="str">
        <f>_xll.QS.CONTEXT.CREATE("market.2500",A2502,"USD","SOFR")</f>
        <v>QSObject:PricingContext:w1~market.2500:12808</v>
      </c>
      <c r="D2502" s="6" t="str">
        <f>_xll.QS.CONTEXT.ADD.CURVE(C2502,"SOFR",$K$2:$K$7,$L$2:$L$7,,,"Actual360","LogLinear",TRUE)</f>
        <v>QSObject:ContextInput:w1~input.qs_context_add_curve.2359132437744.2501.3.0:14445</v>
      </c>
      <c r="E2502" s="6" t="str">
        <f>_xll.QS.INSTRUMENT.SWAP("swap.2500",H2502,B2502,"USD","SOFR",I2502,J2502,0,"Actual360","Simple","Annual","Annual","Annual")</f>
        <v>QSObject:Swap:w1~swap.2500:8070</v>
      </c>
      <c r="F2502" s="6" t="str">
        <f>_xll.QS.TRADE.CREATE("trade.2500",E2502,A2502,"Receive")</f>
        <v>QSObject:SwapTrade:w1~trade.2500:29269</v>
      </c>
      <c r="G2502" s="3">
        <f>_xll.QS.EVALUATE(C2502,F2502)</f>
        <v>17099.887691057644</v>
      </c>
      <c r="H2502" s="5" t="s">
        <v>1390</v>
      </c>
      <c r="I2502" s="7">
        <v>1250000</v>
      </c>
      <c r="J2502" s="8">
        <v>3.5000000000000003E-2</v>
      </c>
    </row>
    <row r="2503" spans="1:10" x14ac:dyDescent="0.25">
      <c r="A2503" s="5" t="s">
        <v>1378</v>
      </c>
      <c r="B2503" s="5" t="s">
        <v>4370</v>
      </c>
      <c r="C2503" s="6" t="str">
        <f>_xll.QS.CONTEXT.CREATE("market.2501",A2503,"USD","SOFR")</f>
        <v>QSObject:PricingContext:w1~market.2501:11303</v>
      </c>
      <c r="D2503" s="6" t="str">
        <f>_xll.QS.CONTEXT.ADD.CURVE(C2503,"SOFR",$K$2:$K$7,$L$2:$L$7,,,"Actual360","LogLinear",TRUE)</f>
        <v>QSObject:ContextInput:w1~input.qs_context_add_curve.2359132437744.2502.3.0:29268</v>
      </c>
      <c r="E2503" s="6" t="str">
        <f>_xll.QS.INSTRUMENT.SWAP("swap.2501",H2503,B2503,"USD","SOFR",I2503,J2503,0,"Actual360","Simple","Annual","Annual","Annual")</f>
        <v>QSObject:Swap:w1~swap.2501:1793</v>
      </c>
      <c r="F2503" s="6" t="str">
        <f>_xll.QS.TRADE.CREATE("trade.2501",E2503,A2503,"Receive")</f>
        <v>QSObject:SwapTrade:w1~trade.2501:17113</v>
      </c>
      <c r="G2503" s="3">
        <f>_xll.QS.EVALUATE(C2503,F2503)</f>
        <v>17853.719360964256</v>
      </c>
      <c r="H2503" s="5" t="s">
        <v>1392</v>
      </c>
      <c r="I2503" s="7">
        <v>1250100</v>
      </c>
      <c r="J2503" s="8">
        <v>3.5100000000000013E-2</v>
      </c>
    </row>
    <row r="2504" spans="1:10" x14ac:dyDescent="0.25">
      <c r="A2504" s="5" t="s">
        <v>1380</v>
      </c>
      <c r="B2504" s="5" t="s">
        <v>4371</v>
      </c>
      <c r="C2504" s="6" t="str">
        <f>_xll.QS.CONTEXT.CREATE("market.2502",A2504,"USD","SOFR")</f>
        <v>QSObject:PricingContext:w1~market.2502:6465</v>
      </c>
      <c r="D2504" s="6" t="str">
        <f>_xll.QS.CONTEXT.ADD.CURVE(C2504,"SOFR",$K$2:$K$7,$L$2:$L$7,,,"Actual360","LogLinear",TRUE)</f>
        <v>QSObject:ContextInput:w1~input.qs_context_add_curve.2359132437744.2503.3.0:12807</v>
      </c>
      <c r="E2504" s="6" t="str">
        <f>_xll.QS.INSTRUMENT.SWAP("swap.2502",H2504,B2504,"USD","SOFR",I2504,J2504,0,"Actual360","Simple","Annual","Annual","Annual")</f>
        <v>QSObject:Swap:w1~swap.2502:3320</v>
      </c>
      <c r="F2504" s="6" t="str">
        <f>_xll.QS.TRADE.CREATE("trade.2502",E2504,A2504,"Receive")</f>
        <v>QSObject:SwapTrade:w1~trade.2502:14444</v>
      </c>
      <c r="G2504" s="3">
        <f>_xll.QS.EVALUATE(C2504,F2504)</f>
        <v>18442.978815116126</v>
      </c>
      <c r="H2504" s="5" t="s">
        <v>1394</v>
      </c>
      <c r="I2504" s="7">
        <v>1250200</v>
      </c>
      <c r="J2504" s="8">
        <v>3.5200000000000002E-2</v>
      </c>
    </row>
    <row r="2505" spans="1:10" x14ac:dyDescent="0.25">
      <c r="A2505" s="5" t="s">
        <v>1382</v>
      </c>
      <c r="B2505" s="5" t="s">
        <v>4372</v>
      </c>
      <c r="C2505" s="6" t="str">
        <f>_xll.QS.CONTEXT.CREATE("market.2503",A2505,"USD","SOFR")</f>
        <v>QSObject:PricingContext:w1~market.2503:11302</v>
      </c>
      <c r="D2505" s="6" t="str">
        <f>_xll.QS.CONTEXT.ADD.CURVE(C2505,"SOFR",$K$2:$K$7,$L$2:$L$7,,,"Actual360","LogLinear",TRUE)</f>
        <v>QSObject:ContextInput:w1~input.qs_context_add_curve.2359132437744.2504.3.0:37798</v>
      </c>
      <c r="E2505" s="6" t="str">
        <f>_xll.QS.INSTRUMENT.SWAP("swap.2503",H2505,B2505,"USD","SOFR",I2505,J2505,0,"Actual360","Simple","Annual","Annual","Annual")</f>
        <v>QSObject:Swap:w1~swap.2503:8069</v>
      </c>
      <c r="F2505" s="6" t="str">
        <f>_xll.QS.TRADE.CREATE("trade.2503",E2505,A2505,"Receive")</f>
        <v>QSObject:SwapTrade:w1~trade.2503:17112</v>
      </c>
      <c r="G2505" s="3">
        <f>_xll.QS.EVALUATE(C2505,F2505)</f>
        <v>19020.345435073548</v>
      </c>
      <c r="H2505" s="5" t="s">
        <v>1396</v>
      </c>
      <c r="I2505" s="7">
        <v>1250300</v>
      </c>
      <c r="J2505" s="8">
        <v>3.5299999999999998E-2</v>
      </c>
    </row>
    <row r="2506" spans="1:10" x14ac:dyDescent="0.25">
      <c r="A2506" s="5" t="s">
        <v>1384</v>
      </c>
      <c r="B2506" s="5" t="s">
        <v>4373</v>
      </c>
      <c r="C2506" s="6" t="str">
        <f>_xll.QS.CONTEXT.CREATE("market.2504",A2506,"USD","SOFR")</f>
        <v>QSObject:PricingContext:w1~market.2504:6464</v>
      </c>
      <c r="D2506" s="6" t="str">
        <f>_xll.QS.CONTEXT.ADD.CURVE(C2506,"SOFR",$K$2:$K$7,$L$2:$L$7,,,"Actual360","LogLinear",TRUE)</f>
        <v>QSObject:ContextInput:w1~input.qs_context_add_curve.2359132437744.2505.3.0:29267</v>
      </c>
      <c r="E2506" s="6" t="str">
        <f>_xll.QS.INSTRUMENT.SWAP("swap.2504",H2506,B2506,"USD","SOFR",I2506,J2506,0,"Actual360","Simple","Annual","Annual","Annual")</f>
        <v>QSObject:Swap:w1~swap.2504:9664</v>
      </c>
      <c r="F2506" s="6" t="str">
        <f>_xll.QS.TRADE.CREATE("trade.2504",E2506,A2506,"Receive")</f>
        <v>QSObject:SwapTrade:w1~trade.2504:16130</v>
      </c>
      <c r="G2506" s="3">
        <f>_xll.QS.EVALUATE(C2506,F2506)</f>
        <v>19522.744842273307</v>
      </c>
      <c r="H2506" s="5" t="s">
        <v>1398</v>
      </c>
      <c r="I2506" s="7">
        <v>1250400</v>
      </c>
      <c r="J2506" s="8">
        <v>3.5400000000000001E-2</v>
      </c>
    </row>
    <row r="2507" spans="1:10" x14ac:dyDescent="0.25">
      <c r="A2507" s="5" t="s">
        <v>1386</v>
      </c>
      <c r="B2507" s="5" t="s">
        <v>4374</v>
      </c>
      <c r="C2507" s="6" t="str">
        <f>_xll.QS.CONTEXT.CREATE("market.2505",A2507,"USD","SOFR")</f>
        <v>QSObject:PricingContext:w1~market.2505:14443</v>
      </c>
      <c r="D2507" s="6" t="str">
        <f>_xll.QS.CONTEXT.ADD.CURVE(C2507,"SOFR",$K$2:$K$7,$L$2:$L$7,,,"Actual360","LogLinear",TRUE)</f>
        <v>QSObject:ContextInput:w1~input.qs_context_add_curve.2359132437744.2506.3.0:37797</v>
      </c>
      <c r="E2507" s="6" t="str">
        <f>_xll.QS.INSTRUMENT.SWAP("swap.2505",H2507,B2507,"USD","SOFR",I2507,J2507,0,"Actual360","Simple","Annual","Annual","Annual")</f>
        <v>QSObject:Swap:w1~swap.2505:12806</v>
      </c>
      <c r="F2507" s="6" t="str">
        <f>_xll.QS.TRADE.CREATE("trade.2505",E2507,A2507,"Receive")</f>
        <v>QSObject:SwapTrade:w1~trade.2505:29266</v>
      </c>
      <c r="G2507" s="3">
        <f>_xll.QS.EVALUATE(C2507,F2507)</f>
        <v>19989.275134059244</v>
      </c>
      <c r="H2507" s="5" t="s">
        <v>1400</v>
      </c>
      <c r="I2507" s="7">
        <v>1250500</v>
      </c>
      <c r="J2507" s="8">
        <v>3.5499999999999997E-2</v>
      </c>
    </row>
    <row r="2508" spans="1:10" x14ac:dyDescent="0.25">
      <c r="A2508" s="5" t="s">
        <v>1388</v>
      </c>
      <c r="B2508" s="5" t="s">
        <v>4375</v>
      </c>
      <c r="C2508" s="6" t="str">
        <f>_xll.QS.CONTEXT.CREATE("market.2506",A2508,"USD","SOFR")</f>
        <v>QSObject:PricingContext:w1~market.2506:8068</v>
      </c>
      <c r="D2508" s="6" t="str">
        <f>_xll.QS.CONTEXT.ADD.CURVE(C2508,"SOFR",$K$2:$K$7,$L$2:$L$7,,,"Actual360","LogLinear",TRUE)</f>
        <v>QSObject:ContextInput:w1~input.qs_context_add_curve.2359132437744.2507.3.0:29265</v>
      </c>
      <c r="E2508" s="6" t="str">
        <f>_xll.QS.INSTRUMENT.SWAP("swap.2506",H2508,B2508,"USD","SOFR",I2508,J2508,0,"Actual360","Simple","Annual","Annual","Annual")</f>
        <v>QSObject:Swap:w1~swap.2506:17111</v>
      </c>
      <c r="F2508" s="6" t="str">
        <f>_xll.QS.TRADE.CREATE("trade.2506",E2508,A2508,"Receive")</f>
        <v>QSObject:SwapTrade:w1~trade.2506:29264</v>
      </c>
      <c r="G2508" s="3">
        <f>_xll.QS.EVALUATE(C2508,F2508)</f>
        <v>20569.230708658142</v>
      </c>
      <c r="H2508" s="5" t="s">
        <v>1402</v>
      </c>
      <c r="I2508" s="7">
        <v>1250600</v>
      </c>
      <c r="J2508" s="8">
        <v>3.5600000000000007E-2</v>
      </c>
    </row>
    <row r="2509" spans="1:10" x14ac:dyDescent="0.25">
      <c r="A2509" s="5" t="s">
        <v>1390</v>
      </c>
      <c r="B2509" s="5" t="s">
        <v>4376</v>
      </c>
      <c r="C2509" s="6" t="str">
        <f>_xll.QS.CONTEXT.CREATE("market.2507",A2509,"USD","SOFR")</f>
        <v>QSObject:PricingContext:w1~market.2507:6463</v>
      </c>
      <c r="D2509" s="6" t="str">
        <f>_xll.QS.CONTEXT.ADD.CURVE(C2509,"SOFR",$K$2:$K$7,$L$2:$L$7,,,"Actual360","LogLinear",TRUE)</f>
        <v>QSObject:ContextInput:w1~input.qs_context_add_curve.2359132437744.2508.3.0:37796</v>
      </c>
      <c r="E2509" s="6" t="str">
        <f>_xll.QS.INSTRUMENT.SWAP("swap.2507",H2509,B2509,"USD","SOFR",I2509,J2509,0,"Actual360","Simple","Annual","Annual","Annual")</f>
        <v>QSObject:Swap:w1~swap.2507:16129</v>
      </c>
      <c r="F2509" s="6" t="str">
        <f>_xll.QS.TRADE.CREATE("trade.2507",E2509,A2509,"Receive")</f>
        <v>QSObject:SwapTrade:w1~trade.2507:29263</v>
      </c>
      <c r="G2509" s="3">
        <f>_xll.QS.EVALUATE(C2509,F2509)</f>
        <v>21185.403554797638</v>
      </c>
      <c r="H2509" s="5" t="s">
        <v>1404</v>
      </c>
      <c r="I2509" s="7">
        <v>1250700</v>
      </c>
      <c r="J2509" s="8">
        <v>3.5700000000000003E-2</v>
      </c>
    </row>
    <row r="2510" spans="1:10" x14ac:dyDescent="0.25">
      <c r="A2510" s="5" t="s">
        <v>1392</v>
      </c>
      <c r="B2510" s="5" t="s">
        <v>4377</v>
      </c>
      <c r="C2510" s="6" t="str">
        <f>_xll.QS.CONTEXT.CREATE("market.2508",A2510,"USD","SOFR")</f>
        <v>QSObject:PricingContext:w1~market.2508:12805</v>
      </c>
      <c r="D2510" s="6" t="str">
        <f>_xll.QS.CONTEXT.ADD.CURVE(C2510,"SOFR",$K$2:$K$7,$L$2:$L$7,,,"Actual360","LogLinear",TRUE)</f>
        <v>QSObject:ContextInput:w1~input.qs_context_add_curve.2359132437744.2509.3.0:37795</v>
      </c>
      <c r="E2510" s="6" t="str">
        <f>_xll.QS.INSTRUMENT.SWAP("swap.2508",H2510,B2510,"USD","SOFR",I2510,J2510,0,"Actual360","Simple","Annual","Annual","Annual")</f>
        <v>QSObject:Swap:w1~swap.2508:11301</v>
      </c>
      <c r="F2510" s="6" t="str">
        <f>_xll.QS.TRADE.CREATE("trade.2508",E2510,A2510,"Receive")</f>
        <v>QSObject:SwapTrade:w1~trade.2508:29262</v>
      </c>
      <c r="G2510" s="3">
        <f>_xll.QS.EVALUATE(C2510,F2510)</f>
        <v>21855.109699916284</v>
      </c>
      <c r="H2510" s="5" t="s">
        <v>1406</v>
      </c>
      <c r="I2510" s="7">
        <v>1250800</v>
      </c>
      <c r="J2510" s="8">
        <v>3.5800000000000012E-2</v>
      </c>
    </row>
    <row r="2511" spans="1:10" x14ac:dyDescent="0.25">
      <c r="A2511" s="5" t="s">
        <v>1394</v>
      </c>
      <c r="B2511" s="5" t="s">
        <v>4378</v>
      </c>
      <c r="C2511" s="6" t="str">
        <f>_xll.QS.CONTEXT.CREATE("market.2509",A2511,"USD","SOFR")</f>
        <v>QSObject:PricingContext:w1~market.2509:8067</v>
      </c>
      <c r="D2511" s="6" t="str">
        <f>_xll.QS.CONTEXT.ADD.CURVE(C2511,"SOFR",$K$2:$K$7,$L$2:$L$7,,,"Actual360","LogLinear",TRUE)</f>
        <v>QSObject:ContextInput:w1~input.qs_context_add_curve.2359132437744.2510.3.0:9663</v>
      </c>
      <c r="E2511" s="6" t="str">
        <f>_xll.QS.INSTRUMENT.SWAP("swap.2509",H2511,B2511,"USD","SOFR",I2511,J2511,0,"Actual360","Simple","Annual","Annual","Annual")</f>
        <v>QSObject:Swap:w1~swap.2509:17110</v>
      </c>
      <c r="F2511" s="6" t="str">
        <f>_xll.QS.TRADE.CREATE("trade.2509",E2511,A2511,"Receive")</f>
        <v>QSObject:SwapTrade:w1~trade.2509:29261</v>
      </c>
      <c r="G2511" s="3">
        <f>_xll.QS.EVALUATE(C2511,F2511)</f>
        <v>22488.2450888229</v>
      </c>
      <c r="H2511" s="5" t="s">
        <v>1408</v>
      </c>
      <c r="I2511" s="7">
        <v>1250900</v>
      </c>
      <c r="J2511" s="8">
        <v>3.5900000000000001E-2</v>
      </c>
    </row>
    <row r="2512" spans="1:10" x14ac:dyDescent="0.25">
      <c r="A2512" s="5" t="s">
        <v>1396</v>
      </c>
      <c r="B2512" s="5" t="s">
        <v>4379</v>
      </c>
      <c r="C2512" s="6" t="str">
        <f>_xll.QS.CONTEXT.CREATE("market.2510",A2512,"USD","SOFR")</f>
        <v>QSObject:PricingContext:w1~market.2510:16128</v>
      </c>
      <c r="D2512" s="6" t="str">
        <f>_xll.QS.CONTEXT.ADD.CURVE(C2512,"SOFR",$K$2:$K$7,$L$2:$L$7,,,"Actual360","LogLinear",TRUE)</f>
        <v>QSObject:ContextInput:w1~input.qs_context_add_curve.2359132437744.2511.3.0:37794</v>
      </c>
      <c r="E2512" s="6" t="str">
        <f>_xll.QS.INSTRUMENT.SWAP("swap.2510",H2512,B2512,"USD","SOFR",I2512,J2512,0,"Actual360","Simple","Annual","Annual","Annual")</f>
        <v>QSObject:Swap:w1~swap.2510:6462</v>
      </c>
      <c r="F2512" s="6" t="str">
        <f>_xll.QS.TRADE.CREATE("trade.2510",E2512,A2512,"Receive")</f>
        <v>QSObject:SwapTrade:w1~trade.2510:12804</v>
      </c>
      <c r="G2512" s="3">
        <f>_xll.QS.EVALUATE(C2512,F2512)</f>
        <v>22982.744187754266</v>
      </c>
      <c r="H2512" s="5" t="s">
        <v>1410</v>
      </c>
      <c r="I2512" s="7">
        <v>1251000</v>
      </c>
      <c r="J2512" s="8">
        <v>3.5999999999999997E-2</v>
      </c>
    </row>
    <row r="2513" spans="1:10" x14ac:dyDescent="0.25">
      <c r="A2513" s="5" t="s">
        <v>1398</v>
      </c>
      <c r="B2513" s="5" t="s">
        <v>4380</v>
      </c>
      <c r="C2513" s="6" t="str">
        <f>_xll.QS.CONTEXT.CREATE("market.2511",A2513,"USD","SOFR")</f>
        <v>QSObject:PricingContext:w1~market.2511:4886</v>
      </c>
      <c r="D2513" s="6" t="str">
        <f>_xll.QS.CONTEXT.ADD.CURVE(C2513,"SOFR",$K$2:$K$7,$L$2:$L$7,,,"Actual360","LogLinear",TRUE)</f>
        <v>QSObject:ContextInput:w1~input.qs_context_add_curve.2359132437744.2512.3.0:37793</v>
      </c>
      <c r="E2513" s="6" t="str">
        <f>_xll.QS.INSTRUMENT.SWAP("swap.2511",H2513,B2513,"USD","SOFR",I2513,J2513,0,"Actual360","Simple","Annual","Annual","Annual")</f>
        <v>QSObject:Swap:w1~swap.2511:11300</v>
      </c>
      <c r="F2513" s="6" t="str">
        <f>_xll.QS.TRADE.CREATE("trade.2511",E2513,A2513,"Receive")</f>
        <v>QSObject:SwapTrade:w1~trade.2511:17109</v>
      </c>
      <c r="G2513" s="3">
        <f>_xll.QS.EVALUATE(C2513,F2513)</f>
        <v>23517.005325284437</v>
      </c>
      <c r="H2513" s="5" t="s">
        <v>1412</v>
      </c>
      <c r="I2513" s="7">
        <v>1251100</v>
      </c>
      <c r="J2513" s="8">
        <v>3.61E-2</v>
      </c>
    </row>
    <row r="2514" spans="1:10" x14ac:dyDescent="0.25">
      <c r="A2514" s="5" t="s">
        <v>1400</v>
      </c>
      <c r="B2514" s="5" t="s">
        <v>4381</v>
      </c>
      <c r="C2514" s="6" t="str">
        <f>_xll.QS.CONTEXT.CREATE("market.2512",A2514,"USD","SOFR")</f>
        <v>QSObject:PricingContext:w1~market.2512:8066</v>
      </c>
      <c r="D2514" s="6" t="str">
        <f>_xll.QS.CONTEXT.ADD.CURVE(C2514,"SOFR",$K$2:$K$7,$L$2:$L$7,,,"Actual360","LogLinear",TRUE)</f>
        <v>QSObject:ContextInput:w1~input.qs_context_add_curve.2359132437744.2513.3.0:29260</v>
      </c>
      <c r="E2514" s="6" t="str">
        <f>_xll.QS.INSTRUMENT.SWAP("swap.2512",H2514,B2514,"USD","SOFR",I2514,J2514,0,"Actual360","Simple","Annual","Annual","Annual")</f>
        <v>QSObject:Swap:w1~swap.2512:9662</v>
      </c>
      <c r="F2514" s="6" t="str">
        <f>_xll.QS.TRADE.CREATE("trade.2512",E2514,A2514,"Receive")</f>
        <v>QSObject:SwapTrade:w1~trade.2512:16127</v>
      </c>
      <c r="G2514" s="3">
        <f>_xll.QS.EVALUATE(C2514,F2514)</f>
        <v>23990.600296329525</v>
      </c>
      <c r="H2514" s="5" t="s">
        <v>1414</v>
      </c>
      <c r="I2514" s="7">
        <v>1251200</v>
      </c>
      <c r="J2514" s="8">
        <v>3.6200000000000003E-2</v>
      </c>
    </row>
    <row r="2515" spans="1:10" x14ac:dyDescent="0.25">
      <c r="A2515" s="5" t="s">
        <v>1402</v>
      </c>
      <c r="B2515" s="5" t="s">
        <v>4382</v>
      </c>
      <c r="C2515" s="6" t="str">
        <f>_xll.QS.CONTEXT.CREATE("market.2513",A2515,"USD","SOFR")</f>
        <v>QSObject:PricingContext:w1~market.2513:12803</v>
      </c>
      <c r="D2515" s="6" t="str">
        <f>_xll.QS.CONTEXT.ADD.CURVE(C2515,"SOFR",$K$2:$K$7,$L$2:$L$7,,,"Actual360","LogLinear",TRUE)</f>
        <v>QSObject:ContextInput:w1~input.qs_context_add_curve.2359132437744.2514.3.0:14442</v>
      </c>
      <c r="E2515" s="6" t="str">
        <f>_xll.QS.INSTRUMENT.SWAP("swap.2513",H2515,B2515,"USD","SOFR",I2515,J2515,0,"Actual360","Simple","Annual","Annual","Annual")</f>
        <v>QSObject:Swap:w1~swap.2513:6461</v>
      </c>
      <c r="F2515" s="6" t="str">
        <f>_xll.QS.TRADE.CREATE("trade.2513",E2515,A2515,"Receive")</f>
        <v>QSObject:SwapTrade:w1~trade.2513:17108</v>
      </c>
      <c r="G2515" s="3">
        <f>_xll.QS.EVALUATE(C2515,F2515)</f>
        <v>24667.732598134855</v>
      </c>
      <c r="H2515" s="5" t="s">
        <v>1416</v>
      </c>
      <c r="I2515" s="7">
        <v>1251300</v>
      </c>
      <c r="J2515" s="8">
        <v>3.6300000000000013E-2</v>
      </c>
    </row>
    <row r="2516" spans="1:10" x14ac:dyDescent="0.25">
      <c r="A2516" s="5" t="s">
        <v>1404</v>
      </c>
      <c r="B2516" s="5" t="s">
        <v>4383</v>
      </c>
      <c r="C2516" s="6" t="str">
        <f>_xll.QS.CONTEXT.CREATE("market.2514",A2516,"USD","SOFR")</f>
        <v>QSObject:PricingContext:w1~market.2514:3319</v>
      </c>
      <c r="D2516" s="6" t="str">
        <f>_xll.QS.CONTEXT.ADD.CURVE(C2516,"SOFR",$K$2:$K$7,$L$2:$L$7,,,"Actual360","LogLinear",TRUE)</f>
        <v>QSObject:ContextInput:w1~input.qs_context_add_curve.2359132437744.2515.3.0:4885</v>
      </c>
      <c r="E2516" s="6" t="str">
        <f>_xll.QS.INSTRUMENT.SWAP("swap.2514",H2516,B2516,"USD","SOFR",I2516,J2516,0,"Actual360","Simple","Annual","Annual","Annual")</f>
        <v>QSObject:Swap:w1~swap.2514:11299</v>
      </c>
      <c r="F2516" s="6" t="str">
        <f>_xll.QS.TRADE.CREATE("trade.2514",E2516,A2516,"Receive")</f>
        <v>QSObject:SwapTrade:w1~trade.2514:29259</v>
      </c>
      <c r="G2516" s="3">
        <f>_xll.QS.EVALUATE(C2516,F2516)</f>
        <v>25374.783704398462</v>
      </c>
      <c r="H2516" s="5" t="s">
        <v>1418</v>
      </c>
      <c r="I2516" s="7">
        <v>1251400</v>
      </c>
      <c r="J2516" s="8">
        <v>3.6400000000000002E-2</v>
      </c>
    </row>
    <row r="2517" spans="1:10" x14ac:dyDescent="0.25">
      <c r="A2517" s="5" t="s">
        <v>1406</v>
      </c>
      <c r="B2517" s="5" t="s">
        <v>4384</v>
      </c>
      <c r="C2517" s="6" t="str">
        <f>_xll.QS.CONTEXT.CREATE("market.2515",A2517,"USD","SOFR")</f>
        <v>QSObject:PricingContext:w1~market.2515:16126</v>
      </c>
      <c r="D2517" s="6" t="str">
        <f>_xll.QS.CONTEXT.ADD.CURVE(C2517,"SOFR",$K$2:$K$7,$L$2:$L$7,,,"Actual360","LogLinear",TRUE)</f>
        <v>QSObject:ContextInput:w1~input.qs_context_add_curve.2359132437744.2516.3.0:37792</v>
      </c>
      <c r="E2517" s="6" t="str">
        <f>_xll.QS.INSTRUMENT.SWAP("swap.2515",H2517,B2517,"USD","SOFR",I2517,J2517,0,"Actual360","Simple","Annual","Annual","Annual")</f>
        <v>QSObject:Swap:w1~swap.2515:1792</v>
      </c>
      <c r="F2517" s="6" t="str">
        <f>_xll.QS.TRADE.CREATE("trade.2515",E2517,A2517,"Receive")</f>
        <v>QSObject:SwapTrade:w1~trade.2515:14441</v>
      </c>
      <c r="G2517" s="3">
        <f>_xll.QS.EVALUATE(C2517,F2517)</f>
        <v>25954.734194129429</v>
      </c>
      <c r="H2517" s="5" t="s">
        <v>1420</v>
      </c>
      <c r="I2517" s="7">
        <v>1251500</v>
      </c>
      <c r="J2517" s="8">
        <v>3.6499999999999998E-2</v>
      </c>
    </row>
    <row r="2518" spans="1:10" x14ac:dyDescent="0.25">
      <c r="A2518" s="5" t="s">
        <v>1408</v>
      </c>
      <c r="B2518" s="5" t="s">
        <v>4385</v>
      </c>
      <c r="C2518" s="6" t="str">
        <f>_xll.QS.CONTEXT.CREATE("market.2516",A2518,"USD","SOFR")</f>
        <v>QSObject:PricingContext:w1~market.2516:6460</v>
      </c>
      <c r="D2518" s="6" t="str">
        <f>_xll.QS.CONTEXT.ADD.CURVE(C2518,"SOFR",$K$2:$K$7,$L$2:$L$7,,,"Actual360","LogLinear",TRUE)</f>
        <v>QSObject:ContextInput:w1~input.qs_context_add_curve.2359132437744.2517.3.0:17107</v>
      </c>
      <c r="E2518" s="6" t="str">
        <f>_xll.QS.INSTRUMENT.SWAP("swap.2516",H2518,B2518,"USD","SOFR",I2518,J2518,0,"Actual360","Simple","Annual","Annual","Annual")</f>
        <v>QSObject:Swap:w1~swap.2516:12802</v>
      </c>
      <c r="F2518" s="6" t="str">
        <f>_xll.QS.TRADE.CREATE("trade.2516",E2518,A2518,"Receive")</f>
        <v>QSObject:SwapTrade:w1~trade.2516:29258</v>
      </c>
      <c r="G2518" s="3">
        <f>_xll.QS.EVALUATE(C2518,F2518)</f>
        <v>26523.413827358934</v>
      </c>
      <c r="H2518" s="5" t="s">
        <v>1422</v>
      </c>
      <c r="I2518" s="7">
        <v>1251600</v>
      </c>
      <c r="J2518" s="8">
        <v>3.6600000000000001E-2</v>
      </c>
    </row>
    <row r="2519" spans="1:10" x14ac:dyDescent="0.25">
      <c r="A2519" s="5" t="s">
        <v>1410</v>
      </c>
      <c r="B2519" s="5" t="s">
        <v>4386</v>
      </c>
      <c r="C2519" s="6" t="str">
        <f>_xll.QS.CONTEXT.CREATE("market.2517",A2519,"USD","SOFR")</f>
        <v>QSObject:PricingContext:w1~market.2517:8065</v>
      </c>
      <c r="D2519" s="6" t="str">
        <f>_xll.QS.CONTEXT.ADD.CURVE(C2519,"SOFR",$K$2:$K$7,$L$2:$L$7,,,"Actual360","LogLinear",TRUE)</f>
        <v>QSObject:ContextInput:w1~input.qs_context_add_curve.2359132437744.2518.3.0:11298</v>
      </c>
      <c r="E2519" s="6" t="str">
        <f>_xll.QS.INSTRUMENT.SWAP("swap.2517",H2519,B2519,"USD","SOFR",I2519,J2519,0,"Actual360","Simple","Annual","Annual","Annual")</f>
        <v>QSObject:Swap:w1~swap.2517:4884</v>
      </c>
      <c r="F2519" s="6" t="str">
        <f>_xll.QS.TRADE.CREATE("trade.2517",E2519,A2519,"Receive")</f>
        <v>QSObject:SwapTrade:w1~trade.2517:16125</v>
      </c>
      <c r="G2519" s="3">
        <f>_xll.QS.EVALUATE(C2519,F2519)</f>
        <v>27072.858754051893</v>
      </c>
      <c r="H2519" s="5" t="s">
        <v>1424</v>
      </c>
      <c r="I2519" s="7">
        <v>1251700</v>
      </c>
      <c r="J2519" s="8">
        <v>3.6700000000000003E-2</v>
      </c>
    </row>
    <row r="2520" spans="1:10" x14ac:dyDescent="0.25">
      <c r="A2520" s="5" t="s">
        <v>1412</v>
      </c>
      <c r="B2520" s="5" t="s">
        <v>4387</v>
      </c>
      <c r="C2520" s="6" t="str">
        <f>_xll.QS.CONTEXT.CREATE("market.2518",A2520,"USD","SOFR")</f>
        <v>QSObject:PricingContext:w1~market.2518:14440</v>
      </c>
      <c r="D2520" s="6" t="str">
        <f>_xll.QS.CONTEXT.ADD.CURVE(C2520,"SOFR",$K$2:$K$7,$L$2:$L$7,,,"Actual360","LogLinear",TRUE)</f>
        <v>QSObject:ContextInput:w1~input.qs_context_add_curve.2359132437744.2519.3.0:17106</v>
      </c>
      <c r="E2520" s="6" t="str">
        <f>_xll.QS.INSTRUMENT.SWAP("swap.2518",H2520,B2520,"USD","SOFR",I2520,J2520,0,"Actual360","Simple","Annual","Annual","Annual")</f>
        <v>QSObject:Swap:w1~swap.2518:1791</v>
      </c>
      <c r="F2520" s="6" t="str">
        <f>_xll.QS.TRADE.CREATE("trade.2518",E2520,A2520,"Receive")</f>
        <v>QSObject:SwapTrade:w1~trade.2518:9661</v>
      </c>
      <c r="G2520" s="3">
        <f>_xll.QS.EVALUATE(C2520,F2520)</f>
        <v>27620.684495321286</v>
      </c>
      <c r="H2520" s="5" t="s">
        <v>1426</v>
      </c>
      <c r="I2520" s="7">
        <v>1251800</v>
      </c>
      <c r="J2520" s="8">
        <v>3.6800000000000013E-2</v>
      </c>
    </row>
    <row r="2521" spans="1:10" x14ac:dyDescent="0.25">
      <c r="A2521" s="5" t="s">
        <v>1414</v>
      </c>
      <c r="B2521" s="5" t="s">
        <v>4388</v>
      </c>
      <c r="C2521" s="6" t="str">
        <f>_xll.QS.CONTEXT.CREATE("market.2519",A2521,"USD","SOFR")</f>
        <v>QSObject:PricingContext:w1~market.2519:6459</v>
      </c>
      <c r="D2521" s="6" t="str">
        <f>_xll.QS.CONTEXT.ADD.CURVE(C2521,"SOFR",$K$2:$K$7,$L$2:$L$7,,,"Actual360","LogLinear",TRUE)</f>
        <v>QSObject:ContextInput:w1~input.qs_context_add_curve.2359132437744.2520.3.0:12801</v>
      </c>
      <c r="E2521" s="6" t="str">
        <f>_xll.QS.INSTRUMENT.SWAP("swap.2519",H2521,B2521,"USD","SOFR",I2521,J2521,0,"Actual360","Simple","Annual","Annual","Annual")</f>
        <v>QSObject:Swap:w1~swap.2519:3318</v>
      </c>
      <c r="F2521" s="6" t="str">
        <f>_xll.QS.TRADE.CREATE("trade.2519",E2521,A2521,"Receive")</f>
        <v>QSObject:SwapTrade:w1~trade.2519:11297</v>
      </c>
      <c r="G2521" s="3">
        <f>_xll.QS.EVALUATE(C2521,F2521)</f>
        <v>28047.754022433277</v>
      </c>
      <c r="H2521" s="5" t="s">
        <v>1428</v>
      </c>
      <c r="I2521" s="7">
        <v>1251900</v>
      </c>
      <c r="J2521" s="8">
        <v>3.6900000000000002E-2</v>
      </c>
    </row>
    <row r="2522" spans="1:10" x14ac:dyDescent="0.25">
      <c r="A2522" s="5" t="s">
        <v>1416</v>
      </c>
      <c r="B2522" s="5" t="s">
        <v>4389</v>
      </c>
      <c r="C2522" s="6" t="str">
        <f>_xll.QS.CONTEXT.CREATE("market.2520",A2522,"USD","SOFR")</f>
        <v>QSObject:PricingContext:w1~market.2520:16124</v>
      </c>
      <c r="D2522" s="6" t="str">
        <f>_xll.QS.CONTEXT.ADD.CURVE(C2522,"SOFR",$K$2:$K$7,$L$2:$L$7,,,"Actual360","LogLinear",TRUE)</f>
        <v>QSObject:ContextInput:w1~input.qs_context_add_curve.2359132437744.2521.3.0:29257</v>
      </c>
      <c r="E2522" s="6" t="str">
        <f>_xll.QS.INSTRUMENT.SWAP("swap.2520",H2522,B2522,"USD","SOFR",I2522,J2522,0,"Actual360","Simple","Annual","Annual","Annual")</f>
        <v>QSObject:Swap:w1~swap.2520:4883</v>
      </c>
      <c r="F2522" s="6" t="str">
        <f>_xll.QS.TRADE.CREATE("trade.2520",E2522,A2522,"Receive")</f>
        <v>QSObject:SwapTrade:w1~trade.2520:17105</v>
      </c>
      <c r="G2522" s="3">
        <f>_xll.QS.EVALUATE(C2522,F2522)</f>
        <v>28678.974243569224</v>
      </c>
      <c r="H2522" s="5" t="s">
        <v>1430</v>
      </c>
      <c r="I2522" s="7">
        <v>1252000</v>
      </c>
      <c r="J2522" s="8">
        <v>3.7000000000000012E-2</v>
      </c>
    </row>
    <row r="2523" spans="1:10" x14ac:dyDescent="0.25">
      <c r="A2523" s="5" t="s">
        <v>1418</v>
      </c>
      <c r="B2523" s="5" t="s">
        <v>4390</v>
      </c>
      <c r="C2523" s="6" t="str">
        <f>_xll.QS.CONTEXT.CREATE("market.2521",A2523,"USD","SOFR")</f>
        <v>QSObject:PricingContext:w1~market.2521:1790</v>
      </c>
      <c r="D2523" s="6" t="str">
        <f>_xll.QS.CONTEXT.ADD.CURVE(C2523,"SOFR",$K$2:$K$7,$L$2:$L$7,,,"Actual360","LogLinear",TRUE)</f>
        <v>QSObject:ContextInput:w1~input.qs_context_add_curve.2359132437744.2522.3.0:14439</v>
      </c>
      <c r="E2523" s="6" t="str">
        <f>_xll.QS.INSTRUMENT.SWAP("swap.2521",H2523,B2523,"USD","SOFR",I2523,J2523,0,"Actual360","Simple","Annual","Annual","Annual")</f>
        <v>QSObject:Swap:w1~swap.2521:9660</v>
      </c>
      <c r="F2523" s="6" t="str">
        <f>_xll.QS.TRADE.CREATE("trade.2521",E2523,A2523,"Receive")</f>
        <v>QSObject:SwapTrade:w1~trade.2521:29256</v>
      </c>
      <c r="G2523" s="3">
        <f>_xll.QS.EVALUATE(C2523,F2523)</f>
        <v>29435.84464089376</v>
      </c>
      <c r="H2523" s="5" t="s">
        <v>1432</v>
      </c>
      <c r="I2523" s="7">
        <v>1252100</v>
      </c>
      <c r="J2523" s="8">
        <v>3.7100000000000001E-2</v>
      </c>
    </row>
    <row r="2524" spans="1:10" x14ac:dyDescent="0.25">
      <c r="A2524" s="5" t="s">
        <v>1420</v>
      </c>
      <c r="B2524" s="5" t="s">
        <v>4391</v>
      </c>
      <c r="C2524" s="6" t="str">
        <f>_xll.QS.CONTEXT.CREATE("market.2522",A2524,"USD","SOFR")</f>
        <v>QSObject:PricingContext:w1~market.2522:11296</v>
      </c>
      <c r="D2524" s="6" t="str">
        <f>_xll.QS.CONTEXT.ADD.CURVE(C2524,"SOFR",$K$2:$K$7,$L$2:$L$7,,,"Actual360","LogLinear",TRUE)</f>
        <v>QSObject:ContextInput:w1~input.qs_context_add_curve.2359132437744.2523.3.0:12800</v>
      </c>
      <c r="E2524" s="6" t="str">
        <f>_xll.QS.INSTRUMENT.SWAP("swap.2522",H2524,B2524,"USD","SOFR",I2524,J2524,0,"Actual360","Simple","Annual","Annual","Annual")</f>
        <v>QSObject:Swap:w1~swap.2522:3317</v>
      </c>
      <c r="F2524" s="6" t="str">
        <f>_xll.QS.TRADE.CREATE("trade.2522",E2524,A2524,"Receive")</f>
        <v>QSObject:SwapTrade:w1~trade.2522:16123</v>
      </c>
      <c r="G2524" s="3">
        <f>_xll.QS.EVALUATE(C2524,F2524)</f>
        <v>30022.030001201361</v>
      </c>
      <c r="H2524" s="5" t="s">
        <v>1434</v>
      </c>
      <c r="I2524" s="7">
        <v>1252200</v>
      </c>
      <c r="J2524" s="8">
        <v>3.7199999999999997E-2</v>
      </c>
    </row>
    <row r="2525" spans="1:10" x14ac:dyDescent="0.25">
      <c r="A2525" s="5" t="s">
        <v>1422</v>
      </c>
      <c r="B2525" s="5" t="s">
        <v>4392</v>
      </c>
      <c r="C2525" s="6" t="str">
        <f>_xll.QS.CONTEXT.CREATE("market.2523",A2525,"USD","SOFR")</f>
        <v>QSObject:PricingContext:w1~market.2523:8064</v>
      </c>
      <c r="D2525" s="6" t="str">
        <f>_xll.QS.CONTEXT.ADD.CURVE(C2525,"SOFR",$K$2:$K$7,$L$2:$L$7,,,"Actual360","LogLinear",TRUE)</f>
        <v>QSObject:ContextInput:w1~input.qs_context_add_curve.2359132437744.2524.3.0:17104</v>
      </c>
      <c r="E2525" s="6" t="str">
        <f>_xll.QS.INSTRUMENT.SWAP("swap.2523",H2525,B2525,"USD","SOFR",I2525,J2525,0,"Actual360","Simple","Annual","Annual","Annual")</f>
        <v>QSObject:Swap:w1~swap.2523:4882</v>
      </c>
      <c r="F2525" s="6" t="str">
        <f>_xll.QS.TRADE.CREATE("trade.2523",E2525,A2525,"Receive")</f>
        <v>QSObject:SwapTrade:w1~trade.2523:29255</v>
      </c>
      <c r="G2525" s="3">
        <f>_xll.QS.EVALUATE(C2525,F2525)</f>
        <v>30598.285895998721</v>
      </c>
      <c r="H2525" s="5" t="s">
        <v>1436</v>
      </c>
      <c r="I2525" s="7">
        <v>1252300</v>
      </c>
      <c r="J2525" s="8">
        <v>3.73E-2</v>
      </c>
    </row>
    <row r="2526" spans="1:10" x14ac:dyDescent="0.25">
      <c r="A2526" s="5" t="s">
        <v>1424</v>
      </c>
      <c r="B2526" s="5" t="s">
        <v>4393</v>
      </c>
      <c r="C2526" s="6" t="str">
        <f>_xll.QS.CONTEXT.CREATE("market.2524",A2526,"USD","SOFR")</f>
        <v>QSObject:PricingContext:w1~market.2524:6458</v>
      </c>
      <c r="D2526" s="6" t="str">
        <f>_xll.QS.CONTEXT.ADD.CURVE(C2526,"SOFR",$K$2:$K$7,$L$2:$L$7,,,"Actual360","LogLinear",TRUE)</f>
        <v>QSObject:ContextInput:w1~input.qs_context_add_curve.2359132437744.2525.3.0:9659</v>
      </c>
      <c r="E2526" s="6" t="str">
        <f>_xll.QS.INSTRUMENT.SWAP("swap.2524",H2526,B2526,"USD","SOFR",I2526,J2526,0,"Actual360","Simple","Annual","Annual","Annual")</f>
        <v>QSObject:Swap:w1~swap.2524:14438</v>
      </c>
      <c r="F2526" s="6" t="str">
        <f>_xll.QS.TRADE.CREATE("trade.2524",E2526,A2526,"Receive")</f>
        <v>QSObject:SwapTrade:w1~trade.2524:29254</v>
      </c>
      <c r="G2526" s="3">
        <f>_xll.QS.EVALUATE(C2526,F2526)</f>
        <v>31130.005826546876</v>
      </c>
      <c r="H2526" s="5" t="s">
        <v>1438</v>
      </c>
      <c r="I2526" s="7">
        <v>1252400</v>
      </c>
      <c r="J2526" s="8">
        <v>3.7400000000000003E-2</v>
      </c>
    </row>
    <row r="2527" spans="1:10" x14ac:dyDescent="0.25">
      <c r="A2527" s="5" t="s">
        <v>1426</v>
      </c>
      <c r="B2527" s="5" t="s">
        <v>4394</v>
      </c>
      <c r="C2527" s="6" t="str">
        <f>_xll.QS.CONTEXT.CREATE("market.2525",A2527,"USD","SOFR")</f>
        <v>QSObject:PricingContext:w1~market.2525:17103</v>
      </c>
      <c r="D2527" s="6" t="str">
        <f>_xll.QS.CONTEXT.ADD.CURVE(C2527,"SOFR",$K$2:$K$7,$L$2:$L$7,,,"Actual360","LogLinear",TRUE)</f>
        <v>QSObject:ContextInput:w1~input.qs_context_add_curve.2359132437744.2526.3.0:37791</v>
      </c>
      <c r="E2527" s="6" t="str">
        <f>_xll.QS.INSTRUMENT.SWAP("swap.2525",H2527,B2527,"USD","SOFR",I2527,J2527,0,"Actual360","Simple","Annual","Annual","Annual")</f>
        <v>QSObject:Swap:w1~swap.2525:3316</v>
      </c>
      <c r="F2527" s="6" t="str">
        <f>_xll.QS.TRADE.CREATE("trade.2525",E2527,A2527,"Receive")</f>
        <v>QSObject:SwapTrade:w1~trade.2525:8063</v>
      </c>
      <c r="G2527" s="3">
        <f>_xll.QS.EVALUATE(C2527,F2527)</f>
        <v>31619.940860289353</v>
      </c>
      <c r="H2527" s="5" t="s">
        <v>1440</v>
      </c>
      <c r="I2527" s="7">
        <v>1252500</v>
      </c>
      <c r="J2527" s="8">
        <v>3.7500000000000012E-2</v>
      </c>
    </row>
    <row r="2528" spans="1:10" x14ac:dyDescent="0.25">
      <c r="A2528" s="5" t="s">
        <v>1428</v>
      </c>
      <c r="B2528" s="5" t="s">
        <v>4395</v>
      </c>
      <c r="C2528" s="6" t="str">
        <f>_xll.QS.CONTEXT.CREATE("market.2526",A2528,"USD","SOFR")</f>
        <v>QSObject:PricingContext:w1~market.2526:4881</v>
      </c>
      <c r="D2528" s="6" t="str">
        <f>_xll.QS.CONTEXT.ADD.CURVE(C2528,"SOFR",$K$2:$K$7,$L$2:$L$7,,,"Actual360","LogLinear",TRUE)</f>
        <v>QSObject:ContextInput:w1~input.qs_context_add_curve.2359132437744.2527.3.0:29253</v>
      </c>
      <c r="E2528" s="6" t="str">
        <f>_xll.QS.INSTRUMENT.SWAP("swap.2526",H2528,B2528,"USD","SOFR",I2528,J2528,0,"Actual360","Simple","Annual","Annual","Annual")</f>
        <v>QSObject:Swap:w1~swap.2526:11295</v>
      </c>
      <c r="F2528" s="6" t="str">
        <f>_xll.QS.TRADE.CREATE("trade.2526",E2528,A2528,"Receive")</f>
        <v>QSObject:SwapTrade:w1~trade.2526:29252</v>
      </c>
      <c r="G2528" s="3">
        <f>_xll.QS.EVALUATE(C2528,F2528)</f>
        <v>32107.179606695092</v>
      </c>
      <c r="H2528" s="5" t="s">
        <v>1442</v>
      </c>
      <c r="I2528" s="7">
        <v>1252600</v>
      </c>
      <c r="J2528" s="8">
        <v>3.7600000000000001E-2</v>
      </c>
    </row>
    <row r="2529" spans="1:10" x14ac:dyDescent="0.25">
      <c r="A2529" s="5" t="s">
        <v>1430</v>
      </c>
      <c r="B2529" s="5" t="s">
        <v>4396</v>
      </c>
      <c r="C2529" s="6" t="str">
        <f>_xll.QS.CONTEXT.CREATE("market.2527",A2529,"USD","SOFR")</f>
        <v>QSObject:PricingContext:w1~market.2527:12799</v>
      </c>
      <c r="D2529" s="6" t="str">
        <f>_xll.QS.CONTEXT.ADD.CURVE(C2529,"SOFR",$K$2:$K$7,$L$2:$L$7,,,"Actual360","LogLinear",TRUE)</f>
        <v>QSObject:ContextInput:w1~input.qs_context_add_curve.2359132437744.2528.3.0:29251</v>
      </c>
      <c r="E2529" s="6" t="str">
        <f>_xll.QS.INSTRUMENT.SWAP("swap.2527",H2529,B2529,"USD","SOFR",I2529,J2529,0,"Actual360","Simple","Annual","Annual","Annual")</f>
        <v>QSObject:Swap:w1~swap.2527:14437</v>
      </c>
      <c r="F2529" s="6" t="str">
        <f>_xll.QS.TRADE.CREATE("trade.2527",E2529,A2529,"Receive")</f>
        <v>QSObject:SwapTrade:w1~trade.2527:16122</v>
      </c>
      <c r="G2529" s="3">
        <f>_xll.QS.EVALUATE(C2529,F2529)</f>
        <v>32740.517737341564</v>
      </c>
      <c r="H2529" s="5" t="s">
        <v>1444</v>
      </c>
      <c r="I2529" s="7">
        <v>1252700</v>
      </c>
      <c r="J2529" s="8">
        <v>3.7699999999999997E-2</v>
      </c>
    </row>
    <row r="2530" spans="1:10" x14ac:dyDescent="0.25">
      <c r="A2530" s="5" t="s">
        <v>1432</v>
      </c>
      <c r="B2530" s="5" t="s">
        <v>4397</v>
      </c>
      <c r="C2530" s="6" t="str">
        <f>_xll.QS.CONTEXT.CREATE("market.2528",A2530,"USD","SOFR")</f>
        <v>QSObject:PricingContext:w1~market.2528:8062</v>
      </c>
      <c r="D2530" s="6" t="str">
        <f>_xll.QS.CONTEXT.ADD.CURVE(C2530,"SOFR",$K$2:$K$7,$L$2:$L$7,,,"Actual360","LogLinear",TRUE)</f>
        <v>QSObject:ContextInput:w1~input.qs_context_add_curve.2359132437744.2529.3.0:37790</v>
      </c>
      <c r="E2530" s="6" t="str">
        <f>_xll.QS.INSTRUMENT.SWAP("swap.2528",H2530,B2530,"USD","SOFR",I2530,J2530,0,"Actual360","Simple","Annual","Annual","Annual")</f>
        <v>QSObject:Swap:w1~swap.2528:17102</v>
      </c>
      <c r="F2530" s="6" t="str">
        <f>_xll.QS.TRADE.CREATE("trade.2528",E2530,A2530,"Receive")</f>
        <v>QSObject:SwapTrade:w1~trade.2528:29250</v>
      </c>
      <c r="G2530" s="3">
        <f>_xll.QS.EVALUATE(C2530,F2530)</f>
        <v>33352.805957834411</v>
      </c>
      <c r="H2530" s="5" t="s">
        <v>1446</v>
      </c>
      <c r="I2530" s="7">
        <v>1252800</v>
      </c>
      <c r="J2530" s="8">
        <v>3.78E-2</v>
      </c>
    </row>
    <row r="2531" spans="1:10" x14ac:dyDescent="0.25">
      <c r="A2531" s="5" t="s">
        <v>1434</v>
      </c>
      <c r="B2531" s="5" t="s">
        <v>4398</v>
      </c>
      <c r="C2531" s="6" t="str">
        <f>_xll.QS.CONTEXT.CREATE("market.2529",A2531,"USD","SOFR")</f>
        <v>QSObject:PricingContext:w1~market.2529:11294</v>
      </c>
      <c r="D2531" s="6" t="str">
        <f>_xll.QS.CONTEXT.ADD.CURVE(C2531,"SOFR",$K$2:$K$7,$L$2:$L$7,,,"Actual360","LogLinear",TRUE)</f>
        <v>QSObject:ContextInput:w1~input.qs_context_add_curve.2359132437744.2530.3.0:37789</v>
      </c>
      <c r="E2531" s="6" t="str">
        <f>_xll.QS.INSTRUMENT.SWAP("swap.2529",H2531,B2531,"USD","SOFR",I2531,J2531,0,"Actual360","Simple","Annual","Annual","Annual")</f>
        <v>QSObject:Swap:w1~swap.2529:4880</v>
      </c>
      <c r="F2531" s="6" t="str">
        <f>_xll.QS.TRADE.CREATE("trade.2529",E2531,A2531,"Receive")</f>
        <v>QSObject:SwapTrade:w1~trade.2529:9658</v>
      </c>
      <c r="G2531" s="3">
        <f>_xll.QS.EVALUATE(C2531,F2531)</f>
        <v>34024.782050390233</v>
      </c>
      <c r="H2531" s="5" t="s">
        <v>1448</v>
      </c>
      <c r="I2531" s="7">
        <v>1252900</v>
      </c>
      <c r="J2531" s="8">
        <v>3.7900000000000003E-2</v>
      </c>
    </row>
    <row r="2532" spans="1:10" x14ac:dyDescent="0.25">
      <c r="A2532" s="5" t="s">
        <v>1436</v>
      </c>
      <c r="B2532" s="5" t="s">
        <v>4399</v>
      </c>
      <c r="C2532" s="6" t="str">
        <f>_xll.QS.CONTEXT.CREATE("market.2530",A2532,"USD","SOFR")</f>
        <v>QSObject:PricingContext:w1~market.2530:16121</v>
      </c>
      <c r="D2532" s="6" t="str">
        <f>_xll.QS.CONTEXT.ADD.CURVE(C2532,"SOFR",$K$2:$K$7,$L$2:$L$7,,,"Actual360","LogLinear",TRUE)</f>
        <v>QSObject:ContextInput:w1~input.qs_context_add_curve.2359132437744.2531.3.0:37788</v>
      </c>
      <c r="E2532" s="6" t="str">
        <f>_xll.QS.INSTRUMENT.SWAP("swap.2530",H2532,B2532,"USD","SOFR",I2532,J2532,0,"Actual360","Simple","Annual","Annual","Annual")</f>
        <v>QSObject:Swap:w1~swap.2530:14436</v>
      </c>
      <c r="F2532" s="6" t="str">
        <f>_xll.QS.TRADE.CREATE("trade.2530",E2532,A2532,"Receive")</f>
        <v>QSObject:SwapTrade:w1~trade.2530:29249</v>
      </c>
      <c r="G2532" s="3">
        <f>_xll.QS.EVALUATE(C2532,F2532)</f>
        <v>34660.085119117721</v>
      </c>
      <c r="H2532" s="5" t="s">
        <v>1450</v>
      </c>
      <c r="I2532" s="7">
        <v>1253000</v>
      </c>
      <c r="J2532" s="8">
        <v>3.8000000000000013E-2</v>
      </c>
    </row>
    <row r="2533" spans="1:10" x14ac:dyDescent="0.25">
      <c r="A2533" s="5" t="s">
        <v>1438</v>
      </c>
      <c r="B2533" s="5" t="s">
        <v>4400</v>
      </c>
      <c r="C2533" s="6" t="str">
        <f>_xll.QS.CONTEXT.CREATE("market.2531",A2533,"USD","SOFR")</f>
        <v>QSObject:PricingContext:w1~market.2531:1789</v>
      </c>
      <c r="D2533" s="6" t="str">
        <f>_xll.QS.CONTEXT.ADD.CURVE(C2533,"SOFR",$K$2:$K$7,$L$2:$L$7,,,"Actual360","LogLinear",TRUE)</f>
        <v>QSObject:ContextInput:w1~input.qs_context_add_curve.2359132437744.2532.3.0:3315</v>
      </c>
      <c r="E2533" s="6" t="str">
        <f>_xll.QS.INSTRUMENT.SWAP("swap.2531",H2533,B2533,"USD","SOFR",I2533,J2533,0,"Actual360","Simple","Annual","Annual","Annual")</f>
        <v>QSObject:Swap:w1~swap.2531:17101</v>
      </c>
      <c r="F2533" s="6" t="str">
        <f>_xll.QS.TRADE.CREATE("trade.2531",E2533,A2533,"Receive")</f>
        <v>QSObject:SwapTrade:w1~trade.2531:29248</v>
      </c>
      <c r="G2533" s="3">
        <f>_xll.QS.EVALUATE(C2533,F2533)</f>
        <v>35192.379966113898</v>
      </c>
      <c r="H2533" s="5" t="s">
        <v>1452</v>
      </c>
      <c r="I2533" s="7">
        <v>1253100</v>
      </c>
      <c r="J2533" s="8">
        <v>3.8100000000000002E-2</v>
      </c>
    </row>
    <row r="2534" spans="1:10" x14ac:dyDescent="0.25">
      <c r="A2534" s="5" t="s">
        <v>1440</v>
      </c>
      <c r="B2534" s="5" t="s">
        <v>4401</v>
      </c>
      <c r="C2534" s="6" t="str">
        <f>_xll.QS.CONTEXT.CREATE("market.2532",A2534,"USD","SOFR")</f>
        <v>QSObject:PricingContext:w1~market.2532:11293</v>
      </c>
      <c r="D2534" s="6" t="str">
        <f>_xll.QS.CONTEXT.ADD.CURVE(C2534,"SOFR",$K$2:$K$7,$L$2:$L$7,,,"Actual360","LogLinear",TRUE)</f>
        <v>QSObject:ContextInput:w1~input.qs_context_add_curve.2359132437744.2533.3.0:37787</v>
      </c>
      <c r="E2534" s="6" t="str">
        <f>_xll.QS.INSTRUMENT.SWAP("swap.2532",H2534,B2534,"USD","SOFR",I2534,J2534,0,"Actual360","Simple","Annual","Annual","Annual")</f>
        <v>QSObject:Swap:w1~swap.2532:6457</v>
      </c>
      <c r="F2534" s="6" t="str">
        <f>_xll.QS.TRADE.CREATE("trade.2532",E2534,A2534,"Receive")</f>
        <v>QSObject:SwapTrade:w1~trade.2532:14435</v>
      </c>
      <c r="G2534" s="3">
        <f>_xll.QS.EVALUATE(C2534,F2534)</f>
        <v>35678.146454448761</v>
      </c>
      <c r="H2534" s="5" t="s">
        <v>1454</v>
      </c>
      <c r="I2534" s="7">
        <v>1253200</v>
      </c>
      <c r="J2534" s="8">
        <v>3.8199999999999998E-2</v>
      </c>
    </row>
    <row r="2535" spans="1:10" x14ac:dyDescent="0.25">
      <c r="A2535" s="5" t="s">
        <v>1442</v>
      </c>
      <c r="B2535" s="5" t="s">
        <v>4402</v>
      </c>
      <c r="C2535" s="6" t="str">
        <f>_xll.QS.CONTEXT.CREATE("market.2533",A2535,"USD","SOFR")</f>
        <v>QSObject:PricingContext:w1~market.2533:8061</v>
      </c>
      <c r="D2535" s="6" t="str">
        <f>_xll.QS.CONTEXT.ADD.CURVE(C2535,"SOFR",$K$2:$K$7,$L$2:$L$7,,,"Actual360","LogLinear",TRUE)</f>
        <v>QSObject:ContextInput:w1~input.qs_context_add_curve.2359132437744.2534.3.0:12798</v>
      </c>
      <c r="E2535" s="6" t="str">
        <f>_xll.QS.INSTRUMENT.SWAP("swap.2533",H2535,B2535,"USD","SOFR",I2535,J2535,0,"Actual360","Simple","Annual","Annual","Annual")</f>
        <v>QSObject:Swap:w1~swap.2533:16120</v>
      </c>
      <c r="F2535" s="6" t="str">
        <f>_xll.QS.TRADE.CREATE("trade.2533",E2535,A2535,"Receive")</f>
        <v>QSObject:SwapTrade:w1~trade.2533:17100</v>
      </c>
      <c r="G2535" s="3">
        <f>_xll.QS.EVALUATE(C2535,F2535)</f>
        <v>36172.250534741295</v>
      </c>
      <c r="H2535" s="5" t="s">
        <v>1456</v>
      </c>
      <c r="I2535" s="7">
        <v>1253300</v>
      </c>
      <c r="J2535" s="8">
        <v>3.8300000000000001E-2</v>
      </c>
    </row>
    <row r="2536" spans="1:10" x14ac:dyDescent="0.25">
      <c r="A2536" s="5" t="s">
        <v>1444</v>
      </c>
      <c r="B2536" s="5" t="s">
        <v>4403</v>
      </c>
      <c r="C2536" s="6" t="str">
        <f>_xll.QS.CONTEXT.CREATE("market.2534",A2536,"USD","SOFR")</f>
        <v>QSObject:PricingContext:w1~market.2534:9657</v>
      </c>
      <c r="D2536" s="6" t="str">
        <f>_xll.QS.CONTEXT.ADD.CURVE(C2536,"SOFR",$K$2:$K$7,$L$2:$L$7,,,"Actual360","LogLinear",TRUE)</f>
        <v>QSObject:ContextInput:w1~input.qs_context_add_curve.2359132437744.2535.3.0:37786</v>
      </c>
      <c r="E2536" s="6" t="str">
        <f>_xll.QS.INSTRUMENT.SWAP("swap.2534",H2536,B2536,"USD","SOFR",I2536,J2536,0,"Actual360","Simple","Annual","Annual","Annual")</f>
        <v>QSObject:Swap:w1~swap.2534:1788</v>
      </c>
      <c r="F2536" s="6" t="str">
        <f>_xll.QS.TRADE.CREATE("trade.2534",E2536,A2536,"Receive")</f>
        <v>QSObject:SwapTrade:w1~trade.2534:11292</v>
      </c>
      <c r="G2536" s="3">
        <f>_xll.QS.EVALUATE(C2536,F2536)</f>
        <v>36806.655986263111</v>
      </c>
      <c r="H2536" s="5" t="s">
        <v>1458</v>
      </c>
      <c r="I2536" s="7">
        <v>1253400</v>
      </c>
      <c r="J2536" s="8">
        <v>3.8399999999999997E-2</v>
      </c>
    </row>
    <row r="2537" spans="1:10" x14ac:dyDescent="0.25">
      <c r="A2537" s="5" t="s">
        <v>1446</v>
      </c>
      <c r="B2537" s="5" t="s">
        <v>4404</v>
      </c>
      <c r="C2537" s="6" t="str">
        <f>_xll.QS.CONTEXT.CREATE("market.2535",A2537,"USD","SOFR")</f>
        <v>QSObject:PricingContext:w1~market.2535:14434</v>
      </c>
      <c r="D2537" s="6" t="str">
        <f>_xll.QS.CONTEXT.ADD.CURVE(C2537,"SOFR",$K$2:$K$7,$L$2:$L$7,,,"Actual360","LogLinear",TRUE)</f>
        <v>QSObject:ContextInput:w1~input.qs_context_add_curve.2359132437744.2536.3.0:37785</v>
      </c>
      <c r="E2537" s="6" t="str">
        <f>_xll.QS.INSTRUMENT.SWAP("swap.2535",H2537,B2537,"USD","SOFR",I2537,J2537,0,"Actual360","Simple","Annual","Annual","Annual")</f>
        <v>QSObject:Swap:w1~swap.2535:4879</v>
      </c>
      <c r="F2537" s="6" t="str">
        <f>_xll.QS.TRADE.CREATE("trade.2535",E2537,A2537,"Receive")</f>
        <v>QSObject:SwapTrade:w1~trade.2535:12797</v>
      </c>
      <c r="G2537" s="3">
        <f>_xll.QS.EVALUATE(C2537,F2537)</f>
        <v>37417.644947003071</v>
      </c>
      <c r="H2537" s="5" t="s">
        <v>1460</v>
      </c>
      <c r="I2537" s="7">
        <v>1253500</v>
      </c>
      <c r="J2537" s="8">
        <v>3.8500000000000013E-2</v>
      </c>
    </row>
    <row r="2538" spans="1:10" x14ac:dyDescent="0.25">
      <c r="A2538" s="5" t="s">
        <v>1448</v>
      </c>
      <c r="B2538" s="5" t="s">
        <v>4405</v>
      </c>
      <c r="C2538" s="6" t="str">
        <f>_xll.QS.CONTEXT.CREATE("market.2536",A2538,"USD","SOFR")</f>
        <v>QSObject:PricingContext:w1~market.2536:9656</v>
      </c>
      <c r="D2538" s="6" t="str">
        <f>_xll.QS.CONTEXT.ADD.CURVE(C2538,"SOFR",$K$2:$K$7,$L$2:$L$7,,,"Actual360","LogLinear",TRUE)</f>
        <v>QSObject:ContextInput:w1~input.qs_context_add_curve.2359132437744.2537.3.0:16119</v>
      </c>
      <c r="E2538" s="6" t="str">
        <f>_xll.QS.INSTRUMENT.SWAP("swap.2536",H2538,B2538,"USD","SOFR",I2538,J2538,0,"Actual360","Simple","Annual","Annual","Annual")</f>
        <v>QSObject:Swap:w1~swap.2536:8060</v>
      </c>
      <c r="F2538" s="6" t="str">
        <f>_xll.QS.TRADE.CREATE("trade.2536",E2538,A2538,"Receive")</f>
        <v>QSObject:SwapTrade:w1~trade.2536:17099</v>
      </c>
      <c r="G2538" s="3">
        <f>_xll.QS.EVALUATE(C2538,F2538)</f>
        <v>38090.377822813767</v>
      </c>
      <c r="H2538" s="5" t="s">
        <v>1462</v>
      </c>
      <c r="I2538" s="7">
        <v>1253600</v>
      </c>
      <c r="J2538" s="8">
        <v>3.8600000000000002E-2</v>
      </c>
    </row>
    <row r="2539" spans="1:10" x14ac:dyDescent="0.25">
      <c r="A2539" s="5" t="s">
        <v>1450</v>
      </c>
      <c r="B2539" s="5" t="s">
        <v>4406</v>
      </c>
      <c r="C2539" s="6" t="str">
        <f>_xll.QS.CONTEXT.CREATE("market.2537",A2539,"USD","SOFR")</f>
        <v>QSObject:PricingContext:w1~market.2537:11291</v>
      </c>
      <c r="D2539" s="6" t="str">
        <f>_xll.QS.CONTEXT.ADD.CURVE(C2539,"SOFR",$K$2:$K$7,$L$2:$L$7,,,"Actual360","LogLinear",TRUE)</f>
        <v>QSObject:ContextInput:w1~input.qs_context_add_curve.2359132437744.2538.3.0:37784</v>
      </c>
      <c r="E2539" s="6" t="str">
        <f>_xll.QS.INSTRUMENT.SWAP("swap.2537",H2539,B2539,"USD","SOFR",I2539,J2539,0,"Actual360","Simple","Annual","Annual","Annual")</f>
        <v>QSObject:Swap:w1~swap.2537:3314</v>
      </c>
      <c r="F2539" s="6" t="str">
        <f>_xll.QS.TRADE.CREATE("trade.2537",E2539,A2539,"Receive")</f>
        <v>QSObject:SwapTrade:w1~trade.2537:4878</v>
      </c>
      <c r="G2539" s="3">
        <f>_xll.QS.EVALUATE(C2539,F2539)</f>
        <v>38726.403555257493</v>
      </c>
      <c r="H2539" s="5" t="s">
        <v>1464</v>
      </c>
      <c r="I2539" s="7">
        <v>1253700</v>
      </c>
      <c r="J2539" s="8">
        <v>3.8700000000000012E-2</v>
      </c>
    </row>
    <row r="2540" spans="1:10" x14ac:dyDescent="0.25">
      <c r="A2540" s="5" t="s">
        <v>1452</v>
      </c>
      <c r="B2540" s="5" t="s">
        <v>4407</v>
      </c>
      <c r="C2540" s="6" t="str">
        <f>_xll.QS.CONTEXT.CREATE("market.2538",A2540,"USD","SOFR")</f>
        <v>QSObject:PricingContext:w1~market.2538:14433</v>
      </c>
      <c r="D2540" s="6" t="str">
        <f>_xll.QS.CONTEXT.ADD.CURVE(C2540,"SOFR",$K$2:$K$7,$L$2:$L$7,,,"Actual360","LogLinear",TRUE)</f>
        <v>QSObject:ContextInput:w1~input.qs_context_add_curve.2359132437744.2539.3.0:29247</v>
      </c>
      <c r="E2540" s="6" t="str">
        <f>_xll.QS.INSTRUMENT.SWAP("swap.2538",H2540,B2540,"USD","SOFR",I2540,J2540,0,"Actual360","Simple","Annual","Annual","Annual")</f>
        <v>QSObject:Swap:w1~swap.2538:12796</v>
      </c>
      <c r="F2540" s="6" t="str">
        <f>_xll.QS.TRADE.CREATE("trade.2538",E2540,A2540,"Receive")</f>
        <v>QSObject:SwapTrade:w1~trade.2538:16118</v>
      </c>
      <c r="G2540" s="3">
        <f>_xll.QS.EVALUATE(C2540,F2540)</f>
        <v>39259.273269866193</v>
      </c>
      <c r="H2540" s="5" t="s">
        <v>1466</v>
      </c>
      <c r="I2540" s="7">
        <v>1253800</v>
      </c>
      <c r="J2540" s="8">
        <v>3.8800000000000001E-2</v>
      </c>
    </row>
    <row r="2541" spans="1:10" x14ac:dyDescent="0.25">
      <c r="A2541" s="5" t="s">
        <v>1454</v>
      </c>
      <c r="B2541" s="5" t="s">
        <v>4408</v>
      </c>
      <c r="C2541" s="6" t="str">
        <f>_xll.QS.CONTEXT.CREATE("market.2539",A2541,"USD","SOFR")</f>
        <v>QSObject:PricingContext:w1~market.2539:8059</v>
      </c>
      <c r="D2541" s="6" t="str">
        <f>_xll.QS.CONTEXT.ADD.CURVE(C2541,"SOFR",$K$2:$K$7,$L$2:$L$7,,,"Actual360","LogLinear",TRUE)</f>
        <v>QSObject:ContextInput:w1~input.qs_context_add_curve.2359132437744.2540.3.0:17098</v>
      </c>
      <c r="E2541" s="6" t="str">
        <f>_xll.QS.INSTRUMENT.SWAP("swap.2539",H2541,B2541,"USD","SOFR",I2541,J2541,0,"Actual360","Simple","Annual","Annual","Annual")</f>
        <v>QSObject:Swap:w1~swap.2539:9655</v>
      </c>
      <c r="F2541" s="6" t="str">
        <f>_xll.QS.TRADE.CREATE("trade.2539",E2541,A2541,"Receive")</f>
        <v>QSObject:SwapTrade:w1~trade.2539:11290</v>
      </c>
      <c r="G2541" s="3">
        <f>_xll.QS.EVALUATE(C2541,F2541)</f>
        <v>39740.86589099533</v>
      </c>
      <c r="H2541" s="5" t="s">
        <v>1468</v>
      </c>
      <c r="I2541" s="7">
        <v>1253900</v>
      </c>
      <c r="J2541" s="8">
        <v>3.8899999999999997E-2</v>
      </c>
    </row>
    <row r="2542" spans="1:10" x14ac:dyDescent="0.25">
      <c r="A2542" s="5" t="s">
        <v>1456</v>
      </c>
      <c r="B2542" s="5" t="s">
        <v>4409</v>
      </c>
      <c r="C2542" s="6" t="str">
        <f>_xll.QS.CONTEXT.CREATE("market.2540",A2542,"USD","SOFR")</f>
        <v>QSObject:PricingContext:w1~market.2540:14432</v>
      </c>
      <c r="D2542" s="6" t="str">
        <f>_xll.QS.CONTEXT.ADD.CURVE(C2542,"SOFR",$K$2:$K$7,$L$2:$L$7,,,"Actual360","LogLinear",TRUE)</f>
        <v>QSObject:ContextInput:w1~input.qs_context_add_curve.2359132437744.2541.3.0:37783</v>
      </c>
      <c r="E2542" s="6" t="str">
        <f>_xll.QS.INSTRUMENT.SWAP("swap.2540",H2542,B2542,"USD","SOFR",I2542,J2542,0,"Actual360","Simple","Annual","Annual","Annual")</f>
        <v>QSObject:Swap:w1~swap.2540:1787</v>
      </c>
      <c r="F2542" s="6" t="str">
        <f>_xll.QS.TRADE.CREATE("trade.2540",E2542,A2542,"Receive")</f>
        <v>QSObject:SwapTrade:w1~trade.2540:4877</v>
      </c>
      <c r="G2542" s="3">
        <f>_xll.QS.EVALUATE(C2542,F2542)</f>
        <v>40241.842311362489</v>
      </c>
      <c r="H2542" s="5" t="s">
        <v>1470</v>
      </c>
      <c r="I2542" s="7">
        <v>1254000</v>
      </c>
      <c r="J2542" s="8">
        <v>3.9000000000000007E-2</v>
      </c>
    </row>
    <row r="2543" spans="1:10" x14ac:dyDescent="0.25">
      <c r="A2543" s="5" t="s">
        <v>1458</v>
      </c>
      <c r="B2543" s="5" t="s">
        <v>4410</v>
      </c>
      <c r="C2543" s="6" t="str">
        <f>_xll.QS.CONTEXT.CREATE("market.2541",A2543,"USD","SOFR")</f>
        <v>QSObject:PricingContext:w1~market.2541:17097</v>
      </c>
      <c r="D2543" s="6" t="str">
        <f>_xll.QS.CONTEXT.ADD.CURVE(C2543,"SOFR",$K$2:$K$7,$L$2:$L$7,,,"Actual360","LogLinear",TRUE)</f>
        <v>QSObject:ContextInput:w1~input.qs_context_add_curve.2359132437744.2542.3.0:37782</v>
      </c>
      <c r="E2543" s="6" t="str">
        <f>_xll.QS.INSTRUMENT.SWAP("swap.2541",H2543,B2543,"USD","SOFR",I2543,J2543,0,"Actual360","Simple","Annual","Annual","Annual")</f>
        <v>QSObject:Swap:w1~swap.2541:12795</v>
      </c>
      <c r="F2543" s="6" t="str">
        <f>_xll.QS.TRADE.CREATE("trade.2541",E2543,A2543,"Receive")</f>
        <v>QSObject:SwapTrade:w1~trade.2541:29246</v>
      </c>
      <c r="G2543" s="3">
        <f>_xll.QS.EVALUATE(C2543,F2543)</f>
        <v>40877.22259154066</v>
      </c>
      <c r="H2543" s="5" t="s">
        <v>1472</v>
      </c>
      <c r="I2543" s="7">
        <v>1254100</v>
      </c>
      <c r="J2543" s="8">
        <v>3.9100000000000003E-2</v>
      </c>
    </row>
    <row r="2544" spans="1:10" x14ac:dyDescent="0.25">
      <c r="A2544" s="5" t="s">
        <v>1460</v>
      </c>
      <c r="B2544" s="5" t="s">
        <v>4411</v>
      </c>
      <c r="C2544" s="6" t="str">
        <f>_xll.QS.CONTEXT.CREATE("market.2542",A2544,"USD","SOFR")</f>
        <v>QSObject:PricingContext:w1~market.2542:8058</v>
      </c>
      <c r="D2544" s="6" t="str">
        <f>_xll.QS.CONTEXT.ADD.CURVE(C2544,"SOFR",$K$2:$K$7,$L$2:$L$7,,,"Actual360","LogLinear",TRUE)</f>
        <v>QSObject:ContextInput:w1~input.qs_context_add_curve.2359132437744.2543.3.0:11289</v>
      </c>
      <c r="E2544" s="6" t="str">
        <f>_xll.QS.INSTRUMENT.SWAP("swap.2542",H2544,B2544,"USD","SOFR",I2544,J2544,0,"Actual360","Simple","Annual","Annual","Annual")</f>
        <v>QSObject:Swap:w1~swap.2542:16117</v>
      </c>
      <c r="F2544" s="6" t="str">
        <f>_xll.QS.TRADE.CREATE("trade.2542",E2544,A2544,"Receive")</f>
        <v>QSObject:SwapTrade:w1~trade.2542:29245</v>
      </c>
      <c r="G2544" s="3">
        <f>_xll.QS.EVALUATE(C2544,F2544)</f>
        <v>41486.72635132369</v>
      </c>
      <c r="H2544" s="5" t="s">
        <v>1474</v>
      </c>
      <c r="I2544" s="7">
        <v>1254200</v>
      </c>
      <c r="J2544" s="8">
        <v>3.9200000000000013E-2</v>
      </c>
    </row>
    <row r="2545" spans="1:10" x14ac:dyDescent="0.25">
      <c r="A2545" s="5" t="s">
        <v>1462</v>
      </c>
      <c r="B2545" s="5" t="s">
        <v>4412</v>
      </c>
      <c r="C2545" s="6" t="str">
        <f>_xll.QS.CONTEXT.CREATE("market.2543",A2545,"USD","SOFR")</f>
        <v>QSObject:PricingContext:w1~market.2543:17096</v>
      </c>
      <c r="D2545" s="6" t="str">
        <f>_xll.QS.CONTEXT.ADD.CURVE(C2545,"SOFR",$K$2:$K$7,$L$2:$L$7,,,"Actual360","LogLinear",TRUE)</f>
        <v>QSObject:ContextInput:w1~input.qs_context_add_curve.2359132437744.2544.3.0:37781</v>
      </c>
      <c r="E2545" s="6" t="str">
        <f>_xll.QS.INSTRUMENT.SWAP("swap.2543",H2545,B2545,"USD","SOFR",I2545,J2545,0,"Actual360","Simple","Annual","Annual","Annual")</f>
        <v>QSObject:Swap:w1~swap.2543:14431</v>
      </c>
      <c r="F2545" s="6" t="str">
        <f>_xll.QS.TRADE.CREATE("trade.2543",E2545,A2545,"Receive")</f>
        <v>QSObject:SwapTrade:w1~trade.2543:29244</v>
      </c>
      <c r="G2545" s="3">
        <f>_xll.QS.EVALUATE(C2545,F2545)</f>
        <v>42106.874442061104</v>
      </c>
      <c r="H2545" s="5" t="s">
        <v>1476</v>
      </c>
      <c r="I2545" s="7">
        <v>1254300</v>
      </c>
      <c r="J2545" s="8">
        <v>3.9300000000000002E-2</v>
      </c>
    </row>
    <row r="2546" spans="1:10" x14ac:dyDescent="0.25">
      <c r="A2546" s="5" t="s">
        <v>1464</v>
      </c>
      <c r="B2546" s="5" t="s">
        <v>4413</v>
      </c>
      <c r="C2546" s="6" t="str">
        <f>_xll.QS.CONTEXT.CREATE("market.2544",A2546,"USD","SOFR")</f>
        <v>QSObject:PricingContext:w1~market.2544:4876</v>
      </c>
      <c r="D2546" s="6" t="str">
        <f>_xll.QS.CONTEXT.ADD.CURVE(C2546,"SOFR",$K$2:$K$7,$L$2:$L$7,,,"Actual360","LogLinear",TRUE)</f>
        <v>QSObject:ContextInput:w1~input.qs_context_add_curve.2359132437744.2545.3.0:9654</v>
      </c>
      <c r="E2546" s="6" t="str">
        <f>_xll.QS.INSTRUMENT.SWAP("swap.2544",H2546,B2546,"USD","SOFR",I2546,J2546,0,"Actual360","Simple","Annual","Annual","Annual")</f>
        <v>QSObject:Swap:w1~swap.2544:12794</v>
      </c>
      <c r="F2546" s="6" t="str">
        <f>_xll.QS.TRADE.CREATE("trade.2544",E2546,A2546,"Receive")</f>
        <v>QSObject:SwapTrade:w1~trade.2544:29243</v>
      </c>
      <c r="G2546" s="3">
        <f>_xll.QS.EVALUATE(C2546,F2546)</f>
        <v>42796.915215223016</v>
      </c>
      <c r="H2546" s="5" t="s">
        <v>1478</v>
      </c>
      <c r="I2546" s="7">
        <v>1254400</v>
      </c>
      <c r="J2546" s="8">
        <v>3.9399999999999998E-2</v>
      </c>
    </row>
    <row r="2547" spans="1:10" x14ac:dyDescent="0.25">
      <c r="A2547" s="5" t="s">
        <v>1466</v>
      </c>
      <c r="B2547" s="5" t="s">
        <v>4414</v>
      </c>
      <c r="C2547" s="6" t="str">
        <f>_xll.QS.CONTEXT.CREATE("market.2545",A2547,"USD","SOFR")</f>
        <v>QSObject:PricingContext:w1~market.2545:16116</v>
      </c>
      <c r="D2547" s="6" t="str">
        <f>_xll.QS.CONTEXT.ADD.CURVE(C2547,"SOFR",$K$2:$K$7,$L$2:$L$7,,,"Actual360","LogLinear",TRUE)</f>
        <v>QSObject:ContextInput:w1~input.qs_context_add_curve.2359132437744.2546.3.0:37780</v>
      </c>
      <c r="E2547" s="6" t="str">
        <f>_xll.QS.INSTRUMENT.SWAP("swap.2545",H2547,B2547,"USD","SOFR",I2547,J2547,0,"Actual360","Simple","Annual","Annual","Annual")</f>
        <v>QSObject:Swap:w1~swap.2545:8057</v>
      </c>
      <c r="F2547" s="6" t="str">
        <f>_xll.QS.TRADE.CREATE("trade.2545",E2547,A2547,"Receive")</f>
        <v>QSObject:SwapTrade:w1~trade.2545:17095</v>
      </c>
      <c r="G2547" s="3">
        <f>_xll.QS.EVALUATE(C2547,F2547)</f>
        <v>43378.231601767991</v>
      </c>
      <c r="H2547" s="5" t="s">
        <v>1480</v>
      </c>
      <c r="I2547" s="7">
        <v>1254500</v>
      </c>
      <c r="J2547" s="8">
        <v>3.9500000000000007E-2</v>
      </c>
    </row>
    <row r="2548" spans="1:10" x14ac:dyDescent="0.25">
      <c r="A2548" s="5" t="s">
        <v>1468</v>
      </c>
      <c r="B2548" s="5" t="s">
        <v>4415</v>
      </c>
      <c r="C2548" s="6" t="str">
        <f>_xll.QS.CONTEXT.CREATE("market.2546",A2548,"USD","SOFR")</f>
        <v>QSObject:PricingContext:w1~market.2546:14430</v>
      </c>
      <c r="D2548" s="6" t="str">
        <f>_xll.QS.CONTEXT.ADD.CURVE(C2548,"SOFR",$K$2:$K$7,$L$2:$L$7,,,"Actual360","LogLinear",TRUE)</f>
        <v>QSObject:ContextInput:w1~input.qs_context_add_curve.2359132437744.2547.3.0:37779</v>
      </c>
      <c r="E2548" s="6" t="str">
        <f>_xll.QS.INSTRUMENT.SWAP("swap.2546",H2548,B2548,"USD","SOFR",I2548,J2548,0,"Actual360","Simple","Annual","Annual","Annual")</f>
        <v>QSObject:Swap:w1~swap.2546:1786</v>
      </c>
      <c r="F2548" s="6" t="str">
        <f>_xll.QS.TRADE.CREATE("trade.2546",E2548,A2548,"Receive")</f>
        <v>QSObject:SwapTrade:w1~trade.2546:9653</v>
      </c>
      <c r="G2548" s="3">
        <f>_xll.QS.EVALUATE(C2548,F2548)</f>
        <v>43855.633442895523</v>
      </c>
      <c r="H2548" s="5" t="s">
        <v>1482</v>
      </c>
      <c r="I2548" s="7">
        <v>1254600</v>
      </c>
      <c r="J2548" s="8">
        <v>3.9600000000000003E-2</v>
      </c>
    </row>
    <row r="2549" spans="1:10" x14ac:dyDescent="0.25">
      <c r="A2549" s="5" t="s">
        <v>1470</v>
      </c>
      <c r="B2549" s="5" t="s">
        <v>4416</v>
      </c>
      <c r="C2549" s="6" t="str">
        <f>_xll.QS.CONTEXT.CREATE("market.2547",A2549,"USD","SOFR")</f>
        <v>QSObject:PricingContext:w1~market.2547:12793</v>
      </c>
      <c r="D2549" s="6" t="str">
        <f>_xll.QS.CONTEXT.ADD.CURVE(C2549,"SOFR",$K$2:$K$7,$L$2:$L$7,,,"Actual360","LogLinear",TRUE)</f>
        <v>QSObject:ContextInput:w1~input.qs_context_add_curve.2359132437744.2548.3.0:37778</v>
      </c>
      <c r="E2549" s="6" t="str">
        <f>_xll.QS.INSTRUMENT.SWAP("swap.2547",H2549,B2549,"USD","SOFR",I2549,J2549,0,"Actual360","Simple","Annual","Annual","Annual")</f>
        <v>QSObject:Swap:w1~swap.2547:4875</v>
      </c>
      <c r="F2549" s="6" t="str">
        <f>_xll.QS.TRADE.CREATE("trade.2547",E2549,A2549,"Receive")</f>
        <v>QSObject:SwapTrade:w1~trade.2547:17094</v>
      </c>
      <c r="G2549" s="3">
        <f>_xll.QS.EVALUATE(C2549,F2549)</f>
        <v>44363.320226285519</v>
      </c>
      <c r="H2549" s="5" t="s">
        <v>1484</v>
      </c>
      <c r="I2549" s="7">
        <v>1254700</v>
      </c>
      <c r="J2549" s="8">
        <v>3.9700000000000013E-2</v>
      </c>
    </row>
    <row r="2550" spans="1:10" x14ac:dyDescent="0.25">
      <c r="A2550" s="5" t="s">
        <v>1472</v>
      </c>
      <c r="B2550" s="5" t="s">
        <v>4417</v>
      </c>
      <c r="C2550" s="6" t="str">
        <f>_xll.QS.CONTEXT.CREATE("market.2548",A2550,"USD","SOFR")</f>
        <v>QSObject:PricingContext:w1~market.2548:8056</v>
      </c>
      <c r="D2550" s="6" t="str">
        <f>_xll.QS.CONTEXT.ADD.CURVE(C2550,"SOFR",$K$2:$K$7,$L$2:$L$7,,,"Actual360","LogLinear",TRUE)</f>
        <v>QSObject:ContextInput:w1~input.qs_context_add_curve.2359132437744.2549.3.0:29242</v>
      </c>
      <c r="E2550" s="6" t="str">
        <f>_xll.QS.INSTRUMENT.SWAP("swap.2548",H2550,B2550,"USD","SOFR",I2550,J2550,0,"Actual360","Simple","Annual","Annual","Annual")</f>
        <v>QSObject:Swap:w1~swap.2548:16115</v>
      </c>
      <c r="F2550" s="6" t="str">
        <f>_xll.QS.TRADE.CREATE("trade.2548",E2550,A2550,"Receive")</f>
        <v>QSObject:SwapTrade:w1~trade.2548:29241</v>
      </c>
      <c r="G2550" s="3">
        <f>_xll.QS.EVALUATE(C2550,F2550)</f>
        <v>45003.246116715069</v>
      </c>
      <c r="H2550" s="5" t="s">
        <v>1486</v>
      </c>
      <c r="I2550" s="7">
        <v>1254800</v>
      </c>
      <c r="J2550" s="8">
        <v>3.9800000000000002E-2</v>
      </c>
    </row>
    <row r="2551" spans="1:10" x14ac:dyDescent="0.25">
      <c r="A2551" s="5" t="s">
        <v>1474</v>
      </c>
      <c r="B2551" s="5" t="s">
        <v>4418</v>
      </c>
      <c r="C2551" s="6" t="str">
        <f>_xll.QS.CONTEXT.CREATE("market.2549",A2551,"USD","SOFR")</f>
        <v>QSObject:PricingContext:w1~market.2549:12792</v>
      </c>
      <c r="D2551" s="6" t="str">
        <f>_xll.QS.CONTEXT.ADD.CURVE(C2551,"SOFR",$K$2:$K$7,$L$2:$L$7,,,"Actual360","LogLinear",TRUE)</f>
        <v>QSObject:ContextInput:w1~input.qs_context_add_curve.2359132437744.2550.3.0:29240</v>
      </c>
      <c r="E2551" s="6" t="str">
        <f>_xll.QS.INSTRUMENT.SWAP("swap.2549",H2551,B2551,"USD","SOFR",I2551,J2551,0,"Actual360","Simple","Annual","Annual","Annual")</f>
        <v>QSObject:Swap:w1~swap.2549:6456</v>
      </c>
      <c r="F2551" s="6" t="str">
        <f>_xll.QS.TRADE.CREATE("trade.2549",E2551,A2551,"Receive")</f>
        <v>QSObject:SwapTrade:w1~trade.2549:17093</v>
      </c>
      <c r="G2551" s="3">
        <f>_xll.QS.EVALUATE(C2551,F2551)</f>
        <v>45703.057153584487</v>
      </c>
      <c r="H2551" s="5" t="s">
        <v>1488</v>
      </c>
      <c r="I2551" s="7">
        <v>1254900</v>
      </c>
      <c r="J2551" s="8">
        <v>3.9899999999999998E-2</v>
      </c>
    </row>
    <row r="2552" spans="1:10" x14ac:dyDescent="0.25">
      <c r="A2552" s="5" t="s">
        <v>1476</v>
      </c>
      <c r="B2552" s="5" t="s">
        <v>4419</v>
      </c>
      <c r="C2552" s="6" t="str">
        <f>_xll.QS.CONTEXT.CREATE("market.2550",A2552,"USD","SOFR")</f>
        <v>QSObject:PricingContext:w1~market.2550:3313</v>
      </c>
      <c r="D2552" s="6" t="str">
        <f>_xll.QS.CONTEXT.ADD.CURVE(C2552,"SOFR",$K$2:$K$7,$L$2:$L$7,,,"Actual360","LogLinear",TRUE)</f>
        <v>QSObject:ContextInput:w1~input.qs_context_add_curve.2359132437744.2551.3.0:4874</v>
      </c>
      <c r="E2552" s="6" t="str">
        <f>_xll.QS.INSTRUMENT.SWAP("swap.2550",H2552,B2552,"USD","SOFR",I2552,J2552,0,"Actual360","Simple","Annual","Annual","Annual")</f>
        <v>QSObject:Swap:w1~swap.2550:1785</v>
      </c>
      <c r="F2552" s="6" t="str">
        <f>_xll.QS.TRADE.CREATE("trade.2550",E2552,A2552,"Receive")</f>
        <v>QSObject:SwapTrade:w1~trade.2550:11288</v>
      </c>
      <c r="G2552" s="3">
        <f>_xll.QS.EVALUATE(C2552,F2552)</f>
        <v>17247.406778461918</v>
      </c>
      <c r="H2552" s="5" t="s">
        <v>1490</v>
      </c>
      <c r="I2552" s="7">
        <v>1255000</v>
      </c>
      <c r="J2552" s="8">
        <v>3.5000000000000003E-2</v>
      </c>
    </row>
    <row r="2553" spans="1:10" x14ac:dyDescent="0.25">
      <c r="A2553" s="5" t="s">
        <v>1478</v>
      </c>
      <c r="B2553" s="5" t="s">
        <v>4420</v>
      </c>
      <c r="C2553" s="6" t="str">
        <f>_xll.QS.CONTEXT.CREATE("market.2551",A2553,"USD","SOFR")</f>
        <v>QSObject:PricingContext:w1~market.2551:14429</v>
      </c>
      <c r="D2553" s="6" t="str">
        <f>_xll.QS.CONTEXT.ADD.CURVE(C2553,"SOFR",$K$2:$K$7,$L$2:$L$7,,,"Actual360","LogLinear",TRUE)</f>
        <v>QSObject:ContextInput:w1~input.qs_context_add_curve.2359132437744.2552.3.0:37777</v>
      </c>
      <c r="E2553" s="6" t="str">
        <f>_xll.QS.INSTRUMENT.SWAP("swap.2551",H2553,B2553,"USD","SOFR",I2553,J2553,0,"Actual360","Simple","Annual","Annual","Annual")</f>
        <v>QSObject:Swap:w1~swap.2551:16114</v>
      </c>
      <c r="F2553" s="6" t="str">
        <f>_xll.QS.TRADE.CREATE("trade.2551",E2553,A2553,"Receive")</f>
        <v>QSObject:SwapTrade:w1~trade.2551:29239</v>
      </c>
      <c r="G2553" s="3">
        <f>_xll.QS.EVALUATE(C2553,F2553)</f>
        <v>17932.958854141674</v>
      </c>
      <c r="H2553" s="5" t="s">
        <v>1492</v>
      </c>
      <c r="I2553" s="7">
        <v>1255100</v>
      </c>
      <c r="J2553" s="8">
        <v>3.5100000000000013E-2</v>
      </c>
    </row>
    <row r="2554" spans="1:10" x14ac:dyDescent="0.25">
      <c r="A2554" s="5" t="s">
        <v>1480</v>
      </c>
      <c r="B2554" s="5" t="s">
        <v>4421</v>
      </c>
      <c r="C2554" s="6" t="str">
        <f>_xll.QS.CONTEXT.CREATE("market.2552",A2554,"USD","SOFR")</f>
        <v>QSObject:PricingContext:w1~market.2552:17092</v>
      </c>
      <c r="D2554" s="6" t="str">
        <f>_xll.QS.CONTEXT.ADD.CURVE(C2554,"SOFR",$K$2:$K$7,$L$2:$L$7,,,"Actual360","LogLinear",TRUE)</f>
        <v>QSObject:ContextInput:w1~input.qs_context_add_curve.2359132437744.2553.3.0:37776</v>
      </c>
      <c r="E2554" s="6" t="str">
        <f>_xll.QS.INSTRUMENT.SWAP("swap.2552",H2554,B2554,"USD","SOFR",I2554,J2554,0,"Actual360","Simple","Annual","Annual","Annual")</f>
        <v>QSObject:Swap:w1~swap.2552:12791</v>
      </c>
      <c r="F2554" s="6" t="str">
        <f>_xll.QS.TRADE.CREATE("trade.2552",E2554,A2554,"Receive")</f>
        <v>QSObject:SwapTrade:w1~trade.2552:29238</v>
      </c>
      <c r="G2554" s="3">
        <f>_xll.QS.EVALUATE(C2554,F2554)</f>
        <v>18512.430284355636</v>
      </c>
      <c r="H2554" s="5" t="s">
        <v>1494</v>
      </c>
      <c r="I2554" s="7">
        <v>1255200</v>
      </c>
      <c r="J2554" s="8">
        <v>3.5200000000000002E-2</v>
      </c>
    </row>
    <row r="2555" spans="1:10" x14ac:dyDescent="0.25">
      <c r="A2555" s="5" t="s">
        <v>1482</v>
      </c>
      <c r="B2555" s="5" t="s">
        <v>4422</v>
      </c>
      <c r="C2555" s="6" t="str">
        <f>_xll.QS.CONTEXT.CREATE("market.2553",A2555,"USD","SOFR")</f>
        <v>QSObject:PricingContext:w1~market.2553:14428</v>
      </c>
      <c r="D2555" s="6" t="str">
        <f>_xll.QS.CONTEXT.ADD.CURVE(C2555,"SOFR",$K$2:$K$7,$L$2:$L$7,,,"Actual360","LogLinear",TRUE)</f>
        <v>QSObject:ContextInput:w1~input.qs_context_add_curve.2359132437744.2554.3.0:37775</v>
      </c>
      <c r="E2555" s="6" t="str">
        <f>_xll.QS.INSTRUMENT.SWAP("swap.2553",H2555,B2555,"USD","SOFR",I2555,J2555,0,"Actual360","Simple","Annual","Annual","Annual")</f>
        <v>QSObject:Swap:w1~swap.2553:3312</v>
      </c>
      <c r="F2555" s="6" t="str">
        <f>_xll.QS.TRADE.CREATE("trade.2553",E2555,A2555,"Receive")</f>
        <v>QSObject:SwapTrade:w1~trade.2553:8055</v>
      </c>
      <c r="G2555" s="3">
        <f>_xll.QS.EVALUATE(C2555,F2555)</f>
        <v>19017.367038706099</v>
      </c>
      <c r="H2555" s="5" t="s">
        <v>1496</v>
      </c>
      <c r="I2555" s="7">
        <v>1255300</v>
      </c>
      <c r="J2555" s="8">
        <v>3.5299999999999998E-2</v>
      </c>
    </row>
    <row r="2556" spans="1:10" x14ac:dyDescent="0.25">
      <c r="A2556" s="5" t="s">
        <v>1484</v>
      </c>
      <c r="B2556" s="5" t="s">
        <v>4423</v>
      </c>
      <c r="C2556" s="6" t="str">
        <f>_xll.QS.CONTEXT.CREATE("market.2554",A2556,"USD","SOFR")</f>
        <v>QSObject:PricingContext:w1~market.2554:17091</v>
      </c>
      <c r="D2556" s="6" t="str">
        <f>_xll.QS.CONTEXT.ADD.CURVE(C2556,"SOFR",$K$2:$K$7,$L$2:$L$7,,,"Actual360","LogLinear",TRUE)</f>
        <v>QSObject:ContextInput:w1~input.qs_context_add_curve.2359132437744.2555.3.0:37774</v>
      </c>
      <c r="E2556" s="6" t="str">
        <f>_xll.QS.INSTRUMENT.SWAP("swap.2554",H2556,B2556,"USD","SOFR",I2556,J2556,0,"Actual360","Simple","Annual","Annual","Annual")</f>
        <v>QSObject:Swap:w1~swap.2554:1784</v>
      </c>
      <c r="F2556" s="6" t="str">
        <f>_xll.QS.TRADE.CREATE("trade.2554",E2556,A2556,"Receive")</f>
        <v>QSObject:SwapTrade:w1~trade.2554:9652</v>
      </c>
      <c r="G2556" s="3">
        <f>_xll.QS.EVALUATE(C2556,F2556)</f>
        <v>19484.597131654598</v>
      </c>
      <c r="H2556" s="5" t="s">
        <v>1498</v>
      </c>
      <c r="I2556" s="7">
        <v>1255400</v>
      </c>
      <c r="J2556" s="8">
        <v>3.5400000000000001E-2</v>
      </c>
    </row>
    <row r="2557" spans="1:10" x14ac:dyDescent="0.25">
      <c r="A2557" s="5" t="s">
        <v>1486</v>
      </c>
      <c r="B2557" s="5" t="s">
        <v>4424</v>
      </c>
      <c r="C2557" s="6" t="str">
        <f>_xll.QS.CONTEXT.CREATE("market.2555",A2557,"USD","SOFR")</f>
        <v>QSObject:PricingContext:w1~market.2555:12790</v>
      </c>
      <c r="D2557" s="6" t="str">
        <f>_xll.QS.CONTEXT.ADD.CURVE(C2557,"SOFR",$K$2:$K$7,$L$2:$L$7,,,"Actual360","LogLinear",TRUE)</f>
        <v>QSObject:ContextInput:w1~input.qs_context_add_curve.2359132437744.2556.3.0:37773</v>
      </c>
      <c r="E2557" s="6" t="str">
        <f>_xll.QS.INSTRUMENT.SWAP("swap.2555",H2557,B2557,"USD","SOFR",I2557,J2557,0,"Actual360","Simple","Annual","Annual","Annual")</f>
        <v>QSObject:Swap:w1~swap.2555:6455</v>
      </c>
      <c r="F2557" s="6" t="str">
        <f>_xll.QS.TRADE.CREATE("trade.2555",E2557,A2557,"Receive")</f>
        <v>QSObject:SwapTrade:w1~trade.2555:29237</v>
      </c>
      <c r="G2557" s="3">
        <f>_xll.QS.EVALUATE(C2557,F2557)</f>
        <v>20120.835054902913</v>
      </c>
      <c r="H2557" s="5" t="s">
        <v>1500</v>
      </c>
      <c r="I2557" s="7">
        <v>1255500</v>
      </c>
      <c r="J2557" s="8">
        <v>3.5499999999999997E-2</v>
      </c>
    </row>
    <row r="2558" spans="1:10" x14ac:dyDescent="0.25">
      <c r="A2558" s="5" t="s">
        <v>1488</v>
      </c>
      <c r="B2558" s="5" t="s">
        <v>4425</v>
      </c>
      <c r="C2558" s="6" t="str">
        <f>_xll.QS.CONTEXT.CREATE("market.2556",A2558,"USD","SOFR")</f>
        <v>QSObject:PricingContext:w1~market.2556:17090</v>
      </c>
      <c r="D2558" s="6" t="str">
        <f>_xll.QS.CONTEXT.ADD.CURVE(C2558,"SOFR",$K$2:$K$7,$L$2:$L$7,,,"Actual360","LogLinear",TRUE)</f>
        <v>QSObject:ContextInput:w1~input.qs_context_add_curve.2359132437744.2557.3.0:37772</v>
      </c>
      <c r="E2558" s="6" t="str">
        <f>_xll.QS.INSTRUMENT.SWAP("swap.2556",H2558,B2558,"USD","SOFR",I2558,J2558,0,"Actual360","Simple","Annual","Annual","Annual")</f>
        <v>QSObject:Swap:w1~swap.2556:14427</v>
      </c>
      <c r="F2558" s="6" t="str">
        <f>_xll.QS.TRADE.CREATE("trade.2556",E2558,A2558,"Receive")</f>
        <v>QSObject:SwapTrade:w1~trade.2556:29236</v>
      </c>
      <c r="G2558" s="3">
        <f>_xll.QS.EVALUATE(C2558,F2558)</f>
        <v>20830.823753752717</v>
      </c>
      <c r="H2558" s="5" t="s">
        <v>1502</v>
      </c>
      <c r="I2558" s="7">
        <v>1255600</v>
      </c>
      <c r="J2558" s="8">
        <v>3.5600000000000007E-2</v>
      </c>
    </row>
    <row r="2559" spans="1:10" x14ac:dyDescent="0.25">
      <c r="A2559" s="5" t="s">
        <v>1490</v>
      </c>
      <c r="B2559" s="5" t="s">
        <v>4426</v>
      </c>
      <c r="C2559" s="6" t="str">
        <f>_xll.QS.CONTEXT.CREATE("market.2557",A2559,"USD","SOFR")</f>
        <v>QSObject:PricingContext:w1~market.2557:1783</v>
      </c>
      <c r="D2559" s="6" t="str">
        <f>_xll.QS.CONTEXT.ADD.CURVE(C2559,"SOFR",$K$2:$K$7,$L$2:$L$7,,,"Actual360","LogLinear",TRUE)</f>
        <v>QSObject:ContextInput:w1~input.qs_context_add_curve.2359132437744.2558.3.0:9651</v>
      </c>
      <c r="E2559" s="6" t="str">
        <f>_xll.QS.INSTRUMENT.SWAP("swap.2557",H2559,B2559,"USD","SOFR",I2559,J2559,0,"Actual360","Simple","Annual","Annual","Annual")</f>
        <v>QSObject:Swap:w1~swap.2557:16113</v>
      </c>
      <c r="F2559" s="6" t="str">
        <f>_xll.QS.TRADE.CREATE("trade.2557",E2559,A2559,"Receive")</f>
        <v>QSObject:SwapTrade:w1~trade.2557:29235</v>
      </c>
      <c r="G2559" s="3">
        <f>_xll.QS.EVALUATE(C2559,F2559)</f>
        <v>21361.674829359072</v>
      </c>
      <c r="H2559" s="5" t="s">
        <v>1504</v>
      </c>
      <c r="I2559" s="7">
        <v>1255700</v>
      </c>
      <c r="J2559" s="8">
        <v>3.5700000000000003E-2</v>
      </c>
    </row>
    <row r="2560" spans="1:10" x14ac:dyDescent="0.25">
      <c r="A2560" s="5" t="s">
        <v>1492</v>
      </c>
      <c r="B2560" s="5" t="s">
        <v>4427</v>
      </c>
      <c r="C2560" s="6" t="str">
        <f>_xll.QS.CONTEXT.CREATE("market.2558",A2560,"USD","SOFR")</f>
        <v>QSObject:PricingContext:w1~market.2558:17089</v>
      </c>
      <c r="D2560" s="6" t="str">
        <f>_xll.QS.CONTEXT.ADD.CURVE(C2560,"SOFR",$K$2:$K$7,$L$2:$L$7,,,"Actual360","LogLinear",TRUE)</f>
        <v>QSObject:ContextInput:w1~input.qs_context_add_curve.2359132437744.2559.3.0:37771</v>
      </c>
      <c r="E2560" s="6" t="str">
        <f>_xll.QS.INSTRUMENT.SWAP("swap.2558",H2560,B2560,"USD","SOFR",I2560,J2560,0,"Actual360","Simple","Annual","Annual","Annual")</f>
        <v>QSObject:Swap:w1~swap.2558:12789</v>
      </c>
      <c r="F2560" s="6" t="str">
        <f>_xll.QS.TRADE.CREATE("trade.2558",E2560,A2560,"Receive")</f>
        <v>QSObject:SwapTrade:w1~trade.2558:29234</v>
      </c>
      <c r="G2560" s="3">
        <f>_xll.QS.EVALUATE(C2560,F2560)</f>
        <v>21997.230715896229</v>
      </c>
      <c r="H2560" s="5" t="s">
        <v>1506</v>
      </c>
      <c r="I2560" s="7">
        <v>1255800</v>
      </c>
      <c r="J2560" s="8">
        <v>3.5800000000000012E-2</v>
      </c>
    </row>
    <row r="2561" spans="1:10" x14ac:dyDescent="0.25">
      <c r="A2561" s="5" t="s">
        <v>1494</v>
      </c>
      <c r="B2561" s="5" t="s">
        <v>4428</v>
      </c>
      <c r="C2561" s="6" t="str">
        <f>_xll.QS.CONTEXT.CREATE("market.2559",A2561,"USD","SOFR")</f>
        <v>QSObject:PricingContext:w1~market.2559:1782</v>
      </c>
      <c r="D2561" s="6" t="str">
        <f>_xll.QS.CONTEXT.ADD.CURVE(C2561,"SOFR",$K$2:$K$7,$L$2:$L$7,,,"Actual360","LogLinear",TRUE)</f>
        <v>QSObject:ContextInput:w1~input.qs_context_add_curve.2359132437744.2560.3.0:11287</v>
      </c>
      <c r="E2561" s="6" t="str">
        <f>_xll.QS.INSTRUMENT.SWAP("swap.2559",H2561,B2561,"USD","SOFR",I2561,J2561,0,"Actual360","Simple","Annual","Annual","Annual")</f>
        <v>QSObject:Swap:w1~swap.2559:14426</v>
      </c>
      <c r="F2561" s="6" t="str">
        <f>_xll.QS.TRADE.CREATE("trade.2559",E2561,A2561,"Receive")</f>
        <v>QSObject:SwapTrade:w1~trade.2559:29233</v>
      </c>
      <c r="G2561" s="3">
        <f>_xll.QS.EVALUATE(C2561,F2561)</f>
        <v>22529.831941121811</v>
      </c>
      <c r="H2561" s="5" t="s">
        <v>1508</v>
      </c>
      <c r="I2561" s="7">
        <v>1255900</v>
      </c>
      <c r="J2561" s="8">
        <v>3.5900000000000001E-2</v>
      </c>
    </row>
    <row r="2562" spans="1:10" x14ac:dyDescent="0.25">
      <c r="A2562" s="5" t="s">
        <v>1496</v>
      </c>
      <c r="B2562" s="5" t="s">
        <v>4429</v>
      </c>
      <c r="C2562" s="6" t="str">
        <f>_xll.QS.CONTEXT.CREATE("market.2560",A2562,"USD","SOFR")</f>
        <v>QSObject:PricingContext:w1~market.2560:4873</v>
      </c>
      <c r="D2562" s="6" t="str">
        <f>_xll.QS.CONTEXT.ADD.CURVE(C2562,"SOFR",$K$2:$K$7,$L$2:$L$7,,,"Actual360","LogLinear",TRUE)</f>
        <v>QSObject:ContextInput:w1~input.qs_context_add_curve.2359132437744.2561.3.0:17088</v>
      </c>
      <c r="E2562" s="6" t="str">
        <f>_xll.QS.INSTRUMENT.SWAP("swap.2560",H2562,B2562,"USD","SOFR",I2562,J2562,0,"Actual360","Simple","Annual","Annual","Annual")</f>
        <v>QSObject:Swap:w1~swap.2560:8054</v>
      </c>
      <c r="F2562" s="6" t="str">
        <f>_xll.QS.TRADE.CREATE("trade.2560",E2562,A2562,"Receive")</f>
        <v>QSObject:SwapTrade:w1~trade.2560:16112</v>
      </c>
      <c r="G2562" s="3">
        <f>_xll.QS.EVALUATE(C2562,F2562)</f>
        <v>23030.66828568418</v>
      </c>
      <c r="H2562" s="5" t="s">
        <v>1510</v>
      </c>
      <c r="I2562" s="7">
        <v>1256000</v>
      </c>
      <c r="J2562" s="8">
        <v>3.5999999999999997E-2</v>
      </c>
    </row>
    <row r="2563" spans="1:10" x14ac:dyDescent="0.25">
      <c r="A2563" s="5" t="s">
        <v>1498</v>
      </c>
      <c r="B2563" s="5" t="s">
        <v>4430</v>
      </c>
      <c r="C2563" s="6" t="str">
        <f>_xll.QS.CONTEXT.CREATE("market.2561",A2563,"USD","SOFR")</f>
        <v>QSObject:PricingContext:w1~market.2561:3311</v>
      </c>
      <c r="D2563" s="6" t="str">
        <f>_xll.QS.CONTEXT.ADD.CURVE(C2563,"SOFR",$K$2:$K$7,$L$2:$L$7,,,"Actual360","LogLinear",TRUE)</f>
        <v>QSObject:ContextInput:w1~input.qs_context_add_curve.2359132437744.2562.3.0:6454</v>
      </c>
      <c r="E2563" s="6" t="str">
        <f>_xll.QS.INSTRUMENT.SWAP("swap.2561",H2563,B2563,"USD","SOFR",I2563,J2563,0,"Actual360","Simple","Annual","Annual","Annual")</f>
        <v>QSObject:Swap:w1~swap.2561:12788</v>
      </c>
      <c r="F2563" s="6" t="str">
        <f>_xll.QS.TRADE.CREATE("trade.2561",E2563,A2563,"Receive")</f>
        <v>QSObject:SwapTrade:w1~trade.2561:29232</v>
      </c>
      <c r="G2563" s="3">
        <f>_xll.QS.EVALUATE(C2563,F2563)</f>
        <v>23505.100408160637</v>
      </c>
      <c r="H2563" s="5" t="s">
        <v>1512</v>
      </c>
      <c r="I2563" s="7">
        <v>1256100</v>
      </c>
      <c r="J2563" s="8">
        <v>3.61E-2</v>
      </c>
    </row>
    <row r="2564" spans="1:10" x14ac:dyDescent="0.25">
      <c r="A2564" s="5" t="s">
        <v>1500</v>
      </c>
      <c r="B2564" s="5" t="s">
        <v>4431</v>
      </c>
      <c r="C2564" s="6" t="str">
        <f>_xll.QS.CONTEXT.CREATE("market.2562",A2564,"USD","SOFR")</f>
        <v>QSObject:PricingContext:w1~market.2562:14425</v>
      </c>
      <c r="D2564" s="6" t="str">
        <f>_xll.QS.CONTEXT.ADD.CURVE(C2564,"SOFR",$K$2:$K$7,$L$2:$L$7,,,"Actual360","LogLinear",TRUE)</f>
        <v>QSObject:ContextInput:w1~input.qs_context_add_curve.2359132437744.2563.3.0:37770</v>
      </c>
      <c r="E2564" s="6" t="str">
        <f>_xll.QS.INSTRUMENT.SWAP("swap.2562",H2564,B2564,"USD","SOFR",I2564,J2564,0,"Actual360","Simple","Annual","Annual","Annual")</f>
        <v>QSObject:Swap:w1~swap.2562:9650</v>
      </c>
      <c r="F2564" s="6" t="str">
        <f>_xll.QS.TRADE.CREATE("trade.2562",E2564,A2564,"Receive")</f>
        <v>QSObject:SwapTrade:w1~trade.2562:29231</v>
      </c>
      <c r="G2564" s="3">
        <f>_xll.QS.EVALUATE(C2564,F2564)</f>
        <v>24138.581026328626</v>
      </c>
      <c r="H2564" s="5" t="s">
        <v>1514</v>
      </c>
      <c r="I2564" s="7">
        <v>1256200</v>
      </c>
      <c r="J2564" s="8">
        <v>3.6200000000000003E-2</v>
      </c>
    </row>
    <row r="2565" spans="1:10" x14ac:dyDescent="0.25">
      <c r="A2565" s="5" t="s">
        <v>1502</v>
      </c>
      <c r="B2565" s="5" t="s">
        <v>4432</v>
      </c>
      <c r="C2565" s="6" t="str">
        <f>_xll.QS.CONTEXT.CREATE("market.2563",A2565,"USD","SOFR")</f>
        <v>QSObject:PricingContext:w1~market.2563:6453</v>
      </c>
      <c r="D2565" s="6" t="str">
        <f>_xll.QS.CONTEXT.ADD.CURVE(C2565,"SOFR",$K$2:$K$7,$L$2:$L$7,,,"Actual360","LogLinear",TRUE)</f>
        <v>QSObject:ContextInput:w1~input.qs_context_add_curve.2359132437744.2564.3.0:16111</v>
      </c>
      <c r="E2565" s="6" t="str">
        <f>_xll.QS.INSTRUMENT.SWAP("swap.2563",H2565,B2565,"USD","SOFR",I2565,J2565,0,"Actual360","Simple","Annual","Annual","Annual")</f>
        <v>QSObject:Swap:w1~swap.2563:3310</v>
      </c>
      <c r="F2565" s="6" t="str">
        <f>_xll.QS.TRADE.CREATE("trade.2563",E2565,A2565,"Receive")</f>
        <v>QSObject:SwapTrade:w1~trade.2563:8053</v>
      </c>
      <c r="G2565" s="3">
        <f>_xll.QS.EVALUATE(C2565,F2565)</f>
        <v>24756.10099595449</v>
      </c>
      <c r="H2565" s="5" t="s">
        <v>1516</v>
      </c>
      <c r="I2565" s="7">
        <v>1256300</v>
      </c>
      <c r="J2565" s="8">
        <v>3.6300000000000013E-2</v>
      </c>
    </row>
    <row r="2566" spans="1:10" x14ac:dyDescent="0.25">
      <c r="A2566" s="5" t="s">
        <v>1504</v>
      </c>
      <c r="B2566" s="5" t="s">
        <v>4433</v>
      </c>
      <c r="C2566" s="6" t="str">
        <f>_xll.QS.CONTEXT.CREATE("market.2564",A2566,"USD","SOFR")</f>
        <v>QSObject:PricingContext:w1~market.2564:12787</v>
      </c>
      <c r="D2566" s="6" t="str">
        <f>_xll.QS.CONTEXT.ADD.CURVE(C2566,"SOFR",$K$2:$K$7,$L$2:$L$7,,,"Actual360","LogLinear",TRUE)</f>
        <v>QSObject:ContextInput:w1~input.qs_context_add_curve.2359132437744.2565.3.0:17087</v>
      </c>
      <c r="E2566" s="6" t="str">
        <f>_xll.QS.INSTRUMENT.SWAP("swap.2564",H2566,B2566,"USD","SOFR",I2566,J2566,0,"Actual360","Simple","Annual","Annual","Annual")</f>
        <v>QSObject:Swap:w1~swap.2564:11286</v>
      </c>
      <c r="F2566" s="6" t="str">
        <f>_xll.QS.TRADE.CREATE("trade.2564",E2566,A2566,"Receive")</f>
        <v>QSObject:SwapTrade:w1~trade.2564:14424</v>
      </c>
      <c r="G2566" s="3">
        <f>_xll.QS.EVALUATE(C2566,F2566)</f>
        <v>25429.067446029338</v>
      </c>
      <c r="H2566" s="5" t="s">
        <v>1518</v>
      </c>
      <c r="I2566" s="7">
        <v>1256400</v>
      </c>
      <c r="J2566" s="8">
        <v>3.6400000000000002E-2</v>
      </c>
    </row>
    <row r="2567" spans="1:10" x14ac:dyDescent="0.25">
      <c r="A2567" s="5" t="s">
        <v>1506</v>
      </c>
      <c r="B2567" s="5" t="s">
        <v>4434</v>
      </c>
      <c r="C2567" s="6" t="str">
        <f>_xll.QS.CONTEXT.CREATE("market.2565",A2567,"USD","SOFR")</f>
        <v>QSObject:PricingContext:w1~market.2565:1781</v>
      </c>
      <c r="D2567" s="6" t="str">
        <f>_xll.QS.CONTEXT.ADD.CURVE(C2567,"SOFR",$K$2:$K$7,$L$2:$L$7,,,"Actual360","LogLinear",TRUE)</f>
        <v>QSObject:ContextInput:w1~input.qs_context_add_curve.2359132437744.2566.3.0:4872</v>
      </c>
      <c r="E2567" s="6" t="str">
        <f>_xll.QS.INSTRUMENT.SWAP("swap.2565",H2567,B2567,"USD","SOFR",I2567,J2567,0,"Actual360","Simple","Annual","Annual","Annual")</f>
        <v>QSObject:Swap:w1~swap.2565:9649</v>
      </c>
      <c r="F2567" s="6" t="str">
        <f>_xll.QS.TRADE.CREATE("trade.2565",E2567,A2567,"Receive")</f>
        <v>QSObject:SwapTrade:w1~trade.2565:29230</v>
      </c>
      <c r="G2567" s="3">
        <f>_xll.QS.EVALUATE(C2567,F2567)</f>
        <v>26065.429181709973</v>
      </c>
      <c r="H2567" s="5" t="s">
        <v>1520</v>
      </c>
      <c r="I2567" s="7">
        <v>1256500</v>
      </c>
      <c r="J2567" s="8">
        <v>3.6499999999999998E-2</v>
      </c>
    </row>
    <row r="2568" spans="1:10" x14ac:dyDescent="0.25">
      <c r="A2568" s="5" t="s">
        <v>1508</v>
      </c>
      <c r="B2568" s="5" t="s">
        <v>4435</v>
      </c>
      <c r="C2568" s="6" t="str">
        <f>_xll.QS.CONTEXT.CREATE("market.2566",A2568,"USD","SOFR")</f>
        <v>QSObject:PricingContext:w1~market.2566:17086</v>
      </c>
      <c r="D2568" s="6" t="str">
        <f>_xll.QS.CONTEXT.ADD.CURVE(C2568,"SOFR",$K$2:$K$7,$L$2:$L$7,,,"Actual360","LogLinear",TRUE)</f>
        <v>QSObject:ContextInput:w1~input.qs_context_add_curve.2359132437744.2567.3.0:37769</v>
      </c>
      <c r="E2568" s="6" t="str">
        <f>_xll.QS.INSTRUMENT.SWAP("swap.2566",H2568,B2568,"USD","SOFR",I2568,J2568,0,"Actual360","Simple","Annual","Annual","Annual")</f>
        <v>QSObject:Swap:w1~swap.2566:3309</v>
      </c>
      <c r="F2568" s="6" t="str">
        <f>_xll.QS.TRADE.CREATE("trade.2566",E2568,A2568,"Receive")</f>
        <v>QSObject:SwapTrade:w1~trade.2566:8052</v>
      </c>
      <c r="G2568" s="3">
        <f>_xll.QS.EVALUATE(C2568,F2568)</f>
        <v>26598.307128495966</v>
      </c>
      <c r="H2568" s="5" t="s">
        <v>1522</v>
      </c>
      <c r="I2568" s="7">
        <v>1256600</v>
      </c>
      <c r="J2568" s="8">
        <v>3.6600000000000001E-2</v>
      </c>
    </row>
    <row r="2569" spans="1:10" x14ac:dyDescent="0.25">
      <c r="A2569" s="5" t="s">
        <v>1510</v>
      </c>
      <c r="B2569" s="5" t="s">
        <v>4436</v>
      </c>
      <c r="C2569" s="6" t="str">
        <f>_xll.QS.CONTEXT.CREATE("market.2567",A2569,"USD","SOFR")</f>
        <v>QSObject:PricingContext:w1~market.2567:12786</v>
      </c>
      <c r="D2569" s="6" t="str">
        <f>_xll.QS.CONTEXT.ADD.CURVE(C2569,"SOFR",$K$2:$K$7,$L$2:$L$7,,,"Actual360","LogLinear",TRUE)</f>
        <v>QSObject:ContextInput:w1~input.qs_context_add_curve.2359132437744.2568.3.0:37768</v>
      </c>
      <c r="E2569" s="6" t="str">
        <f>_xll.QS.INSTRUMENT.SWAP("swap.2567",H2569,B2569,"USD","SOFR",I2569,J2569,0,"Actual360","Simple","Annual","Annual","Annual")</f>
        <v>QSObject:Swap:w1~swap.2567:14423</v>
      </c>
      <c r="F2569" s="6" t="str">
        <f>_xll.QS.TRADE.CREATE("trade.2567",E2569,A2569,"Receive")</f>
        <v>QSObject:SwapTrade:w1~trade.2567:29229</v>
      </c>
      <c r="G2569" s="3">
        <f>_xll.QS.EVALUATE(C2569,F2569)</f>
        <v>27077.414744478476</v>
      </c>
      <c r="H2569" s="5" t="s">
        <v>1524</v>
      </c>
      <c r="I2569" s="7">
        <v>1256700</v>
      </c>
      <c r="J2569" s="8">
        <v>3.6700000000000003E-2</v>
      </c>
    </row>
    <row r="2570" spans="1:10" x14ac:dyDescent="0.25">
      <c r="A2570" s="5" t="s">
        <v>1512</v>
      </c>
      <c r="B2570" s="5" t="s">
        <v>4437</v>
      </c>
      <c r="C2570" s="6" t="str">
        <f>_xll.QS.CONTEXT.CREATE("market.2568",A2570,"USD","SOFR")</f>
        <v>QSObject:PricingContext:w1~market.2568:4871</v>
      </c>
      <c r="D2570" s="6" t="str">
        <f>_xll.QS.CONTEXT.ADD.CURVE(C2570,"SOFR",$K$2:$K$7,$L$2:$L$7,,,"Actual360","LogLinear",TRUE)</f>
        <v>QSObject:ContextInput:w1~input.qs_context_add_curve.2359132437744.2569.3.0:6452</v>
      </c>
      <c r="E2570" s="6" t="str">
        <f>_xll.QS.INSTRUMENT.SWAP("swap.2568",H2570,B2570,"USD","SOFR",I2570,J2570,0,"Actual360","Simple","Annual","Annual","Annual")</f>
        <v>QSObject:Swap:w1~swap.2568:9648</v>
      </c>
      <c r="F2570" s="6" t="str">
        <f>_xll.QS.TRADE.CREATE("trade.2568",E2570,A2570,"Receive")</f>
        <v>QSObject:SwapTrade:w1~trade.2568:17085</v>
      </c>
      <c r="G2570" s="3">
        <f>_xll.QS.EVALUATE(C2570,F2570)</f>
        <v>27524.510010573416</v>
      </c>
      <c r="H2570" s="5" t="s">
        <v>1526</v>
      </c>
      <c r="I2570" s="7">
        <v>1256800</v>
      </c>
      <c r="J2570" s="8">
        <v>3.6800000000000013E-2</v>
      </c>
    </row>
    <row r="2571" spans="1:10" x14ac:dyDescent="0.25">
      <c r="A2571" s="5" t="s">
        <v>1514</v>
      </c>
      <c r="B2571" s="5" t="s">
        <v>4438</v>
      </c>
      <c r="C2571" s="6" t="str">
        <f>_xll.QS.CONTEXT.CREATE("market.2569",A2571,"USD","SOFR")</f>
        <v>QSObject:PricingContext:w1~market.2569:3308</v>
      </c>
      <c r="D2571" s="6" t="str">
        <f>_xll.QS.CONTEXT.ADD.CURVE(C2571,"SOFR",$K$2:$K$7,$L$2:$L$7,,,"Actual360","LogLinear",TRUE)</f>
        <v>QSObject:ContextInput:w1~input.qs_context_add_curve.2359132437744.2570.3.0:8051</v>
      </c>
      <c r="E2571" s="6" t="str">
        <f>_xll.QS.INSTRUMENT.SWAP("swap.2569",H2571,B2571,"USD","SOFR",I2571,J2571,0,"Actual360","Simple","Annual","Annual","Annual")</f>
        <v>QSObject:Swap:w1~swap.2569:16110</v>
      </c>
      <c r="F2571" s="6" t="str">
        <f>_xll.QS.TRADE.CREATE("trade.2569",E2571,A2571,"Receive")</f>
        <v>QSObject:SwapTrade:w1~trade.2569:29228</v>
      </c>
      <c r="G2571" s="3">
        <f>_xll.QS.EVALUATE(C2571,F2571)</f>
        <v>28159.556451579752</v>
      </c>
      <c r="H2571" s="5" t="s">
        <v>1528</v>
      </c>
      <c r="I2571" s="7">
        <v>1256900</v>
      </c>
      <c r="J2571" s="8">
        <v>3.6900000000000002E-2</v>
      </c>
    </row>
    <row r="2572" spans="1:10" x14ac:dyDescent="0.25">
      <c r="A2572" s="5" t="s">
        <v>1516</v>
      </c>
      <c r="B2572" s="5" t="s">
        <v>4439</v>
      </c>
      <c r="C2572" s="6" t="str">
        <f>_xll.QS.CONTEXT.CREATE("market.2570",A2572,"USD","SOFR")</f>
        <v>QSObject:PricingContext:w1~market.2570:4870</v>
      </c>
      <c r="D2572" s="6" t="str">
        <f>_xll.QS.CONTEXT.ADD.CURVE(C2572,"SOFR",$K$2:$K$7,$L$2:$L$7,,,"Actual360","LogLinear",TRUE)</f>
        <v>QSObject:ContextInput:w1~input.qs_context_add_curve.2359132437744.2571.3.0:11285</v>
      </c>
      <c r="E2572" s="6" t="str">
        <f>_xll.QS.INSTRUMENT.SWAP("swap.2570",H2572,B2572,"USD","SOFR",I2572,J2572,0,"Actual360","Simple","Annual","Annual","Annual")</f>
        <v>QSObject:Swap:w1~swap.2570:12785</v>
      </c>
      <c r="F2572" s="6" t="str">
        <f>_xll.QS.TRADE.CREATE("trade.2570",E2572,A2572,"Receive")</f>
        <v>QSObject:SwapTrade:w1~trade.2570:17084</v>
      </c>
      <c r="G2572" s="3">
        <f>_xll.QS.EVALUATE(C2572,F2572)</f>
        <v>28794.565986174341</v>
      </c>
      <c r="H2572" s="5" t="s">
        <v>1530</v>
      </c>
      <c r="I2572" s="7">
        <v>1257000</v>
      </c>
      <c r="J2572" s="8">
        <v>3.7000000000000012E-2</v>
      </c>
    </row>
    <row r="2573" spans="1:10" x14ac:dyDescent="0.25">
      <c r="A2573" s="5" t="s">
        <v>1518</v>
      </c>
      <c r="B2573" s="5" t="s">
        <v>4440</v>
      </c>
      <c r="C2573" s="6" t="str">
        <f>_xll.QS.CONTEXT.CREATE("market.2571",A2573,"USD","SOFR")</f>
        <v>QSObject:PricingContext:w1~market.2571:1780</v>
      </c>
      <c r="D2573" s="6" t="str">
        <f>_xll.QS.CONTEXT.ADD.CURVE(C2573,"SOFR",$K$2:$K$7,$L$2:$L$7,,,"Actual360","LogLinear",TRUE)</f>
        <v>QSObject:ContextInput:w1~input.qs_context_add_curve.2359132437744.2572.3.0:6451</v>
      </c>
      <c r="E2573" s="6" t="str">
        <f>_xll.QS.INSTRUMENT.SWAP("swap.2571",H2573,B2573,"USD","SOFR",I2573,J2573,0,"Actual360","Simple","Annual","Annual","Annual")</f>
        <v>QSObject:Swap:w1~swap.2571:9647</v>
      </c>
      <c r="F2573" s="6" t="str">
        <f>_xll.QS.TRADE.CREATE("trade.2571",E2573,A2573,"Receive")</f>
        <v>QSObject:SwapTrade:w1~trade.2571:29227</v>
      </c>
      <c r="G2573" s="3">
        <f>_xll.QS.EVALUATE(C2573,F2573)</f>
        <v>29547.825192297358</v>
      </c>
      <c r="H2573" s="5" t="s">
        <v>1532</v>
      </c>
      <c r="I2573" s="7">
        <v>1257100</v>
      </c>
      <c r="J2573" s="8">
        <v>3.7100000000000001E-2</v>
      </c>
    </row>
    <row r="2574" spans="1:10" x14ac:dyDescent="0.25">
      <c r="A2574" s="5" t="s">
        <v>1520</v>
      </c>
      <c r="B2574" s="5" t="s">
        <v>4441</v>
      </c>
      <c r="C2574" s="6" t="str">
        <f>_xll.QS.CONTEXT.CREATE("market.2572",A2574,"USD","SOFR")</f>
        <v>QSObject:PricingContext:w1~market.2572:14422</v>
      </c>
      <c r="D2574" s="6" t="str">
        <f>_xll.QS.CONTEXT.ADD.CURVE(C2574,"SOFR",$K$2:$K$7,$L$2:$L$7,,,"Actual360","LogLinear",TRUE)</f>
        <v>QSObject:ContextInput:w1~input.qs_context_add_curve.2359132437744.2573.3.0:37767</v>
      </c>
      <c r="E2574" s="6" t="str">
        <f>_xll.QS.INSTRUMENT.SWAP("swap.2572",H2574,B2574,"USD","SOFR",I2574,J2574,0,"Actual360","Simple","Annual","Annual","Annual")</f>
        <v>QSObject:Swap:w1~swap.2572:16109</v>
      </c>
      <c r="F2574" s="6" t="str">
        <f>_xll.QS.TRADE.CREATE("trade.2572",E2574,A2574,"Receive")</f>
        <v>QSObject:SwapTrade:w1~trade.2572:17083</v>
      </c>
      <c r="G2574" s="3">
        <f>_xll.QS.EVALUATE(C2574,F2574)</f>
        <v>30141.262881414143</v>
      </c>
      <c r="H2574" s="5" t="s">
        <v>1534</v>
      </c>
      <c r="I2574" s="7">
        <v>1257200</v>
      </c>
      <c r="J2574" s="8">
        <v>3.7199999999999997E-2</v>
      </c>
    </row>
    <row r="2575" spans="1:10" x14ac:dyDescent="0.25">
      <c r="A2575" s="5" t="s">
        <v>1522</v>
      </c>
      <c r="B2575" s="5" t="s">
        <v>4442</v>
      </c>
      <c r="C2575" s="6" t="str">
        <f>_xll.QS.CONTEXT.CREATE("market.2573",A2575,"USD","SOFR")</f>
        <v>QSObject:PricingContext:w1~market.2573:4869</v>
      </c>
      <c r="D2575" s="6" t="str">
        <f>_xll.QS.CONTEXT.ADD.CURVE(C2575,"SOFR",$K$2:$K$7,$L$2:$L$7,,,"Actual360","LogLinear",TRUE)</f>
        <v>QSObject:ContextInput:w1~input.qs_context_add_curve.2359132437744.2574.3.0:12784</v>
      </c>
      <c r="E2575" s="6" t="str">
        <f>_xll.QS.INSTRUMENT.SWAP("swap.2573",H2575,B2575,"USD","SOFR",I2575,J2575,0,"Actual360","Simple","Annual","Annual","Annual")</f>
        <v>QSObject:Swap:w1~swap.2573:11284</v>
      </c>
      <c r="F2575" s="6" t="str">
        <f>_xll.QS.TRADE.CREATE("trade.2573",E2575,A2575,"Receive")</f>
        <v>QSObject:SwapTrade:w1~trade.2573:29226</v>
      </c>
      <c r="G2575" s="3">
        <f>_xll.QS.EVALUATE(C2575,F2575)</f>
        <v>30722.804134873826</v>
      </c>
      <c r="H2575" s="5" t="s">
        <v>1536</v>
      </c>
      <c r="I2575" s="7">
        <v>1257300</v>
      </c>
      <c r="J2575" s="8">
        <v>3.73E-2</v>
      </c>
    </row>
    <row r="2576" spans="1:10" x14ac:dyDescent="0.25">
      <c r="A2576" s="5" t="s">
        <v>1524</v>
      </c>
      <c r="B2576" s="5" t="s">
        <v>4443</v>
      </c>
      <c r="C2576" s="6" t="str">
        <f>_xll.QS.CONTEXT.CREATE("market.2574",A2576,"USD","SOFR")</f>
        <v>QSObject:PricingContext:w1~market.2574:14421</v>
      </c>
      <c r="D2576" s="6" t="str">
        <f>_xll.QS.CONTEXT.ADD.CURVE(C2576,"SOFR",$K$2:$K$7,$L$2:$L$7,,,"Actual360","LogLinear",TRUE)</f>
        <v>QSObject:ContextInput:w1~input.qs_context_add_curve.2359132437744.2575.3.0:29225</v>
      </c>
      <c r="E2576" s="6" t="str">
        <f>_xll.QS.INSTRUMENT.SWAP("swap.2574",H2576,B2576,"USD","SOFR",I2576,J2576,0,"Actual360","Simple","Annual","Annual","Annual")</f>
        <v>QSObject:Swap:w1~swap.2574:1779</v>
      </c>
      <c r="F2576" s="6" t="str">
        <f>_xll.QS.TRADE.CREATE("trade.2574",E2576,A2576,"Receive")</f>
        <v>QSObject:SwapTrade:w1~trade.2574:17082</v>
      </c>
      <c r="G2576" s="3">
        <f>_xll.QS.EVALUATE(C2576,F2576)</f>
        <v>31215.273124294508</v>
      </c>
      <c r="H2576" s="5" t="s">
        <v>1538</v>
      </c>
      <c r="I2576" s="7">
        <v>1257400</v>
      </c>
      <c r="J2576" s="8">
        <v>3.7400000000000003E-2</v>
      </c>
    </row>
    <row r="2577" spans="1:10" x14ac:dyDescent="0.25">
      <c r="A2577" s="5" t="s">
        <v>1526</v>
      </c>
      <c r="B2577" s="5" t="s">
        <v>4444</v>
      </c>
      <c r="C2577" s="6" t="str">
        <f>_xll.QS.CONTEXT.CREATE("market.2575",A2577,"USD","SOFR")</f>
        <v>QSObject:PricingContext:w1~market.2575:4868</v>
      </c>
      <c r="D2577" s="6" t="str">
        <f>_xll.QS.CONTEXT.ADD.CURVE(C2577,"SOFR",$K$2:$K$7,$L$2:$L$7,,,"Actual360","LogLinear",TRUE)</f>
        <v>QSObject:ContextInput:w1~input.qs_context_add_curve.2359132437744.2576.3.0:9646</v>
      </c>
      <c r="E2577" s="6" t="str">
        <f>_xll.QS.INSTRUMENT.SWAP("swap.2575",H2577,B2577,"USD","SOFR",I2577,J2577,0,"Actual360","Simple","Annual","Annual","Annual")</f>
        <v>QSObject:Swap:w1~swap.2575:16108</v>
      </c>
      <c r="F2577" s="6" t="str">
        <f>_xll.QS.TRADE.CREATE("trade.2575",E2577,A2577,"Receive")</f>
        <v>QSObject:SwapTrade:w1~trade.2575:29224</v>
      </c>
      <c r="G2577" s="3">
        <f>_xll.QS.EVALUATE(C2577,F2577)</f>
        <v>31703.30121573004</v>
      </c>
      <c r="H2577" s="5" t="s">
        <v>1540</v>
      </c>
      <c r="I2577" s="7">
        <v>1257500</v>
      </c>
      <c r="J2577" s="8">
        <v>3.7500000000000012E-2</v>
      </c>
    </row>
    <row r="2578" spans="1:10" x14ac:dyDescent="0.25">
      <c r="A2578" s="5" t="s">
        <v>1528</v>
      </c>
      <c r="B2578" s="5" t="s">
        <v>4445</v>
      </c>
      <c r="C2578" s="6" t="str">
        <f>_xll.QS.CONTEXT.CREATE("market.2576",A2578,"USD","SOFR")</f>
        <v>QSObject:PricingContext:w1~market.2576:6450</v>
      </c>
      <c r="D2578" s="6" t="str">
        <f>_xll.QS.CONTEXT.ADD.CURVE(C2578,"SOFR",$K$2:$K$7,$L$2:$L$7,,,"Actual360","LogLinear",TRUE)</f>
        <v>QSObject:ContextInput:w1~input.qs_context_add_curve.2359132437744.2577.3.0:12783</v>
      </c>
      <c r="E2578" s="6" t="str">
        <f>_xll.QS.INSTRUMENT.SWAP("swap.2576",H2578,B2578,"USD","SOFR",I2578,J2578,0,"Actual360","Simple","Annual","Annual","Annual")</f>
        <v>QSObject:Swap:w1~swap.2576:3307</v>
      </c>
      <c r="F2578" s="6" t="str">
        <f>_xll.QS.TRADE.CREATE("trade.2576",E2578,A2578,"Receive")</f>
        <v>QSObject:SwapTrade:w1~trade.2576:14420</v>
      </c>
      <c r="G2578" s="3">
        <f>_xll.QS.EVALUATE(C2578,F2578)</f>
        <v>32288.382953065637</v>
      </c>
      <c r="H2578" s="5" t="s">
        <v>1542</v>
      </c>
      <c r="I2578" s="7">
        <v>1257600</v>
      </c>
      <c r="J2578" s="8">
        <v>3.7600000000000001E-2</v>
      </c>
    </row>
    <row r="2579" spans="1:10" x14ac:dyDescent="0.25">
      <c r="A2579" s="5" t="s">
        <v>1530</v>
      </c>
      <c r="B2579" s="5" t="s">
        <v>4446</v>
      </c>
      <c r="C2579" s="6" t="str">
        <f>_xll.QS.CONTEXT.CREATE("market.2577",A2579,"USD","SOFR")</f>
        <v>QSObject:PricingContext:w1~market.2577:17081</v>
      </c>
      <c r="D2579" s="6" t="str">
        <f>_xll.QS.CONTEXT.ADD.CURVE(C2579,"SOFR",$K$2:$K$7,$L$2:$L$7,,,"Actual360","LogLinear",TRUE)</f>
        <v>QSObject:ContextInput:w1~input.qs_context_add_curve.2359132437744.2578.3.0:37766</v>
      </c>
      <c r="E2579" s="6" t="str">
        <f>_xll.QS.INSTRUMENT.SWAP("swap.2577",H2579,B2579,"USD","SOFR",I2579,J2579,0,"Actual360","Simple","Annual","Annual","Annual")</f>
        <v>QSObject:Swap:w1~swap.2577:8050</v>
      </c>
      <c r="F2579" s="6" t="str">
        <f>_xll.QS.TRADE.CREATE("trade.2577",E2579,A2579,"Receive")</f>
        <v>QSObject:SwapTrade:w1~trade.2577:29223</v>
      </c>
      <c r="G2579" s="3">
        <f>_xll.QS.EVALUATE(C2579,F2579)</f>
        <v>32903.290969660637</v>
      </c>
      <c r="H2579" s="5" t="s">
        <v>1544</v>
      </c>
      <c r="I2579" s="7">
        <v>1257700</v>
      </c>
      <c r="J2579" s="8">
        <v>3.7699999999999997E-2</v>
      </c>
    </row>
    <row r="2580" spans="1:10" x14ac:dyDescent="0.25">
      <c r="A2580" s="5" t="s">
        <v>1532</v>
      </c>
      <c r="B2580" s="5" t="s">
        <v>4447</v>
      </c>
      <c r="C2580" s="6" t="str">
        <f>_xll.QS.CONTEXT.CREATE("market.2578",A2580,"USD","SOFR")</f>
        <v>QSObject:PricingContext:w1~market.2578:6449</v>
      </c>
      <c r="D2580" s="6" t="str">
        <f>_xll.QS.CONTEXT.ADD.CURVE(C2580,"SOFR",$K$2:$K$7,$L$2:$L$7,,,"Actual360","LogLinear",TRUE)</f>
        <v>QSObject:ContextInput:w1~input.qs_context_add_curve.2359132437744.2579.3.0:9645</v>
      </c>
      <c r="E2580" s="6" t="str">
        <f>_xll.QS.INSTRUMENT.SWAP("swap.2578",H2580,B2580,"USD","SOFR",I2580,J2580,0,"Actual360","Simple","Annual","Annual","Annual")</f>
        <v>QSObject:Swap:w1~swap.2578:16107</v>
      </c>
      <c r="F2580" s="6" t="str">
        <f>_xll.QS.TRADE.CREATE("trade.2578",E2580,A2580,"Receive")</f>
        <v>QSObject:SwapTrade:w1~trade.2578:29222</v>
      </c>
      <c r="G2580" s="3">
        <f>_xll.QS.EVALUATE(C2580,F2580)</f>
        <v>33577.829980055685</v>
      </c>
      <c r="H2580" s="5" t="s">
        <v>1546</v>
      </c>
      <c r="I2580" s="7">
        <v>1257800</v>
      </c>
      <c r="J2580" s="8">
        <v>3.78E-2</v>
      </c>
    </row>
    <row r="2581" spans="1:10" x14ac:dyDescent="0.25">
      <c r="A2581" s="5" t="s">
        <v>1534</v>
      </c>
      <c r="B2581" s="5" t="s">
        <v>4448</v>
      </c>
      <c r="C2581" s="6" t="str">
        <f>_xll.QS.CONTEXT.CREATE("market.2579",A2581,"USD","SOFR")</f>
        <v>QSObject:PricingContext:w1~market.2579:17080</v>
      </c>
      <c r="D2581" s="6" t="str">
        <f>_xll.QS.CONTEXT.ADD.CURVE(C2581,"SOFR",$K$2:$K$7,$L$2:$L$7,,,"Actual360","LogLinear",TRUE)</f>
        <v>QSObject:ContextInput:w1~input.qs_context_add_curve.2359132437744.2580.3.0:37765</v>
      </c>
      <c r="E2581" s="6" t="str">
        <f>_xll.QS.INSTRUMENT.SWAP("swap.2579",H2581,B2581,"USD","SOFR",I2581,J2581,0,"Actual360","Simple","Annual","Annual","Annual")</f>
        <v>QSObject:Swap:w1~swap.2579:11283</v>
      </c>
      <c r="F2581" s="6" t="str">
        <f>_xll.QS.TRADE.CREATE("trade.2579",E2581,A2581,"Receive")</f>
        <v>QSObject:SwapTrade:w1~trade.2579:14419</v>
      </c>
      <c r="G2581" s="3">
        <f>_xll.QS.EVALUATE(C2581,F2581)</f>
        <v>34215.742405472964</v>
      </c>
      <c r="H2581" s="5" t="s">
        <v>1548</v>
      </c>
      <c r="I2581" s="7">
        <v>1257900</v>
      </c>
      <c r="J2581" s="8">
        <v>3.7900000000000003E-2</v>
      </c>
    </row>
    <row r="2582" spans="1:10" x14ac:dyDescent="0.25">
      <c r="A2582" s="5" t="s">
        <v>1536</v>
      </c>
      <c r="B2582" s="5" t="s">
        <v>4449</v>
      </c>
      <c r="C2582" s="6" t="str">
        <f>_xll.QS.CONTEXT.CREATE("market.2580",A2582,"USD","SOFR")</f>
        <v>QSObject:PricingContext:w1~market.2580:8049</v>
      </c>
      <c r="D2582" s="6" t="str">
        <f>_xll.QS.CONTEXT.ADD.CURVE(C2582,"SOFR",$K$2:$K$7,$L$2:$L$7,,,"Actual360","LogLinear",TRUE)</f>
        <v>QSObject:ContextInput:w1~input.qs_context_add_curve.2359132437744.2581.3.0:37764</v>
      </c>
      <c r="E2582" s="6" t="str">
        <f>_xll.QS.INSTRUMENT.SWAP("swap.2580",H2582,B2582,"USD","SOFR",I2582,J2582,0,"Actual360","Simple","Annual","Annual","Annual")</f>
        <v>QSObject:Swap:w1~swap.2580:1778</v>
      </c>
      <c r="F2582" s="6" t="str">
        <f>_xll.QS.TRADE.CREATE("trade.2580",E2582,A2582,"Receive")</f>
        <v>QSObject:SwapTrade:w1~trade.2580:9644</v>
      </c>
      <c r="G2582" s="3">
        <f>_xll.QS.EVALUATE(C2582,F2582)</f>
        <v>34750.660089583318</v>
      </c>
      <c r="H2582" s="5" t="s">
        <v>1550</v>
      </c>
      <c r="I2582" s="7">
        <v>1258000</v>
      </c>
      <c r="J2582" s="8">
        <v>3.8000000000000013E-2</v>
      </c>
    </row>
    <row r="2583" spans="1:10" x14ac:dyDescent="0.25">
      <c r="A2583" s="5" t="s">
        <v>1538</v>
      </c>
      <c r="B2583" s="5" t="s">
        <v>4450</v>
      </c>
      <c r="C2583" s="6" t="str">
        <f>_xll.QS.CONTEXT.CREATE("market.2581",A2583,"USD","SOFR")</f>
        <v>QSObject:PricingContext:w1~market.2581:17079</v>
      </c>
      <c r="D2583" s="6" t="str">
        <f>_xll.QS.CONTEXT.ADD.CURVE(C2583,"SOFR",$K$2:$K$7,$L$2:$L$7,,,"Actual360","LogLinear",TRUE)</f>
        <v>QSObject:ContextInput:w1~input.qs_context_add_curve.2359132437744.2582.3.0:37763</v>
      </c>
      <c r="E2583" s="6" t="str">
        <f>_xll.QS.INSTRUMENT.SWAP("swap.2581",H2583,B2583,"USD","SOFR",I2583,J2583,0,"Actual360","Simple","Annual","Annual","Annual")</f>
        <v>QSObject:Swap:w1~swap.2581:6448</v>
      </c>
      <c r="F2583" s="6" t="str">
        <f>_xll.QS.TRADE.CREATE("trade.2581",E2583,A2583,"Receive")</f>
        <v>QSObject:SwapTrade:w1~trade.2581:12782</v>
      </c>
      <c r="G2583" s="3">
        <f>_xll.QS.EVALUATE(C2583,F2583)</f>
        <v>35238.171634124585</v>
      </c>
      <c r="H2583" s="5" t="s">
        <v>1552</v>
      </c>
      <c r="I2583" s="7">
        <v>1258100</v>
      </c>
      <c r="J2583" s="8">
        <v>3.8100000000000002E-2</v>
      </c>
    </row>
    <row r="2584" spans="1:10" x14ac:dyDescent="0.25">
      <c r="A2584" s="5" t="s">
        <v>1540</v>
      </c>
      <c r="B2584" s="5" t="s">
        <v>4451</v>
      </c>
      <c r="C2584" s="6" t="str">
        <f>_xll.QS.CONTEXT.CREATE("market.2582",A2584,"USD","SOFR")</f>
        <v>QSObject:PricingContext:w1~market.2582:3306</v>
      </c>
      <c r="D2584" s="6" t="str">
        <f>_xll.QS.CONTEXT.ADD.CURVE(C2584,"SOFR",$K$2:$K$7,$L$2:$L$7,,,"Actual360","LogLinear",TRUE)</f>
        <v>QSObject:ContextInput:w1~input.qs_context_add_curve.2359132437744.2583.3.0:14418</v>
      </c>
      <c r="E2584" s="6" t="str">
        <f>_xll.QS.INSTRUMENT.SWAP("swap.2582",H2584,B2584,"USD","SOFR",I2584,J2584,0,"Actual360","Simple","Annual","Annual","Annual")</f>
        <v>QSObject:Swap:w1~swap.2582:11282</v>
      </c>
      <c r="F2584" s="6" t="str">
        <f>_xll.QS.TRADE.CREATE("trade.2582",E2584,A2584,"Receive")</f>
        <v>QSObject:SwapTrade:w1~trade.2582:29221</v>
      </c>
      <c r="G2584" s="3">
        <f>_xll.QS.EVALUATE(C2584,F2584)</f>
        <v>35733.250803348186</v>
      </c>
      <c r="H2584" s="5" t="s">
        <v>1554</v>
      </c>
      <c r="I2584" s="7">
        <v>1258200</v>
      </c>
      <c r="J2584" s="8">
        <v>3.8199999999999998E-2</v>
      </c>
    </row>
    <row r="2585" spans="1:10" x14ac:dyDescent="0.25">
      <c r="A2585" s="5" t="s">
        <v>1542</v>
      </c>
      <c r="B2585" s="5" t="s">
        <v>4452</v>
      </c>
      <c r="C2585" s="6" t="str">
        <f>_xll.QS.CONTEXT.CREATE("market.2583",A2585,"USD","SOFR")</f>
        <v>QSObject:PricingContext:w1~market.2583:4867</v>
      </c>
      <c r="D2585" s="6" t="str">
        <f>_xll.QS.CONTEXT.ADD.CURVE(C2585,"SOFR",$K$2:$K$7,$L$2:$L$7,,,"Actual360","LogLinear",TRUE)</f>
        <v>QSObject:ContextInput:w1~input.qs_context_add_curve.2359132437744.2584.3.0:9643</v>
      </c>
      <c r="E2585" s="6" t="str">
        <f>_xll.QS.INSTRUMENT.SWAP("swap.2583",H2585,B2585,"USD","SOFR",I2585,J2585,0,"Actual360","Simple","Annual","Annual","Annual")</f>
        <v>QSObject:Swap:w1~swap.2583:1777</v>
      </c>
      <c r="F2585" s="6" t="str">
        <f>_xll.QS.TRADE.CREATE("trade.2583",E2585,A2585,"Receive")</f>
        <v>QSObject:SwapTrade:w1~trade.2583:17078</v>
      </c>
      <c r="G2585" s="3">
        <f>_xll.QS.EVALUATE(C2585,F2585)</f>
        <v>36370.022755176695</v>
      </c>
      <c r="H2585" s="5" t="s">
        <v>1556</v>
      </c>
      <c r="I2585" s="7">
        <v>1258300</v>
      </c>
      <c r="J2585" s="8">
        <v>3.8300000000000001E-2</v>
      </c>
    </row>
    <row r="2586" spans="1:10" x14ac:dyDescent="0.25">
      <c r="A2586" s="5" t="s">
        <v>1544</v>
      </c>
      <c r="B2586" s="5" t="s">
        <v>4453</v>
      </c>
      <c r="C2586" s="6" t="str">
        <f>_xll.QS.CONTEXT.CREATE("market.2584",A2586,"USD","SOFR")</f>
        <v>QSObject:PricingContext:w1~market.2584:16106</v>
      </c>
      <c r="D2586" s="6" t="str">
        <f>_xll.QS.CONTEXT.ADD.CURVE(C2586,"SOFR",$K$2:$K$7,$L$2:$L$7,,,"Actual360","LogLinear",TRUE)</f>
        <v>QSObject:ContextInput:w1~input.qs_context_add_curve.2359132437744.2585.3.0:37762</v>
      </c>
      <c r="E2586" s="6" t="str">
        <f>_xll.QS.INSTRUMENT.SWAP("swap.2584",H2586,B2586,"USD","SOFR",I2586,J2586,0,"Actual360","Simple","Annual","Annual","Annual")</f>
        <v>QSObject:Swap:w1~swap.2584:3305</v>
      </c>
      <c r="F2586" s="6" t="str">
        <f>_xll.QS.TRADE.CREATE("trade.2584",E2586,A2586,"Receive")</f>
        <v>QSObject:SwapTrade:w1~trade.2584:14417</v>
      </c>
      <c r="G2586" s="3">
        <f>_xll.QS.EVALUATE(C2586,F2586)</f>
        <v>36982.89941834729</v>
      </c>
      <c r="H2586" s="5" t="s">
        <v>1558</v>
      </c>
      <c r="I2586" s="7">
        <v>1258400</v>
      </c>
      <c r="J2586" s="8">
        <v>3.8399999999999997E-2</v>
      </c>
    </row>
    <row r="2587" spans="1:10" x14ac:dyDescent="0.25">
      <c r="A2587" s="5" t="s">
        <v>1546</v>
      </c>
      <c r="B2587" s="5" t="s">
        <v>4454</v>
      </c>
      <c r="C2587" s="6" t="str">
        <f>_xll.QS.CONTEXT.CREATE("market.2585",A2587,"USD","SOFR")</f>
        <v>QSObject:PricingContext:w1~market.2585:6447</v>
      </c>
      <c r="D2587" s="6" t="str">
        <f>_xll.QS.CONTEXT.ADD.CURVE(C2587,"SOFR",$K$2:$K$7,$L$2:$L$7,,,"Actual360","LogLinear",TRUE)</f>
        <v>QSObject:ContextInput:w1~input.qs_context_add_curve.2359132437744.2586.3.0:11281</v>
      </c>
      <c r="E2587" s="6" t="str">
        <f>_xll.QS.INSTRUMENT.SWAP("swap.2585",H2587,B2587,"USD","SOFR",I2587,J2587,0,"Actual360","Simple","Annual","Annual","Annual")</f>
        <v>QSObject:Swap:w1~swap.2585:8048</v>
      </c>
      <c r="F2587" s="6" t="str">
        <f>_xll.QS.TRADE.CREATE("trade.2585",E2587,A2587,"Receive")</f>
        <v>QSObject:SwapTrade:w1~trade.2585:29220</v>
      </c>
      <c r="G2587" s="3">
        <f>_xll.QS.EVALUATE(C2587,F2587)</f>
        <v>37658.693889011847</v>
      </c>
      <c r="H2587" s="5" t="s">
        <v>1560</v>
      </c>
      <c r="I2587" s="7">
        <v>1258500</v>
      </c>
      <c r="J2587" s="8">
        <v>3.8500000000000013E-2</v>
      </c>
    </row>
    <row r="2588" spans="1:10" x14ac:dyDescent="0.25">
      <c r="A2588" s="5" t="s">
        <v>1548</v>
      </c>
      <c r="B2588" s="5" t="s">
        <v>4455</v>
      </c>
      <c r="C2588" s="6" t="str">
        <f>_xll.QS.CONTEXT.CREATE("market.2586",A2588,"USD","SOFR")</f>
        <v>QSObject:PricingContext:w1~market.2586:17077</v>
      </c>
      <c r="D2588" s="6" t="str">
        <f>_xll.QS.CONTEXT.ADD.CURVE(C2588,"SOFR",$K$2:$K$7,$L$2:$L$7,,,"Actual360","LogLinear",TRUE)</f>
        <v>QSObject:ContextInput:w1~input.qs_context_add_curve.2359132437744.2587.3.0:37761</v>
      </c>
      <c r="E2588" s="6" t="str">
        <f>_xll.QS.INSTRUMENT.SWAP("swap.2586",H2588,B2588,"USD","SOFR",I2588,J2588,0,"Actual360","Simple","Annual","Annual","Annual")</f>
        <v>QSObject:Swap:w1~swap.2586:9642</v>
      </c>
      <c r="F2588" s="6" t="str">
        <f>_xll.QS.TRADE.CREATE("trade.2586",E2588,A2588,"Receive")</f>
        <v>QSObject:SwapTrade:w1~trade.2586:16105</v>
      </c>
      <c r="G2588" s="3">
        <f>_xll.QS.EVALUATE(C2588,F2588)</f>
        <v>38297.366960901105</v>
      </c>
      <c r="H2588" s="5" t="s">
        <v>1562</v>
      </c>
      <c r="I2588" s="7">
        <v>1258600</v>
      </c>
      <c r="J2588" s="8">
        <v>3.8600000000000002E-2</v>
      </c>
    </row>
    <row r="2589" spans="1:10" x14ac:dyDescent="0.25">
      <c r="A2589" s="5" t="s">
        <v>1550</v>
      </c>
      <c r="B2589" s="5" t="s">
        <v>4456</v>
      </c>
      <c r="C2589" s="6" t="str">
        <f>_xll.QS.CONTEXT.CREATE("market.2587",A2589,"USD","SOFR")</f>
        <v>QSObject:PricingContext:w1~market.2587:14416</v>
      </c>
      <c r="D2589" s="6" t="str">
        <f>_xll.QS.CONTEXT.ADD.CURVE(C2589,"SOFR",$K$2:$K$7,$L$2:$L$7,,,"Actual360","LogLinear",TRUE)</f>
        <v>QSObject:ContextInput:w1~input.qs_context_add_curve.2359132437744.2588.3.0:37760</v>
      </c>
      <c r="E2589" s="6" t="str">
        <f>_xll.QS.INSTRUMENT.SWAP("swap.2587",H2589,B2589,"USD","SOFR",I2589,J2589,0,"Actual360","Simple","Annual","Annual","Annual")</f>
        <v>QSObject:Swap:w1~swap.2587:3304</v>
      </c>
      <c r="F2589" s="6" t="str">
        <f>_xll.QS.TRADE.CREATE("trade.2587",E2589,A2589,"Receive")</f>
        <v>QSObject:SwapTrade:w1~trade.2587:6446</v>
      </c>
      <c r="G2589" s="3">
        <f>_xll.QS.EVALUATE(C2589,F2589)</f>
        <v>38832.267279844986</v>
      </c>
      <c r="H2589" s="5" t="s">
        <v>1564</v>
      </c>
      <c r="I2589" s="7">
        <v>1258700</v>
      </c>
      <c r="J2589" s="8">
        <v>3.8700000000000012E-2</v>
      </c>
    </row>
    <row r="2590" spans="1:10" x14ac:dyDescent="0.25">
      <c r="A2590" s="5" t="s">
        <v>1552</v>
      </c>
      <c r="B2590" s="5" t="s">
        <v>4457</v>
      </c>
      <c r="C2590" s="6" t="str">
        <f>_xll.QS.CONTEXT.CREATE("market.2588",A2590,"USD","SOFR")</f>
        <v>QSObject:PricingContext:w1~market.2588:17076</v>
      </c>
      <c r="D2590" s="6" t="str">
        <f>_xll.QS.CONTEXT.ADD.CURVE(C2590,"SOFR",$K$2:$K$7,$L$2:$L$7,,,"Actual360","LogLinear",TRUE)</f>
        <v>QSObject:ContextInput:w1~input.qs_context_add_curve.2359132437744.2589.3.0:37759</v>
      </c>
      <c r="E2590" s="6" t="str">
        <f>_xll.QS.INSTRUMENT.SWAP("swap.2588",H2590,B2590,"USD","SOFR",I2590,J2590,0,"Actual360","Simple","Annual","Annual","Annual")</f>
        <v>QSObject:Swap:w1~swap.2588:4866</v>
      </c>
      <c r="F2590" s="6" t="str">
        <f>_xll.QS.TRADE.CREATE("trade.2588",E2590,A2590,"Receive")</f>
        <v>QSObject:SwapTrade:w1~trade.2588:8047</v>
      </c>
      <c r="G2590" s="3">
        <f>_xll.QS.EVALUATE(C2590,F2590)</f>
        <v>39316.367101711927</v>
      </c>
      <c r="H2590" s="5" t="s">
        <v>1566</v>
      </c>
      <c r="I2590" s="7">
        <v>1258800</v>
      </c>
      <c r="J2590" s="8">
        <v>3.8800000000000001E-2</v>
      </c>
    </row>
    <row r="2591" spans="1:10" x14ac:dyDescent="0.25">
      <c r="A2591" s="5" t="s">
        <v>1554</v>
      </c>
      <c r="B2591" s="5" t="s">
        <v>4458</v>
      </c>
      <c r="C2591" s="6" t="str">
        <f>_xll.QS.CONTEXT.CREATE("market.2589",A2591,"USD","SOFR")</f>
        <v>QSObject:PricingContext:w1~market.2589:9641</v>
      </c>
      <c r="D2591" s="6" t="str">
        <f>_xll.QS.CONTEXT.ADD.CURVE(C2591,"SOFR",$K$2:$K$7,$L$2:$L$7,,,"Actual360","LogLinear",TRUE)</f>
        <v>QSObject:ContextInput:w1~input.qs_context_add_curve.2359132437744.2590.3.0:16104</v>
      </c>
      <c r="E2591" s="6" t="str">
        <f>_xll.QS.INSTRUMENT.SWAP("swap.2589",H2591,B2591,"USD","SOFR",I2591,J2591,0,"Actual360","Simple","Annual","Annual","Annual")</f>
        <v>QSObject:Swap:w1~swap.2589:1776</v>
      </c>
      <c r="F2591" s="6" t="str">
        <f>_xll.QS.TRADE.CREATE("trade.2589",E2591,A2591,"Receive")</f>
        <v>QSObject:SwapTrade:w1~trade.2589:12781</v>
      </c>
      <c r="G2591" s="3">
        <f>_xll.QS.EVALUATE(C2591,F2591)</f>
        <v>39818.342632228261</v>
      </c>
      <c r="H2591" s="5" t="s">
        <v>1568</v>
      </c>
      <c r="I2591" s="7">
        <v>1258900</v>
      </c>
      <c r="J2591" s="8">
        <v>3.8899999999999997E-2</v>
      </c>
    </row>
    <row r="2592" spans="1:10" x14ac:dyDescent="0.25">
      <c r="A2592" s="5" t="s">
        <v>1556</v>
      </c>
      <c r="B2592" s="5" t="s">
        <v>4459</v>
      </c>
      <c r="C2592" s="6" t="str">
        <f>_xll.QS.CONTEXT.CREATE("market.2590",A2592,"USD","SOFR")</f>
        <v>QSObject:PricingContext:w1~market.2590:6445</v>
      </c>
      <c r="D2592" s="6" t="str">
        <f>_xll.QS.CONTEXT.ADD.CURVE(C2592,"SOFR",$K$2:$K$7,$L$2:$L$7,,,"Actual360","LogLinear",TRUE)</f>
        <v>QSObject:ContextInput:w1~input.qs_context_add_curve.2359132437744.2591.3.0:14415</v>
      </c>
      <c r="E2592" s="6" t="str">
        <f>_xll.QS.INSTRUMENT.SWAP("swap.2590",H2592,B2592,"USD","SOFR",I2592,J2592,0,"Actual360","Simple","Annual","Annual","Annual")</f>
        <v>QSObject:Swap:w1~swap.2590:3303</v>
      </c>
      <c r="F2592" s="6" t="str">
        <f>_xll.QS.TRADE.CREATE("trade.2590",E2592,A2592,"Receive")</f>
        <v>QSObject:SwapTrade:w1~trade.2590:17075</v>
      </c>
      <c r="G2592" s="3">
        <f>_xll.QS.EVALUATE(C2592,F2592)</f>
        <v>40456.18384363439</v>
      </c>
      <c r="H2592" s="5" t="s">
        <v>1570</v>
      </c>
      <c r="I2592" s="7">
        <v>1259000</v>
      </c>
      <c r="J2592" s="8">
        <v>3.9000000000000007E-2</v>
      </c>
    </row>
    <row r="2593" spans="1:10" x14ac:dyDescent="0.25">
      <c r="A2593" s="5" t="s">
        <v>1558</v>
      </c>
      <c r="B2593" s="5" t="s">
        <v>4460</v>
      </c>
      <c r="C2593" s="6" t="str">
        <f>_xll.QS.CONTEXT.CREATE("market.2591",A2593,"USD","SOFR")</f>
        <v>QSObject:PricingContext:w1~market.2591:8046</v>
      </c>
      <c r="D2593" s="6" t="str">
        <f>_xll.QS.CONTEXT.ADD.CURVE(C2593,"SOFR",$K$2:$K$7,$L$2:$L$7,,,"Actual360","LogLinear",TRUE)</f>
        <v>QSObject:ContextInput:w1~input.qs_context_add_curve.2359132437744.2592.3.0:29219</v>
      </c>
      <c r="E2593" s="6" t="str">
        <f>_xll.QS.INSTRUMENT.SWAP("swap.2591",H2593,B2593,"USD","SOFR",I2593,J2593,0,"Actual360","Simple","Annual","Annual","Annual")</f>
        <v>QSObject:Swap:w1~swap.2591:11280</v>
      </c>
      <c r="F2593" s="6" t="str">
        <f>_xll.QS.TRADE.CREATE("trade.2591",E2593,A2593,"Receive")</f>
        <v>QSObject:SwapTrade:w1~trade.2591:29218</v>
      </c>
      <c r="G2593" s="3">
        <f>_xll.QS.EVALUATE(C2593,F2593)</f>
        <v>41068.476115754442</v>
      </c>
      <c r="H2593" s="5" t="s">
        <v>1572</v>
      </c>
      <c r="I2593" s="7">
        <v>1259100</v>
      </c>
      <c r="J2593" s="8">
        <v>3.9100000000000003E-2</v>
      </c>
    </row>
    <row r="2594" spans="1:10" x14ac:dyDescent="0.25">
      <c r="A2594" s="5" t="s">
        <v>1560</v>
      </c>
      <c r="B2594" s="5" t="s">
        <v>4461</v>
      </c>
      <c r="C2594" s="6" t="str">
        <f>_xll.QS.CONTEXT.CREATE("market.2592",A2594,"USD","SOFR")</f>
        <v>QSObject:PricingContext:w1~market.2592:12780</v>
      </c>
      <c r="D2594" s="6" t="str">
        <f>_xll.QS.CONTEXT.ADD.CURVE(C2594,"SOFR",$K$2:$K$7,$L$2:$L$7,,,"Actual360","LogLinear",TRUE)</f>
        <v>QSObject:ContextInput:w1~input.qs_context_add_curve.2359132437744.2593.3.0:29217</v>
      </c>
      <c r="E2594" s="6" t="str">
        <f>_xll.QS.INSTRUMENT.SWAP("swap.2592",H2594,B2594,"USD","SOFR",I2594,J2594,0,"Actual360","Simple","Annual","Annual","Annual")</f>
        <v>QSObject:Swap:w1~swap.2592:16103</v>
      </c>
      <c r="F2594" s="6" t="str">
        <f>_xll.QS.TRADE.CREATE("trade.2592",E2594,A2594,"Receive")</f>
        <v>QSObject:SwapTrade:w1~trade.2592:29216</v>
      </c>
      <c r="G2594" s="3">
        <f>_xll.QS.EVALUATE(C2594,F2594)</f>
        <v>41744.529219517121</v>
      </c>
      <c r="H2594" s="5" t="s">
        <v>1574</v>
      </c>
      <c r="I2594" s="7">
        <v>1259200</v>
      </c>
      <c r="J2594" s="8">
        <v>3.9200000000000013E-2</v>
      </c>
    </row>
    <row r="2595" spans="1:10" x14ac:dyDescent="0.25">
      <c r="A2595" s="5" t="s">
        <v>1562</v>
      </c>
      <c r="B2595" s="5" t="s">
        <v>4462</v>
      </c>
      <c r="C2595" s="6" t="str">
        <f>_xll.QS.CONTEXT.CREATE("market.2593",A2595,"USD","SOFR")</f>
        <v>QSObject:PricingContext:w1~market.2593:8045</v>
      </c>
      <c r="D2595" s="6" t="str">
        <f>_xll.QS.CONTEXT.ADD.CURVE(C2595,"SOFR",$K$2:$K$7,$L$2:$L$7,,,"Actual360","LogLinear",TRUE)</f>
        <v>QSObject:ContextInput:w1~input.qs_context_add_curve.2359132437744.2594.3.0:29215</v>
      </c>
      <c r="E2595" s="6" t="str">
        <f>_xll.QS.INSTRUMENT.SWAP("swap.2593",H2595,B2595,"USD","SOFR",I2595,J2595,0,"Actual360","Simple","Annual","Annual","Annual")</f>
        <v>QSObject:Swap:w1~swap.2593:3302</v>
      </c>
      <c r="F2595" s="6" t="str">
        <f>_xll.QS.TRADE.CREATE("trade.2593",E2595,A2595,"Receive")</f>
        <v>QSObject:SwapTrade:w1~trade.2593:17074</v>
      </c>
      <c r="G2595" s="3">
        <f>_xll.QS.EVALUATE(C2595,F2595)</f>
        <v>42383.589521296257</v>
      </c>
      <c r="H2595" s="5" t="s">
        <v>1576</v>
      </c>
      <c r="I2595" s="7">
        <v>1259300</v>
      </c>
      <c r="J2595" s="8">
        <v>3.9300000000000002E-2</v>
      </c>
    </row>
    <row r="2596" spans="1:10" x14ac:dyDescent="0.25">
      <c r="A2596" s="5" t="s">
        <v>1564</v>
      </c>
      <c r="B2596" s="5" t="s">
        <v>4463</v>
      </c>
      <c r="C2596" s="6" t="str">
        <f>_xll.QS.CONTEXT.CREATE("market.2594",A2596,"USD","SOFR")</f>
        <v>QSObject:PricingContext:w1~market.2594:9640</v>
      </c>
      <c r="D2596" s="6" t="str">
        <f>_xll.QS.CONTEXT.ADD.CURVE(C2596,"SOFR",$K$2:$K$7,$L$2:$L$7,,,"Actual360","LogLinear",TRUE)</f>
        <v>QSObject:ContextInput:w1~input.qs_context_add_curve.2359132437744.2595.3.0:29214</v>
      </c>
      <c r="E2596" s="6" t="str">
        <f>_xll.QS.INSTRUMENT.SWAP("swap.2594",H2596,B2596,"USD","SOFR",I2596,J2596,0,"Actual360","Simple","Annual","Annual","Annual")</f>
        <v>QSObject:Swap:w1~swap.2594:11279</v>
      </c>
      <c r="F2596" s="6" t="str">
        <f>_xll.QS.TRADE.CREATE("trade.2594",E2596,A2596,"Receive")</f>
        <v>QSObject:SwapTrade:w1~trade.2594:12779</v>
      </c>
      <c r="G2596" s="3">
        <f>_xll.QS.EVALUATE(C2596,F2596)</f>
        <v>42918.72708388036</v>
      </c>
      <c r="H2596" s="5" t="s">
        <v>1578</v>
      </c>
      <c r="I2596" s="7">
        <v>1259400</v>
      </c>
      <c r="J2596" s="8">
        <v>3.9399999999999998E-2</v>
      </c>
    </row>
    <row r="2597" spans="1:10" x14ac:dyDescent="0.25">
      <c r="A2597" s="5" t="s">
        <v>1566</v>
      </c>
      <c r="B2597" s="5" t="s">
        <v>4464</v>
      </c>
      <c r="C2597" s="6" t="str">
        <f>_xll.QS.CONTEXT.CREATE("market.2595",A2597,"USD","SOFR")</f>
        <v>QSObject:PricingContext:w1~market.2595:16102</v>
      </c>
      <c r="D2597" s="6" t="str">
        <f>_xll.QS.CONTEXT.ADD.CURVE(C2597,"SOFR",$K$2:$K$7,$L$2:$L$7,,,"Actual360","LogLinear",TRUE)</f>
        <v>QSObject:ContextInput:w1~input.qs_context_add_curve.2359132437744.2596.3.0:29213</v>
      </c>
      <c r="E2597" s="6" t="str">
        <f>_xll.QS.INSTRUMENT.SWAP("swap.2595",H2597,B2597,"USD","SOFR",I2597,J2597,0,"Actual360","Simple","Annual","Annual","Annual")</f>
        <v>QSObject:Swap:w1~swap.2595:14414</v>
      </c>
      <c r="F2597" s="6" t="str">
        <f>_xll.QS.TRADE.CREATE("trade.2595",E2597,A2597,"Receive")</f>
        <v>QSObject:SwapTrade:w1~trade.2595:17073</v>
      </c>
      <c r="G2597" s="3">
        <f>_xll.QS.EVALUATE(C2597,F2597)</f>
        <v>43371.498617997095</v>
      </c>
      <c r="H2597" s="5" t="s">
        <v>1580</v>
      </c>
      <c r="I2597" s="7">
        <v>1259500</v>
      </c>
      <c r="J2597" s="8">
        <v>3.9500000000000007E-2</v>
      </c>
    </row>
    <row r="2598" spans="1:10" x14ac:dyDescent="0.25">
      <c r="A2598" s="5" t="s">
        <v>1568</v>
      </c>
      <c r="B2598" s="5" t="s">
        <v>4465</v>
      </c>
      <c r="C2598" s="6" t="str">
        <f>_xll.QS.CONTEXT.CREATE("market.2596",A2598,"USD","SOFR")</f>
        <v>QSObject:PricingContext:w1~market.2596:3301</v>
      </c>
      <c r="D2598" s="6" t="str">
        <f>_xll.QS.CONTEXT.ADD.CURVE(C2598,"SOFR",$K$2:$K$7,$L$2:$L$7,,,"Actual360","LogLinear",TRUE)</f>
        <v>QSObject:ContextInput:w1~input.qs_context_add_curve.2359132437744.2597.3.0:6444</v>
      </c>
      <c r="E2598" s="6" t="str">
        <f>_xll.QS.INSTRUMENT.SWAP("swap.2596",H2598,B2598,"USD","SOFR",I2598,J2598,0,"Actual360","Simple","Annual","Annual","Annual")</f>
        <v>QSObject:Swap:w1~swap.2596:8044</v>
      </c>
      <c r="F2598" s="6" t="str">
        <f>_xll.QS.TRADE.CREATE("trade.2596",E2598,A2598,"Receive")</f>
        <v>QSObject:SwapTrade:w1~trade.2596:29212</v>
      </c>
      <c r="G2598" s="3">
        <f>_xll.QS.EVALUATE(C2598,F2598)</f>
        <v>43853.982225451291</v>
      </c>
      <c r="H2598" s="5" t="s">
        <v>1582</v>
      </c>
      <c r="I2598" s="7">
        <v>1259600</v>
      </c>
      <c r="J2598" s="8">
        <v>3.9600000000000003E-2</v>
      </c>
    </row>
    <row r="2599" spans="1:10" x14ac:dyDescent="0.25">
      <c r="A2599" s="5" t="s">
        <v>1570</v>
      </c>
      <c r="B2599" s="5" t="s">
        <v>4466</v>
      </c>
      <c r="C2599" s="6" t="str">
        <f>_xll.QS.CONTEXT.CREATE("market.2597",A2599,"USD","SOFR")</f>
        <v>QSObject:PricingContext:w1~market.2597:11278</v>
      </c>
      <c r="D2599" s="6" t="str">
        <f>_xll.QS.CONTEXT.ADD.CURVE(C2599,"SOFR",$K$2:$K$7,$L$2:$L$7,,,"Actual360","LogLinear",TRUE)</f>
        <v>QSObject:ContextInput:w1~input.qs_context_add_curve.2359132437744.2598.3.0:12778</v>
      </c>
      <c r="E2599" s="6" t="str">
        <f>_xll.QS.INSTRUMENT.SWAP("swap.2597",H2599,B2599,"USD","SOFR",I2599,J2599,0,"Actual360","Simple","Annual","Annual","Annual")</f>
        <v>QSObject:Swap:w1~swap.2597:16101</v>
      </c>
      <c r="F2599" s="6" t="str">
        <f>_xll.QS.TRADE.CREATE("trade.2597",E2599,A2599,"Receive")</f>
        <v>QSObject:SwapTrade:w1~trade.2597:29211</v>
      </c>
      <c r="G2599" s="3">
        <f>_xll.QS.EVALUATE(C2599,F2599)</f>
        <v>44493.221272214811</v>
      </c>
      <c r="H2599" s="5" t="s">
        <v>1584</v>
      </c>
      <c r="I2599" s="7">
        <v>1259700</v>
      </c>
      <c r="J2599" s="8">
        <v>3.9700000000000013E-2</v>
      </c>
    </row>
    <row r="2600" spans="1:10" x14ac:dyDescent="0.25">
      <c r="A2600" s="5" t="s">
        <v>1572</v>
      </c>
      <c r="B2600" s="5" t="s">
        <v>4467</v>
      </c>
      <c r="C2600" s="6" t="str">
        <f>_xll.QS.CONTEXT.CREATE("market.2598",A2600,"USD","SOFR")</f>
        <v>QSObject:PricingContext:w1~market.2598:17072</v>
      </c>
      <c r="D2600" s="6" t="str">
        <f>_xll.QS.CONTEXT.ADD.CURVE(C2600,"SOFR",$K$2:$K$7,$L$2:$L$7,,,"Actual360","LogLinear",TRUE)</f>
        <v>QSObject:ContextInput:w1~input.qs_context_add_curve.2359132437744.2599.3.0:37758</v>
      </c>
      <c r="E2600" s="6" t="str">
        <f>_xll.QS.INSTRUMENT.SWAP("swap.2598",H2600,B2600,"USD","SOFR",I2600,J2600,0,"Actual360","Simple","Annual","Annual","Annual")</f>
        <v>QSObject:Swap:w1~swap.2598:14413</v>
      </c>
      <c r="F2600" s="6" t="str">
        <f>_xll.QS.TRADE.CREATE("trade.2598",E2600,A2600,"Receive")</f>
        <v>QSObject:SwapTrade:w1~trade.2598:29210</v>
      </c>
      <c r="G2600" s="3">
        <f>_xll.QS.EVALUATE(C2600,F2600)</f>
        <v>45132.72694832812</v>
      </c>
      <c r="H2600" s="5" t="s">
        <v>1586</v>
      </c>
      <c r="I2600" s="7">
        <v>1259800</v>
      </c>
      <c r="J2600" s="8">
        <v>3.9800000000000002E-2</v>
      </c>
    </row>
    <row r="2601" spans="1:10" x14ac:dyDescent="0.25">
      <c r="A2601" s="5" t="s">
        <v>1574</v>
      </c>
      <c r="B2601" s="5" t="s">
        <v>4468</v>
      </c>
      <c r="C2601" s="6" t="str">
        <f>_xll.QS.CONTEXT.CREATE("market.2599",A2601,"USD","SOFR")</f>
        <v>QSObject:PricingContext:w1~market.2599:8043</v>
      </c>
      <c r="D2601" s="6" t="str">
        <f>_xll.QS.CONTEXT.ADD.CURVE(C2601,"SOFR",$K$2:$K$7,$L$2:$L$7,,,"Actual360","LogLinear",TRUE)</f>
        <v>QSObject:ContextInput:w1~input.qs_context_add_curve.2359132437744.2600.3.0:29209</v>
      </c>
      <c r="E2601" s="6" t="str">
        <f>_xll.QS.INSTRUMENT.SWAP("swap.2599",H2601,B2601,"USD","SOFR",I2601,J2601,0,"Actual360","Simple","Annual","Annual","Annual")</f>
        <v>QSObject:Swap:w1~swap.2599:4865</v>
      </c>
      <c r="F2601" s="6" t="str">
        <f>_xll.QS.TRADE.CREATE("trade.2599",E2601,A2601,"Receive")</f>
        <v>QSObject:SwapTrade:w1~trade.2599:16100</v>
      </c>
      <c r="G2601" s="3">
        <f>_xll.QS.EVALUATE(C2601,F2601)</f>
        <v>45881.292098883008</v>
      </c>
      <c r="H2601" s="5" t="s">
        <v>1588</v>
      </c>
      <c r="I2601" s="7">
        <v>1259900</v>
      </c>
      <c r="J2601" s="8">
        <v>3.9899999999999998E-2</v>
      </c>
    </row>
    <row r="2602" spans="1:10" x14ac:dyDescent="0.25">
      <c r="A2602" s="5" t="s">
        <v>1576</v>
      </c>
      <c r="B2602" s="5" t="s">
        <v>4469</v>
      </c>
      <c r="C2602" s="6" t="str">
        <f>_xll.QS.CONTEXT.CREATE("market.2600",A2602,"USD","SOFR")</f>
        <v>QSObject:PricingContext:w1~market.2600:1775</v>
      </c>
      <c r="D2602" s="6" t="str">
        <f>_xll.QS.CONTEXT.ADD.CURVE(C2602,"SOFR",$K$2:$K$7,$L$2:$L$7,,,"Actual360","LogLinear",TRUE)</f>
        <v>QSObject:ContextInput:w1~input.qs_context_add_curve.2359132437744.2601.3.0:12777</v>
      </c>
      <c r="E2602" s="6" t="str">
        <f>_xll.QS.INSTRUMENT.SWAP("swap.2600",H2602,B2602,"USD","SOFR",I2602,J2602,0,"Actual360","Simple","Annual","Annual","Annual")</f>
        <v>QSObject:Swap:w1~swap.2600:11277</v>
      </c>
      <c r="F2602" s="6" t="str">
        <f>_xll.QS.TRADE.CREATE("trade.2600",E2602,A2602,"Receive")</f>
        <v>QSObject:SwapTrade:w1~trade.2600:14412</v>
      </c>
      <c r="G2602" s="3">
        <f>_xll.QS.EVALUATE(C2602,F2602)</f>
        <v>17425.483517362496</v>
      </c>
      <c r="H2602" s="5" t="s">
        <v>1590</v>
      </c>
      <c r="I2602" s="7">
        <v>1260000</v>
      </c>
      <c r="J2602" s="8">
        <v>3.5000000000000003E-2</v>
      </c>
    </row>
    <row r="2603" spans="1:10" x14ac:dyDescent="0.25">
      <c r="A2603" s="5" t="s">
        <v>1578</v>
      </c>
      <c r="B2603" s="5" t="s">
        <v>4470</v>
      </c>
      <c r="C2603" s="6" t="str">
        <f>_xll.QS.CONTEXT.CREATE("market.2601",A2603,"USD","SOFR")</f>
        <v>QSObject:PricingContext:w1~market.2601:6443</v>
      </c>
      <c r="D2603" s="6" t="str">
        <f>_xll.QS.CONTEXT.ADD.CURVE(C2603,"SOFR",$K$2:$K$7,$L$2:$L$7,,,"Actual360","LogLinear",TRUE)</f>
        <v>QSObject:ContextInput:w1~input.qs_context_add_curve.2359132437744.2602.3.0:9639</v>
      </c>
      <c r="E2603" s="6" t="str">
        <f>_xll.QS.INSTRUMENT.SWAP("swap.2601",H2603,B2603,"USD","SOFR",I2603,J2603,0,"Actual360","Simple","Annual","Annual","Annual")</f>
        <v>QSObject:Swap:w1~swap.2601:17071</v>
      </c>
      <c r="F2603" s="6" t="str">
        <f>_xll.QS.TRADE.CREATE("trade.2601",E2603,A2603,"Receive")</f>
        <v>QSObject:SwapTrade:w1~trade.2601:29208</v>
      </c>
      <c r="G2603" s="3">
        <f>_xll.QS.EVALUATE(C2603,F2603)</f>
        <v>18007.331422579453</v>
      </c>
      <c r="H2603" s="5" t="s">
        <v>1592</v>
      </c>
      <c r="I2603" s="7">
        <v>1260100</v>
      </c>
      <c r="J2603" s="8">
        <v>3.5100000000000013E-2</v>
      </c>
    </row>
    <row r="2604" spans="1:10" x14ac:dyDescent="0.25">
      <c r="A2604" s="5" t="s">
        <v>1580</v>
      </c>
      <c r="B2604" s="5" t="s">
        <v>4471</v>
      </c>
      <c r="C2604" s="6" t="str">
        <f>_xll.QS.CONTEXT.CREATE("market.2602",A2604,"USD","SOFR")</f>
        <v>QSObject:PricingContext:w1~market.2602:16099</v>
      </c>
      <c r="D2604" s="6" t="str">
        <f>_xll.QS.CONTEXT.ADD.CURVE(C2604,"SOFR",$K$2:$K$7,$L$2:$L$7,,,"Actual360","LogLinear",TRUE)</f>
        <v>QSObject:ContextInput:w1~input.qs_context_add_curve.2359132437744.2603.3.0:37757</v>
      </c>
      <c r="E2604" s="6" t="str">
        <f>_xll.QS.INSTRUMENT.SWAP("swap.2602",H2604,B2604,"USD","SOFR",I2604,J2604,0,"Actual360","Simple","Annual","Annual","Annual")</f>
        <v>QSObject:Swap:w1~swap.2602:8042</v>
      </c>
      <c r="F2604" s="6" t="str">
        <f>_xll.QS.TRADE.CREATE("trade.2602",E2604,A2604,"Receive")</f>
        <v>QSObject:SwapTrade:w1~trade.2602:12776</v>
      </c>
      <c r="G2604" s="3">
        <f>_xll.QS.EVALUATE(C2604,F2604)</f>
        <v>18514.993834656503</v>
      </c>
      <c r="H2604" s="5" t="s">
        <v>1594</v>
      </c>
      <c r="I2604" s="7">
        <v>1260200</v>
      </c>
      <c r="J2604" s="8">
        <v>3.5200000000000002E-2</v>
      </c>
    </row>
    <row r="2605" spans="1:10" x14ac:dyDescent="0.25">
      <c r="A2605" s="5" t="s">
        <v>1582</v>
      </c>
      <c r="B2605" s="5" t="s">
        <v>4472</v>
      </c>
      <c r="C2605" s="6" t="str">
        <f>_xll.QS.CONTEXT.CREATE("market.2603",A2605,"USD","SOFR")</f>
        <v>QSObject:PricingContext:w1~market.2603:6442</v>
      </c>
      <c r="D2605" s="6" t="str">
        <f>_xll.QS.CONTEXT.ADD.CURVE(C2605,"SOFR",$K$2:$K$7,$L$2:$L$7,,,"Actual360","LogLinear",TRUE)</f>
        <v>QSObject:ContextInput:w1~input.qs_context_add_curve.2359132437744.2604.3.0:14411</v>
      </c>
      <c r="E2605" s="6" t="str">
        <f>_xll.QS.INSTRUMENT.SWAP("swap.2603",H2605,B2605,"USD","SOFR",I2605,J2605,0,"Actual360","Simple","Annual","Annual","Annual")</f>
        <v>QSObject:Swap:w1~swap.2603:1774</v>
      </c>
      <c r="F2605" s="6" t="str">
        <f>_xll.QS.TRADE.CREATE("trade.2603",E2605,A2605,"Receive")</f>
        <v>QSObject:SwapTrade:w1~trade.2603:17070</v>
      </c>
      <c r="G2605" s="3">
        <f>_xll.QS.EVALUATE(C2605,F2605)</f>
        <v>18983.317164292137</v>
      </c>
      <c r="H2605" s="5" t="s">
        <v>1596</v>
      </c>
      <c r="I2605" s="7">
        <v>1260300</v>
      </c>
      <c r="J2605" s="8">
        <v>3.5299999999999998E-2</v>
      </c>
    </row>
    <row r="2606" spans="1:10" x14ac:dyDescent="0.25">
      <c r="A2606" s="5" t="s">
        <v>1584</v>
      </c>
      <c r="B2606" s="5" t="s">
        <v>4473</v>
      </c>
      <c r="C2606" s="6" t="str">
        <f>_xll.QS.CONTEXT.CREATE("market.2604",A2606,"USD","SOFR")</f>
        <v>QSObject:PricingContext:w1~market.2604:11276</v>
      </c>
      <c r="D2606" s="6" t="str">
        <f>_xll.QS.CONTEXT.ADD.CURVE(C2606,"SOFR",$K$2:$K$7,$L$2:$L$7,,,"Actual360","LogLinear",TRUE)</f>
        <v>QSObject:ContextInput:w1~input.qs_context_add_curve.2359132437744.2605.3.0:37756</v>
      </c>
      <c r="E2606" s="6" t="str">
        <f>_xll.QS.INSTRUMENT.SWAP("swap.2604",H2606,B2606,"USD","SOFR",I2606,J2606,0,"Actual360","Simple","Annual","Annual","Annual")</f>
        <v>QSObject:Swap:w1~swap.2604:9638</v>
      </c>
      <c r="F2606" s="6" t="str">
        <f>_xll.QS.TRADE.CREATE("trade.2604",E2606,A2606,"Receive")</f>
        <v>QSObject:SwapTrade:w1~trade.2604:29207</v>
      </c>
      <c r="G2606" s="3">
        <f>_xll.QS.EVALUATE(C2606,F2606)</f>
        <v>19567.615821583444</v>
      </c>
      <c r="H2606" s="5" t="s">
        <v>1598</v>
      </c>
      <c r="I2606" s="7">
        <v>1260400</v>
      </c>
      <c r="J2606" s="8">
        <v>3.5400000000000001E-2</v>
      </c>
    </row>
    <row r="2607" spans="1:10" x14ac:dyDescent="0.25">
      <c r="A2607" s="5" t="s">
        <v>1586</v>
      </c>
      <c r="B2607" s="5" t="s">
        <v>4474</v>
      </c>
      <c r="C2607" s="6" t="str">
        <f>_xll.QS.CONTEXT.CREATE("market.2605",A2607,"USD","SOFR")</f>
        <v>QSObject:PricingContext:w1~market.2605:12775</v>
      </c>
      <c r="D2607" s="6" t="str">
        <f>_xll.QS.CONTEXT.ADD.CURVE(C2607,"SOFR",$K$2:$K$7,$L$2:$L$7,,,"Actual360","LogLinear",TRUE)</f>
        <v>QSObject:ContextInput:w1~input.qs_context_add_curve.2359132437744.2606.3.0:29206</v>
      </c>
      <c r="E2607" s="6" t="str">
        <f>_xll.QS.INSTRUMENT.SWAP("swap.2605",H2607,B2607,"USD","SOFR",I2607,J2607,0,"Actual360","Simple","Annual","Annual","Annual")</f>
        <v>QSObject:Swap:w1~swap.2605:16098</v>
      </c>
      <c r="F2607" s="6" t="str">
        <f>_xll.QS.TRADE.CREATE("trade.2605",E2607,A2607,"Receive")</f>
        <v>QSObject:SwapTrade:w1~trade.2605:17069</v>
      </c>
      <c r="G2607" s="3">
        <f>_xll.QS.EVALUATE(C2607,F2607)</f>
        <v>20188.942391869634</v>
      </c>
      <c r="H2607" s="5" t="s">
        <v>1600</v>
      </c>
      <c r="I2607" s="7">
        <v>1260500</v>
      </c>
      <c r="J2607" s="8">
        <v>3.5499999999999997E-2</v>
      </c>
    </row>
    <row r="2608" spans="1:10" x14ac:dyDescent="0.25">
      <c r="A2608" s="5" t="s">
        <v>1588</v>
      </c>
      <c r="B2608" s="5" t="s">
        <v>4475</v>
      </c>
      <c r="C2608" s="6" t="str">
        <f>_xll.QS.CONTEXT.CREATE("market.2606",A2608,"USD","SOFR")</f>
        <v>QSObject:PricingContext:w1~market.2606:4864</v>
      </c>
      <c r="D2608" s="6" t="str">
        <f>_xll.QS.CONTEXT.ADD.CURVE(C2608,"SOFR",$K$2:$K$7,$L$2:$L$7,,,"Actual360","LogLinear",TRUE)</f>
        <v>QSObject:ContextInput:w1~input.qs_context_add_curve.2359132437744.2607.3.0:29205</v>
      </c>
      <c r="E2608" s="6" t="str">
        <f>_xll.QS.INSTRUMENT.SWAP("swap.2606",H2608,B2608,"USD","SOFR",I2608,J2608,0,"Actual360","Simple","Annual","Annual","Annual")</f>
        <v>QSObject:Swap:w1~swap.2606:14410</v>
      </c>
      <c r="F2608" s="6" t="str">
        <f>_xll.QS.TRADE.CREATE("trade.2606",E2608,A2608,"Receive")</f>
        <v>QSObject:SwapTrade:w1~trade.2606:29204</v>
      </c>
      <c r="G2608" s="3">
        <f>_xll.QS.EVALUATE(C2608,F2608)</f>
        <v>20863.763893029238</v>
      </c>
      <c r="H2608" s="5" t="s">
        <v>1602</v>
      </c>
      <c r="I2608" s="7">
        <v>1260600</v>
      </c>
      <c r="J2608" s="8">
        <v>3.5600000000000007E-2</v>
      </c>
    </row>
    <row r="2609" spans="1:10" x14ac:dyDescent="0.25">
      <c r="A2609" s="5" t="s">
        <v>1590</v>
      </c>
      <c r="B2609" s="5" t="s">
        <v>4476</v>
      </c>
      <c r="C2609" s="6" t="str">
        <f>_xll.QS.CONTEXT.CREATE("market.2607",A2609,"USD","SOFR")</f>
        <v>QSObject:PricingContext:w1~market.2607:3300</v>
      </c>
      <c r="D2609" s="6" t="str">
        <f>_xll.QS.CONTEXT.ADD.CURVE(C2609,"SOFR",$K$2:$K$7,$L$2:$L$7,,,"Actual360","LogLinear",TRUE)</f>
        <v>QSObject:ContextInput:w1~input.qs_context_add_curve.2359132437744.2608.3.0:11275</v>
      </c>
      <c r="E2609" s="6" t="str">
        <f>_xll.QS.INSTRUMENT.SWAP("swap.2607",H2609,B2609,"USD","SOFR",I2609,J2609,0,"Actual360","Simple","Annual","Annual","Annual")</f>
        <v>QSObject:Swap:w1~swap.2607:9637</v>
      </c>
      <c r="F2609" s="6" t="str">
        <f>_xll.QS.TRADE.CREATE("trade.2607",E2609,A2609,"Receive")</f>
        <v>QSObject:SwapTrade:w1~trade.2607:16097</v>
      </c>
      <c r="G2609" s="3">
        <f>_xll.QS.EVALUATE(C2609,F2609)</f>
        <v>21501.874918354159</v>
      </c>
      <c r="H2609" s="5" t="s">
        <v>1604</v>
      </c>
      <c r="I2609" s="7">
        <v>1260700</v>
      </c>
      <c r="J2609" s="8">
        <v>3.5700000000000003E-2</v>
      </c>
    </row>
    <row r="2610" spans="1:10" x14ac:dyDescent="0.25">
      <c r="A2610" s="5" t="s">
        <v>1592</v>
      </c>
      <c r="B2610" s="5" t="s">
        <v>4477</v>
      </c>
      <c r="C2610" s="6" t="str">
        <f>_xll.QS.CONTEXT.CREATE("market.2608",A2610,"USD","SOFR")</f>
        <v>QSObject:PricingContext:w1~market.2608:12774</v>
      </c>
      <c r="D2610" s="6" t="str">
        <f>_xll.QS.CONTEXT.ADD.CURVE(C2610,"SOFR",$K$2:$K$7,$L$2:$L$7,,,"Actual360","LogLinear",TRUE)</f>
        <v>QSObject:ContextInput:w1~input.qs_context_add_curve.2359132437744.2609.3.0:17068</v>
      </c>
      <c r="E2610" s="6" t="str">
        <f>_xll.QS.INSTRUMENT.SWAP("swap.2608",H2610,B2610,"USD","SOFR",I2610,J2610,0,"Actual360","Simple","Annual","Annual","Annual")</f>
        <v>QSObject:Swap:w1~swap.2608:8041</v>
      </c>
      <c r="F2610" s="6" t="str">
        <f>_xll.QS.TRADE.CREATE("trade.2608",E2610,A2610,"Receive")</f>
        <v>QSObject:SwapTrade:w1~trade.2608:29203</v>
      </c>
      <c r="G2610" s="3">
        <f>_xll.QS.EVALUATE(C2610,F2610)</f>
        <v>22037.066524671507</v>
      </c>
      <c r="H2610" s="5" t="s">
        <v>1606</v>
      </c>
      <c r="I2610" s="7">
        <v>1260800</v>
      </c>
      <c r="J2610" s="8">
        <v>3.5800000000000012E-2</v>
      </c>
    </row>
    <row r="2611" spans="1:10" x14ac:dyDescent="0.25">
      <c r="A2611" s="5" t="s">
        <v>1594</v>
      </c>
      <c r="B2611" s="5" t="s">
        <v>4478</v>
      </c>
      <c r="C2611" s="6" t="str">
        <f>_xll.QS.CONTEXT.CREATE("market.2609",A2611,"USD","SOFR")</f>
        <v>QSObject:PricingContext:w1~market.2609:3299</v>
      </c>
      <c r="D2611" s="6" t="str">
        <f>_xll.QS.CONTEXT.ADD.CURVE(C2611,"SOFR",$K$2:$K$7,$L$2:$L$7,,,"Actual360","LogLinear",TRUE)</f>
        <v>QSObject:ContextInput:w1~input.qs_context_add_curve.2359132437744.2610.3.0:14409</v>
      </c>
      <c r="E2611" s="6" t="str">
        <f>_xll.QS.INSTRUMENT.SWAP("swap.2609",H2611,B2611,"USD","SOFR",I2611,J2611,0,"Actual360","Simple","Annual","Annual","Annual")</f>
        <v>QSObject:Swap:w1~swap.2609:1773</v>
      </c>
      <c r="F2611" s="6" t="str">
        <f>_xll.QS.TRADE.CREATE("trade.2609",E2611,A2611,"Receive")</f>
        <v>QSObject:SwapTrade:w1~trade.2609:6441</v>
      </c>
      <c r="G2611" s="3">
        <f>_xll.QS.EVALUATE(C2611,F2611)</f>
        <v>22539.693803341819</v>
      </c>
      <c r="H2611" s="5" t="s">
        <v>1609</v>
      </c>
      <c r="I2611" s="7">
        <v>1260900</v>
      </c>
      <c r="J2611" s="8">
        <v>3.5900000000000001E-2</v>
      </c>
    </row>
    <row r="2612" spans="1:10" x14ac:dyDescent="0.25">
      <c r="A2612" s="5" t="s">
        <v>1596</v>
      </c>
      <c r="B2612" s="5" t="s">
        <v>4479</v>
      </c>
      <c r="C2612" s="6" t="str">
        <f>_xll.QS.CONTEXT.CREATE("market.2610",A2612,"USD","SOFR")</f>
        <v>QSObject:PricingContext:w1~market.2610:12773</v>
      </c>
      <c r="D2612" s="6" t="str">
        <f>_xll.QS.CONTEXT.ADD.CURVE(C2612,"SOFR",$K$2:$K$7,$L$2:$L$7,,,"Actual360","LogLinear",TRUE)</f>
        <v>QSObject:ContextInput:w1~input.qs_context_add_curve.2359132437744.2611.3.0:29202</v>
      </c>
      <c r="E2612" s="6" t="str">
        <f>_xll.QS.INSTRUMENT.SWAP("swap.2610",H2612,B2612,"USD","SOFR",I2612,J2612,0,"Actual360","Simple","Annual","Annual","Annual")</f>
        <v>QSObject:Swap:w1~swap.2610:17067</v>
      </c>
      <c r="F2612" s="6" t="str">
        <f>_xll.QS.TRADE.CREATE("trade.2610",E2612,A2612,"Receive")</f>
        <v>QSObject:SwapTrade:w1~trade.2610:29201</v>
      </c>
      <c r="G2612" s="3">
        <f>_xll.QS.EVALUATE(C2612,F2612)</f>
        <v>23015.021779674113</v>
      </c>
      <c r="H2612" s="5" t="s">
        <v>1611</v>
      </c>
      <c r="I2612" s="7">
        <v>1261000</v>
      </c>
      <c r="J2612" s="8">
        <v>3.5999999999999997E-2</v>
      </c>
    </row>
    <row r="2613" spans="1:10" x14ac:dyDescent="0.25">
      <c r="A2613" s="5" t="s">
        <v>1598</v>
      </c>
      <c r="B2613" s="5" t="s">
        <v>4480</v>
      </c>
      <c r="C2613" s="6" t="str">
        <f>_xll.QS.CONTEXT.CREATE("market.2611",A2613,"USD","SOFR")</f>
        <v>QSObject:PricingContext:w1~market.2611:9636</v>
      </c>
      <c r="D2613" s="6" t="str">
        <f>_xll.QS.CONTEXT.ADD.CURVE(C2613,"SOFR",$K$2:$K$7,$L$2:$L$7,,,"Actual360","LogLinear",TRUE)</f>
        <v>QSObject:ContextInput:w1~input.qs_context_add_curve.2359132437744.2612.3.0:37755</v>
      </c>
      <c r="E2613" s="6" t="str">
        <f>_xll.QS.INSTRUMENT.SWAP("swap.2611",H2613,B2613,"USD","SOFR",I2613,J2613,0,"Actual360","Simple","Annual","Annual","Annual")</f>
        <v>QSObject:Swap:w1~swap.2611:16096</v>
      </c>
      <c r="F2613" s="6" t="str">
        <f>_xll.QS.TRADE.CREATE("trade.2611",E2613,A2613,"Receive")</f>
        <v>QSObject:SwapTrade:w1~trade.2611:29200</v>
      </c>
      <c r="G2613" s="3">
        <f>_xll.QS.EVALUATE(C2613,F2613)</f>
        <v>23650.969427464697</v>
      </c>
      <c r="H2613" s="5" t="s">
        <v>1613</v>
      </c>
      <c r="I2613" s="7">
        <v>1261100</v>
      </c>
      <c r="J2613" s="8">
        <v>3.61E-2</v>
      </c>
    </row>
    <row r="2614" spans="1:10" x14ac:dyDescent="0.25">
      <c r="A2614" s="5" t="s">
        <v>1600</v>
      </c>
      <c r="B2614" s="5" t="s">
        <v>4481</v>
      </c>
      <c r="C2614" s="6" t="str">
        <f>_xll.QS.CONTEXT.CREATE("market.2612",A2614,"USD","SOFR")</f>
        <v>QSObject:PricingContext:w1~market.2612:6440</v>
      </c>
      <c r="D2614" s="6" t="str">
        <f>_xll.QS.CONTEXT.ADD.CURVE(C2614,"SOFR",$K$2:$K$7,$L$2:$L$7,,,"Actual360","LogLinear",TRUE)</f>
        <v>QSObject:ContextInput:w1~input.qs_context_add_curve.2359132437744.2613.3.0:29199</v>
      </c>
      <c r="E2614" s="6" t="str">
        <f>_xll.QS.INSTRUMENT.SWAP("swap.2612",H2614,B2614,"USD","SOFR",I2614,J2614,0,"Actual360","Simple","Annual","Annual","Annual")</f>
        <v>QSObject:Swap:w1~swap.2612:14408</v>
      </c>
      <c r="F2614" s="6" t="str">
        <f>_xll.QS.TRADE.CREATE("trade.2612",E2614,A2614,"Receive")</f>
        <v>QSObject:SwapTrade:w1~trade.2612:29198</v>
      </c>
      <c r="G2614" s="3">
        <f>_xll.QS.EVALUATE(C2614,F2614)</f>
        <v>24270.280395659116</v>
      </c>
      <c r="H2614" s="5" t="s">
        <v>1615</v>
      </c>
      <c r="I2614" s="7">
        <v>1261200</v>
      </c>
      <c r="J2614" s="8">
        <v>3.6200000000000003E-2</v>
      </c>
    </row>
    <row r="2615" spans="1:10" x14ac:dyDescent="0.25">
      <c r="A2615" s="5" t="s">
        <v>1602</v>
      </c>
      <c r="B2615" s="5" t="s">
        <v>4482</v>
      </c>
      <c r="C2615" s="6" t="str">
        <f>_xll.QS.CONTEXT.CREATE("market.2613",A2615,"USD","SOFR")</f>
        <v>QSObject:PricingContext:w1~market.2613:4863</v>
      </c>
      <c r="D2615" s="6" t="str">
        <f>_xll.QS.CONTEXT.ADD.CURVE(C2615,"SOFR",$K$2:$K$7,$L$2:$L$7,,,"Actual360","LogLinear",TRUE)</f>
        <v>QSObject:ContextInput:w1~input.qs_context_add_curve.2359132437744.2614.3.0:17066</v>
      </c>
      <c r="E2615" s="6" t="str">
        <f>_xll.QS.INSTRUMENT.SWAP("swap.2613",H2615,B2615,"USD","SOFR",I2615,J2615,0,"Actual360","Simple","Annual","Annual","Annual")</f>
        <v>QSObject:Swap:w1~swap.2613:11274</v>
      </c>
      <c r="F2615" s="6" t="str">
        <f>_xll.QS.TRADE.CREATE("trade.2613",E2615,A2615,"Receive")</f>
        <v>QSObject:SwapTrade:w1~trade.2613:29197</v>
      </c>
      <c r="G2615" s="3">
        <f>_xll.QS.EVALUATE(C2615,F2615)</f>
        <v>24946.661009474919</v>
      </c>
      <c r="H2615" s="5" t="s">
        <v>1617</v>
      </c>
      <c r="I2615" s="7">
        <v>1261300</v>
      </c>
      <c r="J2615" s="8">
        <v>3.6300000000000013E-2</v>
      </c>
    </row>
    <row r="2616" spans="1:10" x14ac:dyDescent="0.25">
      <c r="A2616" s="5" t="s">
        <v>1604</v>
      </c>
      <c r="B2616" s="5" t="s">
        <v>4483</v>
      </c>
      <c r="C2616" s="6" t="str">
        <f>_xll.QS.CONTEXT.CREATE("market.2614",A2616,"USD","SOFR")</f>
        <v>QSObject:PricingContext:w1~market.2614:16095</v>
      </c>
      <c r="D2616" s="6" t="str">
        <f>_xll.QS.CONTEXT.ADD.CURVE(C2616,"SOFR",$K$2:$K$7,$L$2:$L$7,,,"Actual360","LogLinear",TRUE)</f>
        <v>QSObject:ContextInput:w1~input.qs_context_add_curve.2359132437744.2615.3.0:37754</v>
      </c>
      <c r="E2616" s="6" t="str">
        <f>_xll.QS.INSTRUMENT.SWAP("swap.2614",H2616,B2616,"USD","SOFR",I2616,J2616,0,"Actual360","Simple","Annual","Annual","Annual")</f>
        <v>QSObject:Swap:w1~swap.2614:3298</v>
      </c>
      <c r="F2616" s="6" t="str">
        <f>_xll.QS.TRADE.CREATE("trade.2614",E2616,A2616,"Receive")</f>
        <v>QSObject:SwapTrade:w1~trade.2614:29196</v>
      </c>
      <c r="G2616" s="3">
        <f>_xll.QS.EVALUATE(C2616,F2616)</f>
        <v>25585.481123495571</v>
      </c>
      <c r="H2616" s="5" t="s">
        <v>1619</v>
      </c>
      <c r="I2616" s="7">
        <v>1261400</v>
      </c>
      <c r="J2616" s="8">
        <v>3.6400000000000002E-2</v>
      </c>
    </row>
    <row r="2617" spans="1:10" x14ac:dyDescent="0.25">
      <c r="A2617" s="5" t="s">
        <v>1606</v>
      </c>
      <c r="B2617" s="5" t="s">
        <v>4484</v>
      </c>
      <c r="C2617" s="6" t="str">
        <f>_xll.QS.CONTEXT.CREATE("market.2615",A2617,"USD","SOFR")</f>
        <v>QSObject:PricingContext:w1~market.2615:14407</v>
      </c>
      <c r="D2617" s="6" t="str">
        <f>_xll.QS.CONTEXT.ADD.CURVE(C2617,"SOFR",$K$2:$K$7,$L$2:$L$7,,,"Actual360","LogLinear",TRUE)</f>
        <v>QSObject:ContextInput:w1~input.qs_context_add_curve.2359132437744.2616.3.0:37753</v>
      </c>
      <c r="E2617" s="6" t="str">
        <f>_xll.QS.INSTRUMENT.SWAP("swap.2615",H2617,B2617,"USD","SOFR",I2617,J2617,0,"Actual360","Simple","Annual","Annual","Annual")</f>
        <v>QSObject:Swap:w1~swap.2615:6439</v>
      </c>
      <c r="F2617" s="6" t="str">
        <f>_xll.QS.TRADE.CREATE("trade.2615",E2617,A2617,"Receive")</f>
        <v>QSObject:SwapTrade:w1~trade.2615:11273</v>
      </c>
      <c r="G2617" s="3">
        <f>_xll.QS.EVALUATE(C2617,F2617)</f>
        <v>26120.787784752109</v>
      </c>
      <c r="H2617" s="5" t="s">
        <v>1621</v>
      </c>
      <c r="I2617" s="7">
        <v>1261500</v>
      </c>
      <c r="J2617" s="8">
        <v>3.6499999999999998E-2</v>
      </c>
    </row>
    <row r="2618" spans="1:10" x14ac:dyDescent="0.25">
      <c r="A2618" s="5" t="s">
        <v>1609</v>
      </c>
      <c r="B2618" s="5" t="s">
        <v>4485</v>
      </c>
      <c r="C2618" s="6" t="str">
        <f>_xll.QS.CONTEXT.CREATE("market.2616",A2618,"USD","SOFR")</f>
        <v>QSObject:PricingContext:w1~market.2616:17065</v>
      </c>
      <c r="D2618" s="6" t="str">
        <f>_xll.QS.CONTEXT.ADD.CURVE(C2618,"SOFR",$K$2:$K$7,$L$2:$L$7,,,"Actual360","LogLinear",TRUE)</f>
        <v>QSObject:ContextInput:w1~input.qs_context_add_curve.2359132437744.2617.3.0:37752</v>
      </c>
      <c r="E2618" s="6" t="str">
        <f>_xll.QS.INSTRUMENT.SWAP("swap.2616",H2618,B2618,"USD","SOFR",I2618,J2618,0,"Actual360","Simple","Annual","Annual","Annual")</f>
        <v>QSObject:Swap:w1~swap.2616:4862</v>
      </c>
      <c r="F2618" s="6" t="str">
        <f>_xll.QS.TRADE.CREATE("trade.2616",E2618,A2618,"Receive")</f>
        <v>QSObject:SwapTrade:w1~trade.2616:16094</v>
      </c>
      <c r="G2618" s="3">
        <f>_xll.QS.EVALUATE(C2618,F2618)</f>
        <v>26620.002766102858</v>
      </c>
      <c r="H2618" s="5" t="s">
        <v>1623</v>
      </c>
      <c r="I2618" s="7">
        <v>1261600</v>
      </c>
      <c r="J2618" s="8">
        <v>3.6600000000000001E-2</v>
      </c>
    </row>
    <row r="2619" spans="1:10" x14ac:dyDescent="0.25">
      <c r="A2619" s="5" t="s">
        <v>1611</v>
      </c>
      <c r="B2619" s="5" t="s">
        <v>4486</v>
      </c>
      <c r="C2619" s="6" t="str">
        <f>_xll.QS.CONTEXT.CREATE("market.2617",A2619,"USD","SOFR")</f>
        <v>QSObject:PricingContext:w1~market.2617:3297</v>
      </c>
      <c r="D2619" s="6" t="str">
        <f>_xll.QS.CONTEXT.ADD.CURVE(C2619,"SOFR",$K$2:$K$7,$L$2:$L$7,,,"Actual360","LogLinear",TRUE)</f>
        <v>QSObject:ContextInput:w1~input.qs_context_add_curve.2359132437744.2618.3.0:9635</v>
      </c>
      <c r="E2619" s="6" t="str">
        <f>_xll.QS.INSTRUMENT.SWAP("swap.2617",H2619,B2619,"USD","SOFR",I2619,J2619,0,"Actual360","Simple","Annual","Annual","Annual")</f>
        <v>QSObject:Swap:w1~swap.2617:1772</v>
      </c>
      <c r="F2619" s="6" t="str">
        <f>_xll.QS.TRADE.CREATE("trade.2617",E2619,A2619,"Receive")</f>
        <v>QSObject:SwapTrade:w1~trade.2617:11272</v>
      </c>
      <c r="G2619" s="3">
        <f>_xll.QS.EVALUATE(C2619,F2619)</f>
        <v>27102.223516160258</v>
      </c>
      <c r="H2619" s="5" t="s">
        <v>1625</v>
      </c>
      <c r="I2619" s="7">
        <v>1261700</v>
      </c>
      <c r="J2619" s="8">
        <v>3.6700000000000003E-2</v>
      </c>
    </row>
    <row r="2620" spans="1:10" x14ac:dyDescent="0.25">
      <c r="A2620" s="5" t="s">
        <v>1613</v>
      </c>
      <c r="B2620" s="5" t="s">
        <v>4487</v>
      </c>
      <c r="C2620" s="6" t="str">
        <f>_xll.QS.CONTEXT.CREATE("market.2618",A2620,"USD","SOFR")</f>
        <v>QSObject:PricingContext:w1~market.2618:6438</v>
      </c>
      <c r="D2620" s="6" t="str">
        <f>_xll.QS.CONTEXT.ADD.CURVE(C2620,"SOFR",$K$2:$K$7,$L$2:$L$7,,,"Actual360","LogLinear",TRUE)</f>
        <v>QSObject:ContextInput:w1~input.qs_context_add_curve.2359132437744.2619.3.0:17064</v>
      </c>
      <c r="E2620" s="6" t="str">
        <f>_xll.QS.INSTRUMENT.SWAP("swap.2618",H2620,B2620,"USD","SOFR",I2620,J2620,0,"Actual360","Simple","Annual","Annual","Annual")</f>
        <v>QSObject:Swap:w1~swap.2618:14406</v>
      </c>
      <c r="F2620" s="6" t="str">
        <f>_xll.QS.TRADE.CREATE("trade.2618",E2620,A2620,"Receive")</f>
        <v>QSObject:SwapTrade:w1~trade.2618:29195</v>
      </c>
      <c r="G2620" s="3">
        <f>_xll.QS.EVALUATE(C2620,F2620)</f>
        <v>27739.067653228369</v>
      </c>
      <c r="H2620" s="5" t="s">
        <v>1627</v>
      </c>
      <c r="I2620" s="7">
        <v>1261800</v>
      </c>
      <c r="J2620" s="8">
        <v>3.6800000000000013E-2</v>
      </c>
    </row>
    <row r="2621" spans="1:10" x14ac:dyDescent="0.25">
      <c r="A2621" s="5" t="s">
        <v>1615</v>
      </c>
      <c r="B2621" s="5" t="s">
        <v>4488</v>
      </c>
      <c r="C2621" s="6" t="str">
        <f>_xll.QS.CONTEXT.CREATE("market.2619",A2621,"USD","SOFR")</f>
        <v>QSObject:PricingContext:w1~market.2619:16093</v>
      </c>
      <c r="D2621" s="6" t="str">
        <f>_xll.QS.CONTEXT.ADD.CURVE(C2621,"SOFR",$K$2:$K$7,$L$2:$L$7,,,"Actual360","LogLinear",TRUE)</f>
        <v>QSObject:ContextInput:w1~input.qs_context_add_curve.2359132437744.2620.3.0:37751</v>
      </c>
      <c r="E2621" s="6" t="str">
        <f>_xll.QS.INSTRUMENT.SWAP("swap.2619",H2621,B2621,"USD","SOFR",I2621,J2621,0,"Actual360","Simple","Annual","Annual","Annual")</f>
        <v>QSObject:Swap:w1~swap.2619:4861</v>
      </c>
      <c r="F2621" s="6" t="str">
        <f>_xll.QS.TRADE.CREATE("trade.2619",E2621,A2621,"Receive")</f>
        <v>QSObject:SwapTrade:w1~trade.2619:29194</v>
      </c>
      <c r="G2621" s="3">
        <f>_xll.QS.EVALUATE(C2621,F2621)</f>
        <v>28357.744914710434</v>
      </c>
      <c r="H2621" s="5" t="s">
        <v>1629</v>
      </c>
      <c r="I2621" s="7">
        <v>1261900</v>
      </c>
      <c r="J2621" s="8">
        <v>3.6900000000000002E-2</v>
      </c>
    </row>
    <row r="2622" spans="1:10" x14ac:dyDescent="0.25">
      <c r="A2622" s="5" t="s">
        <v>1617</v>
      </c>
      <c r="B2622" s="5" t="s">
        <v>4489</v>
      </c>
      <c r="C2622" s="6" t="str">
        <f>_xll.QS.CONTEXT.CREATE("market.2620",A2622,"USD","SOFR")</f>
        <v>QSObject:PricingContext:w1~market.2620:1771</v>
      </c>
      <c r="D2622" s="6" t="str">
        <f>_xll.QS.CONTEXT.ADD.CURVE(C2622,"SOFR",$K$2:$K$7,$L$2:$L$7,,,"Actual360","LogLinear",TRUE)</f>
        <v>QSObject:ContextInput:w1~input.qs_context_add_curve.2359132437744.2621.3.0:11271</v>
      </c>
      <c r="E2622" s="6" t="str">
        <f>_xll.QS.INSTRUMENT.SWAP("swap.2620",H2622,B2622,"USD","SOFR",I2622,J2622,0,"Actual360","Simple","Annual","Annual","Annual")</f>
        <v>QSObject:Swap:w1~swap.2620:9634</v>
      </c>
      <c r="F2622" s="6" t="str">
        <f>_xll.QS.TRADE.CREATE("trade.2620",E2622,A2622,"Receive")</f>
        <v>QSObject:SwapTrade:w1~trade.2620:29193</v>
      </c>
      <c r="G2622" s="3">
        <f>_xll.QS.EVALUATE(C2622,F2622)</f>
        <v>29034.336793228387</v>
      </c>
      <c r="H2622" s="5" t="s">
        <v>1631</v>
      </c>
      <c r="I2622" s="7">
        <v>1262000</v>
      </c>
      <c r="J2622" s="8">
        <v>3.7000000000000012E-2</v>
      </c>
    </row>
    <row r="2623" spans="1:10" x14ac:dyDescent="0.25">
      <c r="A2623" s="5" t="s">
        <v>1619</v>
      </c>
      <c r="B2623" s="5" t="s">
        <v>4490</v>
      </c>
      <c r="C2623" s="6" t="str">
        <f>_xll.QS.CONTEXT.CREATE("market.2621",A2623,"USD","SOFR")</f>
        <v>QSObject:PricingContext:w1~market.2621:12772</v>
      </c>
      <c r="D2623" s="6" t="str">
        <f>_xll.QS.CONTEXT.ADD.CURVE(C2623,"SOFR",$K$2:$K$7,$L$2:$L$7,,,"Actual360","LogLinear",TRUE)</f>
        <v>QSObject:ContextInput:w1~input.qs_context_add_curve.2359132437744.2622.3.0:14405</v>
      </c>
      <c r="E2623" s="6" t="str">
        <f>_xll.QS.INSTRUMENT.SWAP("swap.2621",H2623,B2623,"USD","SOFR",I2623,J2623,0,"Actual360","Simple","Annual","Annual","Annual")</f>
        <v>QSObject:Swap:w1~swap.2621:17063</v>
      </c>
      <c r="F2623" s="6" t="str">
        <f>_xll.QS.TRADE.CREATE("trade.2621",E2623,A2623,"Receive")</f>
        <v>QSObject:SwapTrade:w1~trade.2621:29192</v>
      </c>
      <c r="G2623" s="3">
        <f>_xll.QS.EVALUATE(C2623,F2623)</f>
        <v>29673.750088295805</v>
      </c>
      <c r="H2623" s="5" t="s">
        <v>1633</v>
      </c>
      <c r="I2623" s="7">
        <v>1262100</v>
      </c>
      <c r="J2623" s="8">
        <v>3.7100000000000001E-2</v>
      </c>
    </row>
    <row r="2624" spans="1:10" x14ac:dyDescent="0.25">
      <c r="A2624" s="5" t="s">
        <v>1621</v>
      </c>
      <c r="B2624" s="5" t="s">
        <v>4491</v>
      </c>
      <c r="C2624" s="6" t="str">
        <f>_xll.QS.CONTEXT.CREATE("market.2622",A2624,"USD","SOFR")</f>
        <v>QSObject:PricingContext:w1~market.2622:16092</v>
      </c>
      <c r="D2624" s="6" t="str">
        <f>_xll.QS.CONTEXT.ADD.CURVE(C2624,"SOFR",$K$2:$K$7,$L$2:$L$7,,,"Actual360","LogLinear",TRUE)</f>
        <v>QSObject:ContextInput:w1~input.qs_context_add_curve.2359132437744.2623.3.0:37750</v>
      </c>
      <c r="E2624" s="6" t="str">
        <f>_xll.QS.INSTRUMENT.SWAP("swap.2622",H2624,B2624,"USD","SOFR",I2624,J2624,0,"Actual360","Simple","Annual","Annual","Annual")</f>
        <v>QSObject:Swap:w1~swap.2622:3296</v>
      </c>
      <c r="F2624" s="6" t="str">
        <f>_xll.QS.TRADE.CREATE("trade.2622",E2624,A2624,"Receive")</f>
        <v>QSObject:SwapTrade:w1~trade.2622:11270</v>
      </c>
      <c r="G2624" s="3">
        <f>_xll.QS.EVALUATE(C2624,F2624)</f>
        <v>30209.630704470081</v>
      </c>
      <c r="H2624" s="5" t="s">
        <v>1635</v>
      </c>
      <c r="I2624" s="7">
        <v>1262200</v>
      </c>
      <c r="J2624" s="8">
        <v>3.7199999999999997E-2</v>
      </c>
    </row>
    <row r="2625" spans="1:10" x14ac:dyDescent="0.25">
      <c r="A2625" s="5" t="s">
        <v>1623</v>
      </c>
      <c r="B2625" s="5" t="s">
        <v>4492</v>
      </c>
      <c r="C2625" s="6" t="str">
        <f>_xll.QS.CONTEXT.CREATE("market.2623",A2625,"USD","SOFR")</f>
        <v>QSObject:PricingContext:w1~market.2623:9633</v>
      </c>
      <c r="D2625" s="6" t="str">
        <f>_xll.QS.CONTEXT.ADD.CURVE(C2625,"SOFR",$K$2:$K$7,$L$2:$L$7,,,"Actual360","LogLinear",TRUE)</f>
        <v>QSObject:ContextInput:w1~input.qs_context_add_curve.2359132437744.2624.3.0:37749</v>
      </c>
      <c r="E2625" s="6" t="str">
        <f>_xll.QS.INSTRUMENT.SWAP("swap.2623",H2625,B2625,"USD","SOFR",I2625,J2625,0,"Actual360","Simple","Annual","Annual","Annual")</f>
        <v>QSObject:Swap:w1~swap.2623:1770</v>
      </c>
      <c r="F2625" s="6" t="str">
        <f>_xll.QS.TRADE.CREATE("trade.2623",E2625,A2625,"Receive")</f>
        <v>QSObject:SwapTrade:w1~trade.2623:12771</v>
      </c>
      <c r="G2625" s="3">
        <f>_xll.QS.EVALUATE(C2625,F2625)</f>
        <v>30704.645766794565</v>
      </c>
      <c r="H2625" s="5" t="s">
        <v>1637</v>
      </c>
      <c r="I2625" s="7">
        <v>1262300</v>
      </c>
      <c r="J2625" s="8">
        <v>3.73E-2</v>
      </c>
    </row>
    <row r="2626" spans="1:10" x14ac:dyDescent="0.25">
      <c r="A2626" s="5" t="s">
        <v>1625</v>
      </c>
      <c r="B2626" s="5" t="s">
        <v>4493</v>
      </c>
      <c r="C2626" s="6" t="str">
        <f>_xll.QS.CONTEXT.CREATE("market.2624",A2626,"USD","SOFR")</f>
        <v>QSObject:PricingContext:w1~market.2624:17062</v>
      </c>
      <c r="D2626" s="6" t="str">
        <f>_xll.QS.CONTEXT.ADD.CURVE(C2626,"SOFR",$K$2:$K$7,$L$2:$L$7,,,"Actual360","LogLinear",TRUE)</f>
        <v>QSObject:ContextInput:w1~input.qs_context_add_curve.2359132437744.2625.3.0:37748</v>
      </c>
      <c r="E2626" s="6" t="str">
        <f>_xll.QS.INSTRUMENT.SWAP("swap.2624",H2626,B2626,"USD","SOFR",I2626,J2626,0,"Actual360","Simple","Annual","Annual","Annual")</f>
        <v>QSObject:Swap:w1~swap.2624:14404</v>
      </c>
      <c r="F2626" s="6" t="str">
        <f>_xll.QS.TRADE.CREATE("trade.2624",E2626,A2626,"Receive")</f>
        <v>QSObject:SwapTrade:w1~trade.2624:29191</v>
      </c>
      <c r="G2626" s="3">
        <f>_xll.QS.EVALUATE(C2626,F2626)</f>
        <v>31193.772879566437</v>
      </c>
      <c r="H2626" s="5" t="s">
        <v>1639</v>
      </c>
      <c r="I2626" s="7">
        <v>1262400</v>
      </c>
      <c r="J2626" s="8">
        <v>3.7400000000000003E-2</v>
      </c>
    </row>
    <row r="2627" spans="1:10" x14ac:dyDescent="0.25">
      <c r="A2627" s="5" t="s">
        <v>1627</v>
      </c>
      <c r="B2627" s="5" t="s">
        <v>4494</v>
      </c>
      <c r="C2627" s="6" t="str">
        <f>_xll.QS.CONTEXT.CREATE("market.2625",A2627,"USD","SOFR")</f>
        <v>QSObject:PricingContext:w1~market.2625:11269</v>
      </c>
      <c r="D2627" s="6" t="str">
        <f>_xll.QS.CONTEXT.ADD.CURVE(C2627,"SOFR",$K$2:$K$7,$L$2:$L$7,,,"Actual360","LogLinear",TRUE)</f>
        <v>QSObject:ContextInput:w1~input.qs_context_add_curve.2359132437744.2626.3.0:16091</v>
      </c>
      <c r="E2627" s="6" t="str">
        <f>_xll.QS.INSTRUMENT.SWAP("swap.2625",H2627,B2627,"USD","SOFR",I2627,J2627,0,"Actual360","Simple","Annual","Annual","Annual")</f>
        <v>QSObject:Swap:w1~swap.2625:8040</v>
      </c>
      <c r="F2627" s="6" t="str">
        <f>_xll.QS.TRADE.CREATE("trade.2625",E2627,A2627,"Receive")</f>
        <v>QSObject:SwapTrade:w1~trade.2625:29190</v>
      </c>
      <c r="G2627" s="3">
        <f>_xll.QS.EVALUATE(C2627,F2627)</f>
        <v>31831.686951229036</v>
      </c>
      <c r="H2627" s="5" t="s">
        <v>1641</v>
      </c>
      <c r="I2627" s="7">
        <v>1262500</v>
      </c>
      <c r="J2627" s="8">
        <v>3.7500000000000012E-2</v>
      </c>
    </row>
    <row r="2628" spans="1:10" x14ac:dyDescent="0.25">
      <c r="A2628" s="5" t="s">
        <v>1629</v>
      </c>
      <c r="B2628" s="5" t="s">
        <v>4495</v>
      </c>
      <c r="C2628" s="6" t="str">
        <f>_xll.QS.CONTEXT.CREATE("market.2626",A2628,"USD","SOFR")</f>
        <v>QSObject:PricingContext:w1~market.2626:9632</v>
      </c>
      <c r="D2628" s="6" t="str">
        <f>_xll.QS.CONTEXT.ADD.CURVE(C2628,"SOFR",$K$2:$K$7,$L$2:$L$7,,,"Actual360","LogLinear",TRUE)</f>
        <v>QSObject:ContextInput:w1~input.qs_context_add_curve.2359132437744.2627.3.0:12770</v>
      </c>
      <c r="E2628" s="6" t="str">
        <f>_xll.QS.INSTRUMENT.SWAP("swap.2626",H2628,B2628,"USD","SOFR",I2628,J2628,0,"Actual360","Simple","Annual","Annual","Annual")</f>
        <v>QSObject:Swap:w1~swap.2626:17061</v>
      </c>
      <c r="F2628" s="6" t="str">
        <f>_xll.QS.TRADE.CREATE("trade.2626",E2628,A2628,"Receive")</f>
        <v>QSObject:SwapTrade:w1~trade.2626:29189</v>
      </c>
      <c r="G2628" s="3">
        <f>_xll.QS.EVALUATE(C2628,F2628)</f>
        <v>32449.048807167906</v>
      </c>
      <c r="H2628" s="5" t="s">
        <v>1643</v>
      </c>
      <c r="I2628" s="7">
        <v>1262600</v>
      </c>
      <c r="J2628" s="8">
        <v>3.7600000000000001E-2</v>
      </c>
    </row>
    <row r="2629" spans="1:10" x14ac:dyDescent="0.25">
      <c r="A2629" s="5" t="s">
        <v>1631</v>
      </c>
      <c r="B2629" s="5" t="s">
        <v>4496</v>
      </c>
      <c r="C2629" s="6" t="str">
        <f>_xll.QS.CONTEXT.CREATE("market.2627",A2629,"USD","SOFR")</f>
        <v>QSObject:PricingContext:w1~market.2627:3295</v>
      </c>
      <c r="D2629" s="6" t="str">
        <f>_xll.QS.CONTEXT.ADD.CURVE(C2629,"SOFR",$K$2:$K$7,$L$2:$L$7,,,"Actual360","LogLinear",TRUE)</f>
        <v>QSObject:ContextInput:w1~input.qs_context_add_curve.2359132437744.2628.3.0:14403</v>
      </c>
      <c r="E2629" s="6" t="str">
        <f>_xll.QS.INSTRUMENT.SWAP("swap.2627",H2629,B2629,"USD","SOFR",I2629,J2629,0,"Actual360","Simple","Annual","Annual","Annual")</f>
        <v>QSObject:Swap:w1~swap.2627:1769</v>
      </c>
      <c r="F2629" s="6" t="str">
        <f>_xll.QS.TRADE.CREATE("trade.2627",E2629,A2629,"Receive")</f>
        <v>QSObject:SwapTrade:w1~trade.2627:11268</v>
      </c>
      <c r="G2629" s="3">
        <f>_xll.QS.EVALUATE(C2629,F2629)</f>
        <v>33126.402020348527</v>
      </c>
      <c r="H2629" s="5" t="s">
        <v>1645</v>
      </c>
      <c r="I2629" s="7">
        <v>1262700</v>
      </c>
      <c r="J2629" s="8">
        <v>3.7699999999999997E-2</v>
      </c>
    </row>
    <row r="2630" spans="1:10" x14ac:dyDescent="0.25">
      <c r="A2630" s="5" t="s">
        <v>1633</v>
      </c>
      <c r="B2630" s="5" t="s">
        <v>4497</v>
      </c>
      <c r="C2630" s="6" t="str">
        <f>_xll.QS.CONTEXT.CREATE("market.2628",A2630,"USD","SOFR")</f>
        <v>QSObject:PricingContext:w1~market.2628:6437</v>
      </c>
      <c r="D2630" s="6" t="str">
        <f>_xll.QS.CONTEXT.ADD.CURVE(C2630,"SOFR",$K$2:$K$7,$L$2:$L$7,,,"Actual360","LogLinear",TRUE)</f>
        <v>QSObject:ContextInput:w1~input.qs_context_add_curve.2359132437744.2629.3.0:8039</v>
      </c>
      <c r="E2630" s="6" t="str">
        <f>_xll.QS.INSTRUMENT.SWAP("swap.2628",H2630,B2630,"USD","SOFR",I2630,J2630,0,"Actual360","Simple","Annual","Annual","Annual")</f>
        <v>QSObject:Swap:w1~swap.2628:16090</v>
      </c>
      <c r="F2630" s="6" t="str">
        <f>_xll.QS.TRADE.CREATE("trade.2628",E2630,A2630,"Receive")</f>
        <v>QSObject:SwapTrade:w1~trade.2628:17060</v>
      </c>
      <c r="G2630" s="3">
        <f>_xll.QS.EVALUATE(C2630,F2630)</f>
        <v>33766.538266168507</v>
      </c>
      <c r="H2630" s="5" t="s">
        <v>1647</v>
      </c>
      <c r="I2630" s="7">
        <v>1262800</v>
      </c>
      <c r="J2630" s="8">
        <v>3.78E-2</v>
      </c>
    </row>
    <row r="2631" spans="1:10" x14ac:dyDescent="0.25">
      <c r="A2631" s="5" t="s">
        <v>1635</v>
      </c>
      <c r="B2631" s="5" t="s">
        <v>4498</v>
      </c>
      <c r="C2631" s="6" t="str">
        <f>_xll.QS.CONTEXT.CREATE("market.2629",A2631,"USD","SOFR")</f>
        <v>QSObject:PricingContext:w1~market.2629:12769</v>
      </c>
      <c r="D2631" s="6" t="str">
        <f>_xll.QS.CONTEXT.ADD.CURVE(C2631,"SOFR",$K$2:$K$7,$L$2:$L$7,,,"Actual360","LogLinear",TRUE)</f>
        <v>QSObject:ContextInput:w1~input.qs_context_add_curve.2359132437744.2630.3.0:37747</v>
      </c>
      <c r="E2631" s="6" t="str">
        <f>_xll.QS.INSTRUMENT.SWAP("swap.2629",H2631,B2631,"USD","SOFR",I2631,J2631,0,"Actual360","Simple","Annual","Annual","Annual")</f>
        <v>QSObject:Swap:w1~swap.2629:9631</v>
      </c>
      <c r="F2631" s="6" t="str">
        <f>_xll.QS.TRADE.CREATE("trade.2629",E2631,A2631,"Receive")</f>
        <v>QSObject:SwapTrade:w1~trade.2629:29188</v>
      </c>
      <c r="G2631" s="3">
        <f>_xll.QS.EVALUATE(C2631,F2631)</f>
        <v>34302.992787614043</v>
      </c>
      <c r="H2631" s="5" t="s">
        <v>1649</v>
      </c>
      <c r="I2631" s="7">
        <v>1262900</v>
      </c>
      <c r="J2631" s="8">
        <v>3.7900000000000003E-2</v>
      </c>
    </row>
    <row r="2632" spans="1:10" x14ac:dyDescent="0.25">
      <c r="A2632" s="5" t="s">
        <v>1637</v>
      </c>
      <c r="B2632" s="5" t="s">
        <v>4499</v>
      </c>
      <c r="C2632" s="6" t="str">
        <f>_xll.QS.CONTEXT.CREATE("market.2630",A2632,"USD","SOFR")</f>
        <v>QSObject:PricingContext:w1~market.2630:1768</v>
      </c>
      <c r="D2632" s="6" t="str">
        <f>_xll.QS.CONTEXT.ADD.CURVE(C2632,"SOFR",$K$2:$K$7,$L$2:$L$7,,,"Actual360","LogLinear",TRUE)</f>
        <v>QSObject:ContextInput:w1~input.qs_context_add_curve.2359132437744.2631.3.0:11267</v>
      </c>
      <c r="E2632" s="6" t="str">
        <f>_xll.QS.INSTRUMENT.SWAP("swap.2630",H2632,B2632,"USD","SOFR",I2632,J2632,0,"Actual360","Simple","Annual","Annual","Annual")</f>
        <v>QSObject:Swap:w1~swap.2630:14402</v>
      </c>
      <c r="F2632" s="6" t="str">
        <f>_xll.QS.TRADE.CREATE("trade.2630",E2632,A2632,"Receive")</f>
        <v>QSObject:SwapTrade:w1~trade.2630:17059</v>
      </c>
      <c r="G2632" s="3">
        <f>_xll.QS.EVALUATE(C2632,F2632)</f>
        <v>34793.802608896702</v>
      </c>
      <c r="H2632" s="5" t="s">
        <v>1651</v>
      </c>
      <c r="I2632" s="7">
        <v>1263000</v>
      </c>
      <c r="J2632" s="8">
        <v>3.8000000000000013E-2</v>
      </c>
    </row>
    <row r="2633" spans="1:10" x14ac:dyDescent="0.25">
      <c r="A2633" s="5" t="s">
        <v>1639</v>
      </c>
      <c r="B2633" s="5" t="s">
        <v>4500</v>
      </c>
      <c r="C2633" s="6" t="str">
        <f>_xll.QS.CONTEXT.CREATE("market.2631",A2633,"USD","SOFR")</f>
        <v>QSObject:PricingContext:w1~market.2631:16089</v>
      </c>
      <c r="D2633" s="6" t="str">
        <f>_xll.QS.CONTEXT.ADD.CURVE(C2633,"SOFR",$K$2:$K$7,$L$2:$L$7,,,"Actual360","LogLinear",TRUE)</f>
        <v>QSObject:ContextInput:w1~input.qs_context_add_curve.2359132437744.2632.3.0:37746</v>
      </c>
      <c r="E2633" s="6" t="str">
        <f>_xll.QS.INSTRUMENT.SWAP("swap.2631",H2633,B2633,"USD","SOFR",I2633,J2633,0,"Actual360","Simple","Annual","Annual","Annual")</f>
        <v>QSObject:Swap:w1~swap.2631:6436</v>
      </c>
      <c r="F2633" s="6" t="str">
        <f>_xll.QS.TRADE.CREATE("trade.2631",E2633,A2633,"Receive")</f>
        <v>QSObject:SwapTrade:w1~trade.2631:29187</v>
      </c>
      <c r="G2633" s="3">
        <f>_xll.QS.EVALUATE(C2633,F2633)</f>
        <v>35289.843090567665</v>
      </c>
      <c r="H2633" s="5" t="s">
        <v>1653</v>
      </c>
      <c r="I2633" s="7">
        <v>1263100</v>
      </c>
      <c r="J2633" s="8">
        <v>3.8100000000000002E-2</v>
      </c>
    </row>
    <row r="2634" spans="1:10" x14ac:dyDescent="0.25">
      <c r="A2634" s="5" t="s">
        <v>1641</v>
      </c>
      <c r="B2634" s="5" t="s">
        <v>4501</v>
      </c>
      <c r="C2634" s="6" t="str">
        <f>_xll.QS.CONTEXT.CREATE("market.2632",A2634,"USD","SOFR")</f>
        <v>QSObject:PricingContext:w1~market.2632:9630</v>
      </c>
      <c r="D2634" s="6" t="str">
        <f>_xll.QS.CONTEXT.ADD.CURVE(C2634,"SOFR",$K$2:$K$7,$L$2:$L$7,,,"Actual360","LogLinear",TRUE)</f>
        <v>QSObject:ContextInput:w1~input.qs_context_add_curve.2359132437744.2633.3.0:37745</v>
      </c>
      <c r="E2634" s="6" t="str">
        <f>_xll.QS.INSTRUMENT.SWAP("swap.2632",H2634,B2634,"USD","SOFR",I2634,J2634,0,"Actual360","Simple","Annual","Annual","Annual")</f>
        <v>QSObject:Swap:w1~swap.2632:12768</v>
      </c>
      <c r="F2634" s="6" t="str">
        <f>_xll.QS.TRADE.CREATE("trade.2632",E2634,A2634,"Receive")</f>
        <v>QSObject:SwapTrade:w1~trade.2632:29186</v>
      </c>
      <c r="G2634" s="3">
        <f>_xll.QS.EVALUATE(C2634,F2634)</f>
        <v>35928.827534745877</v>
      </c>
      <c r="H2634" s="5" t="s">
        <v>1655</v>
      </c>
      <c r="I2634" s="7">
        <v>1263200</v>
      </c>
      <c r="J2634" s="8">
        <v>3.8199999999999998E-2</v>
      </c>
    </row>
    <row r="2635" spans="1:10" x14ac:dyDescent="0.25">
      <c r="A2635" s="5" t="s">
        <v>1643</v>
      </c>
      <c r="B2635" s="5" t="s">
        <v>4502</v>
      </c>
      <c r="C2635" s="6" t="str">
        <f>_xll.QS.CONTEXT.CREATE("market.2633",A2635,"USD","SOFR")</f>
        <v>QSObject:PricingContext:w1~market.2633:14401</v>
      </c>
      <c r="D2635" s="6" t="str">
        <f>_xll.QS.CONTEXT.ADD.CURVE(C2635,"SOFR",$K$2:$K$7,$L$2:$L$7,,,"Actual360","LogLinear",TRUE)</f>
        <v>QSObject:ContextInput:w1~input.qs_context_add_curve.2359132437744.2634.3.0:17058</v>
      </c>
      <c r="E2635" s="6" t="str">
        <f>_xll.QS.INSTRUMENT.SWAP("swap.2633",H2635,B2635,"USD","SOFR",I2635,J2635,0,"Actual360","Simple","Annual","Annual","Annual")</f>
        <v>QSObject:Swap:w1~swap.2633:11266</v>
      </c>
      <c r="F2635" s="6" t="str">
        <f>_xll.QS.TRADE.CREATE("trade.2633",E2635,A2635,"Receive")</f>
        <v>QSObject:SwapTrade:w1~trade.2633:29185</v>
      </c>
      <c r="G2635" s="3">
        <f>_xll.QS.EVALUATE(C2635,F2635)</f>
        <v>36544.871789309036</v>
      </c>
      <c r="H2635" s="5" t="s">
        <v>1657</v>
      </c>
      <c r="I2635" s="7">
        <v>1263300</v>
      </c>
      <c r="J2635" s="8">
        <v>3.8300000000000001E-2</v>
      </c>
    </row>
    <row r="2636" spans="1:10" x14ac:dyDescent="0.25">
      <c r="A2636" s="5" t="s">
        <v>1645</v>
      </c>
      <c r="B2636" s="5" t="s">
        <v>4503</v>
      </c>
      <c r="C2636" s="6" t="str">
        <f>_xll.QS.CONTEXT.CREATE("market.2634",A2636,"USD","SOFR")</f>
        <v>QSObject:PricingContext:w1~market.2634:6435</v>
      </c>
      <c r="D2636" s="6" t="str">
        <f>_xll.QS.CONTEXT.ADD.CURVE(C2636,"SOFR",$K$2:$K$7,$L$2:$L$7,,,"Actual360","LogLinear",TRUE)</f>
        <v>QSObject:ContextInput:w1~input.qs_context_add_curve.2359132437744.2635.3.0:8038</v>
      </c>
      <c r="E2636" s="6" t="str">
        <f>_xll.QS.INSTRUMENT.SWAP("swap.2634",H2636,B2636,"USD","SOFR",I2636,J2636,0,"Actual360","Simple","Annual","Annual","Annual")</f>
        <v>QSObject:Swap:w1~swap.2634:16088</v>
      </c>
      <c r="F2636" s="6" t="str">
        <f>_xll.QS.TRADE.CREATE("trade.2634",E2636,A2636,"Receive")</f>
        <v>QSObject:SwapTrade:w1~trade.2634:29184</v>
      </c>
      <c r="G2636" s="3">
        <f>_xll.QS.EVALUATE(C2636,F2636)</f>
        <v>37222.986408666271</v>
      </c>
      <c r="H2636" s="5" t="s">
        <v>1659</v>
      </c>
      <c r="I2636" s="7">
        <v>1263400</v>
      </c>
      <c r="J2636" s="8">
        <v>3.8399999999999997E-2</v>
      </c>
    </row>
    <row r="2637" spans="1:10" x14ac:dyDescent="0.25">
      <c r="A2637" s="5" t="s">
        <v>1647</v>
      </c>
      <c r="B2637" s="5" t="s">
        <v>4504</v>
      </c>
      <c r="C2637" s="6" t="str">
        <f>_xll.QS.CONTEXT.CREATE("market.2635",A2637,"USD","SOFR")</f>
        <v>QSObject:PricingContext:w1~market.2635:12767</v>
      </c>
      <c r="D2637" s="6" t="str">
        <f>_xll.QS.CONTEXT.ADD.CURVE(C2637,"SOFR",$K$2:$K$7,$L$2:$L$7,,,"Actual360","LogLinear",TRUE)</f>
        <v>QSObject:ContextInput:w1~input.qs_context_add_curve.2359132437744.2636.3.0:37744</v>
      </c>
      <c r="E2637" s="6" t="str">
        <f>_xll.QS.INSTRUMENT.SWAP("swap.2635",H2637,B2637,"USD","SOFR",I2637,J2637,0,"Actual360","Simple","Annual","Annual","Annual")</f>
        <v>QSObject:Swap:w1~swap.2635:3294</v>
      </c>
      <c r="F2637" s="6" t="str">
        <f>_xll.QS.TRADE.CREATE("trade.2635",E2637,A2637,"Receive")</f>
        <v>QSObject:SwapTrade:w1~trade.2635:11265</v>
      </c>
      <c r="G2637" s="3">
        <f>_xll.QS.EVALUATE(C2637,F2637)</f>
        <v>37863.845657113445</v>
      </c>
      <c r="H2637" s="5" t="s">
        <v>1661</v>
      </c>
      <c r="I2637" s="7">
        <v>1263500</v>
      </c>
      <c r="J2637" s="8">
        <v>3.8500000000000013E-2</v>
      </c>
    </row>
    <row r="2638" spans="1:10" x14ac:dyDescent="0.25">
      <c r="A2638" s="5" t="s">
        <v>1649</v>
      </c>
      <c r="B2638" s="5" t="s">
        <v>4505</v>
      </c>
      <c r="C2638" s="6" t="str">
        <f>_xll.QS.CONTEXT.CREATE("market.2636",A2638,"USD","SOFR")</f>
        <v>QSObject:PricingContext:w1~market.2636:4860</v>
      </c>
      <c r="D2638" s="6" t="str">
        <f>_xll.QS.CONTEXT.ADD.CURVE(C2638,"SOFR",$K$2:$K$7,$L$2:$L$7,,,"Actual360","LogLinear",TRUE)</f>
        <v>QSObject:ContextInput:w1~input.qs_context_add_curve.2359132437744.2637.3.0:14400</v>
      </c>
      <c r="E2638" s="6" t="str">
        <f>_xll.QS.INSTRUMENT.SWAP("swap.2636",H2638,B2638,"USD","SOFR",I2638,J2638,0,"Actual360","Simple","Annual","Annual","Annual")</f>
        <v>QSObject:Swap:w1~swap.2636:17057</v>
      </c>
      <c r="F2638" s="6" t="str">
        <f>_xll.QS.TRADE.CREATE("trade.2636",E2638,A2638,"Receive")</f>
        <v>QSObject:SwapTrade:w1~trade.2636:29183</v>
      </c>
      <c r="G2638" s="3">
        <f>_xll.QS.EVALUATE(C2638,F2638)</f>
        <v>38328.284144175035</v>
      </c>
      <c r="H2638" s="5" t="s">
        <v>1663</v>
      </c>
      <c r="I2638" s="7">
        <v>1263600</v>
      </c>
      <c r="J2638" s="8">
        <v>3.8600000000000002E-2</v>
      </c>
    </row>
    <row r="2639" spans="1:10" x14ac:dyDescent="0.25">
      <c r="A2639" s="5" t="s">
        <v>1651</v>
      </c>
      <c r="B2639" s="5" t="s">
        <v>4506</v>
      </c>
      <c r="C2639" s="6" t="str">
        <f>_xll.QS.CONTEXT.CREATE("market.2637",A2639,"USD","SOFR")</f>
        <v>QSObject:PricingContext:w1~market.2637:16087</v>
      </c>
      <c r="D2639" s="6" t="str">
        <f>_xll.QS.CONTEXT.ADD.CURVE(C2639,"SOFR",$K$2:$K$7,$L$2:$L$7,,,"Actual360","LogLinear",TRUE)</f>
        <v>QSObject:ContextInput:w1~input.qs_context_add_curve.2359132437744.2638.3.0:37743</v>
      </c>
      <c r="E2639" s="6" t="str">
        <f>_xll.QS.INSTRUMENT.SWAP("swap.2637",H2639,B2639,"USD","SOFR",I2639,J2639,0,"Actual360","Simple","Annual","Annual","Annual")</f>
        <v>QSObject:Swap:w1~swap.2637:8037</v>
      </c>
      <c r="F2639" s="6" t="str">
        <f>_xll.QS.TRADE.CREATE("trade.2637",E2639,A2639,"Receive")</f>
        <v>QSObject:SwapTrade:w1~trade.2637:29182</v>
      </c>
      <c r="G2639" s="3">
        <f>_xll.QS.EVALUATE(C2639,F2639)</f>
        <v>38916.210049829053</v>
      </c>
      <c r="H2639" s="5" t="s">
        <v>1665</v>
      </c>
      <c r="I2639" s="7">
        <v>1263700</v>
      </c>
      <c r="J2639" s="8">
        <v>3.8700000000000012E-2</v>
      </c>
    </row>
    <row r="2640" spans="1:10" x14ac:dyDescent="0.25">
      <c r="A2640" s="5" t="s">
        <v>1653</v>
      </c>
      <c r="B2640" s="5" t="s">
        <v>4507</v>
      </c>
      <c r="C2640" s="6" t="str">
        <f>_xll.QS.CONTEXT.CREATE("market.2638",A2640,"USD","SOFR")</f>
        <v>QSObject:PricingContext:w1~market.2638:11264</v>
      </c>
      <c r="D2640" s="6" t="str">
        <f>_xll.QS.CONTEXT.ADD.CURVE(C2640,"SOFR",$K$2:$K$7,$L$2:$L$7,,,"Actual360","LogLinear",TRUE)</f>
        <v>QSObject:ContextInput:w1~input.qs_context_add_curve.2359132437744.2639.3.0:37742</v>
      </c>
      <c r="E2640" s="6" t="str">
        <f>_xll.QS.INSTRUMENT.SWAP("swap.2638",H2640,B2640,"USD","SOFR",I2640,J2640,0,"Actual360","Simple","Annual","Annual","Annual")</f>
        <v>QSObject:Swap:w1~swap.2638:12766</v>
      </c>
      <c r="F2640" s="6" t="str">
        <f>_xll.QS.TRADE.CREATE("trade.2638",E2640,A2640,"Receive")</f>
        <v>QSObject:SwapTrade:w1~trade.2638:14399</v>
      </c>
      <c r="G2640" s="3">
        <f>_xll.QS.EVALUATE(C2640,F2640)</f>
        <v>39504.263243954847</v>
      </c>
      <c r="H2640" s="5" t="s">
        <v>1667</v>
      </c>
      <c r="I2640" s="7">
        <v>1263800</v>
      </c>
      <c r="J2640" s="8">
        <v>3.8800000000000001E-2</v>
      </c>
    </row>
    <row r="2641" spans="1:10" x14ac:dyDescent="0.25">
      <c r="A2641" s="5" t="s">
        <v>1655</v>
      </c>
      <c r="B2641" s="5" t="s">
        <v>4508</v>
      </c>
      <c r="C2641" s="6" t="str">
        <f>_xll.QS.CONTEXT.CREATE("market.2639",A2641,"USD","SOFR")</f>
        <v>QSObject:PricingContext:w1~market.2639:17056</v>
      </c>
      <c r="D2641" s="6" t="str">
        <f>_xll.QS.CONTEXT.ADD.CURVE(C2641,"SOFR",$K$2:$K$7,$L$2:$L$7,,,"Actual360","LogLinear",TRUE)</f>
        <v>QSObject:ContextInput:w1~input.qs_context_add_curve.2359132437744.2640.3.0:37741</v>
      </c>
      <c r="E2641" s="6" t="str">
        <f>_xll.QS.INSTRUMENT.SWAP("swap.2639",H2641,B2641,"USD","SOFR",I2641,J2641,0,"Actual360","Simple","Annual","Annual","Annual")</f>
        <v>QSObject:Swap:w1~swap.2639:4859</v>
      </c>
      <c r="F2641" s="6" t="str">
        <f>_xll.QS.TRADE.CREATE("trade.2639",E2641,A2641,"Receive")</f>
        <v>QSObject:SwapTrade:w1~trade.2639:16086</v>
      </c>
      <c r="G2641" s="3">
        <f>_xll.QS.EVALUATE(C2641,F2641)</f>
        <v>40143.371777046334</v>
      </c>
      <c r="H2641" s="5" t="s">
        <v>1669</v>
      </c>
      <c r="I2641" s="7">
        <v>1263900</v>
      </c>
      <c r="J2641" s="8">
        <v>3.8899999999999997E-2</v>
      </c>
    </row>
    <row r="2642" spans="1:10" x14ac:dyDescent="0.25">
      <c r="A2642" s="5" t="s">
        <v>1657</v>
      </c>
      <c r="B2642" s="5" t="s">
        <v>4509</v>
      </c>
      <c r="C2642" s="6" t="str">
        <f>_xll.QS.CONTEXT.CREATE("market.2640",A2642,"USD","SOFR")</f>
        <v>QSObject:PricingContext:w1~market.2640:3293</v>
      </c>
      <c r="D2642" s="6" t="str">
        <f>_xll.QS.CONTEXT.ADD.CURVE(C2642,"SOFR",$K$2:$K$7,$L$2:$L$7,,,"Actual360","LogLinear",TRUE)</f>
        <v>QSObject:ContextInput:w1~input.qs_context_add_curve.2359132437744.2641.3.0:8036</v>
      </c>
      <c r="E2642" s="6" t="str">
        <f>_xll.QS.INSTRUMENT.SWAP("swap.2640",H2642,B2642,"USD","SOFR",I2642,J2642,0,"Actual360","Simple","Annual","Annual","Annual")</f>
        <v>QSObject:Swap:w1~swap.2640:9629</v>
      </c>
      <c r="F2642" s="6" t="str">
        <f>_xll.QS.TRADE.CREATE("trade.2640",E2642,A2642,"Receive")</f>
        <v>QSObject:SwapTrade:w1~trade.2640:14398</v>
      </c>
      <c r="G2642" s="3">
        <f>_xll.QS.EVALUATE(C2642,F2642)</f>
        <v>40785.122241628131</v>
      </c>
      <c r="H2642" s="5" t="s">
        <v>1671</v>
      </c>
      <c r="I2642" s="7">
        <v>1264000</v>
      </c>
      <c r="J2642" s="8">
        <v>3.9000000000000007E-2</v>
      </c>
    </row>
    <row r="2643" spans="1:10" x14ac:dyDescent="0.25">
      <c r="A2643" s="5" t="s">
        <v>1659</v>
      </c>
      <c r="B2643" s="5" t="s">
        <v>4510</v>
      </c>
      <c r="C2643" s="6" t="str">
        <f>_xll.QS.CONTEXT.CREATE("market.2641",A2643,"USD","SOFR")</f>
        <v>QSObject:PricingContext:w1~market.2641:4858</v>
      </c>
      <c r="D2643" s="6" t="str">
        <f>_xll.QS.CONTEXT.ADD.CURVE(C2643,"SOFR",$K$2:$K$7,$L$2:$L$7,,,"Actual360","LogLinear",TRUE)</f>
        <v>QSObject:ContextInput:w1~input.qs_context_add_curve.2359132437744.2642.3.0:11263</v>
      </c>
      <c r="E2643" s="6" t="str">
        <f>_xll.QS.INSTRUMENT.SWAP("swap.2641",H2643,B2643,"USD","SOFR",I2643,J2643,0,"Actual360","Simple","Annual","Annual","Annual")</f>
        <v>QSObject:Swap:w1~swap.2641:1767</v>
      </c>
      <c r="F2643" s="6" t="str">
        <f>_xll.QS.TRADE.CREATE("trade.2641",E2643,A2643,"Receive")</f>
        <v>QSObject:SwapTrade:w1~trade.2641:17055</v>
      </c>
      <c r="G2643" s="3">
        <f>_xll.QS.EVALUATE(C2643,F2643)</f>
        <v>41375.762234116795</v>
      </c>
      <c r="H2643" s="5" t="s">
        <v>1673</v>
      </c>
      <c r="I2643" s="7">
        <v>1264100</v>
      </c>
      <c r="J2643" s="8">
        <v>3.9100000000000003E-2</v>
      </c>
    </row>
    <row r="2644" spans="1:10" x14ac:dyDescent="0.25">
      <c r="A2644" s="5" t="s">
        <v>1661</v>
      </c>
      <c r="B2644" s="5" t="s">
        <v>4511</v>
      </c>
      <c r="C2644" s="6" t="str">
        <f>_xll.QS.CONTEXT.CREATE("market.2642",A2644,"USD","SOFR")</f>
        <v>QSObject:PricingContext:w1~market.2642:8035</v>
      </c>
      <c r="D2644" s="6" t="str">
        <f>_xll.QS.CONTEXT.ADD.CURVE(C2644,"SOFR",$K$2:$K$7,$L$2:$L$7,,,"Actual360","LogLinear",TRUE)</f>
        <v>QSObject:ContextInput:w1~input.qs_context_add_curve.2359132437744.2643.3.0:37740</v>
      </c>
      <c r="E2644" s="6" t="str">
        <f>_xll.QS.INSTRUMENT.SWAP("swap.2642",H2644,B2644,"USD","SOFR",I2644,J2644,0,"Actual360","Simple","Annual","Annual","Annual")</f>
        <v>QSObject:Swap:w1~swap.2642:12765</v>
      </c>
      <c r="F2644" s="6" t="str">
        <f>_xll.QS.TRADE.CREATE("trade.2642",E2644,A2644,"Receive")</f>
        <v>QSObject:SwapTrade:w1~trade.2642:29181</v>
      </c>
      <c r="G2644" s="3">
        <f>_xll.QS.EVALUATE(C2644,F2644)</f>
        <v>41967.181333131834</v>
      </c>
      <c r="H2644" s="5" t="s">
        <v>1675</v>
      </c>
      <c r="I2644" s="7">
        <v>1264200</v>
      </c>
      <c r="J2644" s="8">
        <v>3.9200000000000013E-2</v>
      </c>
    </row>
    <row r="2645" spans="1:10" x14ac:dyDescent="0.25">
      <c r="A2645" s="5" t="s">
        <v>1663</v>
      </c>
      <c r="B2645" s="5" t="s">
        <v>4512</v>
      </c>
      <c r="C2645" s="6" t="str">
        <f>_xll.QS.CONTEXT.CREATE("market.2643",A2645,"USD","SOFR")</f>
        <v>QSObject:PricingContext:w1~market.2643:14397</v>
      </c>
      <c r="D2645" s="6" t="str">
        <f>_xll.QS.CONTEXT.ADD.CURVE(C2645,"SOFR",$K$2:$K$7,$L$2:$L$7,,,"Actual360","LogLinear",TRUE)</f>
        <v>QSObject:ContextInput:w1~input.qs_context_add_curve.2359132437744.2644.3.0:16085</v>
      </c>
      <c r="E2645" s="6" t="str">
        <f>_xll.QS.INSTRUMENT.SWAP("swap.2643",H2645,B2645,"USD","SOFR",I2645,J2645,0,"Actual360","Simple","Annual","Annual","Annual")</f>
        <v>QSObject:Swap:w1~swap.2643:9628</v>
      </c>
      <c r="F2645" s="6" t="str">
        <f>_xll.QS.TRADE.CREATE("trade.2643",E2645,A2645,"Receive")</f>
        <v>QSObject:SwapTrade:w1~trade.2643:29180</v>
      </c>
      <c r="G2645" s="3">
        <f>_xll.QS.EVALUATE(C2645,F2645)</f>
        <v>42503.144182871532</v>
      </c>
      <c r="H2645" s="5" t="s">
        <v>1677</v>
      </c>
      <c r="I2645" s="7">
        <v>1264300</v>
      </c>
      <c r="J2645" s="8">
        <v>3.9300000000000002E-2</v>
      </c>
    </row>
    <row r="2646" spans="1:10" x14ac:dyDescent="0.25">
      <c r="A2646" s="5" t="s">
        <v>1665</v>
      </c>
      <c r="B2646" s="5" t="s">
        <v>4513</v>
      </c>
      <c r="C2646" s="6" t="str">
        <f>_xll.QS.CONTEXT.CREATE("market.2644",A2646,"USD","SOFR")</f>
        <v>QSObject:PricingContext:w1~market.2644:11262</v>
      </c>
      <c r="D2646" s="6" t="str">
        <f>_xll.QS.CONTEXT.ADD.CURVE(C2646,"SOFR",$K$2:$K$7,$L$2:$L$7,,,"Actual360","LogLinear",TRUE)</f>
        <v>QSObject:ContextInput:w1~input.qs_context_add_curve.2359132437744.2645.3.0:37739</v>
      </c>
      <c r="E2646" s="6" t="str">
        <f>_xll.QS.INSTRUMENT.SWAP("swap.2644",H2646,B2646,"USD","SOFR",I2646,J2646,0,"Actual360","Simple","Annual","Annual","Annual")</f>
        <v>QSObject:Swap:w1~swap.2644:17054</v>
      </c>
      <c r="F2646" s="6" t="str">
        <f>_xll.QS.TRADE.CREATE("trade.2644",E2646,A2646,"Receive")</f>
        <v>QSObject:SwapTrade:w1~trade.2644:29179</v>
      </c>
      <c r="G2646" s="3">
        <f>_xll.QS.EVALUATE(C2646,F2646)</f>
        <v>42985.527695714321</v>
      </c>
      <c r="H2646" s="5" t="s">
        <v>1679</v>
      </c>
      <c r="I2646" s="7">
        <v>1264400</v>
      </c>
      <c r="J2646" s="8">
        <v>3.9399999999999998E-2</v>
      </c>
    </row>
    <row r="2647" spans="1:10" x14ac:dyDescent="0.25">
      <c r="A2647" s="5" t="s">
        <v>1667</v>
      </c>
      <c r="B2647" s="5" t="s">
        <v>4514</v>
      </c>
      <c r="C2647" s="6" t="str">
        <f>_xll.QS.CONTEXT.CREATE("market.2645",A2647,"USD","SOFR")</f>
        <v>QSObject:PricingContext:w1~market.2645:6434</v>
      </c>
      <c r="D2647" s="6" t="str">
        <f>_xll.QS.CONTEXT.ADD.CURVE(C2647,"SOFR",$K$2:$K$7,$L$2:$L$7,,,"Actual360","LogLinear",TRUE)</f>
        <v>QSObject:ContextInput:w1~input.qs_context_add_curve.2359132437744.2646.3.0:37738</v>
      </c>
      <c r="E2647" s="6" t="str">
        <f>_xll.QS.INSTRUMENT.SWAP("swap.2645",H2647,B2647,"USD","SOFR",I2647,J2647,0,"Actual360","Simple","Annual","Annual","Annual")</f>
        <v>QSObject:Swap:w1~swap.2645:12764</v>
      </c>
      <c r="F2647" s="6" t="str">
        <f>_xll.QS.TRADE.CREATE("trade.2645",E2647,A2647,"Receive")</f>
        <v>QSObject:SwapTrade:w1~trade.2645:29178</v>
      </c>
      <c r="G2647" s="3">
        <f>_xll.QS.EVALUATE(C2647,F2647)</f>
        <v>43495.283310671417</v>
      </c>
      <c r="H2647" s="5" t="s">
        <v>1681</v>
      </c>
      <c r="I2647" s="7">
        <v>1264500</v>
      </c>
      <c r="J2647" s="8">
        <v>3.9500000000000007E-2</v>
      </c>
    </row>
    <row r="2648" spans="1:10" x14ac:dyDescent="0.25">
      <c r="A2648" s="5" t="s">
        <v>1669</v>
      </c>
      <c r="B2648" s="5" t="s">
        <v>4515</v>
      </c>
      <c r="C2648" s="6" t="str">
        <f>_xll.QS.CONTEXT.CREATE("market.2646",A2648,"USD","SOFR")</f>
        <v>QSObject:PricingContext:w1~market.2646:4857</v>
      </c>
      <c r="D2648" s="6" t="str">
        <f>_xll.QS.CONTEXT.ADD.CURVE(C2648,"SOFR",$K$2:$K$7,$L$2:$L$7,,,"Actual360","LogLinear",TRUE)</f>
        <v>QSObject:ContextInput:w1~input.qs_context_add_curve.2359132437744.2647.3.0:16084</v>
      </c>
      <c r="E2648" s="6" t="str">
        <f>_xll.QS.INSTRUMENT.SWAP("swap.2646",H2648,B2648,"USD","SOFR",I2648,J2648,0,"Actual360","Simple","Annual","Annual","Annual")</f>
        <v>QSObject:Swap:w1~swap.2646:14396</v>
      </c>
      <c r="F2648" s="6" t="str">
        <f>_xll.QS.TRADE.CREATE("trade.2646",E2648,A2648,"Receive")</f>
        <v>QSObject:SwapTrade:w1~trade.2646:29177</v>
      </c>
      <c r="G2648" s="3">
        <f>_xll.QS.EVALUATE(C2648,F2648)</f>
        <v>44137.45559057287</v>
      </c>
      <c r="H2648" s="5" t="s">
        <v>1683</v>
      </c>
      <c r="I2648" s="7">
        <v>1264600</v>
      </c>
      <c r="J2648" s="8">
        <v>3.9600000000000003E-2</v>
      </c>
    </row>
    <row r="2649" spans="1:10" x14ac:dyDescent="0.25">
      <c r="A2649" s="5" t="s">
        <v>1671</v>
      </c>
      <c r="B2649" s="5" t="s">
        <v>4516</v>
      </c>
      <c r="C2649" s="6" t="str">
        <f>_xll.QS.CONTEXT.CREATE("market.2647",A2649,"USD","SOFR")</f>
        <v>QSObject:PricingContext:w1~market.2647:1766</v>
      </c>
      <c r="D2649" s="6" t="str">
        <f>_xll.QS.CONTEXT.ADD.CURVE(C2649,"SOFR",$K$2:$K$7,$L$2:$L$7,,,"Actual360","LogLinear",TRUE)</f>
        <v>QSObject:ContextInput:w1~input.qs_context_add_curve.2359132437744.2648.3.0:8034</v>
      </c>
      <c r="E2649" s="6" t="str">
        <f>_xll.QS.INSTRUMENT.SWAP("swap.2647",H2649,B2649,"USD","SOFR",I2649,J2649,0,"Actual360","Simple","Annual","Annual","Annual")</f>
        <v>QSObject:Swap:w1~swap.2647:17053</v>
      </c>
      <c r="F2649" s="6" t="str">
        <f>_xll.QS.TRADE.CREATE("trade.2647",E2649,A2649,"Receive")</f>
        <v>QSObject:SwapTrade:w1~trade.2647:29176</v>
      </c>
      <c r="G2649" s="3">
        <f>_xll.QS.EVALUATE(C2649,F2649)</f>
        <v>44750.07502264245</v>
      </c>
      <c r="H2649" s="5" t="s">
        <v>1685</v>
      </c>
      <c r="I2649" s="7">
        <v>1264700</v>
      </c>
      <c r="J2649" s="8">
        <v>3.9700000000000013E-2</v>
      </c>
    </row>
    <row r="2650" spans="1:10" x14ac:dyDescent="0.25">
      <c r="A2650" s="5" t="s">
        <v>1673</v>
      </c>
      <c r="B2650" s="5" t="s">
        <v>4517</v>
      </c>
      <c r="C2650" s="6" t="str">
        <f>_xll.QS.CONTEXT.CREATE("market.2648",A2650,"USD","SOFR")</f>
        <v>QSObject:PricingContext:w1~market.2648:3292</v>
      </c>
      <c r="D2650" s="6" t="str">
        <f>_xll.QS.CONTEXT.ADD.CURVE(C2650,"SOFR",$K$2:$K$7,$L$2:$L$7,,,"Actual360","LogLinear",TRUE)</f>
        <v>QSObject:ContextInput:w1~input.qs_context_add_curve.2359132437744.2649.3.0:9627</v>
      </c>
      <c r="E2650" s="6" t="str">
        <f>_xll.QS.INSTRUMENT.SWAP("swap.2648",H2650,B2650,"USD","SOFR",I2650,J2650,0,"Actual360","Simple","Annual","Annual","Annual")</f>
        <v>QSObject:Swap:w1~swap.2648:12763</v>
      </c>
      <c r="F2650" s="6" t="str">
        <f>_xll.QS.TRADE.CREATE("trade.2648",E2650,A2650,"Receive")</f>
        <v>QSObject:SwapTrade:w1~trade.2648:29175</v>
      </c>
      <c r="G2650" s="3">
        <f>_xll.QS.EVALUATE(C2650,F2650)</f>
        <v>45429.710817973486</v>
      </c>
      <c r="H2650" s="5" t="s">
        <v>1687</v>
      </c>
      <c r="I2650" s="7">
        <v>1264800</v>
      </c>
      <c r="J2650" s="8">
        <v>3.9800000000000002E-2</v>
      </c>
    </row>
    <row r="2651" spans="1:10" x14ac:dyDescent="0.25">
      <c r="A2651" s="5" t="s">
        <v>1675</v>
      </c>
      <c r="B2651" s="5" t="s">
        <v>4518</v>
      </c>
      <c r="C2651" s="6" t="str">
        <f>_xll.QS.CONTEXT.CREATE("market.2649",A2651,"USD","SOFR")</f>
        <v>QSObject:PricingContext:w1~market.2649:11261</v>
      </c>
      <c r="D2651" s="6" t="str">
        <f>_xll.QS.CONTEXT.ADD.CURVE(C2651,"SOFR",$K$2:$K$7,$L$2:$L$7,,,"Actual360","LogLinear",TRUE)</f>
        <v>QSObject:ContextInput:w1~input.qs_context_add_curve.2359132437744.2650.3.0:14395</v>
      </c>
      <c r="E2651" s="6" t="str">
        <f>_xll.QS.INSTRUMENT.SWAP("swap.2649",H2651,B2651,"USD","SOFR",I2651,J2651,0,"Actual360","Simple","Annual","Annual","Annual")</f>
        <v>QSObject:Swap:w1~swap.2649:16083</v>
      </c>
      <c r="F2651" s="6" t="str">
        <f>_xll.QS.TRADE.CREATE("trade.2649",E2651,A2651,"Receive")</f>
        <v>QSObject:SwapTrade:w1~trade.2649:29174</v>
      </c>
      <c r="G2651" s="3">
        <f>_xll.QS.EVALUATE(C2651,F2651)</f>
        <v>46071.758520506417</v>
      </c>
      <c r="H2651" s="5" t="s">
        <v>1689</v>
      </c>
      <c r="I2651" s="7">
        <v>1264900</v>
      </c>
      <c r="J2651" s="8">
        <v>3.9899999999999998E-2</v>
      </c>
    </row>
    <row r="2652" spans="1:10" x14ac:dyDescent="0.25">
      <c r="A2652" s="5" t="s">
        <v>1677</v>
      </c>
      <c r="B2652" s="5" t="s">
        <v>4519</v>
      </c>
      <c r="C2652" s="6" t="str">
        <f>_xll.QS.CONTEXT.CREATE("market.2650",A2652,"USD","SOFR")</f>
        <v>QSObject:PricingContext:w1~market.2650:8033</v>
      </c>
      <c r="D2652" s="6" t="str">
        <f>_xll.QS.CONTEXT.ADD.CURVE(C2652,"SOFR",$K$2:$K$7,$L$2:$L$7,,,"Actual360","LogLinear",TRUE)</f>
        <v>QSObject:ContextInput:w1~input.qs_context_add_curve.2359132437744.2651.3.0:17052</v>
      </c>
      <c r="E2652" s="6" t="str">
        <f>_xll.QS.INSTRUMENT.SWAP("swap.2650",H2652,B2652,"USD","SOFR",I2652,J2652,0,"Actual360","Simple","Annual","Annual","Annual")</f>
        <v>QSObject:Swap:w1~swap.2650:6433</v>
      </c>
      <c r="F2652" s="6" t="str">
        <f>_xll.QS.TRADE.CREATE("trade.2650",E2652,A2652,"Receive")</f>
        <v>QSObject:SwapTrade:w1~trade.2650:29173</v>
      </c>
      <c r="G2652" s="3">
        <f>_xll.QS.EVALUATE(C2652,F2652)</f>
        <v>17444.178419344935</v>
      </c>
      <c r="H2652" s="5" t="s">
        <v>1691</v>
      </c>
      <c r="I2652" s="7">
        <v>1265000</v>
      </c>
      <c r="J2652" s="8">
        <v>3.5000000000000003E-2</v>
      </c>
    </row>
    <row r="2653" spans="1:10" x14ac:dyDescent="0.25">
      <c r="A2653" s="5" t="s">
        <v>1679</v>
      </c>
      <c r="B2653" s="5" t="s">
        <v>4520</v>
      </c>
      <c r="C2653" s="6" t="str">
        <f>_xll.QS.CONTEXT.CREATE("market.2651",A2653,"USD","SOFR")</f>
        <v>QSObject:PricingContext:w1~market.2651:11260</v>
      </c>
      <c r="D2653" s="6" t="str">
        <f>_xll.QS.CONTEXT.ADD.CURVE(C2653,"SOFR",$K$2:$K$7,$L$2:$L$7,,,"Actual360","LogLinear",TRUE)</f>
        <v>QSObject:ContextInput:w1~input.qs_context_add_curve.2359132437744.2652.3.0:12762</v>
      </c>
      <c r="E2653" s="6" t="str">
        <f>_xll.QS.INSTRUMENT.SWAP("swap.2651",H2653,B2653,"USD","SOFR",I2653,J2653,0,"Actual360","Simple","Annual","Annual","Annual")</f>
        <v>QSObject:Swap:w1~swap.2651:9626</v>
      </c>
      <c r="F2653" s="6" t="str">
        <f>_xll.QS.TRADE.CREATE("trade.2651",E2653,A2653,"Receive")</f>
        <v>QSObject:SwapTrade:w1~trade.2651:29172</v>
      </c>
      <c r="G2653" s="3">
        <f>_xll.QS.EVALUATE(C2653,F2653)</f>
        <v>17954.383418821359</v>
      </c>
      <c r="H2653" s="5" t="s">
        <v>1693</v>
      </c>
      <c r="I2653" s="7">
        <v>1265100</v>
      </c>
      <c r="J2653" s="8">
        <v>3.5100000000000013E-2</v>
      </c>
    </row>
    <row r="2654" spans="1:10" x14ac:dyDescent="0.25">
      <c r="A2654" s="5" t="s">
        <v>1681</v>
      </c>
      <c r="B2654" s="5" t="s">
        <v>4521</v>
      </c>
      <c r="C2654" s="6" t="str">
        <f>_xll.QS.CONTEXT.CREATE("market.2652",A2654,"USD","SOFR")</f>
        <v>QSObject:PricingContext:w1~market.2652:14394</v>
      </c>
      <c r="D2654" s="6" t="str">
        <f>_xll.QS.CONTEXT.ADD.CURVE(C2654,"SOFR",$K$2:$K$7,$L$2:$L$7,,,"Actual360","LogLinear",TRUE)</f>
        <v>QSObject:ContextInput:w1~input.qs_context_add_curve.2359132437744.2653.3.0:37737</v>
      </c>
      <c r="E2654" s="6" t="str">
        <f>_xll.QS.INSTRUMENT.SWAP("swap.2652",H2654,B2654,"USD","SOFR",I2654,J2654,0,"Actual360","Simple","Annual","Annual","Annual")</f>
        <v>QSObject:Swap:w1~swap.2652:16082</v>
      </c>
      <c r="F2654" s="6" t="str">
        <f>_xll.QS.TRADE.CREATE("trade.2652",E2654,A2654,"Receive")</f>
        <v>QSObject:SwapTrade:w1~trade.2652:29171</v>
      </c>
      <c r="G2654" s="3">
        <f>_xll.QS.EVALUATE(C2654,F2654)</f>
        <v>18423.55412156722</v>
      </c>
      <c r="H2654" s="5" t="s">
        <v>1695</v>
      </c>
      <c r="I2654" s="7">
        <v>1265200</v>
      </c>
      <c r="J2654" s="8">
        <v>3.5200000000000002E-2</v>
      </c>
    </row>
    <row r="2655" spans="1:10" x14ac:dyDescent="0.25">
      <c r="A2655" s="5" t="s">
        <v>1683</v>
      </c>
      <c r="B2655" s="5" t="s">
        <v>4522</v>
      </c>
      <c r="C2655" s="6" t="str">
        <f>_xll.QS.CONTEXT.CREATE("market.2653",A2655,"USD","SOFR")</f>
        <v>QSObject:PricingContext:w1~market.2653:3291</v>
      </c>
      <c r="D2655" s="6" t="str">
        <f>_xll.QS.CONTEXT.ADD.CURVE(C2655,"SOFR",$K$2:$K$7,$L$2:$L$7,,,"Actual360","LogLinear",TRUE)</f>
        <v>QSObject:ContextInput:w1~input.qs_context_add_curve.2359132437744.2654.3.0:6432</v>
      </c>
      <c r="E2655" s="6" t="str">
        <f>_xll.QS.INSTRUMENT.SWAP("swap.2653",H2655,B2655,"USD","SOFR",I2655,J2655,0,"Actual360","Simple","Annual","Annual","Annual")</f>
        <v>QSObject:Swap:w1~swap.2653:17051</v>
      </c>
      <c r="F2655" s="6" t="str">
        <f>_xll.QS.TRADE.CREATE("trade.2653",E2655,A2655,"Receive")</f>
        <v>QSObject:SwapTrade:w1~trade.2653:29170</v>
      </c>
      <c r="G2655" s="3">
        <f>_xll.QS.EVALUATE(C2655,F2655)</f>
        <v>19060.066197574437</v>
      </c>
      <c r="H2655" s="5" t="s">
        <v>1697</v>
      </c>
      <c r="I2655" s="7">
        <v>1265300</v>
      </c>
      <c r="J2655" s="8">
        <v>3.5299999999999998E-2</v>
      </c>
    </row>
    <row r="2656" spans="1:10" x14ac:dyDescent="0.25">
      <c r="A2656" s="5" t="s">
        <v>1685</v>
      </c>
      <c r="B2656" s="5" t="s">
        <v>4523</v>
      </c>
      <c r="C2656" s="6" t="str">
        <f>_xll.QS.CONTEXT.CREATE("market.2654",A2656,"USD","SOFR")</f>
        <v>QSObject:PricingContext:w1~market.2654:11259</v>
      </c>
      <c r="D2656" s="6" t="str">
        <f>_xll.QS.CONTEXT.ADD.CURVE(C2656,"SOFR",$K$2:$K$7,$L$2:$L$7,,,"Actual360","LogLinear",TRUE)</f>
        <v>QSObject:ContextInput:w1~input.qs_context_add_curve.2359132437744.2655.3.0:12761</v>
      </c>
      <c r="E2656" s="6" t="str">
        <f>_xll.QS.INSTRUMENT.SWAP("swap.2654",H2656,B2656,"USD","SOFR",I2656,J2656,0,"Actual360","Simple","Annual","Annual","Annual")</f>
        <v>QSObject:Swap:w1~swap.2654:4856</v>
      </c>
      <c r="F2656" s="6" t="str">
        <f>_xll.QS.TRADE.CREATE("trade.2654",E2656,A2656,"Receive")</f>
        <v>QSObject:SwapTrade:w1~trade.2654:14393</v>
      </c>
      <c r="G2656" s="3">
        <f>_xll.QS.EVALUATE(C2656,F2656)</f>
        <v>19683.173281761337</v>
      </c>
      <c r="H2656" s="5" t="s">
        <v>1699</v>
      </c>
      <c r="I2656" s="7">
        <v>1265400</v>
      </c>
      <c r="J2656" s="8">
        <v>3.5400000000000001E-2</v>
      </c>
    </row>
    <row r="2657" spans="1:10" x14ac:dyDescent="0.25">
      <c r="A2657" s="5" t="s">
        <v>1687</v>
      </c>
      <c r="B2657" s="5" t="s">
        <v>4524</v>
      </c>
      <c r="C2657" s="6" t="str">
        <f>_xll.QS.CONTEXT.CREATE("market.2655",A2657,"USD","SOFR")</f>
        <v>QSObject:PricingContext:w1~market.2655:8032</v>
      </c>
      <c r="D2657" s="6" t="str">
        <f>_xll.QS.CONTEXT.ADD.CURVE(C2657,"SOFR",$K$2:$K$7,$L$2:$L$7,,,"Actual360","LogLinear",TRUE)</f>
        <v>QSObject:ContextInput:w1~input.qs_context_add_curve.2359132437744.2656.3.0:16081</v>
      </c>
      <c r="E2657" s="6" t="str">
        <f>_xll.QS.INSTRUMENT.SWAP("swap.2655",H2657,B2657,"USD","SOFR",I2657,J2657,0,"Actual360","Simple","Annual","Annual","Annual")</f>
        <v>QSObject:Swap:w1~swap.2655:1765</v>
      </c>
      <c r="F2657" s="6" t="str">
        <f>_xll.QS.TRADE.CREATE("trade.2655",E2657,A2657,"Receive")</f>
        <v>QSObject:SwapTrade:w1~trade.2655:17050</v>
      </c>
      <c r="G2657" s="3">
        <f>_xll.QS.EVALUATE(C2657,F2657)</f>
        <v>20361.292709114947</v>
      </c>
      <c r="H2657" s="5" t="s">
        <v>1701</v>
      </c>
      <c r="I2657" s="7">
        <v>1265500</v>
      </c>
      <c r="J2657" s="8">
        <v>3.5499999999999997E-2</v>
      </c>
    </row>
    <row r="2658" spans="1:10" x14ac:dyDescent="0.25">
      <c r="A2658" s="5" t="s">
        <v>1689</v>
      </c>
      <c r="B2658" s="5" t="s">
        <v>4525</v>
      </c>
      <c r="C2658" s="6" t="str">
        <f>_xll.QS.CONTEXT.CREATE("market.2656",A2658,"USD","SOFR")</f>
        <v>QSObject:PricingContext:w1~market.2656:3290</v>
      </c>
      <c r="D2658" s="6" t="str">
        <f>_xll.QS.CONTEXT.ADD.CURVE(C2658,"SOFR",$K$2:$K$7,$L$2:$L$7,,,"Actual360","LogLinear",TRUE)</f>
        <v>QSObject:ContextInput:w1~input.qs_context_add_curve.2359132437744.2657.3.0:9625</v>
      </c>
      <c r="E2658" s="6" t="str">
        <f>_xll.QS.INSTRUMENT.SWAP("swap.2656",H2658,B2658,"USD","SOFR",I2658,J2658,0,"Actual360","Simple","Annual","Annual","Annual")</f>
        <v>QSObject:Swap:w1~swap.2656:6431</v>
      </c>
      <c r="F2658" s="6" t="str">
        <f>_xll.QS.TRADE.CREATE("trade.2656",E2658,A2658,"Receive")</f>
        <v>QSObject:SwapTrade:w1~trade.2656:29169</v>
      </c>
      <c r="G2658" s="3">
        <f>_xll.QS.EVALUATE(C2658,F2658)</f>
        <v>21001.678699243763</v>
      </c>
      <c r="H2658" s="5" t="s">
        <v>1703</v>
      </c>
      <c r="I2658" s="7">
        <v>1265600</v>
      </c>
      <c r="J2658" s="8">
        <v>3.5600000000000007E-2</v>
      </c>
    </row>
    <row r="2659" spans="1:10" x14ac:dyDescent="0.25">
      <c r="A2659" s="5" t="s">
        <v>1691</v>
      </c>
      <c r="B2659" s="5" t="s">
        <v>4526</v>
      </c>
      <c r="C2659" s="6" t="str">
        <f>_xll.QS.CONTEXT.CREATE("market.2657",A2659,"USD","SOFR")</f>
        <v>QSObject:PricingContext:w1~market.2657:14392</v>
      </c>
      <c r="D2659" s="6" t="str">
        <f>_xll.QS.CONTEXT.ADD.CURVE(C2659,"SOFR",$K$2:$K$7,$L$2:$L$7,,,"Actual360","LogLinear",TRUE)</f>
        <v>QSObject:ContextInput:w1~input.qs_context_add_curve.2359132437744.2658.3.0:29168</v>
      </c>
      <c r="E2659" s="6" t="str">
        <f>_xll.QS.INSTRUMENT.SWAP("swap.2657",H2659,B2659,"USD","SOFR",I2659,J2659,0,"Actual360","Simple","Annual","Annual","Annual")</f>
        <v>QSObject:Swap:w1~swap.2657:11258</v>
      </c>
      <c r="F2659" s="6" t="str">
        <f>_xll.QS.TRADE.CREATE("trade.2657",E2659,A2659,"Receive")</f>
        <v>QSObject:SwapTrade:w1~trade.2657:16080</v>
      </c>
      <c r="G2659" s="3">
        <f>_xll.QS.EVALUATE(C2659,F2659)</f>
        <v>21538.443221412679</v>
      </c>
      <c r="H2659" s="5" t="s">
        <v>1705</v>
      </c>
      <c r="I2659" s="7">
        <v>1265700</v>
      </c>
      <c r="J2659" s="8">
        <v>3.5700000000000003E-2</v>
      </c>
    </row>
    <row r="2660" spans="1:10" x14ac:dyDescent="0.25">
      <c r="A2660" s="5" t="s">
        <v>1693</v>
      </c>
      <c r="B2660" s="5" t="s">
        <v>4527</v>
      </c>
      <c r="C2660" s="6" t="str">
        <f>_xll.QS.CONTEXT.CREATE("market.2658",A2660,"USD","SOFR")</f>
        <v>QSObject:PricingContext:w1~market.2658:1764</v>
      </c>
      <c r="D2660" s="6" t="str">
        <f>_xll.QS.CONTEXT.ADD.CURVE(C2660,"SOFR",$K$2:$K$7,$L$2:$L$7,,,"Actual360","LogLinear",TRUE)</f>
        <v>QSObject:ContextInput:w1~input.qs_context_add_curve.2359132437744.2659.3.0:8031</v>
      </c>
      <c r="E2660" s="6" t="str">
        <f>_xll.QS.INSTRUMENT.SWAP("swap.2658",H2660,B2660,"USD","SOFR",I2660,J2660,0,"Actual360","Simple","Annual","Annual","Annual")</f>
        <v>QSObject:Swap:w1~swap.2658:17049</v>
      </c>
      <c r="F2660" s="6" t="str">
        <f>_xll.QS.TRADE.CREATE("trade.2658",E2660,A2660,"Receive")</f>
        <v>QSObject:SwapTrade:w1~trade.2658:29167</v>
      </c>
      <c r="G2660" s="3">
        <f>_xll.QS.EVALUATE(C2660,F2660)</f>
        <v>22044.443609132824</v>
      </c>
      <c r="H2660" s="5" t="s">
        <v>1707</v>
      </c>
      <c r="I2660" s="7">
        <v>1265800</v>
      </c>
      <c r="J2660" s="8">
        <v>3.5800000000000012E-2</v>
      </c>
    </row>
    <row r="2661" spans="1:10" x14ac:dyDescent="0.25">
      <c r="A2661" s="5" t="s">
        <v>1695</v>
      </c>
      <c r="B2661" s="5" t="s">
        <v>4528</v>
      </c>
      <c r="C2661" s="6" t="str">
        <f>_xll.QS.CONTEXT.CREATE("market.2659",A2661,"USD","SOFR")</f>
        <v>QSObject:PricingContext:w1~market.2659:4855</v>
      </c>
      <c r="D2661" s="6" t="str">
        <f>_xll.QS.CONTEXT.ADD.CURVE(C2661,"SOFR",$K$2:$K$7,$L$2:$L$7,,,"Actual360","LogLinear",TRUE)</f>
        <v>QSObject:ContextInput:w1~input.qs_context_add_curve.2359132437744.2660.3.0:37736</v>
      </c>
      <c r="E2661" s="6" t="str">
        <f>_xll.QS.INSTRUMENT.SWAP("swap.2659",H2661,B2661,"USD","SOFR",I2661,J2661,0,"Actual360","Simple","Annual","Annual","Annual")</f>
        <v>QSObject:Swap:w1~swap.2659:9624</v>
      </c>
      <c r="F2661" s="6" t="str">
        <f>_xll.QS.TRADE.CREATE("trade.2659",E2661,A2661,"Receive")</f>
        <v>QSObject:SwapTrade:w1~trade.2659:12760</v>
      </c>
      <c r="G2661" s="3">
        <f>_xll.QS.EVALUATE(C2661,F2661)</f>
        <v>22520.653989826838</v>
      </c>
      <c r="H2661" s="5" t="s">
        <v>1709</v>
      </c>
      <c r="I2661" s="7">
        <v>1265900</v>
      </c>
      <c r="J2661" s="8">
        <v>3.5900000000000001E-2</v>
      </c>
    </row>
    <row r="2662" spans="1:10" x14ac:dyDescent="0.25">
      <c r="A2662" s="5" t="s">
        <v>1697</v>
      </c>
      <c r="B2662" s="5" t="s">
        <v>4529</v>
      </c>
      <c r="C2662" s="6" t="str">
        <f>_xll.QS.CONTEXT.CREATE("market.2660",A2662,"USD","SOFR")</f>
        <v>QSObject:PricingContext:w1~market.2660:16079</v>
      </c>
      <c r="D2662" s="6" t="str">
        <f>_xll.QS.CONTEXT.ADD.CURVE(C2662,"SOFR",$K$2:$K$7,$L$2:$L$7,,,"Actual360","LogLinear",TRUE)</f>
        <v>QSObject:ContextInput:w1~input.qs_context_add_curve.2359132437744.2661.3.0:37735</v>
      </c>
      <c r="E2662" s="6" t="str">
        <f>_xll.QS.INSTRUMENT.SWAP("swap.2660",H2662,B2662,"USD","SOFR",I2662,J2662,0,"Actual360","Simple","Annual","Annual","Annual")</f>
        <v>QSObject:Swap:w1~swap.2660:14391</v>
      </c>
      <c r="F2662" s="6" t="str">
        <f>_xll.QS.TRADE.CREATE("trade.2660",E2662,A2662,"Receive")</f>
        <v>QSObject:SwapTrade:w1~trade.2660:29166</v>
      </c>
      <c r="G2662" s="3">
        <f>_xll.QS.EVALUATE(C2662,F2662)</f>
        <v>23158.545696532397</v>
      </c>
      <c r="H2662" s="5" t="s">
        <v>1711</v>
      </c>
      <c r="I2662" s="7">
        <v>1266000</v>
      </c>
      <c r="J2662" s="8">
        <v>3.5999999999999997E-2</v>
      </c>
    </row>
    <row r="2663" spans="1:10" x14ac:dyDescent="0.25">
      <c r="A2663" s="5" t="s">
        <v>1699</v>
      </c>
      <c r="B2663" s="5" t="s">
        <v>4530</v>
      </c>
      <c r="C2663" s="6" t="str">
        <f>_xll.QS.CONTEXT.CREATE("market.2661",A2663,"USD","SOFR")</f>
        <v>QSObject:PricingContext:w1~market.2661:6430</v>
      </c>
      <c r="D2663" s="6" t="str">
        <f>_xll.QS.CONTEXT.ADD.CURVE(C2663,"SOFR",$K$2:$K$7,$L$2:$L$7,,,"Actual360","LogLinear",TRUE)</f>
        <v>QSObject:ContextInput:w1~input.qs_context_add_curve.2359132437744.2662.3.0:8030</v>
      </c>
      <c r="E2663" s="6" t="str">
        <f>_xll.QS.INSTRUMENT.SWAP("swap.2661",H2663,B2663,"USD","SOFR",I2663,J2663,0,"Actual360","Simple","Annual","Annual","Annual")</f>
        <v>QSObject:Swap:w1~swap.2661:17048</v>
      </c>
      <c r="F2663" s="6" t="str">
        <f>_xll.QS.TRADE.CREATE("trade.2661",E2663,A2663,"Receive")</f>
        <v>QSObject:SwapTrade:w1~trade.2661:29165</v>
      </c>
      <c r="G2663" s="3">
        <f>_xll.QS.EVALUATE(C2663,F2663)</f>
        <v>23781.416454749153</v>
      </c>
      <c r="H2663" s="5" t="s">
        <v>1713</v>
      </c>
      <c r="I2663" s="7">
        <v>1266100</v>
      </c>
      <c r="J2663" s="8">
        <v>3.61E-2</v>
      </c>
    </row>
    <row r="2664" spans="1:10" x14ac:dyDescent="0.25">
      <c r="A2664" s="5" t="s">
        <v>1701</v>
      </c>
      <c r="B2664" s="5" t="s">
        <v>4531</v>
      </c>
      <c r="C2664" s="6" t="str">
        <f>_xll.QS.CONTEXT.CREATE("market.2662",A2664,"USD","SOFR")</f>
        <v>QSObject:PricingContext:w1~market.2662:16078</v>
      </c>
      <c r="D2664" s="6" t="str">
        <f>_xll.QS.CONTEXT.ADD.CURVE(C2664,"SOFR",$K$2:$K$7,$L$2:$L$7,,,"Actual360","LogLinear",TRUE)</f>
        <v>QSObject:ContextInput:w1~input.qs_context_add_curve.2359132437744.2663.3.0:37734</v>
      </c>
      <c r="E2664" s="6" t="str">
        <f>_xll.QS.INSTRUMENT.SWAP("swap.2662",H2664,B2664,"USD","SOFR",I2664,J2664,0,"Actual360","Simple","Annual","Annual","Annual")</f>
        <v>QSObject:Swap:w1~swap.2662:12759</v>
      </c>
      <c r="F2664" s="6" t="str">
        <f>_xll.QS.TRADE.CREATE("trade.2662",E2664,A2664,"Receive")</f>
        <v>QSObject:SwapTrade:w1~trade.2662:14390</v>
      </c>
      <c r="G2664" s="3">
        <f>_xll.QS.EVALUATE(C2664,F2664)</f>
        <v>24459.813679453633</v>
      </c>
      <c r="H2664" s="5" t="s">
        <v>1715</v>
      </c>
      <c r="I2664" s="7">
        <v>1266200</v>
      </c>
      <c r="J2664" s="8">
        <v>3.6200000000000003E-2</v>
      </c>
    </row>
    <row r="2665" spans="1:10" x14ac:dyDescent="0.25">
      <c r="A2665" s="5" t="s">
        <v>1703</v>
      </c>
      <c r="B2665" s="5" t="s">
        <v>4532</v>
      </c>
      <c r="C2665" s="6" t="str">
        <f>_xll.QS.CONTEXT.CREATE("market.2663",A2665,"USD","SOFR")</f>
        <v>QSObject:PricingContext:w1~market.2663:17047</v>
      </c>
      <c r="D2665" s="6" t="str">
        <f>_xll.QS.CONTEXT.ADD.CURVE(C2665,"SOFR",$K$2:$K$7,$L$2:$L$7,,,"Actual360","LogLinear",TRUE)</f>
        <v>QSObject:ContextInput:w1~input.qs_context_add_curve.2359132437744.2664.3.0:37733</v>
      </c>
      <c r="E2665" s="6" t="str">
        <f>_xll.QS.INSTRUMENT.SWAP("swap.2663",H2665,B2665,"USD","SOFR",I2665,J2665,0,"Actual360","Simple","Annual","Annual","Annual")</f>
        <v>QSObject:Swap:w1~swap.2663:3289</v>
      </c>
      <c r="F2665" s="6" t="str">
        <f>_xll.QS.TRADE.CREATE("trade.2663",E2665,A2665,"Receive")</f>
        <v>QSObject:SwapTrade:w1~trade.2663:8029</v>
      </c>
      <c r="G2665" s="3">
        <f>_xll.QS.EVALUATE(C2665,F2665)</f>
        <v>25101.134566712397</v>
      </c>
      <c r="H2665" s="5" t="s">
        <v>1717</v>
      </c>
      <c r="I2665" s="7">
        <v>1266300</v>
      </c>
      <c r="J2665" s="8">
        <v>3.6300000000000013E-2</v>
      </c>
    </row>
    <row r="2666" spans="1:10" x14ac:dyDescent="0.25">
      <c r="A2666" s="5" t="s">
        <v>1705</v>
      </c>
      <c r="B2666" s="5" t="s">
        <v>4533</v>
      </c>
      <c r="C2666" s="6" t="str">
        <f>_xll.QS.CONTEXT.CREATE("market.2664",A2666,"USD","SOFR")</f>
        <v>QSObject:PricingContext:w1~market.2664:11257</v>
      </c>
      <c r="D2666" s="6" t="str">
        <f>_xll.QS.CONTEXT.ADD.CURVE(C2666,"SOFR",$K$2:$K$7,$L$2:$L$7,,,"Actual360","LogLinear",TRUE)</f>
        <v>QSObject:ContextInput:w1~input.qs_context_add_curve.2359132437744.2665.3.0:37732</v>
      </c>
      <c r="E2666" s="6" t="str">
        <f>_xll.QS.INSTRUMENT.SWAP("swap.2664",H2666,B2666,"USD","SOFR",I2666,J2666,0,"Actual360","Simple","Annual","Annual","Annual")</f>
        <v>QSObject:Swap:w1~swap.2664:1763</v>
      </c>
      <c r="F2666" s="6" t="str">
        <f>_xll.QS.TRADE.CREATE("trade.2664",E2666,A2666,"Receive")</f>
        <v>QSObject:SwapTrade:w1~trade.2664:16077</v>
      </c>
      <c r="G2666" s="3">
        <f>_xll.QS.EVALUATE(C2666,F2666)</f>
        <v>25638.261252308548</v>
      </c>
      <c r="H2666" s="5" t="s">
        <v>1719</v>
      </c>
      <c r="I2666" s="7">
        <v>1266400</v>
      </c>
      <c r="J2666" s="8">
        <v>3.6400000000000002E-2</v>
      </c>
    </row>
    <row r="2667" spans="1:10" x14ac:dyDescent="0.25">
      <c r="A2667" s="5" t="s">
        <v>1707</v>
      </c>
      <c r="B2667" s="5" t="s">
        <v>4534</v>
      </c>
      <c r="C2667" s="6" t="str">
        <f>_xll.QS.CONTEXT.CREATE("market.2665",A2667,"USD","SOFR")</f>
        <v>QSObject:PricingContext:w1~market.2665:14389</v>
      </c>
      <c r="D2667" s="6" t="str">
        <f>_xll.QS.CONTEXT.ADD.CURVE(C2667,"SOFR",$K$2:$K$7,$L$2:$L$7,,,"Actual360","LogLinear",TRUE)</f>
        <v>QSObject:ContextInput:w1~input.qs_context_add_curve.2359132437744.2666.3.0:37731</v>
      </c>
      <c r="E2667" s="6" t="str">
        <f>_xll.QS.INSTRUMENT.SWAP("swap.2665",H2667,B2667,"USD","SOFR",I2667,J2667,0,"Actual360","Simple","Annual","Annual","Annual")</f>
        <v>QSObject:Swap:w1~swap.2665:9623</v>
      </c>
      <c r="F2667" s="6" t="str">
        <f>_xll.QS.TRADE.CREATE("trade.2665",E2667,A2667,"Receive")</f>
        <v>QSObject:SwapTrade:w1~trade.2665:17046</v>
      </c>
      <c r="G2667" s="3">
        <f>_xll.QS.EVALUATE(C2667,F2667)</f>
        <v>26140.048796106814</v>
      </c>
      <c r="H2667" s="5" t="s">
        <v>1721</v>
      </c>
      <c r="I2667" s="7">
        <v>1266500</v>
      </c>
      <c r="J2667" s="8">
        <v>3.6499999999999998E-2</v>
      </c>
    </row>
    <row r="2668" spans="1:10" x14ac:dyDescent="0.25">
      <c r="A2668" s="5" t="s">
        <v>1709</v>
      </c>
      <c r="B2668" s="5" t="s">
        <v>4535</v>
      </c>
      <c r="C2668" s="6" t="str">
        <f>_xll.QS.CONTEXT.CREATE("market.2666",A2668,"USD","SOFR")</f>
        <v>QSObject:PricingContext:w1~market.2666:11256</v>
      </c>
      <c r="D2668" s="6" t="str">
        <f>_xll.QS.CONTEXT.ADD.CURVE(C2668,"SOFR",$K$2:$K$7,$L$2:$L$7,,,"Actual360","LogLinear",TRUE)</f>
        <v>QSObject:ContextInput:w1~input.qs_context_add_curve.2359132437744.2667.3.0:37730</v>
      </c>
      <c r="E2668" s="6" t="str">
        <f>_xll.QS.INSTRUMENT.SWAP("swap.2666",H2668,B2668,"USD","SOFR",I2668,J2668,0,"Actual360","Simple","Annual","Annual","Annual")</f>
        <v>QSObject:Swap:w1~swap.2666:8028</v>
      </c>
      <c r="F2668" s="6" t="str">
        <f>_xll.QS.TRADE.CREATE("trade.2666",E2668,A2668,"Receive")</f>
        <v>QSObject:SwapTrade:w1~trade.2666:29164</v>
      </c>
      <c r="G2668" s="3">
        <f>_xll.QS.EVALUATE(C2668,F2668)</f>
        <v>26623.182554535204</v>
      </c>
      <c r="H2668" s="5" t="s">
        <v>1723</v>
      </c>
      <c r="I2668" s="7">
        <v>1266600</v>
      </c>
      <c r="J2668" s="8">
        <v>3.6600000000000001E-2</v>
      </c>
    </row>
    <row r="2669" spans="1:10" x14ac:dyDescent="0.25">
      <c r="A2669" s="5" t="s">
        <v>1711</v>
      </c>
      <c r="B2669" s="5" t="s">
        <v>4536</v>
      </c>
      <c r="C2669" s="6" t="str">
        <f>_xll.QS.CONTEXT.CREATE("market.2667",A2669,"USD","SOFR")</f>
        <v>QSObject:PricingContext:w1~market.2667:4854</v>
      </c>
      <c r="D2669" s="6" t="str">
        <f>_xll.QS.CONTEXT.ADD.CURVE(C2669,"SOFR",$K$2:$K$7,$L$2:$L$7,,,"Actual360","LogLinear",TRUE)</f>
        <v>QSObject:ContextInput:w1~input.qs_context_add_curve.2359132437744.2668.3.0:14388</v>
      </c>
      <c r="E2669" s="6" t="str">
        <f>_xll.QS.INSTRUMENT.SWAP("swap.2667",H2669,B2669,"USD","SOFR",I2669,J2669,0,"Actual360","Simple","Annual","Annual","Annual")</f>
        <v>QSObject:Swap:w1~swap.2667:1762</v>
      </c>
      <c r="F2669" s="6" t="str">
        <f>_xll.QS.TRADE.CREATE("trade.2667",E2669,A2669,"Receive")</f>
        <v>QSObject:SwapTrade:w1~trade.2667:16076</v>
      </c>
      <c r="G2669" s="3">
        <f>_xll.QS.EVALUATE(C2669,F2669)</f>
        <v>27262.388698385155</v>
      </c>
      <c r="H2669" s="5" t="s">
        <v>1725</v>
      </c>
      <c r="I2669" s="7">
        <v>1266700</v>
      </c>
      <c r="J2669" s="8">
        <v>3.6700000000000003E-2</v>
      </c>
    </row>
    <row r="2670" spans="1:10" x14ac:dyDescent="0.25">
      <c r="A2670" s="5" t="s">
        <v>1713</v>
      </c>
      <c r="B2670" s="5" t="s">
        <v>4537</v>
      </c>
      <c r="C2670" s="6" t="str">
        <f>_xll.QS.CONTEXT.CREATE("market.2668",A2670,"USD","SOFR")</f>
        <v>QSObject:PricingContext:w1~market.2668:17045</v>
      </c>
      <c r="D2670" s="6" t="str">
        <f>_xll.QS.CONTEXT.ADD.CURVE(C2670,"SOFR",$K$2:$K$7,$L$2:$L$7,,,"Actual360","LogLinear",TRUE)</f>
        <v>QSObject:ContextInput:w1~input.qs_context_add_curve.2359132437744.2669.3.0:37729</v>
      </c>
      <c r="E2670" s="6" t="str">
        <f>_xll.QS.INSTRUMENT.SWAP("swap.2668",H2670,B2670,"USD","SOFR",I2670,J2670,0,"Actual360","Simple","Annual","Annual","Annual")</f>
        <v>QSObject:Swap:w1~swap.2668:12758</v>
      </c>
      <c r="F2670" s="6" t="str">
        <f>_xll.QS.TRADE.CREATE("trade.2668",E2670,A2670,"Receive")</f>
        <v>QSObject:SwapTrade:w1~trade.2668:29163</v>
      </c>
      <c r="G2670" s="3">
        <f>_xll.QS.EVALUATE(C2670,F2670)</f>
        <v>27883.906697875202</v>
      </c>
      <c r="H2670" s="5" t="s">
        <v>1727</v>
      </c>
      <c r="I2670" s="7">
        <v>1266800</v>
      </c>
      <c r="J2670" s="8">
        <v>3.6800000000000013E-2</v>
      </c>
    </row>
    <row r="2671" spans="1:10" x14ac:dyDescent="0.25">
      <c r="A2671" s="5" t="s">
        <v>1715</v>
      </c>
      <c r="B2671" s="5" t="s">
        <v>4538</v>
      </c>
      <c r="C2671" s="6" t="str">
        <f>_xll.QS.CONTEXT.CREATE("market.2669",A2671,"USD","SOFR")</f>
        <v>QSObject:PricingContext:w1~market.2669:6429</v>
      </c>
      <c r="D2671" s="6" t="str">
        <f>_xll.QS.CONTEXT.ADD.CURVE(C2671,"SOFR",$K$2:$K$7,$L$2:$L$7,,,"Actual360","LogLinear",TRUE)</f>
        <v>QSObject:ContextInput:w1~input.qs_context_add_curve.2359132437744.2670.3.0:29162</v>
      </c>
      <c r="E2671" s="6" t="str">
        <f>_xll.QS.INSTRUMENT.SWAP("swap.2669",H2671,B2671,"USD","SOFR",I2671,J2671,0,"Actual360","Simple","Annual","Annual","Annual")</f>
        <v>QSObject:Swap:w1~swap.2669:8027</v>
      </c>
      <c r="F2671" s="6" t="str">
        <f>_xll.QS.TRADE.CREATE("trade.2669",E2671,A2671,"Receive")</f>
        <v>QSObject:SwapTrade:w1~trade.2669:29161</v>
      </c>
      <c r="G2671" s="3">
        <f>_xll.QS.EVALUATE(C2671,F2671)</f>
        <v>28563.031168139431</v>
      </c>
      <c r="H2671" s="5" t="s">
        <v>1729</v>
      </c>
      <c r="I2671" s="7">
        <v>1266900</v>
      </c>
      <c r="J2671" s="8">
        <v>3.6900000000000002E-2</v>
      </c>
    </row>
    <row r="2672" spans="1:10" x14ac:dyDescent="0.25">
      <c r="A2672" s="5" t="s">
        <v>1717</v>
      </c>
      <c r="B2672" s="5" t="s">
        <v>4539</v>
      </c>
      <c r="C2672" s="6" t="str">
        <f>_xll.QS.CONTEXT.CREATE("market.2670",A2672,"USD","SOFR")</f>
        <v>QSObject:PricingContext:w1~market.2670:14387</v>
      </c>
      <c r="D2672" s="6" t="str">
        <f>_xll.QS.CONTEXT.ADD.CURVE(C2672,"SOFR",$K$2:$K$7,$L$2:$L$7,,,"Actual360","LogLinear",TRUE)</f>
        <v>QSObject:ContextInput:w1~input.qs_context_add_curve.2359132437744.2671.3.0:16075</v>
      </c>
      <c r="E2672" s="6" t="str">
        <f>_xll.QS.INSTRUMENT.SWAP("swap.2670",H2672,B2672,"USD","SOFR",I2672,J2672,0,"Actual360","Simple","Annual","Annual","Annual")</f>
        <v>QSObject:Swap:w1~swap.2670:4853</v>
      </c>
      <c r="F2672" s="6" t="str">
        <f>_xll.QS.TRADE.CREATE("trade.2670",E2672,A2672,"Receive")</f>
        <v>QSObject:SwapTrade:w1~trade.2670:9622</v>
      </c>
      <c r="G2672" s="3">
        <f>_xll.QS.EVALUATE(C2672,F2672)</f>
        <v>29204.686305410462</v>
      </c>
      <c r="H2672" s="5" t="s">
        <v>1731</v>
      </c>
      <c r="I2672" s="7">
        <v>1267000</v>
      </c>
      <c r="J2672" s="8">
        <v>3.7000000000000012E-2</v>
      </c>
    </row>
    <row r="2673" spans="1:10" x14ac:dyDescent="0.25">
      <c r="A2673" s="5" t="s">
        <v>1719</v>
      </c>
      <c r="B2673" s="5" t="s">
        <v>4540</v>
      </c>
      <c r="C2673" s="6" t="str">
        <f>_xll.QS.CONTEXT.CREATE("market.2671",A2673,"USD","SOFR")</f>
        <v>QSObject:PricingContext:w1~market.2671:17044</v>
      </c>
      <c r="D2673" s="6" t="str">
        <f>_xll.QS.CONTEXT.ADD.CURVE(C2673,"SOFR",$K$2:$K$7,$L$2:$L$7,,,"Actual360","LogLinear",TRUE)</f>
        <v>QSObject:ContextInput:w1~input.qs_context_add_curve.2359132437744.2672.3.0:37728</v>
      </c>
      <c r="E2673" s="6" t="str">
        <f>_xll.QS.INSTRUMENT.SWAP("swap.2671",H2673,B2673,"USD","SOFR",I2673,J2673,0,"Actual360","Simple","Annual","Annual","Annual")</f>
        <v>QSObject:Swap:w1~swap.2671:11255</v>
      </c>
      <c r="F2673" s="6" t="str">
        <f>_xll.QS.TRADE.CREATE("trade.2671",E2673,A2673,"Receive")</f>
        <v>QSObject:SwapTrade:w1~trade.2671:29160</v>
      </c>
      <c r="G2673" s="3">
        <f>_xll.QS.EVALUATE(C2673,F2673)</f>
        <v>29742.412297156225</v>
      </c>
      <c r="H2673" s="5" t="s">
        <v>1733</v>
      </c>
      <c r="I2673" s="7">
        <v>1267100</v>
      </c>
      <c r="J2673" s="8">
        <v>3.7100000000000001E-2</v>
      </c>
    </row>
    <row r="2674" spans="1:10" x14ac:dyDescent="0.25">
      <c r="A2674" s="5" t="s">
        <v>1721</v>
      </c>
      <c r="B2674" s="5" t="s">
        <v>4541</v>
      </c>
      <c r="C2674" s="6" t="str">
        <f>_xll.QS.CONTEXT.CREATE("market.2672",A2674,"USD","SOFR")</f>
        <v>QSObject:PricingContext:w1~market.2672:3288</v>
      </c>
      <c r="D2674" s="6" t="str">
        <f>_xll.QS.CONTEXT.ADD.CURVE(C2674,"SOFR",$K$2:$K$7,$L$2:$L$7,,,"Actual360","LogLinear",TRUE)</f>
        <v>QSObject:ContextInput:w1~input.qs_context_add_curve.2359132437744.2673.3.0:8026</v>
      </c>
      <c r="E2674" s="6" t="str">
        <f>_xll.QS.INSTRUMENT.SWAP("swap.2672",H2674,B2674,"USD","SOFR",I2674,J2674,0,"Actual360","Simple","Annual","Annual","Annual")</f>
        <v>QSObject:Swap:w1~swap.2672:1761</v>
      </c>
      <c r="F2674" s="6" t="str">
        <f>_xll.QS.TRADE.CREATE("trade.2672",E2674,A2674,"Receive")</f>
        <v>QSObject:SwapTrade:w1~trade.2672:4852</v>
      </c>
      <c r="G2674" s="3">
        <f>_xll.QS.EVALUATE(C2674,F2674)</f>
        <v>30239.981012588614</v>
      </c>
      <c r="H2674" s="5" t="s">
        <v>1735</v>
      </c>
      <c r="I2674" s="7">
        <v>1267200</v>
      </c>
      <c r="J2674" s="8">
        <v>3.7199999999999997E-2</v>
      </c>
    </row>
    <row r="2675" spans="1:10" x14ac:dyDescent="0.25">
      <c r="A2675" s="5" t="s">
        <v>1723</v>
      </c>
      <c r="B2675" s="5" t="s">
        <v>4542</v>
      </c>
      <c r="C2675" s="6" t="str">
        <f>_xll.QS.CONTEXT.CREATE("market.2673",A2675,"USD","SOFR")</f>
        <v>QSObject:PricingContext:w1~market.2673:17043</v>
      </c>
      <c r="D2675" s="6" t="str">
        <f>_xll.QS.CONTEXT.ADD.CURVE(C2675,"SOFR",$K$2:$K$7,$L$2:$L$7,,,"Actual360","LogLinear",TRUE)</f>
        <v>QSObject:ContextInput:w1~input.qs_context_add_curve.2359132437744.2674.3.0:37727</v>
      </c>
      <c r="E2675" s="6" t="str">
        <f>_xll.QS.INSTRUMENT.SWAP("swap.2673",H2675,B2675,"USD","SOFR",I2675,J2675,0,"Actual360","Simple","Annual","Annual","Annual")</f>
        <v>QSObject:Swap:w1~swap.2673:14386</v>
      </c>
      <c r="F2675" s="6" t="str">
        <f>_xll.QS.TRADE.CREATE("trade.2673",E2675,A2675,"Receive")</f>
        <v>QSObject:SwapTrade:w1~trade.2673:29159</v>
      </c>
      <c r="G2675" s="3">
        <f>_xll.QS.EVALUATE(C2675,F2675)</f>
        <v>30730.043300297359</v>
      </c>
      <c r="H2675" s="5" t="s">
        <v>1737</v>
      </c>
      <c r="I2675" s="7">
        <v>1267300</v>
      </c>
      <c r="J2675" s="8">
        <v>3.73E-2</v>
      </c>
    </row>
    <row r="2676" spans="1:10" x14ac:dyDescent="0.25">
      <c r="A2676" s="5" t="s">
        <v>1725</v>
      </c>
      <c r="B2676" s="5" t="s">
        <v>4543</v>
      </c>
      <c r="C2676" s="6" t="str">
        <f>_xll.QS.CONTEXT.CREATE("market.2674",A2676,"USD","SOFR")</f>
        <v>QSObject:PricingContext:w1~market.2674:11254</v>
      </c>
      <c r="D2676" s="6" t="str">
        <f>_xll.QS.CONTEXT.ADD.CURVE(C2676,"SOFR",$K$2:$K$7,$L$2:$L$7,,,"Actual360","LogLinear",TRUE)</f>
        <v>QSObject:ContextInput:w1~input.qs_context_add_curve.2359132437744.2675.3.0:16074</v>
      </c>
      <c r="E2676" s="6" t="str">
        <f>_xll.QS.INSTRUMENT.SWAP("swap.2674",H2676,B2676,"USD","SOFR",I2676,J2676,0,"Actual360","Simple","Annual","Annual","Annual")</f>
        <v>QSObject:Swap:w1~swap.2674:6428</v>
      </c>
      <c r="F2676" s="6" t="str">
        <f>_xll.QS.TRADE.CREATE("trade.2674",E2676,A2676,"Receive")</f>
        <v>QSObject:SwapTrade:w1~trade.2674:29158</v>
      </c>
      <c r="G2676" s="3">
        <f>_xll.QS.EVALUATE(C2676,F2676)</f>
        <v>31370.342614312765</v>
      </c>
      <c r="H2676" s="5" t="s">
        <v>1739</v>
      </c>
      <c r="I2676" s="7">
        <v>1267400</v>
      </c>
      <c r="J2676" s="8">
        <v>3.7400000000000003E-2</v>
      </c>
    </row>
    <row r="2677" spans="1:10" x14ac:dyDescent="0.25">
      <c r="A2677" s="5" t="s">
        <v>1727</v>
      </c>
      <c r="B2677" s="5" t="s">
        <v>4544</v>
      </c>
      <c r="C2677" s="6" t="str">
        <f>_xll.QS.CONTEXT.CREATE("market.2675",A2677,"USD","SOFR")</f>
        <v>QSObject:PricingContext:w1~market.2675:4851</v>
      </c>
      <c r="D2677" s="6" t="str">
        <f>_xll.QS.CONTEXT.ADD.CURVE(C2677,"SOFR",$K$2:$K$7,$L$2:$L$7,,,"Actual360","LogLinear",TRUE)</f>
        <v>QSObject:ContextInput:w1~input.qs_context_add_curve.2359132437744.2676.3.0:17042</v>
      </c>
      <c r="E2677" s="6" t="str">
        <f>_xll.QS.INSTRUMENT.SWAP("swap.2675",H2677,B2677,"USD","SOFR",I2677,J2677,0,"Actual360","Simple","Annual","Annual","Annual")</f>
        <v>QSObject:Swap:w1~swap.2675:8025</v>
      </c>
      <c r="F2677" s="6" t="str">
        <f>_xll.QS.TRADE.CREATE("trade.2675",E2677,A2677,"Receive")</f>
        <v>QSObject:SwapTrade:w1~trade.2675:29157</v>
      </c>
      <c r="G2677" s="3">
        <f>_xll.QS.EVALUATE(C2677,F2677)</f>
        <v>31990.49539166435</v>
      </c>
      <c r="H2677" s="5" t="s">
        <v>1741</v>
      </c>
      <c r="I2677" s="7">
        <v>1267500</v>
      </c>
      <c r="J2677" s="8">
        <v>3.7500000000000012E-2</v>
      </c>
    </row>
    <row r="2678" spans="1:10" x14ac:dyDescent="0.25">
      <c r="A2678" s="5" t="s">
        <v>1729</v>
      </c>
      <c r="B2678" s="5" t="s">
        <v>4545</v>
      </c>
      <c r="C2678" s="6" t="str">
        <f>_xll.QS.CONTEXT.CREATE("market.2676",A2678,"USD","SOFR")</f>
        <v>QSObject:PricingContext:w1~market.2676:12757</v>
      </c>
      <c r="D2678" s="6" t="str">
        <f>_xll.QS.CONTEXT.ADD.CURVE(C2678,"SOFR",$K$2:$K$7,$L$2:$L$7,,,"Actual360","LogLinear",TRUE)</f>
        <v>QSObject:ContextInput:w1~input.qs_context_add_curve.2359132437744.2677.3.0:14385</v>
      </c>
      <c r="E2678" s="6" t="str">
        <f>_xll.QS.INSTRUMENT.SWAP("swap.2676",H2678,B2678,"USD","SOFR",I2678,J2678,0,"Actual360","Simple","Annual","Annual","Annual")</f>
        <v>QSObject:Swap:w1~swap.2676:9621</v>
      </c>
      <c r="F2678" s="6" t="str">
        <f>_xll.QS.TRADE.CREATE("trade.2676",E2678,A2678,"Receive")</f>
        <v>QSObject:SwapTrade:w1~trade.2676:29156</v>
      </c>
      <c r="G2678" s="3">
        <f>_xll.QS.EVALUATE(C2678,F2678)</f>
        <v>32670.411787293684</v>
      </c>
      <c r="H2678" s="5" t="s">
        <v>1743</v>
      </c>
      <c r="I2678" s="7">
        <v>1267600</v>
      </c>
      <c r="J2678" s="8">
        <v>3.7600000000000001E-2</v>
      </c>
    </row>
    <row r="2679" spans="1:10" x14ac:dyDescent="0.25">
      <c r="A2679" s="5" t="s">
        <v>1731</v>
      </c>
      <c r="B2679" s="5" t="s">
        <v>4546</v>
      </c>
      <c r="C2679" s="6" t="str">
        <f>_xll.QS.CONTEXT.CREATE("market.2677",A2679,"USD","SOFR")</f>
        <v>QSObject:PricingContext:w1~market.2677:16073</v>
      </c>
      <c r="D2679" s="6" t="str">
        <f>_xll.QS.CONTEXT.ADD.CURVE(C2679,"SOFR",$K$2:$K$7,$L$2:$L$7,,,"Actual360","LogLinear",TRUE)</f>
        <v>QSObject:ContextInput:w1~input.qs_context_add_curve.2359132437744.2678.3.0:37726</v>
      </c>
      <c r="E2679" s="6" t="str">
        <f>_xll.QS.INSTRUMENT.SWAP("swap.2677",H2679,B2679,"USD","SOFR",I2679,J2679,0,"Actual360","Simple","Annual","Annual","Annual")</f>
        <v>QSObject:Swap:w1~swap.2677:11253</v>
      </c>
      <c r="F2679" s="6" t="str">
        <f>_xll.QS.TRADE.CREATE("trade.2677",E2679,A2679,"Receive")</f>
        <v>QSObject:SwapTrade:w1~trade.2677:17041</v>
      </c>
      <c r="G2679" s="3">
        <f>_xll.QS.EVALUATE(C2679,F2679)</f>
        <v>33312.968928102084</v>
      </c>
      <c r="H2679" s="5" t="s">
        <v>1745</v>
      </c>
      <c r="I2679" s="7">
        <v>1267700</v>
      </c>
      <c r="J2679" s="8">
        <v>3.7699999999999997E-2</v>
      </c>
    </row>
    <row r="2680" spans="1:10" x14ac:dyDescent="0.25">
      <c r="A2680" s="5" t="s">
        <v>1733</v>
      </c>
      <c r="B2680" s="5" t="s">
        <v>4547</v>
      </c>
      <c r="C2680" s="6" t="str">
        <f>_xll.QS.CONTEXT.CREATE("market.2678",A2680,"USD","SOFR")</f>
        <v>QSObject:PricingContext:w1~market.2678:1760</v>
      </c>
      <c r="D2680" s="6" t="str">
        <f>_xll.QS.CONTEXT.ADD.CURVE(C2680,"SOFR",$K$2:$K$7,$L$2:$L$7,,,"Actual360","LogLinear",TRUE)</f>
        <v>QSObject:ContextInput:w1~input.qs_context_add_curve.2359132437744.2679.3.0:4850</v>
      </c>
      <c r="E2680" s="6" t="str">
        <f>_xll.QS.INSTRUMENT.SWAP("swap.2678",H2680,B2680,"USD","SOFR",I2680,J2680,0,"Actual360","Simple","Annual","Annual","Annual")</f>
        <v>QSObject:Swap:w1~swap.2678:8024</v>
      </c>
      <c r="F2680" s="6" t="str">
        <f>_xll.QS.TRADE.CREATE("trade.2678",E2680,A2680,"Receive")</f>
        <v>QSObject:SwapTrade:w1~trade.2678:14384</v>
      </c>
      <c r="G2680" s="3">
        <f>_xll.QS.EVALUATE(C2680,F2680)</f>
        <v>33851.454804378249</v>
      </c>
      <c r="H2680" s="5" t="s">
        <v>1747</v>
      </c>
      <c r="I2680" s="7">
        <v>1267800</v>
      </c>
      <c r="J2680" s="8">
        <v>3.78E-2</v>
      </c>
    </row>
    <row r="2681" spans="1:10" x14ac:dyDescent="0.25">
      <c r="A2681" s="5" t="s">
        <v>1735</v>
      </c>
      <c r="B2681" s="5" t="s">
        <v>4548</v>
      </c>
      <c r="C2681" s="6" t="str">
        <f>_xll.QS.CONTEXT.CREATE("market.2679",A2681,"USD","SOFR")</f>
        <v>QSObject:PricingContext:w1~market.2679:9620</v>
      </c>
      <c r="D2681" s="6" t="str">
        <f>_xll.QS.CONTEXT.ADD.CURVE(C2681,"SOFR",$K$2:$K$7,$L$2:$L$7,,,"Actual360","LogLinear",TRUE)</f>
        <v>QSObject:ContextInput:w1~input.qs_context_add_curve.2359132437744.2680.3.0:29155</v>
      </c>
      <c r="E2681" s="6" t="str">
        <f>_xll.QS.INSTRUMENT.SWAP("swap.2679",H2681,B2681,"USD","SOFR",I2681,J2681,0,"Actual360","Simple","Annual","Annual","Annual")</f>
        <v>QSObject:Swap:w1~swap.2679:12756</v>
      </c>
      <c r="F2681" s="6" t="str">
        <f>_xll.QS.TRADE.CREATE("trade.2679",E2681,A2681,"Receive")</f>
        <v>QSObject:SwapTrade:w1~trade.2679:17040</v>
      </c>
      <c r="G2681" s="3">
        <f>_xll.QS.EVALUATE(C2681,F2681)</f>
        <v>34344.800694286452</v>
      </c>
      <c r="H2681" s="5" t="s">
        <v>1749</v>
      </c>
      <c r="I2681" s="7">
        <v>1267900</v>
      </c>
      <c r="J2681" s="8">
        <v>3.7900000000000003E-2</v>
      </c>
    </row>
    <row r="2682" spans="1:10" x14ac:dyDescent="0.25">
      <c r="A2682" s="5" t="s">
        <v>1737</v>
      </c>
      <c r="B2682" s="5" t="s">
        <v>4549</v>
      </c>
      <c r="C2682" s="6" t="str">
        <f>_xll.QS.CONTEXT.CREATE("market.2680",A2682,"USD","SOFR")</f>
        <v>QSObject:PricingContext:w1~market.2680:11252</v>
      </c>
      <c r="D2682" s="6" t="str">
        <f>_xll.QS.CONTEXT.ADD.CURVE(C2682,"SOFR",$K$2:$K$7,$L$2:$L$7,,,"Actual360","LogLinear",TRUE)</f>
        <v>QSObject:ContextInput:w1~input.qs_context_add_curve.2359132437744.2681.3.0:37725</v>
      </c>
      <c r="E2682" s="6" t="str">
        <f>_xll.QS.INSTRUMENT.SWAP("swap.2680",H2682,B2682,"USD","SOFR",I2682,J2682,0,"Actual360","Simple","Annual","Annual","Annual")</f>
        <v>QSObject:Swap:w1~swap.2680:16072</v>
      </c>
      <c r="F2682" s="6" t="str">
        <f>_xll.QS.TRADE.CREATE("trade.2680",E2682,A2682,"Receive")</f>
        <v>QSObject:SwapTrade:w1~trade.2680:29154</v>
      </c>
      <c r="G2682" s="3">
        <f>_xll.QS.EVALUATE(C2682,F2682)</f>
        <v>34841.802226736807</v>
      </c>
      <c r="H2682" s="5" t="s">
        <v>1751</v>
      </c>
      <c r="I2682" s="7">
        <v>1268000</v>
      </c>
      <c r="J2682" s="8">
        <v>3.8000000000000013E-2</v>
      </c>
    </row>
    <row r="2683" spans="1:10" x14ac:dyDescent="0.25">
      <c r="A2683" s="5" t="s">
        <v>1739</v>
      </c>
      <c r="B2683" s="5" t="s">
        <v>4550</v>
      </c>
      <c r="C2683" s="6" t="str">
        <f>_xll.QS.CONTEXT.CREATE("market.2681",A2683,"USD","SOFR")</f>
        <v>QSObject:PricingContext:w1~market.2681:1759</v>
      </c>
      <c r="D2683" s="6" t="str">
        <f>_xll.QS.CONTEXT.ADD.CURVE(C2683,"SOFR",$K$2:$K$7,$L$2:$L$7,,,"Actual360","LogLinear",TRUE)</f>
        <v>QSObject:ContextInput:w1~input.qs_context_add_curve.2359132437744.2682.3.0:14383</v>
      </c>
      <c r="E2683" s="6" t="str">
        <f>_xll.QS.INSTRUMENT.SWAP("swap.2681",H2683,B2683,"USD","SOFR",I2683,J2683,0,"Actual360","Simple","Annual","Annual","Annual")</f>
        <v>QSObject:Swap:w1~swap.2681:4849</v>
      </c>
      <c r="F2683" s="6" t="str">
        <f>_xll.QS.TRADE.CREATE("trade.2681",E2683,A2683,"Receive")</f>
        <v>QSObject:SwapTrade:w1~trade.2681:9619</v>
      </c>
      <c r="G2683" s="3">
        <f>_xll.QS.EVALUATE(C2683,F2683)</f>
        <v>35483.151680584262</v>
      </c>
      <c r="H2683" s="5" t="s">
        <v>1753</v>
      </c>
      <c r="I2683" s="7">
        <v>1268100</v>
      </c>
      <c r="J2683" s="8">
        <v>3.8100000000000002E-2</v>
      </c>
    </row>
    <row r="2684" spans="1:10" x14ac:dyDescent="0.25">
      <c r="A2684" s="5" t="s">
        <v>1741</v>
      </c>
      <c r="B2684" s="5" t="s">
        <v>4551</v>
      </c>
      <c r="C2684" s="6" t="str">
        <f>_xll.QS.CONTEXT.CREATE("market.2682",A2684,"USD","SOFR")</f>
        <v>QSObject:PricingContext:w1~market.2682:12755</v>
      </c>
      <c r="D2684" s="6" t="str">
        <f>_xll.QS.CONTEXT.ADD.CURVE(C2684,"SOFR",$K$2:$K$7,$L$2:$L$7,,,"Actual360","LogLinear",TRUE)</f>
        <v>QSObject:ContextInput:w1~input.qs_context_add_curve.2359132437744.2683.3.0:37724</v>
      </c>
      <c r="E2684" s="6" t="str">
        <f>_xll.QS.INSTRUMENT.SWAP("swap.2682",H2684,B2684,"USD","SOFR",I2684,J2684,0,"Actual360","Simple","Annual","Annual","Annual")</f>
        <v>QSObject:Swap:w1~swap.2682:17039</v>
      </c>
      <c r="F2684" s="6" t="str">
        <f>_xll.QS.TRADE.CREATE("trade.2682",E2684,A2684,"Receive")</f>
        <v>QSObject:SwapTrade:w1~trade.2682:29153</v>
      </c>
      <c r="G2684" s="3">
        <f>_xll.QS.EVALUATE(C2684,F2684)</f>
        <v>36101.812395577886</v>
      </c>
      <c r="H2684" s="5" t="s">
        <v>1755</v>
      </c>
      <c r="I2684" s="7">
        <v>1268200</v>
      </c>
      <c r="J2684" s="8">
        <v>3.8199999999999998E-2</v>
      </c>
    </row>
    <row r="2685" spans="1:10" x14ac:dyDescent="0.25">
      <c r="A2685" s="5" t="s">
        <v>1743</v>
      </c>
      <c r="B2685" s="5" t="s">
        <v>4552</v>
      </c>
      <c r="C2685" s="6" t="str">
        <f>_xll.QS.CONTEXT.CREATE("market.2683",A2685,"USD","SOFR")</f>
        <v>QSObject:PricingContext:w1~market.2683:8023</v>
      </c>
      <c r="D2685" s="6" t="str">
        <f>_xll.QS.CONTEXT.ADD.CURVE(C2685,"SOFR",$K$2:$K$7,$L$2:$L$7,,,"Actual360","LogLinear",TRUE)</f>
        <v>QSObject:ContextInput:w1~input.qs_context_add_curve.2359132437744.2684.3.0:16071</v>
      </c>
      <c r="E2685" s="6" t="str">
        <f>_xll.QS.INSTRUMENT.SWAP("swap.2683",H2685,B2685,"USD","SOFR",I2685,J2685,0,"Actual360","Simple","Annual","Annual","Annual")</f>
        <v>QSObject:Swap:w1~swap.2683:11251</v>
      </c>
      <c r="F2685" s="6" t="str">
        <f>_xll.QS.TRADE.CREATE("trade.2683",E2685,A2685,"Receive")</f>
        <v>QSObject:SwapTrade:w1~trade.2683:14382</v>
      </c>
      <c r="G2685" s="3">
        <f>_xll.QS.EVALUATE(C2685,F2685)</f>
        <v>36782.490442574279</v>
      </c>
      <c r="H2685" s="5" t="s">
        <v>1757</v>
      </c>
      <c r="I2685" s="7">
        <v>1268300</v>
      </c>
      <c r="J2685" s="8">
        <v>3.8300000000000001E-2</v>
      </c>
    </row>
    <row r="2686" spans="1:10" x14ac:dyDescent="0.25">
      <c r="A2686" s="5" t="s">
        <v>1745</v>
      </c>
      <c r="B2686" s="5" t="s">
        <v>4553</v>
      </c>
      <c r="C2686" s="6" t="str">
        <f>_xll.QS.CONTEXT.CREATE("market.2684",A2686,"USD","SOFR")</f>
        <v>QSObject:PricingContext:w1~market.2684:9618</v>
      </c>
      <c r="D2686" s="6" t="str">
        <f>_xll.QS.CONTEXT.ADD.CURVE(C2686,"SOFR",$K$2:$K$7,$L$2:$L$7,,,"Actual360","LogLinear",TRUE)</f>
        <v>QSObject:ContextInput:w1~input.qs_context_add_curve.2359132437744.2685.3.0:37723</v>
      </c>
      <c r="E2686" s="6" t="str">
        <f>_xll.QS.INSTRUMENT.SWAP("swap.2684",H2686,B2686,"USD","SOFR",I2686,J2686,0,"Actual360","Simple","Annual","Annual","Annual")</f>
        <v>QSObject:Swap:w1~swap.2684:1758</v>
      </c>
      <c r="F2686" s="6" t="str">
        <f>_xll.QS.TRADE.CREATE("trade.2684",E2686,A2686,"Receive")</f>
        <v>QSObject:SwapTrade:w1~trade.2684:12754</v>
      </c>
      <c r="G2686" s="3">
        <f>_xll.QS.EVALUATE(C2686,F2686)</f>
        <v>37425.770763865992</v>
      </c>
      <c r="H2686" s="5" t="s">
        <v>1759</v>
      </c>
      <c r="I2686" s="7">
        <v>1268400</v>
      </c>
      <c r="J2686" s="8">
        <v>3.8399999999999997E-2</v>
      </c>
    </row>
    <row r="2687" spans="1:10" x14ac:dyDescent="0.25">
      <c r="A2687" s="5" t="s">
        <v>1747</v>
      </c>
      <c r="B2687" s="5" t="s">
        <v>4554</v>
      </c>
      <c r="C2687" s="6" t="str">
        <f>_xll.QS.CONTEXT.CREATE("market.2685",A2687,"USD","SOFR")</f>
        <v>QSObject:PricingContext:w1~market.2685:3287</v>
      </c>
      <c r="D2687" s="6" t="str">
        <f>_xll.QS.CONTEXT.ADD.CURVE(C2687,"SOFR",$K$2:$K$7,$L$2:$L$7,,,"Actual360","LogLinear",TRUE)</f>
        <v>QSObject:ContextInput:w1~input.qs_context_add_curve.2359132437744.2686.3.0:6427</v>
      </c>
      <c r="E2687" s="6" t="str">
        <f>_xll.QS.INSTRUMENT.SWAP("swap.2685",H2687,B2687,"USD","SOFR",I2687,J2687,0,"Actual360","Simple","Annual","Annual","Annual")</f>
        <v>QSObject:Swap:w1~swap.2685:17038</v>
      </c>
      <c r="F2687" s="6" t="str">
        <f>_xll.QS.TRADE.CREATE("trade.2685",E2687,A2687,"Receive")</f>
        <v>QSObject:SwapTrade:w1~trade.2685:29152</v>
      </c>
      <c r="G2687" s="3">
        <f>_xll.QS.EVALUATE(C2687,F2687)</f>
        <v>37964.830325552619</v>
      </c>
      <c r="H2687" s="5" t="s">
        <v>1761</v>
      </c>
      <c r="I2687" s="7">
        <v>1268500</v>
      </c>
      <c r="J2687" s="8">
        <v>3.8500000000000013E-2</v>
      </c>
    </row>
    <row r="2688" spans="1:10" x14ac:dyDescent="0.25">
      <c r="A2688" s="5" t="s">
        <v>1749</v>
      </c>
      <c r="B2688" s="5" t="s">
        <v>4555</v>
      </c>
      <c r="C2688" s="6" t="str">
        <f>_xll.QS.CONTEXT.CREATE("market.2686",A2688,"USD","SOFR")</f>
        <v>QSObject:PricingContext:w1~market.2686:14381</v>
      </c>
      <c r="D2688" s="6" t="str">
        <f>_xll.QS.CONTEXT.ADD.CURVE(C2688,"SOFR",$K$2:$K$7,$L$2:$L$7,,,"Actual360","LogLinear",TRUE)</f>
        <v>QSObject:ContextInput:w1~input.qs_context_add_curve.2359132437744.2687.3.0:37722</v>
      </c>
      <c r="E2688" s="6" t="str">
        <f>_xll.QS.INSTRUMENT.SWAP("swap.2686",H2688,B2688,"USD","SOFR",I2688,J2688,0,"Actual360","Simple","Annual","Annual","Annual")</f>
        <v>QSObject:Swap:w1~swap.2686:16070</v>
      </c>
      <c r="F2688" s="6" t="str">
        <f>_xll.QS.TRADE.CREATE("trade.2686",E2688,A2688,"Receive")</f>
        <v>QSObject:SwapTrade:w1~trade.2686:29151</v>
      </c>
      <c r="G2688" s="3">
        <f>_xll.QS.EVALUATE(C2688,F2688)</f>
        <v>38453.947405491883</v>
      </c>
      <c r="H2688" s="5" t="s">
        <v>1763</v>
      </c>
      <c r="I2688" s="7">
        <v>1268600</v>
      </c>
      <c r="J2688" s="8">
        <v>3.8600000000000002E-2</v>
      </c>
    </row>
    <row r="2689" spans="1:10" x14ac:dyDescent="0.25">
      <c r="A2689" s="5" t="s">
        <v>1751</v>
      </c>
      <c r="B2689" s="5" t="s">
        <v>4556</v>
      </c>
      <c r="C2689" s="6" t="str">
        <f>_xll.QS.CONTEXT.CREATE("market.2687",A2689,"USD","SOFR")</f>
        <v>QSObject:PricingContext:w1~market.2687:1757</v>
      </c>
      <c r="D2689" s="6" t="str">
        <f>_xll.QS.CONTEXT.ADD.CURVE(C2689,"SOFR",$K$2:$K$7,$L$2:$L$7,,,"Actual360","LogLinear",TRUE)</f>
        <v>QSObject:ContextInput:w1~input.qs_context_add_curve.2359132437744.2688.3.0:12753</v>
      </c>
      <c r="E2689" s="6" t="str">
        <f>_xll.QS.INSTRUMENT.SWAP("swap.2687",H2689,B2689,"USD","SOFR",I2689,J2689,0,"Actual360","Simple","Annual","Annual","Annual")</f>
        <v>QSObject:Swap:w1~swap.2687:9617</v>
      </c>
      <c r="F2689" s="6" t="str">
        <f>_xll.QS.TRADE.CREATE("trade.2687",E2689,A2689,"Receive")</f>
        <v>QSObject:SwapTrade:w1~trade.2687:17037</v>
      </c>
      <c r="G2689" s="3">
        <f>_xll.QS.EVALUATE(C2689,F2689)</f>
        <v>38957.893334229928</v>
      </c>
      <c r="H2689" s="5" t="s">
        <v>1765</v>
      </c>
      <c r="I2689" s="7">
        <v>1268700</v>
      </c>
      <c r="J2689" s="8">
        <v>3.8700000000000012E-2</v>
      </c>
    </row>
    <row r="2690" spans="1:10" x14ac:dyDescent="0.25">
      <c r="A2690" s="5" t="s">
        <v>1753</v>
      </c>
      <c r="B2690" s="5" t="s">
        <v>4557</v>
      </c>
      <c r="C2690" s="6" t="str">
        <f>_xll.QS.CONTEXT.CREATE("market.2688",A2690,"USD","SOFR")</f>
        <v>QSObject:PricingContext:w1~market.2688:8022</v>
      </c>
      <c r="D2690" s="6" t="str">
        <f>_xll.QS.CONTEXT.ADD.CURVE(C2690,"SOFR",$K$2:$K$7,$L$2:$L$7,,,"Actual360","LogLinear",TRUE)</f>
        <v>QSObject:ContextInput:w1~input.qs_context_add_curve.2359132437744.2689.3.0:37721</v>
      </c>
      <c r="E2690" s="6" t="str">
        <f>_xll.QS.INSTRUMENT.SWAP("swap.2688",H2690,B2690,"USD","SOFR",I2690,J2690,0,"Actual360","Simple","Annual","Annual","Annual")</f>
        <v>QSObject:Swap:w1~swap.2688:3286</v>
      </c>
      <c r="F2690" s="6" t="str">
        <f>_xll.QS.TRADE.CREATE("trade.2688",E2690,A2690,"Receive")</f>
        <v>QSObject:SwapTrade:w1~trade.2688:14380</v>
      </c>
      <c r="G2690" s="3">
        <f>_xll.QS.EVALUATE(C2690,F2690)</f>
        <v>39600.315099957916</v>
      </c>
      <c r="H2690" s="5" t="s">
        <v>1767</v>
      </c>
      <c r="I2690" s="7">
        <v>1268800</v>
      </c>
      <c r="J2690" s="8">
        <v>3.8800000000000001E-2</v>
      </c>
    </row>
    <row r="2691" spans="1:10" x14ac:dyDescent="0.25">
      <c r="A2691" s="5" t="s">
        <v>1755</v>
      </c>
      <c r="B2691" s="5" t="s">
        <v>4558</v>
      </c>
      <c r="C2691" s="6" t="str">
        <f>_xll.QS.CONTEXT.CREATE("market.2689",A2691,"USD","SOFR")</f>
        <v>QSObject:PricingContext:w1~market.2689:16069</v>
      </c>
      <c r="D2691" s="6" t="str">
        <f>_xll.QS.CONTEXT.ADD.CURVE(C2691,"SOFR",$K$2:$K$7,$L$2:$L$7,,,"Actual360","LogLinear",TRUE)</f>
        <v>QSObject:ContextInput:w1~input.qs_context_add_curve.2359132437744.2690.3.0:37720</v>
      </c>
      <c r="E2691" s="6" t="str">
        <f>_xll.QS.INSTRUMENT.SWAP("swap.2689",H2691,B2691,"USD","SOFR",I2691,J2691,0,"Actual360","Simple","Annual","Annual","Annual")</f>
        <v>QSObject:Swap:w1~swap.2689:4848</v>
      </c>
      <c r="F2691" s="6" t="str">
        <f>_xll.QS.TRADE.CREATE("trade.2689",E2691,A2691,"Receive")</f>
        <v>QSObject:SwapTrade:w1~trade.2689:29150</v>
      </c>
      <c r="G2691" s="3">
        <f>_xll.QS.EVALUATE(C2691,F2691)</f>
        <v>40217.648489175517</v>
      </c>
      <c r="H2691" s="5" t="s">
        <v>1769</v>
      </c>
      <c r="I2691" s="7">
        <v>1268900</v>
      </c>
      <c r="J2691" s="8">
        <v>3.8899999999999997E-2</v>
      </c>
    </row>
    <row r="2692" spans="1:10" x14ac:dyDescent="0.25">
      <c r="A2692" s="5" t="s">
        <v>1757</v>
      </c>
      <c r="B2692" s="5" t="s">
        <v>4559</v>
      </c>
      <c r="C2692" s="6" t="str">
        <f>_xll.QS.CONTEXT.CREATE("market.2690",A2692,"USD","SOFR")</f>
        <v>QSObject:PricingContext:w1~market.2690:9616</v>
      </c>
      <c r="D2692" s="6" t="str">
        <f>_xll.QS.CONTEXT.ADD.CURVE(C2692,"SOFR",$K$2:$K$7,$L$2:$L$7,,,"Actual360","LogLinear",TRUE)</f>
        <v>QSObject:ContextInput:w1~input.qs_context_add_curve.2359132437744.2691.3.0:17036</v>
      </c>
      <c r="E2692" s="6" t="str">
        <f>_xll.QS.INSTRUMENT.SWAP("swap.2690",H2692,B2692,"USD","SOFR",I2692,J2692,0,"Actual360","Simple","Annual","Annual","Annual")</f>
        <v>QSObject:Swap:w1~swap.2690:12752</v>
      </c>
      <c r="F2692" s="6" t="str">
        <f>_xll.QS.TRADE.CREATE("trade.2690",E2692,A2692,"Receive")</f>
        <v>QSObject:SwapTrade:w1~trade.2690:29149</v>
      </c>
      <c r="G2692" s="3">
        <f>_xll.QS.EVALUATE(C2692,F2692)</f>
        <v>40899.088259052493</v>
      </c>
      <c r="H2692" s="5" t="s">
        <v>1771</v>
      </c>
      <c r="I2692" s="7">
        <v>1269000</v>
      </c>
      <c r="J2692" s="8">
        <v>3.9000000000000007E-2</v>
      </c>
    </row>
    <row r="2693" spans="1:10" x14ac:dyDescent="0.25">
      <c r="A2693" s="5" t="s">
        <v>1759</v>
      </c>
      <c r="B2693" s="5" t="s">
        <v>4560</v>
      </c>
      <c r="C2693" s="6" t="str">
        <f>_xll.QS.CONTEXT.CREATE("market.2691",A2693,"USD","SOFR")</f>
        <v>QSObject:PricingContext:w1~market.2691:3285</v>
      </c>
      <c r="D2693" s="6" t="str">
        <f>_xll.QS.CONTEXT.ADD.CURVE(C2693,"SOFR",$K$2:$K$7,$L$2:$L$7,,,"Actual360","LogLinear",TRUE)</f>
        <v>QSObject:ContextInput:w1~input.qs_context_add_curve.2359132437744.2692.3.0:6426</v>
      </c>
      <c r="E2693" s="6" t="str">
        <f>_xll.QS.INSTRUMENT.SWAP("swap.2691",H2693,B2693,"USD","SOFR",I2693,J2693,0,"Actual360","Simple","Annual","Annual","Annual")</f>
        <v>QSObject:Swap:w1~swap.2691:14379</v>
      </c>
      <c r="F2693" s="6" t="str">
        <f>_xll.QS.TRADE.CREATE("trade.2691",E2693,A2693,"Receive")</f>
        <v>QSObject:SwapTrade:w1~trade.2691:16068</v>
      </c>
      <c r="G2693" s="3">
        <f>_xll.QS.EVALUATE(C2693,F2693)</f>
        <v>41543.091812702121</v>
      </c>
      <c r="H2693" s="5" t="s">
        <v>1773</v>
      </c>
      <c r="I2693" s="7">
        <v>1269100</v>
      </c>
      <c r="J2693" s="8">
        <v>3.9100000000000003E-2</v>
      </c>
    </row>
    <row r="2694" spans="1:10" x14ac:dyDescent="0.25">
      <c r="A2694" s="5" t="s">
        <v>1761</v>
      </c>
      <c r="B2694" s="5" t="s">
        <v>4561</v>
      </c>
      <c r="C2694" s="6" t="str">
        <f>_xll.QS.CONTEXT.CREATE("market.2692",A2694,"USD","SOFR")</f>
        <v>QSObject:PricingContext:w1~market.2692:4847</v>
      </c>
      <c r="D2694" s="6" t="str">
        <f>_xll.QS.CONTEXT.ADD.CURVE(C2694,"SOFR",$K$2:$K$7,$L$2:$L$7,,,"Actual360","LogLinear",TRUE)</f>
        <v>QSObject:ContextInput:w1~input.qs_context_add_curve.2359132437744.2693.3.0:29148</v>
      </c>
      <c r="E2694" s="6" t="str">
        <f>_xll.QS.INSTRUMENT.SWAP("swap.2692",H2694,B2694,"USD","SOFR",I2694,J2694,0,"Actual360","Simple","Annual","Annual","Annual")</f>
        <v>QSObject:Swap:w1~swap.2692:11250</v>
      </c>
      <c r="F2694" s="6" t="str">
        <f>_xll.QS.TRADE.CREATE("trade.2692",E2694,A2694,"Receive")</f>
        <v>QSObject:SwapTrade:w1~trade.2692:29147</v>
      </c>
      <c r="G2694" s="3">
        <f>_xll.QS.EVALUATE(C2694,F2694)</f>
        <v>42082.605340101007</v>
      </c>
      <c r="H2694" s="5" t="s">
        <v>1775</v>
      </c>
      <c r="I2694" s="7">
        <v>1269200</v>
      </c>
      <c r="J2694" s="8">
        <v>3.9200000000000013E-2</v>
      </c>
    </row>
    <row r="2695" spans="1:10" x14ac:dyDescent="0.25">
      <c r="A2695" s="5" t="s">
        <v>1763</v>
      </c>
      <c r="B2695" s="5" t="s">
        <v>4562</v>
      </c>
      <c r="C2695" s="6" t="str">
        <f>_xll.QS.CONTEXT.CREATE("market.2693",A2695,"USD","SOFR")</f>
        <v>QSObject:PricingContext:w1~market.2693:3284</v>
      </c>
      <c r="D2695" s="6" t="str">
        <f>_xll.QS.CONTEXT.ADD.CURVE(C2695,"SOFR",$K$2:$K$7,$L$2:$L$7,,,"Actual360","LogLinear",TRUE)</f>
        <v>QSObject:ContextInput:w1~input.qs_context_add_curve.2359132437744.2694.3.0:17035</v>
      </c>
      <c r="E2695" s="6" t="str">
        <f>_xll.QS.INSTRUMENT.SWAP("swap.2693",H2695,B2695,"USD","SOFR",I2695,J2695,0,"Actual360","Simple","Annual","Annual","Annual")</f>
        <v>QSObject:Swap:w1~swap.2693:12751</v>
      </c>
      <c r="F2695" s="6" t="str">
        <f>_xll.QS.TRADE.CREATE("trade.2693",E2695,A2695,"Receive")</f>
        <v>QSObject:SwapTrade:w1~trade.2693:16067</v>
      </c>
      <c r="G2695" s="3">
        <f>_xll.QS.EVALUATE(C2695,F2695)</f>
        <v>42540.818626175489</v>
      </c>
      <c r="H2695" s="5" t="s">
        <v>1777</v>
      </c>
      <c r="I2695" s="7">
        <v>1269300</v>
      </c>
      <c r="J2695" s="8">
        <v>3.9300000000000002E-2</v>
      </c>
    </row>
    <row r="2696" spans="1:10" x14ac:dyDescent="0.25">
      <c r="A2696" s="5" t="s">
        <v>1765</v>
      </c>
      <c r="B2696" s="5" t="s">
        <v>4563</v>
      </c>
      <c r="C2696" s="6" t="str">
        <f>_xll.QS.CONTEXT.CREATE("market.2694",A2696,"USD","SOFR")</f>
        <v>QSObject:PricingContext:w1~market.2694:4846</v>
      </c>
      <c r="D2696" s="6" t="str">
        <f>_xll.QS.CONTEXT.ADD.CURVE(C2696,"SOFR",$K$2:$K$7,$L$2:$L$7,,,"Actual360","LogLinear",TRUE)</f>
        <v>QSObject:ContextInput:w1~input.qs_context_add_curve.2359132437744.2695.3.0:8021</v>
      </c>
      <c r="E2696" s="6" t="str">
        <f>_xll.QS.INSTRUMENT.SWAP("swap.2694",H2696,B2696,"USD","SOFR",I2696,J2696,0,"Actual360","Simple","Annual","Annual","Annual")</f>
        <v>QSObject:Swap:w1~swap.2694:14378</v>
      </c>
      <c r="F2696" s="6" t="str">
        <f>_xll.QS.TRADE.CREATE("trade.2694",E2696,A2696,"Receive")</f>
        <v>QSObject:SwapTrade:w1~trade.2694:29146</v>
      </c>
      <c r="G2696" s="3">
        <f>_xll.QS.EVALUATE(C2696,F2696)</f>
        <v>43024.485662608015</v>
      </c>
      <c r="H2696" s="5" t="s">
        <v>1779</v>
      </c>
      <c r="I2696" s="7">
        <v>1269400</v>
      </c>
      <c r="J2696" s="8">
        <v>3.9399999999999998E-2</v>
      </c>
    </row>
    <row r="2697" spans="1:10" x14ac:dyDescent="0.25">
      <c r="A2697" s="5" t="s">
        <v>1767</v>
      </c>
      <c r="B2697" s="5" t="s">
        <v>4564</v>
      </c>
      <c r="C2697" s="6" t="str">
        <f>_xll.QS.CONTEXT.CREATE("market.2695",A2697,"USD","SOFR")</f>
        <v>QSObject:PricingContext:w1~market.2695:3283</v>
      </c>
      <c r="D2697" s="6" t="str">
        <f>_xll.QS.CONTEXT.ADD.CURVE(C2697,"SOFR",$K$2:$K$7,$L$2:$L$7,,,"Actual360","LogLinear",TRUE)</f>
        <v>QSObject:ContextInput:w1~input.qs_context_add_curve.2359132437744.2696.3.0:11249</v>
      </c>
      <c r="E2697" s="6" t="str">
        <f>_xll.QS.INSTRUMENT.SWAP("swap.2695",H2697,B2697,"USD","SOFR",I2697,J2697,0,"Actual360","Simple","Annual","Annual","Annual")</f>
        <v>QSObject:Swap:w1~swap.2695:1756</v>
      </c>
      <c r="F2697" s="6" t="str">
        <f>_xll.QS.TRADE.CREATE("trade.2695",E2697,A2697,"Receive")</f>
        <v>QSObject:SwapTrade:w1~trade.2695:9615</v>
      </c>
      <c r="G2697" s="3">
        <f>_xll.QS.EVALUATE(C2697,F2697)</f>
        <v>43668.329431936341</v>
      </c>
      <c r="H2697" s="5" t="s">
        <v>1781</v>
      </c>
      <c r="I2697" s="7">
        <v>1269500</v>
      </c>
      <c r="J2697" s="8">
        <v>3.9500000000000007E-2</v>
      </c>
    </row>
    <row r="2698" spans="1:10" x14ac:dyDescent="0.25">
      <c r="A2698" s="5" t="s">
        <v>1769</v>
      </c>
      <c r="B2698" s="5" t="s">
        <v>4565</v>
      </c>
      <c r="C2698" s="6" t="str">
        <f>_xll.QS.CONTEXT.CREATE("market.2696",A2698,"USD","SOFR")</f>
        <v>QSObject:PricingContext:w1~market.2696:4845</v>
      </c>
      <c r="D2698" s="6" t="str">
        <f>_xll.QS.CONTEXT.ADD.CURVE(C2698,"SOFR",$K$2:$K$7,$L$2:$L$7,,,"Actual360","LogLinear",TRUE)</f>
        <v>QSObject:ContextInput:w1~input.qs_context_add_curve.2359132437744.2697.3.0:12750</v>
      </c>
      <c r="E2698" s="6" t="str">
        <f>_xll.QS.INSTRUMENT.SWAP("swap.2696",H2698,B2698,"USD","SOFR",I2698,J2698,0,"Actual360","Simple","Annual","Annual","Annual")</f>
        <v>QSObject:Swap:w1~swap.2696:17034</v>
      </c>
      <c r="F2698" s="6" t="str">
        <f>_xll.QS.TRADE.CREATE("trade.2696",E2698,A2698,"Receive")</f>
        <v>QSObject:SwapTrade:w1~trade.2696:29145</v>
      </c>
      <c r="G2698" s="3">
        <f>_xll.QS.EVALUATE(C2698,F2698)</f>
        <v>44311.930462165124</v>
      </c>
      <c r="H2698" s="5" t="s">
        <v>1783</v>
      </c>
      <c r="I2698" s="7">
        <v>1269600</v>
      </c>
      <c r="J2698" s="8">
        <v>3.9600000000000003E-2</v>
      </c>
    </row>
    <row r="2699" spans="1:10" x14ac:dyDescent="0.25">
      <c r="A2699" s="5" t="s">
        <v>1771</v>
      </c>
      <c r="B2699" s="5" t="s">
        <v>4566</v>
      </c>
      <c r="C2699" s="6" t="str">
        <f>_xll.QS.CONTEXT.CREATE("market.2697",A2699,"USD","SOFR")</f>
        <v>QSObject:PricingContext:w1~market.2697:6425</v>
      </c>
      <c r="D2699" s="6" t="str">
        <f>_xll.QS.CONTEXT.ADD.CURVE(C2699,"SOFR",$K$2:$K$7,$L$2:$L$7,,,"Actual360","LogLinear",TRUE)</f>
        <v>QSObject:ContextInput:w1~input.qs_context_add_curve.2359132437744.2698.3.0:14377</v>
      </c>
      <c r="E2699" s="6" t="str">
        <f>_xll.QS.INSTRUMENT.SWAP("swap.2697",H2699,B2699,"USD","SOFR",I2699,J2699,0,"Actual360","Simple","Annual","Annual","Annual")</f>
        <v>QSObject:Swap:w1~swap.2697:16066</v>
      </c>
      <c r="F2699" s="6" t="str">
        <f>_xll.QS.TRADE.CREATE("trade.2697",E2699,A2699,"Receive")</f>
        <v>QSObject:SwapTrade:w1~trade.2697:29144</v>
      </c>
      <c r="G2699" s="3">
        <f>_xll.QS.EVALUATE(C2699,F2699)</f>
        <v>45067.122023824886</v>
      </c>
      <c r="H2699" s="5" t="s">
        <v>1785</v>
      </c>
      <c r="I2699" s="7">
        <v>1269700</v>
      </c>
      <c r="J2699" s="8">
        <v>3.9700000000000013E-2</v>
      </c>
    </row>
    <row r="2700" spans="1:10" x14ac:dyDescent="0.25">
      <c r="A2700" s="5" t="s">
        <v>1773</v>
      </c>
      <c r="B2700" s="5" t="s">
        <v>4567</v>
      </c>
      <c r="C2700" s="6" t="str">
        <f>_xll.QS.CONTEXT.CREATE("market.2698",A2700,"USD","SOFR")</f>
        <v>QSObject:PricingContext:w1~market.2698:9614</v>
      </c>
      <c r="D2700" s="6" t="str">
        <f>_xll.QS.CONTEXT.ADD.CURVE(C2700,"SOFR",$K$2:$K$7,$L$2:$L$7,,,"Actual360","LogLinear",TRUE)</f>
        <v>QSObject:ContextInput:w1~input.qs_context_add_curve.2359132437744.2699.3.0:37719</v>
      </c>
      <c r="E2700" s="6" t="str">
        <f>_xll.QS.INSTRUMENT.SWAP("swap.2698",H2700,B2700,"USD","SOFR",I2700,J2700,0,"Actual360","Simple","Annual","Annual","Annual")</f>
        <v>QSObject:Swap:w1~swap.2698:11248</v>
      </c>
      <c r="F2700" s="6" t="str">
        <f>_xll.QS.TRADE.CREATE("trade.2698",E2700,A2700,"Receive")</f>
        <v>QSObject:SwapTrade:w1~trade.2698:29143</v>
      </c>
      <c r="G2700" s="3">
        <f>_xll.QS.EVALUATE(C2700,F2700)</f>
        <v>45668.640888040361</v>
      </c>
      <c r="H2700" s="5" t="s">
        <v>1787</v>
      </c>
      <c r="I2700" s="7">
        <v>1269800</v>
      </c>
      <c r="J2700" s="8">
        <v>3.9800000000000002E-2</v>
      </c>
    </row>
    <row r="2701" spans="1:10" x14ac:dyDescent="0.25">
      <c r="A2701" s="5" t="s">
        <v>1775</v>
      </c>
      <c r="B2701" s="5" t="s">
        <v>4568</v>
      </c>
      <c r="C2701" s="6" t="str">
        <f>_xll.QS.CONTEXT.CREATE("market.2699",A2701,"USD","SOFR")</f>
        <v>QSObject:PricingContext:w1~market.2699:14376</v>
      </c>
      <c r="D2701" s="6" t="str">
        <f>_xll.QS.CONTEXT.ADD.CURVE(C2701,"SOFR",$K$2:$K$7,$L$2:$L$7,,,"Actual360","LogLinear",TRUE)</f>
        <v>QSObject:ContextInput:w1~input.qs_context_add_curve.2359132437744.2700.3.0:29142</v>
      </c>
      <c r="E2701" s="6" t="str">
        <f>_xll.QS.INSTRUMENT.SWAP("swap.2699",H2701,B2701,"USD","SOFR",I2701,J2701,0,"Actual360","Simple","Annual","Annual","Annual")</f>
        <v>QSObject:Swap:w1~swap.2699:8020</v>
      </c>
      <c r="F2701" s="6" t="str">
        <f>_xll.QS.TRADE.CREATE("trade.2699",E2701,A2701,"Receive")</f>
        <v>QSObject:SwapTrade:w1~trade.2699:16065</v>
      </c>
      <c r="G2701" s="3">
        <f>_xll.QS.EVALUATE(C2701,F2701)</f>
        <v>46256.440432699543</v>
      </c>
      <c r="H2701" s="5" t="s">
        <v>1789</v>
      </c>
      <c r="I2701" s="7">
        <v>1269900</v>
      </c>
      <c r="J2701" s="8">
        <v>3.9899999999999998E-2</v>
      </c>
    </row>
    <row r="2702" spans="1:10" x14ac:dyDescent="0.25">
      <c r="A2702" s="5" t="s">
        <v>1777</v>
      </c>
      <c r="B2702" s="5" t="s">
        <v>4569</v>
      </c>
      <c r="C2702" s="6" t="str">
        <f>_xll.QS.CONTEXT.CREATE("market.2700",A2702,"USD","SOFR")</f>
        <v>QSObject:PricingContext:w1~market.2700:9613</v>
      </c>
      <c r="D2702" s="6" t="str">
        <f>_xll.QS.CONTEXT.ADD.CURVE(C2702,"SOFR",$K$2:$K$7,$L$2:$L$7,,,"Actual360","LogLinear",TRUE)</f>
        <v>QSObject:ContextInput:w1~input.qs_context_add_curve.2359132437744.2701.3.0:29141</v>
      </c>
      <c r="E2702" s="6" t="str">
        <f>_xll.QS.INSTRUMENT.SWAP("swap.2700",H2702,B2702,"USD","SOFR",I2702,J2702,0,"Actual360","Simple","Annual","Annual","Annual")</f>
        <v>QSObject:Swap:w1~swap.2700:17033</v>
      </c>
      <c r="F2702" s="6" t="str">
        <f>_xll.QS.TRADE.CREATE("trade.2700",E2702,A2702,"Receive")</f>
        <v>QSObject:SwapTrade:w1~trade.2700:29140</v>
      </c>
      <c r="G2702" s="3">
        <f>_xll.QS.EVALUATE(C2702,F2702)</f>
        <v>17524.876508656787</v>
      </c>
      <c r="H2702" s="5" t="s">
        <v>1791</v>
      </c>
      <c r="I2702" s="7">
        <v>1270000</v>
      </c>
      <c r="J2702" s="8">
        <v>3.5000000000000003E-2</v>
      </c>
    </row>
    <row r="2703" spans="1:10" x14ac:dyDescent="0.25">
      <c r="A2703" s="5" t="s">
        <v>1779</v>
      </c>
      <c r="B2703" s="5" t="s">
        <v>4570</v>
      </c>
      <c r="C2703" s="6" t="str">
        <f>_xll.QS.CONTEXT.CREATE("market.2701",A2703,"USD","SOFR")</f>
        <v>QSObject:PricingContext:w1~market.2701:4844</v>
      </c>
      <c r="D2703" s="6" t="str">
        <f>_xll.QS.CONTEXT.ADD.CURVE(C2703,"SOFR",$K$2:$K$7,$L$2:$L$7,,,"Actual360","LogLinear",TRUE)</f>
        <v>QSObject:ContextInput:w1~input.qs_context_add_curve.2359132437744.2702.3.0:29139</v>
      </c>
      <c r="E2703" s="6" t="str">
        <f>_xll.QS.INSTRUMENT.SWAP("swap.2701",H2703,B2703,"USD","SOFR",I2703,J2703,0,"Actual360","Simple","Annual","Annual","Annual")</f>
        <v>QSObject:Swap:w1~swap.2701:1755</v>
      </c>
      <c r="F2703" s="6" t="str">
        <f>_xll.QS.TRADE.CREATE("trade.2701",E2703,A2703,"Receive")</f>
        <v>QSObject:SwapTrade:w1~trade.2701:14375</v>
      </c>
      <c r="G2703" s="3">
        <f>_xll.QS.EVALUATE(C2703,F2703)</f>
        <v>17958.917386146524</v>
      </c>
      <c r="H2703" s="5" t="s">
        <v>1793</v>
      </c>
      <c r="I2703" s="7">
        <v>1270100</v>
      </c>
      <c r="J2703" s="8">
        <v>3.5100000000000013E-2</v>
      </c>
    </row>
    <row r="2704" spans="1:10" x14ac:dyDescent="0.25">
      <c r="A2704" s="5" t="s">
        <v>1781</v>
      </c>
      <c r="B2704" s="5" t="s">
        <v>4571</v>
      </c>
      <c r="C2704" s="6" t="str">
        <f>_xll.QS.CONTEXT.CREATE("market.2702",A2704,"USD","SOFR")</f>
        <v>QSObject:PricingContext:w1~market.2702:16064</v>
      </c>
      <c r="D2704" s="6" t="str">
        <f>_xll.QS.CONTEXT.ADD.CURVE(C2704,"SOFR",$K$2:$K$7,$L$2:$L$7,,,"Actual360","LogLinear",TRUE)</f>
        <v>QSObject:ContextInput:w1~input.qs_context_add_curve.2359132437744.2703.3.0:37718</v>
      </c>
      <c r="E2704" s="6" t="str">
        <f>_xll.QS.INSTRUMENT.SWAP("swap.2702",H2704,B2704,"USD","SOFR",I2704,J2704,0,"Actual360","Simple","Annual","Annual","Annual")</f>
        <v>QSObject:Swap:w1~swap.2702:8019</v>
      </c>
      <c r="F2704" s="6" t="str">
        <f>_xll.QS.TRADE.CREATE("trade.2702",E2704,A2704,"Receive")</f>
        <v>QSObject:SwapTrade:w1~trade.2702:9612</v>
      </c>
      <c r="G2704" s="3">
        <f>_xll.QS.EVALUATE(C2704,F2704)</f>
        <v>18547.455148251182</v>
      </c>
      <c r="H2704" s="5" t="s">
        <v>1795</v>
      </c>
      <c r="I2704" s="7">
        <v>1270200</v>
      </c>
      <c r="J2704" s="8">
        <v>3.5200000000000002E-2</v>
      </c>
    </row>
    <row r="2705" spans="1:10" x14ac:dyDescent="0.25">
      <c r="A2705" s="5" t="s">
        <v>1783</v>
      </c>
      <c r="B2705" s="5" t="s">
        <v>4572</v>
      </c>
      <c r="C2705" s="6" t="str">
        <f>_xll.QS.CONTEXT.CREATE("market.2703",A2705,"USD","SOFR")</f>
        <v>QSObject:PricingContext:w1~market.2703:4843</v>
      </c>
      <c r="D2705" s="6" t="str">
        <f>_xll.QS.CONTEXT.ADD.CURVE(C2705,"SOFR",$K$2:$K$7,$L$2:$L$7,,,"Actual360","LogLinear",TRUE)</f>
        <v>QSObject:ContextInput:w1~input.qs_context_add_curve.2359132437744.2704.3.0:17032</v>
      </c>
      <c r="E2705" s="6" t="str">
        <f>_xll.QS.INSTRUMENT.SWAP("swap.2703",H2705,B2705,"USD","SOFR",I2705,J2705,0,"Actual360","Simple","Annual","Annual","Annual")</f>
        <v>QSObject:Swap:w1~swap.2703:6424</v>
      </c>
      <c r="F2705" s="6" t="str">
        <f>_xll.QS.TRADE.CREATE("trade.2703",E2705,A2705,"Receive")</f>
        <v>QSObject:SwapTrade:w1~trade.2703:29138</v>
      </c>
      <c r="G2705" s="3">
        <f>_xll.QS.EVALUATE(C2705,F2705)</f>
        <v>19173.280786122428</v>
      </c>
      <c r="H2705" s="5" t="s">
        <v>1797</v>
      </c>
      <c r="I2705" s="7">
        <v>1270300</v>
      </c>
      <c r="J2705" s="8">
        <v>3.5299999999999998E-2</v>
      </c>
    </row>
    <row r="2706" spans="1:10" x14ac:dyDescent="0.25">
      <c r="A2706" s="5" t="s">
        <v>1785</v>
      </c>
      <c r="B2706" s="5" t="s">
        <v>4573</v>
      </c>
      <c r="C2706" s="6" t="str">
        <f>_xll.QS.CONTEXT.CREATE("market.2704",A2706,"USD","SOFR")</f>
        <v>QSObject:PricingContext:w1~market.2704:14374</v>
      </c>
      <c r="D2706" s="6" t="str">
        <f>_xll.QS.CONTEXT.ADD.CURVE(C2706,"SOFR",$K$2:$K$7,$L$2:$L$7,,,"Actual360","LogLinear",TRUE)</f>
        <v>QSObject:ContextInput:w1~input.qs_context_add_curve.2359132437744.2705.3.0:37717</v>
      </c>
      <c r="E2706" s="6" t="str">
        <f>_xll.QS.INSTRUMENT.SWAP("swap.2704",H2706,B2706,"USD","SOFR",I2706,J2706,0,"Actual360","Simple","Annual","Annual","Annual")</f>
        <v>QSObject:Swap:w1~swap.2704:11247</v>
      </c>
      <c r="F2706" s="6" t="str">
        <f>_xll.QS.TRADE.CREATE("trade.2704",E2706,A2706,"Receive")</f>
        <v>QSObject:SwapTrade:w1~trade.2704:29137</v>
      </c>
      <c r="G2706" s="3">
        <f>_xll.QS.EVALUATE(C2706,F2706)</f>
        <v>19902.425058107692</v>
      </c>
      <c r="H2706" s="5" t="s">
        <v>1799</v>
      </c>
      <c r="I2706" s="7">
        <v>1270400</v>
      </c>
      <c r="J2706" s="8">
        <v>3.5400000000000001E-2</v>
      </c>
    </row>
    <row r="2707" spans="1:10" x14ac:dyDescent="0.25">
      <c r="A2707" s="5" t="s">
        <v>1787</v>
      </c>
      <c r="B2707" s="5" t="s">
        <v>4574</v>
      </c>
      <c r="C2707" s="6" t="str">
        <f>_xll.QS.CONTEXT.CREATE("market.2705",A2707,"USD","SOFR")</f>
        <v>QSObject:PricingContext:w1~market.2705:9611</v>
      </c>
      <c r="D2707" s="6" t="str">
        <f>_xll.QS.CONTEXT.ADD.CURVE(C2707,"SOFR",$K$2:$K$7,$L$2:$L$7,,,"Actual360","LogLinear",TRUE)</f>
        <v>QSObject:ContextInput:w1~input.qs_context_add_curve.2359132437744.2706.3.0:12749</v>
      </c>
      <c r="E2707" s="6" t="str">
        <f>_xll.QS.INSTRUMENT.SWAP("swap.2705",H2707,B2707,"USD","SOFR",I2707,J2707,0,"Actual360","Simple","Annual","Annual","Annual")</f>
        <v>QSObject:Swap:w1~swap.2705:16063</v>
      </c>
      <c r="F2707" s="6" t="str">
        <f>_xll.QS.TRADE.CREATE("trade.2705",E2707,A2707,"Receive")</f>
        <v>QSObject:SwapTrade:w1~trade.2705:29136</v>
      </c>
      <c r="G2707" s="3">
        <f>_xll.QS.EVALUATE(C2707,F2707)</f>
        <v>20497.106813648083</v>
      </c>
      <c r="H2707" s="5" t="s">
        <v>1801</v>
      </c>
      <c r="I2707" s="7">
        <v>1270500</v>
      </c>
      <c r="J2707" s="8">
        <v>3.5499999999999997E-2</v>
      </c>
    </row>
    <row r="2708" spans="1:10" x14ac:dyDescent="0.25">
      <c r="A2708" s="5" t="s">
        <v>1789</v>
      </c>
      <c r="B2708" s="5" t="s">
        <v>4575</v>
      </c>
      <c r="C2708" s="6" t="str">
        <f>_xll.QS.CONTEXT.CREATE("market.2706",A2708,"USD","SOFR")</f>
        <v>QSObject:PricingContext:w1~market.2706:1754</v>
      </c>
      <c r="D2708" s="6" t="str">
        <f>_xll.QS.CONTEXT.ADD.CURVE(C2708,"SOFR",$K$2:$K$7,$L$2:$L$7,,,"Actual360","LogLinear",TRUE)</f>
        <v>QSObject:ContextInput:w1~input.qs_context_add_curve.2359132437744.2707.3.0:17031</v>
      </c>
      <c r="E2708" s="6" t="str">
        <f>_xll.QS.INSTRUMENT.SWAP("swap.2706",H2708,B2708,"USD","SOFR",I2708,J2708,0,"Actual360","Simple","Annual","Annual","Annual")</f>
        <v>QSObject:Swap:w1~swap.2706:4842</v>
      </c>
      <c r="F2708" s="6" t="str">
        <f>_xll.QS.TRADE.CREATE("trade.2706",E2708,A2708,"Receive")</f>
        <v>QSObject:SwapTrade:w1~trade.2706:29135</v>
      </c>
      <c r="G2708" s="3">
        <f>_xll.QS.EVALUATE(C2708,F2708)</f>
        <v>21035.903250938936</v>
      </c>
      <c r="H2708" s="5" t="s">
        <v>1803</v>
      </c>
      <c r="I2708" s="7">
        <v>1270600</v>
      </c>
      <c r="J2708" s="8">
        <v>3.5600000000000007E-2</v>
      </c>
    </row>
    <row r="2709" spans="1:10" x14ac:dyDescent="0.25">
      <c r="A2709" s="5" t="s">
        <v>1791</v>
      </c>
      <c r="B2709" s="5" t="s">
        <v>4576</v>
      </c>
      <c r="C2709" s="6" t="str">
        <f>_xll.QS.CONTEXT.CREATE("market.2707",A2709,"USD","SOFR")</f>
        <v>QSObject:PricingContext:w1~market.2707:8018</v>
      </c>
      <c r="D2709" s="6" t="str">
        <f>_xll.QS.CONTEXT.ADD.CURVE(C2709,"SOFR",$K$2:$K$7,$L$2:$L$7,,,"Actual360","LogLinear",TRUE)</f>
        <v>QSObject:ContextInput:w1~input.qs_context_add_curve.2359132437744.2708.3.0:11246</v>
      </c>
      <c r="E2709" s="6" t="str">
        <f>_xll.QS.INSTRUMENT.SWAP("swap.2707",H2709,B2709,"USD","SOFR",I2709,J2709,0,"Actual360","Simple","Annual","Annual","Annual")</f>
        <v>QSObject:Swap:w1~swap.2707:14373</v>
      </c>
      <c r="F2709" s="6" t="str">
        <f>_xll.QS.TRADE.CREATE("trade.2707",E2709,A2709,"Receive")</f>
        <v>QSObject:SwapTrade:w1~trade.2707:29134</v>
      </c>
      <c r="G2709" s="3">
        <f>_xll.QS.EVALUATE(C2709,F2709)</f>
        <v>21544.499770033239</v>
      </c>
      <c r="H2709" s="5" t="s">
        <v>1805</v>
      </c>
      <c r="I2709" s="7">
        <v>1270700</v>
      </c>
      <c r="J2709" s="8">
        <v>3.5700000000000003E-2</v>
      </c>
    </row>
    <row r="2710" spans="1:10" x14ac:dyDescent="0.25">
      <c r="A2710" s="5" t="s">
        <v>1793</v>
      </c>
      <c r="B2710" s="5" t="s">
        <v>4577</v>
      </c>
      <c r="C2710" s="6" t="str">
        <f>_xll.QS.CONTEXT.CREATE("market.2708",A2710,"USD","SOFR")</f>
        <v>QSObject:PricingContext:w1~market.2708:17030</v>
      </c>
      <c r="D2710" s="6" t="str">
        <f>_xll.QS.CONTEXT.ADD.CURVE(C2710,"SOFR",$K$2:$K$7,$L$2:$L$7,,,"Actual360","LogLinear",TRUE)</f>
        <v>QSObject:ContextInput:w1~input.qs_context_add_curve.2359132437744.2709.3.0:37716</v>
      </c>
      <c r="E2710" s="6" t="str">
        <f>_xll.QS.INSTRUMENT.SWAP("swap.2708",H2710,B2710,"USD","SOFR",I2710,J2710,0,"Actual360","Simple","Annual","Annual","Annual")</f>
        <v>QSObject:Swap:w1~swap.2708:12748</v>
      </c>
      <c r="F2710" s="6" t="str">
        <f>_xll.QS.TRADE.CREATE("trade.2708",E2710,A2710,"Receive")</f>
        <v>QSObject:SwapTrade:w1~trade.2708:29133</v>
      </c>
      <c r="G2710" s="3">
        <f>_xll.QS.EVALUATE(C2710,F2710)</f>
        <v>22021.592131709956</v>
      </c>
      <c r="H2710" s="5" t="s">
        <v>1807</v>
      </c>
      <c r="I2710" s="7">
        <v>1270800</v>
      </c>
      <c r="J2710" s="8">
        <v>3.5800000000000012E-2</v>
      </c>
    </row>
    <row r="2711" spans="1:10" x14ac:dyDescent="0.25">
      <c r="A2711" s="5" t="s">
        <v>1795</v>
      </c>
      <c r="B2711" s="5" t="s">
        <v>4578</v>
      </c>
      <c r="C2711" s="6" t="str">
        <f>_xll.QS.CONTEXT.CREATE("market.2709",A2711,"USD","SOFR")</f>
        <v>QSObject:PricingContext:w1~market.2709:3282</v>
      </c>
      <c r="D2711" s="6" t="str">
        <f>_xll.QS.CONTEXT.ADD.CURVE(C2711,"SOFR",$K$2:$K$7,$L$2:$L$7,,,"Actual360","LogLinear",TRUE)</f>
        <v>QSObject:ContextInput:w1~input.qs_context_add_curve.2359132437744.2710.3.0:37715</v>
      </c>
      <c r="E2711" s="6" t="str">
        <f>_xll.QS.INSTRUMENT.SWAP("swap.2709",H2711,B2711,"USD","SOFR",I2711,J2711,0,"Actual360","Simple","Annual","Annual","Annual")</f>
        <v>QSObject:Swap:w1~swap.2709:6423</v>
      </c>
      <c r="F2711" s="6" t="str">
        <f>_xll.QS.TRADE.CREATE("trade.2709",E2711,A2711,"Receive")</f>
        <v>QSObject:SwapTrade:w1~trade.2709:8017</v>
      </c>
      <c r="G2711" s="3">
        <f>_xll.QS.EVALUATE(C2711,F2711)</f>
        <v>22662.087344859763</v>
      </c>
      <c r="H2711" s="5" t="s">
        <v>1809</v>
      </c>
      <c r="I2711" s="7">
        <v>1270900</v>
      </c>
      <c r="J2711" s="8">
        <v>3.5900000000000001E-2</v>
      </c>
    </row>
    <row r="2712" spans="1:10" x14ac:dyDescent="0.25">
      <c r="A2712" s="5" t="s">
        <v>1797</v>
      </c>
      <c r="B2712" s="5" t="s">
        <v>4579</v>
      </c>
      <c r="C2712" s="6" t="str">
        <f>_xll.QS.CONTEXT.CREATE("market.2710",A2712,"USD","SOFR")</f>
        <v>QSObject:PricingContext:w1~market.2710:14372</v>
      </c>
      <c r="D2712" s="6" t="str">
        <f>_xll.QS.CONTEXT.ADD.CURVE(C2712,"SOFR",$K$2:$K$7,$L$2:$L$7,,,"Actual360","LogLinear",TRUE)</f>
        <v>QSObject:ContextInput:w1~input.qs_context_add_curve.2359132437744.2711.3.0:17029</v>
      </c>
      <c r="E2712" s="6" t="str">
        <f>_xll.QS.INSTRUMENT.SWAP("swap.2710",H2712,B2712,"USD","SOFR",I2712,J2712,0,"Actual360","Simple","Annual","Annual","Annual")</f>
        <v>QSObject:Swap:w1~swap.2710:11245</v>
      </c>
      <c r="F2712" s="6" t="str">
        <f>_xll.QS.TRADE.CREATE("trade.2710",E2712,A2712,"Receive")</f>
        <v>QSObject:SwapTrade:w1~trade.2710:16062</v>
      </c>
      <c r="G2712" s="3">
        <f>_xll.QS.EVALUATE(C2712,F2712)</f>
        <v>23287.358104155064</v>
      </c>
      <c r="H2712" s="5" t="s">
        <v>1811</v>
      </c>
      <c r="I2712" s="7">
        <v>1271000</v>
      </c>
      <c r="J2712" s="8">
        <v>3.5999999999999997E-2</v>
      </c>
    </row>
    <row r="2713" spans="1:10" x14ac:dyDescent="0.25">
      <c r="A2713" s="5" t="s">
        <v>1799</v>
      </c>
      <c r="B2713" s="5" t="s">
        <v>4580</v>
      </c>
      <c r="C2713" s="6" t="str">
        <f>_xll.QS.CONTEXT.CREATE("market.2711",A2713,"USD","SOFR")</f>
        <v>QSObject:PricingContext:w1~market.2711:3281</v>
      </c>
      <c r="D2713" s="6" t="str">
        <f>_xll.QS.CONTEXT.ADD.CURVE(C2713,"SOFR",$K$2:$K$7,$L$2:$L$7,,,"Actual360","LogLinear",TRUE)</f>
        <v>QSObject:ContextInput:w1~input.qs_context_add_curve.2359132437744.2712.3.0:9610</v>
      </c>
      <c r="E2713" s="6" t="str">
        <f>_xll.QS.INSTRUMENT.SWAP("swap.2711",H2713,B2713,"USD","SOFR",I2713,J2713,0,"Actual360","Simple","Annual","Annual","Annual")</f>
        <v>QSObject:Swap:w1~swap.2711:12747</v>
      </c>
      <c r="F2713" s="6" t="str">
        <f>_xll.QS.TRADE.CREATE("trade.2711",E2713,A2713,"Receive")</f>
        <v>QSObject:SwapTrade:w1~trade.2711:29132</v>
      </c>
      <c r="G2713" s="3">
        <f>_xll.QS.EVALUATE(C2713,F2713)</f>
        <v>23968.31403214686</v>
      </c>
      <c r="H2713" s="5" t="s">
        <v>1813</v>
      </c>
      <c r="I2713" s="7">
        <v>1271100</v>
      </c>
      <c r="J2713" s="8">
        <v>3.61E-2</v>
      </c>
    </row>
    <row r="2714" spans="1:10" x14ac:dyDescent="0.25">
      <c r="A2714" s="5" t="s">
        <v>1801</v>
      </c>
      <c r="B2714" s="5" t="s">
        <v>4581</v>
      </c>
      <c r="C2714" s="6" t="str">
        <f>_xll.QS.CONTEXT.CREATE("market.2712",A2714,"USD","SOFR")</f>
        <v>QSObject:PricingContext:w1~market.2712:1753</v>
      </c>
      <c r="D2714" s="6" t="str">
        <f>_xll.QS.CONTEXT.ADD.CURVE(C2714,"SOFR",$K$2:$K$7,$L$2:$L$7,,,"Actual360","LogLinear",TRUE)</f>
        <v>QSObject:ContextInput:w1~input.qs_context_add_curve.2359132437744.2713.3.0:8016</v>
      </c>
      <c r="E2714" s="6" t="str">
        <f>_xll.QS.INSTRUMENT.SWAP("swap.2712",H2714,B2714,"USD","SOFR",I2714,J2714,0,"Actual360","Simple","Annual","Annual","Annual")</f>
        <v>QSObject:Swap:w1~swap.2712:6422</v>
      </c>
      <c r="F2714" s="6" t="str">
        <f>_xll.QS.TRADE.CREATE("trade.2712",E2714,A2714,"Receive")</f>
        <v>QSObject:SwapTrade:w1~trade.2712:14371</v>
      </c>
      <c r="G2714" s="3">
        <f>_xll.QS.EVALUATE(C2714,F2714)</f>
        <v>24611.845455014336</v>
      </c>
      <c r="H2714" s="5" t="s">
        <v>1815</v>
      </c>
      <c r="I2714" s="7">
        <v>1271200</v>
      </c>
      <c r="J2714" s="8">
        <v>3.6200000000000003E-2</v>
      </c>
    </row>
    <row r="2715" spans="1:10" x14ac:dyDescent="0.25">
      <c r="A2715" s="5" t="s">
        <v>1803</v>
      </c>
      <c r="B2715" s="5" t="s">
        <v>4582</v>
      </c>
      <c r="C2715" s="6" t="str">
        <f>_xll.QS.CONTEXT.CREATE("market.2713",A2715,"USD","SOFR")</f>
        <v>QSObject:PricingContext:w1~market.2713:3280</v>
      </c>
      <c r="D2715" s="6" t="str">
        <f>_xll.QS.CONTEXT.ADD.CURVE(C2715,"SOFR",$K$2:$K$7,$L$2:$L$7,,,"Actual360","LogLinear",TRUE)</f>
        <v>QSObject:ContextInput:w1~input.qs_context_add_curve.2359132437744.2714.3.0:11244</v>
      </c>
      <c r="E2715" s="6" t="str">
        <f>_xll.QS.INSTRUMENT.SWAP("swap.2713",H2715,B2715,"USD","SOFR",I2715,J2715,0,"Actual360","Simple","Annual","Annual","Annual")</f>
        <v>QSObject:Swap:w1~swap.2713:17028</v>
      </c>
      <c r="F2715" s="6" t="str">
        <f>_xll.QS.TRADE.CREATE("trade.2713",E2715,A2715,"Receive")</f>
        <v>QSObject:SwapTrade:w1~trade.2713:29131</v>
      </c>
      <c r="G2715" s="3">
        <f>_xll.QS.EVALUATE(C2715,F2715)</f>
        <v>25151.214845846713</v>
      </c>
      <c r="H2715" s="5" t="s">
        <v>1817</v>
      </c>
      <c r="I2715" s="7">
        <v>1271300</v>
      </c>
      <c r="J2715" s="8">
        <v>3.6300000000000013E-2</v>
      </c>
    </row>
    <row r="2716" spans="1:10" x14ac:dyDescent="0.25">
      <c r="A2716" s="5" t="s">
        <v>1805</v>
      </c>
      <c r="B2716" s="5" t="s">
        <v>4583</v>
      </c>
      <c r="C2716" s="6" t="str">
        <f>_xll.QS.CONTEXT.CREATE("market.2714",A2716,"USD","SOFR")</f>
        <v>QSObject:PricingContext:w1~market.2714:4841</v>
      </c>
      <c r="D2716" s="6" t="str">
        <f>_xll.QS.CONTEXT.ADD.CURVE(C2716,"SOFR",$K$2:$K$7,$L$2:$L$7,,,"Actual360","LogLinear",TRUE)</f>
        <v>QSObject:ContextInput:w1~input.qs_context_add_curve.2359132437744.2715.3.0:16061</v>
      </c>
      <c r="E2716" s="6" t="str">
        <f>_xll.QS.INSTRUMENT.SWAP("swap.2714",H2716,B2716,"USD","SOFR",I2716,J2716,0,"Actual360","Simple","Annual","Annual","Annual")</f>
        <v>QSObject:Swap:w1~swap.2714:12746</v>
      </c>
      <c r="F2716" s="6" t="str">
        <f>_xll.QS.TRADE.CREATE("trade.2714",E2716,A2716,"Receive")</f>
        <v>QSObject:SwapTrade:w1~trade.2714:29130</v>
      </c>
      <c r="G2716" s="3">
        <f>_xll.QS.EVALUATE(C2716,F2716)</f>
        <v>25655.579563328349</v>
      </c>
      <c r="H2716" s="5" t="s">
        <v>1819</v>
      </c>
      <c r="I2716" s="7">
        <v>1271400</v>
      </c>
      <c r="J2716" s="8">
        <v>3.6400000000000002E-2</v>
      </c>
    </row>
    <row r="2717" spans="1:10" x14ac:dyDescent="0.25">
      <c r="A2717" s="5" t="s">
        <v>1807</v>
      </c>
      <c r="B2717" s="5" t="s">
        <v>4584</v>
      </c>
      <c r="C2717" s="6" t="str">
        <f>_xll.QS.CONTEXT.CREATE("market.2715",A2717,"USD","SOFR")</f>
        <v>QSObject:PricingContext:w1~market.2715:14370</v>
      </c>
      <c r="D2717" s="6" t="str">
        <f>_xll.QS.CONTEXT.ADD.CURVE(C2717,"SOFR",$K$2:$K$7,$L$2:$L$7,,,"Actual360","LogLinear",TRUE)</f>
        <v>QSObject:ContextInput:w1~input.qs_context_add_curve.2359132437744.2716.3.0:37714</v>
      </c>
      <c r="E2717" s="6" t="str">
        <f>_xll.QS.INSTRUMENT.SWAP("swap.2715",H2717,B2717,"USD","SOFR",I2717,J2717,0,"Actual360","Simple","Annual","Annual","Annual")</f>
        <v>QSObject:Swap:w1~swap.2715:6421</v>
      </c>
      <c r="F2717" s="6" t="str">
        <f>_xll.QS.TRADE.CREATE("trade.2715",E2717,A2717,"Receive")</f>
        <v>QSObject:SwapTrade:w1~trade.2715:29129</v>
      </c>
      <c r="G2717" s="3">
        <f>_xll.QS.EVALUATE(C2717,F2717)</f>
        <v>26139.617191639394</v>
      </c>
      <c r="H2717" s="5" t="s">
        <v>1821</v>
      </c>
      <c r="I2717" s="7">
        <v>1271500</v>
      </c>
      <c r="J2717" s="8">
        <v>3.6499999999999998E-2</v>
      </c>
    </row>
    <row r="2718" spans="1:10" x14ac:dyDescent="0.25">
      <c r="A2718" s="5" t="s">
        <v>1809</v>
      </c>
      <c r="B2718" s="5" t="s">
        <v>4585</v>
      </c>
      <c r="C2718" s="6" t="str">
        <f>_xll.QS.CONTEXT.CREATE("market.2716",A2718,"USD","SOFR")</f>
        <v>QSObject:PricingContext:w1~market.2716:4840</v>
      </c>
      <c r="D2718" s="6" t="str">
        <f>_xll.QS.CONTEXT.ADD.CURVE(C2718,"SOFR",$K$2:$K$7,$L$2:$L$7,,,"Actual360","LogLinear",TRUE)</f>
        <v>QSObject:ContextInput:w1~input.qs_context_add_curve.2359132437744.2717.3.0:11243</v>
      </c>
      <c r="E2718" s="6" t="str">
        <f>_xll.QS.INSTRUMENT.SWAP("swap.2716",H2718,B2718,"USD","SOFR",I2718,J2718,0,"Actual360","Simple","Annual","Annual","Annual")</f>
        <v>QSObject:Swap:w1~swap.2716:17027</v>
      </c>
      <c r="F2718" s="6" t="str">
        <f>_xll.QS.TRADE.CREATE("trade.2716",E2718,A2718,"Receive")</f>
        <v>QSObject:SwapTrade:w1~trade.2716:29128</v>
      </c>
      <c r="G2718" s="3">
        <f>_xll.QS.EVALUATE(C2718,F2718)</f>
        <v>26781.195258803869</v>
      </c>
      <c r="H2718" s="5" t="s">
        <v>1823</v>
      </c>
      <c r="I2718" s="7">
        <v>1271600</v>
      </c>
      <c r="J2718" s="8">
        <v>3.6600000000000001E-2</v>
      </c>
    </row>
    <row r="2719" spans="1:10" x14ac:dyDescent="0.25">
      <c r="A2719" s="5" t="s">
        <v>1811</v>
      </c>
      <c r="B2719" s="5" t="s">
        <v>4586</v>
      </c>
      <c r="C2719" s="6" t="str">
        <f>_xll.QS.CONTEXT.CREATE("market.2717",A2719,"USD","SOFR")</f>
        <v>QSObject:PricingContext:w1~market.2717:8015</v>
      </c>
      <c r="D2719" s="6" t="str">
        <f>_xll.QS.CONTEXT.ADD.CURVE(C2719,"SOFR",$K$2:$K$7,$L$2:$L$7,,,"Actual360","LogLinear",TRUE)</f>
        <v>QSObject:ContextInput:w1~input.qs_context_add_curve.2359132437744.2718.3.0:16060</v>
      </c>
      <c r="E2719" s="6" t="str">
        <f>_xll.QS.INSTRUMENT.SWAP("swap.2717",H2719,B2719,"USD","SOFR",I2719,J2719,0,"Actual360","Simple","Annual","Annual","Annual")</f>
        <v>QSObject:Swap:w1~swap.2717:12745</v>
      </c>
      <c r="F2719" s="6" t="str">
        <f>_xll.QS.TRADE.CREATE("trade.2717",E2719,A2719,"Receive")</f>
        <v>QSObject:SwapTrade:w1~trade.2717:29127</v>
      </c>
      <c r="G2719" s="3">
        <f>_xll.QS.EVALUATE(C2719,F2719)</f>
        <v>27405.130950474158</v>
      </c>
      <c r="H2719" s="5" t="s">
        <v>1825</v>
      </c>
      <c r="I2719" s="7">
        <v>1271700</v>
      </c>
      <c r="J2719" s="8">
        <v>3.6700000000000003E-2</v>
      </c>
    </row>
    <row r="2720" spans="1:10" x14ac:dyDescent="0.25">
      <c r="A2720" s="5" t="s">
        <v>1813</v>
      </c>
      <c r="B2720" s="5" t="s">
        <v>4587</v>
      </c>
      <c r="C2720" s="6" t="str">
        <f>_xll.QS.CONTEXT.CREATE("market.2718",A2720,"USD","SOFR")</f>
        <v>QSObject:PricingContext:w1~market.2718:3279</v>
      </c>
      <c r="D2720" s="6" t="str">
        <f>_xll.QS.CONTEXT.ADD.CURVE(C2720,"SOFR",$K$2:$K$7,$L$2:$L$7,,,"Actual360","LogLinear",TRUE)</f>
        <v>QSObject:ContextInput:w1~input.qs_context_add_curve.2359132437744.2719.3.0:29126</v>
      </c>
      <c r="E2720" s="6" t="str">
        <f>_xll.QS.INSTRUMENT.SWAP("swap.2718",H2720,B2720,"USD","SOFR",I2720,J2720,0,"Actual360","Simple","Annual","Annual","Annual")</f>
        <v>QSObject:Swap:w1~swap.2718:14369</v>
      </c>
      <c r="F2720" s="6" t="str">
        <f>_xll.QS.TRADE.CREATE("trade.2718",E2720,A2720,"Receive")</f>
        <v>QSObject:SwapTrade:w1~trade.2718:17026</v>
      </c>
      <c r="G2720" s="3">
        <f>_xll.QS.EVALUATE(C2720,F2720)</f>
        <v>28086.848631995359</v>
      </c>
      <c r="H2720" s="5" t="s">
        <v>1827</v>
      </c>
      <c r="I2720" s="7">
        <v>1271800</v>
      </c>
      <c r="J2720" s="8">
        <v>3.6800000000000013E-2</v>
      </c>
    </row>
    <row r="2721" spans="1:10" x14ac:dyDescent="0.25">
      <c r="A2721" s="5" t="s">
        <v>1815</v>
      </c>
      <c r="B2721" s="5" t="s">
        <v>4588</v>
      </c>
      <c r="C2721" s="6" t="str">
        <f>_xll.QS.CONTEXT.CREATE("market.2719",A2721,"USD","SOFR")</f>
        <v>QSObject:PricingContext:w1~market.2719:9609</v>
      </c>
      <c r="D2721" s="6" t="str">
        <f>_xll.QS.CONTEXT.ADD.CURVE(C2721,"SOFR",$K$2:$K$7,$L$2:$L$7,,,"Actual360","LogLinear",TRUE)</f>
        <v>QSObject:ContextInput:w1~input.qs_context_add_curve.2359132437744.2720.3.0:11242</v>
      </c>
      <c r="E2721" s="6" t="str">
        <f>_xll.QS.INSTRUMENT.SWAP("swap.2719",H2721,B2721,"USD","SOFR",I2721,J2721,0,"Actual360","Simple","Annual","Annual","Annual")</f>
        <v>QSObject:Swap:w1~swap.2719:4839</v>
      </c>
      <c r="F2721" s="6" t="str">
        <f>_xll.QS.TRADE.CREATE("trade.2719",E2721,A2721,"Receive")</f>
        <v>QSObject:SwapTrade:w1~trade.2719:16059</v>
      </c>
      <c r="G2721" s="3">
        <f>_xll.QS.EVALUATE(C2721,F2721)</f>
        <v>28731.103309452883</v>
      </c>
      <c r="H2721" s="5" t="s">
        <v>1829</v>
      </c>
      <c r="I2721" s="7">
        <v>1271900</v>
      </c>
      <c r="J2721" s="8">
        <v>3.6900000000000002E-2</v>
      </c>
    </row>
    <row r="2722" spans="1:10" x14ac:dyDescent="0.25">
      <c r="A2722" s="5" t="s">
        <v>1817</v>
      </c>
      <c r="B2722" s="5" t="s">
        <v>4589</v>
      </c>
      <c r="C2722" s="6" t="str">
        <f>_xll.QS.CONTEXT.CREATE("market.2720",A2722,"USD","SOFR")</f>
        <v>QSObject:PricingContext:w1~market.2720:3278</v>
      </c>
      <c r="D2722" s="6" t="str">
        <f>_xll.QS.CONTEXT.ADD.CURVE(C2722,"SOFR",$K$2:$K$7,$L$2:$L$7,,,"Actual360","LogLinear",TRUE)</f>
        <v>QSObject:ContextInput:w1~input.qs_context_add_curve.2359132437744.2721.3.0:8014</v>
      </c>
      <c r="E2722" s="6" t="str">
        <f>_xll.QS.INSTRUMENT.SWAP("swap.2720",H2722,B2722,"USD","SOFR",I2722,J2722,0,"Actual360","Simple","Annual","Annual","Annual")</f>
        <v>QSObject:Swap:w1~swap.2720:12744</v>
      </c>
      <c r="F2722" s="6" t="str">
        <f>_xll.QS.TRADE.CREATE("trade.2720",E2722,A2722,"Receive")</f>
        <v>QSObject:SwapTrade:w1~trade.2720:14368</v>
      </c>
      <c r="G2722" s="3">
        <f>_xll.QS.EVALUATE(C2722,F2722)</f>
        <v>29271.04702536446</v>
      </c>
      <c r="H2722" s="5" t="s">
        <v>1831</v>
      </c>
      <c r="I2722" s="7">
        <v>1272000</v>
      </c>
      <c r="J2722" s="8">
        <v>3.7000000000000012E-2</v>
      </c>
    </row>
    <row r="2723" spans="1:10" x14ac:dyDescent="0.25">
      <c r="A2723" s="5" t="s">
        <v>1819</v>
      </c>
      <c r="B2723" s="5" t="s">
        <v>4590</v>
      </c>
      <c r="C2723" s="6" t="str">
        <f>_xll.QS.CONTEXT.CREATE("market.2721",A2723,"USD","SOFR")</f>
        <v>QSObject:PricingContext:w1~market.2721:11241</v>
      </c>
      <c r="D2723" s="6" t="str">
        <f>_xll.QS.CONTEXT.ADD.CURVE(C2723,"SOFR",$K$2:$K$7,$L$2:$L$7,,,"Actual360","LogLinear",TRUE)</f>
        <v>QSObject:ContextInput:w1~input.qs_context_add_curve.2359132437744.2722.3.0:17025</v>
      </c>
      <c r="E2723" s="6" t="str">
        <f>_xll.QS.INSTRUMENT.SWAP("swap.2721",H2723,B2723,"USD","SOFR",I2723,J2723,0,"Actual360","Simple","Annual","Annual","Annual")</f>
        <v>QSObject:Swap:w1~swap.2721:6420</v>
      </c>
      <c r="F2723" s="6" t="str">
        <f>_xll.QS.TRADE.CREATE("trade.2721",E2723,A2723,"Receive")</f>
        <v>QSObject:SwapTrade:w1~trade.2721:29125</v>
      </c>
      <c r="G2723" s="3">
        <f>_xll.QS.EVALUATE(C2723,F2723)</f>
        <v>29771.176040777886</v>
      </c>
      <c r="H2723" s="5" t="s">
        <v>1833</v>
      </c>
      <c r="I2723" s="7">
        <v>1272100</v>
      </c>
      <c r="J2723" s="8">
        <v>3.7100000000000001E-2</v>
      </c>
    </row>
    <row r="2724" spans="1:10" x14ac:dyDescent="0.25">
      <c r="A2724" s="5" t="s">
        <v>1821</v>
      </c>
      <c r="B2724" s="5" t="s">
        <v>4591</v>
      </c>
      <c r="C2724" s="6" t="str">
        <f>_xll.QS.CONTEXT.CREATE("market.2722",A2724,"USD","SOFR")</f>
        <v>QSObject:PricingContext:w1~market.2722:16058</v>
      </c>
      <c r="D2724" s="6" t="str">
        <f>_xll.QS.CONTEXT.ADD.CURVE(C2724,"SOFR",$K$2:$K$7,$L$2:$L$7,,,"Actual360","LogLinear",TRUE)</f>
        <v>QSObject:ContextInput:w1~input.qs_context_add_curve.2359132437744.2723.3.0:37713</v>
      </c>
      <c r="E2724" s="6" t="str">
        <f>_xll.QS.INSTRUMENT.SWAP("swap.2722",H2724,B2724,"USD","SOFR",I2724,J2724,0,"Actual360","Simple","Annual","Annual","Annual")</f>
        <v>QSObject:Swap:w1~swap.2722:1752</v>
      </c>
      <c r="F2724" s="6" t="str">
        <f>_xll.QS.TRADE.CREATE("trade.2722",E2724,A2724,"Receive")</f>
        <v>QSObject:SwapTrade:w1~trade.2722:8013</v>
      </c>
      <c r="G2724" s="3">
        <f>_xll.QS.EVALUATE(C2724,F2724)</f>
        <v>30262.170206515431</v>
      </c>
      <c r="H2724" s="5" t="s">
        <v>1835</v>
      </c>
      <c r="I2724" s="7">
        <v>1272200</v>
      </c>
      <c r="J2724" s="8">
        <v>3.7199999999999997E-2</v>
      </c>
    </row>
    <row r="2725" spans="1:10" x14ac:dyDescent="0.25">
      <c r="A2725" s="5" t="s">
        <v>1823</v>
      </c>
      <c r="B2725" s="5" t="s">
        <v>4592</v>
      </c>
      <c r="C2725" s="6" t="str">
        <f>_xll.QS.CONTEXT.CREATE("market.2723",A2725,"USD","SOFR")</f>
        <v>QSObject:PricingContext:w1~market.2723:3277</v>
      </c>
      <c r="D2725" s="6" t="str">
        <f>_xll.QS.CONTEXT.ADD.CURVE(C2725,"SOFR",$K$2:$K$7,$L$2:$L$7,,,"Actual360","LogLinear",TRUE)</f>
        <v>QSObject:ContextInput:w1~input.qs_context_add_curve.2359132437744.2724.3.0:12743</v>
      </c>
      <c r="E2725" s="6" t="str">
        <f>_xll.QS.INSTRUMENT.SWAP("swap.2723",H2725,B2725,"USD","SOFR",I2725,J2725,0,"Actual360","Simple","Annual","Annual","Annual")</f>
        <v>QSObject:Swap:w1~swap.2723:14367</v>
      </c>
      <c r="F2725" s="6" t="str">
        <f>_xll.QS.TRADE.CREATE("trade.2723",E2725,A2725,"Receive")</f>
        <v>QSObject:SwapTrade:w1~trade.2723:29124</v>
      </c>
      <c r="G2725" s="3">
        <f>_xll.QS.EVALUATE(C2725,F2725)</f>
        <v>30904.810856708449</v>
      </c>
      <c r="H2725" s="5" t="s">
        <v>1837</v>
      </c>
      <c r="I2725" s="7">
        <v>1272300</v>
      </c>
      <c r="J2725" s="8">
        <v>3.73E-2</v>
      </c>
    </row>
    <row r="2726" spans="1:10" x14ac:dyDescent="0.25">
      <c r="A2726" s="5" t="s">
        <v>1825</v>
      </c>
      <c r="B2726" s="5" t="s">
        <v>4593</v>
      </c>
      <c r="C2726" s="6" t="str">
        <f>_xll.QS.CONTEXT.CREATE("market.2724",A2726,"USD","SOFR")</f>
        <v>QSObject:PricingContext:w1~market.2724:4838</v>
      </c>
      <c r="D2726" s="6" t="str">
        <f>_xll.QS.CONTEXT.ADD.CURVE(C2726,"SOFR",$K$2:$K$7,$L$2:$L$7,,,"Actual360","LogLinear",TRUE)</f>
        <v>QSObject:ContextInput:w1~input.qs_context_add_curve.2359132437744.2725.3.0:11240</v>
      </c>
      <c r="E2726" s="6" t="str">
        <f>_xll.QS.INSTRUMENT.SWAP("swap.2724",H2726,B2726,"USD","SOFR",I2726,J2726,0,"Actual360","Simple","Annual","Annual","Annual")</f>
        <v>QSObject:Swap:w1~swap.2724:17024</v>
      </c>
      <c r="F2726" s="6" t="str">
        <f>_xll.QS.TRADE.CREATE("trade.2724",E2726,A2726,"Receive")</f>
        <v>QSObject:SwapTrade:w1~trade.2724:29123</v>
      </c>
      <c r="G2726" s="3">
        <f>_xll.QS.EVALUATE(C2726,F2726)</f>
        <v>31527.422886476888</v>
      </c>
      <c r="H2726" s="5" t="s">
        <v>1839</v>
      </c>
      <c r="I2726" s="7">
        <v>1272400</v>
      </c>
      <c r="J2726" s="8">
        <v>3.7400000000000003E-2</v>
      </c>
    </row>
    <row r="2727" spans="1:10" x14ac:dyDescent="0.25">
      <c r="A2727" s="5" t="s">
        <v>1827</v>
      </c>
      <c r="B2727" s="5" t="s">
        <v>4594</v>
      </c>
      <c r="C2727" s="6" t="str">
        <f>_xll.QS.CONTEXT.CREATE("market.2725",A2727,"USD","SOFR")</f>
        <v>QSObject:PricingContext:w1~market.2725:8012</v>
      </c>
      <c r="D2727" s="6" t="str">
        <f>_xll.QS.CONTEXT.ADD.CURVE(C2727,"SOFR",$K$2:$K$7,$L$2:$L$7,,,"Actual360","LogLinear",TRUE)</f>
        <v>QSObject:ContextInput:w1~input.qs_context_add_curve.2359132437744.2726.3.0:9608</v>
      </c>
      <c r="E2727" s="6" t="str">
        <f>_xll.QS.INSTRUMENT.SWAP("swap.2725",H2727,B2727,"USD","SOFR",I2727,J2727,0,"Actual360","Simple","Annual","Annual","Annual")</f>
        <v>QSObject:Swap:w1~swap.2725:1751</v>
      </c>
      <c r="F2727" s="6" t="str">
        <f>_xll.QS.TRADE.CREATE("trade.2725",E2727,A2727,"Receive")</f>
        <v>QSObject:SwapTrade:w1~trade.2725:3276</v>
      </c>
      <c r="G2727" s="3">
        <f>_xll.QS.EVALUATE(C2727,F2727)</f>
        <v>32209.902393041244</v>
      </c>
      <c r="H2727" s="5" t="s">
        <v>1841</v>
      </c>
      <c r="I2727" s="7">
        <v>1272500</v>
      </c>
      <c r="J2727" s="8">
        <v>3.7500000000000012E-2</v>
      </c>
    </row>
    <row r="2728" spans="1:10" x14ac:dyDescent="0.25">
      <c r="A2728" s="5" t="s">
        <v>1829</v>
      </c>
      <c r="B2728" s="5" t="s">
        <v>4595</v>
      </c>
      <c r="C2728" s="6" t="str">
        <f>_xll.QS.CONTEXT.CREATE("market.2726",A2728,"USD","SOFR")</f>
        <v>QSObject:PricingContext:w1~market.2726:6419</v>
      </c>
      <c r="D2728" s="6" t="str">
        <f>_xll.QS.CONTEXT.ADD.CURVE(C2728,"SOFR",$K$2:$K$7,$L$2:$L$7,,,"Actual360","LogLinear",TRUE)</f>
        <v>QSObject:ContextInput:w1~input.qs_context_add_curve.2359132437744.2727.3.0:14366</v>
      </c>
      <c r="E2728" s="6" t="str">
        <f>_xll.QS.INSTRUMENT.SWAP("swap.2726",H2728,B2728,"USD","SOFR",I2728,J2728,0,"Actual360","Simple","Annual","Annual","Annual")</f>
        <v>QSObject:Swap:w1~swap.2726:12742</v>
      </c>
      <c r="F2728" s="6" t="str">
        <f>_xll.QS.TRADE.CREATE("trade.2726",E2728,A2728,"Receive")</f>
        <v>QSObject:SwapTrade:w1~trade.2726:17023</v>
      </c>
      <c r="G2728" s="3">
        <f>_xll.QS.EVALUATE(C2728,F2728)</f>
        <v>32854.88037696344</v>
      </c>
      <c r="H2728" s="5" t="s">
        <v>1843</v>
      </c>
      <c r="I2728" s="7">
        <v>1272600</v>
      </c>
      <c r="J2728" s="8">
        <v>3.7600000000000001E-2</v>
      </c>
    </row>
    <row r="2729" spans="1:10" x14ac:dyDescent="0.25">
      <c r="A2729" s="5" t="s">
        <v>1831</v>
      </c>
      <c r="B2729" s="5" t="s">
        <v>4596</v>
      </c>
      <c r="C2729" s="6" t="str">
        <f>_xll.QS.CONTEXT.CREATE("market.2727",A2729,"USD","SOFR")</f>
        <v>QSObject:PricingContext:w1~market.2727:4837</v>
      </c>
      <c r="D2729" s="6" t="str">
        <f>_xll.QS.CONTEXT.ADD.CURVE(C2729,"SOFR",$K$2:$K$7,$L$2:$L$7,,,"Actual360","LogLinear",TRUE)</f>
        <v>QSObject:ContextInput:w1~input.qs_context_add_curve.2359132437744.2728.3.0:11239</v>
      </c>
      <c r="E2729" s="6" t="str">
        <f>_xll.QS.INSTRUMENT.SWAP("swap.2727",H2729,B2729,"USD","SOFR",I2729,J2729,0,"Actual360","Simple","Annual","Annual","Annual")</f>
        <v>QSObject:Swap:w1~swap.2727:16057</v>
      </c>
      <c r="F2729" s="6" t="str">
        <f>_xll.QS.TRADE.CREATE("trade.2727",E2729,A2729,"Receive")</f>
        <v>QSObject:SwapTrade:w1~trade.2727:29122</v>
      </c>
      <c r="G2729" s="3">
        <f>_xll.QS.EVALUATE(C2729,F2729)</f>
        <v>33395.397657716276</v>
      </c>
      <c r="H2729" s="5" t="s">
        <v>1845</v>
      </c>
      <c r="I2729" s="7">
        <v>1272700</v>
      </c>
      <c r="J2729" s="8">
        <v>3.7699999999999997E-2</v>
      </c>
    </row>
    <row r="2730" spans="1:10" x14ac:dyDescent="0.25">
      <c r="A2730" s="5" t="s">
        <v>1833</v>
      </c>
      <c r="B2730" s="5" t="s">
        <v>4597</v>
      </c>
      <c r="C2730" s="6" t="str">
        <f>_xll.QS.CONTEXT.CREATE("market.2728",A2730,"USD","SOFR")</f>
        <v>QSObject:PricingContext:w1~market.2728:1750</v>
      </c>
      <c r="D2730" s="6" t="str">
        <f>_xll.QS.CONTEXT.ADD.CURVE(C2730,"SOFR",$K$2:$K$7,$L$2:$L$7,,,"Actual360","LogLinear",TRUE)</f>
        <v>QSObject:ContextInput:w1~input.qs_context_add_curve.2359132437744.2729.3.0:8011</v>
      </c>
      <c r="E2730" s="6" t="str">
        <f>_xll.QS.INSTRUMENT.SWAP("swap.2728",H2730,B2730,"USD","SOFR",I2730,J2730,0,"Actual360","Simple","Annual","Annual","Annual")</f>
        <v>QSObject:Swap:w1~swap.2728:3275</v>
      </c>
      <c r="F2730" s="6" t="str">
        <f>_xll.QS.TRADE.CREATE("trade.2728",E2730,A2730,"Receive")</f>
        <v>QSObject:SwapTrade:w1~trade.2728:17022</v>
      </c>
      <c r="G2730" s="3">
        <f>_xll.QS.EVALUATE(C2730,F2730)</f>
        <v>33891.284938265788</v>
      </c>
      <c r="H2730" s="5" t="s">
        <v>1847</v>
      </c>
      <c r="I2730" s="7">
        <v>1272800</v>
      </c>
      <c r="J2730" s="8">
        <v>3.78E-2</v>
      </c>
    </row>
    <row r="2731" spans="1:10" x14ac:dyDescent="0.25">
      <c r="A2731" s="5" t="s">
        <v>1835</v>
      </c>
      <c r="B2731" s="5" t="s">
        <v>4598</v>
      </c>
      <c r="C2731" s="6" t="str">
        <f>_xll.QS.CONTEXT.CREATE("market.2729",A2731,"USD","SOFR")</f>
        <v>QSObject:PricingContext:w1~market.2729:12741</v>
      </c>
      <c r="D2731" s="6" t="str">
        <f>_xll.QS.CONTEXT.ADD.CURVE(C2731,"SOFR",$K$2:$K$7,$L$2:$L$7,,,"Actual360","LogLinear",TRUE)</f>
        <v>QSObject:ContextInput:w1~input.qs_context_add_curve.2359132437744.2730.3.0:14365</v>
      </c>
      <c r="E2731" s="6" t="str">
        <f>_xll.QS.INSTRUMENT.SWAP("swap.2729",H2731,B2731,"USD","SOFR",I2731,J2731,0,"Actual360","Simple","Annual","Annual","Annual")</f>
        <v>QSObject:Swap:w1~swap.2729:6418</v>
      </c>
      <c r="F2731" s="6" t="str">
        <f>_xll.QS.TRADE.CREATE("trade.2729",E2731,A2731,"Receive")</f>
        <v>QSObject:SwapTrade:w1~trade.2729:29121</v>
      </c>
      <c r="G2731" s="3">
        <f>_xll.QS.EVALUATE(C2731,F2731)</f>
        <v>34482.989834432585</v>
      </c>
      <c r="H2731" s="5" t="s">
        <v>1849</v>
      </c>
      <c r="I2731" s="7">
        <v>1272900</v>
      </c>
      <c r="J2731" s="8">
        <v>3.7900000000000003E-2</v>
      </c>
    </row>
    <row r="2732" spans="1:10" x14ac:dyDescent="0.25">
      <c r="A2732" s="5" t="s">
        <v>1837</v>
      </c>
      <c r="B2732" s="5" t="s">
        <v>4599</v>
      </c>
      <c r="C2732" s="6" t="str">
        <f>_xll.QS.CONTEXT.CREATE("market.2730",A2732,"USD","SOFR")</f>
        <v>QSObject:PricingContext:w1~market.2730:9607</v>
      </c>
      <c r="D2732" s="6" t="str">
        <f>_xll.QS.CONTEXT.ADD.CURVE(C2732,"SOFR",$K$2:$K$7,$L$2:$L$7,,,"Actual360","LogLinear",TRUE)</f>
        <v>QSObject:ContextInput:w1~input.qs_context_add_curve.2359132437744.2731.3.0:16056</v>
      </c>
      <c r="E2732" s="6" t="str">
        <f>_xll.QS.INSTRUMENT.SWAP("swap.2730",H2732,B2732,"USD","SOFR",I2732,J2732,0,"Actual360","Simple","Annual","Annual","Annual")</f>
        <v>QSObject:Swap:w1~swap.2730:11238</v>
      </c>
      <c r="F2732" s="6" t="str">
        <f>_xll.QS.TRADE.CREATE("trade.2730",E2732,A2732,"Receive")</f>
        <v>QSObject:SwapTrade:w1~trade.2730:29120</v>
      </c>
      <c r="G2732" s="3">
        <f>_xll.QS.EVALUATE(C2732,F2732)</f>
        <v>35126.019881958156</v>
      </c>
      <c r="H2732" s="5" t="s">
        <v>1851</v>
      </c>
      <c r="I2732" s="7">
        <v>1273000</v>
      </c>
      <c r="J2732" s="8">
        <v>3.8000000000000013E-2</v>
      </c>
    </row>
    <row r="2733" spans="1:10" x14ac:dyDescent="0.25">
      <c r="A2733" s="5" t="s">
        <v>1839</v>
      </c>
      <c r="B2733" s="5" t="s">
        <v>4600</v>
      </c>
      <c r="C2733" s="6" t="str">
        <f>_xll.QS.CONTEXT.CREATE("market.2731",A2733,"USD","SOFR")</f>
        <v>QSObject:PricingContext:w1~market.2731:17021</v>
      </c>
      <c r="D2733" s="6" t="str">
        <f>_xll.QS.CONTEXT.ADD.CURVE(C2733,"SOFR",$K$2:$K$7,$L$2:$L$7,,,"Actual360","LogLinear",TRUE)</f>
        <v>QSObject:ContextInput:w1~input.qs_context_add_curve.2359132437744.2732.3.0:37712</v>
      </c>
      <c r="E2733" s="6" t="str">
        <f>_xll.QS.INSTRUMENT.SWAP("swap.2731",H2733,B2733,"USD","SOFR",I2733,J2733,0,"Actual360","Simple","Annual","Annual","Annual")</f>
        <v>QSObject:Swap:w1~swap.2731:8010</v>
      </c>
      <c r="F2733" s="6" t="str">
        <f>_xll.QS.TRADE.CREATE("trade.2731",E2733,A2733,"Receive")</f>
        <v>QSObject:SwapTrade:w1~trade.2731:14364</v>
      </c>
      <c r="G2733" s="3">
        <f>_xll.QS.EVALUATE(C2733,F2733)</f>
        <v>35654.233912163312</v>
      </c>
      <c r="H2733" s="5" t="s">
        <v>1853</v>
      </c>
      <c r="I2733" s="7">
        <v>1273100</v>
      </c>
      <c r="J2733" s="8">
        <v>3.8100000000000002E-2</v>
      </c>
    </row>
    <row r="2734" spans="1:10" x14ac:dyDescent="0.25">
      <c r="A2734" s="5" t="s">
        <v>1841</v>
      </c>
      <c r="B2734" s="5" t="s">
        <v>4601</v>
      </c>
      <c r="C2734" s="6" t="str">
        <f>_xll.QS.CONTEXT.CREATE("market.2732",A2734,"USD","SOFR")</f>
        <v>QSObject:PricingContext:w1~market.2732:4836</v>
      </c>
      <c r="D2734" s="6" t="str">
        <f>_xll.QS.CONTEXT.ADD.CURVE(C2734,"SOFR",$K$2:$K$7,$L$2:$L$7,,,"Actual360","LogLinear",TRUE)</f>
        <v>QSObject:ContextInput:w1~input.qs_context_add_curve.2359132437744.2733.3.0:6417</v>
      </c>
      <c r="E2734" s="6" t="str">
        <f>_xll.QS.INSTRUMENT.SWAP("swap.2732",H2734,B2734,"USD","SOFR",I2734,J2734,0,"Actual360","Simple","Annual","Annual","Annual")</f>
        <v>QSObject:Swap:w1~swap.2732:12740</v>
      </c>
      <c r="F2734" s="6" t="str">
        <f>_xll.QS.TRADE.CREATE("trade.2732",E2734,A2734,"Receive")</f>
        <v>QSObject:SwapTrade:w1~trade.2732:29119</v>
      </c>
      <c r="G2734" s="3">
        <f>_xll.QS.EVALUATE(C2734,F2734)</f>
        <v>36337.475315284733</v>
      </c>
      <c r="H2734" s="5" t="s">
        <v>1855</v>
      </c>
      <c r="I2734" s="7">
        <v>1273200</v>
      </c>
      <c r="J2734" s="8">
        <v>3.8199999999999998E-2</v>
      </c>
    </row>
    <row r="2735" spans="1:10" x14ac:dyDescent="0.25">
      <c r="A2735" s="5" t="s">
        <v>1843</v>
      </c>
      <c r="B2735" s="5" t="s">
        <v>4602</v>
      </c>
      <c r="C2735" s="6" t="str">
        <f>_xll.QS.CONTEXT.CREATE("market.2733",A2735,"USD","SOFR")</f>
        <v>QSObject:PricingContext:w1~market.2733:16055</v>
      </c>
      <c r="D2735" s="6" t="str">
        <f>_xll.QS.CONTEXT.ADD.CURVE(C2735,"SOFR",$K$2:$K$7,$L$2:$L$7,,,"Actual360","LogLinear",TRUE)</f>
        <v>QSObject:ContextInput:w1~input.qs_context_add_curve.2359132437744.2734.3.0:37711</v>
      </c>
      <c r="E2735" s="6" t="str">
        <f>_xll.QS.INSTRUMENT.SWAP("swap.2733",H2735,B2735,"USD","SOFR",I2735,J2735,0,"Actual360","Simple","Annual","Annual","Annual")</f>
        <v>QSObject:Swap:w1~swap.2733:9606</v>
      </c>
      <c r="F2735" s="6" t="str">
        <f>_xll.QS.TRADE.CREATE("trade.2733",E2735,A2735,"Receive")</f>
        <v>QSObject:SwapTrade:w1~trade.2733:29118</v>
      </c>
      <c r="G2735" s="3">
        <f>_xll.QS.EVALUATE(C2735,F2735)</f>
        <v>36931.024991717437</v>
      </c>
      <c r="H2735" s="5" t="s">
        <v>1857</v>
      </c>
      <c r="I2735" s="7">
        <v>1273300</v>
      </c>
      <c r="J2735" s="8">
        <v>3.8300000000000001E-2</v>
      </c>
    </row>
    <row r="2736" spans="1:10" x14ac:dyDescent="0.25">
      <c r="A2736" s="5" t="s">
        <v>1845</v>
      </c>
      <c r="B2736" s="5" t="s">
        <v>4603</v>
      </c>
      <c r="C2736" s="6" t="str">
        <f>_xll.QS.CONTEXT.CREATE("market.2734",A2736,"USD","SOFR")</f>
        <v>QSObject:PricingContext:w1~market.2734:8009</v>
      </c>
      <c r="D2736" s="6" t="str">
        <f>_xll.QS.CONTEXT.ADD.CURVE(C2736,"SOFR",$K$2:$K$7,$L$2:$L$7,,,"Actual360","LogLinear",TRUE)</f>
        <v>QSObject:ContextInput:w1~input.qs_context_add_curve.2359132437744.2735.3.0:14363</v>
      </c>
      <c r="E2736" s="6" t="str">
        <f>_xll.QS.INSTRUMENT.SWAP("swap.2734",H2736,B2736,"USD","SOFR",I2736,J2736,0,"Actual360","Simple","Annual","Annual","Annual")</f>
        <v>QSObject:Swap:w1~swap.2734:17020</v>
      </c>
      <c r="F2736" s="6" t="str">
        <f>_xll.QS.TRADE.CREATE("trade.2734",E2736,A2736,"Receive")</f>
        <v>QSObject:SwapTrade:w1~trade.2734:29117</v>
      </c>
      <c r="G2736" s="3">
        <f>_xll.QS.EVALUATE(C2736,F2736)</f>
        <v>37424.017984822203</v>
      </c>
      <c r="H2736" s="5" t="s">
        <v>1859</v>
      </c>
      <c r="I2736" s="7">
        <v>1273400</v>
      </c>
      <c r="J2736" s="8">
        <v>3.8399999999999997E-2</v>
      </c>
    </row>
    <row r="2737" spans="1:10" x14ac:dyDescent="0.25">
      <c r="A2737" s="5" t="s">
        <v>1847</v>
      </c>
      <c r="B2737" s="5" t="s">
        <v>4604</v>
      </c>
      <c r="C2737" s="6" t="str">
        <f>_xll.QS.CONTEXT.CREATE("market.2735",A2737,"USD","SOFR")</f>
        <v>QSObject:PricingContext:w1~market.2735:16054</v>
      </c>
      <c r="D2737" s="6" t="str">
        <f>_xll.QS.CONTEXT.ADD.CURVE(C2737,"SOFR",$K$2:$K$7,$L$2:$L$7,,,"Actual360","LogLinear",TRUE)</f>
        <v>QSObject:ContextInput:w1~input.qs_context_add_curve.2359132437744.2736.3.0:37710</v>
      </c>
      <c r="E2737" s="6" t="str">
        <f>_xll.QS.INSTRUMENT.SWAP("swap.2735",H2737,B2737,"USD","SOFR",I2737,J2737,0,"Actual360","Simple","Annual","Annual","Annual")</f>
        <v>QSObject:Swap:w1~swap.2735:12739</v>
      </c>
      <c r="F2737" s="6" t="str">
        <f>_xll.QS.TRADE.CREATE("trade.2735",E2737,A2737,"Receive")</f>
        <v>QSObject:SwapTrade:w1~trade.2735:29116</v>
      </c>
      <c r="G2737" s="3">
        <f>_xll.QS.EVALUATE(C2737,F2737)</f>
        <v>38016.700673574131</v>
      </c>
      <c r="H2737" s="5" t="s">
        <v>1861</v>
      </c>
      <c r="I2737" s="7">
        <v>1273500</v>
      </c>
      <c r="J2737" s="8">
        <v>3.8500000000000013E-2</v>
      </c>
    </row>
    <row r="2738" spans="1:10" x14ac:dyDescent="0.25">
      <c r="A2738" s="5" t="s">
        <v>1849</v>
      </c>
      <c r="B2738" s="5" t="s">
        <v>4605</v>
      </c>
      <c r="C2738" s="6" t="str">
        <f>_xll.QS.CONTEXT.CREATE("market.2736",A2738,"USD","SOFR")</f>
        <v>QSObject:PricingContext:w1~market.2736:3274</v>
      </c>
      <c r="D2738" s="6" t="str">
        <f>_xll.QS.CONTEXT.ADD.CURVE(C2738,"SOFR",$K$2:$K$7,$L$2:$L$7,,,"Actual360","LogLinear",TRUE)</f>
        <v>QSObject:ContextInput:w1~input.qs_context_add_curve.2359132437744.2737.3.0:9605</v>
      </c>
      <c r="E2738" s="6" t="str">
        <f>_xll.QS.INSTRUMENT.SWAP("swap.2736",H2738,B2738,"USD","SOFR",I2738,J2738,0,"Actual360","Simple","Annual","Annual","Annual")</f>
        <v>QSObject:Swap:w1~swap.2736:11237</v>
      </c>
      <c r="F2738" s="6" t="str">
        <f>_xll.QS.TRADE.CREATE("trade.2736",E2738,A2738,"Receive")</f>
        <v>QSObject:SwapTrade:w1~trade.2736:29115</v>
      </c>
      <c r="G2738" s="3">
        <f>_xll.QS.EVALUATE(C2738,F2738)</f>
        <v>38521.680151757188</v>
      </c>
      <c r="H2738" s="5" t="s">
        <v>1863</v>
      </c>
      <c r="I2738" s="7">
        <v>1273600</v>
      </c>
      <c r="J2738" s="8">
        <v>3.8600000000000002E-2</v>
      </c>
    </row>
    <row r="2739" spans="1:10" x14ac:dyDescent="0.25">
      <c r="A2739" s="5" t="s">
        <v>1851</v>
      </c>
      <c r="B2739" s="5" t="s">
        <v>4606</v>
      </c>
      <c r="C2739" s="6" t="str">
        <f>_xll.QS.CONTEXT.CREATE("market.2737",A2739,"USD","SOFR")</f>
        <v>QSObject:PricingContext:w1~market.2737:17019</v>
      </c>
      <c r="D2739" s="6" t="str">
        <f>_xll.QS.CONTEXT.ADD.CURVE(C2739,"SOFR",$K$2:$K$7,$L$2:$L$7,,,"Actual360","LogLinear",TRUE)</f>
        <v>QSObject:ContextInput:w1~input.qs_context_add_curve.2359132437744.2738.3.0:37709</v>
      </c>
      <c r="E2739" s="6" t="str">
        <f>_xll.QS.INSTRUMENT.SWAP("swap.2737",H2739,B2739,"USD","SOFR",I2739,J2739,0,"Actual360","Simple","Annual","Annual","Annual")</f>
        <v>QSObject:Swap:w1~swap.2737:14362</v>
      </c>
      <c r="F2739" s="6" t="str">
        <f>_xll.QS.TRADE.CREATE("trade.2737",E2739,A2739,"Receive")</f>
        <v>QSObject:SwapTrade:w1~trade.2737:29114</v>
      </c>
      <c r="G2739" s="3">
        <f>_xll.QS.EVALUATE(C2739,F2739)</f>
        <v>39212.623391396584</v>
      </c>
      <c r="H2739" s="5" t="s">
        <v>1865</v>
      </c>
      <c r="I2739" s="7">
        <v>1273700</v>
      </c>
      <c r="J2739" s="8">
        <v>3.8700000000000012E-2</v>
      </c>
    </row>
    <row r="2740" spans="1:10" x14ac:dyDescent="0.25">
      <c r="A2740" s="5" t="s">
        <v>1853</v>
      </c>
      <c r="B2740" s="5" t="s">
        <v>4607</v>
      </c>
      <c r="C2740" s="6" t="str">
        <f>_xll.QS.CONTEXT.CREATE("market.2738",A2740,"USD","SOFR")</f>
        <v>QSObject:PricingContext:w1~market.2738:1749</v>
      </c>
      <c r="D2740" s="6" t="str">
        <f>_xll.QS.CONTEXT.ADD.CURVE(C2740,"SOFR",$K$2:$K$7,$L$2:$L$7,,,"Actual360","LogLinear",TRUE)</f>
        <v>QSObject:ContextInput:w1~input.qs_context_add_curve.2359132437744.2739.3.0:16053</v>
      </c>
      <c r="E2740" s="6" t="str">
        <f>_xll.QS.INSTRUMENT.SWAP("swap.2738",H2740,B2740,"USD","SOFR",I2740,J2740,0,"Actual360","Simple","Annual","Annual","Annual")</f>
        <v>QSObject:Swap:w1~swap.2738:12738</v>
      </c>
      <c r="F2740" s="6" t="str">
        <f>_xll.QS.TRADE.CREATE("trade.2738",E2740,A2740,"Receive")</f>
        <v>QSObject:SwapTrade:w1~trade.2738:29113</v>
      </c>
      <c r="G2740" s="3">
        <f>_xll.QS.EVALUATE(C2740,F2740)</f>
        <v>39926.150337398009</v>
      </c>
      <c r="H2740" s="5" t="s">
        <v>1867</v>
      </c>
      <c r="I2740" s="7">
        <v>1273800</v>
      </c>
      <c r="J2740" s="8">
        <v>3.8800000000000001E-2</v>
      </c>
    </row>
    <row r="2741" spans="1:10" x14ac:dyDescent="0.25">
      <c r="A2741" s="5" t="s">
        <v>1855</v>
      </c>
      <c r="B2741" s="5" t="s">
        <v>4608</v>
      </c>
      <c r="C2741" s="6" t="str">
        <f>_xll.QS.CONTEXT.CREATE("market.2739",A2741,"USD","SOFR")</f>
        <v>QSObject:PricingContext:w1~market.2739:8008</v>
      </c>
      <c r="D2741" s="6" t="str">
        <f>_xll.QS.CONTEXT.ADD.CURVE(C2741,"SOFR",$K$2:$K$7,$L$2:$L$7,,,"Actual360","LogLinear",TRUE)</f>
        <v>QSObject:ContextInput:w1~input.qs_context_add_curve.2359132437744.2740.3.0:9604</v>
      </c>
      <c r="E2741" s="6" t="str">
        <f>_xll.QS.INSTRUMENT.SWAP("swap.2739",H2741,B2741,"USD","SOFR",I2741,J2741,0,"Actual360","Simple","Annual","Annual","Annual")</f>
        <v>QSObject:Swap:w1~swap.2739:11236</v>
      </c>
      <c r="F2741" s="6" t="str">
        <f>_xll.QS.TRADE.CREATE("trade.2739",E2741,A2741,"Receive")</f>
        <v>QSObject:SwapTrade:w1~trade.2739:17018</v>
      </c>
      <c r="G2741" s="3">
        <f>_xll.QS.EVALUATE(C2741,F2741)</f>
        <v>40529.044152417715</v>
      </c>
      <c r="H2741" s="5" t="s">
        <v>1869</v>
      </c>
      <c r="I2741" s="7">
        <v>1273900</v>
      </c>
      <c r="J2741" s="8">
        <v>3.8899999999999997E-2</v>
      </c>
    </row>
    <row r="2742" spans="1:10" x14ac:dyDescent="0.25">
      <c r="A2742" s="5" t="s">
        <v>1857</v>
      </c>
      <c r="B2742" s="5" t="s">
        <v>4609</v>
      </c>
      <c r="C2742" s="6" t="str">
        <f>_xll.QS.CONTEXT.CREATE("market.2740",A2742,"USD","SOFR")</f>
        <v>QSObject:PricingContext:w1~market.2740:6416</v>
      </c>
      <c r="D2742" s="6" t="str">
        <f>_xll.QS.CONTEXT.ADD.CURVE(C2742,"SOFR",$K$2:$K$7,$L$2:$L$7,,,"Actual360","LogLinear",TRUE)</f>
        <v>QSObject:ContextInput:w1~input.qs_context_add_curve.2359132437744.2741.3.0:29112</v>
      </c>
      <c r="E2742" s="6" t="str">
        <f>_xll.QS.INSTRUMENT.SWAP("swap.2740",H2742,B2742,"USD","SOFR",I2742,J2742,0,"Actual360","Simple","Annual","Annual","Annual")</f>
        <v>QSObject:Swap:w1~swap.2740:14361</v>
      </c>
      <c r="F2742" s="6" t="str">
        <f>_xll.QS.TRADE.CREATE("trade.2740",E2742,A2742,"Receive")</f>
        <v>QSObject:SwapTrade:w1~trade.2740:29111</v>
      </c>
      <c r="G2742" s="3">
        <f>_xll.QS.EVALUATE(C2742,F2742)</f>
        <v>41117.643803594583</v>
      </c>
      <c r="H2742" s="5" t="s">
        <v>1871</v>
      </c>
      <c r="I2742" s="7">
        <v>1274000</v>
      </c>
      <c r="J2742" s="8">
        <v>3.9000000000000007E-2</v>
      </c>
    </row>
    <row r="2743" spans="1:10" x14ac:dyDescent="0.25">
      <c r="A2743" s="5" t="s">
        <v>1859</v>
      </c>
      <c r="B2743" s="5" t="s">
        <v>4610</v>
      </c>
      <c r="C2743" s="6" t="str">
        <f>_xll.QS.CONTEXT.CREATE("market.2741",A2743,"USD","SOFR")</f>
        <v>QSObject:PricingContext:w1~market.2741:1748</v>
      </c>
      <c r="D2743" s="6" t="str">
        <f>_xll.QS.CONTEXT.ADD.CURVE(C2743,"SOFR",$K$2:$K$7,$L$2:$L$7,,,"Actual360","LogLinear",TRUE)</f>
        <v>QSObject:ContextInput:w1~input.qs_context_add_curve.2359132437744.2742.3.0:16052</v>
      </c>
      <c r="E2743" s="6" t="str">
        <f>_xll.QS.INSTRUMENT.SWAP("swap.2741",H2743,B2743,"USD","SOFR",I2743,J2743,0,"Actual360","Simple","Annual","Annual","Annual")</f>
        <v>QSObject:Swap:w1~swap.2741:12737</v>
      </c>
      <c r="F2743" s="6" t="str">
        <f>_xll.QS.TRADE.CREATE("trade.2741",E2743,A2743,"Receive")</f>
        <v>QSObject:SwapTrade:w1~trade.2741:29110</v>
      </c>
      <c r="G2743" s="3">
        <f>_xll.QS.EVALUATE(C2743,F2743)</f>
        <v>41657.656412698751</v>
      </c>
      <c r="H2743" s="5" t="s">
        <v>1873</v>
      </c>
      <c r="I2743" s="7">
        <v>1274100</v>
      </c>
      <c r="J2743" s="8">
        <v>3.9100000000000003E-2</v>
      </c>
    </row>
    <row r="2744" spans="1:10" x14ac:dyDescent="0.25">
      <c r="A2744" s="5" t="s">
        <v>1861</v>
      </c>
      <c r="B2744" s="5" t="s">
        <v>4611</v>
      </c>
      <c r="C2744" s="6" t="str">
        <f>_xll.QS.CONTEXT.CREATE("market.2742",A2744,"USD","SOFR")</f>
        <v>QSObject:PricingContext:w1~market.2742:4835</v>
      </c>
      <c r="D2744" s="6" t="str">
        <f>_xll.QS.CONTEXT.ADD.CURVE(C2744,"SOFR",$K$2:$K$7,$L$2:$L$7,,,"Actual360","LogLinear",TRUE)</f>
        <v>QSObject:ContextInput:w1~input.qs_context_add_curve.2359132437744.2743.3.0:6415</v>
      </c>
      <c r="E2744" s="6" t="str">
        <f>_xll.QS.INSTRUMENT.SWAP("swap.2742",H2744,B2744,"USD","SOFR",I2744,J2744,0,"Actual360","Simple","Annual","Annual","Annual")</f>
        <v>QSObject:Swap:w1~swap.2742:8007</v>
      </c>
      <c r="F2744" s="6" t="str">
        <f>_xll.QS.TRADE.CREATE("trade.2742",E2744,A2744,"Receive")</f>
        <v>QSObject:SwapTrade:w1~trade.2742:14360</v>
      </c>
      <c r="G2744" s="3">
        <f>_xll.QS.EVALUATE(C2744,F2744)</f>
        <v>42145.044257473077</v>
      </c>
      <c r="H2744" s="5" t="s">
        <v>1875</v>
      </c>
      <c r="I2744" s="7">
        <v>1274200</v>
      </c>
      <c r="J2744" s="8">
        <v>3.9200000000000013E-2</v>
      </c>
    </row>
    <row r="2745" spans="1:10" x14ac:dyDescent="0.25">
      <c r="A2745" s="5" t="s">
        <v>1863</v>
      </c>
      <c r="B2745" s="5" t="s">
        <v>4612</v>
      </c>
      <c r="C2745" s="6" t="str">
        <f>_xll.QS.CONTEXT.CREATE("market.2743",A2745,"USD","SOFR")</f>
        <v>QSObject:PricingContext:w1~market.2743:9603</v>
      </c>
      <c r="D2745" s="6" t="str">
        <f>_xll.QS.CONTEXT.ADD.CURVE(C2745,"SOFR",$K$2:$K$7,$L$2:$L$7,,,"Actual360","LogLinear",TRUE)</f>
        <v>QSObject:ContextInput:w1~input.qs_context_add_curve.2359132437744.2744.3.0:29109</v>
      </c>
      <c r="E2745" s="6" t="str">
        <f>_xll.QS.INSTRUMENT.SWAP("swap.2743",H2745,B2745,"USD","SOFR",I2745,J2745,0,"Actual360","Simple","Annual","Annual","Annual")</f>
        <v>QSObject:Swap:w1~swap.2743:17017</v>
      </c>
      <c r="F2745" s="6" t="str">
        <f>_xll.QS.TRADE.CREATE("trade.2743",E2745,A2745,"Receive")</f>
        <v>QSObject:SwapTrade:w1~trade.2743:29108</v>
      </c>
      <c r="G2745" s="3">
        <f>_xll.QS.EVALUATE(C2745,F2745)</f>
        <v>42656.943675686118</v>
      </c>
      <c r="H2745" s="5" t="s">
        <v>1877</v>
      </c>
      <c r="I2745" s="7">
        <v>1274300</v>
      </c>
      <c r="J2745" s="8">
        <v>3.9300000000000002E-2</v>
      </c>
    </row>
    <row r="2746" spans="1:10" x14ac:dyDescent="0.25">
      <c r="A2746" s="5" t="s">
        <v>1865</v>
      </c>
      <c r="B2746" s="5" t="s">
        <v>4613</v>
      </c>
      <c r="C2746" s="6" t="str">
        <f>_xll.QS.CONTEXT.CREATE("market.2744",A2746,"USD","SOFR")</f>
        <v>QSObject:PricingContext:w1~market.2744:12736</v>
      </c>
      <c r="D2746" s="6" t="str">
        <f>_xll.QS.CONTEXT.ADD.CURVE(C2746,"SOFR",$K$2:$K$7,$L$2:$L$7,,,"Actual360","LogLinear",TRUE)</f>
        <v>QSObject:ContextInput:w1~input.qs_context_add_curve.2359132437744.2745.3.0:29107</v>
      </c>
      <c r="E2746" s="6" t="str">
        <f>_xll.QS.INSTRUMENT.SWAP("swap.2744",H2746,B2746,"USD","SOFR",I2746,J2746,0,"Actual360","Simple","Annual","Annual","Annual")</f>
        <v>QSObject:Swap:w1~swap.2744:16051</v>
      </c>
      <c r="F2746" s="6" t="str">
        <f>_xll.QS.TRADE.CREATE("trade.2744",E2746,A2746,"Receive")</f>
        <v>QSObject:SwapTrade:w1~trade.2744:29106</v>
      </c>
      <c r="G2746" s="3">
        <f>_xll.QS.EVALUATE(C2746,F2746)</f>
        <v>43302.805765851721</v>
      </c>
      <c r="H2746" s="5" t="s">
        <v>1879</v>
      </c>
      <c r="I2746" s="7">
        <v>1274400</v>
      </c>
      <c r="J2746" s="8">
        <v>3.9399999999999998E-2</v>
      </c>
    </row>
    <row r="2747" spans="1:10" x14ac:dyDescent="0.25">
      <c r="A2747" s="5" t="s">
        <v>1867</v>
      </c>
      <c r="B2747" s="5" t="s">
        <v>4614</v>
      </c>
      <c r="C2747" s="6" t="str">
        <f>_xll.QS.CONTEXT.CREATE("market.2745",A2747,"USD","SOFR")</f>
        <v>QSObject:PricingContext:w1~market.2745:8006</v>
      </c>
      <c r="D2747" s="6" t="str">
        <f>_xll.QS.CONTEXT.ADD.CURVE(C2747,"SOFR",$K$2:$K$7,$L$2:$L$7,,,"Actual360","LogLinear",TRUE)</f>
        <v>QSObject:ContextInput:w1~input.qs_context_add_curve.2359132437744.2746.3.0:14359</v>
      </c>
      <c r="E2747" s="6" t="str">
        <f>_xll.QS.INSTRUMENT.SWAP("swap.2745",H2747,B2747,"USD","SOFR",I2747,J2747,0,"Actual360","Simple","Annual","Annual","Annual")</f>
        <v>QSObject:Swap:w1~swap.2745:6414</v>
      </c>
      <c r="F2747" s="6" t="str">
        <f>_xll.QS.TRADE.CREATE("trade.2745",E2747,A2747,"Receive")</f>
        <v>QSObject:SwapTrade:w1~trade.2745:9602</v>
      </c>
      <c r="G2747" s="3">
        <f>_xll.QS.EVALUATE(C2747,F2747)</f>
        <v>43921.413232587322</v>
      </c>
      <c r="H2747" s="5" t="s">
        <v>1881</v>
      </c>
      <c r="I2747" s="7">
        <v>1274500</v>
      </c>
      <c r="J2747" s="8">
        <v>3.9500000000000007E-2</v>
      </c>
    </row>
    <row r="2748" spans="1:10" x14ac:dyDescent="0.25">
      <c r="A2748" s="5" t="s">
        <v>1869</v>
      </c>
      <c r="B2748" s="5" t="s">
        <v>4615</v>
      </c>
      <c r="C2748" s="6" t="str">
        <f>_xll.QS.CONTEXT.CREATE("market.2746",A2748,"USD","SOFR")</f>
        <v>QSObject:PricingContext:w1~market.2746:3273</v>
      </c>
      <c r="D2748" s="6" t="str">
        <f>_xll.QS.CONTEXT.ADD.CURVE(C2748,"SOFR",$K$2:$K$7,$L$2:$L$7,,,"Actual360","LogLinear",TRUE)</f>
        <v>QSObject:ContextInput:w1~input.qs_context_add_curve.2359132437744.2747.3.0:29105</v>
      </c>
      <c r="E2748" s="6" t="str">
        <f>_xll.QS.INSTRUMENT.SWAP("swap.2746",H2748,B2748,"USD","SOFR",I2748,J2748,0,"Actual360","Simple","Annual","Annual","Annual")</f>
        <v>QSObject:Swap:w1~swap.2746:17016</v>
      </c>
      <c r="F2748" s="6" t="str">
        <f>_xll.QS.TRADE.CREATE("trade.2746",E2748,A2748,"Receive")</f>
        <v>QSObject:SwapTrade:w1~trade.2746:29104</v>
      </c>
      <c r="G2748" s="3">
        <f>_xll.QS.EVALUATE(C2748,F2748)</f>
        <v>44606.178643363965</v>
      </c>
      <c r="H2748" s="5" t="s">
        <v>1883</v>
      </c>
      <c r="I2748" s="7">
        <v>1274600</v>
      </c>
      <c r="J2748" s="8">
        <v>3.9600000000000003E-2</v>
      </c>
    </row>
    <row r="2749" spans="1:10" x14ac:dyDescent="0.25">
      <c r="A2749" s="5" t="s">
        <v>1871</v>
      </c>
      <c r="B2749" s="5" t="s">
        <v>4616</v>
      </c>
      <c r="C2749" s="6" t="str">
        <f>_xll.QS.CONTEXT.CREATE("market.2747",A2749,"USD","SOFR")</f>
        <v>QSObject:PricingContext:w1~market.2747:4834</v>
      </c>
      <c r="D2749" s="6" t="str">
        <f>_xll.QS.CONTEXT.ADD.CURVE(C2749,"SOFR",$K$2:$K$7,$L$2:$L$7,,,"Actual360","LogLinear",TRUE)</f>
        <v>QSObject:ContextInput:w1~input.qs_context_add_curve.2359132437744.2748.3.0:16050</v>
      </c>
      <c r="E2749" s="6" t="str">
        <f>_xll.QS.INSTRUMENT.SWAP("swap.2747",H2749,B2749,"USD","SOFR",I2749,J2749,0,"Actual360","Simple","Annual","Annual","Annual")</f>
        <v>QSObject:Swap:w1~swap.2747:12735</v>
      </c>
      <c r="F2749" s="6" t="str">
        <f>_xll.QS.TRADE.CREATE("trade.2747",E2749,A2749,"Receive")</f>
        <v>QSObject:SwapTrade:w1~trade.2747:14358</v>
      </c>
      <c r="G2749" s="3">
        <f>_xll.QS.EVALUATE(C2749,F2749)</f>
        <v>45253.326857928667</v>
      </c>
      <c r="H2749" s="5" t="s">
        <v>1885</v>
      </c>
      <c r="I2749" s="7">
        <v>1274700</v>
      </c>
      <c r="J2749" s="8">
        <v>3.9700000000000013E-2</v>
      </c>
    </row>
    <row r="2750" spans="1:10" x14ac:dyDescent="0.25">
      <c r="A2750" s="5" t="s">
        <v>1873</v>
      </c>
      <c r="B2750" s="5" t="s">
        <v>4617</v>
      </c>
      <c r="C2750" s="6" t="str">
        <f>_xll.QS.CONTEXT.CREATE("market.2748",A2750,"USD","SOFR")</f>
        <v>QSObject:PricingContext:w1~market.2748:9601</v>
      </c>
      <c r="D2750" s="6" t="str">
        <f>_xll.QS.CONTEXT.ADD.CURVE(C2750,"SOFR",$K$2:$K$7,$L$2:$L$7,,,"Actual360","LogLinear",TRUE)</f>
        <v>QSObject:ContextInput:w1~input.qs_context_add_curve.2359132437744.2749.3.0:29103</v>
      </c>
      <c r="E2750" s="6" t="str">
        <f>_xll.QS.INSTRUMENT.SWAP("swap.2748",H2750,B2750,"USD","SOFR",I2750,J2750,0,"Actual360","Simple","Annual","Annual","Annual")</f>
        <v>QSObject:Swap:w1~swap.2748:8005</v>
      </c>
      <c r="F2750" s="6" t="str">
        <f>_xll.QS.TRADE.CREATE("trade.2748",E2750,A2750,"Receive")</f>
        <v>QSObject:SwapTrade:w1~trade.2748:11235</v>
      </c>
      <c r="G2750" s="3">
        <f>_xll.QS.EVALUATE(C2750,F2750)</f>
        <v>45795.564535329002</v>
      </c>
      <c r="H2750" s="5" t="s">
        <v>1887</v>
      </c>
      <c r="I2750" s="7">
        <v>1274800</v>
      </c>
      <c r="J2750" s="8">
        <v>3.9800000000000002E-2</v>
      </c>
    </row>
    <row r="2751" spans="1:10" x14ac:dyDescent="0.25">
      <c r="A2751" s="5" t="s">
        <v>1875</v>
      </c>
      <c r="B2751" s="5" t="s">
        <v>4618</v>
      </c>
      <c r="C2751" s="6" t="str">
        <f>_xll.QS.CONTEXT.CREATE("market.2749",A2751,"USD","SOFR")</f>
        <v>QSObject:PricingContext:w1~market.2749:4833</v>
      </c>
      <c r="D2751" s="6" t="str">
        <f>_xll.QS.CONTEXT.ADD.CURVE(C2751,"SOFR",$K$2:$K$7,$L$2:$L$7,,,"Actual360","LogLinear",TRUE)</f>
        <v>QSObject:ContextInput:w1~input.qs_context_add_curve.2359132437744.2750.3.0:17015</v>
      </c>
      <c r="E2751" s="6" t="str">
        <f>_xll.QS.INSTRUMENT.SWAP("swap.2749",H2751,B2751,"USD","SOFR",I2751,J2751,0,"Actual360","Simple","Annual","Annual","Annual")</f>
        <v>QSObject:Swap:w1~swap.2749:3272</v>
      </c>
      <c r="F2751" s="6" t="str">
        <f>_xll.QS.TRADE.CREATE("trade.2749",E2751,A2751,"Receive")</f>
        <v>QSObject:SwapTrade:w1~trade.2749:16049</v>
      </c>
      <c r="G2751" s="3">
        <f>_xll.QS.EVALUATE(C2751,F2751)</f>
        <v>46278.694679192216</v>
      </c>
      <c r="H2751" s="5" t="s">
        <v>1889</v>
      </c>
      <c r="I2751" s="7">
        <v>1274900</v>
      </c>
      <c r="J2751" s="8">
        <v>3.9899999999999998E-2</v>
      </c>
    </row>
    <row r="2752" spans="1:10" x14ac:dyDescent="0.25">
      <c r="A2752" s="5" t="s">
        <v>1877</v>
      </c>
      <c r="B2752" s="5" t="s">
        <v>4619</v>
      </c>
      <c r="C2752" s="6" t="str">
        <f>_xll.QS.CONTEXT.CREATE("market.2750",A2752,"USD","SOFR")</f>
        <v>QSObject:PricingContext:w1~market.2750:1747</v>
      </c>
      <c r="D2752" s="6" t="str">
        <f>_xll.QS.CONTEXT.ADD.CURVE(C2752,"SOFR",$K$2:$K$7,$L$2:$L$7,,,"Actual360","LogLinear",TRUE)</f>
        <v>QSObject:ContextInput:w1~input.qs_context_add_curve.2359132437744.2751.3.0:14357</v>
      </c>
      <c r="E2752" s="6" t="str">
        <f>_xll.QS.INSTRUMENT.SWAP("swap.2750",H2752,B2752,"USD","SOFR",I2752,J2752,0,"Actual360","Simple","Annual","Annual","Annual")</f>
        <v>QSObject:Swap:w1~swap.2750:12734</v>
      </c>
      <c r="F2752" s="6" t="str">
        <f>_xll.QS.TRADE.CREATE("trade.2750",E2752,A2752,"Receive")</f>
        <v>QSObject:SwapTrade:w1~trade.2750:29102</v>
      </c>
      <c r="G2752" s="3">
        <f>_xll.QS.EVALUATE(C2752,F2752)</f>
        <v>17389.001611090731</v>
      </c>
      <c r="H2752" s="5" t="s">
        <v>1891</v>
      </c>
      <c r="I2752" s="7">
        <v>1275000</v>
      </c>
      <c r="J2752" s="8">
        <v>3.5000000000000003E-2</v>
      </c>
    </row>
    <row r="2753" spans="1:10" x14ac:dyDescent="0.25">
      <c r="A2753" s="5" t="s">
        <v>1879</v>
      </c>
      <c r="B2753" s="5" t="s">
        <v>4620</v>
      </c>
      <c r="C2753" s="6" t="str">
        <f>_xll.QS.CONTEXT.CREATE("market.2751",A2753,"USD","SOFR")</f>
        <v>QSObject:PricingContext:w1~market.2751:8004</v>
      </c>
      <c r="D2753" s="6" t="str">
        <f>_xll.QS.CONTEXT.ADD.CURVE(C2753,"SOFR",$K$2:$K$7,$L$2:$L$7,,,"Actual360","LogLinear",TRUE)</f>
        <v>QSObject:ContextInput:w1~input.qs_context_add_curve.2359132437744.2752.3.0:37708</v>
      </c>
      <c r="E2753" s="6" t="str">
        <f>_xll.QS.INSTRUMENT.SWAP("swap.2751",H2753,B2753,"USD","SOFR",I2753,J2753,0,"Actual360","Simple","Annual","Annual","Annual")</f>
        <v>QSObject:Swap:w1~swap.2751:11234</v>
      </c>
      <c r="F2753" s="6" t="str">
        <f>_xll.QS.TRADE.CREATE("trade.2751",E2753,A2753,"Receive")</f>
        <v>QSObject:SwapTrade:w1~trade.2751:29101</v>
      </c>
      <c r="G2753" s="3">
        <f>_xll.QS.EVALUATE(C2753,F2753)</f>
        <v>18030.782890652925</v>
      </c>
      <c r="H2753" s="5" t="s">
        <v>1893</v>
      </c>
      <c r="I2753" s="7">
        <v>1275100</v>
      </c>
      <c r="J2753" s="8">
        <v>3.5100000000000013E-2</v>
      </c>
    </row>
    <row r="2754" spans="1:10" x14ac:dyDescent="0.25">
      <c r="A2754" s="5" t="s">
        <v>1881</v>
      </c>
      <c r="B2754" s="5" t="s">
        <v>4621</v>
      </c>
      <c r="C2754" s="6" t="str">
        <f>_xll.QS.CONTEXT.CREATE("market.2752",A2754,"USD","SOFR")</f>
        <v>QSObject:PricingContext:w1~market.2752:16048</v>
      </c>
      <c r="D2754" s="6" t="str">
        <f>_xll.QS.CONTEXT.ADD.CURVE(C2754,"SOFR",$K$2:$K$7,$L$2:$L$7,,,"Actual360","LogLinear",TRUE)</f>
        <v>QSObject:ContextInput:w1~input.qs_context_add_curve.2359132437744.2753.3.0:37707</v>
      </c>
      <c r="E2754" s="6" t="str">
        <f>_xll.QS.INSTRUMENT.SWAP("swap.2752",H2754,B2754,"USD","SOFR",I2754,J2754,0,"Actual360","Simple","Annual","Annual","Annual")</f>
        <v>QSObject:Swap:w1~swap.2752:17014</v>
      </c>
      <c r="F2754" s="6" t="str">
        <f>_xll.QS.TRADE.CREATE("trade.2752",E2754,A2754,"Receive")</f>
        <v>QSObject:SwapTrade:w1~trade.2752:29100</v>
      </c>
      <c r="G2754" s="3">
        <f>_xll.QS.EVALUATE(C2754,F2754)</f>
        <v>18660.030687330858</v>
      </c>
      <c r="H2754" s="5" t="s">
        <v>1895</v>
      </c>
      <c r="I2754" s="7">
        <v>1275200</v>
      </c>
      <c r="J2754" s="8">
        <v>3.5200000000000002E-2</v>
      </c>
    </row>
    <row r="2755" spans="1:10" x14ac:dyDescent="0.25">
      <c r="A2755" s="5" t="s">
        <v>1883</v>
      </c>
      <c r="B2755" s="5" t="s">
        <v>4622</v>
      </c>
      <c r="C2755" s="6" t="str">
        <f>_xll.QS.CONTEXT.CREATE("market.2753",A2755,"USD","SOFR")</f>
        <v>QSObject:PricingContext:w1~market.2753:1746</v>
      </c>
      <c r="D2755" s="6" t="str">
        <f>_xll.QS.CONTEXT.ADD.CURVE(C2755,"SOFR",$K$2:$K$7,$L$2:$L$7,,,"Actual360","LogLinear",TRUE)</f>
        <v>QSObject:ContextInput:w1~input.qs_context_add_curve.2359132437744.2754.3.0:9600</v>
      </c>
      <c r="E2755" s="6" t="str">
        <f>_xll.QS.INSTRUMENT.SWAP("swap.2753",H2755,B2755,"USD","SOFR",I2755,J2755,0,"Actual360","Simple","Annual","Annual","Annual")</f>
        <v>QSObject:Swap:w1~swap.2753:14356</v>
      </c>
      <c r="F2755" s="6" t="str">
        <f>_xll.QS.TRADE.CREATE("trade.2753",E2755,A2755,"Receive")</f>
        <v>QSObject:SwapTrade:w1~trade.2753:29099</v>
      </c>
      <c r="G2755" s="3">
        <f>_xll.QS.EVALUATE(C2755,F2755)</f>
        <v>19342.787237157492</v>
      </c>
      <c r="H2755" s="5" t="s">
        <v>1897</v>
      </c>
      <c r="I2755" s="7">
        <v>1275300</v>
      </c>
      <c r="J2755" s="8">
        <v>3.5299999999999998E-2</v>
      </c>
    </row>
    <row r="2756" spans="1:10" x14ac:dyDescent="0.25">
      <c r="A2756" s="5" t="s">
        <v>1885</v>
      </c>
      <c r="B2756" s="5" t="s">
        <v>4623</v>
      </c>
      <c r="C2756" s="6" t="str">
        <f>_xll.QS.CONTEXT.CREATE("market.2754",A2756,"USD","SOFR")</f>
        <v>QSObject:PricingContext:w1~market.2754:17013</v>
      </c>
      <c r="D2756" s="6" t="str">
        <f>_xll.QS.CONTEXT.ADD.CURVE(C2756,"SOFR",$K$2:$K$7,$L$2:$L$7,,,"Actual360","LogLinear",TRUE)</f>
        <v>QSObject:ContextInput:w1~input.qs_context_add_curve.2359132437744.2755.3.0:37706</v>
      </c>
      <c r="E2756" s="6" t="str">
        <f>_xll.QS.INSTRUMENT.SWAP("swap.2754",H2756,B2756,"USD","SOFR",I2756,J2756,0,"Actual360","Simple","Annual","Annual","Annual")</f>
        <v>QSObject:Swap:w1~swap.2754:11233</v>
      </c>
      <c r="F2756" s="6" t="str">
        <f>_xll.QS.TRADE.CREATE("trade.2754",E2756,A2756,"Receive")</f>
        <v>QSObject:SwapTrade:w1~trade.2754:29098</v>
      </c>
      <c r="G2756" s="3">
        <f>_xll.QS.EVALUATE(C2756,F2756)</f>
        <v>19988.015714980153</v>
      </c>
      <c r="H2756" s="5" t="s">
        <v>1899</v>
      </c>
      <c r="I2756" s="7">
        <v>1275400</v>
      </c>
      <c r="J2756" s="8">
        <v>3.5400000000000001E-2</v>
      </c>
    </row>
    <row r="2757" spans="1:10" x14ac:dyDescent="0.25">
      <c r="A2757" s="5" t="s">
        <v>1887</v>
      </c>
      <c r="B2757" s="5" t="s">
        <v>4624</v>
      </c>
      <c r="C2757" s="6" t="str">
        <f>_xll.QS.CONTEXT.CREATE("market.2755",A2757,"USD","SOFR")</f>
        <v>QSObject:PricingContext:w1~market.2755:16047</v>
      </c>
      <c r="D2757" s="6" t="str">
        <f>_xll.QS.CONTEXT.ADD.CURVE(C2757,"SOFR",$K$2:$K$7,$L$2:$L$7,,,"Actual360","LogLinear",TRUE)</f>
        <v>QSObject:ContextInput:w1~input.qs_context_add_curve.2359132437744.2756.3.0:37705</v>
      </c>
      <c r="E2757" s="6" t="str">
        <f>_xll.QS.INSTRUMENT.SWAP("swap.2755",H2757,B2757,"USD","SOFR",I2757,J2757,0,"Actual360","Simple","Annual","Annual","Annual")</f>
        <v>QSObject:Swap:w1~swap.2755:4832</v>
      </c>
      <c r="F2757" s="6" t="str">
        <f>_xll.QS.TRADE.CREATE("trade.2755",E2757,A2757,"Receive")</f>
        <v>QSObject:SwapTrade:w1~trade.2755:9599</v>
      </c>
      <c r="G2757" s="3">
        <f>_xll.QS.EVALUATE(C2757,F2757)</f>
        <v>20528.844117038985</v>
      </c>
      <c r="H2757" s="5" t="s">
        <v>1901</v>
      </c>
      <c r="I2757" s="7">
        <v>1275500</v>
      </c>
      <c r="J2757" s="8">
        <v>3.5499999999999997E-2</v>
      </c>
    </row>
    <row r="2758" spans="1:10" x14ac:dyDescent="0.25">
      <c r="A2758" s="5" t="s">
        <v>1889</v>
      </c>
      <c r="B2758" s="5" t="s">
        <v>4625</v>
      </c>
      <c r="C2758" s="6" t="str">
        <f>_xll.QS.CONTEXT.CREATE("market.2756",A2758,"USD","SOFR")</f>
        <v>QSObject:PricingContext:w1~market.2756:14355</v>
      </c>
      <c r="D2758" s="6" t="str">
        <f>_xll.QS.CONTEXT.ADD.CURVE(C2758,"SOFR",$K$2:$K$7,$L$2:$L$7,,,"Actual360","LogLinear",TRUE)</f>
        <v>QSObject:ContextInput:w1~input.qs_context_add_curve.2359132437744.2757.3.0:37704</v>
      </c>
      <c r="E2758" s="6" t="str">
        <f>_xll.QS.INSTRUMENT.SWAP("swap.2756",H2758,B2758,"USD","SOFR",I2758,J2758,0,"Actual360","Simple","Annual","Annual","Annual")</f>
        <v>QSObject:Swap:w1~swap.2756:1745</v>
      </c>
      <c r="F2758" s="6" t="str">
        <f>_xll.QS.TRADE.CREATE("trade.2756",E2758,A2758,"Receive")</f>
        <v>QSObject:SwapTrade:w1~trade.2756:17012</v>
      </c>
      <c r="G2758" s="3">
        <f>_xll.QS.EVALUATE(C2758,F2758)</f>
        <v>21040.042089523507</v>
      </c>
      <c r="H2758" s="5" t="s">
        <v>1903</v>
      </c>
      <c r="I2758" s="7">
        <v>1275600</v>
      </c>
      <c r="J2758" s="8">
        <v>3.5600000000000007E-2</v>
      </c>
    </row>
    <row r="2759" spans="1:10" x14ac:dyDescent="0.25">
      <c r="A2759" s="5" t="s">
        <v>1891</v>
      </c>
      <c r="B2759" s="5" t="s">
        <v>4626</v>
      </c>
      <c r="C2759" s="6" t="str">
        <f>_xll.QS.CONTEXT.CREATE("market.2757",A2759,"USD","SOFR")</f>
        <v>QSObject:PricingContext:w1~market.2757:3271</v>
      </c>
      <c r="D2759" s="6" t="str">
        <f>_xll.QS.CONTEXT.ADD.CURVE(C2759,"SOFR",$K$2:$K$7,$L$2:$L$7,,,"Actual360","LogLinear",TRUE)</f>
        <v>QSObject:ContextInput:w1~input.qs_context_add_curve.2359132437744.2758.3.0:11232</v>
      </c>
      <c r="E2759" s="6" t="str">
        <f>_xll.QS.INSTRUMENT.SWAP("swap.2757",H2759,B2759,"USD","SOFR",I2759,J2759,0,"Actual360","Simple","Annual","Annual","Annual")</f>
        <v>QSObject:Swap:w1~swap.2757:8003</v>
      </c>
      <c r="F2759" s="6" t="str">
        <f>_xll.QS.TRADE.CREATE("trade.2757",E2759,A2759,"Receive")</f>
        <v>QSObject:SwapTrade:w1~trade.2757:16046</v>
      </c>
      <c r="G2759" s="3">
        <f>_xll.QS.EVALUATE(C2759,F2759)</f>
        <v>21518.009425998011</v>
      </c>
      <c r="H2759" s="5" t="s">
        <v>1905</v>
      </c>
      <c r="I2759" s="7">
        <v>1275700</v>
      </c>
      <c r="J2759" s="8">
        <v>3.5700000000000003E-2</v>
      </c>
    </row>
    <row r="2760" spans="1:10" x14ac:dyDescent="0.25">
      <c r="A2760" s="5" t="s">
        <v>1893</v>
      </c>
      <c r="B2760" s="5" t="s">
        <v>4627</v>
      </c>
      <c r="C2760" s="6" t="str">
        <f>_xll.QS.CONTEXT.CREATE("market.2758",A2760,"USD","SOFR")</f>
        <v>QSObject:PricingContext:w1~market.2758:4831</v>
      </c>
      <c r="D2760" s="6" t="str">
        <f>_xll.QS.CONTEXT.ADD.CURVE(C2760,"SOFR",$K$2:$K$7,$L$2:$L$7,,,"Actual360","LogLinear",TRUE)</f>
        <v>QSObject:ContextInput:w1~input.qs_context_add_curve.2359132437744.2759.3.0:14354</v>
      </c>
      <c r="E2760" s="6" t="str">
        <f>_xll.QS.INSTRUMENT.SWAP("swap.2758",H2760,B2760,"USD","SOFR",I2760,J2760,0,"Actual360","Simple","Annual","Annual","Annual")</f>
        <v>QSObject:Swap:w1~swap.2758:12733</v>
      </c>
      <c r="F2760" s="6" t="str">
        <f>_xll.QS.TRADE.CREATE("trade.2758",E2760,A2760,"Receive")</f>
        <v>QSObject:SwapTrade:w1~trade.2758:17011</v>
      </c>
      <c r="G2760" s="3">
        <f>_xll.QS.EVALUATE(C2760,F2760)</f>
        <v>22160.864268644</v>
      </c>
      <c r="H2760" s="5" t="s">
        <v>1907</v>
      </c>
      <c r="I2760" s="7">
        <v>1275800</v>
      </c>
      <c r="J2760" s="8">
        <v>3.5800000000000012E-2</v>
      </c>
    </row>
    <row r="2761" spans="1:10" x14ac:dyDescent="0.25">
      <c r="A2761" s="5" t="s">
        <v>1895</v>
      </c>
      <c r="B2761" s="5" t="s">
        <v>4628</v>
      </c>
      <c r="C2761" s="6" t="str">
        <f>_xll.QS.CONTEXT.CREATE("market.2759",A2761,"USD","SOFR")</f>
        <v>QSObject:PricingContext:w1~market.2759:11231</v>
      </c>
      <c r="D2761" s="6" t="str">
        <f>_xll.QS.CONTEXT.ADD.CURVE(C2761,"SOFR",$K$2:$K$7,$L$2:$L$7,,,"Actual360","LogLinear",TRUE)</f>
        <v>QSObject:ContextInput:w1~input.qs_context_add_curve.2359132437744.2760.3.0:37703</v>
      </c>
      <c r="E2761" s="6" t="str">
        <f>_xll.QS.INSTRUMENT.SWAP("swap.2759",H2761,B2761,"USD","SOFR",I2761,J2761,0,"Actual360","Simple","Annual","Annual","Annual")</f>
        <v>QSObject:Swap:w1~swap.2759:9598</v>
      </c>
      <c r="F2761" s="6" t="str">
        <f>_xll.QS.TRADE.CREATE("trade.2759",E2761,A2761,"Receive")</f>
        <v>QSObject:SwapTrade:w1~trade.2759:29097</v>
      </c>
      <c r="G2761" s="3">
        <f>_xll.QS.EVALUATE(C2761,F2761)</f>
        <v>22788.778465738702</v>
      </c>
      <c r="H2761" s="5" t="s">
        <v>1909</v>
      </c>
      <c r="I2761" s="7">
        <v>1275900</v>
      </c>
      <c r="J2761" s="8">
        <v>3.5900000000000001E-2</v>
      </c>
    </row>
    <row r="2762" spans="1:10" x14ac:dyDescent="0.25">
      <c r="A2762" s="5" t="s">
        <v>1897</v>
      </c>
      <c r="B2762" s="5" t="s">
        <v>4629</v>
      </c>
      <c r="C2762" s="6" t="str">
        <f>_xll.QS.CONTEXT.CREATE("market.2760",A2762,"USD","SOFR")</f>
        <v>QSObject:PricingContext:w1~market.2760:8002</v>
      </c>
      <c r="D2762" s="6" t="str">
        <f>_xll.QS.CONTEXT.ADD.CURVE(C2762,"SOFR",$K$2:$K$7,$L$2:$L$7,,,"Actual360","LogLinear",TRUE)</f>
        <v>QSObject:ContextInput:w1~input.qs_context_add_curve.2359132437744.2761.3.0:16045</v>
      </c>
      <c r="E2762" s="6" t="str">
        <f>_xll.QS.INSTRUMENT.SWAP("swap.2760",H2762,B2762,"USD","SOFR",I2762,J2762,0,"Actual360","Simple","Annual","Annual","Annual")</f>
        <v>QSObject:Swap:w1~swap.2760:6413</v>
      </c>
      <c r="F2762" s="6" t="str">
        <f>_xll.QS.TRADE.CREATE("trade.2760",E2762,A2762,"Receive")</f>
        <v>QSObject:SwapTrade:w1~trade.2760:29096</v>
      </c>
      <c r="G2762" s="3">
        <f>_xll.QS.EVALUATE(C2762,F2762)</f>
        <v>23472.296942771296</v>
      </c>
      <c r="H2762" s="5" t="s">
        <v>1911</v>
      </c>
      <c r="I2762" s="7">
        <v>1276000</v>
      </c>
      <c r="J2762" s="8">
        <v>3.5999999999999997E-2</v>
      </c>
    </row>
    <row r="2763" spans="1:10" x14ac:dyDescent="0.25">
      <c r="A2763" s="5" t="s">
        <v>1899</v>
      </c>
      <c r="B2763" s="5" t="s">
        <v>4630</v>
      </c>
      <c r="C2763" s="6" t="str">
        <f>_xll.QS.CONTEXT.CREATE("market.2761",A2763,"USD","SOFR")</f>
        <v>QSObject:PricingContext:w1~market.2761:11230</v>
      </c>
      <c r="D2763" s="6" t="str">
        <f>_xll.QS.CONTEXT.ADD.CURVE(C2763,"SOFR",$K$2:$K$7,$L$2:$L$7,,,"Actual360","LogLinear",TRUE)</f>
        <v>QSObject:ContextInput:w1~input.qs_context_add_curve.2359132437744.2762.3.0:12732</v>
      </c>
      <c r="E2763" s="6" t="str">
        <f>_xll.QS.INSTRUMENT.SWAP("swap.2761",H2763,B2763,"USD","SOFR",I2763,J2763,0,"Actual360","Simple","Annual","Annual","Annual")</f>
        <v>QSObject:Swap:w1~swap.2761:14353</v>
      </c>
      <c r="F2763" s="6" t="str">
        <f>_xll.QS.TRADE.CREATE("trade.2761",E2763,A2763,"Receive")</f>
        <v>QSObject:SwapTrade:w1~trade.2761:29095</v>
      </c>
      <c r="G2763" s="3">
        <f>_xll.QS.EVALUATE(C2763,F2763)</f>
        <v>24118.430777582056</v>
      </c>
      <c r="H2763" s="5" t="s">
        <v>1913</v>
      </c>
      <c r="I2763" s="7">
        <v>1276100</v>
      </c>
      <c r="J2763" s="8">
        <v>3.61E-2</v>
      </c>
    </row>
    <row r="2764" spans="1:10" x14ac:dyDescent="0.25">
      <c r="A2764" s="5" t="s">
        <v>1901</v>
      </c>
      <c r="B2764" s="5" t="s">
        <v>4631</v>
      </c>
      <c r="C2764" s="6" t="str">
        <f>_xll.QS.CONTEXT.CREATE("market.2762",A2764,"USD","SOFR")</f>
        <v>QSObject:PricingContext:w1~market.2762:9597</v>
      </c>
      <c r="D2764" s="6" t="str">
        <f>_xll.QS.CONTEXT.ADD.CURVE(C2764,"SOFR",$K$2:$K$7,$L$2:$L$7,,,"Actual360","LogLinear",TRUE)</f>
        <v>QSObject:ContextInput:w1~input.qs_context_add_curve.2359132437744.2763.3.0:37702</v>
      </c>
      <c r="E2764" s="6" t="str">
        <f>_xll.QS.INSTRUMENT.SWAP("swap.2762",H2764,B2764,"USD","SOFR",I2764,J2764,0,"Actual360","Simple","Annual","Annual","Annual")</f>
        <v>QSObject:Swap:w1~swap.2762:17010</v>
      </c>
      <c r="F2764" s="6" t="str">
        <f>_xll.QS.TRADE.CREATE("trade.2762",E2764,A2764,"Receive")</f>
        <v>QSObject:SwapTrade:w1~trade.2762:29094</v>
      </c>
      <c r="G2764" s="3">
        <f>_xll.QS.EVALUATE(C2764,F2764)</f>
        <v>24659.650697142621</v>
      </c>
      <c r="H2764" s="5" t="s">
        <v>1915</v>
      </c>
      <c r="I2764" s="7">
        <v>1276200</v>
      </c>
      <c r="J2764" s="8">
        <v>3.6200000000000003E-2</v>
      </c>
    </row>
    <row r="2765" spans="1:10" x14ac:dyDescent="0.25">
      <c r="A2765" s="5" t="s">
        <v>1903</v>
      </c>
      <c r="B2765" s="5" t="s">
        <v>4632</v>
      </c>
      <c r="C2765" s="6" t="str">
        <f>_xll.QS.CONTEXT.CREATE("market.2763",A2765,"USD","SOFR")</f>
        <v>QSObject:PricingContext:w1~market.2763:4830</v>
      </c>
      <c r="D2765" s="6" t="str">
        <f>_xll.QS.CONTEXT.ADD.CURVE(C2765,"SOFR",$K$2:$K$7,$L$2:$L$7,,,"Actual360","LogLinear",TRUE)</f>
        <v>QSObject:ContextInput:w1~input.qs_context_add_curve.2359132437744.2764.3.0:6412</v>
      </c>
      <c r="E2765" s="6" t="str">
        <f>_xll.QS.INSTRUMENT.SWAP("swap.2763",H2765,B2765,"USD","SOFR",I2765,J2765,0,"Actual360","Simple","Annual","Annual","Annual")</f>
        <v>QSObject:Swap:w1~swap.2763:8001</v>
      </c>
      <c r="F2765" s="6" t="str">
        <f>_xll.QS.TRADE.CREATE("trade.2763",E2765,A2765,"Receive")</f>
        <v>QSObject:SwapTrade:w1~trade.2763:12731</v>
      </c>
      <c r="G2765" s="3">
        <f>_xll.QS.EVALUATE(C2765,F2765)</f>
        <v>25166.599331883546</v>
      </c>
      <c r="H2765" s="5" t="s">
        <v>1917</v>
      </c>
      <c r="I2765" s="7">
        <v>1276300</v>
      </c>
      <c r="J2765" s="8">
        <v>3.6300000000000013E-2</v>
      </c>
    </row>
    <row r="2766" spans="1:10" x14ac:dyDescent="0.25">
      <c r="A2766" s="5" t="s">
        <v>1905</v>
      </c>
      <c r="B2766" s="5" t="s">
        <v>4633</v>
      </c>
      <c r="C2766" s="6" t="str">
        <f>_xll.QS.CONTEXT.CREATE("market.2764",A2766,"USD","SOFR")</f>
        <v>QSObject:PricingContext:w1~market.2764:9596</v>
      </c>
      <c r="D2766" s="6" t="str">
        <f>_xll.QS.CONTEXT.ADD.CURVE(C2766,"SOFR",$K$2:$K$7,$L$2:$L$7,,,"Actual360","LogLinear",TRUE)</f>
        <v>QSObject:ContextInput:w1~input.qs_context_add_curve.2359132437744.2765.3.0:14352</v>
      </c>
      <c r="E2766" s="6" t="str">
        <f>_xll.QS.INSTRUMENT.SWAP("swap.2764",H2766,B2766,"USD","SOFR",I2766,J2766,0,"Actual360","Simple","Annual","Annual","Annual")</f>
        <v>QSObject:Swap:w1~swap.2764:11229</v>
      </c>
      <c r="F2766" s="6" t="str">
        <f>_xll.QS.TRADE.CREATE("trade.2764",E2766,A2766,"Receive")</f>
        <v>QSObject:SwapTrade:w1~trade.2764:16044</v>
      </c>
      <c r="G2766" s="3">
        <f>_xll.QS.EVALUATE(C2766,F2766)</f>
        <v>25651.538088500354</v>
      </c>
      <c r="H2766" s="5" t="s">
        <v>1919</v>
      </c>
      <c r="I2766" s="7">
        <v>1276400</v>
      </c>
      <c r="J2766" s="8">
        <v>3.6400000000000002E-2</v>
      </c>
    </row>
    <row r="2767" spans="1:10" x14ac:dyDescent="0.25">
      <c r="A2767" s="5" t="s">
        <v>1907</v>
      </c>
      <c r="B2767" s="5" t="s">
        <v>4634</v>
      </c>
      <c r="C2767" s="6" t="str">
        <f>_xll.QS.CONTEXT.CREATE("market.2765",A2767,"USD","SOFR")</f>
        <v>QSObject:PricingContext:w1~market.2765:6411</v>
      </c>
      <c r="D2767" s="6" t="str">
        <f>_xll.QS.CONTEXT.ADD.CURVE(C2767,"SOFR",$K$2:$K$7,$L$2:$L$7,,,"Actual360","LogLinear",TRUE)</f>
        <v>QSObject:ContextInput:w1~input.qs_context_add_curve.2359132437744.2766.3.0:29093</v>
      </c>
      <c r="E2767" s="6" t="str">
        <f>_xll.QS.INSTRUMENT.SWAP("swap.2765",H2767,B2767,"USD","SOFR",I2767,J2767,0,"Actual360","Simple","Annual","Annual","Annual")</f>
        <v>QSObject:Swap:w1~swap.2765:17009</v>
      </c>
      <c r="F2767" s="6" t="str">
        <f>_xll.QS.TRADE.CREATE("trade.2765",E2767,A2767,"Receive")</f>
        <v>QSObject:SwapTrade:w1~trade.2765:29092</v>
      </c>
      <c r="G2767" s="3">
        <f>_xll.QS.EVALUATE(C2767,F2767)</f>
        <v>26295.460654560331</v>
      </c>
      <c r="H2767" s="5" t="s">
        <v>1921</v>
      </c>
      <c r="I2767" s="7">
        <v>1276500</v>
      </c>
      <c r="J2767" s="8">
        <v>3.6499999999999998E-2</v>
      </c>
    </row>
    <row r="2768" spans="1:10" x14ac:dyDescent="0.25">
      <c r="A2768" s="5" t="s">
        <v>1909</v>
      </c>
      <c r="B2768" s="5" t="s">
        <v>4635</v>
      </c>
      <c r="C2768" s="6" t="str">
        <f>_xll.QS.CONTEXT.CREATE("market.2766",A2768,"USD","SOFR")</f>
        <v>QSObject:PricingContext:w1~market.2766:3270</v>
      </c>
      <c r="D2768" s="6" t="str">
        <f>_xll.QS.CONTEXT.ADD.CURVE(C2768,"SOFR",$K$2:$K$7,$L$2:$L$7,,,"Actual360","LogLinear",TRUE)</f>
        <v>QSObject:ContextInput:w1~input.qs_context_add_curve.2359132437744.2767.3.0:8000</v>
      </c>
      <c r="E2768" s="6" t="str">
        <f>_xll.QS.INSTRUMENT.SWAP("swap.2766",H2768,B2768,"USD","SOFR",I2768,J2768,0,"Actual360","Simple","Annual","Annual","Annual")</f>
        <v>QSObject:Swap:w1~swap.2766:4829</v>
      </c>
      <c r="F2768" s="6" t="str">
        <f>_xll.QS.TRADE.CREATE("trade.2766",E2768,A2768,"Receive")</f>
        <v>QSObject:SwapTrade:w1~trade.2766:11228</v>
      </c>
      <c r="G2768" s="3">
        <f>_xll.QS.EVALUATE(C2768,F2768)</f>
        <v>26921.343146061758</v>
      </c>
      <c r="H2768" s="5" t="s">
        <v>1923</v>
      </c>
      <c r="I2768" s="7">
        <v>1276600</v>
      </c>
      <c r="J2768" s="8">
        <v>3.6600000000000001E-2</v>
      </c>
    </row>
    <row r="2769" spans="1:10" x14ac:dyDescent="0.25">
      <c r="A2769" s="5" t="s">
        <v>1911</v>
      </c>
      <c r="B2769" s="5" t="s">
        <v>4636</v>
      </c>
      <c r="C2769" s="6" t="str">
        <f>_xll.QS.CONTEXT.CREATE("market.2767",A2769,"USD","SOFR")</f>
        <v>QSObject:PricingContext:w1~market.2767:16043</v>
      </c>
      <c r="D2769" s="6" t="str">
        <f>_xll.QS.CONTEXT.ADD.CURVE(C2769,"SOFR",$K$2:$K$7,$L$2:$L$7,,,"Actual360","LogLinear",TRUE)</f>
        <v>QSObject:ContextInput:w1~input.qs_context_add_curve.2359132437744.2768.3.0:37701</v>
      </c>
      <c r="E2769" s="6" t="str">
        <f>_xll.QS.INSTRUMENT.SWAP("swap.2767",H2769,B2769,"USD","SOFR",I2769,J2769,0,"Actual360","Simple","Annual","Annual","Annual")</f>
        <v>QSObject:Swap:w1~swap.2767:14351</v>
      </c>
      <c r="F2769" s="6" t="str">
        <f>_xll.QS.TRADE.CREATE("trade.2767",E2769,A2769,"Receive")</f>
        <v>QSObject:SwapTrade:w1~trade.2767:29091</v>
      </c>
      <c r="G2769" s="3">
        <f>_xll.QS.EVALUATE(C2769,F2769)</f>
        <v>27606.325809582682</v>
      </c>
      <c r="H2769" s="5" t="s">
        <v>1925</v>
      </c>
      <c r="I2769" s="7">
        <v>1276700</v>
      </c>
      <c r="J2769" s="8">
        <v>3.6700000000000003E-2</v>
      </c>
    </row>
    <row r="2770" spans="1:10" x14ac:dyDescent="0.25">
      <c r="A2770" s="5" t="s">
        <v>1913</v>
      </c>
      <c r="B2770" s="5" t="s">
        <v>4637</v>
      </c>
      <c r="C2770" s="6" t="str">
        <f>_xll.QS.CONTEXT.CREATE("market.2768",A2770,"USD","SOFR")</f>
        <v>QSObject:PricingContext:w1~market.2768:12730</v>
      </c>
      <c r="D2770" s="6" t="str">
        <f>_xll.QS.CONTEXT.ADD.CURVE(C2770,"SOFR",$K$2:$K$7,$L$2:$L$7,,,"Actual360","LogLinear",TRUE)</f>
        <v>QSObject:ContextInput:w1~input.qs_context_add_curve.2359132437744.2769.3.0:37700</v>
      </c>
      <c r="E2770" s="6" t="str">
        <f>_xll.QS.INSTRUMENT.SWAP("swap.2768",H2770,B2770,"USD","SOFR",I2770,J2770,0,"Actual360","Simple","Annual","Annual","Annual")</f>
        <v>QSObject:Swap:w1~swap.2768:17008</v>
      </c>
      <c r="F2770" s="6" t="str">
        <f>_xll.QS.TRADE.CREATE("trade.2768",E2770,A2770,"Receive")</f>
        <v>QSObject:SwapTrade:w1~trade.2768:29090</v>
      </c>
      <c r="G2770" s="3">
        <f>_xll.QS.EVALUATE(C2770,F2770)</f>
        <v>28253.00110042304</v>
      </c>
      <c r="H2770" s="5" t="s">
        <v>1927</v>
      </c>
      <c r="I2770" s="7">
        <v>1276800</v>
      </c>
      <c r="J2770" s="8">
        <v>3.6800000000000013E-2</v>
      </c>
    </row>
    <row r="2771" spans="1:10" x14ac:dyDescent="0.25">
      <c r="A2771" s="5" t="s">
        <v>1915</v>
      </c>
      <c r="B2771" s="5" t="s">
        <v>4638</v>
      </c>
      <c r="C2771" s="6" t="str">
        <f>_xll.QS.CONTEXT.CREATE("market.2769",A2771,"USD","SOFR")</f>
        <v>QSObject:PricingContext:w1~market.2769:4828</v>
      </c>
      <c r="D2771" s="6" t="str">
        <f>_xll.QS.CONTEXT.ADD.CURVE(C2771,"SOFR",$K$2:$K$7,$L$2:$L$7,,,"Actual360","LogLinear",TRUE)</f>
        <v>QSObject:ContextInput:w1~input.qs_context_add_curve.2359132437744.2770.3.0:11227</v>
      </c>
      <c r="E2771" s="6" t="str">
        <f>_xll.QS.INSTRUMENT.SWAP("swap.2769",H2771,B2771,"USD","SOFR",I2771,J2771,0,"Actual360","Simple","Annual","Annual","Annual")</f>
        <v>QSObject:Swap:w1~swap.2769:16042</v>
      </c>
      <c r="F2771" s="6" t="str">
        <f>_xll.QS.TRADE.CREATE("trade.2769",E2771,A2771,"Receive")</f>
        <v>QSObject:SwapTrade:w1~trade.2769:29089</v>
      </c>
      <c r="G2771" s="3">
        <f>_xll.QS.EVALUATE(C2771,F2771)</f>
        <v>28794.976440672275</v>
      </c>
      <c r="H2771" s="5" t="s">
        <v>1929</v>
      </c>
      <c r="I2771" s="7">
        <v>1276900</v>
      </c>
      <c r="J2771" s="8">
        <v>3.6900000000000002E-2</v>
      </c>
    </row>
    <row r="2772" spans="1:10" x14ac:dyDescent="0.25">
      <c r="A2772" s="5" t="s">
        <v>1917</v>
      </c>
      <c r="B2772" s="5" t="s">
        <v>4639</v>
      </c>
      <c r="C2772" s="6" t="str">
        <f>_xll.QS.CONTEXT.CREATE("market.2770",A2772,"USD","SOFR")</f>
        <v>QSObject:PricingContext:w1~market.2770:6410</v>
      </c>
      <c r="D2772" s="6" t="str">
        <f>_xll.QS.CONTEXT.ADD.CURVE(C2772,"SOFR",$K$2:$K$7,$L$2:$L$7,,,"Actual360","LogLinear",TRUE)</f>
        <v>QSObject:ContextInput:w1~input.qs_context_add_curve.2359132437744.2771.3.0:14350</v>
      </c>
      <c r="E2772" s="6" t="str">
        <f>_xll.QS.INSTRUMENT.SWAP("swap.2770",H2772,B2772,"USD","SOFR",I2772,J2772,0,"Actual360","Simple","Annual","Annual","Annual")</f>
        <v>QSObject:Swap:w1~swap.2770:7999</v>
      </c>
      <c r="F2772" s="6" t="str">
        <f>_xll.QS.TRADE.CREATE("trade.2770",E2772,A2772,"Receive")</f>
        <v>QSObject:SwapTrade:w1~trade.2770:12729</v>
      </c>
      <c r="G2772" s="3">
        <f>_xll.QS.EVALUATE(C2772,F2772)</f>
        <v>29297.670415653942</v>
      </c>
      <c r="H2772" s="5" t="s">
        <v>1931</v>
      </c>
      <c r="I2772" s="7">
        <v>1277000</v>
      </c>
      <c r="J2772" s="8">
        <v>3.7000000000000012E-2</v>
      </c>
    </row>
    <row r="2773" spans="1:10" x14ac:dyDescent="0.25">
      <c r="A2773" s="5" t="s">
        <v>1919</v>
      </c>
      <c r="B2773" s="5" t="s">
        <v>4640</v>
      </c>
      <c r="C2773" s="6" t="str">
        <f>_xll.QS.CONTEXT.CREATE("market.2771",A2773,"USD","SOFR")</f>
        <v>QSObject:PricingContext:w1~market.2771:3269</v>
      </c>
      <c r="D2773" s="6" t="str">
        <f>_xll.QS.CONTEXT.ADD.CURVE(C2773,"SOFR",$K$2:$K$7,$L$2:$L$7,,,"Actual360","LogLinear",TRUE)</f>
        <v>QSObject:ContextInput:w1~input.qs_context_add_curve.2359132437744.2772.3.0:29088</v>
      </c>
      <c r="E2773" s="6" t="str">
        <f>_xll.QS.INSTRUMENT.SWAP("swap.2771",H2773,B2773,"USD","SOFR",I2773,J2773,0,"Actual360","Simple","Annual","Annual","Annual")</f>
        <v>QSObject:Swap:w1~swap.2771:17007</v>
      </c>
      <c r="F2773" s="6" t="str">
        <f>_xll.QS.TRADE.CREATE("trade.2771",E2773,A2773,"Receive")</f>
        <v>QSObject:SwapTrade:w1~trade.2771:29087</v>
      </c>
      <c r="G2773" s="3">
        <f>_xll.QS.EVALUATE(C2773,F2773)</f>
        <v>29789.587598597718</v>
      </c>
      <c r="H2773" s="5" t="s">
        <v>1933</v>
      </c>
      <c r="I2773" s="7">
        <v>1277100</v>
      </c>
      <c r="J2773" s="8">
        <v>3.7100000000000001E-2</v>
      </c>
    </row>
    <row r="2774" spans="1:10" x14ac:dyDescent="0.25">
      <c r="A2774" s="5" t="s">
        <v>1921</v>
      </c>
      <c r="B2774" s="5" t="s">
        <v>4641</v>
      </c>
      <c r="C2774" s="6" t="str">
        <f>_xll.QS.CONTEXT.CREATE("market.2772",A2774,"USD","SOFR")</f>
        <v>QSObject:PricingContext:w1~market.2772:9595</v>
      </c>
      <c r="D2774" s="6" t="str">
        <f>_xll.QS.CONTEXT.ADD.CURVE(C2774,"SOFR",$K$2:$K$7,$L$2:$L$7,,,"Actual360","LogLinear",TRUE)</f>
        <v>QSObject:ContextInput:w1~input.qs_context_add_curve.2359132437744.2773.3.0:16041</v>
      </c>
      <c r="E2774" s="6" t="str">
        <f>_xll.QS.INSTRUMENT.SWAP("swap.2772",H2774,B2774,"USD","SOFR",I2774,J2774,0,"Actual360","Simple","Annual","Annual","Annual")</f>
        <v>QSObject:Swap:w1~swap.2772:4827</v>
      </c>
      <c r="F2774" s="6" t="str">
        <f>_xll.QS.TRADE.CREATE("trade.2772",E2774,A2774,"Receive")</f>
        <v>QSObject:SwapTrade:w1~trade.2772:6409</v>
      </c>
      <c r="G2774" s="3">
        <f>_xll.QS.EVALUATE(C2774,F2774)</f>
        <v>30434.590881173855</v>
      </c>
      <c r="H2774" s="5" t="s">
        <v>1935</v>
      </c>
      <c r="I2774" s="7">
        <v>1277200</v>
      </c>
      <c r="J2774" s="8">
        <v>3.7199999999999997E-2</v>
      </c>
    </row>
    <row r="2775" spans="1:10" x14ac:dyDescent="0.25">
      <c r="A2775" s="5" t="s">
        <v>1923</v>
      </c>
      <c r="B2775" s="5" t="s">
        <v>4642</v>
      </c>
      <c r="C2775" s="6" t="str">
        <f>_xll.QS.CONTEXT.CREATE("market.2773",A2775,"USD","SOFR")</f>
        <v>QSObject:PricingContext:w1~market.2773:12728</v>
      </c>
      <c r="D2775" s="6" t="str">
        <f>_xll.QS.CONTEXT.ADD.CURVE(C2775,"SOFR",$K$2:$K$7,$L$2:$L$7,,,"Actual360","LogLinear",TRUE)</f>
        <v>QSObject:ContextInput:w1~input.qs_context_add_curve.2359132437744.2774.3.0:37699</v>
      </c>
      <c r="E2775" s="6" t="str">
        <f>_xll.QS.INSTRUMENT.SWAP("swap.2773",H2775,B2775,"USD","SOFR",I2775,J2775,0,"Actual360","Simple","Annual","Annual","Annual")</f>
        <v>QSObject:Swap:w1~swap.2773:14349</v>
      </c>
      <c r="F2775" s="6" t="str">
        <f>_xll.QS.TRADE.CREATE("trade.2773",E2775,A2775,"Receive")</f>
        <v>QSObject:SwapTrade:w1~trade.2773:17006</v>
      </c>
      <c r="G2775" s="3">
        <f>_xll.QS.EVALUATE(C2775,F2775)</f>
        <v>31059.831291605798</v>
      </c>
      <c r="H2775" s="5" t="s">
        <v>1937</v>
      </c>
      <c r="I2775" s="7">
        <v>1277300</v>
      </c>
      <c r="J2775" s="8">
        <v>3.73E-2</v>
      </c>
    </row>
    <row r="2776" spans="1:10" x14ac:dyDescent="0.25">
      <c r="A2776" s="5" t="s">
        <v>1925</v>
      </c>
      <c r="B2776" s="5" t="s">
        <v>4643</v>
      </c>
      <c r="C2776" s="6" t="str">
        <f>_xll.QS.CONTEXT.CREATE("market.2774",A2776,"USD","SOFR")</f>
        <v>QSObject:PricingContext:w1~market.2774:11226</v>
      </c>
      <c r="D2776" s="6" t="str">
        <f>_xll.QS.CONTEXT.ADD.CURVE(C2776,"SOFR",$K$2:$K$7,$L$2:$L$7,,,"Actual360","LogLinear",TRUE)</f>
        <v>QSObject:ContextInput:w1~input.qs_context_add_curve.2359132437744.2775.3.0:37698</v>
      </c>
      <c r="E2776" s="6" t="str">
        <f>_xll.QS.INSTRUMENT.SWAP("swap.2774",H2776,B2776,"USD","SOFR",I2776,J2776,0,"Actual360","Simple","Annual","Annual","Annual")</f>
        <v>QSObject:Swap:w1~swap.2774:3268</v>
      </c>
      <c r="F2776" s="6" t="str">
        <f>_xll.QS.TRADE.CREATE("trade.2774",E2776,A2776,"Receive")</f>
        <v>QSObject:SwapTrade:w1~trade.2774:4826</v>
      </c>
      <c r="G2776" s="3">
        <f>_xll.QS.EVALUATE(C2776,F2776)</f>
        <v>31744.87383759144</v>
      </c>
      <c r="H2776" s="5" t="s">
        <v>1939</v>
      </c>
      <c r="I2776" s="7">
        <v>1277400</v>
      </c>
      <c r="J2776" s="8">
        <v>3.7400000000000003E-2</v>
      </c>
    </row>
    <row r="2777" spans="1:10" x14ac:dyDescent="0.25">
      <c r="A2777" s="5" t="s">
        <v>1927</v>
      </c>
      <c r="B2777" s="5" t="s">
        <v>4644</v>
      </c>
      <c r="C2777" s="6" t="str">
        <f>_xll.QS.CONTEXT.CREATE("market.2775",A2777,"USD","SOFR")</f>
        <v>QSObject:PricingContext:w1~market.2775:16040</v>
      </c>
      <c r="D2777" s="6" t="str">
        <f>_xll.QS.CONTEXT.ADD.CURVE(C2777,"SOFR",$K$2:$K$7,$L$2:$L$7,,,"Actual360","LogLinear",TRUE)</f>
        <v>QSObject:ContextInput:w1~input.qs_context_add_curve.2359132437744.2776.3.0:37697</v>
      </c>
      <c r="E2777" s="6" t="str">
        <f>_xll.QS.INSTRUMENT.SWAP("swap.2775",H2777,B2777,"USD","SOFR",I2777,J2777,0,"Actual360","Simple","Annual","Annual","Annual")</f>
        <v>QSObject:Swap:w1~swap.2775:6408</v>
      </c>
      <c r="F2777" s="6" t="str">
        <f>_xll.QS.TRADE.CREATE("trade.2775",E2777,A2777,"Receive")</f>
        <v>QSObject:SwapTrade:w1~trade.2775:12727</v>
      </c>
      <c r="G2777" s="3">
        <f>_xll.QS.EVALUATE(C2777,F2777)</f>
        <v>32392.272612752757</v>
      </c>
      <c r="H2777" s="5" t="s">
        <v>1941</v>
      </c>
      <c r="I2777" s="7">
        <v>1277500</v>
      </c>
      <c r="J2777" s="8">
        <v>3.7500000000000012E-2</v>
      </c>
    </row>
    <row r="2778" spans="1:10" x14ac:dyDescent="0.25">
      <c r="A2778" s="5" t="s">
        <v>1929</v>
      </c>
      <c r="B2778" s="5" t="s">
        <v>4645</v>
      </c>
      <c r="C2778" s="6" t="str">
        <f>_xll.QS.CONTEXT.CREATE("market.2776",A2778,"USD","SOFR")</f>
        <v>QSObject:PricingContext:w1~market.2776:7998</v>
      </c>
      <c r="D2778" s="6" t="str">
        <f>_xll.QS.CONTEXT.ADD.CURVE(C2778,"SOFR",$K$2:$K$7,$L$2:$L$7,,,"Actual360","LogLinear",TRUE)</f>
        <v>QSObject:ContextInput:w1~input.qs_context_add_curve.2359132437744.2777.3.0:17005</v>
      </c>
      <c r="E2778" s="6" t="str">
        <f>_xll.QS.INSTRUMENT.SWAP("swap.2776",H2778,B2778,"USD","SOFR",I2778,J2778,0,"Actual360","Simple","Annual","Annual","Annual")</f>
        <v>QSObject:Swap:w1~swap.2776:14348</v>
      </c>
      <c r="F2778" s="6" t="str">
        <f>_xll.QS.TRADE.CREATE("trade.2776",E2778,A2778,"Receive")</f>
        <v>QSObject:SwapTrade:w1~trade.2776:29086</v>
      </c>
      <c r="G2778" s="3">
        <f>_xll.QS.EVALUATE(C2778,F2778)</f>
        <v>32934.821347628211</v>
      </c>
      <c r="H2778" s="5" t="s">
        <v>1943</v>
      </c>
      <c r="I2778" s="7">
        <v>1277600</v>
      </c>
      <c r="J2778" s="8">
        <v>3.7600000000000001E-2</v>
      </c>
    </row>
    <row r="2779" spans="1:10" x14ac:dyDescent="0.25">
      <c r="A2779" s="5" t="s">
        <v>1931</v>
      </c>
      <c r="B2779" s="5" t="s">
        <v>4646</v>
      </c>
      <c r="C2779" s="6" t="str">
        <f>_xll.QS.CONTEXT.CREATE("market.2777",A2779,"USD","SOFR")</f>
        <v>QSObject:PricingContext:w1~market.2777:16039</v>
      </c>
      <c r="D2779" s="6" t="str">
        <f>_xll.QS.CONTEXT.ADD.CURVE(C2779,"SOFR",$K$2:$K$7,$L$2:$L$7,,,"Actual360","LogLinear",TRUE)</f>
        <v>QSObject:ContextInput:w1~input.qs_context_add_curve.2359132437744.2778.3.0:37696</v>
      </c>
      <c r="E2779" s="6" t="str">
        <f>_xll.QS.INSTRUMENT.SWAP("swap.2777",H2779,B2779,"USD","SOFR",I2779,J2779,0,"Actual360","Simple","Annual","Annual","Annual")</f>
        <v>QSObject:Swap:w1~swap.2777:1744</v>
      </c>
      <c r="F2779" s="6" t="str">
        <f>_xll.QS.TRADE.CREATE("trade.2777",E2779,A2779,"Receive")</f>
        <v>QSObject:SwapTrade:w1~trade.2777:4825</v>
      </c>
      <c r="G2779" s="3">
        <f>_xll.QS.EVALUATE(C2779,F2779)</f>
        <v>33433.255340834752</v>
      </c>
      <c r="H2779" s="5" t="s">
        <v>1945</v>
      </c>
      <c r="I2779" s="7">
        <v>1277700</v>
      </c>
      <c r="J2779" s="8">
        <v>3.7699999999999997E-2</v>
      </c>
    </row>
    <row r="2780" spans="1:10" x14ac:dyDescent="0.25">
      <c r="A2780" s="5" t="s">
        <v>1933</v>
      </c>
      <c r="B2780" s="5" t="s">
        <v>4647</v>
      </c>
      <c r="C2780" s="6" t="str">
        <f>_xll.QS.CONTEXT.CREATE("market.2778",A2780,"USD","SOFR")</f>
        <v>QSObject:PricingContext:w1~market.2778:9594</v>
      </c>
      <c r="D2780" s="6" t="str">
        <f>_xll.QS.CONTEXT.ADD.CURVE(C2780,"SOFR",$K$2:$K$7,$L$2:$L$7,,,"Actual360","LogLinear",TRUE)</f>
        <v>QSObject:ContextInput:w1~input.qs_context_add_curve.2359132437744.2779.3.0:29085</v>
      </c>
      <c r="E2780" s="6" t="str">
        <f>_xll.QS.INSTRUMENT.SWAP("swap.2778",H2780,B2780,"USD","SOFR",I2780,J2780,0,"Actual360","Simple","Annual","Annual","Annual")</f>
        <v>QSObject:Swap:w1~swap.2778:12726</v>
      </c>
      <c r="F2780" s="6" t="str">
        <f>_xll.QS.TRADE.CREATE("trade.2778",E2780,A2780,"Receive")</f>
        <v>QSObject:SwapTrade:w1~trade.2778:17004</v>
      </c>
      <c r="G2780" s="3">
        <f>_xll.QS.EVALUATE(C2780,F2780)</f>
        <v>33932.157956289731</v>
      </c>
      <c r="H2780" s="5" t="s">
        <v>1947</v>
      </c>
      <c r="I2780" s="7">
        <v>1277800</v>
      </c>
      <c r="J2780" s="8">
        <v>3.78E-2</v>
      </c>
    </row>
    <row r="2781" spans="1:10" x14ac:dyDescent="0.25">
      <c r="A2781" s="5" t="s">
        <v>1935</v>
      </c>
      <c r="B2781" s="5" t="s">
        <v>4648</v>
      </c>
      <c r="C2781" s="6" t="str">
        <f>_xll.QS.CONTEXT.CREATE("market.2779",A2781,"USD","SOFR")</f>
        <v>QSObject:PricingContext:w1~market.2779:14347</v>
      </c>
      <c r="D2781" s="6" t="str">
        <f>_xll.QS.CONTEXT.ADD.CURVE(C2781,"SOFR",$K$2:$K$7,$L$2:$L$7,,,"Actual360","LogLinear",TRUE)</f>
        <v>QSObject:ContextInput:w1~input.qs_context_add_curve.2359132437744.2780.3.0:29084</v>
      </c>
      <c r="E2781" s="6" t="str">
        <f>_xll.QS.INSTRUMENT.SWAP("swap.2779",H2781,B2781,"USD","SOFR",I2781,J2781,0,"Actual360","Simple","Annual","Annual","Annual")</f>
        <v>QSObject:Swap:w1~swap.2779:16038</v>
      </c>
      <c r="F2781" s="6" t="str">
        <f>_xll.QS.TRADE.CREATE("trade.2779",E2781,A2781,"Receive")</f>
        <v>QSObject:SwapTrade:w1~trade.2779:29083</v>
      </c>
      <c r="G2781" s="3">
        <f>_xll.QS.EVALUATE(C2781,F2781)</f>
        <v>34578.236115713109</v>
      </c>
      <c r="H2781" s="5" t="s">
        <v>1949</v>
      </c>
      <c r="I2781" s="7">
        <v>1277900</v>
      </c>
      <c r="J2781" s="8">
        <v>3.7900000000000003E-2</v>
      </c>
    </row>
    <row r="2782" spans="1:10" x14ac:dyDescent="0.25">
      <c r="A2782" s="5" t="s">
        <v>1937</v>
      </c>
      <c r="B2782" s="5" t="s">
        <v>4649</v>
      </c>
      <c r="C2782" s="6" t="str">
        <f>_xll.QS.CONTEXT.CREATE("market.2780",A2782,"USD","SOFR")</f>
        <v>QSObject:PricingContext:w1~market.2780:1743</v>
      </c>
      <c r="D2782" s="6" t="str">
        <f>_xll.QS.CONTEXT.ADD.CURVE(C2782,"SOFR",$K$2:$K$7,$L$2:$L$7,,,"Actual360","LogLinear",TRUE)</f>
        <v>QSObject:ContextInput:w1~input.qs_context_add_curve.2359132437744.2781.3.0:3267</v>
      </c>
      <c r="E2782" s="6" t="str">
        <f>_xll.QS.INSTRUMENT.SWAP("swap.2780",H2782,B2782,"USD","SOFR",I2782,J2782,0,"Actual360","Simple","Annual","Annual","Annual")</f>
        <v>QSObject:Swap:w1~swap.2780:4824</v>
      </c>
      <c r="F2782" s="6" t="str">
        <f>_xll.QS.TRADE.CREATE("trade.2780",E2782,A2782,"Receive")</f>
        <v>QSObject:SwapTrade:w1~trade.2780:17003</v>
      </c>
      <c r="G2782" s="3">
        <f>_xll.QS.EVALUATE(C2782,F2782)</f>
        <v>35202.136339065066</v>
      </c>
      <c r="H2782" s="5" t="s">
        <v>1951</v>
      </c>
      <c r="I2782" s="7">
        <v>1278000</v>
      </c>
      <c r="J2782" s="8">
        <v>3.8000000000000013E-2</v>
      </c>
    </row>
    <row r="2783" spans="1:10" x14ac:dyDescent="0.25">
      <c r="A2783" s="5" t="s">
        <v>1939</v>
      </c>
      <c r="B2783" s="5" t="s">
        <v>4650</v>
      </c>
      <c r="C2783" s="6" t="str">
        <f>_xll.QS.CONTEXT.CREATE("market.2781",A2783,"USD","SOFR")</f>
        <v>QSObject:PricingContext:w1~market.2781:6407</v>
      </c>
      <c r="D2783" s="6" t="str">
        <f>_xll.QS.CONTEXT.ADD.CURVE(C2783,"SOFR",$K$2:$K$7,$L$2:$L$7,,,"Actual360","LogLinear",TRUE)</f>
        <v>QSObject:ContextInput:w1~input.qs_context_add_curve.2359132437744.2782.3.0:9593</v>
      </c>
      <c r="E2783" s="6" t="str">
        <f>_xll.QS.INSTRUMENT.SWAP("swap.2781",H2783,B2783,"USD","SOFR",I2783,J2783,0,"Actual360","Simple","Annual","Annual","Annual")</f>
        <v>QSObject:Swap:w1~swap.2781:12725</v>
      </c>
      <c r="F2783" s="6" t="str">
        <f>_xll.QS.TRADE.CREATE("trade.2781",E2783,A2783,"Receive")</f>
        <v>QSObject:SwapTrade:w1~trade.2781:14346</v>
      </c>
      <c r="G2783" s="3">
        <f>_xll.QS.EVALUATE(C2783,F2783)</f>
        <v>35887.941026797591</v>
      </c>
      <c r="H2783" s="5" t="s">
        <v>1953</v>
      </c>
      <c r="I2783" s="7">
        <v>1278100</v>
      </c>
      <c r="J2783" s="8">
        <v>3.8100000000000002E-2</v>
      </c>
    </row>
    <row r="2784" spans="1:10" x14ac:dyDescent="0.25">
      <c r="A2784" s="5" t="s">
        <v>1941</v>
      </c>
      <c r="B2784" s="5" t="s">
        <v>4651</v>
      </c>
      <c r="C2784" s="6" t="str">
        <f>_xll.QS.CONTEXT.CREATE("market.2782",A2784,"USD","SOFR")</f>
        <v>QSObject:PricingContext:w1~market.2782:11225</v>
      </c>
      <c r="D2784" s="6" t="str">
        <f>_xll.QS.CONTEXT.ADD.CURVE(C2784,"SOFR",$K$2:$K$7,$L$2:$L$7,,,"Actual360","LogLinear",TRUE)</f>
        <v>QSObject:ContextInput:w1~input.qs_context_add_curve.2359132437744.2783.3.0:16037</v>
      </c>
      <c r="E2784" s="6" t="str">
        <f>_xll.QS.INSTRUMENT.SWAP("swap.2782",H2784,B2784,"USD","SOFR",I2784,J2784,0,"Actual360","Simple","Annual","Annual","Annual")</f>
        <v>QSObject:Swap:w1~swap.2782:7997</v>
      </c>
      <c r="F2784" s="6" t="str">
        <f>_xll.QS.TRADE.CREATE("trade.2782",E2784,A2784,"Receive")</f>
        <v>QSObject:SwapTrade:w1~trade.2782:29082</v>
      </c>
      <c r="G2784" s="3">
        <f>_xll.QS.EVALUATE(C2784,F2784)</f>
        <v>36536.063338154498</v>
      </c>
      <c r="H2784" s="5" t="s">
        <v>1955</v>
      </c>
      <c r="I2784" s="7">
        <v>1278200</v>
      </c>
      <c r="J2784" s="8">
        <v>3.8199999999999998E-2</v>
      </c>
    </row>
    <row r="2785" spans="1:10" x14ac:dyDescent="0.25">
      <c r="A2785" s="5" t="s">
        <v>1943</v>
      </c>
      <c r="B2785" s="5" t="s">
        <v>4652</v>
      </c>
      <c r="C2785" s="6" t="str">
        <f>_xll.QS.CONTEXT.CREATE("market.2783",A2785,"USD","SOFR")</f>
        <v>QSObject:PricingContext:w1~market.2783:17002</v>
      </c>
      <c r="D2785" s="6" t="str">
        <f>_xll.QS.CONTEXT.ADD.CURVE(C2785,"SOFR",$K$2:$K$7,$L$2:$L$7,,,"Actual360","LogLinear",TRUE)</f>
        <v>QSObject:ContextInput:w1~input.qs_context_add_curve.2359132437744.2784.3.0:37695</v>
      </c>
      <c r="E2785" s="6" t="str">
        <f>_xll.QS.INSTRUMENT.SWAP("swap.2783",H2785,B2785,"USD","SOFR",I2785,J2785,0,"Actual360","Simple","Annual","Annual","Annual")</f>
        <v>QSObject:Swap:w1~swap.2783:1742</v>
      </c>
      <c r="F2785" s="6" t="str">
        <f>_xll.QS.TRADE.CREATE("trade.2783",E2785,A2785,"Receive")</f>
        <v>QSObject:SwapTrade:w1~trade.2783:6406</v>
      </c>
      <c r="G2785" s="3">
        <f>_xll.QS.EVALUATE(C2785,F2785)</f>
        <v>37079.185418010136</v>
      </c>
      <c r="H2785" s="5" t="s">
        <v>1957</v>
      </c>
      <c r="I2785" s="7">
        <v>1278300</v>
      </c>
      <c r="J2785" s="8">
        <v>3.8300000000000001E-2</v>
      </c>
    </row>
    <row r="2786" spans="1:10" x14ac:dyDescent="0.25">
      <c r="A2786" s="5" t="s">
        <v>1945</v>
      </c>
      <c r="B2786" s="5" t="s">
        <v>4653</v>
      </c>
      <c r="C2786" s="6" t="str">
        <f>_xll.QS.CONTEXT.CREATE("market.2784",A2786,"USD","SOFR")</f>
        <v>QSObject:PricingContext:w1~market.2784:12724</v>
      </c>
      <c r="D2786" s="6" t="str">
        <f>_xll.QS.CONTEXT.ADD.CURVE(C2786,"SOFR",$K$2:$K$7,$L$2:$L$7,,,"Actual360","LogLinear",TRUE)</f>
        <v>QSObject:ContextInput:w1~input.qs_context_add_curve.2359132437744.2785.3.0:14345</v>
      </c>
      <c r="E2786" s="6" t="str">
        <f>_xll.QS.INSTRUMENT.SWAP("swap.2784",H2786,B2786,"USD","SOFR",I2786,J2786,0,"Actual360","Simple","Annual","Annual","Annual")</f>
        <v>QSObject:Swap:w1~swap.2784:9592</v>
      </c>
      <c r="F2786" s="6" t="str">
        <f>_xll.QS.TRADE.CREATE("trade.2784",E2786,A2786,"Receive")</f>
        <v>QSObject:SwapTrade:w1~trade.2784:16036</v>
      </c>
      <c r="G2786" s="3">
        <f>_xll.QS.EVALUATE(C2786,F2786)</f>
        <v>37573.354107425992</v>
      </c>
      <c r="H2786" s="5" t="s">
        <v>1959</v>
      </c>
      <c r="I2786" s="7">
        <v>1278400</v>
      </c>
      <c r="J2786" s="8">
        <v>3.8399999999999997E-2</v>
      </c>
    </row>
    <row r="2787" spans="1:10" x14ac:dyDescent="0.25">
      <c r="A2787" s="5" t="s">
        <v>1947</v>
      </c>
      <c r="B2787" s="5" t="s">
        <v>4654</v>
      </c>
      <c r="C2787" s="6" t="str">
        <f>_xll.QS.CONTEXT.CREATE("market.2785",A2787,"USD","SOFR")</f>
        <v>QSObject:PricingContext:w1~market.2785:3266</v>
      </c>
      <c r="D2787" s="6" t="str">
        <f>_xll.QS.CONTEXT.ADD.CURVE(C2787,"SOFR",$K$2:$K$7,$L$2:$L$7,,,"Actual360","LogLinear",TRUE)</f>
        <v>QSObject:ContextInput:w1~input.qs_context_add_curve.2359132437744.2786.3.0:7996</v>
      </c>
      <c r="E2787" s="6" t="str">
        <f>_xll.QS.INSTRUMENT.SWAP("swap.2785",H2787,B2787,"USD","SOFR",I2787,J2787,0,"Actual360","Simple","Annual","Annual","Annual")</f>
        <v>QSObject:Swap:w1~swap.2785:11224</v>
      </c>
      <c r="F2787" s="6" t="str">
        <f>_xll.QS.TRADE.CREATE("trade.2785",E2787,A2787,"Receive")</f>
        <v>QSObject:SwapTrade:w1~trade.2785:17001</v>
      </c>
      <c r="G2787" s="3">
        <f>_xll.QS.EVALUATE(C2787,F2787)</f>
        <v>38079.249161577005</v>
      </c>
      <c r="H2787" s="5" t="s">
        <v>1961</v>
      </c>
      <c r="I2787" s="7">
        <v>1278500</v>
      </c>
      <c r="J2787" s="8">
        <v>3.8500000000000013E-2</v>
      </c>
    </row>
    <row r="2788" spans="1:10" x14ac:dyDescent="0.25">
      <c r="A2788" s="5" t="s">
        <v>1949</v>
      </c>
      <c r="B2788" s="5" t="s">
        <v>4655</v>
      </c>
      <c r="C2788" s="6" t="str">
        <f>_xll.QS.CONTEXT.CREATE("market.2786",A2788,"USD","SOFR")</f>
        <v>QSObject:PricingContext:w1~market.2786:12723</v>
      </c>
      <c r="D2788" s="6" t="str">
        <f>_xll.QS.CONTEXT.ADD.CURVE(C2788,"SOFR",$K$2:$K$7,$L$2:$L$7,,,"Actual360","LogLinear",TRUE)</f>
        <v>QSObject:ContextInput:w1~input.qs_context_add_curve.2359132437744.2787.3.0:37694</v>
      </c>
      <c r="E2788" s="6" t="str">
        <f>_xll.QS.INSTRUMENT.SWAP("swap.2786",H2788,B2788,"USD","SOFR",I2788,J2788,0,"Actual360","Simple","Annual","Annual","Annual")</f>
        <v>QSObject:Swap:w1~swap.2786:6405</v>
      </c>
      <c r="F2788" s="6" t="str">
        <f>_xll.QS.TRADE.CREATE("trade.2786",E2788,A2788,"Receive")</f>
        <v>QSObject:SwapTrade:w1~trade.2786:16035</v>
      </c>
      <c r="G2788" s="3">
        <f>_xll.QS.EVALUATE(C2788,F2788)</f>
        <v>38726.402635768318</v>
      </c>
      <c r="H2788" s="5" t="s">
        <v>1963</v>
      </c>
      <c r="I2788" s="7">
        <v>1278600</v>
      </c>
      <c r="J2788" s="8">
        <v>3.8600000000000002E-2</v>
      </c>
    </row>
    <row r="2789" spans="1:10" x14ac:dyDescent="0.25">
      <c r="A2789" s="5" t="s">
        <v>1951</v>
      </c>
      <c r="B2789" s="5" t="s">
        <v>4656</v>
      </c>
      <c r="C2789" s="6" t="str">
        <f>_xll.QS.CONTEXT.CREATE("market.2787",A2789,"USD","SOFR")</f>
        <v>QSObject:PricingContext:w1~market.2787:1741</v>
      </c>
      <c r="D2789" s="6" t="str">
        <f>_xll.QS.CONTEXT.ADD.CURVE(C2789,"SOFR",$K$2:$K$7,$L$2:$L$7,,,"Actual360","LogLinear",TRUE)</f>
        <v>QSObject:ContextInput:w1~input.qs_context_add_curve.2359132437744.2788.3.0:14344</v>
      </c>
      <c r="E2789" s="6" t="str">
        <f>_xll.QS.INSTRUMENT.SWAP("swap.2787",H2789,B2789,"USD","SOFR",I2789,J2789,0,"Actual360","Simple","Annual","Annual","Annual")</f>
        <v>QSObject:Swap:w1~swap.2787:9591</v>
      </c>
      <c r="F2789" s="6" t="str">
        <f>_xll.QS.TRADE.CREATE("trade.2787",E2789,A2789,"Receive")</f>
        <v>QSObject:SwapTrade:w1~trade.2787:29081</v>
      </c>
      <c r="G2789" s="3">
        <f>_xll.QS.EVALUATE(C2789,F2789)</f>
        <v>39348.960476207758</v>
      </c>
      <c r="H2789" s="5" t="s">
        <v>1965</v>
      </c>
      <c r="I2789" s="7">
        <v>1278700</v>
      </c>
      <c r="J2789" s="8">
        <v>3.8700000000000012E-2</v>
      </c>
    </row>
    <row r="2790" spans="1:10" x14ac:dyDescent="0.25">
      <c r="A2790" s="5" t="s">
        <v>1953</v>
      </c>
      <c r="B2790" s="5" t="s">
        <v>4657</v>
      </c>
      <c r="C2790" s="6" t="str">
        <f>_xll.QS.CONTEXT.CREATE("market.2788",A2790,"USD","SOFR")</f>
        <v>QSObject:PricingContext:w1~market.2788:17000</v>
      </c>
      <c r="D2790" s="6" t="str">
        <f>_xll.QS.CONTEXT.ADD.CURVE(C2790,"SOFR",$K$2:$K$7,$L$2:$L$7,,,"Actual360","LogLinear",TRUE)</f>
        <v>QSObject:ContextInput:w1~input.qs_context_add_curve.2359132437744.2789.3.0:37693</v>
      </c>
      <c r="E2790" s="6" t="str">
        <f>_xll.QS.INSTRUMENT.SWAP("swap.2788",H2790,B2790,"USD","SOFR",I2790,J2790,0,"Actual360","Simple","Annual","Annual","Annual")</f>
        <v>QSObject:Swap:w1~swap.2788:11223</v>
      </c>
      <c r="F2790" s="6" t="str">
        <f>_xll.QS.TRADE.CREATE("trade.2788",E2790,A2790,"Receive")</f>
        <v>QSObject:SwapTrade:w1~trade.2788:12722</v>
      </c>
      <c r="G2790" s="3">
        <f>_xll.QS.EVALUATE(C2790,F2790)</f>
        <v>40035.527377201455</v>
      </c>
      <c r="H2790" s="5" t="s">
        <v>1967</v>
      </c>
      <c r="I2790" s="7">
        <v>1278800</v>
      </c>
      <c r="J2790" s="8">
        <v>3.8800000000000001E-2</v>
      </c>
    </row>
    <row r="2791" spans="1:10" x14ac:dyDescent="0.25">
      <c r="A2791" s="5" t="s">
        <v>1955</v>
      </c>
      <c r="B2791" s="5" t="s">
        <v>4658</v>
      </c>
      <c r="C2791" s="6" t="str">
        <f>_xll.QS.CONTEXT.CREATE("market.2789",A2791,"USD","SOFR")</f>
        <v>QSObject:PricingContext:w1~market.2789:1740</v>
      </c>
      <c r="D2791" s="6" t="str">
        <f>_xll.QS.CONTEXT.ADD.CURVE(C2791,"SOFR",$K$2:$K$7,$L$2:$L$7,,,"Actual360","LogLinear",TRUE)</f>
        <v>QSObject:ContextInput:w1~input.qs_context_add_curve.2359132437744.2790.3.0:4823</v>
      </c>
      <c r="E2791" s="6" t="str">
        <f>_xll.QS.INSTRUMENT.SWAP("swap.2789",H2791,B2791,"USD","SOFR",I2791,J2791,0,"Actual360","Simple","Annual","Annual","Annual")</f>
        <v>QSObject:Swap:w1~swap.2789:6404</v>
      </c>
      <c r="F2791" s="6" t="str">
        <f>_xll.QS.TRADE.CREATE("trade.2789",E2791,A2791,"Receive")</f>
        <v>QSObject:SwapTrade:w1~trade.2789:29080</v>
      </c>
      <c r="G2791" s="3">
        <f>_xll.QS.EVALUATE(C2791,F2791)</f>
        <v>40684.37327662851</v>
      </c>
      <c r="H2791" s="5" t="s">
        <v>1969</v>
      </c>
      <c r="I2791" s="7">
        <v>1278900</v>
      </c>
      <c r="J2791" s="8">
        <v>3.8899999999999997E-2</v>
      </c>
    </row>
    <row r="2792" spans="1:10" x14ac:dyDescent="0.25">
      <c r="A2792" s="5" t="s">
        <v>1957</v>
      </c>
      <c r="B2792" s="5" t="s">
        <v>4659</v>
      </c>
      <c r="C2792" s="6" t="str">
        <f>_xll.QS.CONTEXT.CREATE("market.2790",A2792,"USD","SOFR")</f>
        <v>QSObject:PricingContext:w1~market.2790:16999</v>
      </c>
      <c r="D2792" s="6" t="str">
        <f>_xll.QS.CONTEXT.ADD.CURVE(C2792,"SOFR",$K$2:$K$7,$L$2:$L$7,,,"Actual360","LogLinear",TRUE)</f>
        <v>QSObject:ContextInput:w1~input.qs_context_add_curve.2359132437744.2791.3.0:37692</v>
      </c>
      <c r="E2792" s="6" t="str">
        <f>_xll.QS.INSTRUMENT.SWAP("swap.2790",H2792,B2792,"USD","SOFR",I2792,J2792,0,"Actual360","Simple","Annual","Annual","Annual")</f>
        <v>QSObject:Swap:w1~swap.2790:9590</v>
      </c>
      <c r="F2792" s="6" t="str">
        <f>_xll.QS.TRADE.CREATE("trade.2790",E2792,A2792,"Receive")</f>
        <v>QSObject:SwapTrade:w1~trade.2790:29079</v>
      </c>
      <c r="G2792" s="3">
        <f>_xll.QS.EVALUATE(C2792,F2792)</f>
        <v>41228.068651818561</v>
      </c>
      <c r="H2792" s="5" t="s">
        <v>1971</v>
      </c>
      <c r="I2792" s="7">
        <v>1279000</v>
      </c>
      <c r="J2792" s="8">
        <v>3.9000000000000007E-2</v>
      </c>
    </row>
    <row r="2793" spans="1:10" x14ac:dyDescent="0.25">
      <c r="A2793" s="5" t="s">
        <v>1959</v>
      </c>
      <c r="B2793" s="5" t="s">
        <v>4660</v>
      </c>
      <c r="C2793" s="6" t="str">
        <f>_xll.QS.CONTEXT.CREATE("market.2791",A2793,"USD","SOFR")</f>
        <v>QSObject:PricingContext:w1~market.2791:12721</v>
      </c>
      <c r="D2793" s="6" t="str">
        <f>_xll.QS.CONTEXT.ADD.CURVE(C2793,"SOFR",$K$2:$K$7,$L$2:$L$7,,,"Actual360","LogLinear",TRUE)</f>
        <v>QSObject:ContextInput:w1~input.qs_context_add_curve.2359132437744.2792.3.0:14343</v>
      </c>
      <c r="E2793" s="6" t="str">
        <f>_xll.QS.INSTRUMENT.SWAP("swap.2791",H2793,B2793,"USD","SOFR",I2793,J2793,0,"Actual360","Simple","Annual","Annual","Annual")</f>
        <v>QSObject:Swap:w1~swap.2791:11222</v>
      </c>
      <c r="F2793" s="6" t="str">
        <f>_xll.QS.TRADE.CREATE("trade.2791",E2793,A2793,"Receive")</f>
        <v>QSObject:SwapTrade:w1~trade.2791:29078</v>
      </c>
      <c r="G2793" s="3">
        <f>_xll.QS.EVALUATE(C2793,F2793)</f>
        <v>41796.61845439615</v>
      </c>
      <c r="H2793" s="5" t="s">
        <v>1973</v>
      </c>
      <c r="I2793" s="7">
        <v>1279100</v>
      </c>
      <c r="J2793" s="8">
        <v>3.9100000000000003E-2</v>
      </c>
    </row>
    <row r="2794" spans="1:10" x14ac:dyDescent="0.25">
      <c r="A2794" s="5" t="s">
        <v>1961</v>
      </c>
      <c r="B2794" s="5" t="s">
        <v>4661</v>
      </c>
      <c r="C2794" s="6" t="str">
        <f>_xll.QS.CONTEXT.CREATE("market.2792",A2794,"USD","SOFR")</f>
        <v>QSObject:PricingContext:w1~market.2792:6403</v>
      </c>
      <c r="D2794" s="6" t="str">
        <f>_xll.QS.CONTEXT.ADD.CURVE(C2794,"SOFR",$K$2:$K$7,$L$2:$L$7,,,"Actual360","LogLinear",TRUE)</f>
        <v>QSObject:ContextInput:w1~input.qs_context_add_curve.2359132437744.2793.3.0:37691</v>
      </c>
      <c r="E2794" s="6" t="str">
        <f>_xll.QS.INSTRUMENT.SWAP("swap.2792",H2794,B2794,"USD","SOFR",I2794,J2794,0,"Actual360","Simple","Annual","Annual","Annual")</f>
        <v>QSObject:Swap:w1~swap.2792:4822</v>
      </c>
      <c r="F2794" s="6" t="str">
        <f>_xll.QS.TRADE.CREATE("trade.2792",E2794,A2794,"Receive")</f>
        <v>QSObject:SwapTrade:w1~trade.2792:16998</v>
      </c>
      <c r="G2794" s="3">
        <f>_xll.QS.EVALUATE(C2794,F2794)</f>
        <v>42393.526635643881</v>
      </c>
      <c r="H2794" s="5" t="s">
        <v>1975</v>
      </c>
      <c r="I2794" s="7">
        <v>1279200</v>
      </c>
      <c r="J2794" s="8">
        <v>3.9200000000000013E-2</v>
      </c>
    </row>
    <row r="2795" spans="1:10" x14ac:dyDescent="0.25">
      <c r="A2795" s="5" t="s">
        <v>1963</v>
      </c>
      <c r="B2795" s="5" t="s">
        <v>4662</v>
      </c>
      <c r="C2795" s="6" t="str">
        <f>_xll.QS.CONTEXT.CREATE("market.2793",A2795,"USD","SOFR")</f>
        <v>QSObject:PricingContext:w1~market.2793:14342</v>
      </c>
      <c r="D2795" s="6" t="str">
        <f>_xll.QS.CONTEXT.ADD.CURVE(C2795,"SOFR",$K$2:$K$7,$L$2:$L$7,,,"Actual360","LogLinear",TRUE)</f>
        <v>QSObject:ContextInput:w1~input.qs_context_add_curve.2359132437744.2794.3.0:37690</v>
      </c>
      <c r="E2795" s="6" t="str">
        <f>_xll.QS.INSTRUMENT.SWAP("swap.2793",H2795,B2795,"USD","SOFR",I2795,J2795,0,"Actual360","Simple","Annual","Annual","Annual")</f>
        <v>QSObject:Swap:w1~swap.2793:16034</v>
      </c>
      <c r="F2795" s="6" t="str">
        <f>_xll.QS.TRADE.CREATE("trade.2793",E2795,A2795,"Receive")</f>
        <v>QSObject:SwapTrade:w1~trade.2793:29077</v>
      </c>
      <c r="G2795" s="3">
        <f>_xll.QS.EVALUATE(C2795,F2795)</f>
        <v>42824.735567626507</v>
      </c>
      <c r="H2795" s="5" t="s">
        <v>1977</v>
      </c>
      <c r="I2795" s="7">
        <v>1279300</v>
      </c>
      <c r="J2795" s="8">
        <v>3.9300000000000002E-2</v>
      </c>
    </row>
    <row r="2796" spans="1:10" x14ac:dyDescent="0.25">
      <c r="A2796" s="5" t="s">
        <v>1965</v>
      </c>
      <c r="B2796" s="5" t="s">
        <v>4663</v>
      </c>
      <c r="C2796" s="6" t="str">
        <f>_xll.QS.CONTEXT.CREATE("market.2794",A2796,"USD","SOFR")</f>
        <v>QSObject:PricingContext:w1~market.2794:11221</v>
      </c>
      <c r="D2796" s="6" t="str">
        <f>_xll.QS.CONTEXT.ADD.CURVE(C2796,"SOFR",$K$2:$K$7,$L$2:$L$7,,,"Actual360","LogLinear",TRUE)</f>
        <v>QSObject:ContextInput:w1~input.qs_context_add_curve.2359132437744.2795.3.0:37689</v>
      </c>
      <c r="E2796" s="6" t="str">
        <f>_xll.QS.INSTRUMENT.SWAP("swap.2794",H2796,B2796,"USD","SOFR",I2796,J2796,0,"Actual360","Simple","Annual","Annual","Annual")</f>
        <v>QSObject:Swap:w1~swap.2794:9589</v>
      </c>
      <c r="F2796" s="6" t="str">
        <f>_xll.QS.TRADE.CREATE("trade.2794",E2796,A2796,"Receive")</f>
        <v>QSObject:SwapTrade:w1~trade.2794:29076</v>
      </c>
      <c r="G2796" s="3">
        <f>_xll.QS.EVALUATE(C2796,F2796)</f>
        <v>43473.069183629203</v>
      </c>
      <c r="H2796" s="5" t="s">
        <v>1979</v>
      </c>
      <c r="I2796" s="7">
        <v>1279400</v>
      </c>
      <c r="J2796" s="8">
        <v>3.9399999999999998E-2</v>
      </c>
    </row>
    <row r="2797" spans="1:10" x14ac:dyDescent="0.25">
      <c r="A2797" s="5" t="s">
        <v>1967</v>
      </c>
      <c r="B2797" s="5" t="s">
        <v>4664</v>
      </c>
      <c r="C2797" s="6" t="str">
        <f>_xll.QS.CONTEXT.CREATE("market.2795",A2797,"USD","SOFR")</f>
        <v>QSObject:PricingContext:w1~market.2795:6402</v>
      </c>
      <c r="D2797" s="6" t="str">
        <f>_xll.QS.CONTEXT.ADD.CURVE(C2797,"SOFR",$K$2:$K$7,$L$2:$L$7,,,"Actual360","LogLinear",TRUE)</f>
        <v>QSObject:ContextInput:w1~input.qs_context_add_curve.2359132437744.2796.3.0:16997</v>
      </c>
      <c r="E2797" s="6" t="str">
        <f>_xll.QS.INSTRUMENT.SWAP("swap.2795",H2797,B2797,"USD","SOFR",I2797,J2797,0,"Actual360","Simple","Annual","Annual","Annual")</f>
        <v>QSObject:Swap:w1~swap.2795:3265</v>
      </c>
      <c r="F2797" s="6" t="str">
        <f>_xll.QS.TRADE.CREATE("trade.2795",E2797,A2797,"Receive")</f>
        <v>QSObject:SwapTrade:w1~trade.2795:14341</v>
      </c>
      <c r="G2797" s="3">
        <f>_xll.QS.EVALUATE(C2797,F2797)</f>
        <v>44236.631570418052</v>
      </c>
      <c r="H2797" s="5" t="s">
        <v>1981</v>
      </c>
      <c r="I2797" s="7">
        <v>1279500</v>
      </c>
      <c r="J2797" s="8">
        <v>3.9500000000000007E-2</v>
      </c>
    </row>
    <row r="2798" spans="1:10" x14ac:dyDescent="0.25">
      <c r="A2798" s="5" t="s">
        <v>1969</v>
      </c>
      <c r="B2798" s="5" t="s">
        <v>4665</v>
      </c>
      <c r="C2798" s="6" t="str">
        <f>_xll.QS.CONTEXT.CREATE("market.2796",A2798,"USD","SOFR")</f>
        <v>QSObject:PricingContext:w1~market.2796:12720</v>
      </c>
      <c r="D2798" s="6" t="str">
        <f>_xll.QS.CONTEXT.ADD.CURVE(C2798,"SOFR",$K$2:$K$7,$L$2:$L$7,,,"Actual360","LogLinear",TRUE)</f>
        <v>QSObject:ContextInput:w1~input.qs_context_add_curve.2359132437744.2797.3.0:37688</v>
      </c>
      <c r="E2798" s="6" t="str">
        <f>_xll.QS.INSTRUMENT.SWAP("swap.2796",H2798,B2798,"USD","SOFR",I2798,J2798,0,"Actual360","Simple","Annual","Annual","Annual")</f>
        <v>QSObject:Swap:w1~swap.2796:16033</v>
      </c>
      <c r="F2798" s="6" t="str">
        <f>_xll.QS.TRADE.CREATE("trade.2796",E2798,A2798,"Receive")</f>
        <v>QSObject:SwapTrade:w1~trade.2796:29075</v>
      </c>
      <c r="G2798" s="3">
        <f>_xll.QS.EVALUATE(C2798,F2798)</f>
        <v>44840.126195059071</v>
      </c>
      <c r="H2798" s="5" t="s">
        <v>1983</v>
      </c>
      <c r="I2798" s="7">
        <v>1279600</v>
      </c>
      <c r="J2798" s="8">
        <v>3.9600000000000003E-2</v>
      </c>
    </row>
    <row r="2799" spans="1:10" x14ac:dyDescent="0.25">
      <c r="A2799" s="5" t="s">
        <v>1971</v>
      </c>
      <c r="B2799" s="5" t="s">
        <v>4666</v>
      </c>
      <c r="C2799" s="6" t="str">
        <f>_xll.QS.CONTEXT.CREATE("market.2797",A2799,"USD","SOFR")</f>
        <v>QSObject:PricingContext:w1~market.2797:1739</v>
      </c>
      <c r="D2799" s="6" t="str">
        <f>_xll.QS.CONTEXT.ADD.CURVE(C2799,"SOFR",$K$2:$K$7,$L$2:$L$7,,,"Actual360","LogLinear",TRUE)</f>
        <v>QSObject:ContextInput:w1~input.qs_context_add_curve.2359132437744.2798.3.0:9588</v>
      </c>
      <c r="E2799" s="6" t="str">
        <f>_xll.QS.INSTRUMENT.SWAP("swap.2797",H2799,B2799,"USD","SOFR",I2799,J2799,0,"Actual360","Simple","Annual","Annual","Annual")</f>
        <v>QSObject:Swap:w1~swap.2797:11220</v>
      </c>
      <c r="F2799" s="6" t="str">
        <f>_xll.QS.TRADE.CREATE("trade.2797",E2799,A2799,"Receive")</f>
        <v>QSObject:SwapTrade:w1~trade.2797:29074</v>
      </c>
      <c r="G2799" s="3">
        <f>_xll.QS.EVALUATE(C2799,F2799)</f>
        <v>45433.250851557503</v>
      </c>
      <c r="H2799" s="5" t="s">
        <v>1985</v>
      </c>
      <c r="I2799" s="7">
        <v>1279700</v>
      </c>
      <c r="J2799" s="8">
        <v>3.9700000000000013E-2</v>
      </c>
    </row>
    <row r="2800" spans="1:10" x14ac:dyDescent="0.25">
      <c r="A2800" s="5" t="s">
        <v>1973</v>
      </c>
      <c r="B2800" s="5" t="s">
        <v>4667</v>
      </c>
      <c r="C2800" s="6" t="str">
        <f>_xll.QS.CONTEXT.CREATE("market.2798",A2800,"USD","SOFR")</f>
        <v>QSObject:PricingContext:w1~market.2798:6401</v>
      </c>
      <c r="D2800" s="6" t="str">
        <f>_xll.QS.CONTEXT.ADD.CURVE(C2800,"SOFR",$K$2:$K$7,$L$2:$L$7,,,"Actual360","LogLinear",TRUE)</f>
        <v>QSObject:ContextInput:w1~input.qs_context_add_curve.2359132437744.2799.3.0:16996</v>
      </c>
      <c r="E2800" s="6" t="str">
        <f>_xll.QS.INSTRUMENT.SWAP("swap.2798",H2800,B2800,"USD","SOFR",I2800,J2800,0,"Actual360","Simple","Annual","Annual","Annual")</f>
        <v>QSObject:Swap:w1~swap.2798:14340</v>
      </c>
      <c r="F2800" s="6" t="str">
        <f>_xll.QS.TRADE.CREATE("trade.2798",E2800,A2800,"Receive")</f>
        <v>QSObject:SwapTrade:w1~trade.2798:29073</v>
      </c>
      <c r="G2800" s="3">
        <f>_xll.QS.EVALUATE(C2800,F2800)</f>
        <v>45918.925295050591</v>
      </c>
      <c r="H2800" s="5" t="s">
        <v>1987</v>
      </c>
      <c r="I2800" s="7">
        <v>1279800</v>
      </c>
      <c r="J2800" s="8">
        <v>3.9800000000000002E-2</v>
      </c>
    </row>
    <row r="2801" spans="1:10" x14ac:dyDescent="0.25">
      <c r="A2801" s="5" t="s">
        <v>1975</v>
      </c>
      <c r="B2801" s="5" t="s">
        <v>4668</v>
      </c>
      <c r="C2801" s="6" t="str">
        <f>_xll.QS.CONTEXT.CREATE("market.2799",A2801,"USD","SOFR")</f>
        <v>QSObject:PricingContext:w1~market.2799:4821</v>
      </c>
      <c r="D2801" s="6" t="str">
        <f>_xll.QS.CONTEXT.ADD.CURVE(C2801,"SOFR",$K$2:$K$7,$L$2:$L$7,,,"Actual360","LogLinear",TRUE)</f>
        <v>QSObject:ContextInput:w1~input.qs_context_add_curve.2359132437744.2800.3.0:16032</v>
      </c>
      <c r="E2801" s="6" t="str">
        <f>_xll.QS.INSTRUMENT.SWAP("swap.2799",H2801,B2801,"USD","SOFR",I2801,J2801,0,"Actual360","Simple","Annual","Annual","Annual")</f>
        <v>QSObject:Swap:w1~swap.2799:7995</v>
      </c>
      <c r="F2801" s="6" t="str">
        <f>_xll.QS.TRADE.CREATE("trade.2799",E2801,A2801,"Receive")</f>
        <v>QSObject:SwapTrade:w1~trade.2799:29072</v>
      </c>
      <c r="G2801" s="3">
        <f>_xll.QS.EVALUATE(C2801,F2801)</f>
        <v>46438.898350275347</v>
      </c>
      <c r="H2801" s="5" t="s">
        <v>1989</v>
      </c>
      <c r="I2801" s="7">
        <v>1279900</v>
      </c>
      <c r="J2801" s="8">
        <v>3.9899999999999998E-2</v>
      </c>
    </row>
    <row r="2802" spans="1:10" x14ac:dyDescent="0.25">
      <c r="A2802" s="5" t="s">
        <v>1977</v>
      </c>
      <c r="B2802" s="5" t="s">
        <v>4669</v>
      </c>
      <c r="C2802" s="6" t="str">
        <f>_xll.QS.CONTEXT.CREATE("market.2800",A2802,"USD","SOFR")</f>
        <v>QSObject:PricingContext:w1~market.2800:16995</v>
      </c>
      <c r="D2802" s="6" t="str">
        <f>_xll.QS.CONTEXT.ADD.CURVE(C2802,"SOFR",$K$2:$K$7,$L$2:$L$7,,,"Actual360","LogLinear",TRUE)</f>
        <v>QSObject:ContextInput:w1~input.qs_context_add_curve.2359132437744.2801.3.0:37687</v>
      </c>
      <c r="E2802" s="6" t="str">
        <f>_xll.QS.INSTRUMENT.SWAP("swap.2800",H2802,B2802,"USD","SOFR",I2802,J2802,0,"Actual360","Simple","Annual","Annual","Annual")</f>
        <v>QSObject:Swap:w1~swap.2800:11219</v>
      </c>
      <c r="F2802" s="6" t="str">
        <f>_xll.QS.TRADE.CREATE("trade.2800",E2802,A2802,"Receive")</f>
        <v>QSObject:SwapTrade:w1~trade.2800:29071</v>
      </c>
      <c r="G2802" s="3">
        <f>_xll.QS.EVALUATE(C2802,F2802)</f>
        <v>17509.835351220994</v>
      </c>
      <c r="H2802" s="5" t="s">
        <v>1991</v>
      </c>
      <c r="I2802" s="7">
        <v>1280000</v>
      </c>
      <c r="J2802" s="8">
        <v>3.5000000000000003E-2</v>
      </c>
    </row>
    <row r="2803" spans="1:10" x14ac:dyDescent="0.25">
      <c r="A2803" s="5" t="s">
        <v>1979</v>
      </c>
      <c r="B2803" s="5" t="s">
        <v>4670</v>
      </c>
      <c r="C2803" s="6" t="str">
        <f>_xll.QS.CONTEXT.CREATE("market.2801",A2803,"USD","SOFR")</f>
        <v>QSObject:PricingContext:w1~market.2801:12719</v>
      </c>
      <c r="D2803" s="6" t="str">
        <f>_xll.QS.CONTEXT.ADD.CURVE(C2803,"SOFR",$K$2:$K$7,$L$2:$L$7,,,"Actual360","LogLinear",TRUE)</f>
        <v>QSObject:ContextInput:w1~input.qs_context_add_curve.2359132437744.2802.3.0:14339</v>
      </c>
      <c r="E2803" s="6" t="str">
        <f>_xll.QS.INSTRUMENT.SWAP("swap.2801",H2803,B2803,"USD","SOFR",I2803,J2803,0,"Actual360","Simple","Annual","Annual","Annual")</f>
        <v>QSObject:Swap:w1~swap.2801:6400</v>
      </c>
      <c r="F2803" s="6" t="str">
        <f>_xll.QS.TRADE.CREATE("trade.2801",E2803,A2803,"Receive")</f>
        <v>QSObject:SwapTrade:w1~trade.2801:29070</v>
      </c>
      <c r="G2803" s="3">
        <f>_xll.QS.EVALUATE(C2803,F2803)</f>
        <v>18141.930787032274</v>
      </c>
      <c r="H2803" s="5" t="s">
        <v>1993</v>
      </c>
      <c r="I2803" s="7">
        <v>1280100</v>
      </c>
      <c r="J2803" s="8">
        <v>3.5100000000000013E-2</v>
      </c>
    </row>
    <row r="2804" spans="1:10" x14ac:dyDescent="0.25">
      <c r="A2804" s="5" t="s">
        <v>1981</v>
      </c>
      <c r="B2804" s="5" t="s">
        <v>4671</v>
      </c>
      <c r="C2804" s="6" t="str">
        <f>_xll.QS.CONTEXT.CREATE("market.2802",A2804,"USD","SOFR")</f>
        <v>QSObject:PricingContext:w1~market.2802:16031</v>
      </c>
      <c r="D2804" s="6" t="str">
        <f>_xll.QS.CONTEXT.ADD.CURVE(C2804,"SOFR",$K$2:$K$7,$L$2:$L$7,,,"Actual360","LogLinear",TRUE)</f>
        <v>QSObject:ContextInput:w1~input.qs_context_add_curve.2359132437744.2803.3.0:37686</v>
      </c>
      <c r="E2804" s="6" t="str">
        <f>_xll.QS.INSTRUMENT.SWAP("swap.2802",H2804,B2804,"USD","SOFR",I2804,J2804,0,"Actual360","Simple","Annual","Annual","Annual")</f>
        <v>QSObject:Swap:w1~swap.2802:1738</v>
      </c>
      <c r="F2804" s="6" t="str">
        <f>_xll.QS.TRADE.CREATE("trade.2802",E2804,A2804,"Receive")</f>
        <v>QSObject:SwapTrade:w1~trade.2802:16994</v>
      </c>
      <c r="G2804" s="3">
        <f>_xll.QS.EVALUATE(C2804,F2804)</f>
        <v>18826.904315585001</v>
      </c>
      <c r="H2804" s="5" t="s">
        <v>1995</v>
      </c>
      <c r="I2804" s="7">
        <v>1280200</v>
      </c>
      <c r="J2804" s="8">
        <v>3.5200000000000002E-2</v>
      </c>
    </row>
    <row r="2805" spans="1:10" x14ac:dyDescent="0.25">
      <c r="A2805" s="5" t="s">
        <v>1983</v>
      </c>
      <c r="B2805" s="5" t="s">
        <v>4672</v>
      </c>
      <c r="C2805" s="6" t="str">
        <f>_xll.QS.CONTEXT.CREATE("market.2803",A2805,"USD","SOFR")</f>
        <v>QSObject:PricingContext:w1~market.2803:3264</v>
      </c>
      <c r="D2805" s="6" t="str">
        <f>_xll.QS.CONTEXT.ADD.CURVE(C2805,"SOFR",$K$2:$K$7,$L$2:$L$7,,,"Actual360","LogLinear",TRUE)</f>
        <v>QSObject:ContextInput:w1~input.qs_context_add_curve.2359132437744.2804.3.0:9587</v>
      </c>
      <c r="E2805" s="6" t="str">
        <f>_xll.QS.INSTRUMENT.SWAP("swap.2803",H2805,B2805,"USD","SOFR",I2805,J2805,0,"Actual360","Simple","Annual","Annual","Annual")</f>
        <v>QSObject:Swap:w1~swap.2803:11218</v>
      </c>
      <c r="F2805" s="6" t="str">
        <f>_xll.QS.TRADE.CREATE("trade.2803",E2805,A2805,"Receive")</f>
        <v>QSObject:SwapTrade:w1~trade.2803:12718</v>
      </c>
      <c r="G2805" s="3">
        <f>_xll.QS.EVALUATE(C2805,F2805)</f>
        <v>19474.405403240147</v>
      </c>
      <c r="H2805" s="5" t="s">
        <v>1997</v>
      </c>
      <c r="I2805" s="7">
        <v>1280300</v>
      </c>
      <c r="J2805" s="8">
        <v>3.5299999999999998E-2</v>
      </c>
    </row>
    <row r="2806" spans="1:10" x14ac:dyDescent="0.25">
      <c r="A2806" s="5" t="s">
        <v>1985</v>
      </c>
      <c r="B2806" s="5" t="s">
        <v>4673</v>
      </c>
      <c r="C2806" s="6" t="str">
        <f>_xll.QS.CONTEXT.CREATE("market.2804",A2806,"USD","SOFR")</f>
        <v>QSObject:PricingContext:w1~market.2804:4820</v>
      </c>
      <c r="D2806" s="6" t="str">
        <f>_xll.QS.CONTEXT.ADD.CURVE(C2806,"SOFR",$K$2:$K$7,$L$2:$L$7,,,"Actual360","LogLinear",TRUE)</f>
        <v>QSObject:ContextInput:w1~input.qs_context_add_curve.2359132437744.2805.3.0:6399</v>
      </c>
      <c r="E2806" s="6" t="str">
        <f>_xll.QS.INSTRUMENT.SWAP("swap.2804",H2806,B2806,"USD","SOFR",I2806,J2806,0,"Actual360","Simple","Annual","Annual","Annual")</f>
        <v>QSObject:Swap:w1~swap.2804:14338</v>
      </c>
      <c r="F2806" s="6" t="str">
        <f>_xll.QS.TRADE.CREATE("trade.2804",E2806,A2806,"Receive")</f>
        <v>QSObject:SwapTrade:w1~trade.2804:16030</v>
      </c>
      <c r="G2806" s="3">
        <f>_xll.QS.EVALUATE(C2806,F2806)</f>
        <v>20017.265819712993</v>
      </c>
      <c r="H2806" s="5" t="s">
        <v>1999</v>
      </c>
      <c r="I2806" s="7">
        <v>1280400</v>
      </c>
      <c r="J2806" s="8">
        <v>3.5400000000000001E-2</v>
      </c>
    </row>
    <row r="2807" spans="1:10" x14ac:dyDescent="0.25">
      <c r="A2807" s="5" t="s">
        <v>1987</v>
      </c>
      <c r="B2807" s="5" t="s">
        <v>4674</v>
      </c>
      <c r="C2807" s="6" t="str">
        <f>_xll.QS.CONTEXT.CREATE("market.2805",A2807,"USD","SOFR")</f>
        <v>QSObject:PricingContext:w1~market.2805:1737</v>
      </c>
      <c r="D2807" s="6" t="str">
        <f>_xll.QS.CONTEXT.ADD.CURVE(C2807,"SOFR",$K$2:$K$7,$L$2:$L$7,,,"Actual360","LogLinear",TRUE)</f>
        <v>QSObject:ContextInput:w1~input.qs_context_add_curve.2359132437744.2806.3.0:16993</v>
      </c>
      <c r="E2807" s="6" t="str">
        <f>_xll.QS.INSTRUMENT.SWAP("swap.2805",H2807,B2807,"USD","SOFR",I2807,J2807,0,"Actual360","Simple","Annual","Annual","Annual")</f>
        <v>QSObject:Swap:w1~swap.2805:7994</v>
      </c>
      <c r="F2807" s="6" t="str">
        <f>_xll.QS.TRADE.CREATE("trade.2805",E2807,A2807,"Receive")</f>
        <v>QSObject:SwapTrade:w1~trade.2805:29069</v>
      </c>
      <c r="G2807" s="3">
        <f>_xll.QS.EVALUATE(C2807,F2807)</f>
        <v>20531.070567603099</v>
      </c>
      <c r="H2807" s="5" t="s">
        <v>2001</v>
      </c>
      <c r="I2807" s="7">
        <v>1280500</v>
      </c>
      <c r="J2807" s="8">
        <v>3.5499999999999997E-2</v>
      </c>
    </row>
    <row r="2808" spans="1:10" x14ac:dyDescent="0.25">
      <c r="A2808" s="5" t="s">
        <v>1989</v>
      </c>
      <c r="B2808" s="5" t="s">
        <v>4675</v>
      </c>
      <c r="C2808" s="6" t="str">
        <f>_xll.QS.CONTEXT.CREATE("market.2806",A2808,"USD","SOFR")</f>
        <v>QSObject:PricingContext:w1~market.2806:4819</v>
      </c>
      <c r="D2808" s="6" t="str">
        <f>_xll.QS.CONTEXT.ADD.CURVE(C2808,"SOFR",$K$2:$K$7,$L$2:$L$7,,,"Actual360","LogLinear",TRUE)</f>
        <v>QSObject:ContextInput:w1~input.qs_context_add_curve.2359132437744.2807.3.0:12717</v>
      </c>
      <c r="E2808" s="6" t="str">
        <f>_xll.QS.INSTRUMENT.SWAP("swap.2806",H2808,B2808,"USD","SOFR",I2808,J2808,0,"Actual360","Simple","Annual","Annual","Annual")</f>
        <v>QSObject:Swap:w1~swap.2806:9586</v>
      </c>
      <c r="F2808" s="6" t="str">
        <f>_xll.QS.TRADE.CREATE("trade.2806",E2808,A2808,"Receive")</f>
        <v>QSObject:SwapTrade:w1~trade.2806:29068</v>
      </c>
      <c r="G2808" s="3">
        <f>_xll.QS.EVALUATE(C2808,F2808)</f>
        <v>21009.905872691241</v>
      </c>
      <c r="H2808" s="5" t="s">
        <v>2003</v>
      </c>
      <c r="I2808" s="7">
        <v>1280600</v>
      </c>
      <c r="J2808" s="8">
        <v>3.5600000000000007E-2</v>
      </c>
    </row>
    <row r="2809" spans="1:10" x14ac:dyDescent="0.25">
      <c r="A2809" s="5" t="s">
        <v>1991</v>
      </c>
      <c r="B2809" s="5" t="s">
        <v>4676</v>
      </c>
      <c r="C2809" s="6" t="str">
        <f>_xll.QS.CONTEXT.CREATE("market.2807",A2809,"USD","SOFR")</f>
        <v>QSObject:PricingContext:w1~market.2807:16029</v>
      </c>
      <c r="D2809" s="6" t="str">
        <f>_xll.QS.CONTEXT.ADD.CURVE(C2809,"SOFR",$K$2:$K$7,$L$2:$L$7,,,"Actual360","LogLinear",TRUE)</f>
        <v>QSObject:ContextInput:w1~input.qs_context_add_curve.2359132437744.2808.3.0:29067</v>
      </c>
      <c r="E2809" s="6" t="str">
        <f>_xll.QS.INSTRUMENT.SWAP("swap.2807",H2809,B2809,"USD","SOFR",I2809,J2809,0,"Actual360","Simple","Annual","Annual","Annual")</f>
        <v>QSObject:Swap:w1~swap.2807:11217</v>
      </c>
      <c r="F2809" s="6" t="str">
        <f>_xll.QS.TRADE.CREATE("trade.2807",E2809,A2809,"Receive")</f>
        <v>QSObject:SwapTrade:w1~trade.2807:16992</v>
      </c>
      <c r="G2809" s="3">
        <f>_xll.QS.EVALUATE(C2809,F2809)</f>
        <v>21655.119906911845</v>
      </c>
      <c r="H2809" s="5" t="s">
        <v>2005</v>
      </c>
      <c r="I2809" s="7">
        <v>1280700</v>
      </c>
      <c r="J2809" s="8">
        <v>3.5700000000000003E-2</v>
      </c>
    </row>
    <row r="2810" spans="1:10" x14ac:dyDescent="0.25">
      <c r="A2810" s="5" t="s">
        <v>1993</v>
      </c>
      <c r="B2810" s="5" t="s">
        <v>4677</v>
      </c>
      <c r="C2810" s="6" t="str">
        <f>_xll.QS.CONTEXT.CREATE("market.2808",A2810,"USD","SOFR")</f>
        <v>QSObject:PricingContext:w1~market.2808:1736</v>
      </c>
      <c r="D2810" s="6" t="str">
        <f>_xll.QS.CONTEXT.ADD.CURVE(C2810,"SOFR",$K$2:$K$7,$L$2:$L$7,,,"Actual360","LogLinear",TRUE)</f>
        <v>QSObject:ContextInput:w1~input.qs_context_add_curve.2359132437744.2809.3.0:7993</v>
      </c>
      <c r="E2810" s="6" t="str">
        <f>_xll.QS.INSTRUMENT.SWAP("swap.2808",H2810,B2810,"USD","SOFR",I2810,J2810,0,"Actual360","Simple","Annual","Annual","Annual")</f>
        <v>QSObject:Swap:w1~swap.2808:3263</v>
      </c>
      <c r="F2810" s="6" t="str">
        <f>_xll.QS.TRADE.CREATE("trade.2808",E2810,A2810,"Receive")</f>
        <v>QSObject:SwapTrade:w1~trade.2808:6398</v>
      </c>
      <c r="G2810" s="3">
        <f>_xll.QS.EVALUATE(C2810,F2810)</f>
        <v>22285.679737638922</v>
      </c>
      <c r="H2810" s="5" t="s">
        <v>2007</v>
      </c>
      <c r="I2810" s="7">
        <v>1280800</v>
      </c>
      <c r="J2810" s="8">
        <v>3.5800000000000012E-2</v>
      </c>
    </row>
    <row r="2811" spans="1:10" x14ac:dyDescent="0.25">
      <c r="A2811" s="5" t="s">
        <v>1995</v>
      </c>
      <c r="B2811" s="5" t="s">
        <v>4678</v>
      </c>
      <c r="C2811" s="6" t="str">
        <f>_xll.QS.CONTEXT.CREATE("market.2809",A2811,"USD","SOFR")</f>
        <v>QSObject:PricingContext:w1~market.2809:9585</v>
      </c>
      <c r="D2811" s="6" t="str">
        <f>_xll.QS.CONTEXT.ADD.CURVE(C2811,"SOFR",$K$2:$K$7,$L$2:$L$7,,,"Actual360","LogLinear",TRUE)</f>
        <v>QSObject:ContextInput:w1~input.qs_context_add_curve.2359132437744.2810.3.0:37685</v>
      </c>
      <c r="E2811" s="6" t="str">
        <f>_xll.QS.INSTRUMENT.SWAP("swap.2809",H2811,B2811,"USD","SOFR",I2811,J2811,0,"Actual360","Simple","Annual","Annual","Annual")</f>
        <v>QSObject:Swap:w1~swap.2809:12716</v>
      </c>
      <c r="F2811" s="6" t="str">
        <f>_xll.QS.TRADE.CREATE("trade.2809",E2811,A2811,"Receive")</f>
        <v>QSObject:SwapTrade:w1~trade.2809:29066</v>
      </c>
      <c r="G2811" s="3">
        <f>_xll.QS.EVALUATE(C2811,F2811)</f>
        <v>22971.760692198382</v>
      </c>
      <c r="H2811" s="5" t="s">
        <v>2009</v>
      </c>
      <c r="I2811" s="7">
        <v>1280900</v>
      </c>
      <c r="J2811" s="8">
        <v>3.5900000000000001E-2</v>
      </c>
    </row>
    <row r="2812" spans="1:10" x14ac:dyDescent="0.25">
      <c r="A2812" s="5" t="s">
        <v>1997</v>
      </c>
      <c r="B2812" s="5" t="s">
        <v>4679</v>
      </c>
      <c r="C2812" s="6" t="str">
        <f>_xll.QS.CONTEXT.CREATE("market.2810",A2812,"USD","SOFR")</f>
        <v>QSObject:PricingContext:w1~market.2810:16991</v>
      </c>
      <c r="D2812" s="6" t="str">
        <f>_xll.QS.CONTEXT.ADD.CURVE(C2812,"SOFR",$K$2:$K$7,$L$2:$L$7,,,"Actual360","LogLinear",TRUE)</f>
        <v>QSObject:ContextInput:w1~input.qs_context_add_curve.2359132437744.2811.3.0:37684</v>
      </c>
      <c r="E2812" s="6" t="str">
        <f>_xll.QS.INSTRUMENT.SWAP("swap.2810",H2812,B2812,"USD","SOFR",I2812,J2812,0,"Actual360","Simple","Annual","Annual","Annual")</f>
        <v>QSObject:Swap:w1~swap.2810:16028</v>
      </c>
      <c r="F2812" s="6" t="str">
        <f>_xll.QS.TRADE.CREATE("trade.2810",E2812,A2812,"Receive")</f>
        <v>QSObject:SwapTrade:w1~trade.2810:29065</v>
      </c>
      <c r="G2812" s="3">
        <f>_xll.QS.EVALUATE(C2812,F2812)</f>
        <v>23620.132934244299</v>
      </c>
      <c r="H2812" s="5" t="s">
        <v>2011</v>
      </c>
      <c r="I2812" s="7">
        <v>1281000</v>
      </c>
      <c r="J2812" s="8">
        <v>3.5999999999999997E-2</v>
      </c>
    </row>
    <row r="2813" spans="1:10" x14ac:dyDescent="0.25">
      <c r="A2813" s="5" t="s">
        <v>1999</v>
      </c>
      <c r="B2813" s="5" t="s">
        <v>4680</v>
      </c>
      <c r="C2813" s="6" t="str">
        <f>_xll.QS.CONTEXT.CREATE("market.2811",A2813,"USD","SOFR")</f>
        <v>QSObject:PricingContext:w1~market.2811:3262</v>
      </c>
      <c r="D2813" s="6" t="str">
        <f>_xll.QS.CONTEXT.ADD.CURVE(C2813,"SOFR",$K$2:$K$7,$L$2:$L$7,,,"Actual360","LogLinear",TRUE)</f>
        <v>QSObject:ContextInput:w1~input.qs_context_add_curve.2359132437744.2812.3.0:6397</v>
      </c>
      <c r="E2813" s="6" t="str">
        <f>_xll.QS.INSTRUMENT.SWAP("swap.2811",H2813,B2813,"USD","SOFR",I2813,J2813,0,"Actual360","Simple","Annual","Annual","Annual")</f>
        <v>QSObject:Swap:w1~swap.2811:7992</v>
      </c>
      <c r="F2813" s="6" t="str">
        <f>_xll.QS.TRADE.CREATE("trade.2811",E2813,A2813,"Receive")</f>
        <v>QSObject:SwapTrade:w1~trade.2811:11216</v>
      </c>
      <c r="G2813" s="3">
        <f>_xll.QS.EVALUATE(C2813,F2813)</f>
        <v>24163.566674420537</v>
      </c>
      <c r="H2813" s="5" t="s">
        <v>2013</v>
      </c>
      <c r="I2813" s="7">
        <v>1281100</v>
      </c>
      <c r="J2813" s="8">
        <v>3.61E-2</v>
      </c>
    </row>
    <row r="2814" spans="1:10" x14ac:dyDescent="0.25">
      <c r="A2814" s="5" t="s">
        <v>2001</v>
      </c>
      <c r="B2814" s="5" t="s">
        <v>4681</v>
      </c>
      <c r="C2814" s="6" t="str">
        <f>_xll.QS.CONTEXT.CREATE("market.2812",A2814,"USD","SOFR")</f>
        <v>QSObject:PricingContext:w1~market.2812:9584</v>
      </c>
      <c r="D2814" s="6" t="str">
        <f>_xll.QS.CONTEXT.ADD.CURVE(C2814,"SOFR",$K$2:$K$7,$L$2:$L$7,,,"Actual360","LogLinear",TRUE)</f>
        <v>QSObject:ContextInput:w1~input.qs_context_add_curve.2359132437744.2813.3.0:12715</v>
      </c>
      <c r="E2814" s="6" t="str">
        <f>_xll.QS.INSTRUMENT.SWAP("swap.2812",H2814,B2814,"USD","SOFR",I2814,J2814,0,"Actual360","Simple","Annual","Annual","Annual")</f>
        <v>QSObject:Swap:w1~swap.2812:16990</v>
      </c>
      <c r="F2814" s="6" t="str">
        <f>_xll.QS.TRADE.CREATE("trade.2812",E2814,A2814,"Receive")</f>
        <v>QSObject:SwapTrade:w1~trade.2812:29064</v>
      </c>
      <c r="G2814" s="3">
        <f>_xll.QS.EVALUATE(C2814,F2814)</f>
        <v>24673.103837656032</v>
      </c>
      <c r="H2814" s="5" t="s">
        <v>2015</v>
      </c>
      <c r="I2814" s="7">
        <v>1281200</v>
      </c>
      <c r="J2814" s="8">
        <v>3.6200000000000003E-2</v>
      </c>
    </row>
    <row r="2815" spans="1:10" x14ac:dyDescent="0.25">
      <c r="A2815" s="5" t="s">
        <v>2003</v>
      </c>
      <c r="B2815" s="5" t="s">
        <v>4682</v>
      </c>
      <c r="C2815" s="6" t="str">
        <f>_xll.QS.CONTEXT.CREATE("market.2813",A2815,"USD","SOFR")</f>
        <v>QSObject:PricingContext:w1~market.2813:1735</v>
      </c>
      <c r="D2815" s="6" t="str">
        <f>_xll.QS.CONTEXT.ADD.CURVE(C2815,"SOFR",$K$2:$K$7,$L$2:$L$7,,,"Actual360","LogLinear",TRUE)</f>
        <v>QSObject:ContextInput:w1~input.qs_context_add_curve.2359132437744.2814.3.0:16027</v>
      </c>
      <c r="E2815" s="6" t="str">
        <f>_xll.QS.INSTRUMENT.SWAP("swap.2813",H2815,B2815,"USD","SOFR",I2815,J2815,0,"Actual360","Simple","Annual","Annual","Annual")</f>
        <v>QSObject:Swap:w1~swap.2813:14337</v>
      </c>
      <c r="F2815" s="6" t="str">
        <f>_xll.QS.TRADE.CREATE("trade.2813",E2815,A2815,"Receive")</f>
        <v>QSObject:SwapTrade:w1~trade.2813:29063</v>
      </c>
      <c r="G2815" s="3">
        <f>_xll.QS.EVALUATE(C2815,F2815)</f>
        <v>25158.934584090523</v>
      </c>
      <c r="H2815" s="5" t="s">
        <v>2017</v>
      </c>
      <c r="I2815" s="7">
        <v>1281300</v>
      </c>
      <c r="J2815" s="8">
        <v>3.6300000000000013E-2</v>
      </c>
    </row>
    <row r="2816" spans="1:10" x14ac:dyDescent="0.25">
      <c r="A2816" s="5" t="s">
        <v>2005</v>
      </c>
      <c r="B2816" s="5" t="s">
        <v>4683</v>
      </c>
      <c r="C2816" s="6" t="str">
        <f>_xll.QS.CONTEXT.CREATE("market.2814",A2816,"USD","SOFR")</f>
        <v>QSObject:PricingContext:w1~market.2814:7991</v>
      </c>
      <c r="D2816" s="6" t="str">
        <f>_xll.QS.CONTEXT.ADD.CURVE(C2816,"SOFR",$K$2:$K$7,$L$2:$L$7,,,"Actual360","LogLinear",TRUE)</f>
        <v>QSObject:ContextInput:w1~input.qs_context_add_curve.2359132437744.2815.3.0:11215</v>
      </c>
      <c r="E2816" s="6" t="str">
        <f>_xll.QS.INSTRUMENT.SWAP("swap.2814",H2816,B2816,"USD","SOFR",I2816,J2816,0,"Actual360","Simple","Annual","Annual","Annual")</f>
        <v>QSObject:Swap:w1~swap.2814:6396</v>
      </c>
      <c r="F2816" s="6" t="str">
        <f>_xll.QS.TRADE.CREATE("trade.2814",E2816,A2816,"Receive")</f>
        <v>QSObject:SwapTrade:w1~trade.2814:9583</v>
      </c>
      <c r="G2816" s="3">
        <f>_xll.QS.EVALUATE(C2816,F2816)</f>
        <v>25805.224120759674</v>
      </c>
      <c r="H2816" s="5" t="s">
        <v>2019</v>
      </c>
      <c r="I2816" s="7">
        <v>1281400</v>
      </c>
      <c r="J2816" s="8">
        <v>3.6400000000000002E-2</v>
      </c>
    </row>
    <row r="2817" spans="1:10" x14ac:dyDescent="0.25">
      <c r="A2817" s="5" t="s">
        <v>2007</v>
      </c>
      <c r="B2817" s="5" t="s">
        <v>4684</v>
      </c>
      <c r="C2817" s="6" t="str">
        <f>_xll.QS.CONTEXT.CREATE("market.2815",A2817,"USD","SOFR")</f>
        <v>QSObject:PricingContext:w1~market.2815:16989</v>
      </c>
      <c r="D2817" s="6" t="str">
        <f>_xll.QS.CONTEXT.ADD.CURVE(C2817,"SOFR",$K$2:$K$7,$L$2:$L$7,,,"Actual360","LogLinear",TRUE)</f>
        <v>QSObject:ContextInput:w1~input.qs_context_add_curve.2359132437744.2816.3.0:37683</v>
      </c>
      <c r="E2817" s="6" t="str">
        <f>_xll.QS.INSTRUMENT.SWAP("swap.2815",H2817,B2817,"USD","SOFR",I2817,J2817,0,"Actual360","Simple","Annual","Annual","Annual")</f>
        <v>QSObject:Swap:w1~swap.2815:12714</v>
      </c>
      <c r="F2817" s="6" t="str">
        <f>_xll.QS.TRADE.CREATE("trade.2815",E2817,A2817,"Receive")</f>
        <v>QSObject:SwapTrade:w1~trade.2815:14336</v>
      </c>
      <c r="G2817" s="3">
        <f>_xll.QS.EVALUATE(C2817,F2817)</f>
        <v>26434.440627503034</v>
      </c>
      <c r="H2817" s="5" t="s">
        <v>2021</v>
      </c>
      <c r="I2817" s="7">
        <v>1281500</v>
      </c>
      <c r="J2817" s="8">
        <v>3.6499999999999998E-2</v>
      </c>
    </row>
    <row r="2818" spans="1:10" x14ac:dyDescent="0.25">
      <c r="A2818" s="5" t="s">
        <v>2009</v>
      </c>
      <c r="B2818" s="5" t="s">
        <v>4685</v>
      </c>
      <c r="C2818" s="6" t="str">
        <f>_xll.QS.CONTEXT.CREATE("market.2816",A2818,"USD","SOFR")</f>
        <v>QSObject:PricingContext:w1~market.2816:16026</v>
      </c>
      <c r="D2818" s="6" t="str">
        <f>_xll.QS.CONTEXT.ADD.CURVE(C2818,"SOFR",$K$2:$K$7,$L$2:$L$7,,,"Actual360","LogLinear",TRUE)</f>
        <v>QSObject:ContextInput:w1~input.qs_context_add_curve.2359132437744.2817.3.0:37682</v>
      </c>
      <c r="E2818" s="6" t="str">
        <f>_xll.QS.INSTRUMENT.SWAP("swap.2816",H2818,B2818,"USD","SOFR",I2818,J2818,0,"Actual360","Simple","Annual","Annual","Annual")</f>
        <v>QSObject:Swap:w1~swap.2816:1734</v>
      </c>
      <c r="F2818" s="6" t="str">
        <f>_xll.QS.TRADE.CREATE("trade.2816",E2818,A2818,"Receive")</f>
        <v>QSObject:SwapTrade:w1~trade.2816:7990</v>
      </c>
      <c r="G2818" s="3">
        <f>_xll.QS.EVALUATE(C2818,F2818)</f>
        <v>27121.283825972438</v>
      </c>
      <c r="H2818" s="5" t="s">
        <v>2023</v>
      </c>
      <c r="I2818" s="7">
        <v>1281600</v>
      </c>
      <c r="J2818" s="8">
        <v>3.6600000000000001E-2</v>
      </c>
    </row>
    <row r="2819" spans="1:10" x14ac:dyDescent="0.25">
      <c r="A2819" s="5" t="s">
        <v>2011</v>
      </c>
      <c r="B2819" s="5" t="s">
        <v>4686</v>
      </c>
      <c r="C2819" s="6" t="str">
        <f>_xll.QS.CONTEXT.CREATE("market.2817",A2819,"USD","SOFR")</f>
        <v>QSObject:PricingContext:w1~market.2817:11214</v>
      </c>
      <c r="D2819" s="6" t="str">
        <f>_xll.QS.CONTEXT.ADD.CURVE(C2819,"SOFR",$K$2:$K$7,$L$2:$L$7,,,"Actual360","LogLinear",TRUE)</f>
        <v>QSObject:ContextInput:w1~input.qs_context_add_curve.2359132437744.2818.3.0:16988</v>
      </c>
      <c r="E2819" s="6" t="str">
        <f>_xll.QS.INSTRUMENT.SWAP("swap.2817",H2819,B2819,"USD","SOFR",I2819,J2819,0,"Actual360","Simple","Annual","Annual","Annual")</f>
        <v>QSObject:Swap:w1~swap.2817:6395</v>
      </c>
      <c r="F2819" s="6" t="str">
        <f>_xll.QS.TRADE.CREATE("trade.2817",E2819,A2819,"Receive")</f>
        <v>QSObject:SwapTrade:w1~trade.2817:9582</v>
      </c>
      <c r="G2819" s="3">
        <f>_xll.QS.EVALUATE(C2819,F2819)</f>
        <v>27770.379678320976</v>
      </c>
      <c r="H2819" s="5" t="s">
        <v>2025</v>
      </c>
      <c r="I2819" s="7">
        <v>1281700</v>
      </c>
      <c r="J2819" s="8">
        <v>3.6700000000000003E-2</v>
      </c>
    </row>
    <row r="2820" spans="1:10" x14ac:dyDescent="0.25">
      <c r="A2820" s="5" t="s">
        <v>2013</v>
      </c>
      <c r="B2820" s="5" t="s">
        <v>4687</v>
      </c>
      <c r="C2820" s="6" t="str">
        <f>_xll.QS.CONTEXT.CREATE("market.2818",A2820,"USD","SOFR")</f>
        <v>QSObject:PricingContext:w1~market.2818:12713</v>
      </c>
      <c r="D2820" s="6" t="str">
        <f>_xll.QS.CONTEXT.ADD.CURVE(C2820,"SOFR",$K$2:$K$7,$L$2:$L$7,,,"Actual360","LogLinear",TRUE)</f>
        <v>QSObject:ContextInput:w1~input.qs_context_add_curve.2359132437744.2819.3.0:37681</v>
      </c>
      <c r="E2820" s="6" t="str">
        <f>_xll.QS.INSTRUMENT.SWAP("swap.2818",H2820,B2820,"USD","SOFR",I2820,J2820,0,"Actual360","Simple","Annual","Annual","Annual")</f>
        <v>QSObject:Swap:w1~swap.2818:14335</v>
      </c>
      <c r="F2820" s="6" t="str">
        <f>_xll.QS.TRADE.CREATE("trade.2818",E2820,A2820,"Receive")</f>
        <v>QSObject:SwapTrade:w1~trade.2818:29062</v>
      </c>
      <c r="G2820" s="3">
        <f>_xll.QS.EVALUATE(C2820,F2820)</f>
        <v>28314.386692554115</v>
      </c>
      <c r="H2820" s="5" t="s">
        <v>2027</v>
      </c>
      <c r="I2820" s="7">
        <v>1281800</v>
      </c>
      <c r="J2820" s="8">
        <v>3.6800000000000013E-2</v>
      </c>
    </row>
    <row r="2821" spans="1:10" x14ac:dyDescent="0.25">
      <c r="A2821" s="5" t="s">
        <v>2015</v>
      </c>
      <c r="B2821" s="5" t="s">
        <v>4688</v>
      </c>
      <c r="C2821" s="6" t="str">
        <f>_xll.QS.CONTEXT.CREATE("market.2819",A2821,"USD","SOFR")</f>
        <v>QSObject:PricingContext:w1~market.2819:16025</v>
      </c>
      <c r="D2821" s="6" t="str">
        <f>_xll.QS.CONTEXT.ADD.CURVE(C2821,"SOFR",$K$2:$K$7,$L$2:$L$7,,,"Actual360","LogLinear",TRUE)</f>
        <v>QSObject:ContextInput:w1~input.qs_context_add_curve.2359132437744.2820.3.0:29061</v>
      </c>
      <c r="E2821" s="6" t="str">
        <f>_xll.QS.INSTRUMENT.SWAP("swap.2819",H2821,B2821,"USD","SOFR",I2821,J2821,0,"Actual360","Simple","Annual","Annual","Annual")</f>
        <v>QSObject:Swap:w1~swap.2819:7989</v>
      </c>
      <c r="F2821" s="6" t="str">
        <f>_xll.QS.TRADE.CREATE("trade.2819",E2821,A2821,"Receive")</f>
        <v>QSObject:SwapTrade:w1~trade.2819:16987</v>
      </c>
      <c r="G2821" s="3">
        <f>_xll.QS.EVALUATE(C2821,F2821)</f>
        <v>28819.650949119372</v>
      </c>
      <c r="H2821" s="5" t="s">
        <v>2029</v>
      </c>
      <c r="I2821" s="7">
        <v>1281900</v>
      </c>
      <c r="J2821" s="8">
        <v>3.6900000000000002E-2</v>
      </c>
    </row>
    <row r="2822" spans="1:10" x14ac:dyDescent="0.25">
      <c r="A2822" s="5" t="s">
        <v>2017</v>
      </c>
      <c r="B2822" s="5" t="s">
        <v>4689</v>
      </c>
      <c r="C2822" s="6" t="str">
        <f>_xll.QS.CONTEXT.CREATE("market.2820",A2822,"USD","SOFR")</f>
        <v>QSObject:PricingContext:w1~market.2820:12712</v>
      </c>
      <c r="D2822" s="6" t="str">
        <f>_xll.QS.CONTEXT.ADD.CURVE(C2822,"SOFR",$K$2:$K$7,$L$2:$L$7,,,"Actual360","LogLinear",TRUE)</f>
        <v>QSObject:ContextInput:w1~input.qs_context_add_curve.2359132437744.2821.3.0:37680</v>
      </c>
      <c r="E2822" s="6" t="str">
        <f>_xll.QS.INSTRUMENT.SWAP("swap.2820",H2822,B2822,"USD","SOFR",I2822,J2822,0,"Actual360","Simple","Annual","Annual","Annual")</f>
        <v>QSObject:Swap:w1~swap.2820:11213</v>
      </c>
      <c r="F2822" s="6" t="str">
        <f>_xll.QS.TRADE.CREATE("trade.2820",E2822,A2822,"Receive")</f>
        <v>QSObject:SwapTrade:w1~trade.2820:29060</v>
      </c>
      <c r="G2822" s="3">
        <f>_xll.QS.EVALUATE(C2822,F2822)</f>
        <v>29312.484143084715</v>
      </c>
      <c r="H2822" s="5" t="s">
        <v>2031</v>
      </c>
      <c r="I2822" s="7">
        <v>1282000</v>
      </c>
      <c r="J2822" s="8">
        <v>3.7000000000000012E-2</v>
      </c>
    </row>
    <row r="2823" spans="1:10" x14ac:dyDescent="0.25">
      <c r="A2823" s="5" t="s">
        <v>2019</v>
      </c>
      <c r="B2823" s="5" t="s">
        <v>4690</v>
      </c>
      <c r="C2823" s="6" t="str">
        <f>_xll.QS.CONTEXT.CREATE("market.2821",A2823,"USD","SOFR")</f>
        <v>QSObject:PricingContext:w1~market.2821:4818</v>
      </c>
      <c r="D2823" s="6" t="str">
        <f>_xll.QS.CONTEXT.ADD.CURVE(C2823,"SOFR",$K$2:$K$7,$L$2:$L$7,,,"Actual360","LogLinear",TRUE)</f>
        <v>QSObject:ContextInput:w1~input.qs_context_add_curve.2359132437744.2822.3.0:37679</v>
      </c>
      <c r="E2823" s="6" t="str">
        <f>_xll.QS.INSTRUMENT.SWAP("swap.2821",H2823,B2823,"USD","SOFR",I2823,J2823,0,"Actual360","Simple","Annual","Annual","Annual")</f>
        <v>QSObject:Swap:w1~swap.2821:14334</v>
      </c>
      <c r="F2823" s="6" t="str">
        <f>_xll.QS.TRADE.CREATE("trade.2821",E2823,A2823,"Receive")</f>
        <v>QSObject:SwapTrade:w1~trade.2821:16024</v>
      </c>
      <c r="G2823" s="3">
        <f>_xll.QS.EVALUATE(C2823,F2823)</f>
        <v>29959.96957716583</v>
      </c>
      <c r="H2823" s="5" t="s">
        <v>2033</v>
      </c>
      <c r="I2823" s="7">
        <v>1282100</v>
      </c>
      <c r="J2823" s="8">
        <v>3.7100000000000001E-2</v>
      </c>
    </row>
    <row r="2824" spans="1:10" x14ac:dyDescent="0.25">
      <c r="A2824" s="5" t="s">
        <v>2021</v>
      </c>
      <c r="B2824" s="5" t="s">
        <v>4691</v>
      </c>
      <c r="C2824" s="6" t="str">
        <f>_xll.QS.CONTEXT.CREATE("market.2822",A2824,"USD","SOFR")</f>
        <v>QSObject:PricingContext:w1~market.2822:7988</v>
      </c>
      <c r="D2824" s="6" t="str">
        <f>_xll.QS.CONTEXT.ADD.CURVE(C2824,"SOFR",$K$2:$K$7,$L$2:$L$7,,,"Actual360","LogLinear",TRUE)</f>
        <v>QSObject:ContextInput:w1~input.qs_context_add_curve.2359132437744.2823.3.0:16986</v>
      </c>
      <c r="E2824" s="6" t="str">
        <f>_xll.QS.INSTRUMENT.SWAP("swap.2822",H2824,B2824,"USD","SOFR",I2824,J2824,0,"Actual360","Simple","Annual","Annual","Annual")</f>
        <v>QSObject:Swap:w1~swap.2822:1733</v>
      </c>
      <c r="F2824" s="6" t="str">
        <f>_xll.QS.TRADE.CREATE("trade.2822",E2824,A2824,"Receive")</f>
        <v>QSObject:SwapTrade:w1~trade.2822:12711</v>
      </c>
      <c r="G2824" s="3">
        <f>_xll.QS.EVALUATE(C2824,F2824)</f>
        <v>30588.069123425237</v>
      </c>
      <c r="H2824" s="5" t="s">
        <v>2035</v>
      </c>
      <c r="I2824" s="7">
        <v>1282200</v>
      </c>
      <c r="J2824" s="8">
        <v>3.7199999999999997E-2</v>
      </c>
    </row>
    <row r="2825" spans="1:10" x14ac:dyDescent="0.25">
      <c r="A2825" s="5" t="s">
        <v>2023</v>
      </c>
      <c r="B2825" s="5" t="s">
        <v>4692</v>
      </c>
      <c r="C2825" s="6" t="str">
        <f>_xll.QS.CONTEXT.CREATE("market.2823",A2825,"USD","SOFR")</f>
        <v>QSObject:PricingContext:w1~market.2823:9581</v>
      </c>
      <c r="D2825" s="6" t="str">
        <f>_xll.QS.CONTEXT.ADD.CURVE(C2825,"SOFR",$K$2:$K$7,$L$2:$L$7,,,"Actual360","LogLinear",TRUE)</f>
        <v>QSObject:ContextInput:w1~input.qs_context_add_curve.2359132437744.2824.3.0:29059</v>
      </c>
      <c r="E2825" s="6" t="str">
        <f>_xll.QS.INSTRUMENT.SWAP("swap.2823",H2825,B2825,"USD","SOFR",I2825,J2825,0,"Actual360","Simple","Annual","Annual","Annual")</f>
        <v>QSObject:Swap:w1~swap.2823:11212</v>
      </c>
      <c r="F2825" s="6" t="str">
        <f>_xll.QS.TRADE.CREATE("trade.2823",E2825,A2825,"Receive")</f>
        <v>QSObject:SwapTrade:w1~trade.2823:29058</v>
      </c>
      <c r="G2825" s="3">
        <f>_xll.QS.EVALUATE(C2825,F2825)</f>
        <v>31275.326120944068</v>
      </c>
      <c r="H2825" s="5" t="s">
        <v>2037</v>
      </c>
      <c r="I2825" s="7">
        <v>1282300</v>
      </c>
      <c r="J2825" s="8">
        <v>3.73E-2</v>
      </c>
    </row>
    <row r="2826" spans="1:10" x14ac:dyDescent="0.25">
      <c r="A2826" s="5" t="s">
        <v>2025</v>
      </c>
      <c r="B2826" s="5" t="s">
        <v>4693</v>
      </c>
      <c r="C2826" s="6" t="str">
        <f>_xll.QS.CONTEXT.CREATE("market.2824",A2826,"USD","SOFR")</f>
        <v>QSObject:PricingContext:w1~market.2824:3261</v>
      </c>
      <c r="D2826" s="6" t="str">
        <f>_xll.QS.CONTEXT.ADD.CURVE(C2826,"SOFR",$K$2:$K$7,$L$2:$L$7,,,"Actual360","LogLinear",TRUE)</f>
        <v>QSObject:ContextInput:w1~input.qs_context_add_curve.2359132437744.2825.3.0:14333</v>
      </c>
      <c r="E2826" s="6" t="str">
        <f>_xll.QS.INSTRUMENT.SWAP("swap.2824",H2826,B2826,"USD","SOFR",I2826,J2826,0,"Actual360","Simple","Annual","Annual","Annual")</f>
        <v>QSObject:Swap:w1~swap.2824:16023</v>
      </c>
      <c r="F2826" s="6" t="str">
        <f>_xll.QS.TRADE.CREATE("trade.2824",E2826,A2826,"Receive")</f>
        <v>QSObject:SwapTrade:w1~trade.2824:16985</v>
      </c>
      <c r="G2826" s="3">
        <f>_xll.QS.EVALUATE(C2826,F2826)</f>
        <v>31924.992529105177</v>
      </c>
      <c r="H2826" s="5" t="s">
        <v>2039</v>
      </c>
      <c r="I2826" s="7">
        <v>1282400</v>
      </c>
      <c r="J2826" s="8">
        <v>3.7400000000000003E-2</v>
      </c>
    </row>
    <row r="2827" spans="1:10" x14ac:dyDescent="0.25">
      <c r="A2827" s="5" t="s">
        <v>2027</v>
      </c>
      <c r="B2827" s="5" t="s">
        <v>4694</v>
      </c>
      <c r="C2827" s="6" t="str">
        <f>_xll.QS.CONTEXT.CREATE("market.2825",A2827,"USD","SOFR")</f>
        <v>QSObject:PricingContext:w1~market.2825:9580</v>
      </c>
      <c r="D2827" s="6" t="str">
        <f>_xll.QS.CONTEXT.ADD.CURVE(C2827,"SOFR",$K$2:$K$7,$L$2:$L$7,,,"Actual360","LogLinear",TRUE)</f>
        <v>QSObject:ContextInput:w1~input.qs_context_add_curve.2359132437744.2826.3.0:12710</v>
      </c>
      <c r="E2827" s="6" t="str">
        <f>_xll.QS.INSTRUMENT.SWAP("swap.2825",H2827,B2827,"USD","SOFR",I2827,J2827,0,"Actual360","Simple","Annual","Annual","Annual")</f>
        <v>QSObject:Swap:w1~swap.2825:7987</v>
      </c>
      <c r="F2827" s="6" t="str">
        <f>_xll.QS.TRADE.CREATE("trade.2825",E2827,A2827,"Receive")</f>
        <v>QSObject:SwapTrade:w1~trade.2825:29057</v>
      </c>
      <c r="G2827" s="3">
        <f>_xll.QS.EVALUATE(C2827,F2827)</f>
        <v>32469.341156690236</v>
      </c>
      <c r="H2827" s="5" t="s">
        <v>2041</v>
      </c>
      <c r="I2827" s="7">
        <v>1282500</v>
      </c>
      <c r="J2827" s="8">
        <v>3.7500000000000012E-2</v>
      </c>
    </row>
    <row r="2828" spans="1:10" x14ac:dyDescent="0.25">
      <c r="A2828" s="5" t="s">
        <v>2029</v>
      </c>
      <c r="B2828" s="5" t="s">
        <v>4695</v>
      </c>
      <c r="C2828" s="6" t="str">
        <f>_xll.QS.CONTEXT.CREATE("market.2826",A2828,"USD","SOFR")</f>
        <v>QSObject:PricingContext:w1~market.2826:4817</v>
      </c>
      <c r="D2828" s="6" t="str">
        <f>_xll.QS.CONTEXT.ADD.CURVE(C2828,"SOFR",$K$2:$K$7,$L$2:$L$7,,,"Actual360","LogLinear",TRUE)</f>
        <v>QSObject:ContextInput:w1~input.qs_context_add_curve.2359132437744.2827.3.0:29056</v>
      </c>
      <c r="E2828" s="6" t="str">
        <f>_xll.QS.INSTRUMENT.SWAP("swap.2826",H2828,B2828,"USD","SOFR",I2828,J2828,0,"Actual360","Simple","Annual","Annual","Annual")</f>
        <v>QSObject:Swap:w1~swap.2826:6394</v>
      </c>
      <c r="F2828" s="6" t="str">
        <f>_xll.QS.TRADE.CREATE("trade.2826",E2828,A2828,"Receive")</f>
        <v>QSObject:SwapTrade:w1~trade.2826:14332</v>
      </c>
      <c r="G2828" s="3">
        <f>_xll.QS.EVALUATE(C2828,F2828)</f>
        <v>32970.283118706924</v>
      </c>
      <c r="H2828" s="5" t="s">
        <v>2043</v>
      </c>
      <c r="I2828" s="7">
        <v>1282600</v>
      </c>
      <c r="J2828" s="8">
        <v>3.7600000000000001E-2</v>
      </c>
    </row>
    <row r="2829" spans="1:10" x14ac:dyDescent="0.25">
      <c r="A2829" s="5" t="s">
        <v>2031</v>
      </c>
      <c r="B2829" s="5" t="s">
        <v>4696</v>
      </c>
      <c r="C2829" s="6" t="str">
        <f>_xll.QS.CONTEXT.CREATE("market.2827",A2829,"USD","SOFR")</f>
        <v>QSObject:PricingContext:w1~market.2827:12709</v>
      </c>
      <c r="D2829" s="6" t="str">
        <f>_xll.QS.CONTEXT.ADD.CURVE(C2829,"SOFR",$K$2:$K$7,$L$2:$L$7,,,"Actual360","LogLinear",TRUE)</f>
        <v>QSObject:ContextInput:w1~input.qs_context_add_curve.2359132437744.2828.3.0:16022</v>
      </c>
      <c r="E2829" s="6" t="str">
        <f>_xll.QS.INSTRUMENT.SWAP("swap.2827",H2829,B2829,"USD","SOFR",I2829,J2829,0,"Actual360","Simple","Annual","Annual","Annual")</f>
        <v>QSObject:Swap:w1~swap.2827:11211</v>
      </c>
      <c r="F2829" s="6" t="str">
        <f>_xll.QS.TRADE.CREATE("trade.2827",E2829,A2829,"Receive")</f>
        <v>QSObject:SwapTrade:w1~trade.2827:16984</v>
      </c>
      <c r="G2829" s="3">
        <f>_xll.QS.EVALUATE(C2829,F2829)</f>
        <v>33469.993812555193</v>
      </c>
      <c r="H2829" s="5" t="s">
        <v>2045</v>
      </c>
      <c r="I2829" s="7">
        <v>1282700</v>
      </c>
      <c r="J2829" s="8">
        <v>3.7699999999999997E-2</v>
      </c>
    </row>
    <row r="2830" spans="1:10" x14ac:dyDescent="0.25">
      <c r="A2830" s="5" t="s">
        <v>2033</v>
      </c>
      <c r="B2830" s="5" t="s">
        <v>4697</v>
      </c>
      <c r="C2830" s="6" t="str">
        <f>_xll.QS.CONTEXT.CREATE("market.2828",A2830,"USD","SOFR")</f>
        <v>QSObject:PricingContext:w1~market.2828:7986</v>
      </c>
      <c r="D2830" s="6" t="str">
        <f>_xll.QS.CONTEXT.ADD.CURVE(C2830,"SOFR",$K$2:$K$7,$L$2:$L$7,,,"Actual360","LogLinear",TRUE)</f>
        <v>QSObject:ContextInput:w1~input.qs_context_add_curve.2359132437744.2829.3.0:29055</v>
      </c>
      <c r="E2830" s="6" t="str">
        <f>_xll.QS.INSTRUMENT.SWAP("swap.2828",H2830,B2830,"USD","SOFR",I2830,J2830,0,"Actual360","Simple","Annual","Annual","Annual")</f>
        <v>QSObject:Swap:w1~swap.2828:9579</v>
      </c>
      <c r="F2830" s="6" t="str">
        <f>_xll.QS.TRADE.CREATE("trade.2828",E2830,A2830,"Receive")</f>
        <v>QSObject:SwapTrade:w1~trade.2828:29054</v>
      </c>
      <c r="G2830" s="3">
        <f>_xll.QS.EVALUATE(C2830,F2830)</f>
        <v>34118.914867454158</v>
      </c>
      <c r="H2830" s="5" t="s">
        <v>2047</v>
      </c>
      <c r="I2830" s="7">
        <v>1282800</v>
      </c>
      <c r="J2830" s="8">
        <v>3.78E-2</v>
      </c>
    </row>
    <row r="2831" spans="1:10" x14ac:dyDescent="0.25">
      <c r="A2831" s="5" t="s">
        <v>2035</v>
      </c>
      <c r="B2831" s="5" t="s">
        <v>4698</v>
      </c>
      <c r="C2831" s="6" t="str">
        <f>_xll.QS.CONTEXT.CREATE("market.2829",A2831,"USD","SOFR")</f>
        <v>QSObject:PricingContext:w1~market.2829:14331</v>
      </c>
      <c r="D2831" s="6" t="str">
        <f>_xll.QS.CONTEXT.ADD.CURVE(C2831,"SOFR",$K$2:$K$7,$L$2:$L$7,,,"Actual360","LogLinear",TRUE)</f>
        <v>QSObject:ContextInput:w1~input.qs_context_add_curve.2359132437744.2830.3.0:37678</v>
      </c>
      <c r="E2831" s="6" t="str">
        <f>_xll.QS.INSTRUMENT.SWAP("swap.2829",H2831,B2831,"USD","SOFR",I2831,J2831,0,"Actual360","Simple","Annual","Annual","Annual")</f>
        <v>QSObject:Swap:w1~swap.2829:3260</v>
      </c>
      <c r="F2831" s="6" t="str">
        <f>_xll.QS.TRADE.CREATE("trade.2829",E2831,A2831,"Receive")</f>
        <v>QSObject:SwapTrade:w1~trade.2829:11210</v>
      </c>
      <c r="G2831" s="3">
        <f>_xll.QS.EVALUATE(C2831,F2831)</f>
        <v>34745.359700358473</v>
      </c>
      <c r="H2831" s="5" t="s">
        <v>2049</v>
      </c>
      <c r="I2831" s="7">
        <v>1282900</v>
      </c>
      <c r="J2831" s="8">
        <v>3.7900000000000003E-2</v>
      </c>
    </row>
    <row r="2832" spans="1:10" x14ac:dyDescent="0.25">
      <c r="A2832" s="5" t="s">
        <v>2037</v>
      </c>
      <c r="B2832" s="5" t="s">
        <v>4699</v>
      </c>
      <c r="C2832" s="6" t="str">
        <f>_xll.QS.CONTEXT.CREATE("market.2830",A2832,"USD","SOFR")</f>
        <v>QSObject:PricingContext:w1~market.2830:12708</v>
      </c>
      <c r="D2832" s="6" t="str">
        <f>_xll.QS.CONTEXT.ADD.CURVE(C2832,"SOFR",$K$2:$K$7,$L$2:$L$7,,,"Actual360","LogLinear",TRUE)</f>
        <v>QSObject:ContextInput:w1~input.qs_context_add_curve.2359132437744.2831.3.0:16021</v>
      </c>
      <c r="E2832" s="6" t="str">
        <f>_xll.QS.INSTRUMENT.SWAP("swap.2830",H2832,B2832,"USD","SOFR",I2832,J2832,0,"Actual360","Simple","Annual","Annual","Annual")</f>
        <v>QSObject:Swap:w1~swap.2830:16983</v>
      </c>
      <c r="F2832" s="6" t="str">
        <f>_xll.QS.TRADE.CREATE("trade.2830",E2832,A2832,"Receive")</f>
        <v>QSObject:SwapTrade:w1~trade.2830:29053</v>
      </c>
      <c r="G2832" s="3">
        <f>_xll.QS.EVALUATE(C2832,F2832)</f>
        <v>35433.738393991007</v>
      </c>
      <c r="H2832" s="5" t="s">
        <v>2051</v>
      </c>
      <c r="I2832" s="7">
        <v>1283000</v>
      </c>
      <c r="J2832" s="8">
        <v>3.8000000000000013E-2</v>
      </c>
    </row>
    <row r="2833" spans="1:10" x14ac:dyDescent="0.25">
      <c r="A2833" s="5" t="s">
        <v>2039</v>
      </c>
      <c r="B2833" s="5" t="s">
        <v>4700</v>
      </c>
      <c r="C2833" s="6" t="str">
        <f>_xll.QS.CONTEXT.CREATE("market.2831",A2833,"USD","SOFR")</f>
        <v>QSObject:PricingContext:w1~market.2831:14330</v>
      </c>
      <c r="D2833" s="6" t="str">
        <f>_xll.QS.CONTEXT.ADD.CURVE(C2833,"SOFR",$K$2:$K$7,$L$2:$L$7,,,"Actual360","LogLinear",TRUE)</f>
        <v>QSObject:ContextInput:w1~input.qs_context_add_curve.2359132437744.2832.3.0:37677</v>
      </c>
      <c r="E2833" s="6" t="str">
        <f>_xll.QS.INSTRUMENT.SWAP("swap.2831",H2833,B2833,"USD","SOFR",I2833,J2833,0,"Actual360","Simple","Annual","Annual","Annual")</f>
        <v>QSObject:Swap:w1~swap.2831:7985</v>
      </c>
      <c r="F2833" s="6" t="str">
        <f>_xll.QS.TRADE.CREATE("trade.2831",E2833,A2833,"Receive")</f>
        <v>QSObject:SwapTrade:w1~trade.2831:29052</v>
      </c>
      <c r="G2833" s="3">
        <f>_xll.QS.EVALUATE(C2833,F2833)</f>
        <v>36084.357385537558</v>
      </c>
      <c r="H2833" s="5" t="s">
        <v>2053</v>
      </c>
      <c r="I2833" s="7">
        <v>1283100</v>
      </c>
      <c r="J2833" s="8">
        <v>3.8100000000000002E-2</v>
      </c>
    </row>
    <row r="2834" spans="1:10" x14ac:dyDescent="0.25">
      <c r="A2834" s="5" t="s">
        <v>2041</v>
      </c>
      <c r="B2834" s="5" t="s">
        <v>4701</v>
      </c>
      <c r="C2834" s="6" t="str">
        <f>_xll.QS.CONTEXT.CREATE("market.2832",A2834,"USD","SOFR")</f>
        <v>QSObject:PricingContext:w1~market.2832:11209</v>
      </c>
      <c r="D2834" s="6" t="str">
        <f>_xll.QS.CONTEXT.ADD.CURVE(C2834,"SOFR",$K$2:$K$7,$L$2:$L$7,,,"Actual360","LogLinear",TRUE)</f>
        <v>QSObject:ContextInput:w1~input.qs_context_add_curve.2359132437744.2833.3.0:29051</v>
      </c>
      <c r="E2834" s="6" t="str">
        <f>_xll.QS.INSTRUMENT.SWAP("swap.2832",H2834,B2834,"USD","SOFR",I2834,J2834,0,"Actual360","Simple","Annual","Annual","Annual")</f>
        <v>QSObject:Swap:w1~swap.2832:6393</v>
      </c>
      <c r="F2834" s="6" t="str">
        <f>_xll.QS.TRADE.CREATE("trade.2832",E2834,A2834,"Receive")</f>
        <v>QSObject:SwapTrade:w1~trade.2832:12707</v>
      </c>
      <c r="G2834" s="3">
        <f>_xll.QS.EVALUATE(C2834,F2834)</f>
        <v>36629.316339826837</v>
      </c>
      <c r="H2834" s="5" t="s">
        <v>2055</v>
      </c>
      <c r="I2834" s="7">
        <v>1283200</v>
      </c>
      <c r="J2834" s="8">
        <v>3.8199999999999998E-2</v>
      </c>
    </row>
    <row r="2835" spans="1:10" x14ac:dyDescent="0.25">
      <c r="A2835" s="5" t="s">
        <v>2043</v>
      </c>
      <c r="B2835" s="5" t="s">
        <v>4702</v>
      </c>
      <c r="C2835" s="6" t="str">
        <f>_xll.QS.CONTEXT.CREATE("market.2833",A2835,"USD","SOFR")</f>
        <v>QSObject:PricingContext:w1~market.2833:4816</v>
      </c>
      <c r="D2835" s="6" t="str">
        <f>_xll.QS.CONTEXT.ADD.CURVE(C2835,"SOFR",$K$2:$K$7,$L$2:$L$7,,,"Actual360","LogLinear",TRUE)</f>
        <v>QSObject:ContextInput:w1~input.qs_context_add_curve.2359132437744.2834.3.0:16982</v>
      </c>
      <c r="E2835" s="6" t="str">
        <f>_xll.QS.INSTRUMENT.SWAP("swap.2833",H2835,B2835,"USD","SOFR",I2835,J2835,0,"Actual360","Simple","Annual","Annual","Annual")</f>
        <v>QSObject:Swap:w1~swap.2833:16020</v>
      </c>
      <c r="F2835" s="6" t="str">
        <f>_xll.QS.TRADE.CREATE("trade.2833",E2835,A2835,"Receive")</f>
        <v>QSObject:SwapTrade:w1~trade.2833:29050</v>
      </c>
      <c r="G2835" s="3">
        <f>_xll.QS.EVALUATE(C2835,F2835)</f>
        <v>37102.530983053031</v>
      </c>
      <c r="H2835" s="5" t="s">
        <v>2057</v>
      </c>
      <c r="I2835" s="7">
        <v>1283300</v>
      </c>
      <c r="J2835" s="8">
        <v>3.8300000000000001E-2</v>
      </c>
    </row>
    <row r="2836" spans="1:10" x14ac:dyDescent="0.25">
      <c r="A2836" s="5" t="s">
        <v>2045</v>
      </c>
      <c r="B2836" s="5" t="s">
        <v>4703</v>
      </c>
      <c r="C2836" s="6" t="str">
        <f>_xll.QS.CONTEXT.CREATE("market.2834",A2836,"USD","SOFR")</f>
        <v>QSObject:PricingContext:w1~market.2834:7984</v>
      </c>
      <c r="D2836" s="6" t="str">
        <f>_xll.QS.CONTEXT.ADD.CURVE(C2836,"SOFR",$K$2:$K$7,$L$2:$L$7,,,"Actual360","LogLinear",TRUE)</f>
        <v>QSObject:ContextInput:w1~input.qs_context_add_curve.2359132437744.2835.3.0:37676</v>
      </c>
      <c r="E2836" s="6" t="str">
        <f>_xll.QS.INSTRUMENT.SWAP("swap.2834",H2836,B2836,"USD","SOFR",I2836,J2836,0,"Actual360","Simple","Annual","Annual","Annual")</f>
        <v>QSObject:Swap:w1~swap.2834:14329</v>
      </c>
      <c r="F2836" s="6" t="str">
        <f>_xll.QS.TRADE.CREATE("trade.2834",E2836,A2836,"Receive")</f>
        <v>QSObject:SwapTrade:w1~trade.2834:29049</v>
      </c>
      <c r="G2836" s="3">
        <f>_xll.QS.EVALUATE(C2836,F2836)</f>
        <v>37579.064125958328</v>
      </c>
      <c r="H2836" s="5" t="s">
        <v>2059</v>
      </c>
      <c r="I2836" s="7">
        <v>1283400</v>
      </c>
      <c r="J2836" s="8">
        <v>3.8399999999999997E-2</v>
      </c>
    </row>
    <row r="2837" spans="1:10" x14ac:dyDescent="0.25">
      <c r="A2837" s="5" t="s">
        <v>2047</v>
      </c>
      <c r="B2837" s="5" t="s">
        <v>4704</v>
      </c>
      <c r="C2837" s="6" t="str">
        <f>_xll.QS.CONTEXT.CREATE("market.2835",A2837,"USD","SOFR")</f>
        <v>QSObject:PricingContext:w1~market.2835:12706</v>
      </c>
      <c r="D2837" s="6" t="str">
        <f>_xll.QS.CONTEXT.ADD.CURVE(C2837,"SOFR",$K$2:$K$7,$L$2:$L$7,,,"Actual360","LogLinear",TRUE)</f>
        <v>QSObject:ContextInput:w1~input.qs_context_add_curve.2359132437744.2836.3.0:37675</v>
      </c>
      <c r="E2837" s="6" t="str">
        <f>_xll.QS.INSTRUMENT.SWAP("swap.2835",H2837,B2837,"USD","SOFR",I2837,J2837,0,"Actual360","Simple","Annual","Annual","Annual")</f>
        <v>QSObject:Swap:w1~swap.2835:11208</v>
      </c>
      <c r="F2837" s="6" t="str">
        <f>_xll.QS.TRADE.CREATE("trade.2835",E2837,A2837,"Receive")</f>
        <v>QSObject:SwapTrade:w1~trade.2835:29048</v>
      </c>
      <c r="G2837" s="3">
        <f>_xll.QS.EVALUATE(C2837,F2837)</f>
        <v>38228.964663429353</v>
      </c>
      <c r="H2837" s="5" t="s">
        <v>2061</v>
      </c>
      <c r="I2837" s="7">
        <v>1283500</v>
      </c>
      <c r="J2837" s="8">
        <v>3.8500000000000013E-2</v>
      </c>
    </row>
    <row r="2838" spans="1:10" x14ac:dyDescent="0.25">
      <c r="A2838" s="5" t="s">
        <v>2049</v>
      </c>
      <c r="B2838" s="5" t="s">
        <v>4705</v>
      </c>
      <c r="C2838" s="6" t="str">
        <f>_xll.QS.CONTEXT.CREATE("market.2836",A2838,"USD","SOFR")</f>
        <v>QSObject:PricingContext:w1~market.2836:1732</v>
      </c>
      <c r="D2838" s="6" t="str">
        <f>_xll.QS.CONTEXT.ADD.CURVE(C2838,"SOFR",$K$2:$K$7,$L$2:$L$7,,,"Actual360","LogLinear",TRUE)</f>
        <v>QSObject:ContextInput:w1~input.qs_context_add_curve.2359132437744.2837.3.0:7983</v>
      </c>
      <c r="E2838" s="6" t="str">
        <f>_xll.QS.INSTRUMENT.SWAP("swap.2836",H2838,B2838,"USD","SOFR",I2838,J2838,0,"Actual360","Simple","Annual","Annual","Annual")</f>
        <v>QSObject:Swap:w1~swap.2836:16981</v>
      </c>
      <c r="F2838" s="6" t="str">
        <f>_xll.QS.TRADE.CREATE("trade.2836",E2838,A2838,"Receive")</f>
        <v>QSObject:SwapTrade:w1~trade.2836:29047</v>
      </c>
      <c r="G2838" s="3">
        <f>_xll.QS.EVALUATE(C2838,F2838)</f>
        <v>38878.882306901905</v>
      </c>
      <c r="H2838" s="5" t="s">
        <v>2063</v>
      </c>
      <c r="I2838" s="7">
        <v>1283600</v>
      </c>
      <c r="J2838" s="8">
        <v>3.8600000000000002E-2</v>
      </c>
    </row>
    <row r="2839" spans="1:10" x14ac:dyDescent="0.25">
      <c r="A2839" s="5" t="s">
        <v>2051</v>
      </c>
      <c r="B2839" s="5" t="s">
        <v>4706</v>
      </c>
      <c r="C2839" s="6" t="str">
        <f>_xll.QS.CONTEXT.CREATE("market.2837",A2839,"USD","SOFR")</f>
        <v>QSObject:PricingContext:w1~market.2837:16019</v>
      </c>
      <c r="D2839" s="6" t="str">
        <f>_xll.QS.CONTEXT.ADD.CURVE(C2839,"SOFR",$K$2:$K$7,$L$2:$L$7,,,"Actual360","LogLinear",TRUE)</f>
        <v>QSObject:ContextInput:w1~input.qs_context_add_curve.2359132437744.2838.3.0:37674</v>
      </c>
      <c r="E2839" s="6" t="str">
        <f>_xll.QS.INSTRUMENT.SWAP("swap.2837",H2839,B2839,"USD","SOFR",I2839,J2839,0,"Actual360","Simple","Annual","Annual","Annual")</f>
        <v>QSObject:Swap:w1~swap.2837:14328</v>
      </c>
      <c r="F2839" s="6" t="str">
        <f>_xll.QS.TRADE.CREATE("trade.2837",E2839,A2839,"Receive")</f>
        <v>QSObject:SwapTrade:w1~trade.2837:29046</v>
      </c>
      <c r="G2839" s="3">
        <f>_xll.QS.EVALUATE(C2839,F2839)</f>
        <v>39644.567422312641</v>
      </c>
      <c r="H2839" s="5" t="s">
        <v>2065</v>
      </c>
      <c r="I2839" s="7">
        <v>1283700</v>
      </c>
      <c r="J2839" s="8">
        <v>3.8700000000000012E-2</v>
      </c>
    </row>
    <row r="2840" spans="1:10" x14ac:dyDescent="0.25">
      <c r="A2840" s="5" t="s">
        <v>2053</v>
      </c>
      <c r="B2840" s="5" t="s">
        <v>4707</v>
      </c>
      <c r="C2840" s="6" t="str">
        <f>_xll.QS.CONTEXT.CREATE("market.2838",A2840,"USD","SOFR")</f>
        <v>QSObject:PricingContext:w1~market.2838:6392</v>
      </c>
      <c r="D2840" s="6" t="str">
        <f>_xll.QS.CONTEXT.ADD.CURVE(C2840,"SOFR",$K$2:$K$7,$L$2:$L$7,,,"Actual360","LogLinear",TRUE)</f>
        <v>QSObject:ContextInput:w1~input.qs_context_add_curve.2359132437744.2839.3.0:29045</v>
      </c>
      <c r="E2840" s="6" t="str">
        <f>_xll.QS.INSTRUMENT.SWAP("swap.2838",H2840,B2840,"USD","SOFR",I2840,J2840,0,"Actual360","Simple","Annual","Annual","Annual")</f>
        <v>QSObject:Swap:w1~swap.2838:12705</v>
      </c>
      <c r="F2840" s="6" t="str">
        <f>_xll.QS.TRADE.CREATE("trade.2838",E2840,A2840,"Receive")</f>
        <v>QSObject:SwapTrade:w1~trade.2838:29044</v>
      </c>
      <c r="G2840" s="3">
        <f>_xll.QS.EVALUATE(C2840,F2840)</f>
        <v>40251.463016449692</v>
      </c>
      <c r="H2840" s="5" t="s">
        <v>2067</v>
      </c>
      <c r="I2840" s="7">
        <v>1283800</v>
      </c>
      <c r="J2840" s="8">
        <v>3.8800000000000001E-2</v>
      </c>
    </row>
    <row r="2841" spans="1:10" x14ac:dyDescent="0.25">
      <c r="A2841" s="5" t="s">
        <v>2055</v>
      </c>
      <c r="B2841" s="5" t="s">
        <v>4708</v>
      </c>
      <c r="C2841" s="6" t="str">
        <f>_xll.QS.CONTEXT.CREATE("market.2839",A2841,"USD","SOFR")</f>
        <v>QSObject:PricingContext:w1~market.2839:16980</v>
      </c>
      <c r="D2841" s="6" t="str">
        <f>_xll.QS.CONTEXT.ADD.CURVE(C2841,"SOFR",$K$2:$K$7,$L$2:$L$7,,,"Actual360","LogLinear",TRUE)</f>
        <v>QSObject:ContextInput:w1~input.qs_context_add_curve.2359132437744.2840.3.0:37673</v>
      </c>
      <c r="E2841" s="6" t="str">
        <f>_xll.QS.INSTRUMENT.SWAP("swap.2839",H2841,B2841,"USD","SOFR",I2841,J2841,0,"Actual360","Simple","Annual","Annual","Annual")</f>
        <v>QSObject:Swap:w1~swap.2839:7982</v>
      </c>
      <c r="F2841" s="6" t="str">
        <f>_xll.QS.TRADE.CREATE("trade.2839",E2841,A2841,"Receive")</f>
        <v>QSObject:SwapTrade:w1~trade.2839:16018</v>
      </c>
      <c r="G2841" s="3">
        <f>_xll.QS.EVALUATE(C2841,F2841)</f>
        <v>40845.776696504523</v>
      </c>
      <c r="H2841" s="5" t="s">
        <v>2069</v>
      </c>
      <c r="I2841" s="7">
        <v>1283900</v>
      </c>
      <c r="J2841" s="8">
        <v>3.8899999999999997E-2</v>
      </c>
    </row>
    <row r="2842" spans="1:10" x14ac:dyDescent="0.25">
      <c r="A2842" s="5" t="s">
        <v>2057</v>
      </c>
      <c r="B2842" s="5" t="s">
        <v>4709</v>
      </c>
      <c r="C2842" s="6" t="str">
        <f>_xll.QS.CONTEXT.CREATE("market.2840",A2842,"USD","SOFR")</f>
        <v>QSObject:PricingContext:w1~market.2840:14327</v>
      </c>
      <c r="D2842" s="6" t="str">
        <f>_xll.QS.CONTEXT.ADD.CURVE(C2842,"SOFR",$K$2:$K$7,$L$2:$L$7,,,"Actual360","LogLinear",TRUE)</f>
        <v>QSObject:ContextInput:w1~input.qs_context_add_curve.2359132437744.2841.3.0:37672</v>
      </c>
      <c r="E2842" s="6" t="str">
        <f>_xll.QS.INSTRUMENT.SWAP("swap.2840",H2842,B2842,"USD","SOFR",I2842,J2842,0,"Actual360","Simple","Annual","Annual","Annual")</f>
        <v>QSObject:Swap:w1~swap.2840:3259</v>
      </c>
      <c r="F2842" s="6" t="str">
        <f>_xll.QS.TRADE.CREATE("trade.2840",E2842,A2842,"Receive")</f>
        <v>QSObject:SwapTrade:w1~trade.2840:6391</v>
      </c>
      <c r="G2842" s="3">
        <f>_xll.QS.EVALUATE(C2842,F2842)</f>
        <v>41338.1822514167</v>
      </c>
      <c r="H2842" s="5" t="s">
        <v>2071</v>
      </c>
      <c r="I2842" s="7">
        <v>1284000</v>
      </c>
      <c r="J2842" s="8">
        <v>3.9000000000000007E-2</v>
      </c>
    </row>
    <row r="2843" spans="1:10" x14ac:dyDescent="0.25">
      <c r="A2843" s="5" t="s">
        <v>2059</v>
      </c>
      <c r="B2843" s="5" t="s">
        <v>4710</v>
      </c>
      <c r="C2843" s="6" t="str">
        <f>_xll.QS.CONTEXT.CREATE("market.2841",A2843,"USD","SOFR")</f>
        <v>QSObject:PricingContext:w1~market.2841:1731</v>
      </c>
      <c r="D2843" s="6" t="str">
        <f>_xll.QS.CONTEXT.ADD.CURVE(C2843,"SOFR",$K$2:$K$7,$L$2:$L$7,,,"Actual360","LogLinear",TRUE)</f>
        <v>QSObject:ContextInput:w1~input.qs_context_add_curve.2359132437744.2842.3.0:4815</v>
      </c>
      <c r="E2843" s="6" t="str">
        <f>_xll.QS.INSTRUMENT.SWAP("swap.2841",H2843,B2843,"USD","SOFR",I2843,J2843,0,"Actual360","Simple","Annual","Annual","Annual")</f>
        <v>QSObject:Swap:w1~swap.2841:12704</v>
      </c>
      <c r="F2843" s="6" t="str">
        <f>_xll.QS.TRADE.CREATE("trade.2841",E2843,A2843,"Receive")</f>
        <v>QSObject:SwapTrade:w1~trade.2841:29043</v>
      </c>
      <c r="G2843" s="3">
        <f>_xll.QS.EVALUATE(C2843,F2843)</f>
        <v>41851.901295403994</v>
      </c>
      <c r="H2843" s="5" t="s">
        <v>2073</v>
      </c>
      <c r="I2843" s="7">
        <v>1284100</v>
      </c>
      <c r="J2843" s="8">
        <v>3.9100000000000003E-2</v>
      </c>
    </row>
    <row r="2844" spans="1:10" x14ac:dyDescent="0.25">
      <c r="A2844" s="5" t="s">
        <v>2061</v>
      </c>
      <c r="B2844" s="5" t="s">
        <v>4711</v>
      </c>
      <c r="C2844" s="6" t="str">
        <f>_xll.QS.CONTEXT.CREATE("market.2842",A2844,"USD","SOFR")</f>
        <v>QSObject:PricingContext:w1~market.2842:7981</v>
      </c>
      <c r="D2844" s="6" t="str">
        <f>_xll.QS.CONTEXT.ADD.CURVE(C2844,"SOFR",$K$2:$K$7,$L$2:$L$7,,,"Actual360","LogLinear",TRUE)</f>
        <v>QSObject:ContextInput:w1~input.qs_context_add_curve.2359132437744.2843.3.0:16979</v>
      </c>
      <c r="E2844" s="6" t="str">
        <f>_xll.QS.INSTRUMENT.SWAP("swap.2842",H2844,B2844,"USD","SOFR",I2844,J2844,0,"Actual360","Simple","Annual","Annual","Annual")</f>
        <v>QSObject:Swap:w1~swap.2842:16017</v>
      </c>
      <c r="F2844" s="6" t="str">
        <f>_xll.QS.TRADE.CREATE("trade.2842",E2844,A2844,"Receive")</f>
        <v>QSObject:SwapTrade:w1~trade.2842:29042</v>
      </c>
      <c r="G2844" s="3">
        <f>_xll.QS.EVALUATE(C2844,F2844)</f>
        <v>42450.853831311564</v>
      </c>
      <c r="H2844" s="5" t="s">
        <v>2075</v>
      </c>
      <c r="I2844" s="7">
        <v>1284200</v>
      </c>
      <c r="J2844" s="8">
        <v>3.9200000000000013E-2</v>
      </c>
    </row>
    <row r="2845" spans="1:10" x14ac:dyDescent="0.25">
      <c r="A2845" s="5" t="s">
        <v>2063</v>
      </c>
      <c r="B2845" s="5" t="s">
        <v>4712</v>
      </c>
      <c r="C2845" s="6" t="str">
        <f>_xll.QS.CONTEXT.CREATE("market.2843",A2845,"USD","SOFR")</f>
        <v>QSObject:PricingContext:w1~market.2843:4814</v>
      </c>
      <c r="D2845" s="6" t="str">
        <f>_xll.QS.CONTEXT.ADD.CURVE(C2845,"SOFR",$K$2:$K$7,$L$2:$L$7,,,"Actual360","LogLinear",TRUE)</f>
        <v>QSObject:ContextInput:w1~input.qs_context_add_curve.2359132437744.2844.3.0:6390</v>
      </c>
      <c r="E2845" s="6" t="str">
        <f>_xll.QS.INSTRUMENT.SWAP("swap.2843",H2845,B2845,"USD","SOFR",I2845,J2845,0,"Actual360","Simple","Annual","Annual","Annual")</f>
        <v>QSObject:Swap:w1~swap.2843:3258</v>
      </c>
      <c r="F2845" s="6" t="str">
        <f>_xll.QS.TRADE.CREATE("trade.2843",E2845,A2845,"Receive")</f>
        <v>QSObject:SwapTrade:w1~trade.2843:29041</v>
      </c>
      <c r="G2845" s="3">
        <f>_xll.QS.EVALUATE(C2845,F2845)</f>
        <v>43074.67508379728</v>
      </c>
      <c r="H2845" s="5" t="s">
        <v>2077</v>
      </c>
      <c r="I2845" s="7">
        <v>1284300</v>
      </c>
      <c r="J2845" s="8">
        <v>3.9300000000000002E-2</v>
      </c>
    </row>
    <row r="2846" spans="1:10" x14ac:dyDescent="0.25">
      <c r="A2846" s="5" t="s">
        <v>2065</v>
      </c>
      <c r="B2846" s="5" t="s">
        <v>4713</v>
      </c>
      <c r="C2846" s="6" t="str">
        <f>_xll.QS.CONTEXT.CREATE("market.2844",A2846,"USD","SOFR")</f>
        <v>QSObject:PricingContext:w1~market.2844:9578</v>
      </c>
      <c r="D2846" s="6" t="str">
        <f>_xll.QS.CONTEXT.ADD.CURVE(C2846,"SOFR",$K$2:$K$7,$L$2:$L$7,,,"Actual360","LogLinear",TRUE)</f>
        <v>QSObject:ContextInput:w1~input.qs_context_add_curve.2359132437744.2845.3.0:16978</v>
      </c>
      <c r="E2846" s="6" t="str">
        <f>_xll.QS.INSTRUMENT.SWAP("swap.2844",H2846,B2846,"USD","SOFR",I2846,J2846,0,"Actual360","Simple","Annual","Annual","Annual")</f>
        <v>QSObject:Swap:w1~swap.2844:12703</v>
      </c>
      <c r="F2846" s="6" t="str">
        <f>_xll.QS.TRADE.CREATE("trade.2844",E2846,A2846,"Receive")</f>
        <v>QSObject:SwapTrade:w1~trade.2844:29040</v>
      </c>
      <c r="G2846" s="3">
        <f>_xll.QS.EVALUATE(C2846,F2846)</f>
        <v>43764.56797304374</v>
      </c>
      <c r="H2846" s="5" t="s">
        <v>2079</v>
      </c>
      <c r="I2846" s="7">
        <v>1284400</v>
      </c>
      <c r="J2846" s="8">
        <v>3.9399999999999998E-2</v>
      </c>
    </row>
    <row r="2847" spans="1:10" x14ac:dyDescent="0.25">
      <c r="A2847" s="5" t="s">
        <v>2067</v>
      </c>
      <c r="B2847" s="5" t="s">
        <v>4714</v>
      </c>
      <c r="C2847" s="6" t="str">
        <f>_xll.QS.CONTEXT.CREATE("market.2845",A2847,"USD","SOFR")</f>
        <v>QSObject:PricingContext:w1~market.2845:4813</v>
      </c>
      <c r="D2847" s="6" t="str">
        <f>_xll.QS.CONTEXT.ADD.CURVE(C2847,"SOFR",$K$2:$K$7,$L$2:$L$7,,,"Actual360","LogLinear",TRUE)</f>
        <v>QSObject:ContextInput:w1~input.qs_context_add_curve.2359132437744.2846.3.0:11207</v>
      </c>
      <c r="E2847" s="6" t="str">
        <f>_xll.QS.INSTRUMENT.SWAP("swap.2845",H2847,B2847,"USD","SOFR",I2847,J2847,0,"Actual360","Simple","Annual","Annual","Annual")</f>
        <v>QSObject:Swap:w1~swap.2845:16016</v>
      </c>
      <c r="F2847" s="6" t="str">
        <f>_xll.QS.TRADE.CREATE("trade.2845",E2847,A2847,"Receive")</f>
        <v>QSObject:SwapTrade:w1~trade.2845:29039</v>
      </c>
      <c r="G2847" s="3">
        <f>_xll.QS.EVALUATE(C2847,F2847)</f>
        <v>44416.558785348876</v>
      </c>
      <c r="H2847" s="5" t="s">
        <v>2081</v>
      </c>
      <c r="I2847" s="7">
        <v>1284500</v>
      </c>
      <c r="J2847" s="8">
        <v>3.9500000000000007E-2</v>
      </c>
    </row>
    <row r="2848" spans="1:10" x14ac:dyDescent="0.25">
      <c r="A2848" s="5" t="s">
        <v>2069</v>
      </c>
      <c r="B2848" s="5" t="s">
        <v>4715</v>
      </c>
      <c r="C2848" s="6" t="str">
        <f>_xll.QS.CONTEXT.CREATE("market.2846",A2848,"USD","SOFR")</f>
        <v>QSObject:PricingContext:w1~market.2846:9577</v>
      </c>
      <c r="D2848" s="6" t="str">
        <f>_xll.QS.CONTEXT.ADD.CURVE(C2848,"SOFR",$K$2:$K$7,$L$2:$L$7,,,"Actual360","LogLinear",TRUE)</f>
        <v>QSObject:ContextInput:w1~input.qs_context_add_curve.2359132437744.2847.3.0:37671</v>
      </c>
      <c r="E2848" s="6" t="str">
        <f>_xll.QS.INSTRUMENT.SWAP("swap.2846",H2848,B2848,"USD","SOFR",I2848,J2848,0,"Actual360","Simple","Annual","Annual","Annual")</f>
        <v>QSObject:Swap:w1~swap.2846:6389</v>
      </c>
      <c r="F2848" s="6" t="str">
        <f>_xll.QS.TRADE.CREATE("trade.2846",E2848,A2848,"Receive")</f>
        <v>QSObject:SwapTrade:w1~trade.2846:16977</v>
      </c>
      <c r="G2848" s="3">
        <f>_xll.QS.EVALUATE(C2848,F2848)</f>
        <v>44962.858399350385</v>
      </c>
      <c r="H2848" s="5" t="s">
        <v>2083</v>
      </c>
      <c r="I2848" s="7">
        <v>1284600</v>
      </c>
      <c r="J2848" s="8">
        <v>3.9600000000000003E-2</v>
      </c>
    </row>
    <row r="2849" spans="1:10" x14ac:dyDescent="0.25">
      <c r="A2849" s="5" t="s">
        <v>2071</v>
      </c>
      <c r="B2849" s="5" t="s">
        <v>4716</v>
      </c>
      <c r="C2849" s="6" t="str">
        <f>_xll.QS.CONTEXT.CREATE("market.2847",A2849,"USD","SOFR")</f>
        <v>QSObject:PricingContext:w1~market.2847:4812</v>
      </c>
      <c r="D2849" s="6" t="str">
        <f>_xll.QS.CONTEXT.ADD.CURVE(C2849,"SOFR",$K$2:$K$7,$L$2:$L$7,,,"Actual360","LogLinear",TRUE)</f>
        <v>QSObject:ContextInput:w1~input.qs_context_add_curve.2359132437744.2848.3.0:12702</v>
      </c>
      <c r="E2849" s="6" t="str">
        <f>_xll.QS.INSTRUMENT.SWAP("swap.2847",H2849,B2849,"USD","SOFR",I2849,J2849,0,"Actual360","Simple","Annual","Annual","Annual")</f>
        <v>QSObject:Swap:w1~swap.2847:7980</v>
      </c>
      <c r="F2849" s="6" t="str">
        <f>_xll.QS.TRADE.CREATE("trade.2847",E2849,A2849,"Receive")</f>
        <v>QSObject:SwapTrade:w1~trade.2847:11206</v>
      </c>
      <c r="G2849" s="3">
        <f>_xll.QS.EVALUATE(C2849,F2849)</f>
        <v>45450.977809077078</v>
      </c>
      <c r="H2849" s="5" t="s">
        <v>2085</v>
      </c>
      <c r="I2849" s="7">
        <v>1284700</v>
      </c>
      <c r="J2849" s="8">
        <v>3.9700000000000013E-2</v>
      </c>
    </row>
    <row r="2850" spans="1:10" x14ac:dyDescent="0.25">
      <c r="A2850" s="5" t="s">
        <v>2073</v>
      </c>
      <c r="B2850" s="5" t="s">
        <v>4717</v>
      </c>
      <c r="C2850" s="6" t="str">
        <f>_xll.QS.CONTEXT.CREATE("market.2848",A2850,"USD","SOFR")</f>
        <v>QSObject:PricingContext:w1~market.2848:3257</v>
      </c>
      <c r="D2850" s="6" t="str">
        <f>_xll.QS.CONTEXT.ADD.CURVE(C2850,"SOFR",$K$2:$K$7,$L$2:$L$7,,,"Actual360","LogLinear",TRUE)</f>
        <v>QSObject:ContextInput:w1~input.qs_context_add_curve.2359132437744.2849.3.0:29038</v>
      </c>
      <c r="E2850" s="6" t="str">
        <f>_xll.QS.INSTRUMENT.SWAP("swap.2848",H2850,B2850,"USD","SOFR",I2850,J2850,0,"Actual360","Simple","Annual","Annual","Annual")</f>
        <v>QSObject:Swap:w1~swap.2848:16015</v>
      </c>
      <c r="F2850" s="6" t="str">
        <f>_xll.QS.TRADE.CREATE("trade.2848",E2850,A2850,"Receive")</f>
        <v>QSObject:SwapTrade:w1~trade.2848:29037</v>
      </c>
      <c r="G2850" s="3">
        <f>_xll.QS.EVALUATE(C2850,F2850)</f>
        <v>45971.890855011559</v>
      </c>
      <c r="H2850" s="5" t="s">
        <v>2087</v>
      </c>
      <c r="I2850" s="7">
        <v>1284800</v>
      </c>
      <c r="J2850" s="8">
        <v>3.9800000000000002E-2</v>
      </c>
    </row>
    <row r="2851" spans="1:10" x14ac:dyDescent="0.25">
      <c r="A2851" s="5" t="s">
        <v>2075</v>
      </c>
      <c r="B2851" s="5" t="s">
        <v>4718</v>
      </c>
      <c r="C2851" s="6" t="str">
        <f>_xll.QS.CONTEXT.CREATE("market.2849",A2851,"USD","SOFR")</f>
        <v>QSObject:PricingContext:w1~market.2849:14326</v>
      </c>
      <c r="D2851" s="6" t="str">
        <f>_xll.QS.CONTEXT.ADD.CURVE(C2851,"SOFR",$K$2:$K$7,$L$2:$L$7,,,"Actual360","LogLinear",TRUE)</f>
        <v>QSObject:ContextInput:w1~input.qs_context_add_curve.2359132437744.2850.3.0:37670</v>
      </c>
      <c r="E2851" s="6" t="str">
        <f>_xll.QS.INSTRUMENT.SWAP("swap.2849",H2851,B2851,"USD","SOFR",I2851,J2851,0,"Actual360","Simple","Annual","Annual","Annual")</f>
        <v>QSObject:Swap:w1~swap.2849:16976</v>
      </c>
      <c r="F2851" s="6" t="str">
        <f>_xll.QS.TRADE.CREATE("trade.2849",E2851,A2851,"Receive")</f>
        <v>QSObject:SwapTrade:w1~trade.2849:29036</v>
      </c>
      <c r="G2851" s="3">
        <f>_xll.QS.EVALUATE(C2851,F2851)</f>
        <v>46623.564472739512</v>
      </c>
      <c r="H2851" s="5" t="s">
        <v>2089</v>
      </c>
      <c r="I2851" s="7">
        <v>1284900</v>
      </c>
      <c r="J2851" s="8">
        <v>3.9899999999999998E-2</v>
      </c>
    </row>
    <row r="2852" spans="1:10" x14ac:dyDescent="0.25">
      <c r="A2852" s="5" t="s">
        <v>2077</v>
      </c>
      <c r="B2852" s="5" t="s">
        <v>4719</v>
      </c>
      <c r="C2852" s="6" t="str">
        <f>_xll.QS.CONTEXT.CREATE("market.2850",A2852,"USD","SOFR")</f>
        <v>QSObject:PricingContext:w1~market.2850:7979</v>
      </c>
      <c r="D2852" s="6" t="str">
        <f>_xll.QS.CONTEXT.ADD.CURVE(C2852,"SOFR",$K$2:$K$7,$L$2:$L$7,,,"Actual360","LogLinear",TRUE)</f>
        <v>QSObject:ContextInput:w1~input.qs_context_add_curve.2359132437744.2851.3.0:12701</v>
      </c>
      <c r="E2852" s="6" t="str">
        <f>_xll.QS.INSTRUMENT.SWAP("swap.2850",H2852,B2852,"USD","SOFR",I2852,J2852,0,"Actual360","Simple","Annual","Annual","Annual")</f>
        <v>QSObject:Swap:w1~swap.2850:1730</v>
      </c>
      <c r="F2852" s="6" t="str">
        <f>_xll.QS.TRADE.CREATE("trade.2850",E2852,A2852,"Receive")</f>
        <v>QSObject:SwapTrade:w1~trade.2850:16014</v>
      </c>
      <c r="G2852" s="3">
        <f>_xll.QS.EVALUATE(C2852,F2852)</f>
        <v>17618.326097901831</v>
      </c>
      <c r="H2852" s="5" t="s">
        <v>2091</v>
      </c>
      <c r="I2852" s="7">
        <v>1285000</v>
      </c>
      <c r="J2852" s="8">
        <v>3.5000000000000003E-2</v>
      </c>
    </row>
    <row r="2853" spans="1:10" x14ac:dyDescent="0.25">
      <c r="A2853" s="5" t="s">
        <v>2079</v>
      </c>
      <c r="B2853" s="5" t="s">
        <v>4720</v>
      </c>
      <c r="C2853" s="6" t="str">
        <f>_xll.QS.CONTEXT.CREATE("market.2851",A2853,"USD","SOFR")</f>
        <v>QSObject:PricingContext:w1~market.2851:16975</v>
      </c>
      <c r="D2853" s="6" t="str">
        <f>_xll.QS.CONTEXT.ADD.CURVE(C2853,"SOFR",$K$2:$K$7,$L$2:$L$7,,,"Actual360","LogLinear",TRUE)</f>
        <v>QSObject:ContextInput:w1~input.qs_context_add_curve.2359132437744.2852.3.0:37669</v>
      </c>
      <c r="E2853" s="6" t="str">
        <f>_xll.QS.INSTRUMENT.SWAP("swap.2851",H2853,B2853,"USD","SOFR",I2853,J2853,0,"Actual360","Simple","Annual","Annual","Annual")</f>
        <v>QSObject:Swap:w1~swap.2851:14325</v>
      </c>
      <c r="F2853" s="6" t="str">
        <f>_xll.QS.TRADE.CREATE("trade.2851",E2853,A2853,"Receive")</f>
        <v>QSObject:SwapTrade:w1~trade.2851:29035</v>
      </c>
      <c r="G2853" s="3">
        <f>_xll.QS.EVALUATE(C2853,F2853)</f>
        <v>18306.207040888432</v>
      </c>
      <c r="H2853" s="5" t="s">
        <v>2093</v>
      </c>
      <c r="I2853" s="7">
        <v>1285100</v>
      </c>
      <c r="J2853" s="8">
        <v>3.5100000000000013E-2</v>
      </c>
    </row>
    <row r="2854" spans="1:10" x14ac:dyDescent="0.25">
      <c r="A2854" s="5" t="s">
        <v>2081</v>
      </c>
      <c r="B2854" s="5" t="s">
        <v>4721</v>
      </c>
      <c r="C2854" s="6" t="str">
        <f>_xll.QS.CONTEXT.CREATE("market.2852",A2854,"USD","SOFR")</f>
        <v>QSObject:PricingContext:w1~market.2852:7978</v>
      </c>
      <c r="D2854" s="6" t="str">
        <f>_xll.QS.CONTEXT.ADD.CURVE(C2854,"SOFR",$K$2:$K$7,$L$2:$L$7,,,"Actual360","LogLinear",TRUE)</f>
        <v>QSObject:ContextInput:w1~input.qs_context_add_curve.2359132437744.2853.3.0:9576</v>
      </c>
      <c r="E2854" s="6" t="str">
        <f>_xll.QS.INSTRUMENT.SWAP("swap.2852",H2854,B2854,"USD","SOFR",I2854,J2854,0,"Actual360","Simple","Annual","Annual","Annual")</f>
        <v>QSObject:Swap:w1~swap.2852:4811</v>
      </c>
      <c r="F2854" s="6" t="str">
        <f>_xll.QS.TRADE.CREATE("trade.2852",E2854,A2854,"Receive")</f>
        <v>QSObject:SwapTrade:w1~trade.2852:12700</v>
      </c>
      <c r="G2854" s="3">
        <f>_xll.QS.EVALUATE(C2854,F2854)</f>
        <v>18956.454583376413</v>
      </c>
      <c r="H2854" s="5" t="s">
        <v>2095</v>
      </c>
      <c r="I2854" s="7">
        <v>1285200</v>
      </c>
      <c r="J2854" s="8">
        <v>3.5200000000000002E-2</v>
      </c>
    </row>
    <row r="2855" spans="1:10" x14ac:dyDescent="0.25">
      <c r="A2855" s="5" t="s">
        <v>2083</v>
      </c>
      <c r="B2855" s="5" t="s">
        <v>4722</v>
      </c>
      <c r="C2855" s="6" t="str">
        <f>_xll.QS.CONTEXT.CREATE("market.2853",A2855,"USD","SOFR")</f>
        <v>QSObject:PricingContext:w1~market.2853:1729</v>
      </c>
      <c r="D2855" s="6" t="str">
        <f>_xll.QS.CONTEXT.ADD.CURVE(C2855,"SOFR",$K$2:$K$7,$L$2:$L$7,,,"Actual360","LogLinear",TRUE)</f>
        <v>QSObject:ContextInput:w1~input.qs_context_add_curve.2359132437744.2854.3.0:16974</v>
      </c>
      <c r="E2855" s="6" t="str">
        <f>_xll.QS.INSTRUMENT.SWAP("swap.2853",H2855,B2855,"USD","SOFR",I2855,J2855,0,"Actual360","Simple","Annual","Annual","Annual")</f>
        <v>QSObject:Swap:w1~swap.2853:16013</v>
      </c>
      <c r="F2855" s="6" t="str">
        <f>_xll.QS.TRADE.CREATE("trade.2853",E2855,A2855,"Receive")</f>
        <v>QSObject:SwapTrade:w1~trade.2853:29034</v>
      </c>
      <c r="G2855" s="3">
        <f>_xll.QS.EVALUATE(C2855,F2855)</f>
        <v>19501.879022435191</v>
      </c>
      <c r="H2855" s="5" t="s">
        <v>2097</v>
      </c>
      <c r="I2855" s="7">
        <v>1285300</v>
      </c>
      <c r="J2855" s="8">
        <v>3.5299999999999998E-2</v>
      </c>
    </row>
    <row r="2856" spans="1:10" x14ac:dyDescent="0.25">
      <c r="A2856" s="5" t="s">
        <v>2085</v>
      </c>
      <c r="B2856" s="5" t="s">
        <v>4723</v>
      </c>
      <c r="C2856" s="6" t="str">
        <f>_xll.QS.CONTEXT.CREATE("market.2854",A2856,"USD","SOFR")</f>
        <v>QSObject:PricingContext:w1~market.2854:14324</v>
      </c>
      <c r="D2856" s="6" t="str">
        <f>_xll.QS.CONTEXT.ADD.CURVE(C2856,"SOFR",$K$2:$K$7,$L$2:$L$7,,,"Actual360","LogLinear",TRUE)</f>
        <v>QSObject:ContextInput:w1~input.qs_context_add_curve.2359132437744.2855.3.0:37668</v>
      </c>
      <c r="E2856" s="6" t="str">
        <f>_xll.QS.INSTRUMENT.SWAP("swap.2854",H2856,B2856,"USD","SOFR",I2856,J2856,0,"Actual360","Simple","Annual","Annual","Annual")</f>
        <v>QSObject:Swap:w1~swap.2854:7977</v>
      </c>
      <c r="F2856" s="6" t="str">
        <f>_xll.QS.TRADE.CREATE("trade.2854",E2856,A2856,"Receive")</f>
        <v>QSObject:SwapTrade:w1~trade.2854:29033</v>
      </c>
      <c r="G2856" s="3">
        <f>_xll.QS.EVALUATE(C2856,F2856)</f>
        <v>20017.585204272553</v>
      </c>
      <c r="H2856" s="5" t="s">
        <v>2099</v>
      </c>
      <c r="I2856" s="7">
        <v>1285400</v>
      </c>
      <c r="J2856" s="8">
        <v>3.5400000000000001E-2</v>
      </c>
    </row>
    <row r="2857" spans="1:10" x14ac:dyDescent="0.25">
      <c r="A2857" s="5" t="s">
        <v>2087</v>
      </c>
      <c r="B2857" s="5" t="s">
        <v>4724</v>
      </c>
      <c r="C2857" s="6" t="str">
        <f>_xll.QS.CONTEXT.CREATE("market.2855",A2857,"USD","SOFR")</f>
        <v>QSObject:PricingContext:w1~market.2855:1728</v>
      </c>
      <c r="D2857" s="6" t="str">
        <f>_xll.QS.CONTEXT.ADD.CURVE(C2857,"SOFR",$K$2:$K$7,$L$2:$L$7,,,"Actual360","LogLinear",TRUE)</f>
        <v>QSObject:ContextInput:w1~input.qs_context_add_curve.2359132437744.2856.3.0:12699</v>
      </c>
      <c r="E2857" s="6" t="str">
        <f>_xll.QS.INSTRUMENT.SWAP("swap.2855",H2857,B2857,"USD","SOFR",I2857,J2857,0,"Actual360","Simple","Annual","Annual","Annual")</f>
        <v>QSObject:Swap:w1~swap.2855:9575</v>
      </c>
      <c r="F2857" s="6" t="str">
        <f>_xll.QS.TRADE.CREATE("trade.2855",E2857,A2857,"Receive")</f>
        <v>QSObject:SwapTrade:w1~trade.2855:16973</v>
      </c>
      <c r="G2857" s="3">
        <f>_xll.QS.EVALUATE(C2857,F2857)</f>
        <v>20497.281471789393</v>
      </c>
      <c r="H2857" s="5" t="s">
        <v>2101</v>
      </c>
      <c r="I2857" s="7">
        <v>1285500</v>
      </c>
      <c r="J2857" s="8">
        <v>3.5499999999999997E-2</v>
      </c>
    </row>
    <row r="2858" spans="1:10" x14ac:dyDescent="0.25">
      <c r="A2858" s="5" t="s">
        <v>2089</v>
      </c>
      <c r="B2858" s="5" t="s">
        <v>4725</v>
      </c>
      <c r="C2858" s="6" t="str">
        <f>_xll.QS.CONTEXT.CREATE("market.2856",A2858,"USD","SOFR")</f>
        <v>QSObject:PricingContext:w1~market.2856:3256</v>
      </c>
      <c r="D2858" s="6" t="str">
        <f>_xll.QS.CONTEXT.ADD.CURVE(C2858,"SOFR",$K$2:$K$7,$L$2:$L$7,,,"Actual360","LogLinear",TRUE)</f>
        <v>QSObject:ContextInput:w1~input.qs_context_add_curve.2359132437744.2857.3.0:16012</v>
      </c>
      <c r="E2858" s="6" t="str">
        <f>_xll.QS.INSTRUMENT.SWAP("swap.2856",H2858,B2858,"USD","SOFR",I2858,J2858,0,"Actual360","Simple","Annual","Annual","Annual")</f>
        <v>QSObject:Swap:w1~swap.2856:16972</v>
      </c>
      <c r="F2858" s="6" t="str">
        <f>_xll.QS.TRADE.CREATE("trade.2856",E2858,A2858,"Receive")</f>
        <v>QSObject:SwapTrade:w1~trade.2856:29032</v>
      </c>
      <c r="G2858" s="3">
        <f>_xll.QS.EVALUATE(C2858,F2858)</f>
        <v>21144.854259663727</v>
      </c>
      <c r="H2858" s="5" t="s">
        <v>2103</v>
      </c>
      <c r="I2858" s="7">
        <v>1285600</v>
      </c>
      <c r="J2858" s="8">
        <v>3.5600000000000007E-2</v>
      </c>
    </row>
    <row r="2859" spans="1:10" x14ac:dyDescent="0.25">
      <c r="A2859" s="5" t="s">
        <v>2091</v>
      </c>
      <c r="B2859" s="5" t="s">
        <v>4726</v>
      </c>
      <c r="C2859" s="6" t="str">
        <f>_xll.QS.CONTEXT.CREATE("market.2857",A2859,"USD","SOFR")</f>
        <v>QSObject:PricingContext:w1~market.2857:16971</v>
      </c>
      <c r="D2859" s="6" t="str">
        <f>_xll.QS.CONTEXT.ADD.CURVE(C2859,"SOFR",$K$2:$K$7,$L$2:$L$7,,,"Actual360","LogLinear",TRUE)</f>
        <v>QSObject:ContextInput:w1~input.qs_context_add_curve.2359132437744.2858.3.0:37667</v>
      </c>
      <c r="E2859" s="6" t="str">
        <f>_xll.QS.INSTRUMENT.SWAP("swap.2857",H2859,B2859,"USD","SOFR",I2859,J2859,0,"Actual360","Simple","Annual","Annual","Annual")</f>
        <v>QSObject:Swap:w1~swap.2857:16970</v>
      </c>
      <c r="F2859" s="6" t="str">
        <f>_xll.QS.TRADE.CREATE("trade.2857",E2859,A2859,"Receive")</f>
        <v>QSObject:SwapTrade:w1~trade.2857:29031</v>
      </c>
      <c r="G2859" s="3">
        <f>_xll.QS.EVALUATE(C2859,F2859)</f>
        <v>21777.380909808111</v>
      </c>
      <c r="H2859" s="5" t="s">
        <v>2105</v>
      </c>
      <c r="I2859" s="7">
        <v>1285700</v>
      </c>
      <c r="J2859" s="8">
        <v>3.5700000000000003E-2</v>
      </c>
    </row>
    <row r="2860" spans="1:10" x14ac:dyDescent="0.25">
      <c r="A2860" s="5" t="s">
        <v>2093</v>
      </c>
      <c r="B2860" s="5" t="s">
        <v>4727</v>
      </c>
      <c r="C2860" s="6" t="str">
        <f>_xll.QS.CONTEXT.CREATE("market.2858",A2860,"USD","SOFR")</f>
        <v>QSObject:PricingContext:w1~market.2858:16969</v>
      </c>
      <c r="D2860" s="6" t="str">
        <f>_xll.QS.CONTEXT.ADD.CURVE(C2860,"SOFR",$K$2:$K$7,$L$2:$L$7,,,"Actual360","LogLinear",TRUE)</f>
        <v>QSObject:ContextInput:w1~input.qs_context_add_curve.2359132437744.2859.3.0:37666</v>
      </c>
      <c r="E2860" s="6" t="str">
        <f>_xll.QS.INSTRUMENT.SWAP("swap.2858",H2860,B2860,"USD","SOFR",I2860,J2860,0,"Actual360","Simple","Annual","Annual","Annual")</f>
        <v>QSObject:Swap:w1~swap.2858:16968</v>
      </c>
      <c r="F2860" s="6" t="str">
        <f>_xll.QS.TRADE.CREATE("trade.2858",E2860,A2860,"Receive")</f>
        <v>QSObject:SwapTrade:w1~trade.2858:29030</v>
      </c>
      <c r="G2860" s="3">
        <f>_xll.QS.EVALUATE(C2860,F2860)</f>
        <v>22466.589207267287</v>
      </c>
      <c r="H2860" s="5" t="s">
        <v>2107</v>
      </c>
      <c r="I2860" s="7">
        <v>1285800</v>
      </c>
      <c r="J2860" s="8">
        <v>3.5800000000000012E-2</v>
      </c>
    </row>
    <row r="2861" spans="1:10" x14ac:dyDescent="0.25">
      <c r="A2861" s="5" t="s">
        <v>2095</v>
      </c>
      <c r="B2861" s="5" t="s">
        <v>4728</v>
      </c>
      <c r="C2861" s="6" t="str">
        <f>_xll.QS.CONTEXT.CREATE("market.2859",A2861,"USD","SOFR")</f>
        <v>QSObject:PricingContext:w1~market.2859:16967</v>
      </c>
      <c r="D2861" s="6" t="str">
        <f>_xll.QS.CONTEXT.ADD.CURVE(C2861,"SOFR",$K$2:$K$7,$L$2:$L$7,,,"Actual360","LogLinear",TRUE)</f>
        <v>QSObject:ContextInput:w1~input.qs_context_add_curve.2359132437744.2860.3.0:37665</v>
      </c>
      <c r="E2861" s="6" t="str">
        <f>_xll.QS.INSTRUMENT.SWAP("swap.2859",H2861,B2861,"USD","SOFR",I2861,J2861,0,"Actual360","Simple","Annual","Annual","Annual")</f>
        <v>QSObject:Swap:w1~swap.2859:16011</v>
      </c>
      <c r="F2861" s="6" t="str">
        <f>_xll.QS.TRADE.CREATE("trade.2859",E2861,A2861,"Receive")</f>
        <v>QSObject:SwapTrade:w1~trade.2859:16966</v>
      </c>
      <c r="G2861" s="3">
        <f>_xll.QS.EVALUATE(C2861,F2861)</f>
        <v>23117.497854251022</v>
      </c>
      <c r="H2861" s="5" t="s">
        <v>2109</v>
      </c>
      <c r="I2861" s="7">
        <v>1285900</v>
      </c>
      <c r="J2861" s="8">
        <v>3.5900000000000001E-2</v>
      </c>
    </row>
    <row r="2862" spans="1:10" x14ac:dyDescent="0.25">
      <c r="A2862" s="5" t="s">
        <v>2097</v>
      </c>
      <c r="B2862" s="5" t="s">
        <v>4729</v>
      </c>
      <c r="C2862" s="6" t="str">
        <f>_xll.QS.CONTEXT.CREATE("market.2860",A2862,"USD","SOFR")</f>
        <v>QSObject:PricingContext:w1~market.2860:16010</v>
      </c>
      <c r="D2862" s="6" t="str">
        <f>_xll.QS.CONTEXT.ADD.CURVE(C2862,"SOFR",$K$2:$K$7,$L$2:$L$7,,,"Actual360","LogLinear",TRUE)</f>
        <v>QSObject:ContextInput:w1~input.qs_context_add_curve.2359132437744.2861.3.0:16965</v>
      </c>
      <c r="E2862" s="6" t="str">
        <f>_xll.QS.INSTRUMENT.SWAP("swap.2860",H2862,B2862,"USD","SOFR",I2862,J2862,0,"Actual360","Simple","Annual","Annual","Annual")</f>
        <v>QSObject:Swap:w1~swap.2860:16009</v>
      </c>
      <c r="F2862" s="6" t="str">
        <f>_xll.QS.TRADE.CREATE("trade.2860",E2862,A2862,"Receive")</f>
        <v>QSObject:SwapTrade:w1~trade.2860:16964</v>
      </c>
      <c r="G2862" s="3">
        <f>_xll.QS.EVALUATE(C2862,F2862)</f>
        <v>23662.963488272202</v>
      </c>
      <c r="H2862" s="5" t="s">
        <v>2111</v>
      </c>
      <c r="I2862" s="7">
        <v>1286000</v>
      </c>
      <c r="J2862" s="8">
        <v>3.5999999999999997E-2</v>
      </c>
    </row>
    <row r="2863" spans="1:10" x14ac:dyDescent="0.25">
      <c r="A2863" s="5" t="s">
        <v>2099</v>
      </c>
      <c r="B2863" s="5" t="s">
        <v>4730</v>
      </c>
      <c r="C2863" s="6" t="str">
        <f>_xll.QS.CONTEXT.CREATE("market.2861",A2863,"USD","SOFR")</f>
        <v>QSObject:PricingContext:w1~market.2861:16008</v>
      </c>
      <c r="D2863" s="6" t="str">
        <f>_xll.QS.CONTEXT.ADD.CURVE(C2863,"SOFR",$K$2:$K$7,$L$2:$L$7,,,"Actual360","LogLinear",TRUE)</f>
        <v>QSObject:ContextInput:w1~input.qs_context_add_curve.2359132437744.2862.3.0:16963</v>
      </c>
      <c r="E2863" s="6" t="str">
        <f>_xll.QS.INSTRUMENT.SWAP("swap.2861",H2863,B2863,"USD","SOFR",I2863,J2863,0,"Actual360","Simple","Annual","Annual","Annual")</f>
        <v>QSObject:Swap:w1~swap.2861:16007</v>
      </c>
      <c r="F2863" s="6" t="str">
        <f>_xll.QS.TRADE.CREATE("trade.2861",E2863,A2863,"Receive")</f>
        <v>QSObject:SwapTrade:w1~trade.2861:16962</v>
      </c>
      <c r="G2863" s="3">
        <f>_xll.QS.EVALUATE(C2863,F2863)</f>
        <v>24175.094502018364</v>
      </c>
      <c r="H2863" s="5" t="s">
        <v>2113</v>
      </c>
      <c r="I2863" s="7">
        <v>1286100</v>
      </c>
      <c r="J2863" s="8">
        <v>3.61E-2</v>
      </c>
    </row>
    <row r="2864" spans="1:10" x14ac:dyDescent="0.25">
      <c r="A2864" s="5" t="s">
        <v>2101</v>
      </c>
      <c r="B2864" s="5" t="s">
        <v>4731</v>
      </c>
      <c r="C2864" s="6" t="str">
        <f>_xll.QS.CONTEXT.CREATE("market.2862",A2864,"USD","SOFR")</f>
        <v>QSObject:PricingContext:w1~market.2862:16961</v>
      </c>
      <c r="D2864" s="6" t="str">
        <f>_xll.QS.CONTEXT.ADD.CURVE(C2864,"SOFR",$K$2:$K$7,$L$2:$L$7,,,"Actual360","LogLinear",TRUE)</f>
        <v>QSObject:ContextInput:w1~input.qs_context_add_curve.2359132437744.2863.3.0:37664</v>
      </c>
      <c r="E2864" s="6" t="str">
        <f>_xll.QS.INSTRUMENT.SWAP("swap.2862",H2864,B2864,"USD","SOFR",I2864,J2864,0,"Actual360","Simple","Annual","Annual","Annual")</f>
        <v>QSObject:Swap:w1~swap.2862:16960</v>
      </c>
      <c r="F2864" s="6" t="str">
        <f>_xll.QS.TRADE.CREATE("trade.2862",E2864,A2864,"Receive")</f>
        <v>QSObject:SwapTrade:w1~trade.2862:29029</v>
      </c>
      <c r="G2864" s="3">
        <f>_xll.QS.EVALUATE(C2864,F2864)</f>
        <v>24625.286290870819</v>
      </c>
      <c r="H2864" s="5" t="s">
        <v>2115</v>
      </c>
      <c r="I2864" s="7">
        <v>1286200</v>
      </c>
      <c r="J2864" s="8">
        <v>3.6200000000000003E-2</v>
      </c>
    </row>
    <row r="2865" spans="1:10" x14ac:dyDescent="0.25">
      <c r="A2865" s="5" t="s">
        <v>2103</v>
      </c>
      <c r="B2865" s="5" t="s">
        <v>4732</v>
      </c>
      <c r="C2865" s="6" t="str">
        <f>_xll.QS.CONTEXT.CREATE("market.2863",A2865,"USD","SOFR")</f>
        <v>QSObject:PricingContext:w1~market.2863:16959</v>
      </c>
      <c r="D2865" s="6" t="str">
        <f>_xll.QS.CONTEXT.ADD.CURVE(C2865,"SOFR",$K$2:$K$7,$L$2:$L$7,,,"Actual360","LogLinear",TRUE)</f>
        <v>QSObject:ContextInput:w1~input.qs_context_add_curve.2359132437744.2864.3.0:37663</v>
      </c>
      <c r="E2865" s="6" t="str">
        <f>_xll.QS.INSTRUMENT.SWAP("swap.2863",H2865,B2865,"USD","SOFR",I2865,J2865,0,"Actual360","Simple","Annual","Annual","Annual")</f>
        <v>QSObject:Swap:w1~swap.2863:16958</v>
      </c>
      <c r="F2865" s="6" t="str">
        <f>_xll.QS.TRADE.CREATE("trade.2863",E2865,A2865,"Receive")</f>
        <v>QSObject:SwapTrade:w1~trade.2863:29028</v>
      </c>
      <c r="G2865" s="3">
        <f>_xll.QS.EVALUATE(C2865,F2865)</f>
        <v>25274.184956914331</v>
      </c>
      <c r="H2865" s="5" t="s">
        <v>2117</v>
      </c>
      <c r="I2865" s="7">
        <v>1286300</v>
      </c>
      <c r="J2865" s="8">
        <v>3.6300000000000013E-2</v>
      </c>
    </row>
    <row r="2866" spans="1:10" x14ac:dyDescent="0.25">
      <c r="A2866" s="5" t="s">
        <v>2105</v>
      </c>
      <c r="B2866" s="5" t="s">
        <v>4733</v>
      </c>
      <c r="C2866" s="6" t="str">
        <f>_xll.QS.CONTEXT.CREATE("market.2864",A2866,"USD","SOFR")</f>
        <v>QSObject:PricingContext:w1~market.2864:16957</v>
      </c>
      <c r="D2866" s="6" t="str">
        <f>_xll.QS.CONTEXT.ADD.CURVE(C2866,"SOFR",$K$2:$K$7,$L$2:$L$7,,,"Actual360","LogLinear",TRUE)</f>
        <v>QSObject:ContextInput:w1~input.qs_context_add_curve.2359132437744.2865.3.0:37662</v>
      </c>
      <c r="E2866" s="6" t="str">
        <f>_xll.QS.INSTRUMENT.SWAP("swap.2864",H2866,B2866,"USD","SOFR",I2866,J2866,0,"Actual360","Simple","Annual","Annual","Annual")</f>
        <v>QSObject:Swap:w1~swap.2864:16956</v>
      </c>
      <c r="F2866" s="6" t="str">
        <f>_xll.QS.TRADE.CREATE("trade.2864",E2866,A2866,"Receive")</f>
        <v>QSObject:SwapTrade:w1~trade.2864:29027</v>
      </c>
      <c r="G2866" s="3">
        <f>_xll.QS.EVALUATE(C2866,F2866)</f>
        <v>25889.218788066741</v>
      </c>
      <c r="H2866" s="5" t="s">
        <v>2119</v>
      </c>
      <c r="I2866" s="7">
        <v>1286400</v>
      </c>
      <c r="J2866" s="8">
        <v>3.6400000000000002E-2</v>
      </c>
    </row>
    <row r="2867" spans="1:10" x14ac:dyDescent="0.25">
      <c r="A2867" s="5" t="s">
        <v>2107</v>
      </c>
      <c r="B2867" s="5" t="s">
        <v>4734</v>
      </c>
      <c r="C2867" s="6" t="str">
        <f>_xll.QS.CONTEXT.CREATE("market.2865",A2867,"USD","SOFR")</f>
        <v>QSObject:PricingContext:w1~market.2865:16955</v>
      </c>
      <c r="D2867" s="6" t="str">
        <f>_xll.QS.CONTEXT.ADD.CURVE(C2867,"SOFR",$K$2:$K$7,$L$2:$L$7,,,"Actual360","LogLinear",TRUE)</f>
        <v>QSObject:ContextInput:w1~input.qs_context_add_curve.2359132437744.2866.3.0:37661</v>
      </c>
      <c r="E2867" s="6" t="str">
        <f>_xll.QS.INSTRUMENT.SWAP("swap.2865",H2867,B2867,"USD","SOFR",I2867,J2867,0,"Actual360","Simple","Annual","Annual","Annual")</f>
        <v>QSObject:Swap:w1~swap.2865:16954</v>
      </c>
      <c r="F2867" s="6" t="str">
        <f>_xll.QS.TRADE.CREATE("trade.2865",E2867,A2867,"Receive")</f>
        <v>QSObject:SwapTrade:w1~trade.2865:29026</v>
      </c>
      <c r="G2867" s="3">
        <f>_xll.QS.EVALUATE(C2867,F2867)</f>
        <v>26679.444043318566</v>
      </c>
      <c r="H2867" s="5" t="s">
        <v>2121</v>
      </c>
      <c r="I2867" s="7">
        <v>1286500</v>
      </c>
      <c r="J2867" s="8">
        <v>3.6499999999999998E-2</v>
      </c>
    </row>
    <row r="2868" spans="1:10" x14ac:dyDescent="0.25">
      <c r="A2868" s="5" t="s">
        <v>2109</v>
      </c>
      <c r="B2868" s="5" t="s">
        <v>4735</v>
      </c>
      <c r="C2868" s="6" t="str">
        <f>_xll.QS.CONTEXT.CREATE("market.2866",A2868,"USD","SOFR")</f>
        <v>QSObject:PricingContext:w1~market.2866:16953</v>
      </c>
      <c r="D2868" s="6" t="str">
        <f>_xll.QS.CONTEXT.ADD.CURVE(C2868,"SOFR",$K$2:$K$7,$L$2:$L$7,,,"Actual360","LogLinear",TRUE)</f>
        <v>QSObject:ContextInput:w1~input.qs_context_add_curve.2359132437744.2867.3.0:37660</v>
      </c>
      <c r="E2868" s="6" t="str">
        <f>_xll.QS.INSTRUMENT.SWAP("swap.2866",H2868,B2868,"USD","SOFR",I2868,J2868,0,"Actual360","Simple","Annual","Annual","Annual")</f>
        <v>QSObject:Swap:w1~swap.2866:16952</v>
      </c>
      <c r="F2868" s="6" t="str">
        <f>_xll.QS.TRADE.CREATE("trade.2866",E2868,A2868,"Receive")</f>
        <v>QSObject:SwapTrade:w1~trade.2866:29025</v>
      </c>
      <c r="G2868" s="3">
        <f>_xll.QS.EVALUATE(C2868,F2868)</f>
        <v>27284.481519429391</v>
      </c>
      <c r="H2868" s="5" t="s">
        <v>2123</v>
      </c>
      <c r="I2868" s="7">
        <v>1286600</v>
      </c>
      <c r="J2868" s="8">
        <v>3.6600000000000001E-2</v>
      </c>
    </row>
    <row r="2869" spans="1:10" x14ac:dyDescent="0.25">
      <c r="A2869" s="5" t="s">
        <v>2111</v>
      </c>
      <c r="B2869" s="5" t="s">
        <v>4736</v>
      </c>
      <c r="C2869" s="6" t="str">
        <f>_xll.QS.CONTEXT.CREATE("market.2867",A2869,"USD","SOFR")</f>
        <v>QSObject:PricingContext:w1~market.2867:16951</v>
      </c>
      <c r="D2869" s="6" t="str">
        <f>_xll.QS.CONTEXT.ADD.CURVE(C2869,"SOFR",$K$2:$K$7,$L$2:$L$7,,,"Actual360","LogLinear",TRUE)</f>
        <v>QSObject:ContextInput:w1~input.qs_context_add_curve.2359132437744.2868.3.0:37659</v>
      </c>
      <c r="E2869" s="6" t="str">
        <f>_xll.QS.INSTRUMENT.SWAP("swap.2867",H2869,B2869,"USD","SOFR",I2869,J2869,0,"Actual360","Simple","Annual","Annual","Annual")</f>
        <v>QSObject:Swap:w1~swap.2867:16950</v>
      </c>
      <c r="F2869" s="6" t="str">
        <f>_xll.QS.TRADE.CREATE("trade.2867",E2869,A2869,"Receive")</f>
        <v>QSObject:SwapTrade:w1~trade.2867:28970</v>
      </c>
      <c r="G2869" s="3">
        <f>_xll.QS.EVALUATE(C2869,F2869)</f>
        <v>27881.073133198886</v>
      </c>
      <c r="H2869" s="5" t="s">
        <v>2125</v>
      </c>
      <c r="I2869" s="7">
        <v>1286700</v>
      </c>
      <c r="J2869" s="8">
        <v>3.6700000000000003E-2</v>
      </c>
    </row>
    <row r="2870" spans="1:10" x14ac:dyDescent="0.25">
      <c r="A2870" s="5" t="s">
        <v>2113</v>
      </c>
      <c r="B2870" s="5" t="s">
        <v>4737</v>
      </c>
      <c r="C2870" s="6" t="str">
        <f>_xll.QS.CONTEXT.CREATE("market.2868",A2870,"USD","SOFR")</f>
        <v>QSObject:PricingContext:w1~market.2868:16949</v>
      </c>
      <c r="D2870" s="6" t="str">
        <f>_xll.QS.CONTEXT.ADD.CURVE(C2870,"SOFR",$K$2:$K$7,$L$2:$L$7,,,"Actual360","LogLinear",TRUE)</f>
        <v>QSObject:ContextInput:w1~input.qs_context_add_curve.2359132437744.2869.3.0:37658</v>
      </c>
      <c r="E2870" s="6" t="str">
        <f>_xll.QS.INSTRUMENT.SWAP("swap.2868",H2870,B2870,"USD","SOFR",I2870,J2870,0,"Actual360","Simple","Annual","Annual","Annual")</f>
        <v>QSObject:Swap:w1~swap.2868:16948</v>
      </c>
      <c r="F2870" s="6" t="str">
        <f>_xll.QS.TRADE.CREATE("trade.2868",E2870,A2870,"Receive")</f>
        <v>QSObject:SwapTrade:w1~trade.2868:28969</v>
      </c>
      <c r="G2870" s="3">
        <f>_xll.QS.EVALUATE(C2870,F2870)</f>
        <v>28388.919642157533</v>
      </c>
      <c r="H2870" s="5" t="s">
        <v>2127</v>
      </c>
      <c r="I2870" s="7">
        <v>1286800</v>
      </c>
      <c r="J2870" s="8">
        <v>3.6800000000000013E-2</v>
      </c>
    </row>
    <row r="2871" spans="1:10" x14ac:dyDescent="0.25">
      <c r="A2871" s="5" t="s">
        <v>2115</v>
      </c>
      <c r="B2871" s="5" t="s">
        <v>4738</v>
      </c>
      <c r="C2871" s="6" t="str">
        <f>_xll.QS.CONTEXT.CREATE("market.2869",A2871,"USD","SOFR")</f>
        <v>QSObject:PricingContext:w1~market.2869:16006</v>
      </c>
      <c r="D2871" s="6" t="str">
        <f>_xll.QS.CONTEXT.ADD.CURVE(C2871,"SOFR",$K$2:$K$7,$L$2:$L$7,,,"Actual360","LogLinear",TRUE)</f>
        <v>QSObject:ContextInput:w1~input.qs_context_add_curve.2359132437744.2870.3.0:16947</v>
      </c>
      <c r="E2871" s="6" t="str">
        <f>_xll.QS.INSTRUMENT.SWAP("swap.2869",H2871,B2871,"USD","SOFR",I2871,J2871,0,"Actual360","Simple","Annual","Annual","Annual")</f>
        <v>QSObject:Swap:w1~swap.2869:16005</v>
      </c>
      <c r="F2871" s="6" t="str">
        <f>_xll.QS.TRADE.CREATE("trade.2869",E2871,A2871,"Receive")</f>
        <v>QSObject:SwapTrade:w1~trade.2869:16946</v>
      </c>
      <c r="G2871" s="3">
        <f>_xll.QS.EVALUATE(C2871,F2871)</f>
        <v>28882.548111116594</v>
      </c>
      <c r="H2871" s="5" t="s">
        <v>2129</v>
      </c>
      <c r="I2871" s="7">
        <v>1286900</v>
      </c>
      <c r="J2871" s="8">
        <v>3.6900000000000002E-2</v>
      </c>
    </row>
    <row r="2872" spans="1:10" x14ac:dyDescent="0.25">
      <c r="A2872" s="5" t="s">
        <v>2117</v>
      </c>
      <c r="B2872" s="5" t="s">
        <v>4739</v>
      </c>
      <c r="C2872" s="6" t="str">
        <f>_xll.QS.CONTEXT.CREATE("market.2870",A2872,"USD","SOFR")</f>
        <v>QSObject:PricingContext:w1~market.2870:16004</v>
      </c>
      <c r="D2872" s="6" t="str">
        <f>_xll.QS.CONTEXT.ADD.CURVE(C2872,"SOFR",$K$2:$K$7,$L$2:$L$7,,,"Actual360","LogLinear",TRUE)</f>
        <v>QSObject:ContextInput:w1~input.qs_context_add_curve.2359132437744.2871.3.0:16945</v>
      </c>
      <c r="E2872" s="6" t="str">
        <f>_xll.QS.INSTRUMENT.SWAP("swap.2870",H2872,B2872,"USD","SOFR",I2872,J2872,0,"Actual360","Simple","Annual","Annual","Annual")</f>
        <v>QSObject:Swap:w1~swap.2870:16003</v>
      </c>
      <c r="F2872" s="6" t="str">
        <f>_xll.QS.TRADE.CREATE("trade.2870",E2872,A2872,"Receive")</f>
        <v>QSObject:SwapTrade:w1~trade.2870:16944</v>
      </c>
      <c r="G2872" s="3">
        <f>_xll.QS.EVALUATE(C2872,F2872)</f>
        <v>29532.225340899211</v>
      </c>
      <c r="H2872" s="5" t="s">
        <v>2131</v>
      </c>
      <c r="I2872" s="7">
        <v>1287000</v>
      </c>
      <c r="J2872" s="8">
        <v>3.7000000000000012E-2</v>
      </c>
    </row>
    <row r="2873" spans="1:10" x14ac:dyDescent="0.25">
      <c r="A2873" s="5" t="s">
        <v>2119</v>
      </c>
      <c r="B2873" s="5" t="s">
        <v>4740</v>
      </c>
      <c r="C2873" s="6" t="str">
        <f>_xll.QS.CONTEXT.CREATE("market.2871",A2873,"USD","SOFR")</f>
        <v>QSObject:PricingContext:w1~market.2871:16943</v>
      </c>
      <c r="D2873" s="6" t="str">
        <f>_xll.QS.CONTEXT.ADD.CURVE(C2873,"SOFR",$K$2:$K$7,$L$2:$L$7,,,"Actual360","LogLinear",TRUE)</f>
        <v>QSObject:ContextInput:w1~input.qs_context_add_curve.2359132437744.2872.3.0:37657</v>
      </c>
      <c r="E2873" s="6" t="str">
        <f>_xll.QS.INSTRUMENT.SWAP("swap.2871",H2873,B2873,"USD","SOFR",I2873,J2873,0,"Actual360","Simple","Annual","Annual","Annual")</f>
        <v>QSObject:Swap:w1~swap.2871:16942</v>
      </c>
      <c r="F2873" s="6" t="str">
        <f>_xll.QS.TRADE.CREATE("trade.2871",E2873,A2873,"Receive")</f>
        <v>QSObject:SwapTrade:w1~trade.2871:28968</v>
      </c>
      <c r="G2873" s="3">
        <f>_xll.QS.EVALUATE(C2873,F2873)</f>
        <v>30111.090832812653</v>
      </c>
      <c r="H2873" s="5" t="s">
        <v>2133</v>
      </c>
      <c r="I2873" s="7">
        <v>1287100</v>
      </c>
      <c r="J2873" s="8">
        <v>3.7100000000000001E-2</v>
      </c>
    </row>
    <row r="2874" spans="1:10" x14ac:dyDescent="0.25">
      <c r="A2874" s="5" t="s">
        <v>2121</v>
      </c>
      <c r="B2874" s="5" t="s">
        <v>4741</v>
      </c>
      <c r="C2874" s="6" t="str">
        <f>_xll.QS.CONTEXT.CREATE("market.2872",A2874,"USD","SOFR")</f>
        <v>QSObject:PricingContext:w1~market.2872:16941</v>
      </c>
      <c r="D2874" s="6" t="str">
        <f>_xll.QS.CONTEXT.ADD.CURVE(C2874,"SOFR",$K$2:$K$7,$L$2:$L$7,,,"Actual360","LogLinear",TRUE)</f>
        <v>QSObject:ContextInput:w1~input.qs_context_add_curve.2359132437744.2873.3.0:37656</v>
      </c>
      <c r="E2874" s="6" t="str">
        <f>_xll.QS.INSTRUMENT.SWAP("swap.2872",H2874,B2874,"USD","SOFR",I2874,J2874,0,"Actual360","Simple","Annual","Annual","Annual")</f>
        <v>QSObject:Swap:w1~swap.2872:16940</v>
      </c>
      <c r="F2874" s="6" t="str">
        <f>_xll.QS.TRADE.CREATE("trade.2872",E2874,A2874,"Receive")</f>
        <v>QSObject:SwapTrade:w1~trade.2872:28967</v>
      </c>
      <c r="G2874" s="3">
        <f>_xll.QS.EVALUATE(C2874,F2874)</f>
        <v>30801.259243099128</v>
      </c>
      <c r="H2874" s="5" t="s">
        <v>2135</v>
      </c>
      <c r="I2874" s="7">
        <v>1287200</v>
      </c>
      <c r="J2874" s="8">
        <v>3.7199999999999997E-2</v>
      </c>
    </row>
    <row r="2875" spans="1:10" x14ac:dyDescent="0.25">
      <c r="A2875" s="5" t="s">
        <v>2123</v>
      </c>
      <c r="B2875" s="5" t="s">
        <v>4742</v>
      </c>
      <c r="C2875" s="6" t="str">
        <f>_xll.QS.CONTEXT.CREATE("market.2873",A2875,"USD","SOFR")</f>
        <v>QSObject:PricingContext:w1~market.2873:16939</v>
      </c>
      <c r="D2875" s="6" t="str">
        <f>_xll.QS.CONTEXT.ADD.CURVE(C2875,"SOFR",$K$2:$K$7,$L$2:$L$7,,,"Actual360","LogLinear",TRUE)</f>
        <v>QSObject:ContextInput:w1~input.qs_context_add_curve.2359132437744.2874.3.0:37655</v>
      </c>
      <c r="E2875" s="6" t="str">
        <f>_xll.QS.INSTRUMENT.SWAP("swap.2873",H2875,B2875,"USD","SOFR",I2875,J2875,0,"Actual360","Simple","Annual","Annual","Annual")</f>
        <v>QSObject:Swap:w1~swap.2873:16938</v>
      </c>
      <c r="F2875" s="6" t="str">
        <f>_xll.QS.TRADE.CREATE("trade.2873",E2875,A2875,"Receive")</f>
        <v>QSObject:SwapTrade:w1~trade.2873:28966</v>
      </c>
      <c r="G2875" s="3">
        <f>_xll.QS.EVALUATE(C2875,F2875)</f>
        <v>31453.499445114183</v>
      </c>
      <c r="H2875" s="5" t="s">
        <v>2137</v>
      </c>
      <c r="I2875" s="7">
        <v>1287300</v>
      </c>
      <c r="J2875" s="8">
        <v>3.73E-2</v>
      </c>
    </row>
    <row r="2876" spans="1:10" x14ac:dyDescent="0.25">
      <c r="A2876" s="5" t="s">
        <v>2125</v>
      </c>
      <c r="B2876" s="5" t="s">
        <v>4743</v>
      </c>
      <c r="C2876" s="6" t="str">
        <f>_xll.QS.CONTEXT.CREATE("market.2874",A2876,"USD","SOFR")</f>
        <v>QSObject:PricingContext:w1~market.2874:16937</v>
      </c>
      <c r="D2876" s="6" t="str">
        <f>_xll.QS.CONTEXT.ADD.CURVE(C2876,"SOFR",$K$2:$K$7,$L$2:$L$7,,,"Actual360","LogLinear",TRUE)</f>
        <v>QSObject:ContextInput:w1~input.qs_context_add_curve.2359132437744.2875.3.0:37654</v>
      </c>
      <c r="E2876" s="6" t="str">
        <f>_xll.QS.INSTRUMENT.SWAP("swap.2874",H2876,B2876,"USD","SOFR",I2876,J2876,0,"Actual360","Simple","Annual","Annual","Annual")</f>
        <v>QSObject:Swap:w1~swap.2874:16936</v>
      </c>
      <c r="F2876" s="6" t="str">
        <f>_xll.QS.TRADE.CREATE("trade.2874",E2876,A2876,"Receive")</f>
        <v>QSObject:SwapTrade:w1~trade.2874:28965</v>
      </c>
      <c r="G2876" s="3">
        <f>_xll.QS.EVALUATE(C2876,F2876)</f>
        <v>32000.111237173638</v>
      </c>
      <c r="H2876" s="5" t="s">
        <v>2139</v>
      </c>
      <c r="I2876" s="7">
        <v>1287400</v>
      </c>
      <c r="J2876" s="8">
        <v>3.7400000000000003E-2</v>
      </c>
    </row>
    <row r="2877" spans="1:10" x14ac:dyDescent="0.25">
      <c r="A2877" s="5" t="s">
        <v>2127</v>
      </c>
      <c r="B2877" s="5" t="s">
        <v>4744</v>
      </c>
      <c r="C2877" s="6" t="str">
        <f>_xll.QS.CONTEXT.CREATE("market.2875",A2877,"USD","SOFR")</f>
        <v>QSObject:PricingContext:w1~market.2875:16935</v>
      </c>
      <c r="D2877" s="6" t="str">
        <f>_xll.QS.CONTEXT.ADD.CURVE(C2877,"SOFR",$K$2:$K$7,$L$2:$L$7,,,"Actual360","LogLinear",TRUE)</f>
        <v>QSObject:ContextInput:w1~input.qs_context_add_curve.2359132437744.2876.3.0:37653</v>
      </c>
      <c r="E2877" s="6" t="str">
        <f>_xll.QS.INSTRUMENT.SWAP("swap.2875",H2877,B2877,"USD","SOFR",I2877,J2877,0,"Actual360","Simple","Annual","Annual","Annual")</f>
        <v>QSObject:Swap:w1~swap.2875:16934</v>
      </c>
      <c r="F2877" s="6" t="str">
        <f>_xll.QS.TRADE.CREATE("trade.2875",E2877,A2877,"Receive")</f>
        <v>QSObject:SwapTrade:w1~trade.2875:28964</v>
      </c>
      <c r="G2877" s="3">
        <f>_xll.QS.EVALUATE(C2877,F2877)</f>
        <v>32503.594519036225</v>
      </c>
      <c r="H2877" s="5" t="s">
        <v>2141</v>
      </c>
      <c r="I2877" s="7">
        <v>1287500</v>
      </c>
      <c r="J2877" s="8">
        <v>3.7500000000000012E-2</v>
      </c>
    </row>
    <row r="2878" spans="1:10" x14ac:dyDescent="0.25">
      <c r="A2878" s="5" t="s">
        <v>2129</v>
      </c>
      <c r="B2878" s="5" t="s">
        <v>4745</v>
      </c>
      <c r="C2878" s="6" t="str">
        <f>_xll.QS.CONTEXT.CREATE("market.2876",A2878,"USD","SOFR")</f>
        <v>QSObject:PricingContext:w1~market.2876:16933</v>
      </c>
      <c r="D2878" s="6" t="str">
        <f>_xll.QS.CONTEXT.ADD.CURVE(C2878,"SOFR",$K$2:$K$7,$L$2:$L$7,,,"Actual360","LogLinear",TRUE)</f>
        <v>QSObject:ContextInput:w1~input.qs_context_add_curve.2359132437744.2877.3.0:37652</v>
      </c>
      <c r="E2878" s="6" t="str">
        <f>_xll.QS.INSTRUMENT.SWAP("swap.2876",H2878,B2878,"USD","SOFR",I2878,J2878,0,"Actual360","Simple","Annual","Annual","Annual")</f>
        <v>QSObject:Swap:w1~swap.2876:16932</v>
      </c>
      <c r="F2878" s="6" t="str">
        <f>_xll.QS.TRADE.CREATE("trade.2876",E2878,A2878,"Receive")</f>
        <v>QSObject:SwapTrade:w1~trade.2876:28963</v>
      </c>
      <c r="G2878" s="3">
        <f>_xll.QS.EVALUATE(C2878,F2878)</f>
        <v>33004.347536792862</v>
      </c>
      <c r="H2878" s="5" t="s">
        <v>2143</v>
      </c>
      <c r="I2878" s="7">
        <v>1287600</v>
      </c>
      <c r="J2878" s="8">
        <v>3.7600000000000001E-2</v>
      </c>
    </row>
    <row r="2879" spans="1:10" x14ac:dyDescent="0.25">
      <c r="A2879" s="5" t="s">
        <v>2131</v>
      </c>
      <c r="B2879" s="5" t="s">
        <v>4746</v>
      </c>
      <c r="C2879" s="6" t="str">
        <f>_xll.QS.CONTEXT.CREATE("market.2877",A2879,"USD","SOFR")</f>
        <v>QSObject:PricingContext:w1~market.2877:16931</v>
      </c>
      <c r="D2879" s="6" t="str">
        <f>_xll.QS.CONTEXT.ADD.CURVE(C2879,"SOFR",$K$2:$K$7,$L$2:$L$7,,,"Actual360","LogLinear",TRUE)</f>
        <v>QSObject:ContextInput:w1~input.qs_context_add_curve.2359132437744.2878.3.0:37651</v>
      </c>
      <c r="E2879" s="6" t="str">
        <f>_xll.QS.INSTRUMENT.SWAP("swap.2877",H2879,B2879,"USD","SOFR",I2879,J2879,0,"Actual360","Simple","Annual","Annual","Annual")</f>
        <v>QSObject:Swap:w1~swap.2877:16930</v>
      </c>
      <c r="F2879" s="6" t="str">
        <f>_xll.QS.TRADE.CREATE("trade.2877",E2879,A2879,"Receive")</f>
        <v>QSObject:SwapTrade:w1~trade.2877:28962</v>
      </c>
      <c r="G2879" s="3">
        <f>_xll.QS.EVALUATE(C2879,F2879)</f>
        <v>33655.23540877756</v>
      </c>
      <c r="H2879" s="5" t="s">
        <v>2145</v>
      </c>
      <c r="I2879" s="7">
        <v>1287700</v>
      </c>
      <c r="J2879" s="8">
        <v>3.7699999999999997E-2</v>
      </c>
    </row>
    <row r="2880" spans="1:10" x14ac:dyDescent="0.25">
      <c r="A2880" s="5" t="s">
        <v>2133</v>
      </c>
      <c r="B2880" s="5" t="s">
        <v>4747</v>
      </c>
      <c r="C2880" s="6" t="str">
        <f>_xll.QS.CONTEXT.CREATE("market.2878",A2880,"USD","SOFR")</f>
        <v>QSObject:PricingContext:w1~market.2878:16929</v>
      </c>
      <c r="D2880" s="6" t="str">
        <f>_xll.QS.CONTEXT.ADD.CURVE(C2880,"SOFR",$K$2:$K$7,$L$2:$L$7,,,"Actual360","LogLinear",TRUE)</f>
        <v>QSObject:ContextInput:w1~input.qs_context_add_curve.2359132437744.2879.3.0:37650</v>
      </c>
      <c r="E2880" s="6" t="str">
        <f>_xll.QS.INSTRUMENT.SWAP("swap.2878",H2880,B2880,"USD","SOFR",I2880,J2880,0,"Actual360","Simple","Annual","Annual","Annual")</f>
        <v>QSObject:Swap:w1~swap.2878:16928</v>
      </c>
      <c r="F2880" s="6" t="str">
        <f>_xll.QS.TRADE.CREATE("trade.2878",E2880,A2880,"Receive")</f>
        <v>QSObject:SwapTrade:w1~trade.2878:28961</v>
      </c>
      <c r="G2880" s="3">
        <f>_xll.QS.EVALUATE(C2880,F2880)</f>
        <v>34284.3409251298</v>
      </c>
      <c r="H2880" s="5" t="s">
        <v>2147</v>
      </c>
      <c r="I2880" s="7">
        <v>1287800</v>
      </c>
      <c r="J2880" s="8">
        <v>3.78E-2</v>
      </c>
    </row>
    <row r="2881" spans="1:10" x14ac:dyDescent="0.25">
      <c r="A2881" s="5" t="s">
        <v>2135</v>
      </c>
      <c r="B2881" s="5" t="s">
        <v>4748</v>
      </c>
      <c r="C2881" s="6" t="str">
        <f>_xll.QS.CONTEXT.CREATE("market.2879",A2881,"USD","SOFR")</f>
        <v>QSObject:PricingContext:w1~market.2879:16927</v>
      </c>
      <c r="D2881" s="6" t="str">
        <f>_xll.QS.CONTEXT.ADD.CURVE(C2881,"SOFR",$K$2:$K$7,$L$2:$L$7,,,"Actual360","LogLinear",TRUE)</f>
        <v>QSObject:ContextInput:w1~input.qs_context_add_curve.2359132437744.2880.3.0:37649</v>
      </c>
      <c r="E2881" s="6" t="str">
        <f>_xll.QS.INSTRUMENT.SWAP("swap.2879",H2881,B2881,"USD","SOFR",I2881,J2881,0,"Actual360","Simple","Annual","Annual","Annual")</f>
        <v>QSObject:Swap:w1~swap.2879:16926</v>
      </c>
      <c r="F2881" s="6" t="str">
        <f>_xll.QS.TRADE.CREATE("trade.2879",E2881,A2881,"Receive")</f>
        <v>QSObject:SwapTrade:w1~trade.2879:28960</v>
      </c>
      <c r="G2881" s="3">
        <f>_xll.QS.EVALUATE(C2881,F2881)</f>
        <v>34975.231458720074</v>
      </c>
      <c r="H2881" s="5" t="s">
        <v>2149</v>
      </c>
      <c r="I2881" s="7">
        <v>1287900</v>
      </c>
      <c r="J2881" s="8">
        <v>3.7900000000000003E-2</v>
      </c>
    </row>
    <row r="2882" spans="1:10" x14ac:dyDescent="0.25">
      <c r="A2882" s="5" t="s">
        <v>2137</v>
      </c>
      <c r="B2882" s="5" t="s">
        <v>4749</v>
      </c>
      <c r="C2882" s="6" t="str">
        <f>_xll.QS.CONTEXT.CREATE("market.2880",A2882,"USD","SOFR")</f>
        <v>QSObject:PricingContext:w1~market.2880:16925</v>
      </c>
      <c r="D2882" s="6" t="str">
        <f>_xll.QS.CONTEXT.ADD.CURVE(C2882,"SOFR",$K$2:$K$7,$L$2:$L$7,,,"Actual360","LogLinear",TRUE)</f>
        <v>QSObject:ContextInput:w1~input.qs_context_add_curve.2359132437744.2881.3.0:37648</v>
      </c>
      <c r="E2882" s="6" t="str">
        <f>_xll.QS.INSTRUMENT.SWAP("swap.2880",H2882,B2882,"USD","SOFR",I2882,J2882,0,"Actual360","Simple","Annual","Annual","Annual")</f>
        <v>QSObject:Swap:w1~swap.2880:16924</v>
      </c>
      <c r="F2882" s="6" t="str">
        <f>_xll.QS.TRADE.CREATE("trade.2880",E2882,A2882,"Receive")</f>
        <v>QSObject:SwapTrade:w1~trade.2880:28959</v>
      </c>
      <c r="G2882" s="3">
        <f>_xll.QS.EVALUATE(C2882,F2882)</f>
        <v>35605.267692817491</v>
      </c>
      <c r="H2882" s="5" t="s">
        <v>2151</v>
      </c>
      <c r="I2882" s="7">
        <v>1288000</v>
      </c>
      <c r="J2882" s="8">
        <v>3.8000000000000013E-2</v>
      </c>
    </row>
    <row r="2883" spans="1:10" x14ac:dyDescent="0.25">
      <c r="A2883" s="5" t="s">
        <v>2139</v>
      </c>
      <c r="B2883" s="5" t="s">
        <v>4750</v>
      </c>
      <c r="C2883" s="6" t="str">
        <f>_xll.QS.CONTEXT.CREATE("market.2881",A2883,"USD","SOFR")</f>
        <v>QSObject:PricingContext:w1~market.2881:16923</v>
      </c>
      <c r="D2883" s="6" t="str">
        <f>_xll.QS.CONTEXT.ADD.CURVE(C2883,"SOFR",$K$2:$K$7,$L$2:$L$7,,,"Actual360","LogLinear",TRUE)</f>
        <v>QSObject:ContextInput:w1~input.qs_context_add_curve.2359132437744.2882.3.0:37647</v>
      </c>
      <c r="E2883" s="6" t="str">
        <f>_xll.QS.INSTRUMENT.SWAP("swap.2881",H2883,B2883,"USD","SOFR",I2883,J2883,0,"Actual360","Simple","Annual","Annual","Annual")</f>
        <v>QSObject:Swap:w1~swap.2881:16922</v>
      </c>
      <c r="F2883" s="6" t="str">
        <f>_xll.QS.TRADE.CREATE("trade.2881",E2883,A2883,"Receive")</f>
        <v>QSObject:SwapTrade:w1~trade.2881:28958</v>
      </c>
      <c r="G2883" s="3">
        <f>_xll.QS.EVALUATE(C2883,F2883)</f>
        <v>36145.725981215204</v>
      </c>
      <c r="H2883" s="5" t="s">
        <v>2153</v>
      </c>
      <c r="I2883" s="7">
        <v>1288100</v>
      </c>
      <c r="J2883" s="8">
        <v>3.8100000000000002E-2</v>
      </c>
    </row>
    <row r="2884" spans="1:10" x14ac:dyDescent="0.25">
      <c r="A2884" s="5" t="s">
        <v>2141</v>
      </c>
      <c r="B2884" s="5" t="s">
        <v>4751</v>
      </c>
      <c r="C2884" s="6" t="str">
        <f>_xll.QS.CONTEXT.CREATE("market.2882",A2884,"USD","SOFR")</f>
        <v>QSObject:PricingContext:w1~market.2882:16921</v>
      </c>
      <c r="D2884" s="6" t="str">
        <f>_xll.QS.CONTEXT.ADD.CURVE(C2884,"SOFR",$K$2:$K$7,$L$2:$L$7,,,"Actual360","LogLinear",TRUE)</f>
        <v>QSObject:ContextInput:w1~input.qs_context_add_curve.2359132437744.2883.3.0:37646</v>
      </c>
      <c r="E2884" s="6" t="str">
        <f>_xll.QS.INSTRUMENT.SWAP("swap.2882",H2884,B2884,"USD","SOFR",I2884,J2884,0,"Actual360","Simple","Annual","Annual","Annual")</f>
        <v>QSObject:Swap:w1~swap.2882:16920</v>
      </c>
      <c r="F2884" s="6" t="str">
        <f>_xll.QS.TRADE.CREATE("trade.2882",E2884,A2884,"Receive")</f>
        <v>QSObject:SwapTrade:w1~trade.2882:28957</v>
      </c>
      <c r="G2884" s="3">
        <f>_xll.QS.EVALUATE(C2884,F2884)</f>
        <v>36745.866337106847</v>
      </c>
      <c r="H2884" s="5" t="s">
        <v>2155</v>
      </c>
      <c r="I2884" s="7">
        <v>1288200</v>
      </c>
      <c r="J2884" s="8">
        <v>3.8199999999999998E-2</v>
      </c>
    </row>
    <row r="2885" spans="1:10" x14ac:dyDescent="0.25">
      <c r="A2885" s="5" t="s">
        <v>2143</v>
      </c>
      <c r="B2885" s="5" t="s">
        <v>4752</v>
      </c>
      <c r="C2885" s="6" t="str">
        <f>_xll.QS.CONTEXT.CREATE("market.2883",A2885,"USD","SOFR")</f>
        <v>QSObject:PricingContext:w1~market.2883:16919</v>
      </c>
      <c r="D2885" s="6" t="str">
        <f>_xll.QS.CONTEXT.ADD.CURVE(C2885,"SOFR",$K$2:$K$7,$L$2:$L$7,,,"Actual360","LogLinear",TRUE)</f>
        <v>QSObject:ContextInput:w1~input.qs_context_add_curve.2359132437744.2884.3.0:37645</v>
      </c>
      <c r="E2885" s="6" t="str">
        <f>_xll.QS.INSTRUMENT.SWAP("swap.2883",H2885,B2885,"USD","SOFR",I2885,J2885,0,"Actual360","Simple","Annual","Annual","Annual")</f>
        <v>QSObject:Swap:w1~swap.2883:16918</v>
      </c>
      <c r="F2885" s="6" t="str">
        <f>_xll.QS.TRADE.CREATE("trade.2883",E2885,A2885,"Receive")</f>
        <v>QSObject:SwapTrade:w1~trade.2883:28956</v>
      </c>
      <c r="G2885" s="3">
        <f>_xll.QS.EVALUATE(C2885,F2885)</f>
        <v>37346.002434586306</v>
      </c>
      <c r="H2885" s="5" t="s">
        <v>2157</v>
      </c>
      <c r="I2885" s="7">
        <v>1288300</v>
      </c>
      <c r="J2885" s="8">
        <v>3.8300000000000001E-2</v>
      </c>
    </row>
    <row r="2886" spans="1:10" x14ac:dyDescent="0.25">
      <c r="A2886" s="5" t="s">
        <v>2145</v>
      </c>
      <c r="B2886" s="5" t="s">
        <v>4753</v>
      </c>
      <c r="C2886" s="6" t="str">
        <f>_xll.QS.CONTEXT.CREATE("market.2884",A2886,"USD","SOFR")</f>
        <v>QSObject:PricingContext:w1~market.2884:16917</v>
      </c>
      <c r="D2886" s="6" t="str">
        <f>_xll.QS.CONTEXT.ADD.CURVE(C2886,"SOFR",$K$2:$K$7,$L$2:$L$7,,,"Actual360","LogLinear",TRUE)</f>
        <v>QSObject:ContextInput:w1~input.qs_context_add_curve.2359132437744.2885.3.0:37644</v>
      </c>
      <c r="E2886" s="6" t="str">
        <f>_xll.QS.INSTRUMENT.SWAP("swap.2884",H2886,B2886,"USD","SOFR",I2886,J2886,0,"Actual360","Simple","Annual","Annual","Annual")</f>
        <v>QSObject:Swap:w1~swap.2884:16916</v>
      </c>
      <c r="F2886" s="6" t="str">
        <f>_xll.QS.TRADE.CREATE("trade.2884",E2886,A2886,"Receive")</f>
        <v>QSObject:SwapTrade:w1~trade.2884:28955</v>
      </c>
      <c r="G2886" s="3">
        <f>_xll.QS.EVALUATE(C2886,F2886)</f>
        <v>37881.919358379098</v>
      </c>
      <c r="H2886" s="5" t="s">
        <v>2159</v>
      </c>
      <c r="I2886" s="7">
        <v>1288400</v>
      </c>
      <c r="J2886" s="8">
        <v>3.8399999999999997E-2</v>
      </c>
    </row>
    <row r="2887" spans="1:10" x14ac:dyDescent="0.25">
      <c r="A2887" s="5" t="s">
        <v>2147</v>
      </c>
      <c r="B2887" s="5" t="s">
        <v>4754</v>
      </c>
      <c r="C2887" s="6" t="str">
        <f>_xll.QS.CONTEXT.CREATE("market.2885",A2887,"USD","SOFR")</f>
        <v>QSObject:PricingContext:w1~market.2885:16915</v>
      </c>
      <c r="D2887" s="6" t="str">
        <f>_xll.QS.CONTEXT.ADD.CURVE(C2887,"SOFR",$K$2:$K$7,$L$2:$L$7,,,"Actual360","LogLinear",TRUE)</f>
        <v>QSObject:ContextInput:w1~input.qs_context_add_curve.2359132437744.2886.3.0:37643</v>
      </c>
      <c r="E2887" s="6" t="str">
        <f>_xll.QS.INSTRUMENT.SWAP("swap.2885",H2887,B2887,"USD","SOFR",I2887,J2887,0,"Actual360","Simple","Annual","Annual","Annual")</f>
        <v>QSObject:Swap:w1~swap.2885:16914</v>
      </c>
      <c r="F2887" s="6" t="str">
        <f>_xll.QS.TRADE.CREATE("trade.2885",E2887,A2887,"Receive")</f>
        <v>QSObject:SwapTrade:w1~trade.2885:28954</v>
      </c>
      <c r="G2887" s="3">
        <f>_xll.QS.EVALUATE(C2887,F2887)</f>
        <v>38609.678602321517</v>
      </c>
      <c r="H2887" s="5" t="s">
        <v>2161</v>
      </c>
      <c r="I2887" s="7">
        <v>1288500</v>
      </c>
      <c r="J2887" s="8">
        <v>3.8500000000000013E-2</v>
      </c>
    </row>
    <row r="2888" spans="1:10" x14ac:dyDescent="0.25">
      <c r="A2888" s="5" t="s">
        <v>2149</v>
      </c>
      <c r="B2888" s="5" t="s">
        <v>4755</v>
      </c>
      <c r="C2888" s="6" t="str">
        <f>_xll.QS.CONTEXT.CREATE("market.2886",A2888,"USD","SOFR")</f>
        <v>QSObject:PricingContext:w1~market.2886:16913</v>
      </c>
      <c r="D2888" s="6" t="str">
        <f>_xll.QS.CONTEXT.ADD.CURVE(C2888,"SOFR",$K$2:$K$7,$L$2:$L$7,,,"Actual360","LogLinear",TRUE)</f>
        <v>QSObject:ContextInput:w1~input.qs_context_add_curve.2359132437744.2887.3.0:37642</v>
      </c>
      <c r="E2888" s="6" t="str">
        <f>_xll.QS.INSTRUMENT.SWAP("swap.2886",H2888,B2888,"USD","SOFR",I2888,J2888,0,"Actual360","Simple","Annual","Annual","Annual")</f>
        <v>QSObject:Swap:w1~swap.2886:16912</v>
      </c>
      <c r="F2888" s="6" t="str">
        <f>_xll.QS.TRADE.CREATE("trade.2886",E2888,A2888,"Receive")</f>
        <v>QSObject:SwapTrade:w1~trade.2886:28953</v>
      </c>
      <c r="G2888" s="3">
        <f>_xll.QS.EVALUATE(C2888,F2888)</f>
        <v>39214.026080397358</v>
      </c>
      <c r="H2888" s="5" t="s">
        <v>2163</v>
      </c>
      <c r="I2888" s="7">
        <v>1288600</v>
      </c>
      <c r="J2888" s="8">
        <v>3.8600000000000002E-2</v>
      </c>
    </row>
    <row r="2889" spans="1:10" x14ac:dyDescent="0.25">
      <c r="A2889" s="5" t="s">
        <v>2151</v>
      </c>
      <c r="B2889" s="5" t="s">
        <v>4756</v>
      </c>
      <c r="C2889" s="6" t="str">
        <f>_xll.QS.CONTEXT.CREATE("market.2887",A2889,"USD","SOFR")</f>
        <v>QSObject:PricingContext:w1~market.2887:16911</v>
      </c>
      <c r="D2889" s="6" t="str">
        <f>_xll.QS.CONTEXT.ADD.CURVE(C2889,"SOFR",$K$2:$K$7,$L$2:$L$7,,,"Actual360","LogLinear",TRUE)</f>
        <v>QSObject:ContextInput:w1~input.qs_context_add_curve.2359132437744.2888.3.0:37641</v>
      </c>
      <c r="E2889" s="6" t="str">
        <f>_xll.QS.INSTRUMENT.SWAP("swap.2887",H2889,B2889,"USD","SOFR",I2889,J2889,0,"Actual360","Simple","Annual","Annual","Annual")</f>
        <v>QSObject:Swap:w1~swap.2887:16910</v>
      </c>
      <c r="F2889" s="6" t="str">
        <f>_xll.QS.TRADE.CREATE("trade.2887",E2889,A2889,"Receive")</f>
        <v>QSObject:SwapTrade:w1~trade.2887:28952</v>
      </c>
      <c r="G2889" s="3">
        <f>_xll.QS.EVALUATE(C2889,F2889)</f>
        <v>39807.577888266387</v>
      </c>
      <c r="H2889" s="5" t="s">
        <v>2165</v>
      </c>
      <c r="I2889" s="7">
        <v>1288700</v>
      </c>
      <c r="J2889" s="8">
        <v>3.8700000000000012E-2</v>
      </c>
    </row>
    <row r="2890" spans="1:10" x14ac:dyDescent="0.25">
      <c r="A2890" s="5" t="s">
        <v>2153</v>
      </c>
      <c r="B2890" s="5" t="s">
        <v>4757</v>
      </c>
      <c r="C2890" s="6" t="str">
        <f>_xll.QS.CONTEXT.CREATE("market.2888",A2890,"USD","SOFR")</f>
        <v>QSObject:PricingContext:w1~market.2888:16909</v>
      </c>
      <c r="D2890" s="6" t="str">
        <f>_xll.QS.CONTEXT.ADD.CURVE(C2890,"SOFR",$K$2:$K$7,$L$2:$L$7,,,"Actual360","LogLinear",TRUE)</f>
        <v>QSObject:ContextInput:w1~input.qs_context_add_curve.2359132437744.2889.3.0:37640</v>
      </c>
      <c r="E2890" s="6" t="str">
        <f>_xll.QS.INSTRUMENT.SWAP("swap.2888",H2890,B2890,"USD","SOFR",I2890,J2890,0,"Actual360","Simple","Annual","Annual","Annual")</f>
        <v>QSObject:Swap:w1~swap.2888:16908</v>
      </c>
      <c r="F2890" s="6" t="str">
        <f>_xll.QS.TRADE.CREATE("trade.2888",E2890,A2890,"Receive")</f>
        <v>QSObject:SwapTrade:w1~trade.2888:28951</v>
      </c>
      <c r="G2890" s="3">
        <f>_xll.QS.EVALUATE(C2890,F2890)</f>
        <v>40355.33563977958</v>
      </c>
      <c r="H2890" s="5" t="s">
        <v>2167</v>
      </c>
      <c r="I2890" s="7">
        <v>1288800</v>
      </c>
      <c r="J2890" s="8">
        <v>3.8800000000000001E-2</v>
      </c>
    </row>
    <row r="2891" spans="1:10" x14ac:dyDescent="0.25">
      <c r="A2891" s="5" t="s">
        <v>2155</v>
      </c>
      <c r="B2891" s="5" t="s">
        <v>4758</v>
      </c>
      <c r="C2891" s="6" t="str">
        <f>_xll.QS.CONTEXT.CREATE("market.2889",A2891,"USD","SOFR")</f>
        <v>QSObject:PricingContext:w1~market.2889:16907</v>
      </c>
      <c r="D2891" s="6" t="str">
        <f>_xll.QS.CONTEXT.ADD.CURVE(C2891,"SOFR",$K$2:$K$7,$L$2:$L$7,,,"Actual360","LogLinear",TRUE)</f>
        <v>QSObject:ContextInput:w1~input.qs_context_add_curve.2359132437744.2890.3.0:37639</v>
      </c>
      <c r="E2891" s="6" t="str">
        <f>_xll.QS.INSTRUMENT.SWAP("swap.2889",H2891,B2891,"USD","SOFR",I2891,J2891,0,"Actual360","Simple","Annual","Annual","Annual")</f>
        <v>QSObject:Swap:w1~swap.2889:16906</v>
      </c>
      <c r="F2891" s="6" t="str">
        <f>_xll.QS.TRADE.CREATE("trade.2889",E2891,A2891,"Receive")</f>
        <v>QSObject:SwapTrade:w1~trade.2889:28950</v>
      </c>
      <c r="G2891" s="3">
        <f>_xll.QS.EVALUATE(C2891,F2891)</f>
        <v>40850.270107105905</v>
      </c>
      <c r="H2891" s="5" t="s">
        <v>2169</v>
      </c>
      <c r="I2891" s="7">
        <v>1288900</v>
      </c>
      <c r="J2891" s="8">
        <v>3.8899999999999997E-2</v>
      </c>
    </row>
    <row r="2892" spans="1:10" x14ac:dyDescent="0.25">
      <c r="A2892" s="5" t="s">
        <v>2157</v>
      </c>
      <c r="B2892" s="5" t="s">
        <v>4759</v>
      </c>
      <c r="C2892" s="6" t="str">
        <f>_xll.QS.CONTEXT.CREATE("market.2890",A2892,"USD","SOFR")</f>
        <v>QSObject:PricingContext:w1~market.2890:16905</v>
      </c>
      <c r="D2892" s="6" t="str">
        <f>_xll.QS.CONTEXT.ADD.CURVE(C2892,"SOFR",$K$2:$K$7,$L$2:$L$7,,,"Actual360","LogLinear",TRUE)</f>
        <v>QSObject:ContextInput:w1~input.qs_context_add_curve.2359132437744.2891.3.0:37638</v>
      </c>
      <c r="E2892" s="6" t="str">
        <f>_xll.QS.INSTRUMENT.SWAP("swap.2890",H2892,B2892,"USD","SOFR",I2892,J2892,0,"Actual360","Simple","Annual","Annual","Annual")</f>
        <v>QSObject:Swap:w1~swap.2890:16904</v>
      </c>
      <c r="F2892" s="6" t="str">
        <f>_xll.QS.TRADE.CREATE("trade.2890",E2892,A2892,"Receive")</f>
        <v>QSObject:SwapTrade:w1~trade.2890:28949</v>
      </c>
      <c r="G2892" s="3">
        <f>_xll.QS.EVALUATE(C2892,F2892)</f>
        <v>41365.133749220506</v>
      </c>
      <c r="H2892" s="5" t="s">
        <v>2171</v>
      </c>
      <c r="I2892" s="7">
        <v>1289000</v>
      </c>
      <c r="J2892" s="8">
        <v>3.9000000000000007E-2</v>
      </c>
    </row>
    <row r="2893" spans="1:10" x14ac:dyDescent="0.25">
      <c r="A2893" s="5" t="s">
        <v>2159</v>
      </c>
      <c r="B2893" s="5" t="s">
        <v>4760</v>
      </c>
      <c r="C2893" s="6" t="str">
        <f>_xll.QS.CONTEXT.CREATE("market.2891",A2893,"USD","SOFR")</f>
        <v>QSObject:PricingContext:w1~market.2891:16903</v>
      </c>
      <c r="D2893" s="6" t="str">
        <f>_xll.QS.CONTEXT.ADD.CURVE(C2893,"SOFR",$K$2:$K$7,$L$2:$L$7,,,"Actual360","LogLinear",TRUE)</f>
        <v>QSObject:ContextInput:w1~input.qs_context_add_curve.2359132437744.2892.3.0:37637</v>
      </c>
      <c r="E2893" s="6" t="str">
        <f>_xll.QS.INSTRUMENT.SWAP("swap.2891",H2893,B2893,"USD","SOFR",I2893,J2893,0,"Actual360","Simple","Annual","Annual","Annual")</f>
        <v>QSObject:Swap:w1~swap.2891:16902</v>
      </c>
      <c r="F2893" s="6" t="str">
        <f>_xll.QS.TRADE.CREATE("trade.2891",E2893,A2893,"Receive")</f>
        <v>QSObject:SwapTrade:w1~trade.2891:28948</v>
      </c>
      <c r="G2893" s="3">
        <f>_xll.QS.EVALUATE(C2893,F2893)</f>
        <v>42018.09593576716</v>
      </c>
      <c r="H2893" s="5" t="s">
        <v>2173</v>
      </c>
      <c r="I2893" s="7">
        <v>1289100</v>
      </c>
      <c r="J2893" s="8">
        <v>3.9100000000000003E-2</v>
      </c>
    </row>
    <row r="2894" spans="1:10" x14ac:dyDescent="0.25">
      <c r="A2894" s="5" t="s">
        <v>2161</v>
      </c>
      <c r="B2894" s="5" t="s">
        <v>4761</v>
      </c>
      <c r="C2894" s="6" t="str">
        <f>_xll.QS.CONTEXT.CREATE("market.2892",A2894,"USD","SOFR")</f>
        <v>QSObject:PricingContext:w1~market.2892:16901</v>
      </c>
      <c r="D2894" s="6" t="str">
        <f>_xll.QS.CONTEXT.ADD.CURVE(C2894,"SOFR",$K$2:$K$7,$L$2:$L$7,,,"Actual360","LogLinear",TRUE)</f>
        <v>QSObject:ContextInput:w1~input.qs_context_add_curve.2359132437744.2893.3.0:37636</v>
      </c>
      <c r="E2894" s="6" t="str">
        <f>_xll.QS.INSTRUMENT.SWAP("swap.2892",H2894,B2894,"USD","SOFR",I2894,J2894,0,"Actual360","Simple","Annual","Annual","Annual")</f>
        <v>QSObject:Swap:w1~swap.2892:16900</v>
      </c>
      <c r="F2894" s="6" t="str">
        <f>_xll.QS.TRADE.CREATE("trade.2892",E2894,A2894,"Receive")</f>
        <v>QSObject:SwapTrade:w1~trade.2892:28947</v>
      </c>
      <c r="G2894" s="3">
        <f>_xll.QS.EVALUATE(C2894,F2894)</f>
        <v>42644.527374876772</v>
      </c>
      <c r="H2894" s="5" t="s">
        <v>2175</v>
      </c>
      <c r="I2894" s="7">
        <v>1289200</v>
      </c>
      <c r="J2894" s="8">
        <v>3.9200000000000013E-2</v>
      </c>
    </row>
    <row r="2895" spans="1:10" x14ac:dyDescent="0.25">
      <c r="A2895" s="5" t="s">
        <v>2163</v>
      </c>
      <c r="B2895" s="5" t="s">
        <v>4762</v>
      </c>
      <c r="C2895" s="6" t="str">
        <f>_xll.QS.CONTEXT.CREATE("market.2893",A2895,"USD","SOFR")</f>
        <v>QSObject:PricingContext:w1~market.2893:16899</v>
      </c>
      <c r="D2895" s="6" t="str">
        <f>_xll.QS.CONTEXT.ADD.CURVE(C2895,"SOFR",$K$2:$K$7,$L$2:$L$7,,,"Actual360","LogLinear",TRUE)</f>
        <v>QSObject:ContextInput:w1~input.qs_context_add_curve.2359132437744.2894.3.0:37635</v>
      </c>
      <c r="E2895" s="6" t="str">
        <f>_xll.QS.INSTRUMENT.SWAP("swap.2893",H2895,B2895,"USD","SOFR",I2895,J2895,0,"Actual360","Simple","Annual","Annual","Annual")</f>
        <v>QSObject:Swap:w1~swap.2893:16898</v>
      </c>
      <c r="F2895" s="6" t="str">
        <f>_xll.QS.TRADE.CREATE("trade.2893",E2895,A2895,"Receive")</f>
        <v>QSObject:SwapTrade:w1~trade.2893:28946</v>
      </c>
      <c r="G2895" s="3">
        <f>_xll.QS.EVALUATE(C2895,F2895)</f>
        <v>43336.983896087346</v>
      </c>
      <c r="H2895" s="5" t="s">
        <v>2177</v>
      </c>
      <c r="I2895" s="7">
        <v>1289300</v>
      </c>
      <c r="J2895" s="8">
        <v>3.9300000000000002E-2</v>
      </c>
    </row>
    <row r="2896" spans="1:10" x14ac:dyDescent="0.25">
      <c r="A2896" s="5" t="s">
        <v>2165</v>
      </c>
      <c r="B2896" s="5" t="s">
        <v>4763</v>
      </c>
      <c r="C2896" s="6" t="str">
        <f>_xll.QS.CONTEXT.CREATE("market.2894",A2896,"USD","SOFR")</f>
        <v>QSObject:PricingContext:w1~market.2894:16897</v>
      </c>
      <c r="D2896" s="6" t="str">
        <f>_xll.QS.CONTEXT.ADD.CURVE(C2896,"SOFR",$K$2:$K$7,$L$2:$L$7,,,"Actual360","LogLinear",TRUE)</f>
        <v>QSObject:ContextInput:w1~input.qs_context_add_curve.2359132437744.2895.3.0:37634</v>
      </c>
      <c r="E2896" s="6" t="str">
        <f>_xll.QS.INSTRUMENT.SWAP("swap.2894",H2896,B2896,"USD","SOFR",I2896,J2896,0,"Actual360","Simple","Annual","Annual","Annual")</f>
        <v>QSObject:Swap:w1~swap.2894:16896</v>
      </c>
      <c r="F2896" s="6" t="str">
        <f>_xll.QS.TRADE.CREATE("trade.2894",E2896,A2896,"Receive")</f>
        <v>QSObject:SwapTrade:w1~trade.2894:28945</v>
      </c>
      <c r="G2896" s="3">
        <f>_xll.QS.EVALUATE(C2896,F2896)</f>
        <v>43991.39592945054</v>
      </c>
      <c r="H2896" s="5" t="s">
        <v>2179</v>
      </c>
      <c r="I2896" s="7">
        <v>1289400</v>
      </c>
      <c r="J2896" s="8">
        <v>3.9399999999999998E-2</v>
      </c>
    </row>
    <row r="2897" spans="1:10" x14ac:dyDescent="0.25">
      <c r="A2897" s="5" t="s">
        <v>2167</v>
      </c>
      <c r="B2897" s="5" t="s">
        <v>4764</v>
      </c>
      <c r="C2897" s="6" t="str">
        <f>_xll.QS.CONTEXT.CREATE("market.2895",A2897,"USD","SOFR")</f>
        <v>QSObject:PricingContext:w1~market.2895:16895</v>
      </c>
      <c r="D2897" s="6" t="str">
        <f>_xll.QS.CONTEXT.ADD.CURVE(C2897,"SOFR",$K$2:$K$7,$L$2:$L$7,,,"Actual360","LogLinear",TRUE)</f>
        <v>QSObject:ContextInput:w1~input.qs_context_add_curve.2359132437744.2896.3.0:37633</v>
      </c>
      <c r="E2897" s="6" t="str">
        <f>_xll.QS.INSTRUMENT.SWAP("swap.2895",H2897,B2897,"USD","SOFR",I2897,J2897,0,"Actual360","Simple","Annual","Annual","Annual")</f>
        <v>QSObject:Swap:w1~swap.2895:16894</v>
      </c>
      <c r="F2897" s="6" t="str">
        <f>_xll.QS.TRADE.CREATE("trade.2895",E2897,A2897,"Receive")</f>
        <v>QSObject:SwapTrade:w1~trade.2895:28944</v>
      </c>
      <c r="G2897" s="3">
        <f>_xll.QS.EVALUATE(C2897,F2897)</f>
        <v>44539.726586221761</v>
      </c>
      <c r="H2897" s="5" t="s">
        <v>2181</v>
      </c>
      <c r="I2897" s="7">
        <v>1289500</v>
      </c>
      <c r="J2897" s="8">
        <v>3.9500000000000007E-2</v>
      </c>
    </row>
    <row r="2898" spans="1:10" x14ac:dyDescent="0.25">
      <c r="A2898" s="5" t="s">
        <v>2169</v>
      </c>
      <c r="B2898" s="5" t="s">
        <v>4765</v>
      </c>
      <c r="C2898" s="6" t="str">
        <f>_xll.QS.CONTEXT.CREATE("market.2896",A2898,"USD","SOFR")</f>
        <v>QSObject:PricingContext:w1~market.2896:16893</v>
      </c>
      <c r="D2898" s="6" t="str">
        <f>_xll.QS.CONTEXT.ADD.CURVE(C2898,"SOFR",$K$2:$K$7,$L$2:$L$7,,,"Actual360","LogLinear",TRUE)</f>
        <v>QSObject:ContextInput:w1~input.qs_context_add_curve.2359132437744.2897.3.0:37632</v>
      </c>
      <c r="E2898" s="6" t="str">
        <f>_xll.QS.INSTRUMENT.SWAP("swap.2896",H2898,B2898,"USD","SOFR",I2898,J2898,0,"Actual360","Simple","Annual","Annual","Annual")</f>
        <v>QSObject:Swap:w1~swap.2896:16892</v>
      </c>
      <c r="F2898" s="6" t="str">
        <f>_xll.QS.TRADE.CREATE("trade.2896",E2898,A2898,"Receive")</f>
        <v>QSObject:SwapTrade:w1~trade.2896:28943</v>
      </c>
      <c r="G2898" s="3">
        <f>_xll.QS.EVALUATE(C2898,F2898)</f>
        <v>45030.348611903952</v>
      </c>
      <c r="H2898" s="5" t="s">
        <v>2183</v>
      </c>
      <c r="I2898" s="7">
        <v>1289600</v>
      </c>
      <c r="J2898" s="8">
        <v>3.9600000000000003E-2</v>
      </c>
    </row>
    <row r="2899" spans="1:10" x14ac:dyDescent="0.25">
      <c r="A2899" s="5" t="s">
        <v>2171</v>
      </c>
      <c r="B2899" s="5" t="s">
        <v>4766</v>
      </c>
      <c r="C2899" s="6" t="str">
        <f>_xll.QS.CONTEXT.CREATE("market.2897",A2899,"USD","SOFR")</f>
        <v>QSObject:PricingContext:w1~market.2897:16891</v>
      </c>
      <c r="D2899" s="6" t="str">
        <f>_xll.QS.CONTEXT.ADD.CURVE(C2899,"SOFR",$K$2:$K$7,$L$2:$L$7,,,"Actual360","LogLinear",TRUE)</f>
        <v>QSObject:ContextInput:w1~input.qs_context_add_curve.2359132437744.2898.3.0:37631</v>
      </c>
      <c r="E2899" s="6" t="str">
        <f>_xll.QS.INSTRUMENT.SWAP("swap.2897",H2899,B2899,"USD","SOFR",I2899,J2899,0,"Actual360","Simple","Annual","Annual","Annual")</f>
        <v>QSObject:Swap:w1~swap.2897:16890</v>
      </c>
      <c r="F2899" s="6" t="str">
        <f>_xll.QS.TRADE.CREATE("trade.2897",E2899,A2899,"Receive")</f>
        <v>QSObject:SwapTrade:w1~trade.2897:28942</v>
      </c>
      <c r="G2899" s="3">
        <f>_xll.QS.EVALUATE(C2899,F2899)</f>
        <v>45552.266747491623</v>
      </c>
      <c r="H2899" s="5" t="s">
        <v>2185</v>
      </c>
      <c r="I2899" s="7">
        <v>1289700</v>
      </c>
      <c r="J2899" s="8">
        <v>3.9700000000000013E-2</v>
      </c>
    </row>
    <row r="2900" spans="1:10" x14ac:dyDescent="0.25">
      <c r="A2900" s="5" t="s">
        <v>2173</v>
      </c>
      <c r="B2900" s="5" t="s">
        <v>4767</v>
      </c>
      <c r="C2900" s="6" t="str">
        <f>_xll.QS.CONTEXT.CREATE("market.2898",A2900,"USD","SOFR")</f>
        <v>QSObject:PricingContext:w1~market.2898:16889</v>
      </c>
      <c r="D2900" s="6" t="str">
        <f>_xll.QS.CONTEXT.ADD.CURVE(C2900,"SOFR",$K$2:$K$7,$L$2:$L$7,,,"Actual360","LogLinear",TRUE)</f>
        <v>QSObject:ContextInput:w1~input.qs_context_add_curve.2359132437744.2899.3.0:37630</v>
      </c>
      <c r="E2900" s="6" t="str">
        <f>_xll.QS.INSTRUMENT.SWAP("swap.2898",H2900,B2900,"USD","SOFR",I2900,J2900,0,"Actual360","Simple","Annual","Annual","Annual")</f>
        <v>QSObject:Swap:w1~swap.2898:16888</v>
      </c>
      <c r="F2900" s="6" t="str">
        <f>_xll.QS.TRADE.CREATE("trade.2898",E2900,A2900,"Receive")</f>
        <v>QSObject:SwapTrade:w1~trade.2898:28941</v>
      </c>
      <c r="G2900" s="3">
        <f>_xll.QS.EVALUATE(C2900,F2900)</f>
        <v>46206.3081275359</v>
      </c>
      <c r="H2900" s="5" t="s">
        <v>2187</v>
      </c>
      <c r="I2900" s="7">
        <v>1289800</v>
      </c>
      <c r="J2900" s="8">
        <v>3.9800000000000002E-2</v>
      </c>
    </row>
    <row r="2901" spans="1:10" x14ac:dyDescent="0.25">
      <c r="A2901" s="5" t="s">
        <v>2175</v>
      </c>
      <c r="B2901" s="5" t="s">
        <v>4768</v>
      </c>
      <c r="C2901" s="6" t="str">
        <f>_xll.QS.CONTEXT.CREATE("market.2899",A2901,"USD","SOFR")</f>
        <v>QSObject:PricingContext:w1~market.2899:16887</v>
      </c>
      <c r="D2901" s="6" t="str">
        <f>_xll.QS.CONTEXT.ADD.CURVE(C2901,"SOFR",$K$2:$K$7,$L$2:$L$7,,,"Actual360","LogLinear",TRUE)</f>
        <v>QSObject:ContextInput:w1~input.qs_context_add_curve.2359132437744.2900.3.0:37629</v>
      </c>
      <c r="E2901" s="6" t="str">
        <f>_xll.QS.INSTRUMENT.SWAP("swap.2899",H2901,B2901,"USD","SOFR",I2901,J2901,0,"Actual360","Simple","Annual","Annual","Annual")</f>
        <v>QSObject:Swap:w1~swap.2899:16886</v>
      </c>
      <c r="F2901" s="6" t="str">
        <f>_xll.QS.TRADE.CREATE("trade.2899",E2901,A2901,"Receive")</f>
        <v>QSObject:SwapTrade:w1~trade.2899:28940</v>
      </c>
      <c r="G2901" s="3">
        <f>_xll.QS.EVALUATE(C2901,F2901)</f>
        <v>46831.377734932314</v>
      </c>
      <c r="H2901" s="5" t="s">
        <v>2189</v>
      </c>
      <c r="I2901" s="7">
        <v>1289900</v>
      </c>
      <c r="J2901" s="8">
        <v>3.9899999999999998E-2</v>
      </c>
    </row>
    <row r="2902" spans="1:10" x14ac:dyDescent="0.25">
      <c r="A2902" s="5" t="s">
        <v>2177</v>
      </c>
      <c r="B2902" s="5" t="s">
        <v>4769</v>
      </c>
      <c r="C2902" s="6" t="str">
        <f>_xll.QS.CONTEXT.CREATE("market.2900",A2902,"USD","SOFR")</f>
        <v>QSObject:PricingContext:w1~market.2900:16885</v>
      </c>
      <c r="D2902" s="6" t="str">
        <f>_xll.QS.CONTEXT.ADD.CURVE(C2902,"SOFR",$K$2:$K$7,$L$2:$L$7,,,"Actual360","LogLinear",TRUE)</f>
        <v>QSObject:ContextInput:w1~input.qs_context_add_curve.2359132437744.2901.3.0:37628</v>
      </c>
      <c r="E2902" s="6" t="str">
        <f>_xll.QS.INSTRUMENT.SWAP("swap.2900",H2902,B2902,"USD","SOFR",I2902,J2902,0,"Actual360","Simple","Annual","Annual","Annual")</f>
        <v>QSObject:Swap:w1~swap.2900:16884</v>
      </c>
      <c r="F2902" s="6" t="str">
        <f>_xll.QS.TRADE.CREATE("trade.2900",E2902,A2902,"Receive")</f>
        <v>QSObject:SwapTrade:w1~trade.2900:28939</v>
      </c>
      <c r="G2902" s="3">
        <f>_xll.QS.EVALUATE(C2902,F2902)</f>
        <v>17781.138200957503</v>
      </c>
      <c r="H2902" s="5" t="s">
        <v>2191</v>
      </c>
      <c r="I2902" s="7">
        <v>1290000</v>
      </c>
      <c r="J2902" s="8">
        <v>3.5000000000000003E-2</v>
      </c>
    </row>
    <row r="2903" spans="1:10" x14ac:dyDescent="0.25">
      <c r="A2903" s="5" t="s">
        <v>2179</v>
      </c>
      <c r="B2903" s="5" t="s">
        <v>4770</v>
      </c>
      <c r="C2903" s="6" t="str">
        <f>_xll.QS.CONTEXT.CREATE("market.2901",A2903,"USD","SOFR")</f>
        <v>QSObject:PricingContext:w1~market.2901:16883</v>
      </c>
      <c r="D2903" s="6" t="str">
        <f>_xll.QS.CONTEXT.ADD.CURVE(C2903,"SOFR",$K$2:$K$7,$L$2:$L$7,,,"Actual360","LogLinear",TRUE)</f>
        <v>QSObject:ContextInput:w1~input.qs_context_add_curve.2359132437744.2902.3.0:37627</v>
      </c>
      <c r="E2903" s="6" t="str">
        <f>_xll.QS.INSTRUMENT.SWAP("swap.2901",H2903,B2903,"USD","SOFR",I2903,J2903,0,"Actual360","Simple","Annual","Annual","Annual")</f>
        <v>QSObject:Swap:w1~swap.2901:16882</v>
      </c>
      <c r="F2903" s="6" t="str">
        <f>_xll.QS.TRADE.CREATE("trade.2901",E2903,A2903,"Receive")</f>
        <v>QSObject:SwapTrade:w1~trade.2901:28938</v>
      </c>
      <c r="G2903" s="3">
        <f>_xll.QS.EVALUATE(C2903,F2903)</f>
        <v>18433.627140543453</v>
      </c>
      <c r="H2903" s="5" t="s">
        <v>2193</v>
      </c>
      <c r="I2903" s="7">
        <v>1290100</v>
      </c>
      <c r="J2903" s="8">
        <v>3.5100000000000013E-2</v>
      </c>
    </row>
    <row r="2904" spans="1:10" x14ac:dyDescent="0.25">
      <c r="A2904" s="5" t="s">
        <v>2181</v>
      </c>
      <c r="B2904" s="5" t="s">
        <v>4771</v>
      </c>
      <c r="C2904" s="6" t="str">
        <f>_xll.QS.CONTEXT.CREATE("market.2902",A2904,"USD","SOFR")</f>
        <v>QSObject:PricingContext:w1~market.2902:16881</v>
      </c>
      <c r="D2904" s="6" t="str">
        <f>_xll.QS.CONTEXT.ADD.CURVE(C2904,"SOFR",$K$2:$K$7,$L$2:$L$7,,,"Actual360","LogLinear",TRUE)</f>
        <v>QSObject:ContextInput:w1~input.qs_context_add_curve.2359132437744.2903.3.0:37626</v>
      </c>
      <c r="E2904" s="6" t="str">
        <f>_xll.QS.INSTRUMENT.SWAP("swap.2902",H2904,B2904,"USD","SOFR",I2904,J2904,0,"Actual360","Simple","Annual","Annual","Annual")</f>
        <v>QSObject:Swap:w1~swap.2902:16880</v>
      </c>
      <c r="F2904" s="6" t="str">
        <f>_xll.QS.TRADE.CREATE("trade.2902",E2904,A2904,"Receive")</f>
        <v>QSObject:SwapTrade:w1~trade.2902:28937</v>
      </c>
      <c r="G2904" s="3">
        <f>_xll.QS.EVALUATE(C2904,F2904)</f>
        <v>18980.551734782275</v>
      </c>
      <c r="H2904" s="5" t="s">
        <v>2195</v>
      </c>
      <c r="I2904" s="7">
        <v>1290200</v>
      </c>
      <c r="J2904" s="8">
        <v>3.5200000000000002E-2</v>
      </c>
    </row>
    <row r="2905" spans="1:10" x14ac:dyDescent="0.25">
      <c r="A2905" s="5" t="s">
        <v>2183</v>
      </c>
      <c r="B2905" s="5" t="s">
        <v>4772</v>
      </c>
      <c r="C2905" s="6" t="str">
        <f>_xll.QS.CONTEXT.CREATE("market.2903",A2905,"USD","SOFR")</f>
        <v>QSObject:PricingContext:w1~market.2903:16879</v>
      </c>
      <c r="D2905" s="6" t="str">
        <f>_xll.QS.CONTEXT.ADD.CURVE(C2905,"SOFR",$K$2:$K$7,$L$2:$L$7,,,"Actual360","LogLinear",TRUE)</f>
        <v>QSObject:ContextInput:w1~input.qs_context_add_curve.2359132437744.2904.3.0:37625</v>
      </c>
      <c r="E2905" s="6" t="str">
        <f>_xll.QS.INSTRUMENT.SWAP("swap.2903",H2905,B2905,"USD","SOFR",I2905,J2905,0,"Actual360","Simple","Annual","Annual","Annual")</f>
        <v>QSObject:Swap:w1~swap.2903:16878</v>
      </c>
      <c r="F2905" s="6" t="str">
        <f>_xll.QS.TRADE.CREATE("trade.2903",E2905,A2905,"Receive")</f>
        <v>QSObject:SwapTrade:w1~trade.2903:28936</v>
      </c>
      <c r="G2905" s="3">
        <f>_xll.QS.EVALUATE(C2905,F2905)</f>
        <v>19499.585999531388</v>
      </c>
      <c r="H2905" s="5" t="s">
        <v>2197</v>
      </c>
      <c r="I2905" s="7">
        <v>1290300</v>
      </c>
      <c r="J2905" s="8">
        <v>3.5299999999999998E-2</v>
      </c>
    </row>
    <row r="2906" spans="1:10" x14ac:dyDescent="0.25">
      <c r="A2906" s="5" t="s">
        <v>2185</v>
      </c>
      <c r="B2906" s="5" t="s">
        <v>4773</v>
      </c>
      <c r="C2906" s="6" t="str">
        <f>_xll.QS.CONTEXT.CREATE("market.2904",A2906,"USD","SOFR")</f>
        <v>QSObject:PricingContext:w1~market.2904:16877</v>
      </c>
      <c r="D2906" s="6" t="str">
        <f>_xll.QS.CONTEXT.ADD.CURVE(C2906,"SOFR",$K$2:$K$7,$L$2:$L$7,,,"Actual360","LogLinear",TRUE)</f>
        <v>QSObject:ContextInput:w1~input.qs_context_add_curve.2359132437744.2905.3.0:37624</v>
      </c>
      <c r="E2906" s="6" t="str">
        <f>_xll.QS.INSTRUMENT.SWAP("swap.2904",H2906,B2906,"USD","SOFR",I2906,J2906,0,"Actual360","Simple","Annual","Annual","Annual")</f>
        <v>QSObject:Swap:w1~swap.2904:16876</v>
      </c>
      <c r="F2906" s="6" t="str">
        <f>_xll.QS.TRADE.CREATE("trade.2904",E2906,A2906,"Receive")</f>
        <v>QSObject:SwapTrade:w1~trade.2904:28935</v>
      </c>
      <c r="G2906" s="3">
        <f>_xll.QS.EVALUATE(C2906,F2906)</f>
        <v>19980.136223292451</v>
      </c>
      <c r="H2906" s="5" t="s">
        <v>2199</v>
      </c>
      <c r="I2906" s="7">
        <v>1290400</v>
      </c>
      <c r="J2906" s="8">
        <v>3.5400000000000001E-2</v>
      </c>
    </row>
    <row r="2907" spans="1:10" x14ac:dyDescent="0.25">
      <c r="A2907" s="5" t="s">
        <v>2187</v>
      </c>
      <c r="B2907" s="5" t="s">
        <v>4774</v>
      </c>
      <c r="C2907" s="6" t="str">
        <f>_xll.QS.CONTEXT.CREATE("market.2905",A2907,"USD","SOFR")</f>
        <v>QSObject:PricingContext:w1~market.2905:16875</v>
      </c>
      <c r="D2907" s="6" t="str">
        <f>_xll.QS.CONTEXT.ADD.CURVE(C2907,"SOFR",$K$2:$K$7,$L$2:$L$7,,,"Actual360","LogLinear",TRUE)</f>
        <v>QSObject:ContextInput:w1~input.qs_context_add_curve.2359132437744.2906.3.0:37623</v>
      </c>
      <c r="E2907" s="6" t="str">
        <f>_xll.QS.INSTRUMENT.SWAP("swap.2905",H2907,B2907,"USD","SOFR",I2907,J2907,0,"Actual360","Simple","Annual","Annual","Annual")</f>
        <v>QSObject:Swap:w1~swap.2905:16874</v>
      </c>
      <c r="F2907" s="6" t="str">
        <f>_xll.QS.TRADE.CREATE("trade.2905",E2907,A2907,"Receive")</f>
        <v>QSObject:SwapTrade:w1~trade.2905:28934</v>
      </c>
      <c r="G2907" s="3">
        <f>_xll.QS.EVALUATE(C2907,F2907)</f>
        <v>20630.067326899603</v>
      </c>
      <c r="H2907" s="5" t="s">
        <v>2201</v>
      </c>
      <c r="I2907" s="7">
        <v>1290500</v>
      </c>
      <c r="J2907" s="8">
        <v>3.5499999999999997E-2</v>
      </c>
    </row>
    <row r="2908" spans="1:10" x14ac:dyDescent="0.25">
      <c r="A2908" s="5" t="s">
        <v>2189</v>
      </c>
      <c r="B2908" s="5" t="s">
        <v>4775</v>
      </c>
      <c r="C2908" s="6" t="str">
        <f>_xll.QS.CONTEXT.CREATE("market.2906",A2908,"USD","SOFR")</f>
        <v>QSObject:PricingContext:w1~market.2906:16873</v>
      </c>
      <c r="D2908" s="6" t="str">
        <f>_xll.QS.CONTEXT.ADD.CURVE(C2908,"SOFR",$K$2:$K$7,$L$2:$L$7,,,"Actual360","LogLinear",TRUE)</f>
        <v>QSObject:ContextInput:w1~input.qs_context_add_curve.2359132437744.2907.3.0:37622</v>
      </c>
      <c r="E2908" s="6" t="str">
        <f>_xll.QS.INSTRUMENT.SWAP("swap.2906",H2908,B2908,"USD","SOFR",I2908,J2908,0,"Actual360","Simple","Annual","Annual","Annual")</f>
        <v>QSObject:Swap:w1~swap.2906:16872</v>
      </c>
      <c r="F2908" s="6" t="str">
        <f>_xll.QS.TRADE.CREATE("trade.2906",E2908,A2908,"Receive")</f>
        <v>QSObject:SwapTrade:w1~trade.2906:28933</v>
      </c>
      <c r="G2908" s="3">
        <f>_xll.QS.EVALUATE(C2908,F2908)</f>
        <v>21265.816387924926</v>
      </c>
      <c r="H2908" s="5" t="s">
        <v>2203</v>
      </c>
      <c r="I2908" s="7">
        <v>1290600</v>
      </c>
      <c r="J2908" s="8">
        <v>3.5600000000000007E-2</v>
      </c>
    </row>
    <row r="2909" spans="1:10" x14ac:dyDescent="0.25">
      <c r="A2909" s="5" t="s">
        <v>2191</v>
      </c>
      <c r="B2909" s="5" t="s">
        <v>4776</v>
      </c>
      <c r="C2909" s="6" t="str">
        <f>_xll.QS.CONTEXT.CREATE("market.2907",A2909,"USD","SOFR")</f>
        <v>QSObject:PricingContext:w1~market.2907:16871</v>
      </c>
      <c r="D2909" s="6" t="str">
        <f>_xll.QS.CONTEXT.ADD.CURVE(C2909,"SOFR",$K$2:$K$7,$L$2:$L$7,,,"Actual360","LogLinear",TRUE)</f>
        <v>QSObject:ContextInput:w1~input.qs_context_add_curve.2359132437744.2908.3.0:37621</v>
      </c>
      <c r="E2909" s="6" t="str">
        <f>_xll.QS.INSTRUMENT.SWAP("swap.2907",H2909,B2909,"USD","SOFR",I2909,J2909,0,"Actual360","Simple","Annual","Annual","Annual")</f>
        <v>QSObject:Swap:w1~swap.2907:16870</v>
      </c>
      <c r="F2909" s="6" t="str">
        <f>_xll.QS.TRADE.CREATE("trade.2907",E2909,A2909,"Receive")</f>
        <v>QSObject:SwapTrade:w1~trade.2907:28932</v>
      </c>
      <c r="G2909" s="3">
        <f>_xll.QS.EVALUATE(C2909,F2909)</f>
        <v>21956.848922182115</v>
      </c>
      <c r="H2909" s="5" t="s">
        <v>2205</v>
      </c>
      <c r="I2909" s="7">
        <v>1290700</v>
      </c>
      <c r="J2909" s="8">
        <v>3.5700000000000003E-2</v>
      </c>
    </row>
    <row r="2910" spans="1:10" x14ac:dyDescent="0.25">
      <c r="A2910" s="5" t="s">
        <v>2193</v>
      </c>
      <c r="B2910" s="5" t="s">
        <v>4777</v>
      </c>
      <c r="C2910" s="6" t="str">
        <f>_xll.QS.CONTEXT.CREATE("market.2908",A2910,"USD","SOFR")</f>
        <v>QSObject:PricingContext:w1~market.2908:16869</v>
      </c>
      <c r="D2910" s="6" t="str">
        <f>_xll.QS.CONTEXT.ADD.CURVE(C2910,"SOFR",$K$2:$K$7,$L$2:$L$7,,,"Actual360","LogLinear",TRUE)</f>
        <v>QSObject:ContextInput:w1~input.qs_context_add_curve.2359132437744.2909.3.0:37620</v>
      </c>
      <c r="E2910" s="6" t="str">
        <f>_xll.QS.INSTRUMENT.SWAP("swap.2908",H2910,B2910,"USD","SOFR",I2910,J2910,0,"Actual360","Simple","Annual","Annual","Annual")</f>
        <v>QSObject:Swap:w1~swap.2908:16868</v>
      </c>
      <c r="F2910" s="6" t="str">
        <f>_xll.QS.TRADE.CREATE("trade.2908",E2910,A2910,"Receive")</f>
        <v>QSObject:SwapTrade:w1~trade.2908:28931</v>
      </c>
      <c r="G2910" s="3">
        <f>_xll.QS.EVALUATE(C2910,F2910)</f>
        <v>22603.97449982907</v>
      </c>
      <c r="H2910" s="5" t="s">
        <v>2207</v>
      </c>
      <c r="I2910" s="7">
        <v>1290800</v>
      </c>
      <c r="J2910" s="8">
        <v>3.5800000000000012E-2</v>
      </c>
    </row>
    <row r="2911" spans="1:10" x14ac:dyDescent="0.25">
      <c r="A2911" s="5" t="s">
        <v>2195</v>
      </c>
      <c r="B2911" s="5" t="s">
        <v>4778</v>
      </c>
      <c r="C2911" s="6" t="str">
        <f>_xll.QS.CONTEXT.CREATE("market.2909",A2911,"USD","SOFR")</f>
        <v>QSObject:PricingContext:w1~market.2909:16867</v>
      </c>
      <c r="D2911" s="6" t="str">
        <f>_xll.QS.CONTEXT.ADD.CURVE(C2911,"SOFR",$K$2:$K$7,$L$2:$L$7,,,"Actual360","LogLinear",TRUE)</f>
        <v>QSObject:ContextInput:w1~input.qs_context_add_curve.2359132437744.2910.3.0:37619</v>
      </c>
      <c r="E2911" s="6" t="str">
        <f>_xll.QS.INSTRUMENT.SWAP("swap.2909",H2911,B2911,"USD","SOFR",I2911,J2911,0,"Actual360","Simple","Annual","Annual","Annual")</f>
        <v>QSObject:Swap:w1~swap.2909:16866</v>
      </c>
      <c r="F2911" s="6" t="str">
        <f>_xll.QS.TRADE.CREATE("trade.2909",E2911,A2911,"Receive")</f>
        <v>QSObject:SwapTrade:w1~trade.2909:28930</v>
      </c>
      <c r="G2911" s="3">
        <f>_xll.QS.EVALUATE(C2911,F2911)</f>
        <v>23206.385038125271</v>
      </c>
      <c r="H2911" s="5" t="s">
        <v>2209</v>
      </c>
      <c r="I2911" s="7">
        <v>1290900</v>
      </c>
      <c r="J2911" s="8">
        <v>3.5900000000000001E-2</v>
      </c>
    </row>
    <row r="2912" spans="1:10" x14ac:dyDescent="0.25">
      <c r="A2912" s="5" t="s">
        <v>2197</v>
      </c>
      <c r="B2912" s="5" t="s">
        <v>4779</v>
      </c>
      <c r="C2912" s="6" t="str">
        <f>_xll.QS.CONTEXT.CREATE("market.2910",A2912,"USD","SOFR")</f>
        <v>QSObject:PricingContext:w1~market.2910:16865</v>
      </c>
      <c r="D2912" s="6" t="str">
        <f>_xll.QS.CONTEXT.ADD.CURVE(C2912,"SOFR",$K$2:$K$7,$L$2:$L$7,,,"Actual360","LogLinear",TRUE)</f>
        <v>QSObject:ContextInput:w1~input.qs_context_add_curve.2359132437744.2911.3.0:37618</v>
      </c>
      <c r="E2912" s="6" t="str">
        <f>_xll.QS.INSTRUMENT.SWAP("swap.2910",H2912,B2912,"USD","SOFR",I2912,J2912,0,"Actual360","Simple","Annual","Annual","Annual")</f>
        <v>QSObject:Swap:w1~swap.2910:16864</v>
      </c>
      <c r="F2912" s="6" t="str">
        <f>_xll.QS.TRADE.CREATE("trade.2910",E2912,A2912,"Receive")</f>
        <v>QSObject:SwapTrade:w1~trade.2910:28929</v>
      </c>
      <c r="G2912" s="3">
        <f>_xll.QS.EVALUATE(C2912,F2912)</f>
        <v>23721.089276468338</v>
      </c>
      <c r="H2912" s="5" t="s">
        <v>2211</v>
      </c>
      <c r="I2912" s="7">
        <v>1291000</v>
      </c>
      <c r="J2912" s="8">
        <v>3.5999999999999997E-2</v>
      </c>
    </row>
    <row r="2913" spans="1:10" x14ac:dyDescent="0.25">
      <c r="A2913" s="5" t="s">
        <v>2199</v>
      </c>
      <c r="B2913" s="5" t="s">
        <v>4780</v>
      </c>
      <c r="C2913" s="6" t="str">
        <f>_xll.QS.CONTEXT.CREATE("market.2911",A2913,"USD","SOFR")</f>
        <v>QSObject:PricingContext:w1~market.2911:16863</v>
      </c>
      <c r="D2913" s="6" t="str">
        <f>_xll.QS.CONTEXT.ADD.CURVE(C2913,"SOFR",$K$2:$K$7,$L$2:$L$7,,,"Actual360","LogLinear",TRUE)</f>
        <v>QSObject:ContextInput:w1~input.qs_context_add_curve.2359132437744.2912.3.0:37617</v>
      </c>
      <c r="E2913" s="6" t="str">
        <f>_xll.QS.INSTRUMENT.SWAP("swap.2911",H2913,B2913,"USD","SOFR",I2913,J2913,0,"Actual360","Simple","Annual","Annual","Annual")</f>
        <v>QSObject:Swap:w1~swap.2911:16862</v>
      </c>
      <c r="F2913" s="6" t="str">
        <f>_xll.QS.TRADE.CREATE("trade.2911",E2913,A2913,"Receive")</f>
        <v>QSObject:SwapTrade:w1~trade.2911:28928</v>
      </c>
      <c r="G2913" s="3">
        <f>_xll.QS.EVALUATE(C2913,F2913)</f>
        <v>24208.477307439833</v>
      </c>
      <c r="H2913" s="5" t="s">
        <v>2213</v>
      </c>
      <c r="I2913" s="7">
        <v>1291100</v>
      </c>
      <c r="J2913" s="8">
        <v>3.61E-2</v>
      </c>
    </row>
    <row r="2914" spans="1:10" x14ac:dyDescent="0.25">
      <c r="A2914" s="5" t="s">
        <v>2201</v>
      </c>
      <c r="B2914" s="5" t="s">
        <v>4781</v>
      </c>
      <c r="C2914" s="6" t="str">
        <f>_xll.QS.CONTEXT.CREATE("market.2912",A2914,"USD","SOFR")</f>
        <v>QSObject:PricingContext:w1~market.2912:16861</v>
      </c>
      <c r="D2914" s="6" t="str">
        <f>_xll.QS.CONTEXT.ADD.CURVE(C2914,"SOFR",$K$2:$K$7,$L$2:$L$7,,,"Actual360","LogLinear",TRUE)</f>
        <v>QSObject:ContextInput:w1~input.qs_context_add_curve.2359132437744.2913.3.0:37616</v>
      </c>
      <c r="E2914" s="6" t="str">
        <f>_xll.QS.INSTRUMENT.SWAP("swap.2912",H2914,B2914,"USD","SOFR",I2914,J2914,0,"Actual360","Simple","Annual","Annual","Annual")</f>
        <v>QSObject:Swap:w1~swap.2912:16860</v>
      </c>
      <c r="F2914" s="6" t="str">
        <f>_xll.QS.TRADE.CREATE("trade.2912",E2914,A2914,"Receive")</f>
        <v>QSObject:SwapTrade:w1~trade.2912:28927</v>
      </c>
      <c r="G2914" s="3">
        <f>_xll.QS.EVALUATE(C2914,F2914)</f>
        <v>24859.73202832487</v>
      </c>
      <c r="H2914" s="5" t="s">
        <v>2215</v>
      </c>
      <c r="I2914" s="7">
        <v>1291200</v>
      </c>
      <c r="J2914" s="8">
        <v>3.6200000000000003E-2</v>
      </c>
    </row>
    <row r="2915" spans="1:10" x14ac:dyDescent="0.25">
      <c r="A2915" s="5" t="s">
        <v>2203</v>
      </c>
      <c r="B2915" s="5" t="s">
        <v>4782</v>
      </c>
      <c r="C2915" s="6" t="str">
        <f>_xll.QS.CONTEXT.CREATE("market.2913",A2915,"USD","SOFR")</f>
        <v>QSObject:PricingContext:w1~market.2913:16859</v>
      </c>
      <c r="D2915" s="6" t="str">
        <f>_xll.QS.CONTEXT.ADD.CURVE(C2915,"SOFR",$K$2:$K$7,$L$2:$L$7,,,"Actual360","LogLinear",TRUE)</f>
        <v>QSObject:ContextInput:w1~input.qs_context_add_curve.2359132437744.2914.3.0:37615</v>
      </c>
      <c r="E2915" s="6" t="str">
        <f>_xll.QS.INSTRUMENT.SWAP("swap.2913",H2915,B2915,"USD","SOFR",I2915,J2915,0,"Actual360","Simple","Annual","Annual","Annual")</f>
        <v>QSObject:Swap:w1~swap.2913:16858</v>
      </c>
      <c r="F2915" s="6" t="str">
        <f>_xll.QS.TRADE.CREATE("trade.2913",E2915,A2915,"Receive")</f>
        <v>QSObject:SwapTrade:w1~trade.2913:28926</v>
      </c>
      <c r="G2915" s="3">
        <f>_xll.QS.EVALUATE(C2915,F2915)</f>
        <v>25591.470886734976</v>
      </c>
      <c r="H2915" s="5" t="s">
        <v>2217</v>
      </c>
      <c r="I2915" s="7">
        <v>1291300</v>
      </c>
      <c r="J2915" s="8">
        <v>3.6300000000000013E-2</v>
      </c>
    </row>
    <row r="2916" spans="1:10" x14ac:dyDescent="0.25">
      <c r="A2916" s="5" t="s">
        <v>2205</v>
      </c>
      <c r="B2916" s="5" t="s">
        <v>4783</v>
      </c>
      <c r="C2916" s="6" t="str">
        <f>_xll.QS.CONTEXT.CREATE("market.2914",A2916,"USD","SOFR")</f>
        <v>QSObject:PricingContext:w1~market.2914:16857</v>
      </c>
      <c r="D2916" s="6" t="str">
        <f>_xll.QS.CONTEXT.ADD.CURVE(C2916,"SOFR",$K$2:$K$7,$L$2:$L$7,,,"Actual360","LogLinear",TRUE)</f>
        <v>QSObject:ContextInput:w1~input.qs_context_add_curve.2359132437744.2915.3.0:37614</v>
      </c>
      <c r="E2916" s="6" t="str">
        <f>_xll.QS.INSTRUMENT.SWAP("swap.2914",H2916,B2916,"USD","SOFR",I2916,J2916,0,"Actual360","Simple","Annual","Annual","Annual")</f>
        <v>QSObject:Swap:w1~swap.2914:16856</v>
      </c>
      <c r="F2916" s="6" t="str">
        <f>_xll.QS.TRADE.CREATE("trade.2914",E2916,A2916,"Receive")</f>
        <v>QSObject:SwapTrade:w1~trade.2914:28925</v>
      </c>
      <c r="G2916" s="3">
        <f>_xll.QS.EVALUATE(C2916,F2916)</f>
        <v>26197.891816607284</v>
      </c>
      <c r="H2916" s="5" t="s">
        <v>2219</v>
      </c>
      <c r="I2916" s="7">
        <v>1291400</v>
      </c>
      <c r="J2916" s="8">
        <v>3.6400000000000002E-2</v>
      </c>
    </row>
    <row r="2917" spans="1:10" x14ac:dyDescent="0.25">
      <c r="A2917" s="5" t="s">
        <v>2207</v>
      </c>
      <c r="B2917" s="5" t="s">
        <v>4784</v>
      </c>
      <c r="C2917" s="6" t="str">
        <f>_xll.QS.CONTEXT.CREATE("market.2915",A2917,"USD","SOFR")</f>
        <v>QSObject:PricingContext:w1~market.2915:16855</v>
      </c>
      <c r="D2917" s="6" t="str">
        <f>_xll.QS.CONTEXT.ADD.CURVE(C2917,"SOFR",$K$2:$K$7,$L$2:$L$7,,,"Actual360","LogLinear",TRUE)</f>
        <v>QSObject:ContextInput:w1~input.qs_context_add_curve.2359132437744.2916.3.0:37613</v>
      </c>
      <c r="E2917" s="6" t="str">
        <f>_xll.QS.INSTRUMENT.SWAP("swap.2915",H2917,B2917,"USD","SOFR",I2917,J2917,0,"Actual360","Simple","Annual","Annual","Annual")</f>
        <v>QSObject:Swap:w1~swap.2915:16854</v>
      </c>
      <c r="F2917" s="6" t="str">
        <f>_xll.QS.TRADE.CREATE("trade.2915",E2917,A2917,"Receive")</f>
        <v>QSObject:SwapTrade:w1~trade.2915:28924</v>
      </c>
      <c r="G2917" s="3">
        <f>_xll.QS.EVALUATE(C2917,F2917)</f>
        <v>26785.56345911893</v>
      </c>
      <c r="H2917" s="5" t="s">
        <v>2221</v>
      </c>
      <c r="I2917" s="7">
        <v>1291500</v>
      </c>
      <c r="J2917" s="8">
        <v>3.6499999999999998E-2</v>
      </c>
    </row>
    <row r="2918" spans="1:10" x14ac:dyDescent="0.25">
      <c r="A2918" s="5" t="s">
        <v>2209</v>
      </c>
      <c r="B2918" s="5" t="s">
        <v>4785</v>
      </c>
      <c r="C2918" s="6" t="str">
        <f>_xll.QS.CONTEXT.CREATE("market.2916",A2918,"USD","SOFR")</f>
        <v>QSObject:PricingContext:w1~market.2916:16853</v>
      </c>
      <c r="D2918" s="6" t="str">
        <f>_xll.QS.CONTEXT.ADD.CURVE(C2918,"SOFR",$K$2:$K$7,$L$2:$L$7,,,"Actual360","LogLinear",TRUE)</f>
        <v>QSObject:ContextInput:w1~input.qs_context_add_curve.2359132437744.2917.3.0:37612</v>
      </c>
      <c r="E2918" s="6" t="str">
        <f>_xll.QS.INSTRUMENT.SWAP("swap.2916",H2918,B2918,"USD","SOFR",I2918,J2918,0,"Actual360","Simple","Annual","Annual","Annual")</f>
        <v>QSObject:Swap:w1~swap.2916:16852</v>
      </c>
      <c r="F2918" s="6" t="str">
        <f>_xll.QS.TRADE.CREATE("trade.2916",E2918,A2918,"Receive")</f>
        <v>QSObject:SwapTrade:w1~trade.2916:28923</v>
      </c>
      <c r="G2918" s="3">
        <f>_xll.QS.EVALUATE(C2918,F2918)</f>
        <v>27388.096904245074</v>
      </c>
      <c r="H2918" s="5" t="s">
        <v>2223</v>
      </c>
      <c r="I2918" s="7">
        <v>1291600</v>
      </c>
      <c r="J2918" s="8">
        <v>3.6600000000000001E-2</v>
      </c>
    </row>
    <row r="2919" spans="1:10" x14ac:dyDescent="0.25">
      <c r="A2919" s="5" t="s">
        <v>2211</v>
      </c>
      <c r="B2919" s="5" t="s">
        <v>4786</v>
      </c>
      <c r="C2919" s="6" t="str">
        <f>_xll.QS.CONTEXT.CREATE("market.2917",A2919,"USD","SOFR")</f>
        <v>QSObject:PricingContext:w1~market.2917:16851</v>
      </c>
      <c r="D2919" s="6" t="str">
        <f>_xll.QS.CONTEXT.ADD.CURVE(C2919,"SOFR",$K$2:$K$7,$L$2:$L$7,,,"Actual360","LogLinear",TRUE)</f>
        <v>QSObject:ContextInput:w1~input.qs_context_add_curve.2359132437744.2918.3.0:37611</v>
      </c>
      <c r="E2919" s="6" t="str">
        <f>_xll.QS.INSTRUMENT.SWAP("swap.2917",H2919,B2919,"USD","SOFR",I2919,J2919,0,"Actual360","Simple","Annual","Annual","Annual")</f>
        <v>QSObject:Swap:w1~swap.2917:16850</v>
      </c>
      <c r="F2919" s="6" t="str">
        <f>_xll.QS.TRADE.CREATE("trade.2917",E2919,A2919,"Receive")</f>
        <v>QSObject:SwapTrade:w1~trade.2917:28922</v>
      </c>
      <c r="G2919" s="3">
        <f>_xll.QS.EVALUATE(C2919,F2919)</f>
        <v>27898.491160128891</v>
      </c>
      <c r="H2919" s="5" t="s">
        <v>2225</v>
      </c>
      <c r="I2919" s="7">
        <v>1291700</v>
      </c>
      <c r="J2919" s="8">
        <v>3.6700000000000003E-2</v>
      </c>
    </row>
    <row r="2920" spans="1:10" x14ac:dyDescent="0.25">
      <c r="A2920" s="5" t="s">
        <v>2213</v>
      </c>
      <c r="B2920" s="5" t="s">
        <v>4787</v>
      </c>
      <c r="C2920" s="6" t="str">
        <f>_xll.QS.CONTEXT.CREATE("market.2918",A2920,"USD","SOFR")</f>
        <v>QSObject:PricingContext:w1~market.2918:16849</v>
      </c>
      <c r="D2920" s="6" t="str">
        <f>_xll.QS.CONTEXT.ADD.CURVE(C2920,"SOFR",$K$2:$K$7,$L$2:$L$7,,,"Actual360","LogLinear",TRUE)</f>
        <v>QSObject:ContextInput:w1~input.qs_context_add_curve.2359132437744.2919.3.0:37610</v>
      </c>
      <c r="E2920" s="6" t="str">
        <f>_xll.QS.INSTRUMENT.SWAP("swap.2918",H2920,B2920,"USD","SOFR",I2920,J2920,0,"Actual360","Simple","Annual","Annual","Annual")</f>
        <v>QSObject:Swap:w1~swap.2918:16848</v>
      </c>
      <c r="F2920" s="6" t="str">
        <f>_xll.QS.TRADE.CREATE("trade.2918",E2920,A2920,"Receive")</f>
        <v>QSObject:SwapTrade:w1~trade.2918:28921</v>
      </c>
      <c r="G2920" s="3">
        <f>_xll.QS.EVALUATE(C2920,F2920)</f>
        <v>28393.054753504221</v>
      </c>
      <c r="H2920" s="5" t="s">
        <v>2227</v>
      </c>
      <c r="I2920" s="7">
        <v>1291800</v>
      </c>
      <c r="J2920" s="8">
        <v>3.6800000000000013E-2</v>
      </c>
    </row>
    <row r="2921" spans="1:10" x14ac:dyDescent="0.25">
      <c r="A2921" s="5" t="s">
        <v>2215</v>
      </c>
      <c r="B2921" s="5" t="s">
        <v>4788</v>
      </c>
      <c r="C2921" s="6" t="str">
        <f>_xll.QS.CONTEXT.CREATE("market.2919",A2921,"USD","SOFR")</f>
        <v>QSObject:PricingContext:w1~market.2919:16847</v>
      </c>
      <c r="D2921" s="6" t="str">
        <f>_xll.QS.CONTEXT.ADD.CURVE(C2921,"SOFR",$K$2:$K$7,$L$2:$L$7,,,"Actual360","LogLinear",TRUE)</f>
        <v>QSObject:ContextInput:w1~input.qs_context_add_curve.2359132437744.2920.3.0:37609</v>
      </c>
      <c r="E2921" s="6" t="str">
        <f>_xll.QS.INSTRUMENT.SWAP("swap.2919",H2921,B2921,"USD","SOFR",I2921,J2921,0,"Actual360","Simple","Annual","Annual","Annual")</f>
        <v>QSObject:Swap:w1~swap.2919:16846</v>
      </c>
      <c r="F2921" s="6" t="str">
        <f>_xll.QS.TRADE.CREATE("trade.2919",E2921,A2921,"Receive")</f>
        <v>QSObject:SwapTrade:w1~trade.2919:28920</v>
      </c>
      <c r="G2921" s="3">
        <f>_xll.QS.EVALUATE(C2921,F2921)</f>
        <v>29044.477256423015</v>
      </c>
      <c r="H2921" s="5" t="s">
        <v>2229</v>
      </c>
      <c r="I2921" s="7">
        <v>1291900</v>
      </c>
      <c r="J2921" s="8">
        <v>3.6900000000000002E-2</v>
      </c>
    </row>
    <row r="2922" spans="1:10" x14ac:dyDescent="0.25">
      <c r="A2922" s="5" t="s">
        <v>2217</v>
      </c>
      <c r="B2922" s="5" t="s">
        <v>4789</v>
      </c>
      <c r="C2922" s="6" t="str">
        <f>_xll.QS.CONTEXT.CREATE("market.2920",A2922,"USD","SOFR")</f>
        <v>QSObject:PricingContext:w1~market.2920:16845</v>
      </c>
      <c r="D2922" s="6" t="str">
        <f>_xll.QS.CONTEXT.ADD.CURVE(C2922,"SOFR",$K$2:$K$7,$L$2:$L$7,,,"Actual360","LogLinear",TRUE)</f>
        <v>QSObject:ContextInput:w1~input.qs_context_add_curve.2359132437744.2921.3.0:37608</v>
      </c>
      <c r="E2922" s="6" t="str">
        <f>_xll.QS.INSTRUMENT.SWAP("swap.2920",H2922,B2922,"USD","SOFR",I2922,J2922,0,"Actual360","Simple","Annual","Annual","Annual")</f>
        <v>QSObject:Swap:w1~swap.2920:16844</v>
      </c>
      <c r="F2922" s="6" t="str">
        <f>_xll.QS.TRADE.CREATE("trade.2920",E2922,A2922,"Receive")</f>
        <v>QSObject:SwapTrade:w1~trade.2920:28919</v>
      </c>
      <c r="G2922" s="3">
        <f>_xll.QS.EVALUATE(C2922,F2922)</f>
        <v>29775.716955708609</v>
      </c>
      <c r="H2922" s="5" t="s">
        <v>2231</v>
      </c>
      <c r="I2922" s="7">
        <v>1292000</v>
      </c>
      <c r="J2922" s="8">
        <v>3.7000000000000012E-2</v>
      </c>
    </row>
    <row r="2923" spans="1:10" x14ac:dyDescent="0.25">
      <c r="A2923" s="5" t="s">
        <v>2219</v>
      </c>
      <c r="B2923" s="5" t="s">
        <v>4790</v>
      </c>
      <c r="C2923" s="6" t="str">
        <f>_xll.QS.CONTEXT.CREATE("market.2921",A2923,"USD","SOFR")</f>
        <v>QSObject:PricingContext:w1~market.2921:16843</v>
      </c>
      <c r="D2923" s="6" t="str">
        <f>_xll.QS.CONTEXT.ADD.CURVE(C2923,"SOFR",$K$2:$K$7,$L$2:$L$7,,,"Actual360","LogLinear",TRUE)</f>
        <v>QSObject:ContextInput:w1~input.qs_context_add_curve.2359132437744.2922.3.0:37607</v>
      </c>
      <c r="E2923" s="6" t="str">
        <f>_xll.QS.INSTRUMENT.SWAP("swap.2921",H2923,B2923,"USD","SOFR",I2923,J2923,0,"Actual360","Simple","Annual","Annual","Annual")</f>
        <v>QSObject:Swap:w1~swap.2921:16842</v>
      </c>
      <c r="F2923" s="6" t="str">
        <f>_xll.QS.TRADE.CREATE("trade.2921",E2923,A2923,"Receive")</f>
        <v>QSObject:SwapTrade:w1~trade.2921:28918</v>
      </c>
      <c r="G2923" s="3">
        <f>_xll.QS.EVALUATE(C2923,F2923)</f>
        <v>30382.838167052316</v>
      </c>
      <c r="H2923" s="5" t="s">
        <v>2233</v>
      </c>
      <c r="I2923" s="7">
        <v>1292100</v>
      </c>
      <c r="J2923" s="8">
        <v>3.7100000000000001E-2</v>
      </c>
    </row>
    <row r="2924" spans="1:10" x14ac:dyDescent="0.25">
      <c r="A2924" s="5" t="s">
        <v>2221</v>
      </c>
      <c r="B2924" s="5" t="s">
        <v>4791</v>
      </c>
      <c r="C2924" s="6" t="str">
        <f>_xll.QS.CONTEXT.CREATE("market.2922",A2924,"USD","SOFR")</f>
        <v>QSObject:PricingContext:w1~market.2922:16841</v>
      </c>
      <c r="D2924" s="6" t="str">
        <f>_xll.QS.CONTEXT.ADD.CURVE(C2924,"SOFR",$K$2:$K$7,$L$2:$L$7,,,"Actual360","LogLinear",TRUE)</f>
        <v>QSObject:ContextInput:w1~input.qs_context_add_curve.2359132437744.2923.3.0:37606</v>
      </c>
      <c r="E2924" s="6" t="str">
        <f>_xll.QS.INSTRUMENT.SWAP("swap.2922",H2924,B2924,"USD","SOFR",I2924,J2924,0,"Actual360","Simple","Annual","Annual","Annual")</f>
        <v>QSObject:Swap:w1~swap.2922:16840</v>
      </c>
      <c r="F2924" s="6" t="str">
        <f>_xll.QS.TRADE.CREATE("trade.2922",E2924,A2924,"Receive")</f>
        <v>QSObject:SwapTrade:w1~trade.2922:28917</v>
      </c>
      <c r="G2924" s="3">
        <f>_xll.QS.EVALUATE(C2924,F2924)</f>
        <v>30977.334041686714</v>
      </c>
      <c r="H2924" s="5" t="s">
        <v>2235</v>
      </c>
      <c r="I2924" s="7">
        <v>1292200</v>
      </c>
      <c r="J2924" s="8">
        <v>3.7199999999999997E-2</v>
      </c>
    </row>
    <row r="2925" spans="1:10" x14ac:dyDescent="0.25">
      <c r="A2925" s="5" t="s">
        <v>2223</v>
      </c>
      <c r="B2925" s="5" t="s">
        <v>4792</v>
      </c>
      <c r="C2925" s="6" t="str">
        <f>_xll.QS.CONTEXT.CREATE("market.2923",A2925,"USD","SOFR")</f>
        <v>QSObject:PricingContext:w1~market.2923:16839</v>
      </c>
      <c r="D2925" s="6" t="str">
        <f>_xll.QS.CONTEXT.ADD.CURVE(C2925,"SOFR",$K$2:$K$7,$L$2:$L$7,,,"Actual360","LogLinear",TRUE)</f>
        <v>QSObject:ContextInput:w1~input.qs_context_add_curve.2359132437744.2924.3.0:37605</v>
      </c>
      <c r="E2925" s="6" t="str">
        <f>_xll.QS.INSTRUMENT.SWAP("swap.2923",H2925,B2925,"USD","SOFR",I2925,J2925,0,"Actual360","Simple","Annual","Annual","Annual")</f>
        <v>QSObject:Swap:w1~swap.2923:16838</v>
      </c>
      <c r="F2925" s="6" t="str">
        <f>_xll.QS.TRADE.CREATE("trade.2923",E2925,A2925,"Receive")</f>
        <v>QSObject:SwapTrade:w1~trade.2923:28916</v>
      </c>
      <c r="G2925" s="3">
        <f>_xll.QS.EVALUATE(C2925,F2925)</f>
        <v>31525.977436806854</v>
      </c>
      <c r="H2925" s="5" t="s">
        <v>2237</v>
      </c>
      <c r="I2925" s="7">
        <v>1292300</v>
      </c>
      <c r="J2925" s="8">
        <v>3.73E-2</v>
      </c>
    </row>
    <row r="2926" spans="1:10" x14ac:dyDescent="0.25">
      <c r="A2926" s="5" t="s">
        <v>2225</v>
      </c>
      <c r="B2926" s="5" t="s">
        <v>4793</v>
      </c>
      <c r="C2926" s="6" t="str">
        <f>_xll.QS.CONTEXT.CREATE("market.2924",A2926,"USD","SOFR")</f>
        <v>QSObject:PricingContext:w1~market.2924:16837</v>
      </c>
      <c r="D2926" s="6" t="str">
        <f>_xll.QS.CONTEXT.ADD.CURVE(C2926,"SOFR",$K$2:$K$7,$L$2:$L$7,,,"Actual360","LogLinear",TRUE)</f>
        <v>QSObject:ContextInput:w1~input.qs_context_add_curve.2359132437744.2925.3.0:37604</v>
      </c>
      <c r="E2926" s="6" t="str">
        <f>_xll.QS.INSTRUMENT.SWAP("swap.2924",H2926,B2926,"USD","SOFR",I2926,J2926,0,"Actual360","Simple","Annual","Annual","Annual")</f>
        <v>QSObject:Swap:w1~swap.2924:16836</v>
      </c>
      <c r="F2926" s="6" t="str">
        <f>_xll.QS.TRADE.CREATE("trade.2924",E2926,A2926,"Receive")</f>
        <v>QSObject:SwapTrade:w1~trade.2924:28915</v>
      </c>
      <c r="G2926" s="3">
        <f>_xll.QS.EVALUATE(C2926,F2926)</f>
        <v>32032.083500078727</v>
      </c>
      <c r="H2926" s="5" t="s">
        <v>2239</v>
      </c>
      <c r="I2926" s="7">
        <v>1292400</v>
      </c>
      <c r="J2926" s="8">
        <v>3.7400000000000003E-2</v>
      </c>
    </row>
    <row r="2927" spans="1:10" x14ac:dyDescent="0.25">
      <c r="A2927" s="5" t="s">
        <v>2227</v>
      </c>
      <c r="B2927" s="5" t="s">
        <v>4794</v>
      </c>
      <c r="C2927" s="6" t="str">
        <f>_xll.QS.CONTEXT.CREATE("market.2925",A2927,"USD","SOFR")</f>
        <v>QSObject:PricingContext:w1~market.2925:16835</v>
      </c>
      <c r="D2927" s="6" t="str">
        <f>_xll.QS.CONTEXT.ADD.CURVE(C2927,"SOFR",$K$2:$K$7,$L$2:$L$7,,,"Actual360","LogLinear",TRUE)</f>
        <v>QSObject:ContextInput:w1~input.qs_context_add_curve.2359132437744.2926.3.0:37603</v>
      </c>
      <c r="E2927" s="6" t="str">
        <f>_xll.QS.INSTRUMENT.SWAP("swap.2925",H2927,B2927,"USD","SOFR",I2927,J2927,0,"Actual360","Simple","Annual","Annual","Annual")</f>
        <v>QSObject:Swap:w1~swap.2925:16834</v>
      </c>
      <c r="F2927" s="6" t="str">
        <f>_xll.QS.TRADE.CREATE("trade.2925",E2927,A2927,"Receive")</f>
        <v>QSObject:SwapTrade:w1~trade.2925:28914</v>
      </c>
      <c r="G2927" s="3">
        <f>_xll.QS.EVALUATE(C2927,F2927)</f>
        <v>32533.785193657401</v>
      </c>
      <c r="H2927" s="5" t="s">
        <v>2241</v>
      </c>
      <c r="I2927" s="7">
        <v>1292500</v>
      </c>
      <c r="J2927" s="8">
        <v>3.7500000000000012E-2</v>
      </c>
    </row>
    <row r="2928" spans="1:10" x14ac:dyDescent="0.25">
      <c r="A2928" s="5" t="s">
        <v>2229</v>
      </c>
      <c r="B2928" s="5" t="s">
        <v>4795</v>
      </c>
      <c r="C2928" s="6" t="str">
        <f>_xll.QS.CONTEXT.CREATE("market.2926",A2928,"USD","SOFR")</f>
        <v>QSObject:PricingContext:w1~market.2926:16833</v>
      </c>
      <c r="D2928" s="6" t="str">
        <f>_xll.QS.CONTEXT.ADD.CURVE(C2928,"SOFR",$K$2:$K$7,$L$2:$L$7,,,"Actual360","LogLinear",TRUE)</f>
        <v>QSObject:ContextInput:w1~input.qs_context_add_curve.2359132437744.2927.3.0:37602</v>
      </c>
      <c r="E2928" s="6" t="str">
        <f>_xll.QS.INSTRUMENT.SWAP("swap.2926",H2928,B2928,"USD","SOFR",I2928,J2928,0,"Actual360","Simple","Annual","Annual","Annual")</f>
        <v>QSObject:Swap:w1~swap.2926:16832</v>
      </c>
      <c r="F2928" s="6" t="str">
        <f>_xll.QS.TRADE.CREATE("trade.2926",E2928,A2928,"Receive")</f>
        <v>QSObject:SwapTrade:w1~trade.2926:28913</v>
      </c>
      <c r="G2928" s="3">
        <f>_xll.QS.EVALUATE(C2928,F2928)</f>
        <v>33186.953127035813</v>
      </c>
      <c r="H2928" s="5" t="s">
        <v>2243</v>
      </c>
      <c r="I2928" s="7">
        <v>1292600</v>
      </c>
      <c r="J2928" s="8">
        <v>3.7600000000000001E-2</v>
      </c>
    </row>
    <row r="2929" spans="1:10" x14ac:dyDescent="0.25">
      <c r="A2929" s="5" t="s">
        <v>2231</v>
      </c>
      <c r="B2929" s="5" t="s">
        <v>4796</v>
      </c>
      <c r="C2929" s="6" t="str">
        <f>_xll.QS.CONTEXT.CREATE("market.2927",A2929,"USD","SOFR")</f>
        <v>QSObject:PricingContext:w1~market.2927:16831</v>
      </c>
      <c r="D2929" s="6" t="str">
        <f>_xll.QS.CONTEXT.ADD.CURVE(C2929,"SOFR",$K$2:$K$7,$L$2:$L$7,,,"Actual360","LogLinear",TRUE)</f>
        <v>QSObject:ContextInput:w1~input.qs_context_add_curve.2359132437744.2928.3.0:37601</v>
      </c>
      <c r="E2929" s="6" t="str">
        <f>_xll.QS.INSTRUMENT.SWAP("swap.2927",H2929,B2929,"USD","SOFR",I2929,J2929,0,"Actual360","Simple","Annual","Annual","Annual")</f>
        <v>QSObject:Swap:w1~swap.2927:16830</v>
      </c>
      <c r="F2929" s="6" t="str">
        <f>_xll.QS.TRADE.CREATE("trade.2927",E2929,A2929,"Receive")</f>
        <v>QSObject:SwapTrade:w1~trade.2927:28912</v>
      </c>
      <c r="G2929" s="3">
        <f>_xll.QS.EVALUATE(C2929,F2929)</f>
        <v>33818.613862407474</v>
      </c>
      <c r="H2929" s="5" t="s">
        <v>2245</v>
      </c>
      <c r="I2929" s="7">
        <v>1292700</v>
      </c>
      <c r="J2929" s="8">
        <v>3.7699999999999997E-2</v>
      </c>
    </row>
    <row r="2930" spans="1:10" x14ac:dyDescent="0.25">
      <c r="A2930" s="5" t="s">
        <v>2233</v>
      </c>
      <c r="B2930" s="5" t="s">
        <v>4797</v>
      </c>
      <c r="C2930" s="6" t="str">
        <f>_xll.QS.CONTEXT.CREATE("market.2928",A2930,"USD","SOFR")</f>
        <v>QSObject:PricingContext:w1~market.2928:16829</v>
      </c>
      <c r="D2930" s="6" t="str">
        <f>_xll.QS.CONTEXT.ADD.CURVE(C2930,"SOFR",$K$2:$K$7,$L$2:$L$7,,,"Actual360","LogLinear",TRUE)</f>
        <v>QSObject:ContextInput:w1~input.qs_context_add_curve.2359132437744.2929.3.0:37600</v>
      </c>
      <c r="E2930" s="6" t="str">
        <f>_xll.QS.INSTRUMENT.SWAP("swap.2928",H2930,B2930,"USD","SOFR",I2930,J2930,0,"Actual360","Simple","Annual","Annual","Annual")</f>
        <v>QSObject:Swap:w1~swap.2928:16828</v>
      </c>
      <c r="F2930" s="6" t="str">
        <f>_xll.QS.TRADE.CREATE("trade.2928",E2930,A2930,"Receive")</f>
        <v>QSObject:SwapTrade:w1~trade.2928:28911</v>
      </c>
      <c r="G2930" s="3">
        <f>_xll.QS.EVALUATE(C2930,F2930)</f>
        <v>34512.118433023519</v>
      </c>
      <c r="H2930" s="5" t="s">
        <v>2247</v>
      </c>
      <c r="I2930" s="7">
        <v>1292800</v>
      </c>
      <c r="J2930" s="8">
        <v>3.78E-2</v>
      </c>
    </row>
    <row r="2931" spans="1:10" x14ac:dyDescent="0.25">
      <c r="A2931" s="5" t="s">
        <v>2235</v>
      </c>
      <c r="B2931" s="5" t="s">
        <v>4798</v>
      </c>
      <c r="C2931" s="6" t="str">
        <f>_xll.QS.CONTEXT.CREATE("market.2929",A2931,"USD","SOFR")</f>
        <v>QSObject:PricingContext:w1~market.2929:16827</v>
      </c>
      <c r="D2931" s="6" t="str">
        <f>_xll.QS.CONTEXT.ADD.CURVE(C2931,"SOFR",$K$2:$K$7,$L$2:$L$7,,,"Actual360","LogLinear",TRUE)</f>
        <v>QSObject:ContextInput:w1~input.qs_context_add_curve.2359132437744.2930.3.0:37599</v>
      </c>
      <c r="E2931" s="6" t="str">
        <f>_xll.QS.INSTRUMENT.SWAP("swap.2929",H2931,B2931,"USD","SOFR",I2931,J2931,0,"Actual360","Simple","Annual","Annual","Annual")</f>
        <v>QSObject:Swap:w1~swap.2929:16826</v>
      </c>
      <c r="F2931" s="6" t="str">
        <f>_xll.QS.TRADE.CREATE("trade.2929",E2931,A2931,"Receive")</f>
        <v>QSObject:SwapTrade:w1~trade.2929:28910</v>
      </c>
      <c r="G2931" s="3">
        <f>_xll.QS.EVALUATE(C2931,F2931)</f>
        <v>35167.447868779935</v>
      </c>
      <c r="H2931" s="5" t="s">
        <v>2249</v>
      </c>
      <c r="I2931" s="7">
        <v>1292900</v>
      </c>
      <c r="J2931" s="8">
        <v>3.7900000000000003E-2</v>
      </c>
    </row>
    <row r="2932" spans="1:10" x14ac:dyDescent="0.25">
      <c r="A2932" s="5" t="s">
        <v>2237</v>
      </c>
      <c r="B2932" s="5" t="s">
        <v>4799</v>
      </c>
      <c r="C2932" s="6" t="str">
        <f>_xll.QS.CONTEXT.CREATE("market.2930",A2932,"USD","SOFR")</f>
        <v>QSObject:PricingContext:w1~market.2930:16825</v>
      </c>
      <c r="D2932" s="6" t="str">
        <f>_xll.QS.CONTEXT.ADD.CURVE(C2932,"SOFR",$K$2:$K$7,$L$2:$L$7,,,"Actual360","LogLinear",TRUE)</f>
        <v>QSObject:ContextInput:w1~input.qs_context_add_curve.2359132437744.2931.3.0:37598</v>
      </c>
      <c r="E2932" s="6" t="str">
        <f>_xll.QS.INSTRUMENT.SWAP("swap.2930",H2932,B2932,"USD","SOFR",I2932,J2932,0,"Actual360","Simple","Annual","Annual","Annual")</f>
        <v>QSObject:Swap:w1~swap.2930:16824</v>
      </c>
      <c r="F2932" s="6" t="str">
        <f>_xll.QS.TRADE.CREATE("trade.2930",E2932,A2932,"Receive")</f>
        <v>QSObject:SwapTrade:w1~trade.2930:28909</v>
      </c>
      <c r="G2932" s="3">
        <f>_xll.QS.EVALUATE(C2932,F2932)</f>
        <v>35716.49101660007</v>
      </c>
      <c r="H2932" s="5" t="s">
        <v>2251</v>
      </c>
      <c r="I2932" s="7">
        <v>1293000</v>
      </c>
      <c r="J2932" s="8">
        <v>3.8000000000000013E-2</v>
      </c>
    </row>
    <row r="2933" spans="1:10" x14ac:dyDescent="0.25">
      <c r="A2933" s="5" t="s">
        <v>2239</v>
      </c>
      <c r="B2933" s="5" t="s">
        <v>4800</v>
      </c>
      <c r="C2933" s="6" t="str">
        <f>_xll.QS.CONTEXT.CREATE("market.2931",A2933,"USD","SOFR")</f>
        <v>QSObject:PricingContext:w1~market.2931:16823</v>
      </c>
      <c r="D2933" s="6" t="str">
        <f>_xll.QS.CONTEXT.ADD.CURVE(C2933,"SOFR",$K$2:$K$7,$L$2:$L$7,,,"Actual360","LogLinear",TRUE)</f>
        <v>QSObject:ContextInput:w1~input.qs_context_add_curve.2359132437744.2932.3.0:37597</v>
      </c>
      <c r="E2933" s="6" t="str">
        <f>_xll.QS.INSTRUMENT.SWAP("swap.2931",H2933,B2933,"USD","SOFR",I2933,J2933,0,"Actual360","Simple","Annual","Annual","Annual")</f>
        <v>QSObject:Swap:w1~swap.2931:16822</v>
      </c>
      <c r="F2933" s="6" t="str">
        <f>_xll.QS.TRADE.CREATE("trade.2931",E2933,A2933,"Receive")</f>
        <v>QSObject:SwapTrade:w1~trade.2931:28908</v>
      </c>
      <c r="G2933" s="3">
        <f>_xll.QS.EVALUATE(C2933,F2933)</f>
        <v>36195.291112966974</v>
      </c>
      <c r="H2933" s="5" t="s">
        <v>2253</v>
      </c>
      <c r="I2933" s="7">
        <v>1293100</v>
      </c>
      <c r="J2933" s="8">
        <v>3.8100000000000002E-2</v>
      </c>
    </row>
    <row r="2934" spans="1:10" x14ac:dyDescent="0.25">
      <c r="A2934" s="5" t="s">
        <v>2241</v>
      </c>
      <c r="B2934" s="5" t="s">
        <v>4801</v>
      </c>
      <c r="C2934" s="6" t="str">
        <f>_xll.QS.CONTEXT.CREATE("market.2932",A2934,"USD","SOFR")</f>
        <v>QSObject:PricingContext:w1~market.2932:16821</v>
      </c>
      <c r="D2934" s="6" t="str">
        <f>_xll.QS.CONTEXT.ADD.CURVE(C2934,"SOFR",$K$2:$K$7,$L$2:$L$7,,,"Actual360","LogLinear",TRUE)</f>
        <v>QSObject:ContextInput:w1~input.qs_context_add_curve.2359132437744.2933.3.0:37596</v>
      </c>
      <c r="E2934" s="6" t="str">
        <f>_xll.QS.INSTRUMENT.SWAP("swap.2932",H2934,B2934,"USD","SOFR",I2934,J2934,0,"Actual360","Simple","Annual","Annual","Annual")</f>
        <v>QSObject:Swap:w1~swap.2932:16820</v>
      </c>
      <c r="F2934" s="6" t="str">
        <f>_xll.QS.TRADE.CREATE("trade.2932",E2934,A2934,"Receive")</f>
        <v>QSObject:SwapTrade:w1~trade.2932:28907</v>
      </c>
      <c r="G2934" s="3">
        <f>_xll.QS.EVALUATE(C2934,F2934)</f>
        <v>36672.859280372781</v>
      </c>
      <c r="H2934" s="5" t="s">
        <v>2255</v>
      </c>
      <c r="I2934" s="7">
        <v>1293200</v>
      </c>
      <c r="J2934" s="8">
        <v>3.8199999999999998E-2</v>
      </c>
    </row>
    <row r="2935" spans="1:10" x14ac:dyDescent="0.25">
      <c r="A2935" s="5" t="s">
        <v>2243</v>
      </c>
      <c r="B2935" s="5" t="s">
        <v>4802</v>
      </c>
      <c r="C2935" s="6" t="str">
        <f>_xll.QS.CONTEXT.CREATE("market.2933",A2935,"USD","SOFR")</f>
        <v>QSObject:PricingContext:w1~market.2933:16819</v>
      </c>
      <c r="D2935" s="6" t="str">
        <f>_xll.QS.CONTEXT.ADD.CURVE(C2935,"SOFR",$K$2:$K$7,$L$2:$L$7,,,"Actual360","LogLinear",TRUE)</f>
        <v>QSObject:ContextInput:w1~input.qs_context_add_curve.2359132437744.2934.3.0:37595</v>
      </c>
      <c r="E2935" s="6" t="str">
        <f>_xll.QS.INSTRUMENT.SWAP("swap.2933",H2935,B2935,"USD","SOFR",I2935,J2935,0,"Actual360","Simple","Annual","Annual","Annual")</f>
        <v>QSObject:Swap:w1~swap.2933:16818</v>
      </c>
      <c r="F2935" s="6" t="str">
        <f>_xll.QS.TRADE.CREATE("trade.2933",E2935,A2935,"Receive")</f>
        <v>QSObject:SwapTrade:w1~trade.2933:28906</v>
      </c>
      <c r="G2935" s="3">
        <f>_xll.QS.EVALUATE(C2935,F2935)</f>
        <v>37327.444680277687</v>
      </c>
      <c r="H2935" s="5" t="s">
        <v>2257</v>
      </c>
      <c r="I2935" s="7">
        <v>1293300</v>
      </c>
      <c r="J2935" s="8">
        <v>3.8300000000000001E-2</v>
      </c>
    </row>
    <row r="2936" spans="1:10" x14ac:dyDescent="0.25">
      <c r="A2936" s="5" t="s">
        <v>2245</v>
      </c>
      <c r="B2936" s="5" t="s">
        <v>4803</v>
      </c>
      <c r="C2936" s="6" t="str">
        <f>_xll.QS.CONTEXT.CREATE("market.2934",A2936,"USD","SOFR")</f>
        <v>QSObject:PricingContext:w1~market.2934:16817</v>
      </c>
      <c r="D2936" s="6" t="str">
        <f>_xll.QS.CONTEXT.ADD.CURVE(C2936,"SOFR",$K$2:$K$7,$L$2:$L$7,,,"Actual360","LogLinear",TRUE)</f>
        <v>QSObject:ContextInput:w1~input.qs_context_add_curve.2359132437744.2935.3.0:37594</v>
      </c>
      <c r="E2936" s="6" t="str">
        <f>_xll.QS.INSTRUMENT.SWAP("swap.2934",H2936,B2936,"USD","SOFR",I2936,J2936,0,"Actual360","Simple","Annual","Annual","Annual")</f>
        <v>QSObject:Swap:w1~swap.2934:16816</v>
      </c>
      <c r="F2936" s="6" t="str">
        <f>_xll.QS.TRADE.CREATE("trade.2934",E2936,A2936,"Receive")</f>
        <v>QSObject:SwapTrade:w1~trade.2934:28905</v>
      </c>
      <c r="G2936" s="3">
        <f>_xll.QS.EVALUATE(C2936,F2936)</f>
        <v>37982.23193576288</v>
      </c>
      <c r="H2936" s="5" t="s">
        <v>2259</v>
      </c>
      <c r="I2936" s="7">
        <v>1293400</v>
      </c>
      <c r="J2936" s="8">
        <v>3.8399999999999997E-2</v>
      </c>
    </row>
    <row r="2937" spans="1:10" x14ac:dyDescent="0.25">
      <c r="A2937" s="5" t="s">
        <v>2247</v>
      </c>
      <c r="B2937" s="5" t="s">
        <v>4804</v>
      </c>
      <c r="C2937" s="6" t="str">
        <f>_xll.QS.CONTEXT.CREATE("market.2935",A2937,"USD","SOFR")</f>
        <v>QSObject:PricingContext:w1~market.2935:16815</v>
      </c>
      <c r="D2937" s="6" t="str">
        <f>_xll.QS.CONTEXT.ADD.CURVE(C2937,"SOFR",$K$2:$K$7,$L$2:$L$7,,,"Actual360","LogLinear",TRUE)</f>
        <v>QSObject:ContextInput:w1~input.qs_context_add_curve.2359132437744.2936.3.0:37593</v>
      </c>
      <c r="E2937" s="6" t="str">
        <f>_xll.QS.INSTRUMENT.SWAP("swap.2935",H2937,B2937,"USD","SOFR",I2937,J2937,0,"Actual360","Simple","Annual","Annual","Annual")</f>
        <v>QSObject:Swap:w1~swap.2935:16814</v>
      </c>
      <c r="F2937" s="6" t="str">
        <f>_xll.QS.TRADE.CREATE("trade.2935",E2937,A2937,"Receive")</f>
        <v>QSObject:SwapTrade:w1~trade.2935:28904</v>
      </c>
      <c r="G2937" s="3">
        <f>_xll.QS.EVALUATE(C2937,F2937)</f>
        <v>38754.182214766653</v>
      </c>
      <c r="H2937" s="5" t="s">
        <v>2261</v>
      </c>
      <c r="I2937" s="7">
        <v>1293500</v>
      </c>
      <c r="J2937" s="8">
        <v>3.8500000000000013E-2</v>
      </c>
    </row>
    <row r="2938" spans="1:10" x14ac:dyDescent="0.25">
      <c r="A2938" s="5" t="s">
        <v>2249</v>
      </c>
      <c r="B2938" s="5" t="s">
        <v>4805</v>
      </c>
      <c r="C2938" s="6" t="str">
        <f>_xll.QS.CONTEXT.CREATE("market.2936",A2938,"USD","SOFR")</f>
        <v>QSObject:PricingContext:w1~market.2936:16813</v>
      </c>
      <c r="D2938" s="6" t="str">
        <f>_xll.QS.CONTEXT.ADD.CURVE(C2938,"SOFR",$K$2:$K$7,$L$2:$L$7,,,"Actual360","LogLinear",TRUE)</f>
        <v>QSObject:ContextInput:w1~input.qs_context_add_curve.2359132437744.2937.3.0:37592</v>
      </c>
      <c r="E2938" s="6" t="str">
        <f>_xll.QS.INSTRUMENT.SWAP("swap.2936",H2938,B2938,"USD","SOFR",I2938,J2938,0,"Actual360","Simple","Annual","Annual","Annual")</f>
        <v>QSObject:Swap:w1~swap.2936:16812</v>
      </c>
      <c r="F2938" s="6" t="str">
        <f>_xll.QS.TRADE.CREATE("trade.2936",E2938,A2938,"Receive")</f>
        <v>QSObject:SwapTrade:w1~trade.2936:28903</v>
      </c>
      <c r="G2938" s="3">
        <f>_xll.QS.EVALUATE(C2938,F2938)</f>
        <v>39365.70424533703</v>
      </c>
      <c r="H2938" s="5" t="s">
        <v>2263</v>
      </c>
      <c r="I2938" s="7">
        <v>1293600</v>
      </c>
      <c r="J2938" s="8">
        <v>3.8600000000000002E-2</v>
      </c>
    </row>
    <row r="2939" spans="1:10" x14ac:dyDescent="0.25">
      <c r="A2939" s="5" t="s">
        <v>2251</v>
      </c>
      <c r="B2939" s="5" t="s">
        <v>4806</v>
      </c>
      <c r="C2939" s="6" t="str">
        <f>_xll.QS.CONTEXT.CREATE("market.2937",A2939,"USD","SOFR")</f>
        <v>QSObject:PricingContext:w1~market.2937:16811</v>
      </c>
      <c r="D2939" s="6" t="str">
        <f>_xll.QS.CONTEXT.ADD.CURVE(C2939,"SOFR",$K$2:$K$7,$L$2:$L$7,,,"Actual360","LogLinear",TRUE)</f>
        <v>QSObject:ContextInput:w1~input.qs_context_add_curve.2359132437744.2938.3.0:37591</v>
      </c>
      <c r="E2939" s="6" t="str">
        <f>_xll.QS.INSTRUMENT.SWAP("swap.2937",H2939,B2939,"USD","SOFR",I2939,J2939,0,"Actual360","Simple","Annual","Annual","Annual")</f>
        <v>QSObject:Swap:w1~swap.2937:16810</v>
      </c>
      <c r="F2939" s="6" t="str">
        <f>_xll.QS.TRADE.CREATE("trade.2937",E2939,A2939,"Receive")</f>
        <v>QSObject:SwapTrade:w1~trade.2937:28902</v>
      </c>
      <c r="G2939" s="3">
        <f>_xll.QS.EVALUATE(C2939,F2939)</f>
        <v>39964.43567562809</v>
      </c>
      <c r="H2939" s="5" t="s">
        <v>2265</v>
      </c>
      <c r="I2939" s="7">
        <v>1293700</v>
      </c>
      <c r="J2939" s="8">
        <v>3.8700000000000012E-2</v>
      </c>
    </row>
    <row r="2940" spans="1:10" x14ac:dyDescent="0.25">
      <c r="A2940" s="5" t="s">
        <v>2253</v>
      </c>
      <c r="B2940" s="5" t="s">
        <v>4807</v>
      </c>
      <c r="C2940" s="6" t="str">
        <f>_xll.QS.CONTEXT.CREATE("market.2938",A2940,"USD","SOFR")</f>
        <v>QSObject:PricingContext:w1~market.2938:16809</v>
      </c>
      <c r="D2940" s="6" t="str">
        <f>_xll.QS.CONTEXT.ADD.CURVE(C2940,"SOFR",$K$2:$K$7,$L$2:$L$7,,,"Actual360","LogLinear",TRUE)</f>
        <v>QSObject:ContextInput:w1~input.qs_context_add_curve.2359132437744.2939.3.0:37590</v>
      </c>
      <c r="E2940" s="6" t="str">
        <f>_xll.QS.INSTRUMENT.SWAP("swap.2938",H2940,B2940,"USD","SOFR",I2940,J2940,0,"Actual360","Simple","Annual","Annual","Annual")</f>
        <v>QSObject:Swap:w1~swap.2938:16808</v>
      </c>
      <c r="F2940" s="6" t="str">
        <f>_xll.QS.TRADE.CREATE("trade.2938",E2940,A2940,"Receive")</f>
        <v>QSObject:SwapTrade:w1~trade.2938:28901</v>
      </c>
      <c r="G2940" s="3">
        <f>_xll.QS.EVALUATE(C2940,F2940)</f>
        <v>40461.902682269851</v>
      </c>
      <c r="H2940" s="5" t="s">
        <v>2267</v>
      </c>
      <c r="I2940" s="7">
        <v>1293800</v>
      </c>
      <c r="J2940" s="8">
        <v>3.8800000000000001E-2</v>
      </c>
    </row>
    <row r="2941" spans="1:10" x14ac:dyDescent="0.25">
      <c r="A2941" s="5" t="s">
        <v>2255</v>
      </c>
      <c r="B2941" s="5" t="s">
        <v>4808</v>
      </c>
      <c r="C2941" s="6" t="str">
        <f>_xll.QS.CONTEXT.CREATE("market.2939",A2941,"USD","SOFR")</f>
        <v>QSObject:PricingContext:w1~market.2939:16807</v>
      </c>
      <c r="D2941" s="6" t="str">
        <f>_xll.QS.CONTEXT.ADD.CURVE(C2941,"SOFR",$K$2:$K$7,$L$2:$L$7,,,"Actual360","LogLinear",TRUE)</f>
        <v>QSObject:ContextInput:w1~input.qs_context_add_curve.2359132437744.2940.3.0:37589</v>
      </c>
      <c r="E2941" s="6" t="str">
        <f>_xll.QS.INSTRUMENT.SWAP("swap.2939",H2941,B2941,"USD","SOFR",I2941,J2941,0,"Actual360","Simple","Annual","Annual","Annual")</f>
        <v>QSObject:Swap:w1~swap.2939:16806</v>
      </c>
      <c r="F2941" s="6" t="str">
        <f>_xll.QS.TRADE.CREATE("trade.2939",E2941,A2941,"Receive")</f>
        <v>QSObject:SwapTrade:w1~trade.2939:28900</v>
      </c>
      <c r="G2941" s="3">
        <f>_xll.QS.EVALUATE(C2941,F2941)</f>
        <v>40977.619583627413</v>
      </c>
      <c r="H2941" s="5" t="s">
        <v>2269</v>
      </c>
      <c r="I2941" s="7">
        <v>1293900</v>
      </c>
      <c r="J2941" s="8">
        <v>3.8899999999999997E-2</v>
      </c>
    </row>
    <row r="2942" spans="1:10" x14ac:dyDescent="0.25">
      <c r="A2942" s="5" t="s">
        <v>2257</v>
      </c>
      <c r="B2942" s="5" t="s">
        <v>4809</v>
      </c>
      <c r="C2942" s="6" t="str">
        <f>_xll.QS.CONTEXT.CREATE("market.2940",A2942,"USD","SOFR")</f>
        <v>QSObject:PricingContext:w1~market.2940:16805</v>
      </c>
      <c r="D2942" s="6" t="str">
        <f>_xll.QS.CONTEXT.ADD.CURVE(C2942,"SOFR",$K$2:$K$7,$L$2:$L$7,,,"Actual360","LogLinear",TRUE)</f>
        <v>QSObject:ContextInput:w1~input.qs_context_add_curve.2359132437744.2941.3.0:37588</v>
      </c>
      <c r="E2942" s="6" t="str">
        <f>_xll.QS.INSTRUMENT.SWAP("swap.2940",H2942,B2942,"USD","SOFR",I2942,J2942,0,"Actual360","Simple","Annual","Annual","Annual")</f>
        <v>QSObject:Swap:w1~swap.2940:16804</v>
      </c>
      <c r="F2942" s="6" t="str">
        <f>_xll.QS.TRADE.CREATE("trade.2940",E2942,A2942,"Receive")</f>
        <v>QSObject:SwapTrade:w1~trade.2940:28899</v>
      </c>
      <c r="G2942" s="3">
        <f>_xll.QS.EVALUATE(C2942,F2942)</f>
        <v>41580.926196774912</v>
      </c>
      <c r="H2942" s="5" t="s">
        <v>2271</v>
      </c>
      <c r="I2942" s="7">
        <v>1294000</v>
      </c>
      <c r="J2942" s="8">
        <v>3.9000000000000007E-2</v>
      </c>
    </row>
    <row r="2943" spans="1:10" x14ac:dyDescent="0.25">
      <c r="A2943" s="5" t="s">
        <v>2259</v>
      </c>
      <c r="B2943" s="5" t="s">
        <v>4810</v>
      </c>
      <c r="C2943" s="6" t="str">
        <f>_xll.QS.CONTEXT.CREATE("market.2941",A2943,"USD","SOFR")</f>
        <v>QSObject:PricingContext:w1~market.2941:16803</v>
      </c>
      <c r="D2943" s="6" t="str">
        <f>_xll.QS.CONTEXT.ADD.CURVE(C2943,"SOFR",$K$2:$K$7,$L$2:$L$7,,,"Actual360","LogLinear",TRUE)</f>
        <v>QSObject:ContextInput:w1~input.qs_context_add_curve.2359132437744.2942.3.0:37587</v>
      </c>
      <c r="E2943" s="6" t="str">
        <f>_xll.QS.INSTRUMENT.SWAP("swap.2941",H2943,B2943,"USD","SOFR",I2943,J2943,0,"Actual360","Simple","Annual","Annual","Annual")</f>
        <v>QSObject:Swap:w1~swap.2941:16802</v>
      </c>
      <c r="F2943" s="6" t="str">
        <f>_xll.QS.TRADE.CREATE("trade.2941",E2943,A2943,"Receive")</f>
        <v>QSObject:SwapTrade:w1~trade.2941:28898</v>
      </c>
      <c r="G2943" s="3">
        <f>_xll.QS.EVALUATE(C2943,F2943)</f>
        <v>42209.860576272644</v>
      </c>
      <c r="H2943" s="5" t="s">
        <v>2273</v>
      </c>
      <c r="I2943" s="7">
        <v>1294100</v>
      </c>
      <c r="J2943" s="8">
        <v>3.9100000000000003E-2</v>
      </c>
    </row>
    <row r="2944" spans="1:10" x14ac:dyDescent="0.25">
      <c r="A2944" s="5" t="s">
        <v>2261</v>
      </c>
      <c r="B2944" s="5" t="s">
        <v>4811</v>
      </c>
      <c r="C2944" s="6" t="str">
        <f>_xll.QS.CONTEXT.CREATE("market.2942",A2944,"USD","SOFR")</f>
        <v>QSObject:PricingContext:w1~market.2942:16801</v>
      </c>
      <c r="D2944" s="6" t="str">
        <f>_xll.QS.CONTEXT.ADD.CURVE(C2944,"SOFR",$K$2:$K$7,$L$2:$L$7,,,"Actual360","LogLinear",TRUE)</f>
        <v>QSObject:ContextInput:w1~input.qs_context_add_curve.2359132437744.2943.3.0:37586</v>
      </c>
      <c r="E2944" s="6" t="str">
        <f>_xll.QS.INSTRUMENT.SWAP("swap.2942",H2944,B2944,"USD","SOFR",I2944,J2944,0,"Actual360","Simple","Annual","Annual","Annual")</f>
        <v>QSObject:Swap:w1~swap.2942:16800</v>
      </c>
      <c r="F2944" s="6" t="str">
        <f>_xll.QS.TRADE.CREATE("trade.2942",E2944,A2944,"Receive")</f>
        <v>QSObject:SwapTrade:w1~trade.2942:28897</v>
      </c>
      <c r="G2944" s="3">
        <f>_xll.QS.EVALUATE(C2944,F2944)</f>
        <v>42904.880657933601</v>
      </c>
      <c r="H2944" s="5" t="s">
        <v>2275</v>
      </c>
      <c r="I2944" s="7">
        <v>1294200</v>
      </c>
      <c r="J2944" s="8">
        <v>3.9200000000000013E-2</v>
      </c>
    </row>
    <row r="2945" spans="1:10" x14ac:dyDescent="0.25">
      <c r="A2945" s="5" t="s">
        <v>2263</v>
      </c>
      <c r="B2945" s="5" t="s">
        <v>4812</v>
      </c>
      <c r="C2945" s="6" t="str">
        <f>_xll.QS.CONTEXT.CREATE("market.2943",A2945,"USD","SOFR")</f>
        <v>QSObject:PricingContext:w1~market.2943:16799</v>
      </c>
      <c r="D2945" s="6" t="str">
        <f>_xll.QS.CONTEXT.ADD.CURVE(C2945,"SOFR",$K$2:$K$7,$L$2:$L$7,,,"Actual360","LogLinear",TRUE)</f>
        <v>QSObject:ContextInput:w1~input.qs_context_add_curve.2359132437744.2944.3.0:37585</v>
      </c>
      <c r="E2945" s="6" t="str">
        <f>_xll.QS.INSTRUMENT.SWAP("swap.2943",H2945,B2945,"USD","SOFR",I2945,J2945,0,"Actual360","Simple","Annual","Annual","Annual")</f>
        <v>QSObject:Swap:w1~swap.2943:16798</v>
      </c>
      <c r="F2945" s="6" t="str">
        <f>_xll.QS.TRADE.CREATE("trade.2943",E2945,A2945,"Receive")</f>
        <v>QSObject:SwapTrade:w1~trade.2943:28896</v>
      </c>
      <c r="G2945" s="3">
        <f>_xll.QS.EVALUATE(C2945,F2945)</f>
        <v>43561.7138604801</v>
      </c>
      <c r="H2945" s="5" t="s">
        <v>2277</v>
      </c>
      <c r="I2945" s="7">
        <v>1294300</v>
      </c>
      <c r="J2945" s="8">
        <v>3.9300000000000002E-2</v>
      </c>
    </row>
    <row r="2946" spans="1:10" x14ac:dyDescent="0.25">
      <c r="A2946" s="5" t="s">
        <v>2265</v>
      </c>
      <c r="B2946" s="5" t="s">
        <v>4813</v>
      </c>
      <c r="C2946" s="6" t="str">
        <f>_xll.QS.CONTEXT.CREATE("market.2944",A2946,"USD","SOFR")</f>
        <v>QSObject:PricingContext:w1~market.2944:16797</v>
      </c>
      <c r="D2946" s="6" t="str">
        <f>_xll.QS.CONTEXT.ADD.CURVE(C2946,"SOFR",$K$2:$K$7,$L$2:$L$7,,,"Actual360","LogLinear",TRUE)</f>
        <v>QSObject:ContextInput:w1~input.qs_context_add_curve.2359132437744.2945.3.0:37584</v>
      </c>
      <c r="E2946" s="6" t="str">
        <f>_xll.QS.INSTRUMENT.SWAP("swap.2944",H2946,B2946,"USD","SOFR",I2946,J2946,0,"Actual360","Simple","Annual","Annual","Annual")</f>
        <v>QSObject:Swap:w1~swap.2944:16796</v>
      </c>
      <c r="F2946" s="6" t="str">
        <f>_xll.QS.TRADE.CREATE("trade.2944",E2946,A2946,"Receive")</f>
        <v>QSObject:SwapTrade:w1~trade.2944:28895</v>
      </c>
      <c r="G2946" s="3">
        <f>_xll.QS.EVALUATE(C2946,F2946)</f>
        <v>44112.297373005327</v>
      </c>
      <c r="H2946" s="5" t="s">
        <v>2279</v>
      </c>
      <c r="I2946" s="7">
        <v>1294400</v>
      </c>
      <c r="J2946" s="8">
        <v>3.9399999999999998E-2</v>
      </c>
    </row>
    <row r="2947" spans="1:10" x14ac:dyDescent="0.25">
      <c r="A2947" s="5" t="s">
        <v>2267</v>
      </c>
      <c r="B2947" s="5" t="s">
        <v>4814</v>
      </c>
      <c r="C2947" s="6" t="str">
        <f>_xll.QS.CONTEXT.CREATE("market.2945",A2947,"USD","SOFR")</f>
        <v>QSObject:PricingContext:w1~market.2945:16795</v>
      </c>
      <c r="D2947" s="6" t="str">
        <f>_xll.QS.CONTEXT.ADD.CURVE(C2947,"SOFR",$K$2:$K$7,$L$2:$L$7,,,"Actual360","LogLinear",TRUE)</f>
        <v>QSObject:ContextInput:w1~input.qs_context_add_curve.2359132437744.2946.3.0:37583</v>
      </c>
      <c r="E2947" s="6" t="str">
        <f>_xll.QS.INSTRUMENT.SWAP("swap.2945",H2947,B2947,"USD","SOFR",I2947,J2947,0,"Actual360","Simple","Annual","Annual","Annual")</f>
        <v>QSObject:Swap:w1~swap.2945:16794</v>
      </c>
      <c r="F2947" s="6" t="str">
        <f>_xll.QS.TRADE.CREATE("trade.2945",E2947,A2947,"Receive")</f>
        <v>QSObject:SwapTrade:w1~trade.2945:28894</v>
      </c>
      <c r="G2947" s="3">
        <f>_xll.QS.EVALUATE(C2947,F2947)</f>
        <v>44689.207223649559</v>
      </c>
      <c r="H2947" s="5" t="s">
        <v>2281</v>
      </c>
      <c r="I2947" s="7">
        <v>1294500</v>
      </c>
      <c r="J2947" s="8">
        <v>3.9500000000000007E-2</v>
      </c>
    </row>
    <row r="2948" spans="1:10" x14ac:dyDescent="0.25">
      <c r="A2948" s="5" t="s">
        <v>2269</v>
      </c>
      <c r="B2948" s="5" t="s">
        <v>4815</v>
      </c>
      <c r="C2948" s="6" t="str">
        <f>_xll.QS.CONTEXT.CREATE("market.2946",A2948,"USD","SOFR")</f>
        <v>QSObject:PricingContext:w1~market.2946:16793</v>
      </c>
      <c r="D2948" s="6" t="str">
        <f>_xll.QS.CONTEXT.ADD.CURVE(C2948,"SOFR",$K$2:$K$7,$L$2:$L$7,,,"Actual360","LogLinear",TRUE)</f>
        <v>QSObject:ContextInput:w1~input.qs_context_add_curve.2359132437744.2947.3.0:37582</v>
      </c>
      <c r="E2948" s="6" t="str">
        <f>_xll.QS.INSTRUMENT.SWAP("swap.2946",H2948,B2948,"USD","SOFR",I2948,J2948,0,"Actual360","Simple","Annual","Annual","Annual")</f>
        <v>QSObject:Swap:w1~swap.2946:16792</v>
      </c>
      <c r="F2948" s="6" t="str">
        <f>_xll.QS.TRADE.CREATE("trade.2946",E2948,A2948,"Receive")</f>
        <v>QSObject:SwapTrade:w1~trade.2946:28893</v>
      </c>
      <c r="G2948" s="3">
        <f>_xll.QS.EVALUATE(C2948,F2948)</f>
        <v>45128.121792376718</v>
      </c>
      <c r="H2948" s="5" t="s">
        <v>2283</v>
      </c>
      <c r="I2948" s="7">
        <v>1294600</v>
      </c>
      <c r="J2948" s="8">
        <v>3.9600000000000003E-2</v>
      </c>
    </row>
    <row r="2949" spans="1:10" x14ac:dyDescent="0.25">
      <c r="A2949" s="5" t="s">
        <v>2271</v>
      </c>
      <c r="B2949" s="5" t="s">
        <v>4816</v>
      </c>
      <c r="C2949" s="6" t="str">
        <f>_xll.QS.CONTEXT.CREATE("market.2947",A2949,"USD","SOFR")</f>
        <v>QSObject:PricingContext:w1~market.2947:16791</v>
      </c>
      <c r="D2949" s="6" t="str">
        <f>_xll.QS.CONTEXT.ADD.CURVE(C2949,"SOFR",$K$2:$K$7,$L$2:$L$7,,,"Actual360","LogLinear",TRUE)</f>
        <v>QSObject:ContextInput:w1~input.qs_context_add_curve.2359132437744.2948.3.0:37581</v>
      </c>
      <c r="E2949" s="6" t="str">
        <f>_xll.QS.INSTRUMENT.SWAP("swap.2947",H2949,B2949,"USD","SOFR",I2949,J2949,0,"Actual360","Simple","Annual","Annual","Annual")</f>
        <v>QSObject:Swap:w1~swap.2947:16790</v>
      </c>
      <c r="F2949" s="6" t="str">
        <f>_xll.QS.TRADE.CREATE("trade.2947",E2949,A2949,"Receive")</f>
        <v>QSObject:SwapTrade:w1~trade.2947:28892</v>
      </c>
      <c r="G2949" s="3">
        <f>_xll.QS.EVALUATE(C2949,F2949)</f>
        <v>45784.530496816544</v>
      </c>
      <c r="H2949" s="5" t="s">
        <v>2285</v>
      </c>
      <c r="I2949" s="7">
        <v>1294700</v>
      </c>
      <c r="J2949" s="8">
        <v>3.9700000000000013E-2</v>
      </c>
    </row>
    <row r="2950" spans="1:10" x14ac:dyDescent="0.25">
      <c r="A2950" s="5" t="s">
        <v>2273</v>
      </c>
      <c r="B2950" s="5" t="s">
        <v>4817</v>
      </c>
      <c r="C2950" s="6" t="str">
        <f>_xll.QS.CONTEXT.CREATE("market.2948",A2950,"USD","SOFR")</f>
        <v>QSObject:PricingContext:w1~market.2948:16789</v>
      </c>
      <c r="D2950" s="6" t="str">
        <f>_xll.QS.CONTEXT.ADD.CURVE(C2950,"SOFR",$K$2:$K$7,$L$2:$L$7,,,"Actual360","LogLinear",TRUE)</f>
        <v>QSObject:ContextInput:w1~input.qs_context_add_curve.2359132437744.2949.3.0:37580</v>
      </c>
      <c r="E2950" s="6" t="str">
        <f>_xll.QS.INSTRUMENT.SWAP("swap.2948",H2950,B2950,"USD","SOFR",I2950,J2950,0,"Actual360","Simple","Annual","Annual","Annual")</f>
        <v>QSObject:Swap:w1~swap.2948:16788</v>
      </c>
      <c r="F2950" s="6" t="str">
        <f>_xll.QS.TRADE.CREATE("trade.2948",E2950,A2950,"Receive")</f>
        <v>QSObject:SwapTrade:w1~trade.2948:28891</v>
      </c>
      <c r="G2950" s="3">
        <f>_xll.QS.EVALUATE(C2950,F2950)</f>
        <v>46412.204958100818</v>
      </c>
      <c r="H2950" s="5" t="s">
        <v>2287</v>
      </c>
      <c r="I2950" s="7">
        <v>1294800</v>
      </c>
      <c r="J2950" s="8">
        <v>3.9800000000000002E-2</v>
      </c>
    </row>
    <row r="2951" spans="1:10" x14ac:dyDescent="0.25">
      <c r="A2951" s="5" t="s">
        <v>2275</v>
      </c>
      <c r="B2951" s="5" t="s">
        <v>4818</v>
      </c>
      <c r="C2951" s="6" t="str">
        <f>_xll.QS.CONTEXT.CREATE("market.2949",A2951,"USD","SOFR")</f>
        <v>QSObject:PricingContext:w1~market.2949:16787</v>
      </c>
      <c r="D2951" s="6" t="str">
        <f>_xll.QS.CONTEXT.ADD.CURVE(C2951,"SOFR",$K$2:$K$7,$L$2:$L$7,,,"Actual360","LogLinear",TRUE)</f>
        <v>QSObject:ContextInput:w1~input.qs_context_add_curve.2359132437744.2950.3.0:37579</v>
      </c>
      <c r="E2951" s="6" t="str">
        <f>_xll.QS.INSTRUMENT.SWAP("swap.2949",H2951,B2951,"USD","SOFR",I2951,J2951,0,"Actual360","Simple","Annual","Annual","Annual")</f>
        <v>QSObject:Swap:w1~swap.2949:16786</v>
      </c>
      <c r="F2951" s="6" t="str">
        <f>_xll.QS.TRADE.CREATE("trade.2949",E2951,A2951,"Receive")</f>
        <v>QSObject:SwapTrade:w1~trade.2949:28890</v>
      </c>
      <c r="G2951" s="3">
        <f>_xll.QS.EVALUATE(C2951,F2951)</f>
        <v>47158.063458082681</v>
      </c>
      <c r="H2951" s="5" t="s">
        <v>2289</v>
      </c>
      <c r="I2951" s="7">
        <v>1294900</v>
      </c>
      <c r="J2951" s="8">
        <v>3.9899999999999998E-2</v>
      </c>
    </row>
    <row r="2952" spans="1:10" x14ac:dyDescent="0.25">
      <c r="A2952" s="5" t="s">
        <v>2277</v>
      </c>
      <c r="B2952" s="5" t="s">
        <v>4819</v>
      </c>
      <c r="C2952" s="6" t="str">
        <f>_xll.QS.CONTEXT.CREATE("market.2950",A2952,"USD","SOFR")</f>
        <v>QSObject:PricingContext:w1~market.2950:16785</v>
      </c>
      <c r="D2952" s="6" t="str">
        <f>_xll.QS.CONTEXT.ADD.CURVE(C2952,"SOFR",$K$2:$K$7,$L$2:$L$7,,,"Actual360","LogLinear",TRUE)</f>
        <v>QSObject:ContextInput:w1~input.qs_context_add_curve.2359132437744.2951.3.0:37578</v>
      </c>
      <c r="E2952" s="6" t="str">
        <f>_xll.QS.INSTRUMENT.SWAP("swap.2950",H2952,B2952,"USD","SOFR",I2952,J2952,0,"Actual360","Simple","Annual","Annual","Annual")</f>
        <v>QSObject:Swap:w1~swap.2950:16784</v>
      </c>
      <c r="F2952" s="6" t="str">
        <f>_xll.QS.TRADE.CREATE("trade.2950",E2952,A2952,"Receive")</f>
        <v>QSObject:SwapTrade:w1~trade.2950:28889</v>
      </c>
      <c r="G2952" s="3">
        <f>_xll.QS.EVALUATE(C2952,F2952)</f>
        <v>17906.459189586487</v>
      </c>
      <c r="H2952" s="5" t="s">
        <v>2291</v>
      </c>
      <c r="I2952" s="7">
        <v>1295000</v>
      </c>
      <c r="J2952" s="8">
        <v>3.5000000000000003E-2</v>
      </c>
    </row>
    <row r="2953" spans="1:10" x14ac:dyDescent="0.25">
      <c r="A2953" s="5" t="s">
        <v>2279</v>
      </c>
      <c r="B2953" s="5" t="s">
        <v>4820</v>
      </c>
      <c r="C2953" s="6" t="str">
        <f>_xll.QS.CONTEXT.CREATE("market.2951",A2953,"USD","SOFR")</f>
        <v>QSObject:PricingContext:w1~market.2951:16783</v>
      </c>
      <c r="D2953" s="6" t="str">
        <f>_xll.QS.CONTEXT.ADD.CURVE(C2953,"SOFR",$K$2:$K$7,$L$2:$L$7,,,"Actual360","LogLinear",TRUE)</f>
        <v>QSObject:ContextInput:w1~input.qs_context_add_curve.2359132437744.2952.3.0:37577</v>
      </c>
      <c r="E2953" s="6" t="str">
        <f>_xll.QS.INSTRUMENT.SWAP("swap.2951",H2953,B2953,"USD","SOFR",I2953,J2953,0,"Actual360","Simple","Annual","Annual","Annual")</f>
        <v>QSObject:Swap:w1~swap.2951:16782</v>
      </c>
      <c r="F2953" s="6" t="str">
        <f>_xll.QS.TRADE.CREATE("trade.2951",E2953,A2953,"Receive")</f>
        <v>QSObject:SwapTrade:w1~trade.2951:28888</v>
      </c>
      <c r="G2953" s="3">
        <f>_xll.QS.EVALUATE(C2953,F2953)</f>
        <v>18455.415947178044</v>
      </c>
      <c r="H2953" s="5" t="s">
        <v>2293</v>
      </c>
      <c r="I2953" s="7">
        <v>1295100</v>
      </c>
      <c r="J2953" s="8">
        <v>3.5100000000000013E-2</v>
      </c>
    </row>
    <row r="2954" spans="1:10" x14ac:dyDescent="0.25">
      <c r="A2954" s="5" t="s">
        <v>2281</v>
      </c>
      <c r="B2954" s="5" t="s">
        <v>4821</v>
      </c>
      <c r="C2954" s="6" t="str">
        <f>_xll.QS.CONTEXT.CREATE("market.2952",A2954,"USD","SOFR")</f>
        <v>QSObject:PricingContext:w1~market.2952:16781</v>
      </c>
      <c r="D2954" s="6" t="str">
        <f>_xll.QS.CONTEXT.ADD.CURVE(C2954,"SOFR",$K$2:$K$7,$L$2:$L$7,,,"Actual360","LogLinear",TRUE)</f>
        <v>QSObject:ContextInput:w1~input.qs_context_add_curve.2359132437744.2953.3.0:37576</v>
      </c>
      <c r="E2954" s="6" t="str">
        <f>_xll.QS.INSTRUMENT.SWAP("swap.2952",H2954,B2954,"USD","SOFR",I2954,J2954,0,"Actual360","Simple","Annual","Annual","Annual")</f>
        <v>QSObject:Swap:w1~swap.2952:16780</v>
      </c>
      <c r="F2954" s="6" t="str">
        <f>_xll.QS.TRADE.CREATE("trade.2952",E2954,A2954,"Receive")</f>
        <v>QSObject:SwapTrade:w1~trade.2952:28887</v>
      </c>
      <c r="G2954" s="3">
        <f>_xll.QS.EVALUATE(C2954,F2954)</f>
        <v>18977.0729533798</v>
      </c>
      <c r="H2954" s="5" t="s">
        <v>2295</v>
      </c>
      <c r="I2954" s="7">
        <v>1295200</v>
      </c>
      <c r="J2954" s="8">
        <v>3.5200000000000002E-2</v>
      </c>
    </row>
    <row r="2955" spans="1:10" x14ac:dyDescent="0.25">
      <c r="A2955" s="5" t="s">
        <v>2283</v>
      </c>
      <c r="B2955" s="5" t="s">
        <v>4822</v>
      </c>
      <c r="C2955" s="6" t="str">
        <f>_xll.QS.CONTEXT.CREATE("market.2953",A2955,"USD","SOFR")</f>
        <v>QSObject:PricingContext:w1~market.2953:16779</v>
      </c>
      <c r="D2955" s="6" t="str">
        <f>_xll.QS.CONTEXT.ADD.CURVE(C2955,"SOFR",$K$2:$K$7,$L$2:$L$7,,,"Actual360","LogLinear",TRUE)</f>
        <v>QSObject:ContextInput:w1~input.qs_context_add_curve.2359132437744.2954.3.0:37575</v>
      </c>
      <c r="E2955" s="6" t="str">
        <f>_xll.QS.INSTRUMENT.SWAP("swap.2953",H2955,B2955,"USD","SOFR",I2955,J2955,0,"Actual360","Simple","Annual","Annual","Annual")</f>
        <v>QSObject:Swap:w1~swap.2953:16778</v>
      </c>
      <c r="F2955" s="6" t="str">
        <f>_xll.QS.TRADE.CREATE("trade.2953",E2955,A2955,"Receive")</f>
        <v>QSObject:SwapTrade:w1~trade.2953:28886</v>
      </c>
      <c r="G2955" s="3">
        <f>_xll.QS.EVALUATE(C2955,F2955)</f>
        <v>19458.470127200715</v>
      </c>
      <c r="H2955" s="5" t="s">
        <v>2297</v>
      </c>
      <c r="I2955" s="7">
        <v>1295300</v>
      </c>
      <c r="J2955" s="8">
        <v>3.5299999999999998E-2</v>
      </c>
    </row>
    <row r="2956" spans="1:10" x14ac:dyDescent="0.25">
      <c r="A2956" s="5" t="s">
        <v>2285</v>
      </c>
      <c r="B2956" s="5" t="s">
        <v>4823</v>
      </c>
      <c r="C2956" s="6" t="str">
        <f>_xll.QS.CONTEXT.CREATE("market.2954",A2956,"USD","SOFR")</f>
        <v>QSObject:PricingContext:w1~market.2954:16777</v>
      </c>
      <c r="D2956" s="6" t="str">
        <f>_xll.QS.CONTEXT.ADD.CURVE(C2956,"SOFR",$K$2:$K$7,$L$2:$L$7,,,"Actual360","LogLinear",TRUE)</f>
        <v>QSObject:ContextInput:w1~input.qs_context_add_curve.2359132437744.2955.3.0:37574</v>
      </c>
      <c r="E2956" s="6" t="str">
        <f>_xll.QS.INSTRUMENT.SWAP("swap.2954",H2956,B2956,"USD","SOFR",I2956,J2956,0,"Actual360","Simple","Annual","Annual","Annual")</f>
        <v>QSObject:Swap:w1~swap.2954:16776</v>
      </c>
      <c r="F2956" s="6" t="str">
        <f>_xll.QS.TRADE.CREATE("trade.2954",E2956,A2956,"Receive")</f>
        <v>QSObject:SwapTrade:w1~trade.2954:28885</v>
      </c>
      <c r="G2956" s="3">
        <f>_xll.QS.EVALUATE(C2956,F2956)</f>
        <v>20110.759108619488</v>
      </c>
      <c r="H2956" s="5" t="s">
        <v>2299</v>
      </c>
      <c r="I2956" s="7">
        <v>1295400</v>
      </c>
      <c r="J2956" s="8">
        <v>3.5400000000000001E-2</v>
      </c>
    </row>
    <row r="2957" spans="1:10" x14ac:dyDescent="0.25">
      <c r="A2957" s="5" t="s">
        <v>2287</v>
      </c>
      <c r="B2957" s="5" t="s">
        <v>4824</v>
      </c>
      <c r="C2957" s="6" t="str">
        <f>_xll.QS.CONTEXT.CREATE("market.2955",A2957,"USD","SOFR")</f>
        <v>QSObject:PricingContext:w1~market.2955:16775</v>
      </c>
      <c r="D2957" s="6" t="str">
        <f>_xll.QS.CONTEXT.ADD.CURVE(C2957,"SOFR",$K$2:$K$7,$L$2:$L$7,,,"Actual360","LogLinear",TRUE)</f>
        <v>QSObject:ContextInput:w1~input.qs_context_add_curve.2359132437744.2956.3.0:36999</v>
      </c>
      <c r="E2957" s="6" t="str">
        <f>_xll.QS.INSTRUMENT.SWAP("swap.2955",H2957,B2957,"USD","SOFR",I2957,J2957,0,"Actual360","Simple","Annual","Annual","Annual")</f>
        <v>QSObject:Swap:w1~swap.2955:16774</v>
      </c>
      <c r="F2957" s="6" t="str">
        <f>_xll.QS.TRADE.CREATE("trade.2955",E2957,A2957,"Receive")</f>
        <v>QSObject:SwapTrade:w1~trade.2955:28884</v>
      </c>
      <c r="G2957" s="3">
        <f>_xll.QS.EVALUATE(C2957,F2957)</f>
        <v>20749.269015236583</v>
      </c>
      <c r="H2957" s="5" t="s">
        <v>2301</v>
      </c>
      <c r="I2957" s="7">
        <v>1295500</v>
      </c>
      <c r="J2957" s="8">
        <v>3.5499999999999997E-2</v>
      </c>
    </row>
    <row r="2958" spans="1:10" x14ac:dyDescent="0.25">
      <c r="A2958" s="5" t="s">
        <v>2289</v>
      </c>
      <c r="B2958" s="5" t="s">
        <v>4825</v>
      </c>
      <c r="C2958" s="6" t="str">
        <f>_xll.QS.CONTEXT.CREATE("market.2956",A2958,"USD","SOFR")</f>
        <v>QSObject:PricingContext:w1~market.2956:16773</v>
      </c>
      <c r="D2958" s="6" t="str">
        <f>_xll.QS.CONTEXT.ADD.CURVE(C2958,"SOFR",$K$2:$K$7,$L$2:$L$7,,,"Actual360","LogLinear",TRUE)</f>
        <v>QSObject:ContextInput:w1~input.qs_context_add_curve.2359132437744.2957.3.0:34101</v>
      </c>
      <c r="E2958" s="6" t="str">
        <f>_xll.QS.INSTRUMENT.SWAP("swap.2956",H2958,B2958,"USD","SOFR",I2958,J2958,0,"Actual360","Simple","Annual","Annual","Annual")</f>
        <v>QSObject:Swap:w1~swap.2956:16772</v>
      </c>
      <c r="F2958" s="6" t="str">
        <f>_xll.QS.TRADE.CREATE("trade.2956",E2958,A2958,"Receive")</f>
        <v>QSObject:SwapTrade:w1~trade.2956:28883</v>
      </c>
      <c r="G2958" s="3">
        <f>_xll.QS.EVALUATE(C2958,F2958)</f>
        <v>21443.036973294489</v>
      </c>
      <c r="H2958" s="5" t="s">
        <v>2303</v>
      </c>
      <c r="I2958" s="7">
        <v>1295600</v>
      </c>
      <c r="J2958" s="8">
        <v>3.5600000000000007E-2</v>
      </c>
    </row>
    <row r="2959" spans="1:10" x14ac:dyDescent="0.25">
      <c r="A2959" s="5" t="s">
        <v>2291</v>
      </c>
      <c r="B2959" s="5" t="s">
        <v>4826</v>
      </c>
      <c r="C2959" s="6" t="str">
        <f>_xll.QS.CONTEXT.CREATE("market.2957",A2959,"USD","SOFR")</f>
        <v>QSObject:PricingContext:w1~market.2957:16771</v>
      </c>
      <c r="D2959" s="6" t="str">
        <f>_xll.QS.CONTEXT.ADD.CURVE(C2959,"SOFR",$K$2:$K$7,$L$2:$L$7,,,"Actual360","LogLinear",TRUE)</f>
        <v>QSObject:ContextInput:w1~input.qs_context_add_curve.2359132437744.2958.3.0:34731</v>
      </c>
      <c r="E2959" s="6" t="str">
        <f>_xll.QS.INSTRUMENT.SWAP("swap.2957",H2959,B2959,"USD","SOFR",I2959,J2959,0,"Actual360","Simple","Annual","Annual","Annual")</f>
        <v>QSObject:Swap:w1~swap.2957:16770</v>
      </c>
      <c r="F2959" s="6" t="str">
        <f>_xll.QS.TRADE.CREATE("trade.2957",E2959,A2959,"Receive")</f>
        <v>QSObject:SwapTrade:w1~trade.2957:28882</v>
      </c>
      <c r="G2959" s="3">
        <f>_xll.QS.EVALUATE(C2959,F2959)</f>
        <v>22098.670055047922</v>
      </c>
      <c r="H2959" s="5" t="s">
        <v>2305</v>
      </c>
      <c r="I2959" s="7">
        <v>1295700</v>
      </c>
      <c r="J2959" s="8">
        <v>3.5700000000000003E-2</v>
      </c>
    </row>
    <row r="2960" spans="1:10" x14ac:dyDescent="0.25">
      <c r="A2960" s="5" t="s">
        <v>2293</v>
      </c>
      <c r="B2960" s="5" t="s">
        <v>4827</v>
      </c>
      <c r="C2960" s="6" t="str">
        <f>_xll.QS.CONTEXT.CREATE("market.2958",A2960,"USD","SOFR")</f>
        <v>QSObject:PricingContext:w1~market.2958:16769</v>
      </c>
      <c r="D2960" s="6" t="str">
        <f>_xll.QS.CONTEXT.ADD.CURVE(C2960,"SOFR",$K$2:$K$7,$L$2:$L$7,,,"Actual360","LogLinear",TRUE)</f>
        <v>QSObject:ContextInput:w1~input.qs_context_add_curve.2359132437744.2959.3.0:32982</v>
      </c>
      <c r="E2960" s="6" t="str">
        <f>_xll.QS.INSTRUMENT.SWAP("swap.2958",H2960,B2960,"USD","SOFR",I2960,J2960,0,"Actual360","Simple","Annual","Annual","Annual")</f>
        <v>QSObject:Swap:w1~swap.2958:16768</v>
      </c>
      <c r="F2960" s="6" t="str">
        <f>_xll.QS.TRADE.CREATE("trade.2958",E2960,A2960,"Receive")</f>
        <v>QSObject:SwapTrade:w1~trade.2958:28881</v>
      </c>
      <c r="G2960" s="3">
        <f>_xll.QS.EVALUATE(C2960,F2960)</f>
        <v>22648.088044671051</v>
      </c>
      <c r="H2960" s="5" t="s">
        <v>2307</v>
      </c>
      <c r="I2960" s="7">
        <v>1295800</v>
      </c>
      <c r="J2960" s="8">
        <v>3.5800000000000012E-2</v>
      </c>
    </row>
    <row r="2961" spans="1:10" x14ac:dyDescent="0.25">
      <c r="A2961" s="5" t="s">
        <v>2295</v>
      </c>
      <c r="B2961" s="5" t="s">
        <v>4828</v>
      </c>
      <c r="C2961" s="6" t="str">
        <f>_xll.QS.CONTEXT.CREATE("market.2959",A2961,"USD","SOFR")</f>
        <v>QSObject:PricingContext:w1~market.2959:16767</v>
      </c>
      <c r="D2961" s="6" t="str">
        <f>_xll.QS.CONTEXT.ADD.CURVE(C2961,"SOFR",$K$2:$K$7,$L$2:$L$7,,,"Actual360","LogLinear",TRUE)</f>
        <v>QSObject:ContextInput:w1~input.qs_context_add_curve.2359132437744.2960.3.0:36998</v>
      </c>
      <c r="E2961" s="6" t="str">
        <f>_xll.QS.INSTRUMENT.SWAP("swap.2959",H2961,B2961,"USD","SOFR",I2961,J2961,0,"Actual360","Simple","Annual","Annual","Annual")</f>
        <v>QSObject:Swap:w1~swap.2959:16766</v>
      </c>
      <c r="F2961" s="6" t="str">
        <f>_xll.QS.TRADE.CREATE("trade.2959",E2961,A2961,"Receive")</f>
        <v>QSObject:SwapTrade:w1~trade.2959:28880</v>
      </c>
      <c r="G2961" s="3">
        <f>_xll.QS.EVALUATE(C2961,F2961)</f>
        <v>23150.047739021851</v>
      </c>
      <c r="H2961" s="5" t="s">
        <v>2309</v>
      </c>
      <c r="I2961" s="7">
        <v>1295900</v>
      </c>
      <c r="J2961" s="8">
        <v>3.5900000000000001E-2</v>
      </c>
    </row>
    <row r="2962" spans="1:10" x14ac:dyDescent="0.25">
      <c r="A2962" s="5" t="s">
        <v>2297</v>
      </c>
      <c r="B2962" s="5" t="s">
        <v>4829</v>
      </c>
      <c r="C2962" s="6" t="str">
        <f>_xll.QS.CONTEXT.CREATE("market.2960",A2962,"USD","SOFR")</f>
        <v>QSObject:PricingContext:w1~market.2960:16765</v>
      </c>
      <c r="D2962" s="6" t="str">
        <f>_xll.QS.CONTEXT.ADD.CURVE(C2962,"SOFR",$K$2:$K$7,$L$2:$L$7,,,"Actual360","LogLinear",TRUE)</f>
        <v>QSObject:ContextInput:w1~input.qs_context_add_curve.2359132437744.2961.3.0:37559</v>
      </c>
      <c r="E2962" s="6" t="str">
        <f>_xll.QS.INSTRUMENT.SWAP("swap.2960",H2962,B2962,"USD","SOFR",I2962,J2962,0,"Actual360","Simple","Annual","Annual","Annual")</f>
        <v>QSObject:Swap:w1~swap.2960:16764</v>
      </c>
      <c r="F2962" s="6" t="str">
        <f>_xll.QS.TRADE.CREATE("trade.2960",E2962,A2962,"Receive")</f>
        <v>QSObject:SwapTrade:w1~trade.2960:28879</v>
      </c>
      <c r="G2962" s="3">
        <f>_xll.QS.EVALUATE(C2962,F2962)</f>
        <v>23600.785356453111</v>
      </c>
      <c r="H2962" s="5" t="s">
        <v>2311</v>
      </c>
      <c r="I2962" s="7">
        <v>1296000</v>
      </c>
      <c r="J2962" s="8">
        <v>3.5999999999999997E-2</v>
      </c>
    </row>
    <row r="2963" spans="1:10" x14ac:dyDescent="0.25">
      <c r="A2963" s="5" t="s">
        <v>2299</v>
      </c>
      <c r="B2963" s="5" t="s">
        <v>4830</v>
      </c>
      <c r="C2963" s="6" t="str">
        <f>_xll.QS.CONTEXT.CREATE("market.2961",A2963,"USD","SOFR")</f>
        <v>QSObject:PricingContext:w1~market.2961:16763</v>
      </c>
      <c r="D2963" s="6" t="str">
        <f>_xll.QS.CONTEXT.ADD.CURVE(C2963,"SOFR",$K$2:$K$7,$L$2:$L$7,,,"Actual360","LogLinear",TRUE)</f>
        <v>QSObject:ContextInput:w1~input.qs_context_add_curve.2359132437744.2962.3.0:34730</v>
      </c>
      <c r="E2963" s="6" t="str">
        <f>_xll.QS.INSTRUMENT.SWAP("swap.2961",H2963,B2963,"USD","SOFR",I2963,J2963,0,"Actual360","Simple","Annual","Annual","Annual")</f>
        <v>QSObject:Swap:w1~swap.2961:16762</v>
      </c>
      <c r="F2963" s="6" t="str">
        <f>_xll.QS.TRADE.CREATE("trade.2961",E2963,A2963,"Receive")</f>
        <v>QSObject:SwapTrade:w1~trade.2961:28878</v>
      </c>
      <c r="G2963" s="3">
        <f>_xll.QS.EVALUATE(C2963,F2963)</f>
        <v>24254.481966609943</v>
      </c>
      <c r="H2963" s="5" t="s">
        <v>2313</v>
      </c>
      <c r="I2963" s="7">
        <v>1296100</v>
      </c>
      <c r="J2963" s="8">
        <v>3.61E-2</v>
      </c>
    </row>
    <row r="2964" spans="1:10" x14ac:dyDescent="0.25">
      <c r="A2964" s="5" t="s">
        <v>2301</v>
      </c>
      <c r="B2964" s="5" t="s">
        <v>4831</v>
      </c>
      <c r="C2964" s="6" t="str">
        <f>_xll.QS.CONTEXT.CREATE("market.2962",A2964,"USD","SOFR")</f>
        <v>QSObject:PricingContext:w1~market.2962:16761</v>
      </c>
      <c r="D2964" s="6" t="str">
        <f>_xll.QS.CONTEXT.ADD.CURVE(C2964,"SOFR",$K$2:$K$7,$L$2:$L$7,,,"Actual360","LogLinear",TRUE)</f>
        <v>QSObject:ContextInput:w1~input.qs_context_add_curve.2359132437744.2963.3.0:32981</v>
      </c>
      <c r="E2964" s="6" t="str">
        <f>_xll.QS.INSTRUMENT.SWAP("swap.2962",H2964,B2964,"USD","SOFR",I2964,J2964,0,"Actual360","Simple","Annual","Annual","Annual")</f>
        <v>QSObject:Swap:w1~swap.2962:16760</v>
      </c>
      <c r="F2964" s="6" t="str">
        <f>_xll.QS.TRADE.CREATE("trade.2962",E2964,A2964,"Receive")</f>
        <v>QSObject:SwapTrade:w1~trade.2962:28877</v>
      </c>
      <c r="G2964" s="3">
        <f>_xll.QS.EVALUATE(C2964,F2964)</f>
        <v>24907.945444819074</v>
      </c>
      <c r="H2964" s="5" t="s">
        <v>2315</v>
      </c>
      <c r="I2964" s="7">
        <v>1296200</v>
      </c>
      <c r="J2964" s="8">
        <v>3.6200000000000003E-2</v>
      </c>
    </row>
    <row r="2965" spans="1:10" x14ac:dyDescent="0.25">
      <c r="A2965" s="5" t="s">
        <v>2303</v>
      </c>
      <c r="B2965" s="5" t="s">
        <v>4832</v>
      </c>
      <c r="C2965" s="6" t="str">
        <f>_xll.QS.CONTEXT.CREATE("market.2963",A2965,"USD","SOFR")</f>
        <v>QSObject:PricingContext:w1~market.2963:16759</v>
      </c>
      <c r="D2965" s="6" t="str">
        <f>_xll.QS.CONTEXT.ADD.CURVE(C2965,"SOFR",$K$2:$K$7,$L$2:$L$7,,,"Actual360","LogLinear",TRUE)</f>
        <v>QSObject:ContextInput:w1~input.qs_context_add_curve.2359132437744.2964.3.0:33518</v>
      </c>
      <c r="E2965" s="6" t="str">
        <f>_xll.QS.INSTRUMENT.SWAP("swap.2963",H2965,B2965,"USD","SOFR",I2965,J2965,0,"Actual360","Simple","Annual","Annual","Annual")</f>
        <v>QSObject:Swap:w1~swap.2963:16758</v>
      </c>
      <c r="F2965" s="6" t="str">
        <f>_xll.QS.TRADE.CREATE("trade.2963",E2965,A2965,"Receive")</f>
        <v>QSObject:SwapTrade:w1~trade.2963:28876</v>
      </c>
      <c r="G2965" s="3">
        <f>_xll.QS.EVALUATE(C2965,F2965)</f>
        <v>25686.770562009486</v>
      </c>
      <c r="H2965" s="5" t="s">
        <v>2317</v>
      </c>
      <c r="I2965" s="7">
        <v>1296300</v>
      </c>
      <c r="J2965" s="8">
        <v>3.6300000000000013E-2</v>
      </c>
    </row>
    <row r="2966" spans="1:10" x14ac:dyDescent="0.25">
      <c r="A2966" s="5" t="s">
        <v>2305</v>
      </c>
      <c r="B2966" s="5" t="s">
        <v>4833</v>
      </c>
      <c r="C2966" s="6" t="str">
        <f>_xll.QS.CONTEXT.CREATE("market.2964",A2966,"USD","SOFR")</f>
        <v>QSObject:PricingContext:w1~market.2964:16757</v>
      </c>
      <c r="D2966" s="6" t="str">
        <f>_xll.QS.CONTEXT.ADD.CURVE(C2966,"SOFR",$K$2:$K$7,$L$2:$L$7,,,"Actual360","LogLinear",TRUE)</f>
        <v>QSObject:ContextInput:w1~input.qs_context_add_curve.2359132437744.2965.3.0:34100</v>
      </c>
      <c r="E2966" s="6" t="str">
        <f>_xll.QS.INSTRUMENT.SWAP("swap.2964",H2966,B2966,"USD","SOFR",I2966,J2966,0,"Actual360","Simple","Annual","Annual","Annual")</f>
        <v>QSObject:Swap:w1~swap.2964:16756</v>
      </c>
      <c r="F2966" s="6" t="str">
        <f>_xll.QS.TRADE.CREATE("trade.2964",E2966,A2966,"Receive")</f>
        <v>QSObject:SwapTrade:w1~trade.2964:28875</v>
      </c>
      <c r="G2966" s="3">
        <f>_xll.QS.EVALUATE(C2966,F2966)</f>
        <v>26298.379244794123</v>
      </c>
      <c r="H2966" s="5" t="s">
        <v>2319</v>
      </c>
      <c r="I2966" s="7">
        <v>1296400</v>
      </c>
      <c r="J2966" s="8">
        <v>3.6400000000000002E-2</v>
      </c>
    </row>
    <row r="2967" spans="1:10" x14ac:dyDescent="0.25">
      <c r="A2967" s="5" t="s">
        <v>2307</v>
      </c>
      <c r="B2967" s="5" t="s">
        <v>4834</v>
      </c>
      <c r="C2967" s="6" t="str">
        <f>_xll.QS.CONTEXT.CREATE("market.2965",A2967,"USD","SOFR")</f>
        <v>QSObject:PricingContext:w1~market.2965:16755</v>
      </c>
      <c r="D2967" s="6" t="str">
        <f>_xll.QS.CONTEXT.ADD.CURVE(C2967,"SOFR",$K$2:$K$7,$L$2:$L$7,,,"Actual360","LogLinear",TRUE)</f>
        <v>QSObject:ContextInput:w1~input.qs_context_add_curve.2359132437744.2966.3.0:34099</v>
      </c>
      <c r="E2967" s="6" t="str">
        <f>_xll.QS.INSTRUMENT.SWAP("swap.2965",H2967,B2967,"USD","SOFR",I2967,J2967,0,"Actual360","Simple","Annual","Annual","Annual")</f>
        <v>QSObject:Swap:w1~swap.2965:16754</v>
      </c>
      <c r="F2967" s="6" t="str">
        <f>_xll.QS.TRADE.CREATE("trade.2965",E2967,A2967,"Receive")</f>
        <v>QSObject:SwapTrade:w1~trade.2965:28874</v>
      </c>
      <c r="G2967" s="3">
        <f>_xll.QS.EVALUATE(C2967,F2967)</f>
        <v>26897.442255978996</v>
      </c>
      <c r="H2967" s="5" t="s">
        <v>2321</v>
      </c>
      <c r="I2967" s="7">
        <v>1296500</v>
      </c>
      <c r="J2967" s="8">
        <v>3.6499999999999998E-2</v>
      </c>
    </row>
    <row r="2968" spans="1:10" x14ac:dyDescent="0.25">
      <c r="A2968" s="5" t="s">
        <v>2309</v>
      </c>
      <c r="B2968" s="5" t="s">
        <v>4835</v>
      </c>
      <c r="C2968" s="6" t="str">
        <f>_xll.QS.CONTEXT.CREATE("market.2966",A2968,"USD","SOFR")</f>
        <v>QSObject:PricingContext:w1~market.2966:16753</v>
      </c>
      <c r="D2968" s="6" t="str">
        <f>_xll.QS.CONTEXT.ADD.CURVE(C2968,"SOFR",$K$2:$K$7,$L$2:$L$7,,,"Actual360","LogLinear",TRUE)</f>
        <v>QSObject:ContextInput:w1~input.qs_context_add_curve.2359132437744.2967.3.0:32980</v>
      </c>
      <c r="E2968" s="6" t="str">
        <f>_xll.QS.INSTRUMENT.SWAP("swap.2966",H2968,B2968,"USD","SOFR",I2968,J2968,0,"Actual360","Simple","Annual","Annual","Annual")</f>
        <v>QSObject:Swap:w1~swap.2966:16752</v>
      </c>
      <c r="F2968" s="6" t="str">
        <f>_xll.QS.TRADE.CREATE("trade.2966",E2968,A2968,"Receive")</f>
        <v>QSObject:SwapTrade:w1~trade.2966:28873</v>
      </c>
      <c r="G2968" s="3">
        <f>_xll.QS.EVALUATE(C2968,F2968)</f>
        <v>27410.465527405948</v>
      </c>
      <c r="H2968" s="5" t="s">
        <v>2323</v>
      </c>
      <c r="I2968" s="7">
        <v>1296600</v>
      </c>
      <c r="J2968" s="8">
        <v>3.6600000000000001E-2</v>
      </c>
    </row>
    <row r="2969" spans="1:10" x14ac:dyDescent="0.25">
      <c r="A2969" s="5" t="s">
        <v>2311</v>
      </c>
      <c r="B2969" s="5" t="s">
        <v>4836</v>
      </c>
      <c r="C2969" s="6" t="str">
        <f>_xll.QS.CONTEXT.CREATE("market.2967",A2969,"USD","SOFR")</f>
        <v>QSObject:PricingContext:w1~market.2967:16751</v>
      </c>
      <c r="D2969" s="6" t="str">
        <f>_xll.QS.CONTEXT.ADD.CURVE(C2969,"SOFR",$K$2:$K$7,$L$2:$L$7,,,"Actual360","LogLinear",TRUE)</f>
        <v>QSObject:ContextInput:w1~input.qs_context_add_curve.2359132437744.2968.3.0:35922</v>
      </c>
      <c r="E2969" s="6" t="str">
        <f>_xll.QS.INSTRUMENT.SWAP("swap.2967",H2969,B2969,"USD","SOFR",I2969,J2969,0,"Actual360","Simple","Annual","Annual","Annual")</f>
        <v>QSObject:Swap:w1~swap.2967:16750</v>
      </c>
      <c r="F2969" s="6" t="str">
        <f>_xll.QS.TRADE.CREATE("trade.2967",E2969,A2969,"Receive")</f>
        <v>QSObject:SwapTrade:w1~trade.2967:28872</v>
      </c>
      <c r="G2969" s="3">
        <f>_xll.QS.EVALUATE(C2969,F2969)</f>
        <v>27906.070251373989</v>
      </c>
      <c r="H2969" s="5" t="s">
        <v>2325</v>
      </c>
      <c r="I2969" s="7">
        <v>1296700</v>
      </c>
      <c r="J2969" s="8">
        <v>3.6700000000000003E-2</v>
      </c>
    </row>
    <row r="2970" spans="1:10" x14ac:dyDescent="0.25">
      <c r="A2970" s="5" t="s">
        <v>2313</v>
      </c>
      <c r="B2970" s="5" t="s">
        <v>4837</v>
      </c>
      <c r="C2970" s="6" t="str">
        <f>_xll.QS.CONTEXT.CREATE("market.2968",A2970,"USD","SOFR")</f>
        <v>QSObject:PricingContext:w1~market.2968:16749</v>
      </c>
      <c r="D2970" s="6" t="str">
        <f>_xll.QS.CONTEXT.ADD.CURVE(C2970,"SOFR",$K$2:$K$7,$L$2:$L$7,,,"Actual360","LogLinear",TRUE)</f>
        <v>QSObject:ContextInput:w1~input.qs_context_add_curve.2359132437744.2969.3.0:36997</v>
      </c>
      <c r="E2970" s="6" t="str">
        <f>_xll.QS.INSTRUMENT.SWAP("swap.2968",H2970,B2970,"USD","SOFR",I2970,J2970,0,"Actual360","Simple","Annual","Annual","Annual")</f>
        <v>QSObject:Swap:w1~swap.2968:16748</v>
      </c>
      <c r="F2970" s="6" t="str">
        <f>_xll.QS.TRADE.CREATE("trade.2968",E2970,A2970,"Receive")</f>
        <v>QSObject:SwapTrade:w1~trade.2968:28871</v>
      </c>
      <c r="G2970" s="3">
        <f>_xll.QS.EVALUATE(C2970,F2970)</f>
        <v>28508.433814620854</v>
      </c>
      <c r="H2970" s="5" t="s">
        <v>2327</v>
      </c>
      <c r="I2970" s="7">
        <v>1296800</v>
      </c>
      <c r="J2970" s="8">
        <v>3.6800000000000013E-2</v>
      </c>
    </row>
    <row r="2971" spans="1:10" x14ac:dyDescent="0.25">
      <c r="A2971" s="5" t="s">
        <v>2315</v>
      </c>
      <c r="B2971" s="5" t="s">
        <v>4838</v>
      </c>
      <c r="C2971" s="6" t="str">
        <f>_xll.QS.CONTEXT.CREATE("market.2969",A2971,"USD","SOFR")</f>
        <v>QSObject:PricingContext:w1~market.2969:16747</v>
      </c>
      <c r="D2971" s="6" t="str">
        <f>_xll.QS.CONTEXT.ADD.CURVE(C2971,"SOFR",$K$2:$K$7,$L$2:$L$7,,,"Actual360","LogLinear",TRUE)</f>
        <v>QSObject:ContextInput:w1~input.qs_context_add_curve.2359132437744.2970.3.0:35338</v>
      </c>
      <c r="E2971" s="6" t="str">
        <f>_xll.QS.INSTRUMENT.SWAP("swap.2969",H2971,B2971,"USD","SOFR",I2971,J2971,0,"Actual360","Simple","Annual","Annual","Annual")</f>
        <v>QSObject:Swap:w1~swap.2969:16746</v>
      </c>
      <c r="F2971" s="6" t="str">
        <f>_xll.QS.TRADE.CREATE("trade.2969",E2971,A2971,"Receive")</f>
        <v>QSObject:SwapTrade:w1~trade.2969:28870</v>
      </c>
      <c r="G2971" s="3">
        <f>_xll.QS.EVALUATE(C2971,F2971)</f>
        <v>29144.424475105567</v>
      </c>
      <c r="H2971" s="5" t="s">
        <v>2329</v>
      </c>
      <c r="I2971" s="7">
        <v>1296900</v>
      </c>
      <c r="J2971" s="8">
        <v>3.6900000000000002E-2</v>
      </c>
    </row>
    <row r="2972" spans="1:10" x14ac:dyDescent="0.25">
      <c r="A2972" s="5" t="s">
        <v>2317</v>
      </c>
      <c r="B2972" s="5" t="s">
        <v>4839</v>
      </c>
      <c r="C2972" s="6" t="str">
        <f>_xll.QS.CONTEXT.CREATE("market.2970",A2972,"USD","SOFR")</f>
        <v>QSObject:PricingContext:w1~market.2970:16745</v>
      </c>
      <c r="D2972" s="6" t="str">
        <f>_xll.QS.CONTEXT.ADD.CURVE(C2972,"SOFR",$K$2:$K$7,$L$2:$L$7,,,"Actual360","LogLinear",TRUE)</f>
        <v>QSObject:ContextInput:w1~input.qs_context_add_curve.2359132437744.2971.3.0:37558</v>
      </c>
      <c r="E2972" s="6" t="str">
        <f>_xll.QS.INSTRUMENT.SWAP("swap.2970",H2972,B2972,"USD","SOFR",I2972,J2972,0,"Actual360","Simple","Annual","Annual","Annual")</f>
        <v>QSObject:Swap:w1~swap.2970:16744</v>
      </c>
      <c r="F2972" s="6" t="str">
        <f>_xll.QS.TRADE.CREATE("trade.2970",E2972,A2972,"Receive")</f>
        <v>QSObject:SwapTrade:w1~trade.2970:28869</v>
      </c>
      <c r="G2972" s="3">
        <f>_xll.QS.EVALUATE(C2972,F2972)</f>
        <v>29839.63321763141</v>
      </c>
      <c r="H2972" s="5" t="s">
        <v>2331</v>
      </c>
      <c r="I2972" s="7">
        <v>1297000</v>
      </c>
      <c r="J2972" s="8">
        <v>3.7000000000000012E-2</v>
      </c>
    </row>
    <row r="2973" spans="1:10" x14ac:dyDescent="0.25">
      <c r="A2973" s="5" t="s">
        <v>2319</v>
      </c>
      <c r="B2973" s="5" t="s">
        <v>4840</v>
      </c>
      <c r="C2973" s="6" t="str">
        <f>_xll.QS.CONTEXT.CREATE("market.2971",A2973,"USD","SOFR")</f>
        <v>QSObject:PricingContext:w1~market.2971:16743</v>
      </c>
      <c r="D2973" s="6" t="str">
        <f>_xll.QS.CONTEXT.ADD.CURVE(C2973,"SOFR",$K$2:$K$7,$L$2:$L$7,,,"Actual360","LogLinear",TRUE)</f>
        <v>QSObject:ContextInput:w1~input.qs_context_add_curve.2359132437744.2972.3.0:33517</v>
      </c>
      <c r="E2973" s="6" t="str">
        <f>_xll.QS.INSTRUMENT.SWAP("swap.2971",H2973,B2973,"USD","SOFR",I2973,J2973,0,"Actual360","Simple","Annual","Annual","Annual")</f>
        <v>QSObject:Swap:w1~swap.2971:16742</v>
      </c>
      <c r="F2973" s="6" t="str">
        <f>_xll.QS.TRADE.CREATE("trade.2971",E2973,A2973,"Receive")</f>
        <v>QSObject:SwapTrade:w1~trade.2971:28868</v>
      </c>
      <c r="G2973" s="3">
        <f>_xll.QS.EVALUATE(C2973,F2973)</f>
        <v>30496.649425187068</v>
      </c>
      <c r="H2973" s="5" t="s">
        <v>2333</v>
      </c>
      <c r="I2973" s="7">
        <v>1297100</v>
      </c>
      <c r="J2973" s="8">
        <v>3.7100000000000001E-2</v>
      </c>
    </row>
    <row r="2974" spans="1:10" x14ac:dyDescent="0.25">
      <c r="A2974" s="5" t="s">
        <v>2321</v>
      </c>
      <c r="B2974" s="5" t="s">
        <v>4841</v>
      </c>
      <c r="C2974" s="6" t="str">
        <f>_xll.QS.CONTEXT.CREATE("market.2972",A2974,"USD","SOFR")</f>
        <v>QSObject:PricingContext:w1~market.2972:16741</v>
      </c>
      <c r="D2974" s="6" t="str">
        <f>_xll.QS.CONTEXT.ADD.CURVE(C2974,"SOFR",$K$2:$K$7,$L$2:$L$7,,,"Actual360","LogLinear",TRUE)</f>
        <v>QSObject:ContextInput:w1~input.qs_context_add_curve.2359132437744.2973.3.0:37557</v>
      </c>
      <c r="E2974" s="6" t="str">
        <f>_xll.QS.INSTRUMENT.SWAP("swap.2972",H2974,B2974,"USD","SOFR",I2974,J2974,0,"Actual360","Simple","Annual","Annual","Annual")</f>
        <v>QSObject:Swap:w1~swap.2972:16740</v>
      </c>
      <c r="F2974" s="6" t="str">
        <f>_xll.QS.TRADE.CREATE("trade.2972",E2974,A2974,"Receive")</f>
        <v>QSObject:SwapTrade:w1~trade.2972:28867</v>
      </c>
      <c r="G2974" s="3">
        <f>_xll.QS.EVALUATE(C2974,F2974)</f>
        <v>31047.534306552945</v>
      </c>
      <c r="H2974" s="5" t="s">
        <v>2335</v>
      </c>
      <c r="I2974" s="7">
        <v>1297200</v>
      </c>
      <c r="J2974" s="8">
        <v>3.7199999999999997E-2</v>
      </c>
    </row>
    <row r="2975" spans="1:10" x14ac:dyDescent="0.25">
      <c r="A2975" s="5" t="s">
        <v>2323</v>
      </c>
      <c r="B2975" s="5" t="s">
        <v>4842</v>
      </c>
      <c r="C2975" s="6" t="str">
        <f>_xll.QS.CONTEXT.CREATE("market.2973",A2975,"USD","SOFR")</f>
        <v>QSObject:PricingContext:w1~market.2973:16739</v>
      </c>
      <c r="D2975" s="6" t="str">
        <f>_xll.QS.CONTEXT.ADD.CURVE(C2975,"SOFR",$K$2:$K$7,$L$2:$L$7,,,"Actual360","LogLinear",TRUE)</f>
        <v>QSObject:ContextInput:w1~input.qs_context_add_curve.2359132437744.2974.3.0:33516</v>
      </c>
      <c r="E2975" s="6" t="str">
        <f>_xll.QS.INSTRUMENT.SWAP("swap.2973",H2975,B2975,"USD","SOFR",I2975,J2975,0,"Actual360","Simple","Annual","Annual","Annual")</f>
        <v>QSObject:Swap:w1~swap.2973:16738</v>
      </c>
      <c r="F2975" s="6" t="str">
        <f>_xll.QS.TRADE.CREATE("trade.2973",E2975,A2975,"Receive")</f>
        <v>QSObject:SwapTrade:w1~trade.2973:28866</v>
      </c>
      <c r="G2975" s="3">
        <f>_xll.QS.EVALUATE(C2975,F2975)</f>
        <v>31617.126411421428</v>
      </c>
      <c r="H2975" s="5" t="s">
        <v>2337</v>
      </c>
      <c r="I2975" s="7">
        <v>1297300</v>
      </c>
      <c r="J2975" s="8">
        <v>3.73E-2</v>
      </c>
    </row>
    <row r="2976" spans="1:10" x14ac:dyDescent="0.25">
      <c r="A2976" s="5" t="s">
        <v>2325</v>
      </c>
      <c r="B2976" s="5" t="s">
        <v>4843</v>
      </c>
      <c r="C2976" s="6" t="str">
        <f>_xll.QS.CONTEXT.CREATE("market.2974",A2976,"USD","SOFR")</f>
        <v>QSObject:PricingContext:w1~market.2974:16737</v>
      </c>
      <c r="D2976" s="6" t="str">
        <f>_xll.QS.CONTEXT.ADD.CURVE(C2976,"SOFR",$K$2:$K$7,$L$2:$L$7,,,"Actual360","LogLinear",TRUE)</f>
        <v>QSObject:ContextInput:w1~input.qs_context_add_curve.2359132437744.2975.3.0:33515</v>
      </c>
      <c r="E2976" s="6" t="str">
        <f>_xll.QS.INSTRUMENT.SWAP("swap.2974",H2976,B2976,"USD","SOFR",I2976,J2976,0,"Actual360","Simple","Annual","Annual","Annual")</f>
        <v>QSObject:Swap:w1~swap.2974:16736</v>
      </c>
      <c r="F2976" s="6" t="str">
        <f>_xll.QS.TRADE.CREATE("trade.2974",E2976,A2976,"Receive")</f>
        <v>QSObject:SwapTrade:w1~trade.2974:28865</v>
      </c>
      <c r="G2976" s="3">
        <f>_xll.QS.EVALUATE(C2976,F2976)</f>
        <v>32058.555357935213</v>
      </c>
      <c r="H2976" s="5" t="s">
        <v>2339</v>
      </c>
      <c r="I2976" s="7">
        <v>1297400</v>
      </c>
      <c r="J2976" s="8">
        <v>3.7400000000000003E-2</v>
      </c>
    </row>
    <row r="2977" spans="1:10" x14ac:dyDescent="0.25">
      <c r="A2977" s="5" t="s">
        <v>2327</v>
      </c>
      <c r="B2977" s="5" t="s">
        <v>4844</v>
      </c>
      <c r="C2977" s="6" t="str">
        <f>_xll.QS.CONTEXT.CREATE("market.2975",A2977,"USD","SOFR")</f>
        <v>QSObject:PricingContext:w1~market.2975:16735</v>
      </c>
      <c r="D2977" s="6" t="str">
        <f>_xll.QS.CONTEXT.ADD.CURVE(C2977,"SOFR",$K$2:$K$7,$L$2:$L$7,,,"Actual360","LogLinear",TRUE)</f>
        <v>QSObject:ContextInput:w1~input.qs_context_add_curve.2359132437744.2976.3.0:33514</v>
      </c>
      <c r="E2977" s="6" t="str">
        <f>_xll.QS.INSTRUMENT.SWAP("swap.2975",H2977,B2977,"USD","SOFR",I2977,J2977,0,"Actual360","Simple","Annual","Annual","Annual")</f>
        <v>QSObject:Swap:w1~swap.2975:16734</v>
      </c>
      <c r="F2977" s="6" t="str">
        <f>_xll.QS.TRADE.CREATE("trade.2975",E2977,A2977,"Receive")</f>
        <v>QSObject:SwapTrade:w1~trade.2975:28864</v>
      </c>
      <c r="G2977" s="3">
        <f>_xll.QS.EVALUATE(C2977,F2977)</f>
        <v>32714.085497713539</v>
      </c>
      <c r="H2977" s="5" t="s">
        <v>2341</v>
      </c>
      <c r="I2977" s="7">
        <v>1297500</v>
      </c>
      <c r="J2977" s="8">
        <v>3.7500000000000012E-2</v>
      </c>
    </row>
    <row r="2978" spans="1:10" x14ac:dyDescent="0.25">
      <c r="A2978" s="5" t="s">
        <v>2329</v>
      </c>
      <c r="B2978" s="5" t="s">
        <v>4845</v>
      </c>
      <c r="C2978" s="6" t="str">
        <f>_xll.QS.CONTEXT.CREATE("market.2976",A2978,"USD","SOFR")</f>
        <v>QSObject:PricingContext:w1~market.2976:16733</v>
      </c>
      <c r="D2978" s="6" t="str">
        <f>_xll.QS.CONTEXT.ADD.CURVE(C2978,"SOFR",$K$2:$K$7,$L$2:$L$7,,,"Actual360","LogLinear",TRUE)</f>
        <v>QSObject:ContextInput:w1~input.qs_context_add_curve.2359132437744.2977.3.0:37556</v>
      </c>
      <c r="E2978" s="6" t="str">
        <f>_xll.QS.INSTRUMENT.SWAP("swap.2976",H2978,B2978,"USD","SOFR",I2978,J2978,0,"Actual360","Simple","Annual","Annual","Annual")</f>
        <v>QSObject:Swap:w1~swap.2976:16732</v>
      </c>
      <c r="F2978" s="6" t="str">
        <f>_xll.QS.TRADE.CREATE("trade.2976",E2978,A2978,"Receive")</f>
        <v>QSObject:SwapTrade:w1~trade.2976:28863</v>
      </c>
      <c r="G2978" s="3">
        <f>_xll.QS.EVALUATE(C2978,F2978)</f>
        <v>33348.512426342277</v>
      </c>
      <c r="H2978" s="5" t="s">
        <v>2343</v>
      </c>
      <c r="I2978" s="7">
        <v>1297600</v>
      </c>
      <c r="J2978" s="8">
        <v>3.7600000000000001E-2</v>
      </c>
    </row>
    <row r="2979" spans="1:10" x14ac:dyDescent="0.25">
      <c r="A2979" s="5" t="s">
        <v>2331</v>
      </c>
      <c r="B2979" s="5" t="s">
        <v>4846</v>
      </c>
      <c r="C2979" s="6" t="str">
        <f>_xll.QS.CONTEXT.CREATE("market.2977",A2979,"USD","SOFR")</f>
        <v>QSObject:PricingContext:w1~market.2977:16731</v>
      </c>
      <c r="D2979" s="6" t="str">
        <f>_xll.QS.CONTEXT.ADD.CURVE(C2979,"SOFR",$K$2:$K$7,$L$2:$L$7,,,"Actual360","LogLinear",TRUE)</f>
        <v>QSObject:ContextInput:w1~input.qs_context_add_curve.2359132437744.2978.3.0:37555</v>
      </c>
      <c r="E2979" s="6" t="str">
        <f>_xll.QS.INSTRUMENT.SWAP("swap.2977",H2979,B2979,"USD","SOFR",I2979,J2979,0,"Actual360","Simple","Annual","Annual","Annual")</f>
        <v>QSObject:Swap:w1~swap.2977:16730</v>
      </c>
      <c r="F2979" s="6" t="str">
        <f>_xll.QS.TRADE.CREATE("trade.2977",E2979,A2979,"Receive")</f>
        <v>QSObject:SwapTrade:w1~trade.2977:28862</v>
      </c>
      <c r="G2979" s="3">
        <f>_xll.QS.EVALUATE(C2979,F2979)</f>
        <v>34094.565225652805</v>
      </c>
      <c r="H2979" s="5" t="s">
        <v>2345</v>
      </c>
      <c r="I2979" s="7">
        <v>1297700</v>
      </c>
      <c r="J2979" s="8">
        <v>3.7699999999999997E-2</v>
      </c>
    </row>
    <row r="2980" spans="1:10" x14ac:dyDescent="0.25">
      <c r="A2980" s="5" t="s">
        <v>2333</v>
      </c>
      <c r="B2980" s="5" t="s">
        <v>4847</v>
      </c>
      <c r="C2980" s="6" t="str">
        <f>_xll.QS.CONTEXT.CREATE("market.2978",A2980,"USD","SOFR")</f>
        <v>QSObject:PricingContext:w1~market.2978:16729</v>
      </c>
      <c r="D2980" s="6" t="str">
        <f>_xll.QS.CONTEXT.ADD.CURVE(C2980,"SOFR",$K$2:$K$7,$L$2:$L$7,,,"Actual360","LogLinear",TRUE)</f>
        <v>QSObject:ContextInput:w1~input.qs_context_add_curve.2359132437744.2979.3.0:37554</v>
      </c>
      <c r="E2980" s="6" t="str">
        <f>_xll.QS.INSTRUMENT.SWAP("swap.2978",H2980,B2980,"USD","SOFR",I2980,J2980,0,"Actual360","Simple","Annual","Annual","Annual")</f>
        <v>QSObject:Swap:w1~swap.2978:16728</v>
      </c>
      <c r="F2980" s="6" t="str">
        <f>_xll.QS.TRADE.CREATE("trade.2978",E2980,A2980,"Receive")</f>
        <v>QSObject:SwapTrade:w1~trade.2978:28861</v>
      </c>
      <c r="G2980" s="3">
        <f>_xll.QS.EVALUATE(C2980,F2980)</f>
        <v>34701.968050222429</v>
      </c>
      <c r="H2980" s="5" t="s">
        <v>2347</v>
      </c>
      <c r="I2980" s="7">
        <v>1297800</v>
      </c>
      <c r="J2980" s="8">
        <v>3.78E-2</v>
      </c>
    </row>
    <row r="2981" spans="1:10" x14ac:dyDescent="0.25">
      <c r="A2981" s="5" t="s">
        <v>2335</v>
      </c>
      <c r="B2981" s="5" t="s">
        <v>4848</v>
      </c>
      <c r="C2981" s="6" t="str">
        <f>_xll.QS.CONTEXT.CREATE("market.2979",A2981,"USD","SOFR")</f>
        <v>QSObject:PricingContext:w1~market.2979:16727</v>
      </c>
      <c r="D2981" s="6" t="str">
        <f>_xll.QS.CONTEXT.ADD.CURVE(C2981,"SOFR",$K$2:$K$7,$L$2:$L$7,,,"Actual360","LogLinear",TRUE)</f>
        <v>QSObject:ContextInput:w1~input.qs_context_add_curve.2359132437744.2980.3.0:37553</v>
      </c>
      <c r="E2981" s="6" t="str">
        <f>_xll.QS.INSTRUMENT.SWAP("swap.2979",H2981,B2981,"USD","SOFR",I2981,J2981,0,"Actual360","Simple","Annual","Annual","Annual")</f>
        <v>QSObject:Swap:w1~swap.2979:16726</v>
      </c>
      <c r="F2981" s="6" t="str">
        <f>_xll.QS.TRADE.CREATE("trade.2979",E2981,A2981,"Receive")</f>
        <v>QSObject:SwapTrade:w1~trade.2979:28860</v>
      </c>
      <c r="G2981" s="3">
        <f>_xll.QS.EVALUATE(C2981,F2981)</f>
        <v>35253.8511274993</v>
      </c>
      <c r="H2981" s="5" t="s">
        <v>2349</v>
      </c>
      <c r="I2981" s="7">
        <v>1297900</v>
      </c>
      <c r="J2981" s="8">
        <v>3.7900000000000003E-2</v>
      </c>
    </row>
    <row r="2982" spans="1:10" x14ac:dyDescent="0.25">
      <c r="A2982" s="5" t="s">
        <v>2337</v>
      </c>
      <c r="B2982" s="5" t="s">
        <v>4849</v>
      </c>
      <c r="C2982" s="6" t="str">
        <f>_xll.QS.CONTEXT.CREATE("market.2980",A2982,"USD","SOFR")</f>
        <v>QSObject:PricingContext:w1~market.2980:16725</v>
      </c>
      <c r="D2982" s="6" t="str">
        <f>_xll.QS.CONTEXT.ADD.CURVE(C2982,"SOFR",$K$2:$K$7,$L$2:$L$7,,,"Actual360","LogLinear",TRUE)</f>
        <v>QSObject:ContextInput:w1~input.qs_context_add_curve.2359132437744.2981.3.0:37552</v>
      </c>
      <c r="E2982" s="6" t="str">
        <f>_xll.QS.INSTRUMENT.SWAP("swap.2980",H2982,B2982,"USD","SOFR",I2982,J2982,0,"Actual360","Simple","Annual","Annual","Annual")</f>
        <v>QSObject:Swap:w1~swap.2980:16724</v>
      </c>
      <c r="F2982" s="6" t="str">
        <f>_xll.QS.TRADE.CREATE("trade.2980",E2982,A2982,"Receive")</f>
        <v>QSObject:SwapTrade:w1~trade.2980:28859</v>
      </c>
      <c r="G2982" s="3">
        <f>_xll.QS.EVALUATE(C2982,F2982)</f>
        <v>35758.00261811095</v>
      </c>
      <c r="H2982" s="5" t="s">
        <v>2351</v>
      </c>
      <c r="I2982" s="7">
        <v>1298000</v>
      </c>
      <c r="J2982" s="8">
        <v>3.8000000000000013E-2</v>
      </c>
    </row>
    <row r="2983" spans="1:10" x14ac:dyDescent="0.25">
      <c r="A2983" s="5" t="s">
        <v>2339</v>
      </c>
      <c r="B2983" s="5" t="s">
        <v>4850</v>
      </c>
      <c r="C2983" s="6" t="str">
        <f>_xll.QS.CONTEXT.CREATE("market.2981",A2983,"USD","SOFR")</f>
        <v>QSObject:PricingContext:w1~market.2981:16723</v>
      </c>
      <c r="D2983" s="6" t="str">
        <f>_xll.QS.CONTEXT.ADD.CURVE(C2983,"SOFR",$K$2:$K$7,$L$2:$L$7,,,"Actual360","LogLinear",TRUE)</f>
        <v>QSObject:ContextInput:w1~input.qs_context_add_curve.2359132437744.2982.3.0:37551</v>
      </c>
      <c r="E2983" s="6" t="str">
        <f>_xll.QS.INSTRUMENT.SWAP("swap.2981",H2983,B2983,"USD","SOFR",I2983,J2983,0,"Actual360","Simple","Annual","Annual","Annual")</f>
        <v>QSObject:Swap:w1~swap.2981:16722</v>
      </c>
      <c r="F2983" s="6" t="str">
        <f>_xll.QS.TRADE.CREATE("trade.2981",E2983,A2983,"Receive")</f>
        <v>QSObject:SwapTrade:w1~trade.2981:28858</v>
      </c>
      <c r="G2983" s="3">
        <f>_xll.QS.EVALUATE(C2983,F2983)</f>
        <v>36267.701012502606</v>
      </c>
      <c r="H2983" s="5" t="s">
        <v>2353</v>
      </c>
      <c r="I2983" s="7">
        <v>1298100</v>
      </c>
      <c r="J2983" s="8">
        <v>3.8100000000000002E-2</v>
      </c>
    </row>
    <row r="2984" spans="1:10" x14ac:dyDescent="0.25">
      <c r="A2984" s="5" t="s">
        <v>2341</v>
      </c>
      <c r="B2984" s="5" t="s">
        <v>4851</v>
      </c>
      <c r="C2984" s="6" t="str">
        <f>_xll.QS.CONTEXT.CREATE("market.2982",A2984,"USD","SOFR")</f>
        <v>QSObject:PricingContext:w1~market.2982:16721</v>
      </c>
      <c r="D2984" s="6" t="str">
        <f>_xll.QS.CONTEXT.ADD.CURVE(C2984,"SOFR",$K$2:$K$7,$L$2:$L$7,,,"Actual360","LogLinear",TRUE)</f>
        <v>QSObject:ContextInput:w1~input.qs_context_add_curve.2359132437744.2983.3.0:37550</v>
      </c>
      <c r="E2984" s="6" t="str">
        <f>_xll.QS.INSTRUMENT.SWAP("swap.2982",H2984,B2984,"USD","SOFR",I2984,J2984,0,"Actual360","Simple","Annual","Annual","Annual")</f>
        <v>QSObject:Swap:w1~swap.2982:16720</v>
      </c>
      <c r="F2984" s="6" t="str">
        <f>_xll.QS.TRADE.CREATE("trade.2982",E2984,A2984,"Receive")</f>
        <v>QSObject:SwapTrade:w1~trade.2982:28857</v>
      </c>
      <c r="G2984" s="3">
        <f>_xll.QS.EVALUATE(C2984,F2984)</f>
        <v>36925.079241433203</v>
      </c>
      <c r="H2984" s="5" t="s">
        <v>2355</v>
      </c>
      <c r="I2984" s="7">
        <v>1298200</v>
      </c>
      <c r="J2984" s="8">
        <v>3.8199999999999998E-2</v>
      </c>
    </row>
    <row r="2985" spans="1:10" x14ac:dyDescent="0.25">
      <c r="A2985" s="5" t="s">
        <v>2343</v>
      </c>
      <c r="B2985" s="5" t="s">
        <v>4852</v>
      </c>
      <c r="C2985" s="6" t="str">
        <f>_xll.QS.CONTEXT.CREATE("market.2983",A2985,"USD","SOFR")</f>
        <v>QSObject:PricingContext:w1~market.2983:16719</v>
      </c>
      <c r="D2985" s="6" t="str">
        <f>_xll.QS.CONTEXT.ADD.CURVE(C2985,"SOFR",$K$2:$K$7,$L$2:$L$7,,,"Actual360","LogLinear",TRUE)</f>
        <v>QSObject:ContextInput:w1~input.qs_context_add_curve.2359132437744.2984.3.0:37549</v>
      </c>
      <c r="E2985" s="6" t="str">
        <f>_xll.QS.INSTRUMENT.SWAP("swap.2983",H2985,B2985,"USD","SOFR",I2985,J2985,0,"Actual360","Simple","Annual","Annual","Annual")</f>
        <v>QSObject:Swap:w1~swap.2983:16718</v>
      </c>
      <c r="F2985" s="6" t="str">
        <f>_xll.QS.TRADE.CREATE("trade.2983",E2985,A2985,"Receive")</f>
        <v>QSObject:SwapTrade:w1~trade.2983:28856</v>
      </c>
      <c r="G2985" s="3">
        <f>_xll.QS.EVALUATE(C2985,F2985)</f>
        <v>37557.355463781336</v>
      </c>
      <c r="H2985" s="5" t="s">
        <v>2357</v>
      </c>
      <c r="I2985" s="7">
        <v>1298300</v>
      </c>
      <c r="J2985" s="8">
        <v>3.8300000000000001E-2</v>
      </c>
    </row>
    <row r="2986" spans="1:10" x14ac:dyDescent="0.25">
      <c r="A2986" s="5" t="s">
        <v>2345</v>
      </c>
      <c r="B2986" s="5" t="s">
        <v>4853</v>
      </c>
      <c r="C2986" s="6" t="str">
        <f>_xll.QS.CONTEXT.CREATE("market.2984",A2986,"USD","SOFR")</f>
        <v>QSObject:PricingContext:w1~market.2984:16717</v>
      </c>
      <c r="D2986" s="6" t="str">
        <f>_xll.QS.CONTEXT.ADD.CURVE(C2986,"SOFR",$K$2:$K$7,$L$2:$L$7,,,"Actual360","LogLinear",TRUE)</f>
        <v>QSObject:ContextInput:w1~input.qs_context_add_curve.2359132437744.2985.3.0:37548</v>
      </c>
      <c r="E2986" s="6" t="str">
        <f>_xll.QS.INSTRUMENT.SWAP("swap.2984",H2986,B2986,"USD","SOFR",I2986,J2986,0,"Actual360","Simple","Annual","Annual","Annual")</f>
        <v>QSObject:Swap:w1~swap.2984:16716</v>
      </c>
      <c r="F2986" s="6" t="str">
        <f>_xll.QS.TRADE.CREATE("trade.2984",E2986,A2986,"Receive")</f>
        <v>QSObject:SwapTrade:w1~trade.2984:28855</v>
      </c>
      <c r="G2986" s="3">
        <f>_xll.QS.EVALUATE(C2986,F2986)</f>
        <v>38253.959698972743</v>
      </c>
      <c r="H2986" s="5" t="s">
        <v>2359</v>
      </c>
      <c r="I2986" s="7">
        <v>1298400</v>
      </c>
      <c r="J2986" s="8">
        <v>3.8399999999999997E-2</v>
      </c>
    </row>
    <row r="2987" spans="1:10" x14ac:dyDescent="0.25">
      <c r="A2987" s="5" t="s">
        <v>2347</v>
      </c>
      <c r="B2987" s="5" t="s">
        <v>4854</v>
      </c>
      <c r="C2987" s="6" t="str">
        <f>_xll.QS.CONTEXT.CREATE("market.2985",A2987,"USD","SOFR")</f>
        <v>QSObject:PricingContext:w1~market.2985:16715</v>
      </c>
      <c r="D2987" s="6" t="str">
        <f>_xll.QS.CONTEXT.ADD.CURVE(C2987,"SOFR",$K$2:$K$7,$L$2:$L$7,,,"Actual360","LogLinear",TRUE)</f>
        <v>QSObject:ContextInput:w1~input.qs_context_add_curve.2359132437744.2986.3.0:37547</v>
      </c>
      <c r="E2987" s="6" t="str">
        <f>_xll.QS.INSTRUMENT.SWAP("swap.2985",H2987,B2987,"USD","SOFR",I2987,J2987,0,"Actual360","Simple","Annual","Annual","Annual")</f>
        <v>QSObject:Swap:w1~swap.2985:16714</v>
      </c>
      <c r="F2987" s="6" t="str">
        <f>_xll.QS.TRADE.CREATE("trade.2985",E2987,A2987,"Receive")</f>
        <v>QSObject:SwapTrade:w1~trade.2985:28854</v>
      </c>
      <c r="G2987" s="3">
        <f>_xll.QS.EVALUATE(C2987,F2987)</f>
        <v>38912.248015399171</v>
      </c>
      <c r="H2987" s="5" t="s">
        <v>2361</v>
      </c>
      <c r="I2987" s="7">
        <v>1298500</v>
      </c>
      <c r="J2987" s="8">
        <v>3.8500000000000013E-2</v>
      </c>
    </row>
    <row r="2988" spans="1:10" x14ac:dyDescent="0.25">
      <c r="A2988" s="5" t="s">
        <v>2349</v>
      </c>
      <c r="B2988" s="5" t="s">
        <v>4855</v>
      </c>
      <c r="C2988" s="6" t="str">
        <f>_xll.QS.CONTEXT.CREATE("market.2986",A2988,"USD","SOFR")</f>
        <v>QSObject:PricingContext:w1~market.2986:16713</v>
      </c>
      <c r="D2988" s="6" t="str">
        <f>_xll.QS.CONTEXT.ADD.CURVE(C2988,"SOFR",$K$2:$K$7,$L$2:$L$7,,,"Actual360","LogLinear",TRUE)</f>
        <v>QSObject:ContextInput:w1~input.qs_context_add_curve.2359132437744.2987.3.0:37546</v>
      </c>
      <c r="E2988" s="6" t="str">
        <f>_xll.QS.INSTRUMENT.SWAP("swap.2986",H2988,B2988,"USD","SOFR",I2988,J2988,0,"Actual360","Simple","Annual","Annual","Annual")</f>
        <v>QSObject:Swap:w1~swap.2986:16712</v>
      </c>
      <c r="F2988" s="6" t="str">
        <f>_xll.QS.TRADE.CREATE("trade.2986",E2988,A2988,"Receive")</f>
        <v>QSObject:SwapTrade:w1~trade.2986:28853</v>
      </c>
      <c r="G2988" s="3">
        <f>_xll.QS.EVALUATE(C2988,F2988)</f>
        <v>39464.716307328446</v>
      </c>
      <c r="H2988" s="5" t="s">
        <v>2363</v>
      </c>
      <c r="I2988" s="7">
        <v>1298600</v>
      </c>
      <c r="J2988" s="8">
        <v>3.8600000000000002E-2</v>
      </c>
    </row>
    <row r="2989" spans="1:10" x14ac:dyDescent="0.25">
      <c r="A2989" s="5" t="s">
        <v>2351</v>
      </c>
      <c r="B2989" s="5" t="s">
        <v>4856</v>
      </c>
      <c r="C2989" s="6" t="str">
        <f>_xll.QS.CONTEXT.CREATE("market.2987",A2989,"USD","SOFR")</f>
        <v>QSObject:PricingContext:w1~market.2987:16711</v>
      </c>
      <c r="D2989" s="6" t="str">
        <f>_xll.QS.CONTEXT.ADD.CURVE(C2989,"SOFR",$K$2:$K$7,$L$2:$L$7,,,"Actual360","LogLinear",TRUE)</f>
        <v>QSObject:ContextInput:w1~input.qs_context_add_curve.2359132437744.2988.3.0:37545</v>
      </c>
      <c r="E2989" s="6" t="str">
        <f>_xll.QS.INSTRUMENT.SWAP("swap.2987",H2989,B2989,"USD","SOFR",I2989,J2989,0,"Actual360","Simple","Annual","Annual","Annual")</f>
        <v>QSObject:Swap:w1~swap.2987:16710</v>
      </c>
      <c r="F2989" s="6" t="str">
        <f>_xll.QS.TRADE.CREATE("trade.2987",E2989,A2989,"Receive")</f>
        <v>QSObject:SwapTrade:w1~trade.2987:28852</v>
      </c>
      <c r="G2989" s="3">
        <f>_xll.QS.EVALUATE(C2989,F2989)</f>
        <v>39964.520674771469</v>
      </c>
      <c r="H2989" s="5" t="s">
        <v>2365</v>
      </c>
      <c r="I2989" s="7">
        <v>1298700</v>
      </c>
      <c r="J2989" s="8">
        <v>3.8700000000000012E-2</v>
      </c>
    </row>
    <row r="2990" spans="1:10" x14ac:dyDescent="0.25">
      <c r="A2990" s="5" t="s">
        <v>2353</v>
      </c>
      <c r="B2990" s="5" t="s">
        <v>4857</v>
      </c>
      <c r="C2990" s="6" t="str">
        <f>_xll.QS.CONTEXT.CREATE("market.2988",A2990,"USD","SOFR")</f>
        <v>QSObject:PricingContext:w1~market.2988:16709</v>
      </c>
      <c r="D2990" s="6" t="str">
        <f>_xll.QS.CONTEXT.ADD.CURVE(C2990,"SOFR",$K$2:$K$7,$L$2:$L$7,,,"Actual360","LogLinear",TRUE)</f>
        <v>QSObject:ContextInput:w1~input.qs_context_add_curve.2359132437744.2989.3.0:37544</v>
      </c>
      <c r="E2990" s="6" t="str">
        <f>_xll.QS.INSTRUMENT.SWAP("swap.2988",H2990,B2990,"USD","SOFR",I2990,J2990,0,"Actual360","Simple","Annual","Annual","Annual")</f>
        <v>QSObject:Swap:w1~swap.2988:16708</v>
      </c>
      <c r="F2990" s="6" t="str">
        <f>_xll.QS.TRADE.CREATE("trade.2988",E2990,A2990,"Receive")</f>
        <v>QSObject:SwapTrade:w1~trade.2988:28851</v>
      </c>
      <c r="G2990" s="3">
        <f>_xll.QS.EVALUATE(C2990,F2990)</f>
        <v>40481.314385882615</v>
      </c>
      <c r="H2990" s="5" t="s">
        <v>2367</v>
      </c>
      <c r="I2990" s="7">
        <v>1298800</v>
      </c>
      <c r="J2990" s="8">
        <v>3.8800000000000001E-2</v>
      </c>
    </row>
    <row r="2991" spans="1:10" x14ac:dyDescent="0.25">
      <c r="A2991" s="5" t="s">
        <v>2355</v>
      </c>
      <c r="B2991" s="5" t="s">
        <v>4858</v>
      </c>
      <c r="C2991" s="6" t="str">
        <f>_xll.QS.CONTEXT.CREATE("market.2989",A2991,"USD","SOFR")</f>
        <v>QSObject:PricingContext:w1~market.2989:16707</v>
      </c>
      <c r="D2991" s="6" t="str">
        <f>_xll.QS.CONTEXT.ADD.CURVE(C2991,"SOFR",$K$2:$K$7,$L$2:$L$7,,,"Actual360","LogLinear",TRUE)</f>
        <v>QSObject:ContextInput:w1~input.qs_context_add_curve.2359132437744.2990.3.0:37543</v>
      </c>
      <c r="E2991" s="6" t="str">
        <f>_xll.QS.INSTRUMENT.SWAP("swap.2989",H2991,B2991,"USD","SOFR",I2991,J2991,0,"Actual360","Simple","Annual","Annual","Annual")</f>
        <v>QSObject:Swap:w1~swap.2989:16706</v>
      </c>
      <c r="F2991" s="6" t="str">
        <f>_xll.QS.TRADE.CREATE("trade.2989",E2991,A2991,"Receive")</f>
        <v>QSObject:SwapTrade:w1~trade.2989:28850</v>
      </c>
      <c r="G2991" s="3">
        <f>_xll.QS.EVALUATE(C2991,F2991)</f>
        <v>41139.78938882432</v>
      </c>
      <c r="H2991" s="5" t="s">
        <v>2369</v>
      </c>
      <c r="I2991" s="7">
        <v>1298900</v>
      </c>
      <c r="J2991" s="8">
        <v>3.8899999999999997E-2</v>
      </c>
    </row>
    <row r="2992" spans="1:10" x14ac:dyDescent="0.25">
      <c r="A2992" s="5" t="s">
        <v>2357</v>
      </c>
      <c r="B2992" s="5" t="s">
        <v>4859</v>
      </c>
      <c r="C2992" s="6" t="str">
        <f>_xll.QS.CONTEXT.CREATE("market.2990",A2992,"USD","SOFR")</f>
        <v>QSObject:PricingContext:w1~market.2990:16705</v>
      </c>
      <c r="D2992" s="6" t="str">
        <f>_xll.QS.CONTEXT.ADD.CURVE(C2992,"SOFR",$K$2:$K$7,$L$2:$L$7,,,"Actual360","LogLinear",TRUE)</f>
        <v>QSObject:ContextInput:w1~input.qs_context_add_curve.2359132437744.2991.3.0:37542</v>
      </c>
      <c r="E2992" s="6" t="str">
        <f>_xll.QS.INSTRUMENT.SWAP("swap.2990",H2992,B2992,"USD","SOFR",I2992,J2992,0,"Actual360","Simple","Annual","Annual","Annual")</f>
        <v>QSObject:Swap:w1~swap.2990:16704</v>
      </c>
      <c r="F2992" s="6" t="str">
        <f>_xll.QS.TRADE.CREATE("trade.2990",E2992,A2992,"Receive")</f>
        <v>QSObject:SwapTrade:w1~trade.2990:28849</v>
      </c>
      <c r="G2992" s="3">
        <f>_xll.QS.EVALUATE(C2992,F2992)</f>
        <v>41770.674011250725</v>
      </c>
      <c r="H2992" s="5" t="s">
        <v>2371</v>
      </c>
      <c r="I2992" s="7">
        <v>1299000</v>
      </c>
      <c r="J2992" s="8">
        <v>3.9000000000000007E-2</v>
      </c>
    </row>
    <row r="2993" spans="1:10" x14ac:dyDescent="0.25">
      <c r="A2993" s="5" t="s">
        <v>2359</v>
      </c>
      <c r="B2993" s="5" t="s">
        <v>4860</v>
      </c>
      <c r="C2993" s="6" t="str">
        <f>_xll.QS.CONTEXT.CREATE("market.2991",A2993,"USD","SOFR")</f>
        <v>QSObject:PricingContext:w1~market.2991:16703</v>
      </c>
      <c r="D2993" s="6" t="str">
        <f>_xll.QS.CONTEXT.ADD.CURVE(C2993,"SOFR",$K$2:$K$7,$L$2:$L$7,,,"Actual360","LogLinear",TRUE)</f>
        <v>QSObject:ContextInput:w1~input.qs_context_add_curve.2359132437744.2992.3.0:37541</v>
      </c>
      <c r="E2993" s="6" t="str">
        <f>_xll.QS.INSTRUMENT.SWAP("swap.2991",H2993,B2993,"USD","SOFR",I2993,J2993,0,"Actual360","Simple","Annual","Annual","Annual")</f>
        <v>QSObject:Swap:w1~swap.2991:16702</v>
      </c>
      <c r="F2993" s="6" t="str">
        <f>_xll.QS.TRADE.CREATE("trade.2991",E2993,A2993,"Receive")</f>
        <v>QSObject:SwapTrade:w1~trade.2991:28848</v>
      </c>
      <c r="G2993" s="3">
        <f>_xll.QS.EVALUATE(C2993,F2993)</f>
        <v>42468.037958772526</v>
      </c>
      <c r="H2993" s="5" t="s">
        <v>2373</v>
      </c>
      <c r="I2993" s="7">
        <v>1299100</v>
      </c>
      <c r="J2993" s="8">
        <v>3.9100000000000003E-2</v>
      </c>
    </row>
    <row r="2994" spans="1:10" x14ac:dyDescent="0.25">
      <c r="A2994" s="5" t="s">
        <v>2361</v>
      </c>
      <c r="B2994" s="5" t="s">
        <v>4861</v>
      </c>
      <c r="C2994" s="6" t="str">
        <f>_xll.QS.CONTEXT.CREATE("market.2992",A2994,"USD","SOFR")</f>
        <v>QSObject:PricingContext:w1~market.2992:16701</v>
      </c>
      <c r="D2994" s="6" t="str">
        <f>_xll.QS.CONTEXT.ADD.CURVE(C2994,"SOFR",$K$2:$K$7,$L$2:$L$7,,,"Actual360","LogLinear",TRUE)</f>
        <v>QSObject:ContextInput:w1~input.qs_context_add_curve.2359132437744.2993.3.0:37540</v>
      </c>
      <c r="E2994" s="6" t="str">
        <f>_xll.QS.INSTRUMENT.SWAP("swap.2992",H2994,B2994,"USD","SOFR",I2994,J2994,0,"Actual360","Simple","Annual","Annual","Annual")</f>
        <v>QSObject:Swap:w1~swap.2992:16700</v>
      </c>
      <c r="F2994" s="6" t="str">
        <f>_xll.QS.TRADE.CREATE("trade.2992",E2994,A2994,"Receive")</f>
        <v>QSObject:SwapTrade:w1~trade.2992:28847</v>
      </c>
      <c r="G2994" s="3">
        <f>_xll.QS.EVALUATE(C2994,F2994)</f>
        <v>43127.047185551048</v>
      </c>
      <c r="H2994" s="5" t="s">
        <v>2375</v>
      </c>
      <c r="I2994" s="7">
        <v>1299200</v>
      </c>
      <c r="J2994" s="8">
        <v>3.9200000000000013E-2</v>
      </c>
    </row>
    <row r="2995" spans="1:10" x14ac:dyDescent="0.25">
      <c r="A2995" s="5" t="s">
        <v>2363</v>
      </c>
      <c r="B2995" s="5" t="s">
        <v>4862</v>
      </c>
      <c r="C2995" s="6" t="str">
        <f>_xll.QS.CONTEXT.CREATE("market.2993",A2995,"USD","SOFR")</f>
        <v>QSObject:PricingContext:w1~market.2993:16699</v>
      </c>
      <c r="D2995" s="6" t="str">
        <f>_xll.QS.CONTEXT.ADD.CURVE(C2995,"SOFR",$K$2:$K$7,$L$2:$L$7,,,"Actual360","LogLinear",TRUE)</f>
        <v>QSObject:ContextInput:w1~input.qs_context_add_curve.2359132437744.2994.3.0:37539</v>
      </c>
      <c r="E2995" s="6" t="str">
        <f>_xll.QS.INSTRUMENT.SWAP("swap.2993",H2995,B2995,"USD","SOFR",I2995,J2995,0,"Actual360","Simple","Annual","Annual","Annual")</f>
        <v>QSObject:Swap:w1~swap.2993:16698</v>
      </c>
      <c r="F2995" s="6" t="str">
        <f>_xll.QS.TRADE.CREATE("trade.2993",E2995,A2995,"Receive")</f>
        <v>QSObject:SwapTrade:w1~trade.2993:28846</v>
      </c>
      <c r="G2995" s="3">
        <f>_xll.QS.EVALUATE(C2995,F2995)</f>
        <v>43680.100655701681</v>
      </c>
      <c r="H2995" s="5" t="s">
        <v>2377</v>
      </c>
      <c r="I2995" s="7">
        <v>1299300</v>
      </c>
      <c r="J2995" s="8">
        <v>3.9300000000000002E-2</v>
      </c>
    </row>
    <row r="2996" spans="1:10" x14ac:dyDescent="0.25">
      <c r="A2996" s="5" t="s">
        <v>2365</v>
      </c>
      <c r="B2996" s="5" t="s">
        <v>4863</v>
      </c>
      <c r="C2996" s="6" t="str">
        <f>_xll.QS.CONTEXT.CREATE("market.2994",A2996,"USD","SOFR")</f>
        <v>QSObject:PricingContext:w1~market.2994:16697</v>
      </c>
      <c r="D2996" s="6" t="str">
        <f>_xll.QS.CONTEXT.ADD.CURVE(C2996,"SOFR",$K$2:$K$7,$L$2:$L$7,,,"Actual360","LogLinear",TRUE)</f>
        <v>QSObject:ContextInput:w1~input.qs_context_add_curve.2359132437744.2995.3.0:37538</v>
      </c>
      <c r="E2996" s="6" t="str">
        <f>_xll.QS.INSTRUMENT.SWAP("swap.2994",H2996,B2996,"USD","SOFR",I2996,J2996,0,"Actual360","Simple","Annual","Annual","Annual")</f>
        <v>QSObject:Swap:w1~swap.2994:16696</v>
      </c>
      <c r="F2996" s="6" t="str">
        <f>_xll.QS.TRADE.CREATE("trade.2994",E2996,A2996,"Receive")</f>
        <v>QSObject:SwapTrade:w1~trade.2994:28845</v>
      </c>
      <c r="G2996" s="3">
        <f>_xll.QS.EVALUATE(C2996,F2996)</f>
        <v>44175.552574283902</v>
      </c>
      <c r="H2996" s="5" t="s">
        <v>2379</v>
      </c>
      <c r="I2996" s="7">
        <v>1299400</v>
      </c>
      <c r="J2996" s="8">
        <v>3.9399999999999998E-2</v>
      </c>
    </row>
    <row r="2997" spans="1:10" x14ac:dyDescent="0.25">
      <c r="A2997" s="5" t="s">
        <v>2367</v>
      </c>
      <c r="B2997" s="5" t="s">
        <v>4864</v>
      </c>
      <c r="C2997" s="6" t="str">
        <f>_xll.QS.CONTEXT.CREATE("market.2995",A2997,"USD","SOFR")</f>
        <v>QSObject:PricingContext:w1~market.2995:16695</v>
      </c>
      <c r="D2997" s="6" t="str">
        <f>_xll.QS.CONTEXT.ADD.CURVE(C2997,"SOFR",$K$2:$K$7,$L$2:$L$7,,,"Actual360","LogLinear",TRUE)</f>
        <v>QSObject:ContextInput:w1~input.qs_context_add_curve.2359132437744.2996.3.0:37537</v>
      </c>
      <c r="E2997" s="6" t="str">
        <f>_xll.QS.INSTRUMENT.SWAP("swap.2995",H2997,B2997,"USD","SOFR",I2997,J2997,0,"Actual360","Simple","Annual","Annual","Annual")</f>
        <v>QSObject:Swap:w1~swap.2995:16694</v>
      </c>
      <c r="F2997" s="6" t="str">
        <f>_xll.QS.TRADE.CREATE("trade.2995",E2997,A2997,"Receive")</f>
        <v>QSObject:SwapTrade:w1~trade.2995:28844</v>
      </c>
      <c r="G2997" s="3">
        <f>_xll.QS.EVALUATE(C2997,F2997)</f>
        <v>44699.448608076098</v>
      </c>
      <c r="H2997" s="5" t="s">
        <v>2381</v>
      </c>
      <c r="I2997" s="7">
        <v>1299500</v>
      </c>
      <c r="J2997" s="8">
        <v>3.9500000000000007E-2</v>
      </c>
    </row>
    <row r="2998" spans="1:10" x14ac:dyDescent="0.25">
      <c r="A2998" s="5" t="s">
        <v>2369</v>
      </c>
      <c r="B2998" s="5" t="s">
        <v>4865</v>
      </c>
      <c r="C2998" s="6" t="str">
        <f>_xll.QS.CONTEXT.CREATE("market.2996",A2998,"USD","SOFR")</f>
        <v>QSObject:PricingContext:w1~market.2996:16693</v>
      </c>
      <c r="D2998" s="6" t="str">
        <f>_xll.QS.CONTEXT.ADD.CURVE(C2998,"SOFR",$K$2:$K$7,$L$2:$L$7,,,"Actual360","LogLinear",TRUE)</f>
        <v>QSObject:ContextInput:w1~input.qs_context_add_curve.2359132437744.2997.3.0:37536</v>
      </c>
      <c r="E2998" s="6" t="str">
        <f>_xll.QS.INSTRUMENT.SWAP("swap.2996",H2998,B2998,"USD","SOFR",I2998,J2998,0,"Actual360","Simple","Annual","Annual","Annual")</f>
        <v>QSObject:Swap:w1~swap.2996:16692</v>
      </c>
      <c r="F2998" s="6" t="str">
        <f>_xll.QS.TRADE.CREATE("trade.2996",E2998,A2998,"Receive")</f>
        <v>QSObject:SwapTrade:w1~trade.2996:28843</v>
      </c>
      <c r="G2998" s="3">
        <f>_xll.QS.EVALUATE(C2998,F2998)</f>
        <v>45359.020838688441</v>
      </c>
      <c r="H2998" s="5" t="s">
        <v>2383</v>
      </c>
      <c r="I2998" s="7">
        <v>1299600</v>
      </c>
      <c r="J2998" s="8">
        <v>3.9600000000000003E-2</v>
      </c>
    </row>
    <row r="2999" spans="1:10" x14ac:dyDescent="0.25">
      <c r="A2999" s="5" t="s">
        <v>2371</v>
      </c>
      <c r="B2999" s="5" t="s">
        <v>4866</v>
      </c>
      <c r="C2999" s="6" t="str">
        <f>_xll.QS.CONTEXT.CREATE("market.2997",A2999,"USD","SOFR")</f>
        <v>QSObject:PricingContext:w1~market.2997:16691</v>
      </c>
      <c r="D2999" s="6" t="str">
        <f>_xll.QS.CONTEXT.ADD.CURVE(C2999,"SOFR",$K$2:$K$7,$L$2:$L$7,,,"Actual360","LogLinear",TRUE)</f>
        <v>QSObject:ContextInput:w1~input.qs_context_add_curve.2359132437744.2998.3.0:37535</v>
      </c>
      <c r="E2999" s="6" t="str">
        <f>_xll.QS.INSTRUMENT.SWAP("swap.2997",H2999,B2999,"USD","SOFR",I2999,J2999,0,"Actual360","Simple","Annual","Annual","Annual")</f>
        <v>QSObject:Swap:w1~swap.2997:16690</v>
      </c>
      <c r="F2999" s="6" t="str">
        <f>_xll.QS.TRADE.CREATE("trade.2997",E2999,A2999,"Receive")</f>
        <v>QSObject:SwapTrade:w1~trade.2997:28842</v>
      </c>
      <c r="G2999" s="3">
        <f>_xll.QS.EVALUATE(C2999,F2999)</f>
        <v>45988.505954160093</v>
      </c>
      <c r="H2999" s="5" t="s">
        <v>2385</v>
      </c>
      <c r="I2999" s="7">
        <v>1299700</v>
      </c>
      <c r="J2999" s="8">
        <v>3.9700000000000013E-2</v>
      </c>
    </row>
    <row r="3000" spans="1:10" x14ac:dyDescent="0.25">
      <c r="A3000" s="5" t="s">
        <v>2373</v>
      </c>
      <c r="B3000" s="5" t="s">
        <v>4867</v>
      </c>
      <c r="C3000" s="6" t="str">
        <f>_xll.QS.CONTEXT.CREATE("market.2998",A3000,"USD","SOFR")</f>
        <v>QSObject:PricingContext:w1~market.2998:16689</v>
      </c>
      <c r="D3000" s="6" t="str">
        <f>_xll.QS.CONTEXT.ADD.CURVE(C3000,"SOFR",$K$2:$K$7,$L$2:$L$7,,,"Actual360","LogLinear",TRUE)</f>
        <v>QSObject:ContextInput:w1~input.qs_context_add_curve.2359132437744.2999.3.0:37534</v>
      </c>
      <c r="E3000" s="6" t="str">
        <f>_xll.QS.INSTRUMENT.SWAP("swap.2998",H3000,B3000,"USD","SOFR",I3000,J3000,0,"Actual360","Simple","Annual","Annual","Annual")</f>
        <v>QSObject:Swap:w1~swap.2998:16688</v>
      </c>
      <c r="F3000" s="6" t="str">
        <f>_xll.QS.TRADE.CREATE("trade.2998",E3000,A3000,"Receive")</f>
        <v>QSObject:SwapTrade:w1~trade.2998:28841</v>
      </c>
      <c r="G3000" s="3">
        <f>_xll.QS.EVALUATE(C3000,F3000)</f>
        <v>46686.634740172318</v>
      </c>
      <c r="H3000" s="5" t="s">
        <v>2387</v>
      </c>
      <c r="I3000" s="7">
        <v>1299800</v>
      </c>
      <c r="J3000" s="8">
        <v>3.9800000000000002E-2</v>
      </c>
    </row>
    <row r="3001" spans="1:10" x14ac:dyDescent="0.25">
      <c r="A3001" s="5" t="s">
        <v>2375</v>
      </c>
      <c r="B3001" s="5" t="s">
        <v>4868</v>
      </c>
      <c r="C3001" s="6" t="str">
        <f>_xll.QS.CONTEXT.CREATE("market.2999",A3001,"USD","SOFR")</f>
        <v>QSObject:PricingContext:w1~market.2999:16687</v>
      </c>
      <c r="D3001" s="6" t="str">
        <f>_xll.QS.CONTEXT.ADD.CURVE(C3001,"SOFR",$K$2:$K$7,$L$2:$L$7,,,"Actual360","LogLinear",TRUE)</f>
        <v>QSObject:ContextInput:w1~input.qs_context_add_curve.2359132437744.3000.3.0:37533</v>
      </c>
      <c r="E3001" s="6" t="str">
        <f>_xll.QS.INSTRUMENT.SWAP("swap.2999",H3001,B3001,"USD","SOFR",I3001,J3001,0,"Actual360","Simple","Annual","Annual","Annual")</f>
        <v>QSObject:Swap:w1~swap.2999:16686</v>
      </c>
      <c r="F3001" s="6" t="str">
        <f>_xll.QS.TRADE.CREATE("trade.2999",E3001,A3001,"Receive")</f>
        <v>QSObject:SwapTrade:w1~trade.2999:28840</v>
      </c>
      <c r="G3001" s="3">
        <f>_xll.QS.EVALUATE(C3001,F3001)</f>
        <v>47346.36556067827</v>
      </c>
      <c r="H3001" s="5" t="s">
        <v>2389</v>
      </c>
      <c r="I3001" s="7">
        <v>1299900</v>
      </c>
      <c r="J3001" s="8">
        <v>3.9899999999999998E-2</v>
      </c>
    </row>
    <row r="3002" spans="1:10" x14ac:dyDescent="0.25">
      <c r="A3002" s="5" t="s">
        <v>2377</v>
      </c>
      <c r="B3002" s="5" t="s">
        <v>4869</v>
      </c>
      <c r="C3002" s="6" t="str">
        <f>_xll.QS.CONTEXT.CREATE("market.3000",A3002,"USD","SOFR")</f>
        <v>QSObject:PricingContext:w1~market.3000:16685</v>
      </c>
      <c r="D3002" s="6" t="str">
        <f>_xll.QS.CONTEXT.ADD.CURVE(C3002,"SOFR",$K$2:$K$7,$L$2:$L$7,,,"Actual360","LogLinear",TRUE)</f>
        <v>QSObject:ContextInput:w1~input.qs_context_add_curve.2359132437744.3001.3.0:37532</v>
      </c>
      <c r="E3002" s="6" t="str">
        <f>_xll.QS.INSTRUMENT.SWAP("swap.3000",H3002,B3002,"USD","SOFR",I3002,J3002,0,"Actual360","Simple","Annual","Annual","Annual")</f>
        <v>QSObject:Swap:w1~swap.3000:16684</v>
      </c>
      <c r="F3002" s="6" t="str">
        <f>_xll.QS.TRADE.CREATE("trade.3000",E3002,A3002,"Receive")</f>
        <v>QSObject:SwapTrade:w1~trade.3000:28839</v>
      </c>
      <c r="G3002" s="3">
        <f>_xll.QS.EVALUATE(C3002,F3002)</f>
        <v>17925.926368792767</v>
      </c>
      <c r="H3002" s="5" t="s">
        <v>2391</v>
      </c>
      <c r="I3002" s="7">
        <v>1300000</v>
      </c>
      <c r="J3002" s="8">
        <v>3.5000000000000003E-2</v>
      </c>
    </row>
    <row r="3003" spans="1:10" x14ac:dyDescent="0.25">
      <c r="A3003" s="5" t="s">
        <v>2379</v>
      </c>
      <c r="B3003" s="5" t="s">
        <v>4870</v>
      </c>
      <c r="C3003" s="6" t="str">
        <f>_xll.QS.CONTEXT.CREATE("market.3001",A3003,"USD","SOFR")</f>
        <v>QSObject:PricingContext:w1~market.3001:16683</v>
      </c>
      <c r="D3003" s="6" t="str">
        <f>_xll.QS.CONTEXT.ADD.CURVE(C3003,"SOFR",$K$2:$K$7,$L$2:$L$7,,,"Actual360","LogLinear",TRUE)</f>
        <v>QSObject:ContextInput:w1~input.qs_context_add_curve.2359132437744.3002.3.0:37531</v>
      </c>
      <c r="E3003" s="6" t="str">
        <f>_xll.QS.INSTRUMENT.SWAP("swap.3001",H3003,B3003,"USD","SOFR",I3003,J3003,0,"Actual360","Simple","Annual","Annual","Annual")</f>
        <v>QSObject:Swap:w1~swap.3001:16682</v>
      </c>
      <c r="F3003" s="6" t="str">
        <f>_xll.QS.TRADE.CREATE("trade.3001",E3003,A3003,"Receive")</f>
        <v>QSObject:SwapTrade:w1~trade.3001:28838</v>
      </c>
      <c r="G3003" s="3">
        <f>_xll.QS.EVALUATE(C3003,F3003)</f>
        <v>18450.040278434048</v>
      </c>
      <c r="H3003" s="5" t="s">
        <v>2393</v>
      </c>
      <c r="I3003" s="7">
        <v>1300100</v>
      </c>
      <c r="J3003" s="8">
        <v>3.5100000000000013E-2</v>
      </c>
    </row>
    <row r="3004" spans="1:10" x14ac:dyDescent="0.25">
      <c r="A3004" s="5" t="s">
        <v>2381</v>
      </c>
      <c r="B3004" s="5" t="s">
        <v>4871</v>
      </c>
      <c r="C3004" s="6" t="str">
        <f>_xll.QS.CONTEXT.CREATE("market.3002",A3004,"USD","SOFR")</f>
        <v>QSObject:PricingContext:w1~market.3002:16681</v>
      </c>
      <c r="D3004" s="6" t="str">
        <f>_xll.QS.CONTEXT.ADD.CURVE(C3004,"SOFR",$K$2:$K$7,$L$2:$L$7,,,"Actual360","LogLinear",TRUE)</f>
        <v>QSObject:ContextInput:w1~input.qs_context_add_curve.2359132437744.3003.3.0:37530</v>
      </c>
      <c r="E3004" s="6" t="str">
        <f>_xll.QS.INSTRUMENT.SWAP("swap.3002",H3004,B3004,"USD","SOFR",I3004,J3004,0,"Actual360","Simple","Annual","Annual","Annual")</f>
        <v>QSObject:Swap:w1~swap.3002:16680</v>
      </c>
      <c r="F3004" s="6" t="str">
        <f>_xll.QS.TRADE.CREATE("trade.3002",E3004,A3004,"Receive")</f>
        <v>QSObject:SwapTrade:w1~trade.3002:28837</v>
      </c>
      <c r="G3004" s="3">
        <f>_xll.QS.EVALUATE(C3004,F3004)</f>
        <v>18932.270484874854</v>
      </c>
      <c r="H3004" s="5" t="s">
        <v>2395</v>
      </c>
      <c r="I3004" s="7">
        <v>1300200</v>
      </c>
      <c r="J3004" s="8">
        <v>3.5200000000000002E-2</v>
      </c>
    </row>
    <row r="3005" spans="1:10" x14ac:dyDescent="0.25">
      <c r="A3005" s="5" t="s">
        <v>2383</v>
      </c>
      <c r="B3005" s="5" t="s">
        <v>4872</v>
      </c>
      <c r="C3005" s="6" t="str">
        <f>_xll.QS.CONTEXT.CREATE("market.3003",A3005,"USD","SOFR")</f>
        <v>QSObject:PricingContext:w1~market.3003:16679</v>
      </c>
      <c r="D3005" s="6" t="str">
        <f>_xll.QS.CONTEXT.ADD.CURVE(C3005,"SOFR",$K$2:$K$7,$L$2:$L$7,,,"Actual360","LogLinear",TRUE)</f>
        <v>QSObject:ContextInput:w1~input.qs_context_add_curve.2359132437744.3004.3.0:37529</v>
      </c>
      <c r="E3005" s="6" t="str">
        <f>_xll.QS.INSTRUMENT.SWAP("swap.3003",H3005,B3005,"USD","SOFR",I3005,J3005,0,"Actual360","Simple","Annual","Annual","Annual")</f>
        <v>QSObject:Swap:w1~swap.3003:16678</v>
      </c>
      <c r="F3005" s="6" t="str">
        <f>_xll.QS.TRADE.CREATE("trade.3003",E3005,A3005,"Receive")</f>
        <v>QSObject:SwapTrade:w1~trade.3003:28836</v>
      </c>
      <c r="G3005" s="3">
        <f>_xll.QS.EVALUATE(C3005,F3005)</f>
        <v>19587.745174508462</v>
      </c>
      <c r="H3005" s="5" t="s">
        <v>2397</v>
      </c>
      <c r="I3005" s="7">
        <v>1300300</v>
      </c>
      <c r="J3005" s="8">
        <v>3.5299999999999998E-2</v>
      </c>
    </row>
    <row r="3006" spans="1:10" x14ac:dyDescent="0.25">
      <c r="A3006" s="5" t="s">
        <v>2385</v>
      </c>
      <c r="B3006" s="5" t="s">
        <v>4873</v>
      </c>
      <c r="C3006" s="6" t="str">
        <f>_xll.QS.CONTEXT.CREATE("market.3004",A3006,"USD","SOFR")</f>
        <v>QSObject:PricingContext:w1~market.3004:16677</v>
      </c>
      <c r="D3006" s="6" t="str">
        <f>_xll.QS.CONTEXT.ADD.CURVE(C3006,"SOFR",$K$2:$K$7,$L$2:$L$7,,,"Actual360","LogLinear",TRUE)</f>
        <v>QSObject:ContextInput:w1~input.qs_context_add_curve.2359132437744.3005.3.0:37528</v>
      </c>
      <c r="E3006" s="6" t="str">
        <f>_xll.QS.INSTRUMENT.SWAP("swap.3004",H3006,B3006,"USD","SOFR",I3006,J3006,0,"Actual360","Simple","Annual","Annual","Annual")</f>
        <v>QSObject:Swap:w1~swap.3004:16676</v>
      </c>
      <c r="F3006" s="6" t="str">
        <f>_xll.QS.TRADE.CREATE("trade.3004",E3006,A3006,"Receive")</f>
        <v>QSObject:SwapTrade:w1~trade.3004:28835</v>
      </c>
      <c r="G3006" s="3">
        <f>_xll.QS.EVALUATE(C3006,F3006)</f>
        <v>20228.407634286683</v>
      </c>
      <c r="H3006" s="5" t="s">
        <v>2399</v>
      </c>
      <c r="I3006" s="7">
        <v>1300400</v>
      </c>
      <c r="J3006" s="8">
        <v>3.5400000000000001E-2</v>
      </c>
    </row>
    <row r="3007" spans="1:10" x14ac:dyDescent="0.25">
      <c r="A3007" s="5" t="s">
        <v>2387</v>
      </c>
      <c r="B3007" s="5" t="s">
        <v>4874</v>
      </c>
      <c r="C3007" s="6" t="str">
        <f>_xll.QS.CONTEXT.CREATE("market.3005",A3007,"USD","SOFR")</f>
        <v>QSObject:PricingContext:w1~market.3005:16675</v>
      </c>
      <c r="D3007" s="6" t="str">
        <f>_xll.QS.CONTEXT.ADD.CURVE(C3007,"SOFR",$K$2:$K$7,$L$2:$L$7,,,"Actual360","LogLinear",TRUE)</f>
        <v>QSObject:ContextInput:w1~input.qs_context_add_curve.2359132437744.3006.3.0:37527</v>
      </c>
      <c r="E3007" s="6" t="str">
        <f>_xll.QS.INSTRUMENT.SWAP("swap.3005",H3007,B3007,"USD","SOFR",I3007,J3007,0,"Actual360","Simple","Annual","Annual","Annual")</f>
        <v>QSObject:Swap:w1~swap.3005:16674</v>
      </c>
      <c r="F3007" s="6" t="str">
        <f>_xll.QS.TRADE.CREATE("trade.3005",E3007,A3007,"Receive")</f>
        <v>QSObject:SwapTrade:w1~trade.3005:28834</v>
      </c>
      <c r="G3007" s="3">
        <f>_xll.QS.EVALUATE(C3007,F3007)</f>
        <v>20924.227153411521</v>
      </c>
      <c r="H3007" s="5" t="s">
        <v>2401</v>
      </c>
      <c r="I3007" s="7">
        <v>1300500</v>
      </c>
      <c r="J3007" s="8">
        <v>3.5499999999999997E-2</v>
      </c>
    </row>
    <row r="3008" spans="1:10" x14ac:dyDescent="0.25">
      <c r="A3008" s="5" t="s">
        <v>2389</v>
      </c>
      <c r="B3008" s="5" t="s">
        <v>4875</v>
      </c>
      <c r="C3008" s="6" t="str">
        <f>_xll.QS.CONTEXT.CREATE("market.3006",A3008,"USD","SOFR")</f>
        <v>QSObject:PricingContext:w1~market.3006:16673</v>
      </c>
      <c r="D3008" s="6" t="str">
        <f>_xll.QS.CONTEXT.ADD.CURVE(C3008,"SOFR",$K$2:$K$7,$L$2:$L$7,,,"Actual360","LogLinear",TRUE)</f>
        <v>QSObject:ContextInput:w1~input.qs_context_add_curve.2359132437744.3007.3.0:37526</v>
      </c>
      <c r="E3008" s="6" t="str">
        <f>_xll.QS.INSTRUMENT.SWAP("swap.3006",H3008,B3008,"USD","SOFR",I3008,J3008,0,"Actual360","Simple","Annual","Annual","Annual")</f>
        <v>QSObject:Swap:w1~swap.3006:16672</v>
      </c>
      <c r="F3008" s="6" t="str">
        <f>_xll.QS.TRADE.CREATE("trade.3006",E3008,A3008,"Receive")</f>
        <v>QSObject:SwapTrade:w1~trade.3006:28833</v>
      </c>
      <c r="G3008" s="3">
        <f>_xll.QS.EVALUATE(C3008,F3008)</f>
        <v>21581.645171372591</v>
      </c>
      <c r="H3008" s="5" t="s">
        <v>2403</v>
      </c>
      <c r="I3008" s="7">
        <v>1300600</v>
      </c>
      <c r="J3008" s="8">
        <v>3.5600000000000007E-2</v>
      </c>
    </row>
    <row r="3009" spans="1:10" x14ac:dyDescent="0.25">
      <c r="A3009" s="5" t="s">
        <v>2391</v>
      </c>
      <c r="B3009" s="5" t="s">
        <v>4876</v>
      </c>
      <c r="C3009" s="6" t="str">
        <f>_xll.QS.CONTEXT.CREATE("market.3007",A3009,"USD","SOFR")</f>
        <v>QSObject:PricingContext:w1~market.3007:16671</v>
      </c>
      <c r="D3009" s="6" t="str">
        <f>_xll.QS.CONTEXT.ADD.CURVE(C3009,"SOFR",$K$2:$K$7,$L$2:$L$7,,,"Actual360","LogLinear",TRUE)</f>
        <v>QSObject:ContextInput:w1~input.qs_context_add_curve.2359132437744.3008.3.0:37525</v>
      </c>
      <c r="E3009" s="6" t="str">
        <f>_xll.QS.INSTRUMENT.SWAP("swap.3007",H3009,B3009,"USD","SOFR",I3009,J3009,0,"Actual360","Simple","Annual","Annual","Annual")</f>
        <v>QSObject:Swap:w1~swap.3007:16670</v>
      </c>
      <c r="F3009" s="6" t="str">
        <f>_xll.QS.TRADE.CREATE("trade.3007",E3009,A3009,"Receive")</f>
        <v>QSObject:SwapTrade:w1~trade.3007:28832</v>
      </c>
      <c r="G3009" s="3">
        <f>_xll.QS.EVALUATE(C3009,F3009)</f>
        <v>22134.958264286674</v>
      </c>
      <c r="H3009" s="5" t="s">
        <v>2405</v>
      </c>
      <c r="I3009" s="7">
        <v>1300700</v>
      </c>
      <c r="J3009" s="8">
        <v>3.5700000000000003E-2</v>
      </c>
    </row>
    <row r="3010" spans="1:10" x14ac:dyDescent="0.25">
      <c r="A3010" s="5" t="s">
        <v>2393</v>
      </c>
      <c r="B3010" s="5" t="s">
        <v>4877</v>
      </c>
      <c r="C3010" s="6" t="str">
        <f>_xll.QS.CONTEXT.CREATE("market.3008",A3010,"USD","SOFR")</f>
        <v>QSObject:PricingContext:w1~market.3008:16669</v>
      </c>
      <c r="D3010" s="6" t="str">
        <f>_xll.QS.CONTEXT.ADD.CURVE(C3010,"SOFR",$K$2:$K$7,$L$2:$L$7,,,"Actual360","LogLinear",TRUE)</f>
        <v>QSObject:ContextInput:w1~input.qs_context_add_curve.2359132437744.3009.3.0:37524</v>
      </c>
      <c r="E3010" s="6" t="str">
        <f>_xll.QS.INSTRUMENT.SWAP("swap.3008",H3010,B3010,"USD","SOFR",I3010,J3010,0,"Actual360","Simple","Annual","Annual","Annual")</f>
        <v>QSObject:Swap:w1~swap.3008:16668</v>
      </c>
      <c r="F3010" s="6" t="str">
        <f>_xll.QS.TRADE.CREATE("trade.3008",E3010,A3010,"Receive")</f>
        <v>QSObject:SwapTrade:w1~trade.3008:28831</v>
      </c>
      <c r="G3010" s="3">
        <f>_xll.QS.EVALUATE(C3010,F3010)</f>
        <v>22654.725071710098</v>
      </c>
      <c r="H3010" s="5" t="s">
        <v>2407</v>
      </c>
      <c r="I3010" s="7">
        <v>1300800</v>
      </c>
      <c r="J3010" s="8">
        <v>3.5800000000000012E-2</v>
      </c>
    </row>
    <row r="3011" spans="1:10" x14ac:dyDescent="0.25">
      <c r="A3011" s="5" t="s">
        <v>2395</v>
      </c>
      <c r="B3011" s="5" t="s">
        <v>4878</v>
      </c>
      <c r="C3011" s="6" t="str">
        <f>_xll.QS.CONTEXT.CREATE("market.3009",A3011,"USD","SOFR")</f>
        <v>QSObject:PricingContext:w1~market.3009:16667</v>
      </c>
      <c r="D3011" s="6" t="str">
        <f>_xll.QS.CONTEXT.ADD.CURVE(C3011,"SOFR",$K$2:$K$7,$L$2:$L$7,,,"Actual360","LogLinear",TRUE)</f>
        <v>QSObject:ContextInput:w1~input.qs_context_add_curve.2359132437744.3010.3.0:37523</v>
      </c>
      <c r="E3011" s="6" t="str">
        <f>_xll.QS.INSTRUMENT.SWAP("swap.3009",H3011,B3011,"USD","SOFR",I3011,J3011,0,"Actual360","Simple","Annual","Annual","Annual")</f>
        <v>QSObject:Swap:w1~swap.3009:16666</v>
      </c>
      <c r="F3011" s="6" t="str">
        <f>_xll.QS.TRADE.CREATE("trade.3009",E3011,A3011,"Receive")</f>
        <v>QSObject:SwapTrade:w1~trade.3009:28830</v>
      </c>
      <c r="G3011" s="3">
        <f>_xll.QS.EVALUATE(C3011,F3011)</f>
        <v>23144.052245892817</v>
      </c>
      <c r="H3011" s="5" t="s">
        <v>2409</v>
      </c>
      <c r="I3011" s="7">
        <v>1300900</v>
      </c>
      <c r="J3011" s="8">
        <v>3.5900000000000001E-2</v>
      </c>
    </row>
    <row r="3012" spans="1:10" x14ac:dyDescent="0.25">
      <c r="A3012" s="5" t="s">
        <v>2397</v>
      </c>
      <c r="B3012" s="5" t="s">
        <v>4879</v>
      </c>
      <c r="C3012" s="6" t="str">
        <f>_xll.QS.CONTEXT.CREATE("market.3010",A3012,"USD","SOFR")</f>
        <v>QSObject:PricingContext:w1~market.3010:16665</v>
      </c>
      <c r="D3012" s="6" t="str">
        <f>_xll.QS.CONTEXT.ADD.CURVE(C3012,"SOFR",$K$2:$K$7,$L$2:$L$7,,,"Actual360","LogLinear",TRUE)</f>
        <v>QSObject:ContextInput:w1~input.qs_context_add_curve.2359132437744.3011.3.0:37522</v>
      </c>
      <c r="E3012" s="6" t="str">
        <f>_xll.QS.INSTRUMENT.SWAP("swap.3010",H3012,B3012,"USD","SOFR",I3012,J3012,0,"Actual360","Simple","Annual","Annual","Annual")</f>
        <v>QSObject:Swap:w1~swap.3010:16664</v>
      </c>
      <c r="F3012" s="6" t="str">
        <f>_xll.QS.TRADE.CREATE("trade.3010",E3012,A3012,"Receive")</f>
        <v>QSObject:SwapTrade:w1~trade.3010:28829</v>
      </c>
      <c r="G3012" s="3">
        <f>_xll.QS.EVALUATE(C3012,F3012)</f>
        <v>23800.112446069972</v>
      </c>
      <c r="H3012" s="5" t="s">
        <v>2411</v>
      </c>
      <c r="I3012" s="7">
        <v>1301000</v>
      </c>
      <c r="J3012" s="8">
        <v>3.5999999999999997E-2</v>
      </c>
    </row>
    <row r="3013" spans="1:10" x14ac:dyDescent="0.25">
      <c r="A3013" s="5" t="s">
        <v>2399</v>
      </c>
      <c r="B3013" s="5" t="s">
        <v>4880</v>
      </c>
      <c r="C3013" s="6" t="str">
        <f>_xll.QS.CONTEXT.CREATE("market.3011",A3013,"USD","SOFR")</f>
        <v>QSObject:PricingContext:w1~market.3011:16663</v>
      </c>
      <c r="D3013" s="6" t="str">
        <f>_xll.QS.CONTEXT.ADD.CURVE(C3013,"SOFR",$K$2:$K$7,$L$2:$L$7,,,"Actual360","LogLinear",TRUE)</f>
        <v>QSObject:ContextInput:w1~input.qs_context_add_curve.2359132437744.3012.3.0:37521</v>
      </c>
      <c r="E3013" s="6" t="str">
        <f>_xll.QS.INSTRUMENT.SWAP("swap.3011",H3013,B3013,"USD","SOFR",I3013,J3013,0,"Actual360","Simple","Annual","Annual","Annual")</f>
        <v>QSObject:Swap:w1~swap.3011:16662</v>
      </c>
      <c r="F3013" s="6" t="str">
        <f>_xll.QS.TRADE.CREATE("trade.3011",E3013,A3013,"Receive")</f>
        <v>QSObject:SwapTrade:w1~trade.3011:28828</v>
      </c>
      <c r="G3013" s="3">
        <f>_xll.QS.EVALUATE(C3013,F3013)</f>
        <v>24438.340275469687</v>
      </c>
      <c r="H3013" s="5" t="s">
        <v>2413</v>
      </c>
      <c r="I3013" s="7">
        <v>1301100</v>
      </c>
      <c r="J3013" s="8">
        <v>3.61E-2</v>
      </c>
    </row>
    <row r="3014" spans="1:10" x14ac:dyDescent="0.25">
      <c r="A3014" s="5" t="s">
        <v>2401</v>
      </c>
      <c r="B3014" s="5" t="s">
        <v>4881</v>
      </c>
      <c r="C3014" s="6" t="str">
        <f>_xll.QS.CONTEXT.CREATE("market.3012",A3014,"USD","SOFR")</f>
        <v>QSObject:PricingContext:w1~market.3012:16661</v>
      </c>
      <c r="D3014" s="6" t="str">
        <f>_xll.QS.CONTEXT.ADD.CURVE(C3014,"SOFR",$K$2:$K$7,$L$2:$L$7,,,"Actual360","LogLinear",TRUE)</f>
        <v>QSObject:ContextInput:w1~input.qs_context_add_curve.2359132437744.3013.3.0:37520</v>
      </c>
      <c r="E3014" s="6" t="str">
        <f>_xll.QS.INSTRUMENT.SWAP("swap.3012",H3014,B3014,"USD","SOFR",I3014,J3014,0,"Actual360","Simple","Annual","Annual","Annual")</f>
        <v>QSObject:Swap:w1~swap.3012:16660</v>
      </c>
      <c r="F3014" s="6" t="str">
        <f>_xll.QS.TRADE.CREATE("trade.3012",E3014,A3014,"Receive")</f>
        <v>QSObject:SwapTrade:w1~trade.3012:28827</v>
      </c>
      <c r="G3014" s="3">
        <f>_xll.QS.EVALUATE(C3014,F3014)</f>
        <v>25135.721065088845</v>
      </c>
      <c r="H3014" s="5" t="s">
        <v>2415</v>
      </c>
      <c r="I3014" s="7">
        <v>1301200</v>
      </c>
      <c r="J3014" s="8">
        <v>3.6200000000000003E-2</v>
      </c>
    </row>
    <row r="3015" spans="1:10" x14ac:dyDescent="0.25">
      <c r="A3015" s="5" t="s">
        <v>2403</v>
      </c>
      <c r="B3015" s="5" t="s">
        <v>4882</v>
      </c>
      <c r="C3015" s="6" t="str">
        <f>_xll.QS.CONTEXT.CREATE("market.3013",A3015,"USD","SOFR")</f>
        <v>QSObject:PricingContext:w1~market.3013:16659</v>
      </c>
      <c r="D3015" s="6" t="str">
        <f>_xll.QS.CONTEXT.ADD.CURVE(C3015,"SOFR",$K$2:$K$7,$L$2:$L$7,,,"Actual360","LogLinear",TRUE)</f>
        <v>QSObject:ContextInput:w1~input.qs_context_add_curve.2359132437744.3014.3.0:37519</v>
      </c>
      <c r="E3015" s="6" t="str">
        <f>_xll.QS.INSTRUMENT.SWAP("swap.3013",H3015,B3015,"USD","SOFR",I3015,J3015,0,"Actual360","Simple","Annual","Annual","Annual")</f>
        <v>QSObject:Swap:w1~swap.3013:16658</v>
      </c>
      <c r="F3015" s="6" t="str">
        <f>_xll.QS.TRADE.CREATE("trade.3013",E3015,A3015,"Receive")</f>
        <v>QSObject:SwapTrade:w1~trade.3013:28826</v>
      </c>
      <c r="G3015" s="3">
        <f>_xll.QS.EVALUATE(C3015,F3015)</f>
        <v>25794.266893667183</v>
      </c>
      <c r="H3015" s="5" t="s">
        <v>2417</v>
      </c>
      <c r="I3015" s="7">
        <v>1301300</v>
      </c>
      <c r="J3015" s="8">
        <v>3.6300000000000013E-2</v>
      </c>
    </row>
    <row r="3016" spans="1:10" x14ac:dyDescent="0.25">
      <c r="A3016" s="5" t="s">
        <v>2405</v>
      </c>
      <c r="B3016" s="5" t="s">
        <v>4883</v>
      </c>
      <c r="C3016" s="6" t="str">
        <f>_xll.QS.CONTEXT.CREATE("market.3014",A3016,"USD","SOFR")</f>
        <v>QSObject:PricingContext:w1~market.3014:16657</v>
      </c>
      <c r="D3016" s="6" t="str">
        <f>_xll.QS.CONTEXT.ADD.CURVE(C3016,"SOFR",$K$2:$K$7,$L$2:$L$7,,,"Actual360","LogLinear",TRUE)</f>
        <v>QSObject:ContextInput:w1~input.qs_context_add_curve.2359132437744.3015.3.0:37518</v>
      </c>
      <c r="E3016" s="6" t="str">
        <f>_xll.QS.INSTRUMENT.SWAP("swap.3014",H3016,B3016,"USD","SOFR",I3016,J3016,0,"Actual360","Simple","Annual","Annual","Annual")</f>
        <v>QSObject:Swap:w1~swap.3014:16656</v>
      </c>
      <c r="F3016" s="6" t="str">
        <f>_xll.QS.TRADE.CREATE("trade.3014",E3016,A3016,"Receive")</f>
        <v>QSObject:SwapTrade:w1~trade.3014:28825</v>
      </c>
      <c r="G3016" s="3">
        <f>_xll.QS.EVALUATE(C3016,F3016)</f>
        <v>26295.360488744751</v>
      </c>
      <c r="H3016" s="5" t="s">
        <v>2419</v>
      </c>
      <c r="I3016" s="7">
        <v>1301400</v>
      </c>
      <c r="J3016" s="8">
        <v>3.6400000000000002E-2</v>
      </c>
    </row>
    <row r="3017" spans="1:10" x14ac:dyDescent="0.25">
      <c r="A3017" s="5" t="s">
        <v>2407</v>
      </c>
      <c r="B3017" s="5" t="s">
        <v>4884</v>
      </c>
      <c r="C3017" s="6" t="str">
        <f>_xll.QS.CONTEXT.CREATE("market.3015",A3017,"USD","SOFR")</f>
        <v>QSObject:PricingContext:w1~market.3015:16655</v>
      </c>
      <c r="D3017" s="6" t="str">
        <f>_xll.QS.CONTEXT.ADD.CURVE(C3017,"SOFR",$K$2:$K$7,$L$2:$L$7,,,"Actual360","LogLinear",TRUE)</f>
        <v>QSObject:ContextInput:w1~input.qs_context_add_curve.2359132437744.3016.3.0:37517</v>
      </c>
      <c r="E3017" s="6" t="str">
        <f>_xll.QS.INSTRUMENT.SWAP("swap.3015",H3017,B3017,"USD","SOFR",I3017,J3017,0,"Actual360","Simple","Annual","Annual","Annual")</f>
        <v>QSObject:Swap:w1~swap.3015:16654</v>
      </c>
      <c r="F3017" s="6" t="str">
        <f>_xll.QS.TRADE.CREATE("trade.3015",E3017,A3017,"Receive")</f>
        <v>QSObject:SwapTrade:w1~trade.3015:28824</v>
      </c>
      <c r="G3017" s="3">
        <f>_xll.QS.EVALUATE(C3017,F3017)</f>
        <v>26862.428472813073</v>
      </c>
      <c r="H3017" s="5" t="s">
        <v>2421</v>
      </c>
      <c r="I3017" s="7">
        <v>1301500</v>
      </c>
      <c r="J3017" s="8">
        <v>3.6499999999999998E-2</v>
      </c>
    </row>
    <row r="3018" spans="1:10" x14ac:dyDescent="0.25">
      <c r="A3018" s="5" t="s">
        <v>2409</v>
      </c>
      <c r="B3018" s="5" t="s">
        <v>4885</v>
      </c>
      <c r="C3018" s="6" t="str">
        <f>_xll.QS.CONTEXT.CREATE("market.3016",A3018,"USD","SOFR")</f>
        <v>QSObject:PricingContext:w1~market.3016:16653</v>
      </c>
      <c r="D3018" s="6" t="str">
        <f>_xll.QS.CONTEXT.ADD.CURVE(C3018,"SOFR",$K$2:$K$7,$L$2:$L$7,,,"Actual360","LogLinear",TRUE)</f>
        <v>QSObject:ContextInput:w1~input.qs_context_add_curve.2359132437744.3017.3.0:37516</v>
      </c>
      <c r="E3018" s="6" t="str">
        <f>_xll.QS.INSTRUMENT.SWAP("swap.3016",H3018,B3018,"USD","SOFR",I3018,J3018,0,"Actual360","Simple","Annual","Annual","Annual")</f>
        <v>QSObject:Swap:w1~swap.3016:16652</v>
      </c>
      <c r="F3018" s="6" t="str">
        <f>_xll.QS.TRADE.CREATE("trade.3016",E3018,A3018,"Receive")</f>
        <v>QSObject:SwapTrade:w1~trade.3016:28823</v>
      </c>
      <c r="G3018" s="3">
        <f>_xll.QS.EVALUATE(C3018,F3018)</f>
        <v>27358.838430428783</v>
      </c>
      <c r="H3018" s="5" t="s">
        <v>2423</v>
      </c>
      <c r="I3018" s="7">
        <v>1301600</v>
      </c>
      <c r="J3018" s="8">
        <v>3.6600000000000001E-2</v>
      </c>
    </row>
    <row r="3019" spans="1:10" x14ac:dyDescent="0.25">
      <c r="A3019" s="5" t="s">
        <v>2411</v>
      </c>
      <c r="B3019" s="5" t="s">
        <v>4886</v>
      </c>
      <c r="C3019" s="6" t="str">
        <f>_xll.QS.CONTEXT.CREATE("market.3017",A3019,"USD","SOFR")</f>
        <v>QSObject:PricingContext:w1~market.3017:16651</v>
      </c>
      <c r="D3019" s="6" t="str">
        <f>_xll.QS.CONTEXT.ADD.CURVE(C3019,"SOFR",$K$2:$K$7,$L$2:$L$7,,,"Actual360","LogLinear",TRUE)</f>
        <v>QSObject:ContextInput:w1~input.qs_context_add_curve.2359132437744.3018.3.0:37515</v>
      </c>
      <c r="E3019" s="6" t="str">
        <f>_xll.QS.INSTRUMENT.SWAP("swap.3017",H3019,B3019,"USD","SOFR",I3019,J3019,0,"Actual360","Simple","Annual","Annual","Annual")</f>
        <v>QSObject:Swap:w1~swap.3017:16650</v>
      </c>
      <c r="F3019" s="6" t="str">
        <f>_xll.QS.TRADE.CREATE("trade.3017",E3019,A3019,"Receive")</f>
        <v>QSObject:SwapTrade:w1~trade.3017:28822</v>
      </c>
      <c r="G3019" s="3">
        <f>_xll.QS.EVALUATE(C3019,F3019)</f>
        <v>28016.17952901862</v>
      </c>
      <c r="H3019" s="5" t="s">
        <v>2425</v>
      </c>
      <c r="I3019" s="7">
        <v>1301700</v>
      </c>
      <c r="J3019" s="8">
        <v>3.6700000000000003E-2</v>
      </c>
    </row>
    <row r="3020" spans="1:10" x14ac:dyDescent="0.25">
      <c r="A3020" s="5" t="s">
        <v>2413</v>
      </c>
      <c r="B3020" s="5" t="s">
        <v>4887</v>
      </c>
      <c r="C3020" s="6" t="str">
        <f>_xll.QS.CONTEXT.CREATE("market.3018",A3020,"USD","SOFR")</f>
        <v>QSObject:PricingContext:w1~market.3018:16649</v>
      </c>
      <c r="D3020" s="6" t="str">
        <f>_xll.QS.CONTEXT.ADD.CURVE(C3020,"SOFR",$K$2:$K$7,$L$2:$L$7,,,"Actual360","LogLinear",TRUE)</f>
        <v>QSObject:ContextInput:w1~input.qs_context_add_curve.2359132437744.3019.3.0:37514</v>
      </c>
      <c r="E3020" s="6" t="str">
        <f>_xll.QS.INSTRUMENT.SWAP("swap.3018",H3020,B3020,"USD","SOFR",I3020,J3020,0,"Actual360","Simple","Annual","Annual","Annual")</f>
        <v>QSObject:Swap:w1~swap.3018:16648</v>
      </c>
      <c r="F3020" s="6" t="str">
        <f>_xll.QS.TRADE.CREATE("trade.3018",E3020,A3020,"Receive")</f>
        <v>QSObject:SwapTrade:w1~trade.3018:28821</v>
      </c>
      <c r="G3020" s="3">
        <f>_xll.QS.EVALUATE(C3020,F3020)</f>
        <v>28654.094132140221</v>
      </c>
      <c r="H3020" s="5" t="s">
        <v>2427</v>
      </c>
      <c r="I3020" s="7">
        <v>1301800</v>
      </c>
      <c r="J3020" s="8">
        <v>3.6800000000000013E-2</v>
      </c>
    </row>
    <row r="3021" spans="1:10" x14ac:dyDescent="0.25">
      <c r="A3021" s="5" t="s">
        <v>2415</v>
      </c>
      <c r="B3021" s="5" t="s">
        <v>4888</v>
      </c>
      <c r="C3021" s="6" t="str">
        <f>_xll.QS.CONTEXT.CREATE("market.3019",A3021,"USD","SOFR")</f>
        <v>QSObject:PricingContext:w1~market.3019:16647</v>
      </c>
      <c r="D3021" s="6" t="str">
        <f>_xll.QS.CONTEXT.ADD.CURVE(C3021,"SOFR",$K$2:$K$7,$L$2:$L$7,,,"Actual360","LogLinear",TRUE)</f>
        <v>QSObject:ContextInput:w1~input.qs_context_add_curve.2359132437744.3020.3.0:37513</v>
      </c>
      <c r="E3021" s="6" t="str">
        <f>_xll.QS.INSTRUMENT.SWAP("swap.3019",H3021,B3021,"USD","SOFR",I3021,J3021,0,"Actual360","Simple","Annual","Annual","Annual")</f>
        <v>QSObject:Swap:w1~swap.3019:16646</v>
      </c>
      <c r="F3021" s="6" t="str">
        <f>_xll.QS.TRADE.CREATE("trade.3019",E3021,A3021,"Receive")</f>
        <v>QSObject:SwapTrade:w1~trade.3019:28820</v>
      </c>
      <c r="G3021" s="3">
        <f>_xll.QS.EVALUATE(C3021,F3021)</f>
        <v>29412.067396353166</v>
      </c>
      <c r="H3021" s="5" t="s">
        <v>2429</v>
      </c>
      <c r="I3021" s="7">
        <v>1301900</v>
      </c>
      <c r="J3021" s="8">
        <v>3.6900000000000002E-2</v>
      </c>
    </row>
    <row r="3022" spans="1:10" x14ac:dyDescent="0.25">
      <c r="A3022" s="5" t="s">
        <v>2417</v>
      </c>
      <c r="B3022" s="5" t="s">
        <v>4889</v>
      </c>
      <c r="C3022" s="6" t="str">
        <f>_xll.QS.CONTEXT.CREATE("market.3020",A3022,"USD","SOFR")</f>
        <v>QSObject:PricingContext:w1~market.3020:16645</v>
      </c>
      <c r="D3022" s="6" t="str">
        <f>_xll.QS.CONTEXT.ADD.CURVE(C3022,"SOFR",$K$2:$K$7,$L$2:$L$7,,,"Actual360","LogLinear",TRUE)</f>
        <v>QSObject:ContextInput:w1~input.qs_context_add_curve.2359132437744.3021.3.0:37512</v>
      </c>
      <c r="E3022" s="6" t="str">
        <f>_xll.QS.INSTRUMENT.SWAP("swap.3020",H3022,B3022,"USD","SOFR",I3022,J3022,0,"Actual360","Simple","Annual","Annual","Annual")</f>
        <v>QSObject:Swap:w1~swap.3020:16644</v>
      </c>
      <c r="F3022" s="6" t="str">
        <f>_xll.QS.TRADE.CREATE("trade.3020",E3022,A3022,"Receive")</f>
        <v>QSObject:SwapTrade:w1~trade.3020:28819</v>
      </c>
      <c r="G3022" s="3">
        <f>_xll.QS.EVALUATE(C3022,F3022)</f>
        <v>30013.307964483924</v>
      </c>
      <c r="H3022" s="5" t="s">
        <v>2431</v>
      </c>
      <c r="I3022" s="7">
        <v>1302000</v>
      </c>
      <c r="J3022" s="8">
        <v>3.7000000000000012E-2</v>
      </c>
    </row>
    <row r="3023" spans="1:10" x14ac:dyDescent="0.25">
      <c r="A3023" s="5" t="s">
        <v>2419</v>
      </c>
      <c r="B3023" s="5" t="s">
        <v>4890</v>
      </c>
      <c r="C3023" s="6" t="str">
        <f>_xll.QS.CONTEXT.CREATE("market.3021",A3023,"USD","SOFR")</f>
        <v>QSObject:PricingContext:w1~market.3021:16643</v>
      </c>
      <c r="D3023" s="6" t="str">
        <f>_xll.QS.CONTEXT.ADD.CURVE(C3023,"SOFR",$K$2:$K$7,$L$2:$L$7,,,"Actual360","LogLinear",TRUE)</f>
        <v>QSObject:ContextInput:w1~input.qs_context_add_curve.2359132437744.3022.3.0:37511</v>
      </c>
      <c r="E3023" s="6" t="str">
        <f>_xll.QS.INSTRUMENT.SWAP("swap.3021",H3023,B3023,"USD","SOFR",I3023,J3023,0,"Actual360","Simple","Annual","Annual","Annual")</f>
        <v>QSObject:Swap:w1~swap.3021:16642</v>
      </c>
      <c r="F3023" s="6" t="str">
        <f>_xll.QS.TRADE.CREATE("trade.3021",E3023,A3023,"Receive")</f>
        <v>QSObject:SwapTrade:w1~trade.3021:28818</v>
      </c>
      <c r="G3023" s="3">
        <f>_xll.QS.EVALUATE(C3023,F3023)</f>
        <v>30564.334621832866</v>
      </c>
      <c r="H3023" s="5" t="s">
        <v>2433</v>
      </c>
      <c r="I3023" s="7">
        <v>1302100</v>
      </c>
      <c r="J3023" s="8">
        <v>3.7100000000000001E-2</v>
      </c>
    </row>
    <row r="3024" spans="1:10" x14ac:dyDescent="0.25">
      <c r="A3024" s="5" t="s">
        <v>2421</v>
      </c>
      <c r="B3024" s="5" t="s">
        <v>4891</v>
      </c>
      <c r="C3024" s="6" t="str">
        <f>_xll.QS.CONTEXT.CREATE("market.3022",A3024,"USD","SOFR")</f>
        <v>QSObject:PricingContext:w1~market.3022:16641</v>
      </c>
      <c r="D3024" s="6" t="str">
        <f>_xll.QS.CONTEXT.ADD.CURVE(C3024,"SOFR",$K$2:$K$7,$L$2:$L$7,,,"Actual360","LogLinear",TRUE)</f>
        <v>QSObject:ContextInput:w1~input.qs_context_add_curve.2359132437744.3023.3.0:37510</v>
      </c>
      <c r="E3024" s="6" t="str">
        <f>_xll.QS.INSTRUMENT.SWAP("swap.3022",H3024,B3024,"USD","SOFR",I3024,J3024,0,"Actual360","Simple","Annual","Annual","Annual")</f>
        <v>QSObject:Swap:w1~swap.3022:16640</v>
      </c>
      <c r="F3024" s="6" t="str">
        <f>_xll.QS.TRADE.CREATE("trade.3022",E3024,A3024,"Receive")</f>
        <v>QSObject:SwapTrade:w1~trade.3022:28817</v>
      </c>
      <c r="G3024" s="3">
        <f>_xll.QS.EVALUATE(C3024,F3024)</f>
        <v>30973.300738683887</v>
      </c>
      <c r="H3024" s="5" t="s">
        <v>2435</v>
      </c>
      <c r="I3024" s="7">
        <v>1302200</v>
      </c>
      <c r="J3024" s="8">
        <v>3.7199999999999997E-2</v>
      </c>
    </row>
    <row r="3025" spans="1:10" x14ac:dyDescent="0.25">
      <c r="A3025" s="5" t="s">
        <v>2423</v>
      </c>
      <c r="B3025" s="5" t="s">
        <v>4892</v>
      </c>
      <c r="C3025" s="6" t="str">
        <f>_xll.QS.CONTEXT.CREATE("market.3023",A3025,"USD","SOFR")</f>
        <v>QSObject:PricingContext:w1~market.3023:16639</v>
      </c>
      <c r="D3025" s="6" t="str">
        <f>_xll.QS.CONTEXT.ADD.CURVE(C3025,"SOFR",$K$2:$K$7,$L$2:$L$7,,,"Actual360","LogLinear",TRUE)</f>
        <v>QSObject:ContextInput:w1~input.qs_context_add_curve.2359132437744.3024.3.0:37509</v>
      </c>
      <c r="E3025" s="6" t="str">
        <f>_xll.QS.INSTRUMENT.SWAP("swap.3023",H3025,B3025,"USD","SOFR",I3025,J3025,0,"Actual360","Simple","Annual","Annual","Annual")</f>
        <v>QSObject:Swap:w1~swap.3023:16638</v>
      </c>
      <c r="F3025" s="6" t="str">
        <f>_xll.QS.TRADE.CREATE("trade.3023",E3025,A3025,"Receive")</f>
        <v>QSObject:SwapTrade:w1~trade.3023:28816</v>
      </c>
      <c r="G3025" s="3">
        <f>_xll.QS.EVALUATE(C3025,F3025)</f>
        <v>31578.929642746021</v>
      </c>
      <c r="H3025" s="5" t="s">
        <v>2437</v>
      </c>
      <c r="I3025" s="7">
        <v>1302300</v>
      </c>
      <c r="J3025" s="8">
        <v>3.73E-2</v>
      </c>
    </row>
    <row r="3026" spans="1:10" x14ac:dyDescent="0.25">
      <c r="A3026" s="5" t="s">
        <v>2425</v>
      </c>
      <c r="B3026" s="5" t="s">
        <v>4893</v>
      </c>
      <c r="C3026" s="6" t="str">
        <f>_xll.QS.CONTEXT.CREATE("market.3024",A3026,"USD","SOFR")</f>
        <v>QSObject:PricingContext:w1~market.3024:16637</v>
      </c>
      <c r="D3026" s="6" t="str">
        <f>_xll.QS.CONTEXT.ADD.CURVE(C3026,"SOFR",$K$2:$K$7,$L$2:$L$7,,,"Actual360","LogLinear",TRUE)</f>
        <v>QSObject:ContextInput:w1~input.qs_context_add_curve.2359132437744.3025.3.0:37508</v>
      </c>
      <c r="E3026" s="6" t="str">
        <f>_xll.QS.INSTRUMENT.SWAP("swap.3024",H3026,B3026,"USD","SOFR",I3026,J3026,0,"Actual360","Simple","Annual","Annual","Annual")</f>
        <v>QSObject:Swap:w1~swap.3024:16636</v>
      </c>
      <c r="F3026" s="6" t="str">
        <f>_xll.QS.TRADE.CREATE("trade.3024",E3026,A3026,"Receive")</f>
        <v>QSObject:SwapTrade:w1~trade.3024:28815</v>
      </c>
      <c r="G3026" s="3">
        <f>_xll.QS.EVALUATE(C3026,F3026)</f>
        <v>32237.566087978616</v>
      </c>
      <c r="H3026" s="5" t="s">
        <v>2439</v>
      </c>
      <c r="I3026" s="7">
        <v>1302400</v>
      </c>
      <c r="J3026" s="8">
        <v>3.7400000000000003E-2</v>
      </c>
    </row>
    <row r="3027" spans="1:10" x14ac:dyDescent="0.25">
      <c r="A3027" s="5" t="s">
        <v>2427</v>
      </c>
      <c r="B3027" s="5" t="s">
        <v>4894</v>
      </c>
      <c r="C3027" s="6" t="str">
        <f>_xll.QS.CONTEXT.CREATE("market.3025",A3027,"USD","SOFR")</f>
        <v>QSObject:PricingContext:w1~market.3025:16635</v>
      </c>
      <c r="D3027" s="6" t="str">
        <f>_xll.QS.CONTEXT.ADD.CURVE(C3027,"SOFR",$K$2:$K$7,$L$2:$L$7,,,"Actual360","LogLinear",TRUE)</f>
        <v>QSObject:ContextInput:w1~input.qs_context_add_curve.2359132437744.3026.3.0:37507</v>
      </c>
      <c r="E3027" s="6" t="str">
        <f>_xll.QS.INSTRUMENT.SWAP("swap.3025",H3027,B3027,"USD","SOFR",I3027,J3027,0,"Actual360","Simple","Annual","Annual","Annual")</f>
        <v>QSObject:Swap:w1~swap.3025:16634</v>
      </c>
      <c r="F3027" s="6" t="str">
        <f>_xll.QS.TRADE.CREATE("trade.3025",E3027,A3027,"Receive")</f>
        <v>QSObject:SwapTrade:w1~trade.3025:28814</v>
      </c>
      <c r="G3027" s="3">
        <f>_xll.QS.EVALUATE(C3027,F3027)</f>
        <v>33017.519151507193</v>
      </c>
      <c r="H3027" s="5" t="s">
        <v>2441</v>
      </c>
      <c r="I3027" s="7">
        <v>1302500</v>
      </c>
      <c r="J3027" s="8">
        <v>3.7500000000000012E-2</v>
      </c>
    </row>
    <row r="3028" spans="1:10" x14ac:dyDescent="0.25">
      <c r="A3028" s="5" t="s">
        <v>2429</v>
      </c>
      <c r="B3028" s="5" t="s">
        <v>4895</v>
      </c>
      <c r="C3028" s="6" t="str">
        <f>_xll.QS.CONTEXT.CREATE("market.3026",A3028,"USD","SOFR")</f>
        <v>QSObject:PricingContext:w1~market.3026:16633</v>
      </c>
      <c r="D3028" s="6" t="str">
        <f>_xll.QS.CONTEXT.ADD.CURVE(C3028,"SOFR",$K$2:$K$7,$L$2:$L$7,,,"Actual360","LogLinear",TRUE)</f>
        <v>QSObject:ContextInput:w1~input.qs_context_add_curve.2359132437744.3027.3.0:37506</v>
      </c>
      <c r="E3028" s="6" t="str">
        <f>_xll.QS.INSTRUMENT.SWAP("swap.3026",H3028,B3028,"USD","SOFR",I3028,J3028,0,"Actual360","Simple","Annual","Annual","Annual")</f>
        <v>QSObject:Swap:w1~swap.3026:16632</v>
      </c>
      <c r="F3028" s="6" t="str">
        <f>_xll.QS.TRADE.CREATE("trade.3026",E3028,A3028,"Receive")</f>
        <v>QSObject:SwapTrade:w1~trade.3026:28813</v>
      </c>
      <c r="G3028" s="3">
        <f>_xll.QS.EVALUATE(C3028,F3028)</f>
        <v>33620.315762519866</v>
      </c>
      <c r="H3028" s="5" t="s">
        <v>2443</v>
      </c>
      <c r="I3028" s="7">
        <v>1302600</v>
      </c>
      <c r="J3028" s="8">
        <v>3.7600000000000001E-2</v>
      </c>
    </row>
    <row r="3029" spans="1:10" x14ac:dyDescent="0.25">
      <c r="A3029" s="5" t="s">
        <v>2431</v>
      </c>
      <c r="B3029" s="5" t="s">
        <v>4896</v>
      </c>
      <c r="C3029" s="6" t="str">
        <f>_xll.QS.CONTEXT.CREATE("market.3027",A3029,"USD","SOFR")</f>
        <v>QSObject:PricingContext:w1~market.3027:16631</v>
      </c>
      <c r="D3029" s="6" t="str">
        <f>_xll.QS.CONTEXT.ADD.CURVE(C3029,"SOFR",$K$2:$K$7,$L$2:$L$7,,,"Actual360","LogLinear",TRUE)</f>
        <v>QSObject:ContextInput:w1~input.qs_context_add_curve.2359132437744.3028.3.0:37505</v>
      </c>
      <c r="E3029" s="6" t="str">
        <f>_xll.QS.INSTRUMENT.SWAP("swap.3027",H3029,B3029,"USD","SOFR",I3029,J3029,0,"Actual360","Simple","Annual","Annual","Annual")</f>
        <v>QSObject:Swap:w1~swap.3027:16630</v>
      </c>
      <c r="F3029" s="6" t="str">
        <f>_xll.QS.TRADE.CREATE("trade.3027",E3029,A3029,"Receive")</f>
        <v>QSObject:SwapTrade:w1~trade.3027:28812</v>
      </c>
      <c r="G3029" s="3">
        <f>_xll.QS.EVALUATE(C3029,F3029)</f>
        <v>34232.128676890992</v>
      </c>
      <c r="H3029" s="5" t="s">
        <v>2445</v>
      </c>
      <c r="I3029" s="7">
        <v>1302700</v>
      </c>
      <c r="J3029" s="8">
        <v>3.7699999999999997E-2</v>
      </c>
    </row>
    <row r="3030" spans="1:10" x14ac:dyDescent="0.25">
      <c r="A3030" s="5" t="s">
        <v>2433</v>
      </c>
      <c r="B3030" s="5" t="s">
        <v>4897</v>
      </c>
      <c r="C3030" s="6" t="str">
        <f>_xll.QS.CONTEXT.CREATE("market.3028",A3030,"USD","SOFR")</f>
        <v>QSObject:PricingContext:w1~market.3028:16629</v>
      </c>
      <c r="D3030" s="6" t="str">
        <f>_xll.QS.CONTEXT.ADD.CURVE(C3030,"SOFR",$K$2:$K$7,$L$2:$L$7,,,"Actual360","LogLinear",TRUE)</f>
        <v>QSObject:ContextInput:w1~input.qs_context_add_curve.2359132437744.3029.3.0:37504</v>
      </c>
      <c r="E3030" s="6" t="str">
        <f>_xll.QS.INSTRUMENT.SWAP("swap.3028",H3030,B3030,"USD","SOFR",I3030,J3030,0,"Actual360","Simple","Annual","Annual","Annual")</f>
        <v>QSObject:Swap:w1~swap.3028:16628</v>
      </c>
      <c r="F3030" s="6" t="str">
        <f>_xll.QS.TRADE.CREATE("trade.3028",E3030,A3030,"Receive")</f>
        <v>QSObject:SwapTrade:w1~trade.3028:28811</v>
      </c>
      <c r="G3030" s="3">
        <f>_xll.QS.EVALUATE(C3030,F3030)</f>
        <v>34787.095305886636</v>
      </c>
      <c r="H3030" s="5" t="s">
        <v>2447</v>
      </c>
      <c r="I3030" s="7">
        <v>1302800</v>
      </c>
      <c r="J3030" s="8">
        <v>3.78E-2</v>
      </c>
    </row>
    <row r="3031" spans="1:10" x14ac:dyDescent="0.25">
      <c r="A3031" s="5" t="s">
        <v>2435</v>
      </c>
      <c r="B3031" s="5" t="s">
        <v>4898</v>
      </c>
      <c r="C3031" s="6" t="str">
        <f>_xll.QS.CONTEXT.CREATE("market.3029",A3031,"USD","SOFR")</f>
        <v>QSObject:PricingContext:w1~market.3029:16627</v>
      </c>
      <c r="D3031" s="6" t="str">
        <f>_xll.QS.CONTEXT.ADD.CURVE(C3031,"SOFR",$K$2:$K$7,$L$2:$L$7,,,"Actual360","LogLinear",TRUE)</f>
        <v>QSObject:ContextInput:w1~input.qs_context_add_curve.2359132437744.3030.3.0:37503</v>
      </c>
      <c r="E3031" s="6" t="str">
        <f>_xll.QS.INSTRUMENT.SWAP("swap.3029",H3031,B3031,"USD","SOFR",I3031,J3031,0,"Actual360","Simple","Annual","Annual","Annual")</f>
        <v>QSObject:Swap:w1~swap.3029:16626</v>
      </c>
      <c r="F3031" s="6" t="str">
        <f>_xll.QS.TRADE.CREATE("trade.3029",E3031,A3031,"Receive")</f>
        <v>QSObject:SwapTrade:w1~trade.3029:28810</v>
      </c>
      <c r="G3031" s="3">
        <f>_xll.QS.EVALUATE(C3031,F3031)</f>
        <v>35293.805862014407</v>
      </c>
      <c r="H3031" s="5" t="s">
        <v>2449</v>
      </c>
      <c r="I3031" s="7">
        <v>1302900</v>
      </c>
      <c r="J3031" s="8">
        <v>3.7900000000000003E-2</v>
      </c>
    </row>
    <row r="3032" spans="1:10" x14ac:dyDescent="0.25">
      <c r="A3032" s="5" t="s">
        <v>2437</v>
      </c>
      <c r="B3032" s="5" t="s">
        <v>4899</v>
      </c>
      <c r="C3032" s="6" t="str">
        <f>_xll.QS.CONTEXT.CREATE("market.3030",A3032,"USD","SOFR")</f>
        <v>QSObject:PricingContext:w1~market.3030:16625</v>
      </c>
      <c r="D3032" s="6" t="str">
        <f>_xll.QS.CONTEXT.ADD.CURVE(C3032,"SOFR",$K$2:$K$7,$L$2:$L$7,,,"Actual360","LogLinear",TRUE)</f>
        <v>QSObject:ContextInput:w1~input.qs_context_add_curve.2359132437744.3031.3.0:37502</v>
      </c>
      <c r="E3032" s="6" t="str">
        <f>_xll.QS.INSTRUMENT.SWAP("swap.3030",H3032,B3032,"USD","SOFR",I3032,J3032,0,"Actual360","Simple","Annual","Annual","Annual")</f>
        <v>QSObject:Swap:w1~swap.3030:16624</v>
      </c>
      <c r="F3032" s="6" t="str">
        <f>_xll.QS.TRADE.CREATE("trade.3030",E3032,A3032,"Receive")</f>
        <v>QSObject:SwapTrade:w1~trade.3030:28809</v>
      </c>
      <c r="G3032" s="3">
        <f>_xll.QS.EVALUATE(C3032,F3032)</f>
        <v>35804.309901480767</v>
      </c>
      <c r="H3032" s="5" t="s">
        <v>2451</v>
      </c>
      <c r="I3032" s="7">
        <v>1303000</v>
      </c>
      <c r="J3032" s="8">
        <v>3.8000000000000013E-2</v>
      </c>
    </row>
    <row r="3033" spans="1:10" x14ac:dyDescent="0.25">
      <c r="A3033" s="5" t="s">
        <v>2439</v>
      </c>
      <c r="B3033" s="5" t="s">
        <v>4900</v>
      </c>
      <c r="C3033" s="6" t="str">
        <f>_xll.QS.CONTEXT.CREATE("market.3031",A3033,"USD","SOFR")</f>
        <v>QSObject:PricingContext:w1~market.3031:16623</v>
      </c>
      <c r="D3033" s="6" t="str">
        <f>_xll.QS.CONTEXT.ADD.CURVE(C3033,"SOFR",$K$2:$K$7,$L$2:$L$7,,,"Actual360","LogLinear",TRUE)</f>
        <v>QSObject:ContextInput:w1~input.qs_context_add_curve.2359132437744.3032.3.0:37501</v>
      </c>
      <c r="E3033" s="6" t="str">
        <f>_xll.QS.INSTRUMENT.SWAP("swap.3031",H3033,B3033,"USD","SOFR",I3033,J3033,0,"Actual360","Simple","Annual","Annual","Annual")</f>
        <v>QSObject:Swap:w1~swap.3031:16622</v>
      </c>
      <c r="F3033" s="6" t="str">
        <f>_xll.QS.TRADE.CREATE("trade.3031",E3033,A3033,"Receive")</f>
        <v>QSObject:SwapTrade:w1~trade.3031:28808</v>
      </c>
      <c r="G3033" s="3">
        <f>_xll.QS.EVALUATE(C3033,F3033)</f>
        <v>36463.256541375507</v>
      </c>
      <c r="H3033" s="5" t="s">
        <v>2453</v>
      </c>
      <c r="I3033" s="7">
        <v>1303100</v>
      </c>
      <c r="J3033" s="8">
        <v>3.8100000000000002E-2</v>
      </c>
    </row>
    <row r="3034" spans="1:10" x14ac:dyDescent="0.25">
      <c r="A3034" s="5" t="s">
        <v>2441</v>
      </c>
      <c r="B3034" s="5" t="s">
        <v>4901</v>
      </c>
      <c r="C3034" s="6" t="str">
        <f>_xll.QS.CONTEXT.CREATE("market.3032",A3034,"USD","SOFR")</f>
        <v>QSObject:PricingContext:w1~market.3032:16621</v>
      </c>
      <c r="D3034" s="6" t="str">
        <f>_xll.QS.CONTEXT.ADD.CURVE(C3034,"SOFR",$K$2:$K$7,$L$2:$L$7,,,"Actual360","LogLinear",TRUE)</f>
        <v>QSObject:ContextInput:w1~input.qs_context_add_curve.2359132437744.3033.3.0:37500</v>
      </c>
      <c r="E3034" s="6" t="str">
        <f>_xll.QS.INSTRUMENT.SWAP("swap.3032",H3034,B3034,"USD","SOFR",I3034,J3034,0,"Actual360","Simple","Annual","Annual","Annual")</f>
        <v>QSObject:Swap:w1~swap.3032:16620</v>
      </c>
      <c r="F3034" s="6" t="str">
        <f>_xll.QS.TRADE.CREATE("trade.3032",E3034,A3034,"Receive")</f>
        <v>QSObject:SwapTrade:w1~trade.3032:28807</v>
      </c>
      <c r="G3034" s="3">
        <f>_xll.QS.EVALUATE(C3034,F3034)</f>
        <v>37098.156574228968</v>
      </c>
      <c r="H3034" s="5" t="s">
        <v>2455</v>
      </c>
      <c r="I3034" s="7">
        <v>1303200</v>
      </c>
      <c r="J3034" s="8">
        <v>3.8199999999999998E-2</v>
      </c>
    </row>
    <row r="3035" spans="1:10" x14ac:dyDescent="0.25">
      <c r="A3035" s="5" t="s">
        <v>2443</v>
      </c>
      <c r="B3035" s="5" t="s">
        <v>4902</v>
      </c>
      <c r="C3035" s="6" t="str">
        <f>_xll.QS.CONTEXT.CREATE("market.3033",A3035,"USD","SOFR")</f>
        <v>QSObject:PricingContext:w1~market.3033:16619</v>
      </c>
      <c r="D3035" s="6" t="str">
        <f>_xll.QS.CONTEXT.ADD.CURVE(C3035,"SOFR",$K$2:$K$7,$L$2:$L$7,,,"Actual360","LogLinear",TRUE)</f>
        <v>QSObject:ContextInput:w1~input.qs_context_add_curve.2359132437744.3034.3.0:37499</v>
      </c>
      <c r="E3035" s="6" t="str">
        <f>_xll.QS.INSTRUMENT.SWAP("swap.3033",H3035,B3035,"USD","SOFR",I3035,J3035,0,"Actual360","Simple","Annual","Annual","Annual")</f>
        <v>QSObject:Swap:w1~swap.3033:16618</v>
      </c>
      <c r="F3035" s="6" t="str">
        <f>_xll.QS.TRADE.CREATE("trade.3033",E3035,A3035,"Receive")</f>
        <v>QSObject:SwapTrade:w1~trade.3033:28806</v>
      </c>
      <c r="G3035" s="3">
        <f>_xll.QS.EVALUATE(C3035,F3035)</f>
        <v>37797.554942143695</v>
      </c>
      <c r="H3035" s="5" t="s">
        <v>2457</v>
      </c>
      <c r="I3035" s="7">
        <v>1303300</v>
      </c>
      <c r="J3035" s="8">
        <v>3.8300000000000001E-2</v>
      </c>
    </row>
    <row r="3036" spans="1:10" x14ac:dyDescent="0.25">
      <c r="A3036" s="5" t="s">
        <v>2445</v>
      </c>
      <c r="B3036" s="5" t="s">
        <v>4903</v>
      </c>
      <c r="C3036" s="6" t="str">
        <f>_xll.QS.CONTEXT.CREATE("market.3034",A3036,"USD","SOFR")</f>
        <v>QSObject:PricingContext:w1~market.3034:16617</v>
      </c>
      <c r="D3036" s="6" t="str">
        <f>_xll.QS.CONTEXT.ADD.CURVE(C3036,"SOFR",$K$2:$K$7,$L$2:$L$7,,,"Actual360","LogLinear",TRUE)</f>
        <v>QSObject:ContextInput:w1~input.qs_context_add_curve.2359132437744.3035.3.0:37498</v>
      </c>
      <c r="E3036" s="6" t="str">
        <f>_xll.QS.INSTRUMENT.SWAP("swap.3034",H3036,B3036,"USD","SOFR",I3036,J3036,0,"Actual360","Simple","Annual","Annual","Annual")</f>
        <v>QSObject:Swap:w1~swap.3034:16616</v>
      </c>
      <c r="F3036" s="6" t="str">
        <f>_xll.QS.TRADE.CREATE("trade.3034",E3036,A3036,"Receive")</f>
        <v>QSObject:SwapTrade:w1~trade.3034:28805</v>
      </c>
      <c r="G3036" s="3">
        <f>_xll.QS.EVALUATE(C3036,F3036)</f>
        <v>38458.630154872139</v>
      </c>
      <c r="H3036" s="5" t="s">
        <v>2459</v>
      </c>
      <c r="I3036" s="7">
        <v>1303400</v>
      </c>
      <c r="J3036" s="8">
        <v>3.8399999999999997E-2</v>
      </c>
    </row>
    <row r="3037" spans="1:10" x14ac:dyDescent="0.25">
      <c r="A3037" s="5" t="s">
        <v>2447</v>
      </c>
      <c r="B3037" s="5" t="s">
        <v>4904</v>
      </c>
      <c r="C3037" s="6" t="str">
        <f>_xll.QS.CONTEXT.CREATE("market.3035",A3037,"USD","SOFR")</f>
        <v>QSObject:PricingContext:w1~market.3035:16615</v>
      </c>
      <c r="D3037" s="6" t="str">
        <f>_xll.QS.CONTEXT.ADD.CURVE(C3037,"SOFR",$K$2:$K$7,$L$2:$L$7,,,"Actual360","LogLinear",TRUE)</f>
        <v>QSObject:ContextInput:w1~input.qs_context_add_curve.2359132437744.3036.3.0:37497</v>
      </c>
      <c r="E3037" s="6" t="str">
        <f>_xll.QS.INSTRUMENT.SWAP("swap.3035",H3037,B3037,"USD","SOFR",I3037,J3037,0,"Actual360","Simple","Annual","Annual","Annual")</f>
        <v>QSObject:Swap:w1~swap.3035:16614</v>
      </c>
      <c r="F3037" s="6" t="str">
        <f>_xll.QS.TRADE.CREATE("trade.3035",E3037,A3037,"Receive")</f>
        <v>QSObject:SwapTrade:w1~trade.3035:28804</v>
      </c>
      <c r="G3037" s="3">
        <f>_xll.QS.EVALUATE(C3037,F3037)</f>
        <v>39012.532766717966</v>
      </c>
      <c r="H3037" s="5" t="s">
        <v>2461</v>
      </c>
      <c r="I3037" s="7">
        <v>1303500</v>
      </c>
      <c r="J3037" s="8">
        <v>3.8500000000000013E-2</v>
      </c>
    </row>
    <row r="3038" spans="1:10" x14ac:dyDescent="0.25">
      <c r="A3038" s="5" t="s">
        <v>2449</v>
      </c>
      <c r="B3038" s="5" t="s">
        <v>4905</v>
      </c>
      <c r="C3038" s="6" t="str">
        <f>_xll.QS.CONTEXT.CREATE("market.3036",A3038,"USD","SOFR")</f>
        <v>QSObject:PricingContext:w1~market.3036:16613</v>
      </c>
      <c r="D3038" s="6" t="str">
        <f>_xll.QS.CONTEXT.ADD.CURVE(C3038,"SOFR",$K$2:$K$7,$L$2:$L$7,,,"Actual360","LogLinear",TRUE)</f>
        <v>QSObject:ContextInput:w1~input.qs_context_add_curve.2359132437744.3037.3.0:37496</v>
      </c>
      <c r="E3038" s="6" t="str">
        <f>_xll.QS.INSTRUMENT.SWAP("swap.3036",H3038,B3038,"USD","SOFR",I3038,J3038,0,"Actual360","Simple","Annual","Annual","Annual")</f>
        <v>QSObject:Swap:w1~swap.3036:16612</v>
      </c>
      <c r="F3038" s="6" t="str">
        <f>_xll.QS.TRADE.CREATE("trade.3036",E3038,A3038,"Receive")</f>
        <v>QSObject:SwapTrade:w1~trade.3036:28803</v>
      </c>
      <c r="G3038" s="3">
        <f>_xll.QS.EVALUATE(C3038,F3038)</f>
        <v>39514.873743508717</v>
      </c>
      <c r="H3038" s="5" t="s">
        <v>2463</v>
      </c>
      <c r="I3038" s="7">
        <v>1303600</v>
      </c>
      <c r="J3038" s="8">
        <v>3.8600000000000002E-2</v>
      </c>
    </row>
    <row r="3039" spans="1:10" x14ac:dyDescent="0.25">
      <c r="A3039" s="5" t="s">
        <v>2451</v>
      </c>
      <c r="B3039" s="5" t="s">
        <v>4906</v>
      </c>
      <c r="C3039" s="6" t="str">
        <f>_xll.QS.CONTEXT.CREATE("market.3037",A3039,"USD","SOFR")</f>
        <v>QSObject:PricingContext:w1~market.3037:16611</v>
      </c>
      <c r="D3039" s="6" t="str">
        <f>_xll.QS.CONTEXT.ADD.CURVE(C3039,"SOFR",$K$2:$K$7,$L$2:$L$7,,,"Actual360","LogLinear",TRUE)</f>
        <v>QSObject:ContextInput:w1~input.qs_context_add_curve.2359132437744.3038.3.0:37495</v>
      </c>
      <c r="E3039" s="6" t="str">
        <f>_xll.QS.INSTRUMENT.SWAP("swap.3037",H3039,B3039,"USD","SOFR",I3039,J3039,0,"Actual360","Simple","Annual","Annual","Annual")</f>
        <v>QSObject:Swap:w1~swap.3037:16610</v>
      </c>
      <c r="F3039" s="6" t="str">
        <f>_xll.QS.TRADE.CREATE("trade.3037",E3039,A3039,"Receive")</f>
        <v>QSObject:SwapTrade:w1~trade.3037:28802</v>
      </c>
      <c r="G3039" s="3">
        <f>_xll.QS.EVALUATE(C3039,F3039)</f>
        <v>40032.627492531436</v>
      </c>
      <c r="H3039" s="5" t="s">
        <v>2465</v>
      </c>
      <c r="I3039" s="7">
        <v>1303700</v>
      </c>
      <c r="J3039" s="8">
        <v>3.8700000000000012E-2</v>
      </c>
    </row>
    <row r="3040" spans="1:10" x14ac:dyDescent="0.25">
      <c r="A3040" s="5" t="s">
        <v>2453</v>
      </c>
      <c r="B3040" s="5" t="s">
        <v>4907</v>
      </c>
      <c r="C3040" s="6" t="str">
        <f>_xll.QS.CONTEXT.CREATE("market.3038",A3040,"USD","SOFR")</f>
        <v>QSObject:PricingContext:w1~market.3038:16609</v>
      </c>
      <c r="D3040" s="6" t="str">
        <f>_xll.QS.CONTEXT.ADD.CURVE(C3040,"SOFR",$K$2:$K$7,$L$2:$L$7,,,"Actual360","LogLinear",TRUE)</f>
        <v>QSObject:ContextInput:w1~input.qs_context_add_curve.2359132437744.3039.3.0:37494</v>
      </c>
      <c r="E3040" s="6" t="str">
        <f>_xll.QS.INSTRUMENT.SWAP("swap.3038",H3040,B3040,"USD","SOFR",I3040,J3040,0,"Actual360","Simple","Annual","Annual","Annual")</f>
        <v>QSObject:Swap:w1~swap.3038:16608</v>
      </c>
      <c r="F3040" s="6" t="str">
        <f>_xll.QS.TRADE.CREATE("trade.3038",E3040,A3040,"Receive")</f>
        <v>QSObject:SwapTrade:w1~trade.3038:28801</v>
      </c>
      <c r="G3040" s="3">
        <f>_xll.QS.EVALUATE(C3040,F3040)</f>
        <v>40692.673965935588</v>
      </c>
      <c r="H3040" s="5" t="s">
        <v>2467</v>
      </c>
      <c r="I3040" s="7">
        <v>1303800</v>
      </c>
      <c r="J3040" s="8">
        <v>3.8800000000000001E-2</v>
      </c>
    </row>
    <row r="3041" spans="1:10" x14ac:dyDescent="0.25">
      <c r="A3041" s="5" t="s">
        <v>2455</v>
      </c>
      <c r="B3041" s="5" t="s">
        <v>4908</v>
      </c>
      <c r="C3041" s="6" t="str">
        <f>_xll.QS.CONTEXT.CREATE("market.3039",A3041,"USD","SOFR")</f>
        <v>QSObject:PricingContext:w1~market.3039:16607</v>
      </c>
      <c r="D3041" s="6" t="str">
        <f>_xll.QS.CONTEXT.ADD.CURVE(C3041,"SOFR",$K$2:$K$7,$L$2:$L$7,,,"Actual360","LogLinear",TRUE)</f>
        <v>QSObject:ContextInput:w1~input.qs_context_add_curve.2359132437744.3040.3.0:37493</v>
      </c>
      <c r="E3041" s="6" t="str">
        <f>_xll.QS.INSTRUMENT.SWAP("swap.3039",H3041,B3041,"USD","SOFR",I3041,J3041,0,"Actual360","Simple","Annual","Annual","Annual")</f>
        <v>QSObject:Swap:w1~swap.3039:16606</v>
      </c>
      <c r="F3041" s="6" t="str">
        <f>_xll.QS.TRADE.CREATE("trade.3039",E3041,A3041,"Receive")</f>
        <v>QSObject:SwapTrade:w1~trade.3039:28800</v>
      </c>
      <c r="G3041" s="3">
        <f>_xll.QS.EVALUATE(C3041,F3041)</f>
        <v>41326.196479182479</v>
      </c>
      <c r="H3041" s="5" t="s">
        <v>2469</v>
      </c>
      <c r="I3041" s="7">
        <v>1303900</v>
      </c>
      <c r="J3041" s="8">
        <v>3.8899999999999997E-2</v>
      </c>
    </row>
    <row r="3042" spans="1:10" x14ac:dyDescent="0.25">
      <c r="A3042" s="5" t="s">
        <v>2457</v>
      </c>
      <c r="B3042" s="5" t="s">
        <v>4909</v>
      </c>
      <c r="C3042" s="6" t="str">
        <f>_xll.QS.CONTEXT.CREATE("market.3040",A3042,"USD","SOFR")</f>
        <v>QSObject:PricingContext:w1~market.3040:16605</v>
      </c>
      <c r="D3042" s="6" t="str">
        <f>_xll.QS.CONTEXT.ADD.CURVE(C3042,"SOFR",$K$2:$K$7,$L$2:$L$7,,,"Actual360","LogLinear",TRUE)</f>
        <v>QSObject:ContextInput:w1~input.qs_context_add_curve.2359132437744.3041.3.0:37492</v>
      </c>
      <c r="E3042" s="6" t="str">
        <f>_xll.QS.INSTRUMENT.SWAP("swap.3040",H3042,B3042,"USD","SOFR",I3042,J3042,0,"Actual360","Simple","Annual","Annual","Annual")</f>
        <v>QSObject:Swap:w1~swap.3040:16604</v>
      </c>
      <c r="F3042" s="6" t="str">
        <f>_xll.QS.TRADE.CREATE("trade.3040",E3042,A3042,"Receive")</f>
        <v>QSObject:SwapTrade:w1~trade.3040:28799</v>
      </c>
      <c r="G3042" s="3">
        <f>_xll.QS.EVALUATE(C3042,F3042)</f>
        <v>42026.896170011431</v>
      </c>
      <c r="H3042" s="5" t="s">
        <v>2471</v>
      </c>
      <c r="I3042" s="7">
        <v>1304000</v>
      </c>
      <c r="J3042" s="8">
        <v>3.9000000000000007E-2</v>
      </c>
    </row>
    <row r="3043" spans="1:10" x14ac:dyDescent="0.25">
      <c r="A3043" s="5" t="s">
        <v>2459</v>
      </c>
      <c r="B3043" s="5" t="s">
        <v>4910</v>
      </c>
      <c r="C3043" s="6" t="str">
        <f>_xll.QS.CONTEXT.CREATE("market.3041",A3043,"USD","SOFR")</f>
        <v>QSObject:PricingContext:w1~market.3041:16603</v>
      </c>
      <c r="D3043" s="6" t="str">
        <f>_xll.QS.CONTEXT.ADD.CURVE(C3043,"SOFR",$K$2:$K$7,$L$2:$L$7,,,"Actual360","LogLinear",TRUE)</f>
        <v>QSObject:ContextInput:w1~input.qs_context_add_curve.2359132437744.3042.3.0:37491</v>
      </c>
      <c r="E3043" s="6" t="str">
        <f>_xll.QS.INSTRUMENT.SWAP("swap.3041",H3043,B3043,"USD","SOFR",I3043,J3043,0,"Actual360","Simple","Annual","Annual","Annual")</f>
        <v>QSObject:Swap:w1~swap.3041:16602</v>
      </c>
      <c r="F3043" s="6" t="str">
        <f>_xll.QS.TRADE.CREATE("trade.3041",E3043,A3043,"Receive")</f>
        <v>QSObject:SwapTrade:w1~trade.3041:28798</v>
      </c>
      <c r="G3043" s="3">
        <f>_xll.QS.EVALUATE(C3043,F3043)</f>
        <v>42688.326012655343</v>
      </c>
      <c r="H3043" s="5" t="s">
        <v>2473</v>
      </c>
      <c r="I3043" s="7">
        <v>1304100</v>
      </c>
      <c r="J3043" s="8">
        <v>3.9100000000000003E-2</v>
      </c>
    </row>
    <row r="3044" spans="1:10" x14ac:dyDescent="0.25">
      <c r="A3044" s="5" t="s">
        <v>2461</v>
      </c>
      <c r="B3044" s="5" t="s">
        <v>4911</v>
      </c>
      <c r="C3044" s="6" t="str">
        <f>_xll.QS.CONTEXT.CREATE("market.3042",A3044,"USD","SOFR")</f>
        <v>QSObject:PricingContext:w1~market.3042:16601</v>
      </c>
      <c r="D3044" s="6" t="str">
        <f>_xll.QS.CONTEXT.ADD.CURVE(C3044,"SOFR",$K$2:$K$7,$L$2:$L$7,,,"Actual360","LogLinear",TRUE)</f>
        <v>QSObject:ContextInput:w1~input.qs_context_add_curve.2359132437744.3043.3.0:37490</v>
      </c>
      <c r="E3044" s="6" t="str">
        <f>_xll.QS.INSTRUMENT.SWAP("swap.3042",H3044,B3044,"USD","SOFR",I3044,J3044,0,"Actual360","Simple","Annual","Annual","Annual")</f>
        <v>QSObject:Swap:w1~swap.3042:16600</v>
      </c>
      <c r="F3044" s="6" t="str">
        <f>_xll.QS.TRADE.CREATE("trade.3042",E3044,A3044,"Receive")</f>
        <v>QSObject:SwapTrade:w1~trade.3042:28797</v>
      </c>
      <c r="G3044" s="3">
        <f>_xll.QS.EVALUATE(C3044,F3044)</f>
        <v>43243.41140724357</v>
      </c>
      <c r="H3044" s="5" t="s">
        <v>2475</v>
      </c>
      <c r="I3044" s="7">
        <v>1304200</v>
      </c>
      <c r="J3044" s="8">
        <v>3.9200000000000013E-2</v>
      </c>
    </row>
    <row r="3045" spans="1:10" x14ac:dyDescent="0.25">
      <c r="A3045" s="5" t="s">
        <v>2463</v>
      </c>
      <c r="B3045" s="5" t="s">
        <v>4912</v>
      </c>
      <c r="C3045" s="6" t="str">
        <f>_xll.QS.CONTEXT.CREATE("market.3043",A3045,"USD","SOFR")</f>
        <v>QSObject:PricingContext:w1~market.3043:16599</v>
      </c>
      <c r="D3045" s="6" t="str">
        <f>_xll.QS.CONTEXT.ADD.CURVE(C3045,"SOFR",$K$2:$K$7,$L$2:$L$7,,,"Actual360","LogLinear",TRUE)</f>
        <v>QSObject:ContextInput:w1~input.qs_context_add_curve.2359132437744.3044.3.0:37489</v>
      </c>
      <c r="E3045" s="6" t="str">
        <f>_xll.QS.INSTRUMENT.SWAP("swap.3043",H3045,B3045,"USD","SOFR",I3045,J3045,0,"Actual360","Simple","Annual","Annual","Annual")</f>
        <v>QSObject:Swap:w1~swap.3043:16598</v>
      </c>
      <c r="F3045" s="6" t="str">
        <f>_xll.QS.TRADE.CREATE("trade.3043",E3045,A3045,"Receive")</f>
        <v>QSObject:SwapTrade:w1~trade.3043:28796</v>
      </c>
      <c r="G3045" s="3">
        <f>_xll.QS.EVALUATE(C3045,F3045)</f>
        <v>43741.381675656565</v>
      </c>
      <c r="H3045" s="5" t="s">
        <v>2477</v>
      </c>
      <c r="I3045" s="7">
        <v>1304300</v>
      </c>
      <c r="J3045" s="8">
        <v>3.9300000000000002E-2</v>
      </c>
    </row>
    <row r="3046" spans="1:10" x14ac:dyDescent="0.25">
      <c r="A3046" s="5" t="s">
        <v>2465</v>
      </c>
      <c r="B3046" s="5" t="s">
        <v>4913</v>
      </c>
      <c r="C3046" s="6" t="str">
        <f>_xll.QS.CONTEXT.CREATE("market.3044",A3046,"USD","SOFR")</f>
        <v>QSObject:PricingContext:w1~market.3044:16597</v>
      </c>
      <c r="D3046" s="6" t="str">
        <f>_xll.QS.CONTEXT.ADD.CURVE(C3046,"SOFR",$K$2:$K$7,$L$2:$L$7,,,"Actual360","LogLinear",TRUE)</f>
        <v>QSObject:ContextInput:w1~input.qs_context_add_curve.2359132437744.3045.3.0:37488</v>
      </c>
      <c r="E3046" s="6" t="str">
        <f>_xll.QS.INSTRUMENT.SWAP("swap.3044",H3046,B3046,"USD","SOFR",I3046,J3046,0,"Actual360","Simple","Annual","Annual","Annual")</f>
        <v>QSObject:Swap:w1~swap.3044:16596</v>
      </c>
      <c r="F3046" s="6" t="str">
        <f>_xll.QS.TRADE.CREATE("trade.3044",E3046,A3046,"Receive")</f>
        <v>QSObject:SwapTrade:w1~trade.3044:28795</v>
      </c>
      <c r="G3046" s="3">
        <f>_xll.QS.EVALUATE(C3046,F3046)</f>
        <v>44266.261767798191</v>
      </c>
      <c r="H3046" s="5" t="s">
        <v>2479</v>
      </c>
      <c r="I3046" s="7">
        <v>1304400</v>
      </c>
      <c r="J3046" s="8">
        <v>3.9399999999999998E-2</v>
      </c>
    </row>
    <row r="3047" spans="1:10" x14ac:dyDescent="0.25">
      <c r="A3047" s="5" t="s">
        <v>2467</v>
      </c>
      <c r="B3047" s="5" t="s">
        <v>4914</v>
      </c>
      <c r="C3047" s="6" t="str">
        <f>_xll.QS.CONTEXT.CREATE("market.3045",A3047,"USD","SOFR")</f>
        <v>QSObject:PricingContext:w1~market.3045:16595</v>
      </c>
      <c r="D3047" s="6" t="str">
        <f>_xll.QS.CONTEXT.ADD.CURVE(C3047,"SOFR",$K$2:$K$7,$L$2:$L$7,,,"Actual360","LogLinear",TRUE)</f>
        <v>QSObject:ContextInput:w1~input.qs_context_add_curve.2359132437744.3046.3.0:37487</v>
      </c>
      <c r="E3047" s="6" t="str">
        <f>_xll.QS.INSTRUMENT.SWAP("swap.3045",H3047,B3047,"USD","SOFR",I3047,J3047,0,"Actual360","Simple","Annual","Annual","Annual")</f>
        <v>QSObject:Swap:w1~swap.3045:16594</v>
      </c>
      <c r="F3047" s="6" t="str">
        <f>_xll.QS.TRADE.CREATE("trade.3045",E3047,A3047,"Receive")</f>
        <v>QSObject:SwapTrade:w1~trade.3045:28794</v>
      </c>
      <c r="G3047" s="3">
        <f>_xll.QS.EVALUATE(C3047,F3047)</f>
        <v>44928.20135558772</v>
      </c>
      <c r="H3047" s="5" t="s">
        <v>2481</v>
      </c>
      <c r="I3047" s="7">
        <v>1304500</v>
      </c>
      <c r="J3047" s="8">
        <v>3.9500000000000007E-2</v>
      </c>
    </row>
    <row r="3048" spans="1:10" x14ac:dyDescent="0.25">
      <c r="A3048" s="5" t="s">
        <v>2469</v>
      </c>
      <c r="B3048" s="5" t="s">
        <v>4915</v>
      </c>
      <c r="C3048" s="6" t="str">
        <f>_xll.QS.CONTEXT.CREATE("market.3046",A3048,"USD","SOFR")</f>
        <v>QSObject:PricingContext:w1~market.3046:16593</v>
      </c>
      <c r="D3048" s="6" t="str">
        <f>_xll.QS.CONTEXT.ADD.CURVE(C3048,"SOFR",$K$2:$K$7,$L$2:$L$7,,,"Actual360","LogLinear",TRUE)</f>
        <v>QSObject:ContextInput:w1~input.qs_context_add_curve.2359132437744.3047.3.0:37486</v>
      </c>
      <c r="E3048" s="6" t="str">
        <f>_xll.QS.INSTRUMENT.SWAP("swap.3046",H3048,B3048,"USD","SOFR",I3048,J3048,0,"Actual360","Simple","Annual","Annual","Annual")</f>
        <v>QSObject:Swap:w1~swap.3046:16592</v>
      </c>
      <c r="F3048" s="6" t="str">
        <f>_xll.QS.TRADE.CREATE("trade.3046",E3048,A3048,"Receive")</f>
        <v>QSObject:SwapTrade:w1~trade.3046:28793</v>
      </c>
      <c r="G3048" s="3">
        <f>_xll.QS.EVALUATE(C3048,F3048)</f>
        <v>45560.300795906522</v>
      </c>
      <c r="H3048" s="5" t="s">
        <v>2483</v>
      </c>
      <c r="I3048" s="7">
        <v>1304600</v>
      </c>
      <c r="J3048" s="8">
        <v>3.9600000000000003E-2</v>
      </c>
    </row>
    <row r="3049" spans="1:10" x14ac:dyDescent="0.25">
      <c r="A3049" s="5" t="s">
        <v>2471</v>
      </c>
      <c r="B3049" s="5" t="s">
        <v>4916</v>
      </c>
      <c r="C3049" s="6" t="str">
        <f>_xll.QS.CONTEXT.CREATE("market.3047",A3049,"USD","SOFR")</f>
        <v>QSObject:PricingContext:w1~market.3047:16591</v>
      </c>
      <c r="D3049" s="6" t="str">
        <f>_xll.QS.CONTEXT.ADD.CURVE(C3049,"SOFR",$K$2:$K$7,$L$2:$L$7,,,"Actual360","LogLinear",TRUE)</f>
        <v>QSObject:ContextInput:w1~input.qs_context_add_curve.2359132437744.3048.3.0:37485</v>
      </c>
      <c r="E3049" s="6" t="str">
        <f>_xll.QS.INSTRUMENT.SWAP("swap.3047",H3049,B3049,"USD","SOFR",I3049,J3049,0,"Actual360","Simple","Annual","Annual","Annual")</f>
        <v>QSObject:Swap:w1~swap.3047:16590</v>
      </c>
      <c r="F3049" s="6" t="str">
        <f>_xll.QS.TRADE.CREATE("trade.3047",E3049,A3049,"Receive")</f>
        <v>QSObject:SwapTrade:w1~trade.3047:28792</v>
      </c>
      <c r="G3049" s="3">
        <f>_xll.QS.EVALUATE(C3049,F3049)</f>
        <v>46260.987837911707</v>
      </c>
      <c r="H3049" s="5" t="s">
        <v>2485</v>
      </c>
      <c r="I3049" s="7">
        <v>1304700</v>
      </c>
      <c r="J3049" s="8">
        <v>3.9700000000000013E-2</v>
      </c>
    </row>
    <row r="3050" spans="1:10" x14ac:dyDescent="0.25">
      <c r="A3050" s="5" t="s">
        <v>2473</v>
      </c>
      <c r="B3050" s="5" t="s">
        <v>4917</v>
      </c>
      <c r="C3050" s="6" t="str">
        <f>_xll.QS.CONTEXT.CREATE("market.3048",A3050,"USD","SOFR")</f>
        <v>QSObject:PricingContext:w1~market.3048:16589</v>
      </c>
      <c r="D3050" s="6" t="str">
        <f>_xll.QS.CONTEXT.ADD.CURVE(C3050,"SOFR",$K$2:$K$7,$L$2:$L$7,,,"Actual360","LogLinear",TRUE)</f>
        <v>QSObject:ContextInput:w1~input.qs_context_add_curve.2359132437744.3049.3.0:37484</v>
      </c>
      <c r="E3050" s="6" t="str">
        <f>_xll.QS.INSTRUMENT.SWAP("swap.3048",H3050,B3050,"USD","SOFR",I3050,J3050,0,"Actual360","Simple","Annual","Annual","Annual")</f>
        <v>QSObject:Swap:w1~swap.3048:16588</v>
      </c>
      <c r="F3050" s="6" t="str">
        <f>_xll.QS.TRADE.CREATE("trade.3048",E3050,A3050,"Receive")</f>
        <v>QSObject:SwapTrade:w1~trade.3048:28791</v>
      </c>
      <c r="G3050" s="3">
        <f>_xll.QS.EVALUATE(C3050,F3050)</f>
        <v>46923.138804840615</v>
      </c>
      <c r="H3050" s="5" t="s">
        <v>2487</v>
      </c>
      <c r="I3050" s="7">
        <v>1304800</v>
      </c>
      <c r="J3050" s="8">
        <v>3.9800000000000002E-2</v>
      </c>
    </row>
    <row r="3051" spans="1:10" x14ac:dyDescent="0.25">
      <c r="A3051" s="5" t="s">
        <v>2475</v>
      </c>
      <c r="B3051" s="5" t="s">
        <v>4918</v>
      </c>
      <c r="C3051" s="6" t="str">
        <f>_xll.QS.CONTEXT.CREATE("market.3049",A3051,"USD","SOFR")</f>
        <v>QSObject:PricingContext:w1~market.3049:16587</v>
      </c>
      <c r="D3051" s="6" t="str">
        <f>_xll.QS.CONTEXT.ADD.CURVE(C3051,"SOFR",$K$2:$K$7,$L$2:$L$7,,,"Actual360","LogLinear",TRUE)</f>
        <v>QSObject:ContextInput:w1~input.qs_context_add_curve.2359132437744.3050.3.0:37483</v>
      </c>
      <c r="E3051" s="6" t="str">
        <f>_xll.QS.INSTRUMENT.SWAP("swap.3049",H3051,B3051,"USD","SOFR",I3051,J3051,0,"Actual360","Simple","Annual","Annual","Annual")</f>
        <v>QSObject:Swap:w1~swap.3049:16586</v>
      </c>
      <c r="F3051" s="6" t="str">
        <f>_xll.QS.TRADE.CREATE("trade.3049",E3051,A3051,"Receive")</f>
        <v>QSObject:SwapTrade:w1~trade.3049:28790</v>
      </c>
      <c r="G3051" s="3">
        <f>_xll.QS.EVALUATE(C3051,F3051)</f>
        <v>47478.809216313719</v>
      </c>
      <c r="H3051" s="5" t="s">
        <v>2489</v>
      </c>
      <c r="I3051" s="7">
        <v>1304900</v>
      </c>
      <c r="J3051" s="8">
        <v>3.9899999999999998E-2</v>
      </c>
    </row>
    <row r="3052" spans="1:10" x14ac:dyDescent="0.25">
      <c r="A3052" s="5" t="s">
        <v>2477</v>
      </c>
      <c r="B3052" s="5" t="s">
        <v>4919</v>
      </c>
      <c r="C3052" s="6" t="str">
        <f>_xll.QS.CONTEXT.CREATE("market.3050",A3052,"USD","SOFR")</f>
        <v>QSObject:PricingContext:w1~market.3050:16585</v>
      </c>
      <c r="D3052" s="6" t="str">
        <f>_xll.QS.CONTEXT.ADD.CURVE(C3052,"SOFR",$K$2:$K$7,$L$2:$L$7,,,"Actual360","LogLinear",TRUE)</f>
        <v>QSObject:ContextInput:w1~input.qs_context_add_curve.2359132437744.3051.3.0:37482</v>
      </c>
      <c r="E3052" s="6" t="str">
        <f>_xll.QS.INSTRUMENT.SWAP("swap.3050",H3052,B3052,"USD","SOFR",I3052,J3052,0,"Actual360","Simple","Annual","Annual","Annual")</f>
        <v>QSObject:Swap:w1~swap.3050:16584</v>
      </c>
      <c r="F3052" s="6" t="str">
        <f>_xll.QS.TRADE.CREATE("trade.3050",E3052,A3052,"Receive")</f>
        <v>QSObject:SwapTrade:w1~trade.3050:28789</v>
      </c>
      <c r="G3052" s="3">
        <f>_xll.QS.EVALUATE(C3052,F3052)</f>
        <v>17918.500788257697</v>
      </c>
      <c r="H3052" s="5" t="s">
        <v>2491</v>
      </c>
      <c r="I3052" s="7">
        <v>1305000</v>
      </c>
      <c r="J3052" s="8">
        <v>3.5000000000000003E-2</v>
      </c>
    </row>
    <row r="3053" spans="1:10" x14ac:dyDescent="0.25">
      <c r="A3053" s="5" t="s">
        <v>2479</v>
      </c>
      <c r="B3053" s="5" t="s">
        <v>4920</v>
      </c>
      <c r="C3053" s="6" t="str">
        <f>_xll.QS.CONTEXT.CREATE("market.3051",A3053,"USD","SOFR")</f>
        <v>QSObject:PricingContext:w1~market.3051:16583</v>
      </c>
      <c r="D3053" s="6" t="str">
        <f>_xll.QS.CONTEXT.ADD.CURVE(C3053,"SOFR",$K$2:$K$7,$L$2:$L$7,,,"Actual360","LogLinear",TRUE)</f>
        <v>QSObject:ContextInput:w1~input.qs_context_add_curve.2359132437744.3052.3.0:37481</v>
      </c>
      <c r="E3053" s="6" t="str">
        <f>_xll.QS.INSTRUMENT.SWAP("swap.3051",H3053,B3053,"USD","SOFR",I3053,J3053,0,"Actual360","Simple","Annual","Annual","Annual")</f>
        <v>QSObject:Swap:w1~swap.3051:16582</v>
      </c>
      <c r="F3053" s="6" t="str">
        <f>_xll.QS.TRADE.CREATE("trade.3051",E3053,A3053,"Receive")</f>
        <v>QSObject:SwapTrade:w1~trade.3051:28788</v>
      </c>
      <c r="G3053" s="3">
        <f>_xll.QS.EVALUATE(C3053,F3053)</f>
        <v>18401.56084086137</v>
      </c>
      <c r="H3053" s="5" t="s">
        <v>2493</v>
      </c>
      <c r="I3053" s="7">
        <v>1305100</v>
      </c>
      <c r="J3053" s="8">
        <v>3.5100000000000013E-2</v>
      </c>
    </row>
    <row r="3054" spans="1:10" x14ac:dyDescent="0.25">
      <c r="A3054" s="5" t="s">
        <v>2481</v>
      </c>
      <c r="B3054" s="5" t="s">
        <v>4921</v>
      </c>
      <c r="C3054" s="6" t="str">
        <f>_xll.QS.CONTEXT.CREATE("market.3052",A3054,"USD","SOFR")</f>
        <v>QSObject:PricingContext:w1~market.3052:16581</v>
      </c>
      <c r="D3054" s="6" t="str">
        <f>_xll.QS.CONTEXT.ADD.CURVE(C3054,"SOFR",$K$2:$K$7,$L$2:$L$7,,,"Actual360","LogLinear",TRUE)</f>
        <v>QSObject:ContextInput:w1~input.qs_context_add_curve.2359132437744.3053.3.0:37480</v>
      </c>
      <c r="E3054" s="6" t="str">
        <f>_xll.QS.INSTRUMENT.SWAP("swap.3052",H3054,B3054,"USD","SOFR",I3054,J3054,0,"Actual360","Simple","Annual","Annual","Annual")</f>
        <v>QSObject:Swap:w1~swap.3052:16580</v>
      </c>
      <c r="F3054" s="6" t="str">
        <f>_xll.QS.TRADE.CREATE("trade.3052",E3054,A3054,"Receive")</f>
        <v>QSObject:SwapTrade:w1~trade.3052:28787</v>
      </c>
      <c r="G3054" s="3">
        <f>_xll.QS.EVALUATE(C3054,F3054)</f>
        <v>19059.272106181408</v>
      </c>
      <c r="H3054" s="5" t="s">
        <v>2495</v>
      </c>
      <c r="I3054" s="7">
        <v>1305200</v>
      </c>
      <c r="J3054" s="8">
        <v>3.5200000000000002E-2</v>
      </c>
    </row>
    <row r="3055" spans="1:10" x14ac:dyDescent="0.25">
      <c r="A3055" s="5" t="s">
        <v>2483</v>
      </c>
      <c r="B3055" s="5" t="s">
        <v>4922</v>
      </c>
      <c r="C3055" s="6" t="str">
        <f>_xll.QS.CONTEXT.CREATE("market.3053",A3055,"USD","SOFR")</f>
        <v>QSObject:PricingContext:w1~market.3053:16579</v>
      </c>
      <c r="D3055" s="6" t="str">
        <f>_xll.QS.CONTEXT.ADD.CURVE(C3055,"SOFR",$K$2:$K$7,$L$2:$L$7,,,"Actual360","LogLinear",TRUE)</f>
        <v>QSObject:ContextInput:w1~input.qs_context_add_curve.2359132437744.3054.3.0:37479</v>
      </c>
      <c r="E3055" s="6" t="str">
        <f>_xll.QS.INSTRUMENT.SWAP("swap.3053",H3055,B3055,"USD","SOFR",I3055,J3055,0,"Actual360","Simple","Annual","Annual","Annual")</f>
        <v>QSObject:Swap:w1~swap.3053:16578</v>
      </c>
      <c r="F3055" s="6" t="str">
        <f>_xll.QS.TRADE.CREATE("trade.3053",E3055,A3055,"Receive")</f>
        <v>QSObject:SwapTrade:w1~trade.3053:28786</v>
      </c>
      <c r="G3055" s="3">
        <f>_xll.QS.EVALUATE(C3055,F3055)</f>
        <v>19702.403142994452</v>
      </c>
      <c r="H3055" s="5" t="s">
        <v>2497</v>
      </c>
      <c r="I3055" s="7">
        <v>1305300</v>
      </c>
      <c r="J3055" s="8">
        <v>3.5299999999999998E-2</v>
      </c>
    </row>
    <row r="3056" spans="1:10" x14ac:dyDescent="0.25">
      <c r="A3056" s="5" t="s">
        <v>2485</v>
      </c>
      <c r="B3056" s="5" t="s">
        <v>4923</v>
      </c>
      <c r="C3056" s="6" t="str">
        <f>_xll.QS.CONTEXT.CREATE("market.3054",A3056,"USD","SOFR")</f>
        <v>QSObject:PricingContext:w1~market.3054:16577</v>
      </c>
      <c r="D3056" s="6" t="str">
        <f>_xll.QS.CONTEXT.ADD.CURVE(C3056,"SOFR",$K$2:$K$7,$L$2:$L$7,,,"Actual360","LogLinear",TRUE)</f>
        <v>QSObject:ContextInput:w1~input.qs_context_add_curve.2359132437744.3055.3.0:37478</v>
      </c>
      <c r="E3056" s="6" t="str">
        <f>_xll.QS.INSTRUMENT.SWAP("swap.3054",H3056,B3056,"USD","SOFR",I3056,J3056,0,"Actual360","Simple","Annual","Annual","Annual")</f>
        <v>QSObject:Swap:w1~swap.3054:16576</v>
      </c>
      <c r="F3056" s="6" t="str">
        <f>_xll.QS.TRADE.CREATE("trade.3054",E3056,A3056,"Receive")</f>
        <v>QSObject:SwapTrade:w1~trade.3054:28785</v>
      </c>
      <c r="G3056" s="3">
        <f>_xll.QS.EVALUATE(C3056,F3056)</f>
        <v>20401.092977935943</v>
      </c>
      <c r="H3056" s="5" t="s">
        <v>2499</v>
      </c>
      <c r="I3056" s="7">
        <v>1305400</v>
      </c>
      <c r="J3056" s="8">
        <v>3.5400000000000001E-2</v>
      </c>
    </row>
    <row r="3057" spans="1:10" x14ac:dyDescent="0.25">
      <c r="A3057" s="5" t="s">
        <v>2487</v>
      </c>
      <c r="B3057" s="5" t="s">
        <v>4924</v>
      </c>
      <c r="C3057" s="6" t="str">
        <f>_xll.QS.CONTEXT.CREATE("market.3055",A3057,"USD","SOFR")</f>
        <v>QSObject:PricingContext:w1~market.3055:16575</v>
      </c>
      <c r="D3057" s="6" t="str">
        <f>_xll.QS.CONTEXT.ADD.CURVE(C3057,"SOFR",$K$2:$K$7,$L$2:$L$7,,,"Actual360","LogLinear",TRUE)</f>
        <v>QSObject:ContextInput:w1~input.qs_context_add_curve.2359132437744.3056.3.0:37477</v>
      </c>
      <c r="E3057" s="6" t="str">
        <f>_xll.QS.INSTRUMENT.SWAP("swap.3055",H3057,B3057,"USD","SOFR",I3057,J3057,0,"Actual360","Simple","Annual","Annual","Annual")</f>
        <v>QSObject:Swap:w1~swap.3055:16574</v>
      </c>
      <c r="F3057" s="6" t="str">
        <f>_xll.QS.TRADE.CREATE("trade.3055",E3057,A3057,"Receive")</f>
        <v>QSObject:SwapTrade:w1~trade.3055:28784</v>
      </c>
      <c r="G3057" s="3">
        <f>_xll.QS.EVALUATE(C3057,F3057)</f>
        <v>21061.337663196988</v>
      </c>
      <c r="H3057" s="5" t="s">
        <v>2501</v>
      </c>
      <c r="I3057" s="7">
        <v>1305500</v>
      </c>
      <c r="J3057" s="8">
        <v>3.5499999999999997E-2</v>
      </c>
    </row>
    <row r="3058" spans="1:10" x14ac:dyDescent="0.25">
      <c r="A3058" s="5" t="s">
        <v>2489</v>
      </c>
      <c r="B3058" s="5" t="s">
        <v>4925</v>
      </c>
      <c r="C3058" s="6" t="str">
        <f>_xll.QS.CONTEXT.CREATE("market.3056",A3058,"USD","SOFR")</f>
        <v>QSObject:PricingContext:w1~market.3056:16573</v>
      </c>
      <c r="D3058" s="6" t="str">
        <f>_xll.QS.CONTEXT.ADD.CURVE(C3058,"SOFR",$K$2:$K$7,$L$2:$L$7,,,"Actual360","LogLinear",TRUE)</f>
        <v>QSObject:ContextInput:w1~input.qs_context_add_curve.2359132437744.3057.3.0:37476</v>
      </c>
      <c r="E3058" s="6" t="str">
        <f>_xll.QS.INSTRUMENT.SWAP("swap.3056",H3058,B3058,"USD","SOFR",I3058,J3058,0,"Actual360","Simple","Annual","Annual","Annual")</f>
        <v>QSObject:Swap:w1~swap.3056:16572</v>
      </c>
      <c r="F3058" s="6" t="str">
        <f>_xll.QS.TRADE.CREATE("trade.3056",E3058,A3058,"Receive")</f>
        <v>QSObject:SwapTrade:w1~trade.3056:28783</v>
      </c>
      <c r="G3058" s="3">
        <f>_xll.QS.EVALUATE(C3058,F3058)</f>
        <v>21615.530012295349</v>
      </c>
      <c r="H3058" s="5" t="s">
        <v>2503</v>
      </c>
      <c r="I3058" s="7">
        <v>1305600</v>
      </c>
      <c r="J3058" s="8">
        <v>3.5600000000000007E-2</v>
      </c>
    </row>
    <row r="3059" spans="1:10" x14ac:dyDescent="0.25">
      <c r="A3059" s="5" t="s">
        <v>2491</v>
      </c>
      <c r="B3059" s="5" t="s">
        <v>4926</v>
      </c>
      <c r="C3059" s="6" t="str">
        <f>_xll.QS.CONTEXT.CREATE("market.3057",A3059,"USD","SOFR")</f>
        <v>QSObject:PricingContext:w1~market.3057:16571</v>
      </c>
      <c r="D3059" s="6" t="str">
        <f>_xll.QS.CONTEXT.ADD.CURVE(C3059,"SOFR",$K$2:$K$7,$L$2:$L$7,,,"Actual360","LogLinear",TRUE)</f>
        <v>QSObject:ContextInput:w1~input.qs_context_add_curve.2359132437744.3058.3.0:37475</v>
      </c>
      <c r="E3059" s="6" t="str">
        <f>_xll.QS.INSTRUMENT.SWAP("swap.3057",H3059,B3059,"USD","SOFR",I3059,J3059,0,"Actual360","Simple","Annual","Annual","Annual")</f>
        <v>QSObject:Swap:w1~swap.3057:16570</v>
      </c>
      <c r="F3059" s="6" t="str">
        <f>_xll.QS.TRADE.CREATE("trade.3057",E3059,A3059,"Receive")</f>
        <v>QSObject:SwapTrade:w1~trade.3057:28782</v>
      </c>
      <c r="G3059" s="3">
        <f>_xll.QS.EVALUATE(C3059,F3059)</f>
        <v>22123.081848139089</v>
      </c>
      <c r="H3059" s="5" t="s">
        <v>2505</v>
      </c>
      <c r="I3059" s="7">
        <v>1305700</v>
      </c>
      <c r="J3059" s="8">
        <v>3.5700000000000003E-2</v>
      </c>
    </row>
    <row r="3060" spans="1:10" x14ac:dyDescent="0.25">
      <c r="A3060" s="5" t="s">
        <v>2493</v>
      </c>
      <c r="B3060" s="5" t="s">
        <v>4927</v>
      </c>
      <c r="C3060" s="6" t="str">
        <f>_xll.QS.CONTEXT.CREATE("market.3058",A3060,"USD","SOFR")</f>
        <v>QSObject:PricingContext:w1~market.3058:16569</v>
      </c>
      <c r="D3060" s="6" t="str">
        <f>_xll.QS.CONTEXT.ADD.CURVE(C3060,"SOFR",$K$2:$K$7,$L$2:$L$7,,,"Actual360","LogLinear",TRUE)</f>
        <v>QSObject:ContextInput:w1~input.qs_context_add_curve.2359132437744.3059.3.0:37474</v>
      </c>
      <c r="E3060" s="6" t="str">
        <f>_xll.QS.INSTRUMENT.SWAP("swap.3058",H3060,B3060,"USD","SOFR",I3060,J3060,0,"Actual360","Simple","Annual","Annual","Annual")</f>
        <v>QSObject:Swap:w1~swap.3058:16568</v>
      </c>
      <c r="F3060" s="6" t="str">
        <f>_xll.QS.TRADE.CREATE("trade.3058",E3060,A3060,"Receive")</f>
        <v>QSObject:SwapTrade:w1~trade.3058:28781</v>
      </c>
      <c r="G3060" s="3">
        <f>_xll.QS.EVALUATE(C3060,F3060)</f>
        <v>22574.646220053648</v>
      </c>
      <c r="H3060" s="5" t="s">
        <v>2507</v>
      </c>
      <c r="I3060" s="7">
        <v>1305800</v>
      </c>
      <c r="J3060" s="8">
        <v>3.5800000000000012E-2</v>
      </c>
    </row>
    <row r="3061" spans="1:10" x14ac:dyDescent="0.25">
      <c r="A3061" s="5" t="s">
        <v>2495</v>
      </c>
      <c r="B3061" s="5" t="s">
        <v>4928</v>
      </c>
      <c r="C3061" s="6" t="str">
        <f>_xll.QS.CONTEXT.CREATE("market.3059",A3061,"USD","SOFR")</f>
        <v>QSObject:PricingContext:w1~market.3059:16567</v>
      </c>
      <c r="D3061" s="6" t="str">
        <f>_xll.QS.CONTEXT.ADD.CURVE(C3061,"SOFR",$K$2:$K$7,$L$2:$L$7,,,"Actual360","LogLinear",TRUE)</f>
        <v>QSObject:ContextInput:w1~input.qs_context_add_curve.2359132437744.3060.3.0:37473</v>
      </c>
      <c r="E3061" s="6" t="str">
        <f>_xll.QS.INSTRUMENT.SWAP("swap.3059",H3061,B3061,"USD","SOFR",I3061,J3061,0,"Actual360","Simple","Annual","Annual","Annual")</f>
        <v>QSObject:Swap:w1~swap.3059:16566</v>
      </c>
      <c r="F3061" s="6" t="str">
        <f>_xll.QS.TRADE.CREATE("trade.3059",E3061,A3061,"Receive")</f>
        <v>QSObject:SwapTrade:w1~trade.3059:28780</v>
      </c>
      <c r="G3061" s="3">
        <f>_xll.QS.EVALUATE(C3061,F3061)</f>
        <v>23233.375571693214</v>
      </c>
      <c r="H3061" s="5" t="s">
        <v>2509</v>
      </c>
      <c r="I3061" s="7">
        <v>1305900</v>
      </c>
      <c r="J3061" s="8">
        <v>3.5900000000000001E-2</v>
      </c>
    </row>
    <row r="3062" spans="1:10" x14ac:dyDescent="0.25">
      <c r="A3062" s="5" t="s">
        <v>2497</v>
      </c>
      <c r="B3062" s="5" t="s">
        <v>4929</v>
      </c>
      <c r="C3062" s="6" t="str">
        <f>_xll.QS.CONTEXT.CREATE("market.3060",A3062,"USD","SOFR")</f>
        <v>QSObject:PricingContext:w1~market.3060:16565</v>
      </c>
      <c r="D3062" s="6" t="str">
        <f>_xll.QS.CONTEXT.ADD.CURVE(C3062,"SOFR",$K$2:$K$7,$L$2:$L$7,,,"Actual360","LogLinear",TRUE)</f>
        <v>QSObject:ContextInput:w1~input.qs_context_add_curve.2359132437744.3061.3.0:37472</v>
      </c>
      <c r="E3062" s="6" t="str">
        <f>_xll.QS.INSTRUMENT.SWAP("swap.3060",H3062,B3062,"USD","SOFR",I3062,J3062,0,"Actual360","Simple","Annual","Annual","Annual")</f>
        <v>QSObject:Swap:w1~swap.3060:16564</v>
      </c>
      <c r="F3062" s="6" t="str">
        <f>_xll.QS.TRADE.CREATE("trade.3060",E3062,A3062,"Receive")</f>
        <v>QSObject:SwapTrade:w1~trade.3060:28779</v>
      </c>
      <c r="G3062" s="3">
        <f>_xll.QS.EVALUATE(C3062,F3062)</f>
        <v>23890.863536681209</v>
      </c>
      <c r="H3062" s="5" t="s">
        <v>2511</v>
      </c>
      <c r="I3062" s="7">
        <v>1306000</v>
      </c>
      <c r="J3062" s="8">
        <v>3.5999999999999997E-2</v>
      </c>
    </row>
    <row r="3063" spans="1:10" x14ac:dyDescent="0.25">
      <c r="A3063" s="5" t="s">
        <v>2499</v>
      </c>
      <c r="B3063" s="5" t="s">
        <v>4930</v>
      </c>
      <c r="C3063" s="6" t="str">
        <f>_xll.QS.CONTEXT.CREATE("market.3061",A3063,"USD","SOFR")</f>
        <v>QSObject:PricingContext:w1~market.3061:16563</v>
      </c>
      <c r="D3063" s="6" t="str">
        <f>_xll.QS.CONTEXT.ADD.CURVE(C3063,"SOFR",$K$2:$K$7,$L$2:$L$7,,,"Actual360","LogLinear",TRUE)</f>
        <v>QSObject:ContextInput:w1~input.qs_context_add_curve.2359132437744.3062.3.0:37471</v>
      </c>
      <c r="E3063" s="6" t="str">
        <f>_xll.QS.INSTRUMENT.SWAP("swap.3061",H3063,B3063,"USD","SOFR",I3063,J3063,0,"Actual360","Simple","Annual","Annual","Annual")</f>
        <v>QSObject:Swap:w1~swap.3061:16562</v>
      </c>
      <c r="F3063" s="6" t="str">
        <f>_xll.QS.TRADE.CREATE("trade.3061",E3063,A3063,"Receive")</f>
        <v>QSObject:SwapTrade:w1~trade.3061:28778</v>
      </c>
      <c r="G3063" s="3">
        <f>_xll.QS.EVALUATE(C3063,F3063)</f>
        <v>24675.964678948294</v>
      </c>
      <c r="H3063" s="5" t="s">
        <v>2513</v>
      </c>
      <c r="I3063" s="7">
        <v>1306100</v>
      </c>
      <c r="J3063" s="8">
        <v>3.61E-2</v>
      </c>
    </row>
    <row r="3064" spans="1:10" x14ac:dyDescent="0.25">
      <c r="A3064" s="5" t="s">
        <v>2501</v>
      </c>
      <c r="B3064" s="5" t="s">
        <v>4931</v>
      </c>
      <c r="C3064" s="6" t="str">
        <f>_xll.QS.CONTEXT.CREATE("market.3062",A3064,"USD","SOFR")</f>
        <v>QSObject:PricingContext:w1~market.3062:16561</v>
      </c>
      <c r="D3064" s="6" t="str">
        <f>_xll.QS.CONTEXT.ADD.CURVE(C3064,"SOFR",$K$2:$K$7,$L$2:$L$7,,,"Actual360","LogLinear",TRUE)</f>
        <v>QSObject:ContextInput:w1~input.qs_context_add_curve.2359132437744.3063.3.0:37470</v>
      </c>
      <c r="E3064" s="6" t="str">
        <f>_xll.QS.INSTRUMENT.SWAP("swap.3062",H3064,B3064,"USD","SOFR",I3064,J3064,0,"Actual360","Simple","Annual","Annual","Annual")</f>
        <v>QSObject:Swap:w1~swap.3062:16560</v>
      </c>
      <c r="F3064" s="6" t="str">
        <f>_xll.QS.TRADE.CREATE("trade.3062",E3064,A3064,"Receive")</f>
        <v>QSObject:SwapTrade:w1~trade.3062:28777</v>
      </c>
      <c r="G3064" s="3">
        <f>_xll.QS.EVALUATE(C3064,F3064)</f>
        <v>25292.655100362535</v>
      </c>
      <c r="H3064" s="5" t="s">
        <v>2515</v>
      </c>
      <c r="I3064" s="7">
        <v>1306200</v>
      </c>
      <c r="J3064" s="8">
        <v>3.6200000000000003E-2</v>
      </c>
    </row>
    <row r="3065" spans="1:10" x14ac:dyDescent="0.25">
      <c r="A3065" s="5" t="s">
        <v>2503</v>
      </c>
      <c r="B3065" s="5" t="s">
        <v>4932</v>
      </c>
      <c r="C3065" s="6" t="str">
        <f>_xll.QS.CONTEXT.CREATE("market.3063",A3065,"USD","SOFR")</f>
        <v>QSObject:PricingContext:w1~market.3063:16559</v>
      </c>
      <c r="D3065" s="6" t="str">
        <f>_xll.QS.CONTEXT.ADD.CURVE(C3065,"SOFR",$K$2:$K$7,$L$2:$L$7,,,"Actual360","LogLinear",TRUE)</f>
        <v>QSObject:ContextInput:w1~input.qs_context_add_curve.2359132437744.3064.3.0:37469</v>
      </c>
      <c r="E3065" s="6" t="str">
        <f>_xll.QS.INSTRUMENT.SWAP("swap.3063",H3065,B3065,"USD","SOFR",I3065,J3065,0,"Actual360","Simple","Annual","Annual","Annual")</f>
        <v>QSObject:Swap:w1~swap.3063:16558</v>
      </c>
      <c r="F3065" s="6" t="str">
        <f>_xll.QS.TRADE.CREATE("trade.3063",E3065,A3065,"Receive")</f>
        <v>QSObject:SwapTrade:w1~trade.3063:28776</v>
      </c>
      <c r="G3065" s="3">
        <f>_xll.QS.EVALUATE(C3065,F3065)</f>
        <v>25896.671542661432</v>
      </c>
      <c r="H3065" s="5" t="s">
        <v>2517</v>
      </c>
      <c r="I3065" s="7">
        <v>1306300</v>
      </c>
      <c r="J3065" s="8">
        <v>3.6300000000000013E-2</v>
      </c>
    </row>
    <row r="3066" spans="1:10" x14ac:dyDescent="0.25">
      <c r="A3066" s="5" t="s">
        <v>2505</v>
      </c>
      <c r="B3066" s="5" t="s">
        <v>4933</v>
      </c>
      <c r="C3066" s="6" t="str">
        <f>_xll.QS.CONTEXT.CREATE("market.3064",A3066,"USD","SOFR")</f>
        <v>QSObject:PricingContext:w1~market.3064:16557</v>
      </c>
      <c r="D3066" s="6" t="str">
        <f>_xll.QS.CONTEXT.ADD.CURVE(C3066,"SOFR",$K$2:$K$7,$L$2:$L$7,,,"Actual360","LogLinear",TRUE)</f>
        <v>QSObject:ContextInput:w1~input.qs_context_add_curve.2359132437744.3065.3.0:37468</v>
      </c>
      <c r="E3066" s="6" t="str">
        <f>_xll.QS.INSTRUMENT.SWAP("swap.3064",H3066,B3066,"USD","SOFR",I3066,J3066,0,"Actual360","Simple","Annual","Annual","Annual")</f>
        <v>QSObject:Swap:w1~swap.3064:16556</v>
      </c>
      <c r="F3066" s="6" t="str">
        <f>_xll.QS.TRADE.CREATE("trade.3064",E3066,A3066,"Receive")</f>
        <v>QSObject:SwapTrade:w1~trade.3064:28775</v>
      </c>
      <c r="G3066" s="3">
        <f>_xll.QS.EVALUATE(C3066,F3066)</f>
        <v>26466.740645357917</v>
      </c>
      <c r="H3066" s="5" t="s">
        <v>2519</v>
      </c>
      <c r="I3066" s="7">
        <v>1306400</v>
      </c>
      <c r="J3066" s="8">
        <v>3.6400000000000002E-2</v>
      </c>
    </row>
    <row r="3067" spans="1:10" x14ac:dyDescent="0.25">
      <c r="A3067" s="5" t="s">
        <v>2507</v>
      </c>
      <c r="B3067" s="5" t="s">
        <v>4934</v>
      </c>
      <c r="C3067" s="6" t="str">
        <f>_xll.QS.CONTEXT.CREATE("market.3065",A3067,"USD","SOFR")</f>
        <v>QSObject:PricingContext:w1~market.3065:16555</v>
      </c>
      <c r="D3067" s="6" t="str">
        <f>_xll.QS.CONTEXT.ADD.CURVE(C3067,"SOFR",$K$2:$K$7,$L$2:$L$7,,,"Actual360","LogLinear",TRUE)</f>
        <v>QSObject:ContextInput:w1~input.qs_context_add_curve.2359132437744.3066.3.0:37467</v>
      </c>
      <c r="E3067" s="6" t="str">
        <f>_xll.QS.INSTRUMENT.SWAP("swap.3065",H3067,B3067,"USD","SOFR",I3067,J3067,0,"Actual360","Simple","Annual","Annual","Annual")</f>
        <v>QSObject:Swap:w1~swap.3065:16554</v>
      </c>
      <c r="F3067" s="6" t="str">
        <f>_xll.QS.TRADE.CREATE("trade.3065",E3067,A3067,"Receive")</f>
        <v>QSObject:SwapTrade:w1~trade.3065:28774</v>
      </c>
      <c r="G3067" s="3">
        <f>_xll.QS.EVALUATE(C3067,F3067)</f>
        <v>27073.54706352124</v>
      </c>
      <c r="H3067" s="5" t="s">
        <v>2521</v>
      </c>
      <c r="I3067" s="7">
        <v>1306500</v>
      </c>
      <c r="J3067" s="8">
        <v>3.6499999999999998E-2</v>
      </c>
    </row>
    <row r="3068" spans="1:10" x14ac:dyDescent="0.25">
      <c r="A3068" s="5" t="s">
        <v>2509</v>
      </c>
      <c r="B3068" s="5" t="s">
        <v>4935</v>
      </c>
      <c r="C3068" s="6" t="str">
        <f>_xll.QS.CONTEXT.CREATE("market.3066",A3068,"USD","SOFR")</f>
        <v>QSObject:PricingContext:w1~market.3066:16553</v>
      </c>
      <c r="D3068" s="6" t="str">
        <f>_xll.QS.CONTEXT.ADD.CURVE(C3068,"SOFR",$K$2:$K$7,$L$2:$L$7,,,"Actual360","LogLinear",TRUE)</f>
        <v>QSObject:ContextInput:w1~input.qs_context_add_curve.2359132437744.3067.3.0:37466</v>
      </c>
      <c r="E3068" s="6" t="str">
        <f>_xll.QS.INSTRUMENT.SWAP("swap.3066",H3068,B3068,"USD","SOFR",I3068,J3068,0,"Actual360","Simple","Annual","Annual","Annual")</f>
        <v>QSObject:Swap:w1~swap.3066:16552</v>
      </c>
      <c r="F3068" s="6" t="str">
        <f>_xll.QS.TRADE.CREATE("trade.3066",E3068,A3068,"Receive")</f>
        <v>QSObject:SwapTrade:w1~trade.3066:28773</v>
      </c>
      <c r="G3068" s="3">
        <f>_xll.QS.EVALUATE(C3068,F3068)</f>
        <v>27519.624709852455</v>
      </c>
      <c r="H3068" s="5" t="s">
        <v>2523</v>
      </c>
      <c r="I3068" s="7">
        <v>1306600</v>
      </c>
      <c r="J3068" s="8">
        <v>3.6600000000000001E-2</v>
      </c>
    </row>
    <row r="3069" spans="1:10" x14ac:dyDescent="0.25">
      <c r="A3069" s="5" t="s">
        <v>2511</v>
      </c>
      <c r="B3069" s="5" t="s">
        <v>4936</v>
      </c>
      <c r="C3069" s="6" t="str">
        <f>_xll.QS.CONTEXT.CREATE("market.3067",A3069,"USD","SOFR")</f>
        <v>QSObject:PricingContext:w1~market.3067:16551</v>
      </c>
      <c r="D3069" s="6" t="str">
        <f>_xll.QS.CONTEXT.ADD.CURVE(C3069,"SOFR",$K$2:$K$7,$L$2:$L$7,,,"Actual360","LogLinear",TRUE)</f>
        <v>QSObject:ContextInput:w1~input.qs_context_add_curve.2359132437744.3068.3.0:37465</v>
      </c>
      <c r="E3069" s="6" t="str">
        <f>_xll.QS.INSTRUMENT.SWAP("swap.3067",H3069,B3069,"USD","SOFR",I3069,J3069,0,"Actual360","Simple","Annual","Annual","Annual")</f>
        <v>QSObject:Swap:w1~swap.3067:16550</v>
      </c>
      <c r="F3069" s="6" t="str">
        <f>_xll.QS.TRADE.CREATE("trade.3067",E3069,A3069,"Receive")</f>
        <v>QSObject:SwapTrade:w1~trade.3067:28772</v>
      </c>
      <c r="G3069" s="3">
        <f>_xll.QS.EVALUATE(C3069,F3069)</f>
        <v>28159.900901938207</v>
      </c>
      <c r="H3069" s="5" t="s">
        <v>2525</v>
      </c>
      <c r="I3069" s="7">
        <v>1306700</v>
      </c>
      <c r="J3069" s="8">
        <v>3.6700000000000003E-2</v>
      </c>
    </row>
    <row r="3070" spans="1:10" x14ac:dyDescent="0.25">
      <c r="A3070" s="5" t="s">
        <v>2513</v>
      </c>
      <c r="B3070" s="5" t="s">
        <v>4937</v>
      </c>
      <c r="C3070" s="6" t="str">
        <f>_xll.QS.CONTEXT.CREATE("market.3068",A3070,"USD","SOFR")</f>
        <v>QSObject:PricingContext:w1~market.3068:16549</v>
      </c>
      <c r="D3070" s="6" t="str">
        <f>_xll.QS.CONTEXT.ADD.CURVE(C3070,"SOFR",$K$2:$K$7,$L$2:$L$7,,,"Actual360","LogLinear",TRUE)</f>
        <v>QSObject:ContextInput:w1~input.qs_context_add_curve.2359132437744.3069.3.0:37464</v>
      </c>
      <c r="E3070" s="6" t="str">
        <f>_xll.QS.INSTRUMENT.SWAP("swap.3068",H3070,B3070,"USD","SOFR",I3070,J3070,0,"Actual360","Simple","Annual","Annual","Annual")</f>
        <v>QSObject:Swap:w1~swap.3068:16548</v>
      </c>
      <c r="F3070" s="6" t="str">
        <f>_xll.QS.TRADE.CREATE("trade.3068",E3070,A3070,"Receive")</f>
        <v>QSObject:SwapTrade:w1~trade.3068:28771</v>
      </c>
      <c r="G3070" s="3">
        <f>_xll.QS.EVALUATE(C3070,F3070)</f>
        <v>28910.644095398886</v>
      </c>
      <c r="H3070" s="5" t="s">
        <v>2527</v>
      </c>
      <c r="I3070" s="7">
        <v>1306800</v>
      </c>
      <c r="J3070" s="8">
        <v>3.6800000000000013E-2</v>
      </c>
    </row>
    <row r="3071" spans="1:10" x14ac:dyDescent="0.25">
      <c r="A3071" s="5" t="s">
        <v>2515</v>
      </c>
      <c r="B3071" s="5" t="s">
        <v>4938</v>
      </c>
      <c r="C3071" s="6" t="str">
        <f>_xll.QS.CONTEXT.CREATE("market.3069",A3071,"USD","SOFR")</f>
        <v>QSObject:PricingContext:w1~market.3069:16547</v>
      </c>
      <c r="D3071" s="6" t="str">
        <f>_xll.QS.CONTEXT.ADD.CURVE(C3071,"SOFR",$K$2:$K$7,$L$2:$L$7,,,"Actual360","LogLinear",TRUE)</f>
        <v>QSObject:ContextInput:w1~input.qs_context_add_curve.2359132437744.3070.3.0:37463</v>
      </c>
      <c r="E3071" s="6" t="str">
        <f>_xll.QS.INSTRUMENT.SWAP("swap.3069",H3071,B3071,"USD","SOFR",I3071,J3071,0,"Actual360","Simple","Annual","Annual","Annual")</f>
        <v>QSObject:Swap:w1~swap.3069:16546</v>
      </c>
      <c r="F3071" s="6" t="str">
        <f>_xll.QS.TRADE.CREATE("trade.3069",E3071,A3071,"Receive")</f>
        <v>QSObject:SwapTrade:w1~trade.3069:28770</v>
      </c>
      <c r="G3071" s="3">
        <f>_xll.QS.EVALUATE(C3071,F3071)</f>
        <v>29521.279236906128</v>
      </c>
      <c r="H3071" s="5" t="s">
        <v>2529</v>
      </c>
      <c r="I3071" s="7">
        <v>1306900</v>
      </c>
      <c r="J3071" s="8">
        <v>3.6900000000000002E-2</v>
      </c>
    </row>
    <row r="3072" spans="1:10" x14ac:dyDescent="0.25">
      <c r="A3072" s="5" t="s">
        <v>2517</v>
      </c>
      <c r="B3072" s="5" t="s">
        <v>4939</v>
      </c>
      <c r="C3072" s="6" t="str">
        <f>_xll.QS.CONTEXT.CREATE("market.3070",A3072,"USD","SOFR")</f>
        <v>QSObject:PricingContext:w1~market.3070:16545</v>
      </c>
      <c r="D3072" s="6" t="str">
        <f>_xll.QS.CONTEXT.ADD.CURVE(C3072,"SOFR",$K$2:$K$7,$L$2:$L$7,,,"Actual360","LogLinear",TRUE)</f>
        <v>QSObject:ContextInput:w1~input.qs_context_add_curve.2359132437744.3071.3.0:37462</v>
      </c>
      <c r="E3072" s="6" t="str">
        <f>_xll.QS.INSTRUMENT.SWAP("swap.3070",H3072,B3072,"USD","SOFR",I3072,J3072,0,"Actual360","Simple","Annual","Annual","Annual")</f>
        <v>QSObject:Swap:w1~swap.3070:16544</v>
      </c>
      <c r="F3072" s="6" t="str">
        <f>_xll.QS.TRADE.CREATE("trade.3070",E3072,A3072,"Receive")</f>
        <v>QSObject:SwapTrade:w1~trade.3070:28769</v>
      </c>
      <c r="G3072" s="3">
        <f>_xll.QS.EVALUATE(C3072,F3072)</f>
        <v>30076.641697840489</v>
      </c>
      <c r="H3072" s="5" t="s">
        <v>2531</v>
      </c>
      <c r="I3072" s="7">
        <v>1307000</v>
      </c>
      <c r="J3072" s="8">
        <v>3.7000000000000012E-2</v>
      </c>
    </row>
    <row r="3073" spans="1:10" x14ac:dyDescent="0.25">
      <c r="A3073" s="5" t="s">
        <v>2519</v>
      </c>
      <c r="B3073" s="5" t="s">
        <v>4940</v>
      </c>
      <c r="C3073" s="6" t="str">
        <f>_xll.QS.CONTEXT.CREATE("market.3071",A3073,"USD","SOFR")</f>
        <v>QSObject:PricingContext:w1~market.3071:16543</v>
      </c>
      <c r="D3073" s="6" t="str">
        <f>_xll.QS.CONTEXT.ADD.CURVE(C3073,"SOFR",$K$2:$K$7,$L$2:$L$7,,,"Actual360","LogLinear",TRUE)</f>
        <v>QSObject:ContextInput:w1~input.qs_context_add_curve.2359132437744.3072.3.0:37461</v>
      </c>
      <c r="E3073" s="6" t="str">
        <f>_xll.QS.INSTRUMENT.SWAP("swap.3071",H3073,B3073,"USD","SOFR",I3073,J3073,0,"Actual360","Simple","Annual","Annual","Annual")</f>
        <v>QSObject:Swap:w1~swap.3071:16542</v>
      </c>
      <c r="F3073" s="6" t="str">
        <f>_xll.QS.TRADE.CREATE("trade.3071",E3073,A3073,"Receive")</f>
        <v>QSObject:SwapTrade:w1~trade.3071:28768</v>
      </c>
      <c r="G3073" s="3">
        <f>_xll.QS.EVALUATE(C3073,F3073)</f>
        <v>30590.286568383613</v>
      </c>
      <c r="H3073" s="5" t="s">
        <v>2533</v>
      </c>
      <c r="I3073" s="7">
        <v>1307100</v>
      </c>
      <c r="J3073" s="8">
        <v>3.7100000000000001E-2</v>
      </c>
    </row>
    <row r="3074" spans="1:10" x14ac:dyDescent="0.25">
      <c r="A3074" s="5" t="s">
        <v>2521</v>
      </c>
      <c r="B3074" s="5" t="s">
        <v>4941</v>
      </c>
      <c r="C3074" s="6" t="str">
        <f>_xll.QS.CONTEXT.CREATE("market.3072",A3074,"USD","SOFR")</f>
        <v>QSObject:PricingContext:w1~market.3072:16541</v>
      </c>
      <c r="D3074" s="6" t="str">
        <f>_xll.QS.CONTEXT.ADD.CURVE(C3074,"SOFR",$K$2:$K$7,$L$2:$L$7,,,"Actual360","LogLinear",TRUE)</f>
        <v>QSObject:ContextInput:w1~input.qs_context_add_curve.2359132437744.3073.3.0:37460</v>
      </c>
      <c r="E3074" s="6" t="str">
        <f>_xll.QS.INSTRUMENT.SWAP("swap.3072",H3074,B3074,"USD","SOFR",I3074,J3074,0,"Actual360","Simple","Annual","Annual","Annual")</f>
        <v>QSObject:Swap:w1~swap.3072:16540</v>
      </c>
      <c r="F3074" s="6" t="str">
        <f>_xll.QS.TRADE.CREATE("trade.3072",E3074,A3074,"Receive")</f>
        <v>QSObject:SwapTrade:w1~trade.3072:28767</v>
      </c>
      <c r="G3074" s="3">
        <f>_xll.QS.EVALUATE(C3074,F3074)</f>
        <v>31094.713640125257</v>
      </c>
      <c r="H3074" s="5" t="s">
        <v>2535</v>
      </c>
      <c r="I3074" s="7">
        <v>1307200</v>
      </c>
      <c r="J3074" s="8">
        <v>3.7199999999999997E-2</v>
      </c>
    </row>
    <row r="3075" spans="1:10" x14ac:dyDescent="0.25">
      <c r="A3075" s="5" t="s">
        <v>2523</v>
      </c>
      <c r="B3075" s="5" t="s">
        <v>4942</v>
      </c>
      <c r="C3075" s="6" t="str">
        <f>_xll.QS.CONTEXT.CREATE("market.3073",A3075,"USD","SOFR")</f>
        <v>QSObject:PricingContext:w1~market.3073:16539</v>
      </c>
      <c r="D3075" s="6" t="str">
        <f>_xll.QS.CONTEXT.ADD.CURVE(C3075,"SOFR",$K$2:$K$7,$L$2:$L$7,,,"Actual360","LogLinear",TRUE)</f>
        <v>QSObject:ContextInput:w1~input.qs_context_add_curve.2359132437744.3074.3.0:37459</v>
      </c>
      <c r="E3075" s="6" t="str">
        <f>_xll.QS.INSTRUMENT.SWAP("swap.3073",H3075,B3075,"USD","SOFR",I3075,J3075,0,"Actual360","Simple","Annual","Annual","Annual")</f>
        <v>QSObject:Swap:w1~swap.3073:16538</v>
      </c>
      <c r="F3075" s="6" t="str">
        <f>_xll.QS.TRADE.CREATE("trade.3073",E3075,A3075,"Receive")</f>
        <v>QSObject:SwapTrade:w1~trade.3073:28766</v>
      </c>
      <c r="G3075" s="3">
        <f>_xll.QS.EVALUATE(C3075,F3075)</f>
        <v>31755.720476969698</v>
      </c>
      <c r="H3075" s="5" t="s">
        <v>2537</v>
      </c>
      <c r="I3075" s="7">
        <v>1307300</v>
      </c>
      <c r="J3075" s="8">
        <v>3.73E-2</v>
      </c>
    </row>
    <row r="3076" spans="1:10" x14ac:dyDescent="0.25">
      <c r="A3076" s="5" t="s">
        <v>2525</v>
      </c>
      <c r="B3076" s="5" t="s">
        <v>4943</v>
      </c>
      <c r="C3076" s="6" t="str">
        <f>_xll.QS.CONTEXT.CREATE("market.3074",A3076,"USD","SOFR")</f>
        <v>QSObject:PricingContext:w1~market.3074:16537</v>
      </c>
      <c r="D3076" s="6" t="str">
        <f>_xll.QS.CONTEXT.ADD.CURVE(C3076,"SOFR",$K$2:$K$7,$L$2:$L$7,,,"Actual360","LogLinear",TRUE)</f>
        <v>QSObject:ContextInput:w1~input.qs_context_add_curve.2359132437744.3075.3.0:37458</v>
      </c>
      <c r="E3076" s="6" t="str">
        <f>_xll.QS.INSTRUMENT.SWAP("swap.3074",H3076,B3076,"USD","SOFR",I3076,J3076,0,"Actual360","Simple","Annual","Annual","Annual")</f>
        <v>QSObject:Swap:w1~swap.3074:16536</v>
      </c>
      <c r="F3076" s="6" t="str">
        <f>_xll.QS.TRADE.CREATE("trade.3074",E3076,A3076,"Receive")</f>
        <v>QSObject:SwapTrade:w1~trade.3074:28765</v>
      </c>
      <c r="G3076" s="3">
        <f>_xll.QS.EVALUATE(C3076,F3076)</f>
        <v>32394.6510993267</v>
      </c>
      <c r="H3076" s="5" t="s">
        <v>2539</v>
      </c>
      <c r="I3076" s="7">
        <v>1307400</v>
      </c>
      <c r="J3076" s="8">
        <v>3.7400000000000003E-2</v>
      </c>
    </row>
    <row r="3077" spans="1:10" x14ac:dyDescent="0.25">
      <c r="A3077" s="5" t="s">
        <v>2527</v>
      </c>
      <c r="B3077" s="5" t="s">
        <v>4944</v>
      </c>
      <c r="C3077" s="6" t="str">
        <f>_xll.QS.CONTEXT.CREATE("market.3075",A3077,"USD","SOFR")</f>
        <v>QSObject:PricingContext:w1~market.3075:16535</v>
      </c>
      <c r="D3077" s="6" t="str">
        <f>_xll.QS.CONTEXT.ADD.CURVE(C3077,"SOFR",$K$2:$K$7,$L$2:$L$7,,,"Actual360","LogLinear",TRUE)</f>
        <v>QSObject:ContextInput:w1~input.qs_context_add_curve.2359132437744.3076.3.0:37457</v>
      </c>
      <c r="E3077" s="6" t="str">
        <f>_xll.QS.INSTRUMENT.SWAP("swap.3075",H3077,B3077,"USD","SOFR",I3077,J3077,0,"Actual360","Simple","Annual","Annual","Annual")</f>
        <v>QSObject:Swap:w1~swap.3075:16534</v>
      </c>
      <c r="F3077" s="6" t="str">
        <f>_xll.QS.TRADE.CREATE("trade.3075",E3077,A3077,"Receive")</f>
        <v>QSObject:SwapTrade:w1~trade.3075:28764</v>
      </c>
      <c r="G3077" s="3">
        <f>_xll.QS.EVALUATE(C3077,F3077)</f>
        <v>33095.620855920526</v>
      </c>
      <c r="H3077" s="5" t="s">
        <v>2541</v>
      </c>
      <c r="I3077" s="7">
        <v>1307500</v>
      </c>
      <c r="J3077" s="8">
        <v>3.7500000000000012E-2</v>
      </c>
    </row>
    <row r="3078" spans="1:10" x14ac:dyDescent="0.25">
      <c r="A3078" s="5" t="s">
        <v>2529</v>
      </c>
      <c r="B3078" s="5" t="s">
        <v>4945</v>
      </c>
      <c r="C3078" s="6" t="str">
        <f>_xll.QS.CONTEXT.CREATE("market.3076",A3078,"USD","SOFR")</f>
        <v>QSObject:PricingContext:w1~market.3076:16533</v>
      </c>
      <c r="D3078" s="6" t="str">
        <f>_xll.QS.CONTEXT.ADD.CURVE(C3078,"SOFR",$K$2:$K$7,$L$2:$L$7,,,"Actual360","LogLinear",TRUE)</f>
        <v>QSObject:ContextInput:w1~input.qs_context_add_curve.2359132437744.3077.3.0:37456</v>
      </c>
      <c r="E3078" s="6" t="str">
        <f>_xll.QS.INSTRUMENT.SWAP("swap.3076",H3078,B3078,"USD","SOFR",I3078,J3078,0,"Actual360","Simple","Annual","Annual","Annual")</f>
        <v>QSObject:Swap:w1~swap.3076:16532</v>
      </c>
      <c r="F3078" s="6" t="str">
        <f>_xll.QS.TRADE.CREATE("trade.3076",E3078,A3078,"Receive")</f>
        <v>QSObject:SwapTrade:w1~trade.3076:28763</v>
      </c>
      <c r="G3078" s="3">
        <f>_xll.QS.EVALUATE(C3078,F3078)</f>
        <v>33758.028831223666</v>
      </c>
      <c r="H3078" s="5" t="s">
        <v>2543</v>
      </c>
      <c r="I3078" s="7">
        <v>1307600</v>
      </c>
      <c r="J3078" s="8">
        <v>3.7600000000000001E-2</v>
      </c>
    </row>
    <row r="3079" spans="1:10" x14ac:dyDescent="0.25">
      <c r="A3079" s="5" t="s">
        <v>2531</v>
      </c>
      <c r="B3079" s="5" t="s">
        <v>4946</v>
      </c>
      <c r="C3079" s="6" t="str">
        <f>_xll.QS.CONTEXT.CREATE("market.3077",A3079,"USD","SOFR")</f>
        <v>QSObject:PricingContext:w1~market.3077:16531</v>
      </c>
      <c r="D3079" s="6" t="str">
        <f>_xll.QS.CONTEXT.ADD.CURVE(C3079,"SOFR",$K$2:$K$7,$L$2:$L$7,,,"Actual360","LogLinear",TRUE)</f>
        <v>QSObject:ContextInput:w1~input.qs_context_add_curve.2359132437744.3078.3.0:37455</v>
      </c>
      <c r="E3079" s="6" t="str">
        <f>_xll.QS.INSTRUMENT.SWAP("swap.3077",H3079,B3079,"USD","SOFR",I3079,J3079,0,"Actual360","Simple","Annual","Annual","Annual")</f>
        <v>QSObject:Swap:w1~swap.3077:16530</v>
      </c>
      <c r="F3079" s="6" t="str">
        <f>_xll.QS.TRADE.CREATE("trade.3077",E3079,A3079,"Receive")</f>
        <v>QSObject:SwapTrade:w1~trade.3077:28762</v>
      </c>
      <c r="G3079" s="3">
        <f>_xll.QS.EVALUATE(C3079,F3079)</f>
        <v>34313.974014182488</v>
      </c>
      <c r="H3079" s="5" t="s">
        <v>2545</v>
      </c>
      <c r="I3079" s="7">
        <v>1307700</v>
      </c>
      <c r="J3079" s="8">
        <v>3.7699999999999997E-2</v>
      </c>
    </row>
    <row r="3080" spans="1:10" x14ac:dyDescent="0.25">
      <c r="A3080" s="5" t="s">
        <v>2533</v>
      </c>
      <c r="B3080" s="5" t="s">
        <v>4947</v>
      </c>
      <c r="C3080" s="6" t="str">
        <f>_xll.QS.CONTEXT.CREATE("market.3078",A3080,"USD","SOFR")</f>
        <v>QSObject:PricingContext:w1~market.3078:16529</v>
      </c>
      <c r="D3080" s="6" t="str">
        <f>_xll.QS.CONTEXT.ADD.CURVE(C3080,"SOFR",$K$2:$K$7,$L$2:$L$7,,,"Actual360","LogLinear",TRUE)</f>
        <v>QSObject:ContextInput:w1~input.qs_context_add_curve.2359132437744.3079.3.0:37454</v>
      </c>
      <c r="E3080" s="6" t="str">
        <f>_xll.QS.INSTRUMENT.SWAP("swap.3078",H3080,B3080,"USD","SOFR",I3080,J3080,0,"Actual360","Simple","Annual","Annual","Annual")</f>
        <v>QSObject:Swap:w1~swap.3078:16528</v>
      </c>
      <c r="F3080" s="6" t="str">
        <f>_xll.QS.TRADE.CREATE("trade.3078",E3080,A3080,"Receive")</f>
        <v>QSObject:SwapTrade:w1~trade.3078:28761</v>
      </c>
      <c r="G3080" s="3">
        <f>_xll.QS.EVALUATE(C3080,F3080)</f>
        <v>34823.238288377281</v>
      </c>
      <c r="H3080" s="5" t="s">
        <v>2547</v>
      </c>
      <c r="I3080" s="7">
        <v>1307800</v>
      </c>
      <c r="J3080" s="8">
        <v>3.78E-2</v>
      </c>
    </row>
    <row r="3081" spans="1:10" x14ac:dyDescent="0.25">
      <c r="A3081" s="5" t="s">
        <v>2535</v>
      </c>
      <c r="B3081" s="5" t="s">
        <v>4948</v>
      </c>
      <c r="C3081" s="6" t="str">
        <f>_xll.QS.CONTEXT.CREATE("market.3079",A3081,"USD","SOFR")</f>
        <v>QSObject:PricingContext:w1~market.3079:16527</v>
      </c>
      <c r="D3081" s="6" t="str">
        <f>_xll.QS.CONTEXT.ADD.CURVE(C3081,"SOFR",$K$2:$K$7,$L$2:$L$7,,,"Actual360","LogLinear",TRUE)</f>
        <v>QSObject:ContextInput:w1~input.qs_context_add_curve.2359132437744.3080.3.0:37453</v>
      </c>
      <c r="E3081" s="6" t="str">
        <f>_xll.QS.INSTRUMENT.SWAP("swap.3079",H3081,B3081,"USD","SOFR",I3081,J3081,0,"Actual360","Simple","Annual","Annual","Annual")</f>
        <v>QSObject:Swap:w1~swap.3079:16526</v>
      </c>
      <c r="F3081" s="6" t="str">
        <f>_xll.QS.TRADE.CREATE("trade.3079",E3081,A3081,"Receive")</f>
        <v>QSObject:SwapTrade:w1~trade.3079:28760</v>
      </c>
      <c r="G3081" s="3">
        <f>_xll.QS.EVALUATE(C3081,F3081)</f>
        <v>35334.794872279061</v>
      </c>
      <c r="H3081" s="5" t="s">
        <v>2549</v>
      </c>
      <c r="I3081" s="7">
        <v>1307900</v>
      </c>
      <c r="J3081" s="8">
        <v>3.7900000000000003E-2</v>
      </c>
    </row>
    <row r="3082" spans="1:10" x14ac:dyDescent="0.25">
      <c r="A3082" s="5" t="s">
        <v>2537</v>
      </c>
      <c r="B3082" s="5" t="s">
        <v>4949</v>
      </c>
      <c r="C3082" s="6" t="str">
        <f>_xll.QS.CONTEXT.CREATE("market.3080",A3082,"USD","SOFR")</f>
        <v>QSObject:PricingContext:w1~market.3080:16525</v>
      </c>
      <c r="D3082" s="6" t="str">
        <f>_xll.QS.CONTEXT.ADD.CURVE(C3082,"SOFR",$K$2:$K$7,$L$2:$L$7,,,"Actual360","LogLinear",TRUE)</f>
        <v>QSObject:ContextInput:w1~input.qs_context_add_curve.2359132437744.3081.3.0:37452</v>
      </c>
      <c r="E3082" s="6" t="str">
        <f>_xll.QS.INSTRUMENT.SWAP("swap.3080",H3082,B3082,"USD","SOFR",I3082,J3082,0,"Actual360","Simple","Annual","Annual","Annual")</f>
        <v>QSObject:Swap:w1~swap.3080:16524</v>
      </c>
      <c r="F3082" s="6" t="str">
        <f>_xll.QS.TRADE.CREATE("trade.3080",E3082,A3082,"Receive")</f>
        <v>QSObject:SwapTrade:w1~trade.3080:28759</v>
      </c>
      <c r="G3082" s="3">
        <f>_xll.QS.EVALUATE(C3082,F3082)</f>
        <v>35996.909499792222</v>
      </c>
      <c r="H3082" s="5" t="s">
        <v>2551</v>
      </c>
      <c r="I3082" s="7">
        <v>1308000</v>
      </c>
      <c r="J3082" s="8">
        <v>3.8000000000000013E-2</v>
      </c>
    </row>
    <row r="3083" spans="1:10" x14ac:dyDescent="0.25">
      <c r="A3083" s="5" t="s">
        <v>2539</v>
      </c>
      <c r="B3083" s="5" t="s">
        <v>4950</v>
      </c>
      <c r="C3083" s="6" t="str">
        <f>_xll.QS.CONTEXT.CREATE("market.3081",A3083,"USD","SOFR")</f>
        <v>QSObject:PricingContext:w1~market.3081:16523</v>
      </c>
      <c r="D3083" s="6" t="str">
        <f>_xll.QS.CONTEXT.ADD.CURVE(C3083,"SOFR",$K$2:$K$7,$L$2:$L$7,,,"Actual360","LogLinear",TRUE)</f>
        <v>QSObject:ContextInput:w1~input.qs_context_add_curve.2359132437744.3082.3.0:37451</v>
      </c>
      <c r="E3083" s="6" t="str">
        <f>_xll.QS.INSTRUMENT.SWAP("swap.3081",H3083,B3083,"USD","SOFR",I3083,J3083,0,"Actual360","Simple","Annual","Annual","Annual")</f>
        <v>QSObject:Swap:w1~swap.3081:16522</v>
      </c>
      <c r="F3083" s="6" t="str">
        <f>_xll.QS.TRADE.CREATE("trade.3081",E3083,A3083,"Receive")</f>
        <v>QSObject:SwapTrade:w1~trade.3081:28758</v>
      </c>
      <c r="G3083" s="3">
        <f>_xll.QS.EVALUATE(C3083,F3083)</f>
        <v>36634.444053134539</v>
      </c>
      <c r="H3083" s="5" t="s">
        <v>2553</v>
      </c>
      <c r="I3083" s="7">
        <v>1308100</v>
      </c>
      <c r="J3083" s="8">
        <v>3.8100000000000002E-2</v>
      </c>
    </row>
    <row r="3084" spans="1:10" x14ac:dyDescent="0.25">
      <c r="A3084" s="5" t="s">
        <v>2541</v>
      </c>
      <c r="B3084" s="5" t="s">
        <v>4951</v>
      </c>
      <c r="C3084" s="6" t="str">
        <f>_xll.QS.CONTEXT.CREATE("market.3082",A3084,"USD","SOFR")</f>
        <v>QSObject:PricingContext:w1~market.3082:16521</v>
      </c>
      <c r="D3084" s="6" t="str">
        <f>_xll.QS.CONTEXT.ADD.CURVE(C3084,"SOFR",$K$2:$K$7,$L$2:$L$7,,,"Actual360","LogLinear",TRUE)</f>
        <v>QSObject:ContextInput:w1~input.qs_context_add_curve.2359132437744.3083.3.0:37450</v>
      </c>
      <c r="E3084" s="6" t="str">
        <f>_xll.QS.INSTRUMENT.SWAP("swap.3082",H3084,B3084,"USD","SOFR",I3084,J3084,0,"Actual360","Simple","Annual","Annual","Annual")</f>
        <v>QSObject:Swap:w1~swap.3082:16520</v>
      </c>
      <c r="F3084" s="6" t="str">
        <f>_xll.QS.TRADE.CREATE("trade.3082",E3084,A3084,"Receive")</f>
        <v>QSObject:SwapTrade:w1~trade.3082:28757</v>
      </c>
      <c r="G3084" s="3">
        <f>_xll.QS.EVALUATE(C3084,F3084)</f>
        <v>37336.168461917405</v>
      </c>
      <c r="H3084" s="5" t="s">
        <v>2555</v>
      </c>
      <c r="I3084" s="7">
        <v>1308200</v>
      </c>
      <c r="J3084" s="8">
        <v>3.8199999999999998E-2</v>
      </c>
    </row>
    <row r="3085" spans="1:10" x14ac:dyDescent="0.25">
      <c r="A3085" s="5" t="s">
        <v>2543</v>
      </c>
      <c r="B3085" s="5" t="s">
        <v>4952</v>
      </c>
      <c r="C3085" s="6" t="str">
        <f>_xll.QS.CONTEXT.CREATE("market.3083",A3085,"USD","SOFR")</f>
        <v>QSObject:PricingContext:w1~market.3083:16519</v>
      </c>
      <c r="D3085" s="6" t="str">
        <f>_xll.QS.CONTEXT.ADD.CURVE(C3085,"SOFR",$K$2:$K$7,$L$2:$L$7,,,"Actual360","LogLinear",TRUE)</f>
        <v>QSObject:ContextInput:w1~input.qs_context_add_curve.2359132437744.3084.3.0:37449</v>
      </c>
      <c r="E3085" s="6" t="str">
        <f>_xll.QS.INSTRUMENT.SWAP("swap.3083",H3085,B3085,"USD","SOFR",I3085,J3085,0,"Actual360","Simple","Annual","Annual","Annual")</f>
        <v>QSObject:Swap:w1~swap.3083:16518</v>
      </c>
      <c r="F3085" s="6" t="str">
        <f>_xll.QS.TRADE.CREATE("trade.3083",E3085,A3085,"Receive")</f>
        <v>QSObject:SwapTrade:w1~trade.3083:28756</v>
      </c>
      <c r="G3085" s="3">
        <f>_xll.QS.EVALUATE(C3085,F3085)</f>
        <v>37999.297630516347</v>
      </c>
      <c r="H3085" s="5" t="s">
        <v>2557</v>
      </c>
      <c r="I3085" s="7">
        <v>1308300</v>
      </c>
      <c r="J3085" s="8">
        <v>3.8300000000000001E-2</v>
      </c>
    </row>
    <row r="3086" spans="1:10" x14ac:dyDescent="0.25">
      <c r="A3086" s="5" t="s">
        <v>2545</v>
      </c>
      <c r="B3086" s="5" t="s">
        <v>4953</v>
      </c>
      <c r="C3086" s="6" t="str">
        <f>_xll.QS.CONTEXT.CREATE("market.3084",A3086,"USD","SOFR")</f>
        <v>QSObject:PricingContext:w1~market.3084:16517</v>
      </c>
      <c r="D3086" s="6" t="str">
        <f>_xll.QS.CONTEXT.ADD.CURVE(C3086,"SOFR",$K$2:$K$7,$L$2:$L$7,,,"Actual360","LogLinear",TRUE)</f>
        <v>QSObject:ContextInput:w1~input.qs_context_add_curve.2359132437744.3085.3.0:37448</v>
      </c>
      <c r="E3086" s="6" t="str">
        <f>_xll.QS.INSTRUMENT.SWAP("swap.3084",H3086,B3086,"USD","SOFR",I3086,J3086,0,"Actual360","Simple","Annual","Annual","Annual")</f>
        <v>QSObject:Swap:w1~swap.3084:16516</v>
      </c>
      <c r="F3086" s="6" t="str">
        <f>_xll.QS.TRADE.CREATE("trade.3084",E3086,A3086,"Receive")</f>
        <v>QSObject:SwapTrade:w1~trade.3084:28755</v>
      </c>
      <c r="G3086" s="3">
        <f>_xll.QS.EVALUATE(C3086,F3086)</f>
        <v>38555.830057563129</v>
      </c>
      <c r="H3086" s="5" t="s">
        <v>2559</v>
      </c>
      <c r="I3086" s="7">
        <v>1308400</v>
      </c>
      <c r="J3086" s="8">
        <v>3.8399999999999997E-2</v>
      </c>
    </row>
    <row r="3087" spans="1:10" x14ac:dyDescent="0.25">
      <c r="A3087" s="5" t="s">
        <v>2547</v>
      </c>
      <c r="B3087" s="5" t="s">
        <v>4954</v>
      </c>
      <c r="C3087" s="6" t="str">
        <f>_xll.QS.CONTEXT.CREATE("market.3085",A3087,"USD","SOFR")</f>
        <v>QSObject:PricingContext:w1~market.3085:16515</v>
      </c>
      <c r="D3087" s="6" t="str">
        <f>_xll.QS.CONTEXT.ADD.CURVE(C3087,"SOFR",$K$2:$K$7,$L$2:$L$7,,,"Actual360","LogLinear",TRUE)</f>
        <v>QSObject:ContextInput:w1~input.qs_context_add_curve.2359132437744.3086.3.0:37447</v>
      </c>
      <c r="E3087" s="6" t="str">
        <f>_xll.QS.INSTRUMENT.SWAP("swap.3085",H3087,B3087,"USD","SOFR",I3087,J3087,0,"Actual360","Simple","Annual","Annual","Annual")</f>
        <v>QSObject:Swap:w1~swap.3085:16514</v>
      </c>
      <c r="F3087" s="6" t="str">
        <f>_xll.QS.TRADE.CREATE("trade.3085",E3087,A3087,"Receive")</f>
        <v>QSObject:SwapTrade:w1~trade.3085:28754</v>
      </c>
      <c r="G3087" s="3">
        <f>_xll.QS.EVALUATE(C3087,F3087)</f>
        <v>39060.712969394088</v>
      </c>
      <c r="H3087" s="5" t="s">
        <v>2561</v>
      </c>
      <c r="I3087" s="7">
        <v>1308500</v>
      </c>
      <c r="J3087" s="8">
        <v>3.8500000000000013E-2</v>
      </c>
    </row>
    <row r="3088" spans="1:10" x14ac:dyDescent="0.25">
      <c r="A3088" s="5" t="s">
        <v>2549</v>
      </c>
      <c r="B3088" s="5" t="s">
        <v>4955</v>
      </c>
      <c r="C3088" s="6" t="str">
        <f>_xll.QS.CONTEXT.CREATE("market.3086",A3088,"USD","SOFR")</f>
        <v>QSObject:PricingContext:w1~market.3086:16513</v>
      </c>
      <c r="D3088" s="6" t="str">
        <f>_xll.QS.CONTEXT.ADD.CURVE(C3088,"SOFR",$K$2:$K$7,$L$2:$L$7,,,"Actual360","LogLinear",TRUE)</f>
        <v>QSObject:ContextInput:w1~input.qs_context_add_curve.2359132437744.3087.3.0:37446</v>
      </c>
      <c r="E3088" s="6" t="str">
        <f>_xll.QS.INSTRUMENT.SWAP("swap.3086",H3088,B3088,"USD","SOFR",I3088,J3088,0,"Actual360","Simple","Annual","Annual","Annual")</f>
        <v>QSObject:Swap:w1~swap.3086:16512</v>
      </c>
      <c r="F3088" s="6" t="str">
        <f>_xll.QS.TRADE.CREATE("trade.3086",E3088,A3088,"Receive")</f>
        <v>QSObject:SwapTrade:w1~trade.3086:28753</v>
      </c>
      <c r="G3088" s="3">
        <f>_xll.QS.EVALUATE(C3088,F3088)</f>
        <v>39579.419750366782</v>
      </c>
      <c r="H3088" s="5" t="s">
        <v>2563</v>
      </c>
      <c r="I3088" s="7">
        <v>1308600</v>
      </c>
      <c r="J3088" s="8">
        <v>3.8600000000000002E-2</v>
      </c>
    </row>
    <row r="3089" spans="1:10" x14ac:dyDescent="0.25">
      <c r="A3089" s="5" t="s">
        <v>2551</v>
      </c>
      <c r="B3089" s="5" t="s">
        <v>4956</v>
      </c>
      <c r="C3089" s="6" t="str">
        <f>_xll.QS.CONTEXT.CREATE("market.3087",A3089,"USD","SOFR")</f>
        <v>QSObject:PricingContext:w1~market.3087:16511</v>
      </c>
      <c r="D3089" s="6" t="str">
        <f>_xll.QS.CONTEXT.ADD.CURVE(C3089,"SOFR",$K$2:$K$7,$L$2:$L$7,,,"Actual360","LogLinear",TRUE)</f>
        <v>QSObject:ContextInput:w1~input.qs_context_add_curve.2359132437744.3088.3.0:37445</v>
      </c>
      <c r="E3089" s="6" t="str">
        <f>_xll.QS.INSTRUMENT.SWAP("swap.3087",H3089,B3089,"USD","SOFR",I3089,J3089,0,"Actual360","Simple","Annual","Annual","Annual")</f>
        <v>QSObject:Swap:w1~swap.3087:16510</v>
      </c>
      <c r="F3089" s="6" t="str">
        <f>_xll.QS.TRADE.CREATE("trade.3087",E3089,A3089,"Receive")</f>
        <v>QSObject:SwapTrade:w1~trade.3087:28752</v>
      </c>
      <c r="G3089" s="3">
        <f>_xll.QS.EVALUATE(C3089,F3089)</f>
        <v>40242.625903193082</v>
      </c>
      <c r="H3089" s="5" t="s">
        <v>2565</v>
      </c>
      <c r="I3089" s="7">
        <v>1308700</v>
      </c>
      <c r="J3089" s="8">
        <v>3.8700000000000012E-2</v>
      </c>
    </row>
    <row r="3090" spans="1:10" x14ac:dyDescent="0.25">
      <c r="A3090" s="5" t="s">
        <v>2553</v>
      </c>
      <c r="B3090" s="5" t="s">
        <v>4957</v>
      </c>
      <c r="C3090" s="6" t="str">
        <f>_xll.QS.CONTEXT.CREATE("market.3088",A3090,"USD","SOFR")</f>
        <v>QSObject:PricingContext:w1~market.3088:16509</v>
      </c>
      <c r="D3090" s="6" t="str">
        <f>_xll.QS.CONTEXT.ADD.CURVE(C3090,"SOFR",$K$2:$K$7,$L$2:$L$7,,,"Actual360","LogLinear",TRUE)</f>
        <v>QSObject:ContextInput:w1~input.qs_context_add_curve.2359132437744.3089.3.0:37444</v>
      </c>
      <c r="E3090" s="6" t="str">
        <f>_xll.QS.INSTRUMENT.SWAP("swap.3088",H3090,B3090,"USD","SOFR",I3090,J3090,0,"Actual360","Simple","Annual","Annual","Annual")</f>
        <v>QSObject:Swap:w1~swap.3088:16508</v>
      </c>
      <c r="F3090" s="6" t="str">
        <f>_xll.QS.TRADE.CREATE("trade.3088",E3090,A3090,"Receive")</f>
        <v>QSObject:SwapTrade:w1~trade.3088:28751</v>
      </c>
      <c r="G3090" s="3">
        <f>_xll.QS.EVALUATE(C3090,F3090)</f>
        <v>40878.745181169601</v>
      </c>
      <c r="H3090" s="5" t="s">
        <v>2567</v>
      </c>
      <c r="I3090" s="7">
        <v>1308800</v>
      </c>
      <c r="J3090" s="8">
        <v>3.8800000000000001E-2</v>
      </c>
    </row>
    <row r="3091" spans="1:10" x14ac:dyDescent="0.25">
      <c r="A3091" s="5" t="s">
        <v>2555</v>
      </c>
      <c r="B3091" s="5" t="s">
        <v>4958</v>
      </c>
      <c r="C3091" s="6" t="str">
        <f>_xll.QS.CONTEXT.CREATE("market.3089",A3091,"USD","SOFR")</f>
        <v>QSObject:PricingContext:w1~market.3089:16507</v>
      </c>
      <c r="D3091" s="6" t="str">
        <f>_xll.QS.CONTEXT.ADD.CURVE(C3091,"SOFR",$K$2:$K$7,$L$2:$L$7,,,"Actual360","LogLinear",TRUE)</f>
        <v>QSObject:ContextInput:w1~input.qs_context_add_curve.2359132437744.3090.3.0:37443</v>
      </c>
      <c r="E3091" s="6" t="str">
        <f>_xll.QS.INSTRUMENT.SWAP("swap.3089",H3091,B3091,"USD","SOFR",I3091,J3091,0,"Actual360","Simple","Annual","Annual","Annual")</f>
        <v>QSObject:Swap:w1~swap.3089:16506</v>
      </c>
      <c r="F3091" s="6" t="str">
        <f>_xll.QS.TRADE.CREATE("trade.3089",E3091,A3091,"Receive")</f>
        <v>QSObject:SwapTrade:w1~trade.3089:28750</v>
      </c>
      <c r="G3091" s="3">
        <f>_xll.QS.EVALUATE(C3091,F3091)</f>
        <v>41581.235224582415</v>
      </c>
      <c r="H3091" s="5" t="s">
        <v>2569</v>
      </c>
      <c r="I3091" s="7">
        <v>1308900</v>
      </c>
      <c r="J3091" s="8">
        <v>3.8899999999999997E-2</v>
      </c>
    </row>
    <row r="3092" spans="1:10" x14ac:dyDescent="0.25">
      <c r="A3092" s="5" t="s">
        <v>2557</v>
      </c>
      <c r="B3092" s="5" t="s">
        <v>4959</v>
      </c>
      <c r="C3092" s="6" t="str">
        <f>_xll.QS.CONTEXT.CREATE("market.3090",A3092,"USD","SOFR")</f>
        <v>QSObject:PricingContext:w1~market.3090:16505</v>
      </c>
      <c r="D3092" s="6" t="str">
        <f>_xll.QS.CONTEXT.ADD.CURVE(C3092,"SOFR",$K$2:$K$7,$L$2:$L$7,,,"Actual360","LogLinear",TRUE)</f>
        <v>QSObject:ContextInput:w1~input.qs_context_add_curve.2359132437744.3091.3.0:37442</v>
      </c>
      <c r="E3092" s="6" t="str">
        <f>_xll.QS.INSTRUMENT.SWAP("swap.3090",H3092,B3092,"USD","SOFR",I3092,J3092,0,"Actual360","Simple","Annual","Annual","Annual")</f>
        <v>QSObject:Swap:w1~swap.3090:16504</v>
      </c>
      <c r="F3092" s="6" t="str">
        <f>_xll.QS.TRADE.CREATE("trade.3090",E3092,A3092,"Receive")</f>
        <v>QSObject:SwapTrade:w1~trade.3090:28749</v>
      </c>
      <c r="G3092" s="3">
        <f>_xll.QS.EVALUATE(C3092,F3092)</f>
        <v>42245.085634784533</v>
      </c>
      <c r="H3092" s="5" t="s">
        <v>2571</v>
      </c>
      <c r="I3092" s="7">
        <v>1309000</v>
      </c>
      <c r="J3092" s="8">
        <v>3.9000000000000007E-2</v>
      </c>
    </row>
    <row r="3093" spans="1:10" x14ac:dyDescent="0.25">
      <c r="A3093" s="5" t="s">
        <v>2559</v>
      </c>
      <c r="B3093" s="5" t="s">
        <v>4960</v>
      </c>
      <c r="C3093" s="6" t="str">
        <f>_xll.QS.CONTEXT.CREATE("market.3091",A3093,"USD","SOFR")</f>
        <v>QSObject:PricingContext:w1~market.3091:16503</v>
      </c>
      <c r="D3093" s="6" t="str">
        <f>_xll.QS.CONTEXT.ADD.CURVE(C3093,"SOFR",$K$2:$K$7,$L$2:$L$7,,,"Actual360","LogLinear",TRUE)</f>
        <v>QSObject:ContextInput:w1~input.qs_context_add_curve.2359132437744.3092.3.0:37441</v>
      </c>
      <c r="E3093" s="6" t="str">
        <f>_xll.QS.INSTRUMENT.SWAP("swap.3091",H3093,B3093,"USD","SOFR",I3093,J3093,0,"Actual360","Simple","Annual","Annual","Annual")</f>
        <v>QSObject:Swap:w1~swap.3091:16502</v>
      </c>
      <c r="F3093" s="6" t="str">
        <f>_xll.QS.TRADE.CREATE("trade.3091",E3093,A3093,"Receive")</f>
        <v>QSObject:SwapTrade:w1~trade.3091:28748</v>
      </c>
      <c r="G3093" s="3">
        <f>_xll.QS.EVALUATE(C3093,F3093)</f>
        <v>42802.202990241065</v>
      </c>
      <c r="H3093" s="5" t="s">
        <v>2573</v>
      </c>
      <c r="I3093" s="7">
        <v>1309100</v>
      </c>
      <c r="J3093" s="8">
        <v>3.9100000000000003E-2</v>
      </c>
    </row>
    <row r="3094" spans="1:10" x14ac:dyDescent="0.25">
      <c r="A3094" s="5" t="s">
        <v>2561</v>
      </c>
      <c r="B3094" s="5" t="s">
        <v>4961</v>
      </c>
      <c r="C3094" s="6" t="str">
        <f>_xll.QS.CONTEXT.CREATE("market.3092",A3094,"USD","SOFR")</f>
        <v>QSObject:PricingContext:w1~market.3092:16501</v>
      </c>
      <c r="D3094" s="6" t="str">
        <f>_xll.QS.CONTEXT.ADD.CURVE(C3094,"SOFR",$K$2:$K$7,$L$2:$L$7,,,"Actual360","LogLinear",TRUE)</f>
        <v>QSObject:ContextInput:w1~input.qs_context_add_curve.2359132437744.3093.3.0:37440</v>
      </c>
      <c r="E3094" s="6" t="str">
        <f>_xll.QS.INSTRUMENT.SWAP("swap.3092",H3094,B3094,"USD","SOFR",I3094,J3094,0,"Actual360","Simple","Annual","Annual","Annual")</f>
        <v>QSObject:Swap:w1~swap.3092:16500</v>
      </c>
      <c r="F3094" s="6" t="str">
        <f>_xll.QS.TRADE.CREATE("trade.3092",E3094,A3094,"Receive")</f>
        <v>QSObject:SwapTrade:w1~trade.3092:28747</v>
      </c>
      <c r="G3094" s="3">
        <f>_xll.QS.EVALUATE(C3094,F3094)</f>
        <v>43302.696934177344</v>
      </c>
      <c r="H3094" s="5" t="s">
        <v>2575</v>
      </c>
      <c r="I3094" s="7">
        <v>1309200</v>
      </c>
      <c r="J3094" s="8">
        <v>3.9200000000000013E-2</v>
      </c>
    </row>
    <row r="3095" spans="1:10" x14ac:dyDescent="0.25">
      <c r="A3095" s="5" t="s">
        <v>2563</v>
      </c>
      <c r="B3095" s="5" t="s">
        <v>4962</v>
      </c>
      <c r="C3095" s="6" t="str">
        <f>_xll.QS.CONTEXT.CREATE("market.3093",A3095,"USD","SOFR")</f>
        <v>QSObject:PricingContext:w1~market.3093:16499</v>
      </c>
      <c r="D3095" s="6" t="str">
        <f>_xll.QS.CONTEXT.ADD.CURVE(C3095,"SOFR",$K$2:$K$7,$L$2:$L$7,,,"Actual360","LogLinear",TRUE)</f>
        <v>QSObject:ContextInput:w1~input.qs_context_add_curve.2359132437744.3094.3.0:37439</v>
      </c>
      <c r="E3095" s="6" t="str">
        <f>_xll.QS.INSTRUMENT.SWAP("swap.3093",H3095,B3095,"USD","SOFR",I3095,J3095,0,"Actual360","Simple","Annual","Annual","Annual")</f>
        <v>QSObject:Swap:w1~swap.3093:16498</v>
      </c>
      <c r="F3095" s="6" t="str">
        <f>_xll.QS.TRADE.CREATE("trade.3093",E3095,A3095,"Receive")</f>
        <v>QSObject:SwapTrade:w1~trade.3093:28746</v>
      </c>
      <c r="G3095" s="3">
        <f>_xll.QS.EVALUATE(C3095,F3095)</f>
        <v>43828.554078707042</v>
      </c>
      <c r="H3095" s="5" t="s">
        <v>2577</v>
      </c>
      <c r="I3095" s="7">
        <v>1309300</v>
      </c>
      <c r="J3095" s="8">
        <v>3.9300000000000002E-2</v>
      </c>
    </row>
    <row r="3096" spans="1:10" x14ac:dyDescent="0.25">
      <c r="A3096" s="5" t="s">
        <v>2565</v>
      </c>
      <c r="B3096" s="5" t="s">
        <v>4963</v>
      </c>
      <c r="C3096" s="6" t="str">
        <f>_xll.QS.CONTEXT.CREATE("market.3094",A3096,"USD","SOFR")</f>
        <v>QSObject:PricingContext:w1~market.3094:16497</v>
      </c>
      <c r="D3096" s="6" t="str">
        <f>_xll.QS.CONTEXT.ADD.CURVE(C3096,"SOFR",$K$2:$K$7,$L$2:$L$7,,,"Actual360","LogLinear",TRUE)</f>
        <v>QSObject:ContextInput:w1~input.qs_context_add_curve.2359132437744.3095.3.0:37438</v>
      </c>
      <c r="E3096" s="6" t="str">
        <f>_xll.QS.INSTRUMENT.SWAP("swap.3094",H3096,B3096,"USD","SOFR",I3096,J3096,0,"Actual360","Simple","Annual","Annual","Annual")</f>
        <v>QSObject:Swap:w1~swap.3094:16496</v>
      </c>
      <c r="F3096" s="6" t="str">
        <f>_xll.QS.TRADE.CREATE("trade.3094",E3096,A3096,"Receive")</f>
        <v>QSObject:SwapTrade:w1~trade.3094:28745</v>
      </c>
      <c r="G3096" s="3">
        <f>_xll.QS.EVALUATE(C3096,F3096)</f>
        <v>44492.99074674015</v>
      </c>
      <c r="H3096" s="5" t="s">
        <v>2579</v>
      </c>
      <c r="I3096" s="7">
        <v>1309400</v>
      </c>
      <c r="J3096" s="8">
        <v>3.9399999999999998E-2</v>
      </c>
    </row>
    <row r="3097" spans="1:10" x14ac:dyDescent="0.25">
      <c r="A3097" s="5" t="s">
        <v>2567</v>
      </c>
      <c r="B3097" s="5" t="s">
        <v>4964</v>
      </c>
      <c r="C3097" s="6" t="str">
        <f>_xll.QS.CONTEXT.CREATE("market.3095",A3097,"USD","SOFR")</f>
        <v>QSObject:PricingContext:w1~market.3095:16495</v>
      </c>
      <c r="D3097" s="6" t="str">
        <f>_xll.QS.CONTEXT.ADD.CURVE(C3097,"SOFR",$K$2:$K$7,$L$2:$L$7,,,"Actual360","LogLinear",TRUE)</f>
        <v>QSObject:ContextInput:w1~input.qs_context_add_curve.2359132437744.3096.3.0:37437</v>
      </c>
      <c r="E3097" s="6" t="str">
        <f>_xll.QS.INSTRUMENT.SWAP("swap.3095",H3097,B3097,"USD","SOFR",I3097,J3097,0,"Actual360","Simple","Annual","Annual","Annual")</f>
        <v>QSObject:Swap:w1~swap.3095:16494</v>
      </c>
      <c r="F3097" s="6" t="str">
        <f>_xll.QS.TRADE.CREATE("trade.3095",E3097,A3097,"Receive")</f>
        <v>QSObject:SwapTrade:w1~trade.3095:28744</v>
      </c>
      <c r="G3097" s="3">
        <f>_xll.QS.EVALUATE(C3097,F3097)</f>
        <v>45127.914578642798</v>
      </c>
      <c r="H3097" s="5" t="s">
        <v>2581</v>
      </c>
      <c r="I3097" s="7">
        <v>1309500</v>
      </c>
      <c r="J3097" s="8">
        <v>3.9500000000000007E-2</v>
      </c>
    </row>
    <row r="3098" spans="1:10" x14ac:dyDescent="0.25">
      <c r="A3098" s="5" t="s">
        <v>2569</v>
      </c>
      <c r="B3098" s="5" t="s">
        <v>4965</v>
      </c>
      <c r="C3098" s="6" t="str">
        <f>_xll.QS.CONTEXT.CREATE("market.3096",A3098,"USD","SOFR")</f>
        <v>QSObject:PricingContext:w1~market.3096:16493</v>
      </c>
      <c r="D3098" s="6" t="str">
        <f>_xll.QS.CONTEXT.ADD.CURVE(C3098,"SOFR",$K$2:$K$7,$L$2:$L$7,,,"Actual360","LogLinear",TRUE)</f>
        <v>QSObject:ContextInput:w1~input.qs_context_add_curve.2359132437744.3097.3.0:37436</v>
      </c>
      <c r="E3098" s="6" t="str">
        <f>_xll.QS.INSTRUMENT.SWAP("swap.3096",H3098,B3098,"USD","SOFR",I3098,J3098,0,"Actual360","Simple","Annual","Annual","Annual")</f>
        <v>QSObject:Swap:w1~swap.3096:16492</v>
      </c>
      <c r="F3098" s="6" t="str">
        <f>_xll.QS.TRADE.CREATE("trade.3096",E3098,A3098,"Receive")</f>
        <v>QSObject:SwapTrade:w1~trade.3096:28743</v>
      </c>
      <c r="G3098" s="3">
        <f>_xll.QS.EVALUATE(C3098,F3098)</f>
        <v>45830.821143915062</v>
      </c>
      <c r="H3098" s="5" t="s">
        <v>2583</v>
      </c>
      <c r="I3098" s="7">
        <v>1309600</v>
      </c>
      <c r="J3098" s="8">
        <v>3.9600000000000003E-2</v>
      </c>
    </row>
    <row r="3099" spans="1:10" x14ac:dyDescent="0.25">
      <c r="A3099" s="5" t="s">
        <v>2571</v>
      </c>
      <c r="B3099" s="5" t="s">
        <v>4966</v>
      </c>
      <c r="C3099" s="6" t="str">
        <f>_xll.QS.CONTEXT.CREATE("market.3097",A3099,"USD","SOFR")</f>
        <v>QSObject:PricingContext:w1~market.3097:16491</v>
      </c>
      <c r="D3099" s="6" t="str">
        <f>_xll.QS.CONTEXT.ADD.CURVE(C3099,"SOFR",$K$2:$K$7,$L$2:$L$7,,,"Actual360","LogLinear",TRUE)</f>
        <v>QSObject:ContextInput:w1~input.qs_context_add_curve.2359132437744.3098.3.0:37435</v>
      </c>
      <c r="E3099" s="6" t="str">
        <f>_xll.QS.INSTRUMENT.SWAP("swap.3097",H3099,B3099,"USD","SOFR",I3099,J3099,0,"Actual360","Simple","Annual","Annual","Annual")</f>
        <v>QSObject:Swap:w1~swap.3097:16490</v>
      </c>
      <c r="F3099" s="6" t="str">
        <f>_xll.QS.TRADE.CREATE("trade.3097",E3099,A3099,"Receive")</f>
        <v>QSObject:SwapTrade:w1~trade.3097:28742</v>
      </c>
      <c r="G3099" s="3">
        <f>_xll.QS.EVALUATE(C3099,F3099)</f>
        <v>46495.236121803515</v>
      </c>
      <c r="H3099" s="5" t="s">
        <v>2585</v>
      </c>
      <c r="I3099" s="7">
        <v>1309700</v>
      </c>
      <c r="J3099" s="8">
        <v>3.9700000000000013E-2</v>
      </c>
    </row>
    <row r="3100" spans="1:10" x14ac:dyDescent="0.25">
      <c r="A3100" s="5" t="s">
        <v>2573</v>
      </c>
      <c r="B3100" s="5" t="s">
        <v>4967</v>
      </c>
      <c r="C3100" s="6" t="str">
        <f>_xll.QS.CONTEXT.CREATE("market.3098",A3100,"USD","SOFR")</f>
        <v>QSObject:PricingContext:w1~market.3098:16489</v>
      </c>
      <c r="D3100" s="6" t="str">
        <f>_xll.QS.CONTEXT.ADD.CURVE(C3100,"SOFR",$K$2:$K$7,$L$2:$L$7,,,"Actual360","LogLinear",TRUE)</f>
        <v>QSObject:ContextInput:w1~input.qs_context_add_curve.2359132437744.3099.3.0:37434</v>
      </c>
      <c r="E3100" s="6" t="str">
        <f>_xll.QS.INSTRUMENT.SWAP("swap.3098",H3100,B3100,"USD","SOFR",I3100,J3100,0,"Actual360","Simple","Annual","Annual","Annual")</f>
        <v>QSObject:Swap:w1~swap.3098:16488</v>
      </c>
      <c r="F3100" s="6" t="str">
        <f>_xll.QS.TRADE.CREATE("trade.3098",E3100,A3100,"Receive")</f>
        <v>QSObject:SwapTrade:w1~trade.3098:28741</v>
      </c>
      <c r="G3100" s="3">
        <f>_xll.QS.EVALUATE(C3100,F3100)</f>
        <v>46964.613691165832</v>
      </c>
      <c r="H3100" s="5" t="s">
        <v>2587</v>
      </c>
      <c r="I3100" s="7">
        <v>1309800</v>
      </c>
      <c r="J3100" s="8">
        <v>3.9800000000000002E-2</v>
      </c>
    </row>
    <row r="3101" spans="1:10" x14ac:dyDescent="0.25">
      <c r="A3101" s="5" t="s">
        <v>2575</v>
      </c>
      <c r="B3101" s="5" t="s">
        <v>4968</v>
      </c>
      <c r="C3101" s="6" t="str">
        <f>_xll.QS.CONTEXT.CREATE("market.3099",A3101,"USD","SOFR")</f>
        <v>QSObject:PricingContext:w1~market.3099:16487</v>
      </c>
      <c r="D3101" s="6" t="str">
        <f>_xll.QS.CONTEXT.ADD.CURVE(C3101,"SOFR",$K$2:$K$7,$L$2:$L$7,,,"Actual360","LogLinear",TRUE)</f>
        <v>QSObject:ContextInput:w1~input.qs_context_add_curve.2359132437744.3100.3.0:37433</v>
      </c>
      <c r="E3101" s="6" t="str">
        <f>_xll.QS.INSTRUMENT.SWAP("swap.3099",H3101,B3101,"USD","SOFR",I3101,J3101,0,"Actual360","Simple","Annual","Annual","Annual")</f>
        <v>QSObject:Swap:w1~swap.3099:16486</v>
      </c>
      <c r="F3101" s="6" t="str">
        <f>_xll.QS.TRADE.CREATE("trade.3099",E3101,A3101,"Receive")</f>
        <v>QSObject:SwapTrade:w1~trade.3099:28740</v>
      </c>
      <c r="G3101" s="3">
        <f>_xll.QS.EVALUATE(C3101,F3101)</f>
        <v>47469.57753004659</v>
      </c>
      <c r="H3101" s="5" t="s">
        <v>2589</v>
      </c>
      <c r="I3101" s="7">
        <v>1309900</v>
      </c>
      <c r="J3101" s="8">
        <v>3.9899999999999998E-2</v>
      </c>
    </row>
    <row r="3102" spans="1:10" x14ac:dyDescent="0.25">
      <c r="A3102" s="5" t="s">
        <v>2577</v>
      </c>
      <c r="B3102" s="5" t="s">
        <v>4969</v>
      </c>
      <c r="C3102" s="6" t="str">
        <f>_xll.QS.CONTEXT.CREATE("market.3100",A3102,"USD","SOFR")</f>
        <v>QSObject:PricingContext:w1~market.3100:16485</v>
      </c>
      <c r="D3102" s="6" t="str">
        <f>_xll.QS.CONTEXT.ADD.CURVE(C3102,"SOFR",$K$2:$K$7,$L$2:$L$7,,,"Actual360","LogLinear",TRUE)</f>
        <v>QSObject:ContextInput:w1~input.qs_context_add_curve.2359132437744.3101.3.0:37432</v>
      </c>
      <c r="E3102" s="6" t="str">
        <f>_xll.QS.INSTRUMENT.SWAP("swap.3100",H3102,B3102,"USD","SOFR",I3102,J3102,0,"Actual360","Simple","Annual","Annual","Annual")</f>
        <v>QSObject:Swap:w1~swap.3100:16484</v>
      </c>
      <c r="F3102" s="6" t="str">
        <f>_xll.QS.TRADE.CREATE("trade.3100",E3102,A3102,"Receive")</f>
        <v>QSObject:SwapTrade:w1~trade.3100:28739</v>
      </c>
      <c r="G3102" s="3">
        <f>_xll.QS.EVALUATE(C3102,F3102)</f>
        <v>17865.712342661347</v>
      </c>
      <c r="H3102" s="5" t="s">
        <v>2591</v>
      </c>
      <c r="I3102" s="7">
        <v>1310000</v>
      </c>
      <c r="J3102" s="8">
        <v>3.5000000000000003E-2</v>
      </c>
    </row>
    <row r="3103" spans="1:10" x14ac:dyDescent="0.25">
      <c r="A3103" s="5" t="s">
        <v>2579</v>
      </c>
      <c r="B3103" s="5" t="s">
        <v>4970</v>
      </c>
      <c r="C3103" s="6" t="str">
        <f>_xll.QS.CONTEXT.CREATE("market.3101",A3103,"USD","SOFR")</f>
        <v>QSObject:PricingContext:w1~market.3101:16483</v>
      </c>
      <c r="D3103" s="6" t="str">
        <f>_xll.QS.CONTEXT.ADD.CURVE(C3103,"SOFR",$K$2:$K$7,$L$2:$L$7,,,"Actual360","LogLinear",TRUE)</f>
        <v>QSObject:ContextInput:w1~input.qs_context_add_curve.2359132437744.3102.3.0:37431</v>
      </c>
      <c r="E3103" s="6" t="str">
        <f>_xll.QS.INSTRUMENT.SWAP("swap.3101",H3103,B3103,"USD","SOFR",I3103,J3103,0,"Actual360","Simple","Annual","Annual","Annual")</f>
        <v>QSObject:Swap:w1~swap.3101:16482</v>
      </c>
      <c r="F3103" s="6" t="str">
        <f>_xll.QS.TRADE.CREATE("trade.3101",E3103,A3103,"Receive")</f>
        <v>QSObject:SwapTrade:w1~trade.3101:28738</v>
      </c>
      <c r="G3103" s="3">
        <f>_xll.QS.EVALUATE(C3103,F3103)</f>
        <v>18526.507392517044</v>
      </c>
      <c r="H3103" s="5" t="s">
        <v>2593</v>
      </c>
      <c r="I3103" s="7">
        <v>1310100</v>
      </c>
      <c r="J3103" s="8">
        <v>3.5100000000000013E-2</v>
      </c>
    </row>
    <row r="3104" spans="1:10" x14ac:dyDescent="0.25">
      <c r="A3104" s="5" t="s">
        <v>2581</v>
      </c>
      <c r="B3104" s="5" t="s">
        <v>4971</v>
      </c>
      <c r="C3104" s="6" t="str">
        <f>_xll.QS.CONTEXT.CREATE("market.3102",A3104,"USD","SOFR")</f>
        <v>QSObject:PricingContext:w1~market.3102:16481</v>
      </c>
      <c r="D3104" s="6" t="str">
        <f>_xll.QS.CONTEXT.ADD.CURVE(C3104,"SOFR",$K$2:$K$7,$L$2:$L$7,,,"Actual360","LogLinear",TRUE)</f>
        <v>QSObject:ContextInput:w1~input.qs_context_add_curve.2359132437744.3103.3.0:37430</v>
      </c>
      <c r="E3104" s="6" t="str">
        <f>_xll.QS.INSTRUMENT.SWAP("swap.3102",H3104,B3104,"USD","SOFR",I3104,J3104,0,"Actual360","Simple","Annual","Annual","Annual")</f>
        <v>QSObject:Swap:w1~swap.3102:16480</v>
      </c>
      <c r="F3104" s="6" t="str">
        <f>_xll.QS.TRADE.CREATE("trade.3102",E3104,A3104,"Receive")</f>
        <v>QSObject:SwapTrade:w1~trade.3102:28737</v>
      </c>
      <c r="G3104" s="3">
        <f>_xll.QS.EVALUATE(C3104,F3104)</f>
        <v>19316.754983381048</v>
      </c>
      <c r="H3104" s="5" t="s">
        <v>2595</v>
      </c>
      <c r="I3104" s="7">
        <v>1310200</v>
      </c>
      <c r="J3104" s="8">
        <v>3.5200000000000002E-2</v>
      </c>
    </row>
    <row r="3105" spans="1:10" x14ac:dyDescent="0.25">
      <c r="A3105" s="5" t="s">
        <v>2583</v>
      </c>
      <c r="B3105" s="5" t="s">
        <v>4972</v>
      </c>
      <c r="C3105" s="6" t="str">
        <f>_xll.QS.CONTEXT.CREATE("market.3103",A3105,"USD","SOFR")</f>
        <v>QSObject:PricingContext:w1~market.3103:16479</v>
      </c>
      <c r="D3105" s="6" t="str">
        <f>_xll.QS.CONTEXT.ADD.CURVE(C3105,"SOFR",$K$2:$K$7,$L$2:$L$7,,,"Actual360","LogLinear",TRUE)</f>
        <v>QSObject:ContextInput:w1~input.qs_context_add_curve.2359132437744.3104.3.0:37429</v>
      </c>
      <c r="E3105" s="6" t="str">
        <f>_xll.QS.INSTRUMENT.SWAP("swap.3103",H3105,B3105,"USD","SOFR",I3105,J3105,0,"Actual360","Simple","Annual","Annual","Annual")</f>
        <v>QSObject:Swap:w1~swap.3103:16478</v>
      </c>
      <c r="F3105" s="6" t="str">
        <f>_xll.QS.TRADE.CREATE("trade.3103",E3105,A3105,"Receive")</f>
        <v>QSObject:SwapTrade:w1~trade.3103:28736</v>
      </c>
      <c r="G3105" s="3">
        <f>_xll.QS.EVALUATE(C3105,F3105)</f>
        <v>19933.842374147222</v>
      </c>
      <c r="H3105" s="5" t="s">
        <v>2597</v>
      </c>
      <c r="I3105" s="7">
        <v>1310300</v>
      </c>
      <c r="J3105" s="8">
        <v>3.5299999999999998E-2</v>
      </c>
    </row>
    <row r="3106" spans="1:10" x14ac:dyDescent="0.25">
      <c r="A3106" s="5" t="s">
        <v>2585</v>
      </c>
      <c r="B3106" s="5" t="s">
        <v>4973</v>
      </c>
      <c r="C3106" s="6" t="str">
        <f>_xll.QS.CONTEXT.CREATE("market.3104",A3106,"USD","SOFR")</f>
        <v>QSObject:PricingContext:w1~market.3104:16477</v>
      </c>
      <c r="D3106" s="6" t="str">
        <f>_xll.QS.CONTEXT.ADD.CURVE(C3106,"SOFR",$K$2:$K$7,$L$2:$L$7,,,"Actual360","LogLinear",TRUE)</f>
        <v>QSObject:ContextInput:w1~input.qs_context_add_curve.2359132437744.3105.3.0:37428</v>
      </c>
      <c r="E3106" s="6" t="str">
        <f>_xll.QS.INSTRUMENT.SWAP("swap.3104",H3106,B3106,"USD","SOFR",I3106,J3106,0,"Actual360","Simple","Annual","Annual","Annual")</f>
        <v>QSObject:Swap:w1~swap.3104:16476</v>
      </c>
      <c r="F3106" s="6" t="str">
        <f>_xll.QS.TRADE.CREATE("trade.3104",E3106,A3106,"Receive")</f>
        <v>QSObject:SwapTrade:w1~trade.3104:28735</v>
      </c>
      <c r="G3106" s="3">
        <f>_xll.QS.EVALUATE(C3106,F3106)</f>
        <v>20538.393354891617</v>
      </c>
      <c r="H3106" s="5" t="s">
        <v>2599</v>
      </c>
      <c r="I3106" s="7">
        <v>1310400</v>
      </c>
      <c r="J3106" s="8">
        <v>3.5400000000000001E-2</v>
      </c>
    </row>
    <row r="3107" spans="1:10" x14ac:dyDescent="0.25">
      <c r="A3107" s="5" t="s">
        <v>2587</v>
      </c>
      <c r="B3107" s="5" t="s">
        <v>4974</v>
      </c>
      <c r="C3107" s="6" t="str">
        <f>_xll.QS.CONTEXT.CREATE("market.3105",A3107,"USD","SOFR")</f>
        <v>QSObject:PricingContext:w1~market.3105:16475</v>
      </c>
      <c r="D3107" s="6" t="str">
        <f>_xll.QS.CONTEXT.ADD.CURVE(C3107,"SOFR",$K$2:$K$7,$L$2:$L$7,,,"Actual360","LogLinear",TRUE)</f>
        <v>QSObject:ContextInput:w1~input.qs_context_add_curve.2359132437744.3106.3.0:37427</v>
      </c>
      <c r="E3107" s="6" t="str">
        <f>_xll.QS.INSTRUMENT.SWAP("swap.3105",H3107,B3107,"USD","SOFR",I3107,J3107,0,"Actual360","Simple","Annual","Annual","Annual")</f>
        <v>QSObject:Swap:w1~swap.3105:16474</v>
      </c>
      <c r="F3107" s="6" t="str">
        <f>_xll.QS.TRADE.CREATE("trade.3105",E3107,A3107,"Receive")</f>
        <v>QSObject:SwapTrade:w1~trade.3105:28734</v>
      </c>
      <c r="G3107" s="3">
        <f>_xll.QS.EVALUATE(C3107,F3107)</f>
        <v>21092.330965986861</v>
      </c>
      <c r="H3107" s="5" t="s">
        <v>2601</v>
      </c>
      <c r="I3107" s="7">
        <v>1310500</v>
      </c>
      <c r="J3107" s="8">
        <v>3.5499999999999997E-2</v>
      </c>
    </row>
    <row r="3108" spans="1:10" x14ac:dyDescent="0.25">
      <c r="A3108" s="5" t="s">
        <v>2589</v>
      </c>
      <c r="B3108" s="5" t="s">
        <v>4975</v>
      </c>
      <c r="C3108" s="6" t="str">
        <f>_xll.QS.CONTEXT.CREATE("market.3106",A3108,"USD","SOFR")</f>
        <v>QSObject:PricingContext:w1~market.3106:16473</v>
      </c>
      <c r="D3108" s="6" t="str">
        <f>_xll.QS.CONTEXT.ADD.CURVE(C3108,"SOFR",$K$2:$K$7,$L$2:$L$7,,,"Actual360","LogLinear",TRUE)</f>
        <v>QSObject:ContextInput:w1~input.qs_context_add_curve.2359132437744.3107.3.0:37426</v>
      </c>
      <c r="E3108" s="6" t="str">
        <f>_xll.QS.INSTRUMENT.SWAP("swap.3106",H3108,B3108,"USD","SOFR",I3108,J3108,0,"Actual360","Simple","Annual","Annual","Annual")</f>
        <v>QSObject:Swap:w1~swap.3106:16472</v>
      </c>
      <c r="F3108" s="6" t="str">
        <f>_xll.QS.TRADE.CREATE("trade.3106",E3108,A3108,"Receive")</f>
        <v>QSObject:SwapTrade:w1~trade.3106:28733</v>
      </c>
      <c r="G3108" s="3">
        <f>_xll.QS.EVALUATE(C3108,F3108)</f>
        <v>21617.336791273054</v>
      </c>
      <c r="H3108" s="5" t="s">
        <v>2603</v>
      </c>
      <c r="I3108" s="7">
        <v>1310600</v>
      </c>
      <c r="J3108" s="8">
        <v>3.5600000000000007E-2</v>
      </c>
    </row>
    <row r="3109" spans="1:10" x14ac:dyDescent="0.25">
      <c r="A3109" s="5" t="s">
        <v>2591</v>
      </c>
      <c r="B3109" s="5" t="s">
        <v>4976</v>
      </c>
      <c r="C3109" s="6" t="str">
        <f>_xll.QS.CONTEXT.CREATE("market.3107",A3109,"USD","SOFR")</f>
        <v>QSObject:PricingContext:w1~market.3107:16471</v>
      </c>
      <c r="D3109" s="6" t="str">
        <f>_xll.QS.CONTEXT.ADD.CURVE(C3109,"SOFR",$K$2:$K$7,$L$2:$L$7,,,"Actual360","LogLinear",TRUE)</f>
        <v>QSObject:ContextInput:w1~input.qs_context_add_curve.2359132437744.3108.3.0:37425</v>
      </c>
      <c r="E3109" s="6" t="str">
        <f>_xll.QS.INSTRUMENT.SWAP("swap.3107",H3109,B3109,"USD","SOFR",I3109,J3109,0,"Actual360","Simple","Annual","Annual","Annual")</f>
        <v>QSObject:Swap:w1~swap.3107:16470</v>
      </c>
      <c r="F3109" s="6" t="str">
        <f>_xll.QS.TRADE.CREATE("trade.3107",E3109,A3109,"Receive")</f>
        <v>QSObject:SwapTrade:w1~trade.3107:28732</v>
      </c>
      <c r="G3109" s="3">
        <f>_xll.QS.EVALUATE(C3109,F3109)</f>
        <v>22108.362121864244</v>
      </c>
      <c r="H3109" s="5" t="s">
        <v>2605</v>
      </c>
      <c r="I3109" s="7">
        <v>1310700</v>
      </c>
      <c r="J3109" s="8">
        <v>3.5700000000000003E-2</v>
      </c>
    </row>
    <row r="3110" spans="1:10" x14ac:dyDescent="0.25">
      <c r="A3110" s="5" t="s">
        <v>2593</v>
      </c>
      <c r="B3110" s="5" t="s">
        <v>4977</v>
      </c>
      <c r="C3110" s="6" t="str">
        <f>_xll.QS.CONTEXT.CREATE("market.3108",A3110,"USD","SOFR")</f>
        <v>QSObject:PricingContext:w1~market.3108:16469</v>
      </c>
      <c r="D3110" s="6" t="str">
        <f>_xll.QS.CONTEXT.ADD.CURVE(C3110,"SOFR",$K$2:$K$7,$L$2:$L$7,,,"Actual360","LogLinear",TRUE)</f>
        <v>QSObject:ContextInput:w1~input.qs_context_add_curve.2359132437744.3109.3.0:37424</v>
      </c>
      <c r="E3110" s="6" t="str">
        <f>_xll.QS.INSTRUMENT.SWAP("swap.3108",H3110,B3110,"USD","SOFR",I3110,J3110,0,"Actual360","Simple","Annual","Annual","Annual")</f>
        <v>QSObject:Swap:w1~swap.3108:16468</v>
      </c>
      <c r="F3110" s="6" t="str">
        <f>_xll.QS.TRADE.CREATE("trade.3108",E3110,A3110,"Receive")</f>
        <v>QSObject:SwapTrade:w1~trade.3108:28731</v>
      </c>
      <c r="G3110" s="3">
        <f>_xll.QS.EVALUATE(C3110,F3110)</f>
        <v>22769.530130199113</v>
      </c>
      <c r="H3110" s="5" t="s">
        <v>2607</v>
      </c>
      <c r="I3110" s="7">
        <v>1310800</v>
      </c>
      <c r="J3110" s="8">
        <v>3.5800000000000012E-2</v>
      </c>
    </row>
    <row r="3111" spans="1:10" x14ac:dyDescent="0.25">
      <c r="A3111" s="5" t="s">
        <v>2595</v>
      </c>
      <c r="B3111" s="5" t="s">
        <v>4978</v>
      </c>
      <c r="C3111" s="6" t="str">
        <f>_xll.QS.CONTEXT.CREATE("market.3109",A3111,"USD","SOFR")</f>
        <v>QSObject:PricingContext:w1~market.3109:16467</v>
      </c>
      <c r="D3111" s="6" t="str">
        <f>_xll.QS.CONTEXT.ADD.CURVE(C3111,"SOFR",$K$2:$K$7,$L$2:$L$7,,,"Actual360","LogLinear",TRUE)</f>
        <v>QSObject:ContextInput:w1~input.qs_context_add_curve.2359132437744.3110.3.0:37423</v>
      </c>
      <c r="E3111" s="6" t="str">
        <f>_xll.QS.INSTRUMENT.SWAP("swap.3109",H3111,B3111,"USD","SOFR",I3111,J3111,0,"Actual360","Simple","Annual","Annual","Annual")</f>
        <v>QSObject:Swap:w1~swap.3109:16466</v>
      </c>
      <c r="F3111" s="6" t="str">
        <f>_xll.QS.TRADE.CREATE("trade.3109",E3111,A3111,"Receive")</f>
        <v>QSObject:SwapTrade:w1~trade.3109:28730</v>
      </c>
      <c r="G3111" s="3">
        <f>_xll.QS.EVALUATE(C3111,F3111)</f>
        <v>23413.914248825771</v>
      </c>
      <c r="H3111" s="5" t="s">
        <v>2609</v>
      </c>
      <c r="I3111" s="7">
        <v>1310900</v>
      </c>
      <c r="J3111" s="8">
        <v>3.5900000000000001E-2</v>
      </c>
    </row>
    <row r="3112" spans="1:10" x14ac:dyDescent="0.25">
      <c r="A3112" s="5" t="s">
        <v>2597</v>
      </c>
      <c r="B3112" s="5" t="s">
        <v>4979</v>
      </c>
      <c r="C3112" s="6" t="str">
        <f>_xll.QS.CONTEXT.CREATE("market.3110",A3112,"USD","SOFR")</f>
        <v>QSObject:PricingContext:w1~market.3110:16465</v>
      </c>
      <c r="D3112" s="6" t="str">
        <f>_xll.QS.CONTEXT.ADD.CURVE(C3112,"SOFR",$K$2:$K$7,$L$2:$L$7,,,"Actual360","LogLinear",TRUE)</f>
        <v>QSObject:ContextInput:w1~input.qs_context_add_curve.2359132437744.3111.3.0:37422</v>
      </c>
      <c r="E3112" s="6" t="str">
        <f>_xll.QS.INSTRUMENT.SWAP("swap.3110",H3112,B3112,"USD","SOFR",I3112,J3112,0,"Actual360","Simple","Annual","Annual","Annual")</f>
        <v>QSObject:Swap:w1~swap.3110:16464</v>
      </c>
      <c r="F3112" s="6" t="str">
        <f>_xll.QS.TRADE.CREATE("trade.3110",E3112,A3112,"Receive")</f>
        <v>QSObject:SwapTrade:w1~trade.3110:28729</v>
      </c>
      <c r="G3112" s="3">
        <f>_xll.QS.EVALUATE(C3112,F3112)</f>
        <v>24115.926006102687</v>
      </c>
      <c r="H3112" s="5" t="s">
        <v>2611</v>
      </c>
      <c r="I3112" s="7">
        <v>1311000</v>
      </c>
      <c r="J3112" s="8">
        <v>3.5999999999999997E-2</v>
      </c>
    </row>
    <row r="3113" spans="1:10" x14ac:dyDescent="0.25">
      <c r="A3113" s="5" t="s">
        <v>2599</v>
      </c>
      <c r="B3113" s="5" t="s">
        <v>4980</v>
      </c>
      <c r="C3113" s="6" t="str">
        <f>_xll.QS.CONTEXT.CREATE("market.3111",A3113,"USD","SOFR")</f>
        <v>QSObject:PricingContext:w1~market.3111:16463</v>
      </c>
      <c r="D3113" s="6" t="str">
        <f>_xll.QS.CONTEXT.ADD.CURVE(C3113,"SOFR",$K$2:$K$7,$L$2:$L$7,,,"Actual360","LogLinear",TRUE)</f>
        <v>QSObject:ContextInput:w1~input.qs_context_add_curve.2359132437744.3112.3.0:37421</v>
      </c>
      <c r="E3113" s="6" t="str">
        <f>_xll.QS.INSTRUMENT.SWAP("swap.3111",H3113,B3113,"USD","SOFR",I3113,J3113,0,"Actual360","Simple","Annual","Annual","Annual")</f>
        <v>QSObject:Swap:w1~swap.3111:16462</v>
      </c>
      <c r="F3113" s="6" t="str">
        <f>_xll.QS.TRADE.CREATE("trade.3111",E3113,A3113,"Receive")</f>
        <v>QSObject:SwapTrade:w1~trade.3111:28728</v>
      </c>
      <c r="G3113" s="3">
        <f>_xll.QS.EVALUATE(C3113,F3113)</f>
        <v>24779.31159648543</v>
      </c>
      <c r="H3113" s="5" t="s">
        <v>2613</v>
      </c>
      <c r="I3113" s="7">
        <v>1311100</v>
      </c>
      <c r="J3113" s="8">
        <v>3.61E-2</v>
      </c>
    </row>
    <row r="3114" spans="1:10" x14ac:dyDescent="0.25">
      <c r="A3114" s="5" t="s">
        <v>2601</v>
      </c>
      <c r="B3114" s="5" t="s">
        <v>4981</v>
      </c>
      <c r="C3114" s="6" t="str">
        <f>_xll.QS.CONTEXT.CREATE("market.3112",A3114,"USD","SOFR")</f>
        <v>QSObject:PricingContext:w1~market.3112:16461</v>
      </c>
      <c r="D3114" s="6" t="str">
        <f>_xll.QS.CONTEXT.ADD.CURVE(C3114,"SOFR",$K$2:$K$7,$L$2:$L$7,,,"Actual360","LogLinear",TRUE)</f>
        <v>QSObject:ContextInput:w1~input.qs_context_add_curve.2359132437744.3113.3.0:37420</v>
      </c>
      <c r="E3114" s="6" t="str">
        <f>_xll.QS.INSTRUMENT.SWAP("swap.3112",H3114,B3114,"USD","SOFR",I3114,J3114,0,"Actual360","Simple","Annual","Annual","Annual")</f>
        <v>QSObject:Swap:w1~swap.3112:16460</v>
      </c>
      <c r="F3114" s="6" t="str">
        <f>_xll.QS.TRADE.CREATE("trade.3112",E3114,A3114,"Receive")</f>
        <v>QSObject:SwapTrade:w1~trade.3112:28727</v>
      </c>
      <c r="G3114" s="3">
        <f>_xll.QS.EVALUATE(C3114,F3114)</f>
        <v>25336.121516639621</v>
      </c>
      <c r="H3114" s="5" t="s">
        <v>2615</v>
      </c>
      <c r="I3114" s="7">
        <v>1311200</v>
      </c>
      <c r="J3114" s="8">
        <v>3.6200000000000003E-2</v>
      </c>
    </row>
    <row r="3115" spans="1:10" x14ac:dyDescent="0.25">
      <c r="A3115" s="5" t="s">
        <v>2603</v>
      </c>
      <c r="B3115" s="5" t="s">
        <v>4982</v>
      </c>
      <c r="C3115" s="6" t="str">
        <f>_xll.QS.CONTEXT.CREATE("market.3113",A3115,"USD","SOFR")</f>
        <v>QSObject:PricingContext:w1~market.3113:16459</v>
      </c>
      <c r="D3115" s="6" t="str">
        <f>_xll.QS.CONTEXT.ADD.CURVE(C3115,"SOFR",$K$2:$K$7,$L$2:$L$7,,,"Actual360","LogLinear",TRUE)</f>
        <v>QSObject:ContextInput:w1~input.qs_context_add_curve.2359132437744.3114.3.0:37419</v>
      </c>
      <c r="E3115" s="6" t="str">
        <f>_xll.QS.INSTRUMENT.SWAP("swap.3113",H3115,B3115,"USD","SOFR",I3115,J3115,0,"Actual360","Simple","Annual","Annual","Annual")</f>
        <v>QSObject:Swap:w1~swap.3113:16458</v>
      </c>
      <c r="F3115" s="6" t="str">
        <f>_xll.QS.TRADE.CREATE("trade.3113",E3115,A3115,"Receive")</f>
        <v>QSObject:SwapTrade:w1~trade.3113:28726</v>
      </c>
      <c r="G3115" s="3">
        <f>_xll.QS.EVALUATE(C3115,F3115)</f>
        <v>25856.741417283578</v>
      </c>
      <c r="H3115" s="5" t="s">
        <v>2617</v>
      </c>
      <c r="I3115" s="7">
        <v>1311300</v>
      </c>
      <c r="J3115" s="8">
        <v>3.6300000000000013E-2</v>
      </c>
    </row>
    <row r="3116" spans="1:10" x14ac:dyDescent="0.25">
      <c r="A3116" s="5" t="s">
        <v>2605</v>
      </c>
      <c r="B3116" s="5" t="s">
        <v>4983</v>
      </c>
      <c r="C3116" s="6" t="str">
        <f>_xll.QS.CONTEXT.CREATE("market.3114",A3116,"USD","SOFR")</f>
        <v>QSObject:PricingContext:w1~market.3114:16457</v>
      </c>
      <c r="D3116" s="6" t="str">
        <f>_xll.QS.CONTEXT.ADD.CURVE(C3116,"SOFR",$K$2:$K$7,$L$2:$L$7,,,"Actual360","LogLinear",TRUE)</f>
        <v>QSObject:ContextInput:w1~input.qs_context_add_curve.2359132437744.3115.3.0:37418</v>
      </c>
      <c r="E3116" s="6" t="str">
        <f>_xll.QS.INSTRUMENT.SWAP("swap.3114",H3116,B3116,"USD","SOFR",I3116,J3116,0,"Actual360","Simple","Annual","Annual","Annual")</f>
        <v>QSObject:Swap:w1~swap.3114:16456</v>
      </c>
      <c r="F3116" s="6" t="str">
        <f>_xll.QS.TRADE.CREATE("trade.3114",E3116,A3116,"Receive")</f>
        <v>QSObject:SwapTrade:w1~trade.3114:28725</v>
      </c>
      <c r="G3116" s="3">
        <f>_xll.QS.EVALUATE(C3116,F3116)</f>
        <v>26354.913108025772</v>
      </c>
      <c r="H3116" s="5" t="s">
        <v>2619</v>
      </c>
      <c r="I3116" s="7">
        <v>1311400</v>
      </c>
      <c r="J3116" s="8">
        <v>3.6400000000000002E-2</v>
      </c>
    </row>
    <row r="3117" spans="1:10" x14ac:dyDescent="0.25">
      <c r="A3117" s="5" t="s">
        <v>2607</v>
      </c>
      <c r="B3117" s="5" t="s">
        <v>4984</v>
      </c>
      <c r="C3117" s="6" t="str">
        <f>_xll.QS.CONTEXT.CREATE("market.3115",A3117,"USD","SOFR")</f>
        <v>QSObject:PricingContext:w1~market.3115:16455</v>
      </c>
      <c r="D3117" s="6" t="str">
        <f>_xll.QS.CONTEXT.ADD.CURVE(C3117,"SOFR",$K$2:$K$7,$L$2:$L$7,,,"Actual360","LogLinear",TRUE)</f>
        <v>QSObject:ContextInput:w1~input.qs_context_add_curve.2359132437744.3116.3.0:37417</v>
      </c>
      <c r="E3117" s="6" t="str">
        <f>_xll.QS.INSTRUMENT.SWAP("swap.3115",H3117,B3117,"USD","SOFR",I3117,J3117,0,"Actual360","Simple","Annual","Annual","Annual")</f>
        <v>QSObject:Swap:w1~swap.3115:16454</v>
      </c>
      <c r="F3117" s="6" t="str">
        <f>_xll.QS.TRADE.CREATE("trade.3115",E3117,A3117,"Receive")</f>
        <v>QSObject:SwapTrade:w1~trade.3115:28724</v>
      </c>
      <c r="G3117" s="3">
        <f>_xll.QS.EVALUATE(C3117,F3117)</f>
        <v>27017.181195606921</v>
      </c>
      <c r="H3117" s="5" t="s">
        <v>2621</v>
      </c>
      <c r="I3117" s="7">
        <v>1311500</v>
      </c>
      <c r="J3117" s="8">
        <v>3.6499999999999998E-2</v>
      </c>
    </row>
    <row r="3118" spans="1:10" x14ac:dyDescent="0.25">
      <c r="A3118" s="5" t="s">
        <v>2609</v>
      </c>
      <c r="B3118" s="5" t="s">
        <v>4985</v>
      </c>
      <c r="C3118" s="6" t="str">
        <f>_xll.QS.CONTEXT.CREATE("market.3116",A3118,"USD","SOFR")</f>
        <v>QSObject:PricingContext:w1~market.3116:16453</v>
      </c>
      <c r="D3118" s="6" t="str">
        <f>_xll.QS.CONTEXT.ADD.CURVE(C3118,"SOFR",$K$2:$K$7,$L$2:$L$7,,,"Actual360","LogLinear",TRUE)</f>
        <v>QSObject:ContextInput:w1~input.qs_context_add_curve.2359132437744.3117.3.0:37416</v>
      </c>
      <c r="E3118" s="6" t="str">
        <f>_xll.QS.INSTRUMENT.SWAP("swap.3116",H3118,B3118,"USD","SOFR",I3118,J3118,0,"Actual360","Simple","Annual","Annual","Annual")</f>
        <v>QSObject:Swap:w1~swap.3116:16452</v>
      </c>
      <c r="F3118" s="6" t="str">
        <f>_xll.QS.TRADE.CREATE("trade.3116",E3118,A3118,"Receive")</f>
        <v>QSObject:SwapTrade:w1~trade.3116:28723</v>
      </c>
      <c r="G3118" s="3">
        <f>_xll.QS.EVALUATE(C3118,F3118)</f>
        <v>27660.157586543675</v>
      </c>
      <c r="H3118" s="5" t="s">
        <v>2623</v>
      </c>
      <c r="I3118" s="7">
        <v>1311600</v>
      </c>
      <c r="J3118" s="8">
        <v>3.6600000000000001E-2</v>
      </c>
    </row>
    <row r="3119" spans="1:10" x14ac:dyDescent="0.25">
      <c r="A3119" s="5" t="s">
        <v>2611</v>
      </c>
      <c r="B3119" s="5" t="s">
        <v>4986</v>
      </c>
      <c r="C3119" s="6" t="str">
        <f>_xll.QS.CONTEXT.CREATE("market.3117",A3119,"USD","SOFR")</f>
        <v>QSObject:PricingContext:w1~market.3117:16451</v>
      </c>
      <c r="D3119" s="6" t="str">
        <f>_xll.QS.CONTEXT.ADD.CURVE(C3119,"SOFR",$K$2:$K$7,$L$2:$L$7,,,"Actual360","LogLinear",TRUE)</f>
        <v>QSObject:ContextInput:w1~input.qs_context_add_curve.2359132437744.3118.3.0:37415</v>
      </c>
      <c r="E3119" s="6" t="str">
        <f>_xll.QS.INSTRUMENT.SWAP("swap.3117",H3119,B3119,"USD","SOFR",I3119,J3119,0,"Actual360","Simple","Annual","Annual","Annual")</f>
        <v>QSObject:Swap:w1~swap.3117:16450</v>
      </c>
      <c r="F3119" s="6" t="str">
        <f>_xll.QS.TRADE.CREATE("trade.3117",E3119,A3119,"Receive")</f>
        <v>QSObject:SwapTrade:w1~trade.3117:28722</v>
      </c>
      <c r="G3119" s="3">
        <f>_xll.QS.EVALUATE(C3119,F3119)</f>
        <v>28362.929550196633</v>
      </c>
      <c r="H3119" s="5" t="s">
        <v>2625</v>
      </c>
      <c r="I3119" s="7">
        <v>1311700</v>
      </c>
      <c r="J3119" s="8">
        <v>3.6700000000000003E-2</v>
      </c>
    </row>
    <row r="3120" spans="1:10" x14ac:dyDescent="0.25">
      <c r="A3120" s="5" t="s">
        <v>2613</v>
      </c>
      <c r="B3120" s="5" t="s">
        <v>4987</v>
      </c>
      <c r="C3120" s="6" t="str">
        <f>_xll.QS.CONTEXT.CREATE("market.3118",A3120,"USD","SOFR")</f>
        <v>QSObject:PricingContext:w1~market.3118:16449</v>
      </c>
      <c r="D3120" s="6" t="str">
        <f>_xll.QS.CONTEXT.ADD.CURVE(C3120,"SOFR",$K$2:$K$7,$L$2:$L$7,,,"Actual360","LogLinear",TRUE)</f>
        <v>QSObject:ContextInput:w1~input.qs_context_add_curve.2359132437744.3119.3.0:37414</v>
      </c>
      <c r="E3120" s="6" t="str">
        <f>_xll.QS.INSTRUMENT.SWAP("swap.3118",H3120,B3120,"USD","SOFR",I3120,J3120,0,"Actual360","Simple","Annual","Annual","Annual")</f>
        <v>QSObject:Swap:w1~swap.3118:16448</v>
      </c>
      <c r="F3120" s="6" t="str">
        <f>_xll.QS.TRADE.CREATE("trade.3118",E3120,A3120,"Receive")</f>
        <v>QSObject:SwapTrade:w1~trade.3118:28721</v>
      </c>
      <c r="G3120" s="3">
        <f>_xll.QS.EVALUATE(C3120,F3120)</f>
        <v>29027.036402885802</v>
      </c>
      <c r="H3120" s="5" t="s">
        <v>2627</v>
      </c>
      <c r="I3120" s="7">
        <v>1311800</v>
      </c>
      <c r="J3120" s="8">
        <v>3.6800000000000013E-2</v>
      </c>
    </row>
    <row r="3121" spans="1:10" x14ac:dyDescent="0.25">
      <c r="A3121" s="5" t="s">
        <v>2615</v>
      </c>
      <c r="B3121" s="5" t="s">
        <v>4988</v>
      </c>
      <c r="C3121" s="6" t="str">
        <f>_xll.QS.CONTEXT.CREATE("market.3119",A3121,"USD","SOFR")</f>
        <v>QSObject:PricingContext:w1~market.3119:16447</v>
      </c>
      <c r="D3121" s="6" t="str">
        <f>_xll.QS.CONTEXT.ADD.CURVE(C3121,"SOFR",$K$2:$K$7,$L$2:$L$7,,,"Actual360","LogLinear",TRUE)</f>
        <v>QSObject:ContextInput:w1~input.qs_context_add_curve.2359132437744.3120.3.0:37413</v>
      </c>
      <c r="E3121" s="6" t="str">
        <f>_xll.QS.INSTRUMENT.SWAP("swap.3119",H3121,B3121,"USD","SOFR",I3121,J3121,0,"Actual360","Simple","Annual","Annual","Annual")</f>
        <v>QSObject:Swap:w1~swap.3119:16446</v>
      </c>
      <c r="F3121" s="6" t="str">
        <f>_xll.QS.TRADE.CREATE("trade.3119",E3121,A3121,"Receive")</f>
        <v>QSObject:SwapTrade:w1~trade.3119:28720</v>
      </c>
      <c r="G3121" s="3">
        <f>_xll.QS.EVALUATE(C3121,F3121)</f>
        <v>29584.431235836448</v>
      </c>
      <c r="H3121" s="5" t="s">
        <v>2629</v>
      </c>
      <c r="I3121" s="7">
        <v>1311900</v>
      </c>
      <c r="J3121" s="8">
        <v>3.6900000000000002E-2</v>
      </c>
    </row>
    <row r="3122" spans="1:10" x14ac:dyDescent="0.25">
      <c r="A3122" s="5" t="s">
        <v>2617</v>
      </c>
      <c r="B3122" s="5" t="s">
        <v>4989</v>
      </c>
      <c r="C3122" s="6" t="str">
        <f>_xll.QS.CONTEXT.CREATE("market.3120",A3122,"USD","SOFR")</f>
        <v>QSObject:PricingContext:w1~market.3120:16445</v>
      </c>
      <c r="D3122" s="6" t="str">
        <f>_xll.QS.CONTEXT.ADD.CURVE(C3122,"SOFR",$K$2:$K$7,$L$2:$L$7,,,"Actual360","LogLinear",TRUE)</f>
        <v>QSObject:ContextInput:w1~input.qs_context_add_curve.2359132437744.3121.3.0:37412</v>
      </c>
      <c r="E3122" s="6" t="str">
        <f>_xll.QS.INSTRUMENT.SWAP("swap.3120",H3122,B3122,"USD","SOFR",I3122,J3122,0,"Actual360","Simple","Annual","Annual","Annual")</f>
        <v>QSObject:Swap:w1~swap.3120:16444</v>
      </c>
      <c r="F3122" s="6" t="str">
        <f>_xll.QS.TRADE.CREATE("trade.3120",E3122,A3122,"Receive")</f>
        <v>QSObject:SwapTrade:w1~trade.3120:28719</v>
      </c>
      <c r="G3122" s="3">
        <f>_xll.QS.EVALUATE(C3122,F3122)</f>
        <v>30100.659886146219</v>
      </c>
      <c r="H3122" s="5" t="s">
        <v>2631</v>
      </c>
      <c r="I3122" s="7">
        <v>1312000</v>
      </c>
      <c r="J3122" s="8">
        <v>3.7000000000000012E-2</v>
      </c>
    </row>
    <row r="3123" spans="1:10" x14ac:dyDescent="0.25">
      <c r="A3123" s="5" t="s">
        <v>2619</v>
      </c>
      <c r="B3123" s="5" t="s">
        <v>4990</v>
      </c>
      <c r="C3123" s="6" t="str">
        <f>_xll.QS.CONTEXT.CREATE("market.3121",A3123,"USD","SOFR")</f>
        <v>QSObject:PricingContext:w1~market.3121:16443</v>
      </c>
      <c r="D3123" s="6" t="str">
        <f>_xll.QS.CONTEXT.ADD.CURVE(C3123,"SOFR",$K$2:$K$7,$L$2:$L$7,,,"Actual360","LogLinear",TRUE)</f>
        <v>QSObject:ContextInput:w1~input.qs_context_add_curve.2359132437744.3122.3.0:37411</v>
      </c>
      <c r="E3123" s="6" t="str">
        <f>_xll.QS.INSTRUMENT.SWAP("swap.3121",H3123,B3123,"USD","SOFR",I3123,J3123,0,"Actual360","Simple","Annual","Annual","Annual")</f>
        <v>QSObject:Swap:w1~swap.3121:16442</v>
      </c>
      <c r="F3123" s="6" t="str">
        <f>_xll.QS.TRADE.CREATE("trade.3121",E3123,A3123,"Receive")</f>
        <v>QSObject:SwapTrade:w1~trade.3121:28718</v>
      </c>
      <c r="G3123" s="3">
        <f>_xll.QS.EVALUATE(C3123,F3123)</f>
        <v>30605.984943000367</v>
      </c>
      <c r="H3123" s="5" t="s">
        <v>2633</v>
      </c>
      <c r="I3123" s="7">
        <v>1312100</v>
      </c>
      <c r="J3123" s="8">
        <v>3.7100000000000001E-2</v>
      </c>
    </row>
    <row r="3124" spans="1:10" x14ac:dyDescent="0.25">
      <c r="A3124" s="5" t="s">
        <v>2621</v>
      </c>
      <c r="B3124" s="5" t="s">
        <v>4991</v>
      </c>
      <c r="C3124" s="6" t="str">
        <f>_xll.QS.CONTEXT.CREATE("market.3122",A3124,"USD","SOFR")</f>
        <v>QSObject:PricingContext:w1~market.3122:16441</v>
      </c>
      <c r="D3124" s="6" t="str">
        <f>_xll.QS.CONTEXT.ADD.CURVE(C3124,"SOFR",$K$2:$K$7,$L$2:$L$7,,,"Actual360","LogLinear",TRUE)</f>
        <v>QSObject:ContextInput:w1~input.qs_context_add_curve.2359132437744.3123.3.0:37410</v>
      </c>
      <c r="E3124" s="6" t="str">
        <f>_xll.QS.INSTRUMENT.SWAP("swap.3122",H3124,B3124,"USD","SOFR",I3124,J3124,0,"Actual360","Simple","Annual","Annual","Annual")</f>
        <v>QSObject:Swap:w1~swap.3122:16440</v>
      </c>
      <c r="F3124" s="6" t="str">
        <f>_xll.QS.TRADE.CREATE("trade.3122",E3124,A3124,"Receive")</f>
        <v>QSObject:SwapTrade:w1~trade.3122:28717</v>
      </c>
      <c r="G3124" s="3">
        <f>_xll.QS.EVALUATE(C3124,F3124)</f>
        <v>31269.353563487763</v>
      </c>
      <c r="H3124" s="5" t="s">
        <v>2635</v>
      </c>
      <c r="I3124" s="7">
        <v>1312200</v>
      </c>
      <c r="J3124" s="8">
        <v>3.7199999999999997E-2</v>
      </c>
    </row>
    <row r="3125" spans="1:10" x14ac:dyDescent="0.25">
      <c r="A3125" s="5" t="s">
        <v>2623</v>
      </c>
      <c r="B3125" s="5" t="s">
        <v>4992</v>
      </c>
      <c r="C3125" s="6" t="str">
        <f>_xll.QS.CONTEXT.CREATE("market.3123",A3125,"USD","SOFR")</f>
        <v>QSObject:PricingContext:w1~market.3123:16439</v>
      </c>
      <c r="D3125" s="6" t="str">
        <f>_xll.QS.CONTEXT.ADD.CURVE(C3125,"SOFR",$K$2:$K$7,$L$2:$L$7,,,"Actual360","LogLinear",TRUE)</f>
        <v>QSObject:ContextInput:w1~input.qs_context_add_curve.2359132437744.3124.3.0:37409</v>
      </c>
      <c r="E3125" s="6" t="str">
        <f>_xll.QS.INSTRUMENT.SWAP("swap.3123",H3125,B3125,"USD","SOFR",I3125,J3125,0,"Actual360","Simple","Annual","Annual","Annual")</f>
        <v>QSObject:Swap:w1~swap.3123:16438</v>
      </c>
      <c r="F3125" s="6" t="str">
        <f>_xll.QS.TRADE.CREATE("trade.3123",E3125,A3125,"Receive")</f>
        <v>QSObject:SwapTrade:w1~trade.3123:28716</v>
      </c>
      <c r="G3125" s="3">
        <f>_xll.QS.EVALUATE(C3125,F3125)</f>
        <v>31910.920013119197</v>
      </c>
      <c r="H3125" s="5" t="s">
        <v>2637</v>
      </c>
      <c r="I3125" s="7">
        <v>1312300</v>
      </c>
      <c r="J3125" s="8">
        <v>3.73E-2</v>
      </c>
    </row>
    <row r="3126" spans="1:10" x14ac:dyDescent="0.25">
      <c r="A3126" s="5" t="s">
        <v>2625</v>
      </c>
      <c r="B3126" s="5" t="s">
        <v>4993</v>
      </c>
      <c r="C3126" s="6" t="str">
        <f>_xll.QS.CONTEXT.CREATE("market.3124",A3126,"USD","SOFR")</f>
        <v>QSObject:PricingContext:w1~market.3124:16437</v>
      </c>
      <c r="D3126" s="6" t="str">
        <f>_xll.QS.CONTEXT.ADD.CURVE(C3126,"SOFR",$K$2:$K$7,$L$2:$L$7,,,"Actual360","LogLinear",TRUE)</f>
        <v>QSObject:ContextInput:w1~input.qs_context_add_curve.2359132437744.3125.3.0:37408</v>
      </c>
      <c r="E3126" s="6" t="str">
        <f>_xll.QS.INSTRUMENT.SWAP("swap.3124",H3126,B3126,"USD","SOFR",I3126,J3126,0,"Actual360","Simple","Annual","Annual","Annual")</f>
        <v>QSObject:Swap:w1~swap.3124:16436</v>
      </c>
      <c r="F3126" s="6" t="str">
        <f>_xll.QS.TRADE.CREATE("trade.3124",E3126,A3126,"Receive")</f>
        <v>QSObject:SwapTrade:w1~trade.3124:28715</v>
      </c>
      <c r="G3126" s="3">
        <f>_xll.QS.EVALUATE(C3126,F3126)</f>
        <v>32614.452250958493</v>
      </c>
      <c r="H3126" s="5" t="s">
        <v>2639</v>
      </c>
      <c r="I3126" s="7">
        <v>1312400</v>
      </c>
      <c r="J3126" s="8">
        <v>3.7400000000000003E-2</v>
      </c>
    </row>
    <row r="3127" spans="1:10" x14ac:dyDescent="0.25">
      <c r="A3127" s="5" t="s">
        <v>2627</v>
      </c>
      <c r="B3127" s="5" t="s">
        <v>4994</v>
      </c>
      <c r="C3127" s="6" t="str">
        <f>_xll.QS.CONTEXT.CREATE("market.3125",A3127,"USD","SOFR")</f>
        <v>QSObject:PricingContext:w1~market.3125:16002</v>
      </c>
      <c r="D3127" s="6" t="str">
        <f>_xll.QS.CONTEXT.ADD.CURVE(C3127,"SOFR",$K$2:$K$7,$L$2:$L$7,,,"Actual360","LogLinear",TRUE)</f>
        <v>QSObject:ContextInput:w1~input.qs_context_add_curve.2359132437744.3126.3.0:37407</v>
      </c>
      <c r="E3127" s="6" t="str">
        <f>_xll.QS.INSTRUMENT.SWAP("swap.3125",H3127,B3127,"USD","SOFR",I3127,J3127,0,"Actual360","Simple","Annual","Annual","Annual")</f>
        <v>QSObject:Swap:w1~swap.3125:16001</v>
      </c>
      <c r="F3127" s="6" t="str">
        <f>_xll.QS.TRADE.CREATE("trade.3125",E3127,A3127,"Receive")</f>
        <v>QSObject:SwapTrade:w1~trade.3125:28714</v>
      </c>
      <c r="G3127" s="3">
        <f>_xll.QS.EVALUATE(C3127,F3127)</f>
        <v>33279.280414261375</v>
      </c>
      <c r="H3127" s="5" t="s">
        <v>2641</v>
      </c>
      <c r="I3127" s="7">
        <v>1312500</v>
      </c>
      <c r="J3127" s="8">
        <v>3.7500000000000012E-2</v>
      </c>
    </row>
    <row r="3128" spans="1:10" x14ac:dyDescent="0.25">
      <c r="A3128" s="5" t="s">
        <v>2629</v>
      </c>
      <c r="B3128" s="5" t="s">
        <v>4995</v>
      </c>
      <c r="C3128" s="6" t="str">
        <f>_xll.QS.CONTEXT.CREATE("market.3126",A3128,"USD","SOFR")</f>
        <v>QSObject:PricingContext:w1~market.3126:16000</v>
      </c>
      <c r="D3128" s="6" t="str">
        <f>_xll.QS.CONTEXT.ADD.CURVE(C3128,"SOFR",$K$2:$K$7,$L$2:$L$7,,,"Actual360","LogLinear",TRUE)</f>
        <v>QSObject:ContextInput:w1~input.qs_context_add_curve.2359132437744.3127.3.0:37406</v>
      </c>
      <c r="E3128" s="6" t="str">
        <f>_xll.QS.INSTRUMENT.SWAP("swap.3126",H3128,B3128,"USD","SOFR",I3128,J3128,0,"Actual360","Simple","Annual","Annual","Annual")</f>
        <v>QSObject:Swap:w1~swap.3126:15999</v>
      </c>
      <c r="F3128" s="6" t="str">
        <f>_xll.QS.TRADE.CREATE("trade.3126",E3128,A3128,"Receive")</f>
        <v>QSObject:SwapTrade:w1~trade.3126:28713</v>
      </c>
      <c r="G3128" s="3">
        <f>_xll.QS.EVALUATE(C3128,F3128)</f>
        <v>33837.474676777165</v>
      </c>
      <c r="H3128" s="5" t="s">
        <v>2643</v>
      </c>
      <c r="I3128" s="7">
        <v>1312600</v>
      </c>
      <c r="J3128" s="8">
        <v>3.7600000000000001E-2</v>
      </c>
    </row>
    <row r="3129" spans="1:10" x14ac:dyDescent="0.25">
      <c r="A3129" s="5" t="s">
        <v>2631</v>
      </c>
      <c r="B3129" s="5" t="s">
        <v>4996</v>
      </c>
      <c r="C3129" s="6" t="str">
        <f>_xll.QS.CONTEXT.CREATE("market.3127",A3129,"USD","SOFR")</f>
        <v>QSObject:PricingContext:w1~market.3127:15998</v>
      </c>
      <c r="D3129" s="6" t="str">
        <f>_xll.QS.CONTEXT.ADD.CURVE(C3129,"SOFR",$K$2:$K$7,$L$2:$L$7,,,"Actual360","LogLinear",TRUE)</f>
        <v>QSObject:ContextInput:w1~input.qs_context_add_curve.2359132437744.3128.3.0:37405</v>
      </c>
      <c r="E3129" s="6" t="str">
        <f>_xll.QS.INSTRUMENT.SWAP("swap.3127",H3129,B3129,"USD","SOFR",I3129,J3129,0,"Actual360","Simple","Annual","Annual","Annual")</f>
        <v>QSObject:Swap:w1~swap.3127:15997</v>
      </c>
      <c r="F3129" s="6" t="str">
        <f>_xll.QS.TRADE.CREATE("trade.3127",E3129,A3129,"Receive")</f>
        <v>QSObject:SwapTrade:w1~trade.3127:28712</v>
      </c>
      <c r="G3129" s="3">
        <f>_xll.QS.EVALUATE(C3129,F3129)</f>
        <v>34349.092197860766</v>
      </c>
      <c r="H3129" s="5" t="s">
        <v>2645</v>
      </c>
      <c r="I3129" s="7">
        <v>1312700</v>
      </c>
      <c r="J3129" s="8">
        <v>3.7699999999999997E-2</v>
      </c>
    </row>
    <row r="3130" spans="1:10" x14ac:dyDescent="0.25">
      <c r="A3130" s="5" t="s">
        <v>2633</v>
      </c>
      <c r="B3130" s="5" t="s">
        <v>4997</v>
      </c>
      <c r="C3130" s="6" t="str">
        <f>_xll.QS.CONTEXT.CREATE("market.3128",A3130,"USD","SOFR")</f>
        <v>QSObject:PricingContext:w1~market.3128:15996</v>
      </c>
      <c r="D3130" s="6" t="str">
        <f>_xll.QS.CONTEXT.ADD.CURVE(C3130,"SOFR",$K$2:$K$7,$L$2:$L$7,,,"Actual360","LogLinear",TRUE)</f>
        <v>QSObject:ContextInput:w1~input.qs_context_add_curve.2359132437744.3129.3.0:37404</v>
      </c>
      <c r="E3130" s="6" t="str">
        <f>_xll.QS.INSTRUMENT.SWAP("swap.3128",H3130,B3130,"USD","SOFR",I3130,J3130,0,"Actual360","Simple","Annual","Annual","Annual")</f>
        <v>QSObject:Swap:w1~swap.3128:15995</v>
      </c>
      <c r="F3130" s="6" t="str">
        <f>_xll.QS.TRADE.CREATE("trade.3128",E3130,A3130,"Receive")</f>
        <v>QSObject:SwapTrade:w1~trade.3128:28711</v>
      </c>
      <c r="G3130" s="3">
        <f>_xll.QS.EVALUATE(C3130,F3130)</f>
        <v>34861.577626788094</v>
      </c>
      <c r="H3130" s="5" t="s">
        <v>2647</v>
      </c>
      <c r="I3130" s="7">
        <v>1312800</v>
      </c>
      <c r="J3130" s="8">
        <v>3.78E-2</v>
      </c>
    </row>
    <row r="3131" spans="1:10" x14ac:dyDescent="0.25">
      <c r="A3131" s="5" t="s">
        <v>2635</v>
      </c>
      <c r="B3131" s="5" t="s">
        <v>4998</v>
      </c>
      <c r="C3131" s="6" t="str">
        <f>_xll.QS.CONTEXT.CREATE("market.3129",A3131,"USD","SOFR")</f>
        <v>QSObject:PricingContext:w1~market.3129:15994</v>
      </c>
      <c r="D3131" s="6" t="str">
        <f>_xll.QS.CONTEXT.ADD.CURVE(C3131,"SOFR",$K$2:$K$7,$L$2:$L$7,,,"Actual360","LogLinear",TRUE)</f>
        <v>QSObject:ContextInput:w1~input.qs_context_add_curve.2359132437744.3130.3.0:37403</v>
      </c>
      <c r="E3131" s="6" t="str">
        <f>_xll.QS.INSTRUMENT.SWAP("swap.3129",H3131,B3131,"USD","SOFR",I3131,J3131,0,"Actual360","Simple","Annual","Annual","Annual")</f>
        <v>QSObject:Swap:w1~swap.3129:15993</v>
      </c>
      <c r="F3131" s="6" t="str">
        <f>_xll.QS.TRADE.CREATE("trade.3129",E3131,A3131,"Receive")</f>
        <v>QSObject:SwapTrade:w1~trade.3129:28710</v>
      </c>
      <c r="G3131" s="3">
        <f>_xll.QS.EVALUATE(C3131,F3131)</f>
        <v>35526.047233841418</v>
      </c>
      <c r="H3131" s="5" t="s">
        <v>2649</v>
      </c>
      <c r="I3131" s="7">
        <v>1312900</v>
      </c>
      <c r="J3131" s="8">
        <v>3.7900000000000003E-2</v>
      </c>
    </row>
    <row r="3132" spans="1:10" x14ac:dyDescent="0.25">
      <c r="A3132" s="5" t="s">
        <v>2637</v>
      </c>
      <c r="B3132" s="5" t="s">
        <v>4999</v>
      </c>
      <c r="C3132" s="6" t="str">
        <f>_xll.QS.CONTEXT.CREATE("market.3130",A3132,"USD","SOFR")</f>
        <v>QSObject:PricingContext:w1~market.3130:15992</v>
      </c>
      <c r="D3132" s="6" t="str">
        <f>_xll.QS.CONTEXT.ADD.CURVE(C3132,"SOFR",$K$2:$K$7,$L$2:$L$7,,,"Actual360","LogLinear",TRUE)</f>
        <v>QSObject:ContextInput:w1~input.qs_context_add_curve.2359132437744.3131.3.0:37402</v>
      </c>
      <c r="E3132" s="6" t="str">
        <f>_xll.QS.INSTRUMENT.SWAP("swap.3130",H3132,B3132,"USD","SOFR",I3132,J3132,0,"Actual360","Simple","Annual","Annual","Annual")</f>
        <v>QSObject:Swap:w1~swap.3130:15991</v>
      </c>
      <c r="F3132" s="6" t="str">
        <f>_xll.QS.TRADE.CREATE("trade.3130",E3132,A3132,"Receive")</f>
        <v>QSObject:SwapTrade:w1~trade.3130:28709</v>
      </c>
      <c r="G3132" s="3">
        <f>_xll.QS.EVALUATE(C3132,F3132)</f>
        <v>36166.196449176103</v>
      </c>
      <c r="H3132" s="5" t="s">
        <v>2651</v>
      </c>
      <c r="I3132" s="7">
        <v>1313000</v>
      </c>
      <c r="J3132" s="8">
        <v>3.8000000000000013E-2</v>
      </c>
    </row>
    <row r="3133" spans="1:10" x14ac:dyDescent="0.25">
      <c r="A3133" s="5" t="s">
        <v>2639</v>
      </c>
      <c r="B3133" s="5" t="s">
        <v>5000</v>
      </c>
      <c r="C3133" s="6" t="str">
        <f>_xll.QS.CONTEXT.CREATE("market.3131",A3133,"USD","SOFR")</f>
        <v>QSObject:PricingContext:w1~market.3131:15990</v>
      </c>
      <c r="D3133" s="6" t="str">
        <f>_xll.QS.CONTEXT.ADD.CURVE(C3133,"SOFR",$K$2:$K$7,$L$2:$L$7,,,"Actual360","LogLinear",TRUE)</f>
        <v>QSObject:ContextInput:w1~input.qs_context_add_curve.2359132437744.3132.3.0:37401</v>
      </c>
      <c r="E3133" s="6" t="str">
        <f>_xll.QS.INSTRUMENT.SWAP("swap.3131",H3133,B3133,"USD","SOFR",I3133,J3133,0,"Actual360","Simple","Annual","Annual","Annual")</f>
        <v>QSObject:Swap:w1~swap.3131:15989</v>
      </c>
      <c r="F3133" s="6" t="str">
        <f>_xll.QS.TRADE.CREATE("trade.3131",E3133,A3133,"Receive")</f>
        <v>QSObject:SwapTrade:w1~trade.3131:28708</v>
      </c>
      <c r="G3133" s="3">
        <f>_xll.QS.EVALUATE(C3133,F3133)</f>
        <v>36870.997195162912</v>
      </c>
      <c r="H3133" s="5" t="s">
        <v>2653</v>
      </c>
      <c r="I3133" s="7">
        <v>1313100</v>
      </c>
      <c r="J3133" s="8">
        <v>3.8100000000000002E-2</v>
      </c>
    </row>
    <row r="3134" spans="1:10" x14ac:dyDescent="0.25">
      <c r="A3134" s="5" t="s">
        <v>2641</v>
      </c>
      <c r="B3134" s="5" t="s">
        <v>5001</v>
      </c>
      <c r="C3134" s="6" t="str">
        <f>_xll.QS.CONTEXT.CREATE("market.3132",A3134,"USD","SOFR")</f>
        <v>QSObject:PricingContext:w1~market.3132:15988</v>
      </c>
      <c r="D3134" s="6" t="str">
        <f>_xll.QS.CONTEXT.ADD.CURVE(C3134,"SOFR",$K$2:$K$7,$L$2:$L$7,,,"Actual360","LogLinear",TRUE)</f>
        <v>QSObject:ContextInput:w1~input.qs_context_add_curve.2359132437744.3133.3.0:37400</v>
      </c>
      <c r="E3134" s="6" t="str">
        <f>_xll.QS.INSTRUMENT.SWAP("swap.3132",H3134,B3134,"USD","SOFR",I3134,J3134,0,"Actual360","Simple","Annual","Annual","Annual")</f>
        <v>QSObject:Swap:w1~swap.3132:15987</v>
      </c>
      <c r="F3134" s="6" t="str">
        <f>_xll.QS.TRADE.CREATE("trade.3132",E3134,A3134,"Receive")</f>
        <v>QSObject:SwapTrade:w1~trade.3132:28707</v>
      </c>
      <c r="G3134" s="3">
        <f>_xll.QS.EVALUATE(C3134,F3134)</f>
        <v>37536.043630612156</v>
      </c>
      <c r="H3134" s="5" t="s">
        <v>2655</v>
      </c>
      <c r="I3134" s="7">
        <v>1313200</v>
      </c>
      <c r="J3134" s="8">
        <v>3.8199999999999998E-2</v>
      </c>
    </row>
    <row r="3135" spans="1:10" x14ac:dyDescent="0.25">
      <c r="A3135" s="5" t="s">
        <v>2643</v>
      </c>
      <c r="B3135" s="5" t="s">
        <v>5002</v>
      </c>
      <c r="C3135" s="6" t="str">
        <f>_xll.QS.CONTEXT.CREATE("market.3133",A3135,"USD","SOFR")</f>
        <v>QSObject:PricingContext:w1~market.3133:15986</v>
      </c>
      <c r="D3135" s="6" t="str">
        <f>_xll.QS.CONTEXT.ADD.CURVE(C3135,"SOFR",$K$2:$K$7,$L$2:$L$7,,,"Actual360","LogLinear",TRUE)</f>
        <v>QSObject:ContextInput:w1~input.qs_context_add_curve.2359132437744.3134.3.0:37399</v>
      </c>
      <c r="E3135" s="6" t="str">
        <f>_xll.QS.INSTRUMENT.SWAP("swap.3133",H3135,B3135,"USD","SOFR",I3135,J3135,0,"Actual360","Simple","Annual","Annual","Annual")</f>
        <v>QSObject:Swap:w1~swap.3133:15985</v>
      </c>
      <c r="F3135" s="6" t="str">
        <f>_xll.QS.TRADE.CREATE("trade.3133",E3135,A3135,"Receive")</f>
        <v>QSObject:SwapTrade:w1~trade.3133:28706</v>
      </c>
      <c r="G3135" s="3">
        <f>_xll.QS.EVALUATE(C3135,F3135)</f>
        <v>38094.60817986379</v>
      </c>
      <c r="H3135" s="5" t="s">
        <v>2657</v>
      </c>
      <c r="I3135" s="7">
        <v>1313300</v>
      </c>
      <c r="J3135" s="8">
        <v>3.8300000000000001E-2</v>
      </c>
    </row>
    <row r="3136" spans="1:10" x14ac:dyDescent="0.25">
      <c r="A3136" s="5" t="s">
        <v>2645</v>
      </c>
      <c r="B3136" s="5" t="s">
        <v>5003</v>
      </c>
      <c r="C3136" s="6" t="str">
        <f>_xll.QS.CONTEXT.CREATE("market.3134",A3136,"USD","SOFR")</f>
        <v>QSObject:PricingContext:w1~market.3134:15984</v>
      </c>
      <c r="D3136" s="6" t="str">
        <f>_xll.QS.CONTEXT.ADD.CURVE(C3136,"SOFR",$K$2:$K$7,$L$2:$L$7,,,"Actual360","LogLinear",TRUE)</f>
        <v>QSObject:ContextInput:w1~input.qs_context_add_curve.2359132437744.3135.3.0:37398</v>
      </c>
      <c r="E3136" s="6" t="str">
        <f>_xll.QS.INSTRUMENT.SWAP("swap.3134",H3136,B3136,"USD","SOFR",I3136,J3136,0,"Actual360","Simple","Annual","Annual","Annual")</f>
        <v>QSObject:Swap:w1~swap.3134:15983</v>
      </c>
      <c r="F3136" s="6" t="str">
        <f>_xll.QS.TRADE.CREATE("trade.3134",E3136,A3136,"Receive")</f>
        <v>QSObject:SwapTrade:w1~trade.3134:28705</v>
      </c>
      <c r="G3136" s="3">
        <f>_xll.QS.EVALUATE(C3136,F3136)</f>
        <v>38602.038352427408</v>
      </c>
      <c r="H3136" s="5" t="s">
        <v>2659</v>
      </c>
      <c r="I3136" s="7">
        <v>1313400</v>
      </c>
      <c r="J3136" s="8">
        <v>3.8399999999999997E-2</v>
      </c>
    </row>
    <row r="3137" spans="1:10" x14ac:dyDescent="0.25">
      <c r="A3137" s="5" t="s">
        <v>2647</v>
      </c>
      <c r="B3137" s="5" t="s">
        <v>5004</v>
      </c>
      <c r="C3137" s="6" t="str">
        <f>_xll.QS.CONTEXT.CREATE("market.3135",A3137,"USD","SOFR")</f>
        <v>QSObject:PricingContext:w1~market.3135:15982</v>
      </c>
      <c r="D3137" s="6" t="str">
        <f>_xll.QS.CONTEXT.ADD.CURVE(C3137,"SOFR",$K$2:$K$7,$L$2:$L$7,,,"Actual360","LogLinear",TRUE)</f>
        <v>QSObject:ContextInput:w1~input.qs_context_add_curve.2359132437744.3136.3.0:37397</v>
      </c>
      <c r="E3137" s="6" t="str">
        <f>_xll.QS.INSTRUMENT.SWAP("swap.3135",H3137,B3137,"USD","SOFR",I3137,J3137,0,"Actual360","Simple","Annual","Annual","Annual")</f>
        <v>QSObject:Swap:w1~swap.3135:15981</v>
      </c>
      <c r="F3137" s="6" t="str">
        <f>_xll.QS.TRADE.CREATE("trade.3135",E3137,A3137,"Receive")</f>
        <v>QSObject:SwapTrade:w1~trade.3135:28704</v>
      </c>
      <c r="G3137" s="3">
        <f>_xll.QS.EVALUATE(C3137,F3137)</f>
        <v>39121.691159389142</v>
      </c>
      <c r="H3137" s="5" t="s">
        <v>2661</v>
      </c>
      <c r="I3137" s="7">
        <v>1313500</v>
      </c>
      <c r="J3137" s="8">
        <v>3.8500000000000013E-2</v>
      </c>
    </row>
    <row r="3138" spans="1:10" x14ac:dyDescent="0.25">
      <c r="A3138" s="5" t="s">
        <v>2649</v>
      </c>
      <c r="B3138" s="5" t="s">
        <v>5005</v>
      </c>
      <c r="C3138" s="6" t="str">
        <f>_xll.QS.CONTEXT.CREATE("market.3136",A3138,"USD","SOFR")</f>
        <v>QSObject:PricingContext:w1~market.3136:15980</v>
      </c>
      <c r="D3138" s="6" t="str">
        <f>_xll.QS.CONTEXT.ADD.CURVE(C3138,"SOFR",$K$2:$K$7,$L$2:$L$7,,,"Actual360","LogLinear",TRUE)</f>
        <v>QSObject:ContextInput:w1~input.qs_context_add_curve.2359132437744.3137.3.0:37396</v>
      </c>
      <c r="E3138" s="6" t="str">
        <f>_xll.QS.INSTRUMENT.SWAP("swap.3136",H3138,B3138,"USD","SOFR",I3138,J3138,0,"Actual360","Simple","Annual","Annual","Annual")</f>
        <v>QSObject:Swap:w1~swap.3136:15979</v>
      </c>
      <c r="F3138" s="6" t="str">
        <f>_xll.QS.TRADE.CREATE("trade.3136",E3138,A3138,"Receive")</f>
        <v>QSObject:SwapTrade:w1~trade.3136:28703</v>
      </c>
      <c r="G3138" s="3">
        <f>_xll.QS.EVALUATE(C3138,F3138)</f>
        <v>39787.262206668114</v>
      </c>
      <c r="H3138" s="5" t="s">
        <v>2663</v>
      </c>
      <c r="I3138" s="7">
        <v>1313600</v>
      </c>
      <c r="J3138" s="8">
        <v>3.8600000000000002E-2</v>
      </c>
    </row>
    <row r="3139" spans="1:10" x14ac:dyDescent="0.25">
      <c r="A3139" s="5" t="s">
        <v>2651</v>
      </c>
      <c r="B3139" s="5" t="s">
        <v>5006</v>
      </c>
      <c r="C3139" s="6" t="str">
        <f>_xll.QS.CONTEXT.CREATE("market.3137",A3139,"USD","SOFR")</f>
        <v>QSObject:PricingContext:w1~market.3137:15978</v>
      </c>
      <c r="D3139" s="6" t="str">
        <f>_xll.QS.CONTEXT.ADD.CURVE(C3139,"SOFR",$K$2:$K$7,$L$2:$L$7,,,"Actual360","LogLinear",TRUE)</f>
        <v>QSObject:ContextInput:w1~input.qs_context_add_curve.2359132437744.3138.3.0:37395</v>
      </c>
      <c r="E3139" s="6" t="str">
        <f>_xll.QS.INSTRUMENT.SWAP("swap.3137",H3139,B3139,"USD","SOFR",I3139,J3139,0,"Actual360","Simple","Annual","Annual","Annual")</f>
        <v>QSObject:Swap:w1~swap.3137:15977</v>
      </c>
      <c r="F3139" s="6" t="str">
        <f>_xll.QS.TRADE.CREATE("trade.3137",E3139,A3139,"Receive")</f>
        <v>QSObject:SwapTrade:w1~trade.3137:28702</v>
      </c>
      <c r="G3139" s="3">
        <f>_xll.QS.EVALUATE(C3139,F3139)</f>
        <v>40426.002132842623</v>
      </c>
      <c r="H3139" s="5" t="s">
        <v>2665</v>
      </c>
      <c r="I3139" s="7">
        <v>1313700</v>
      </c>
      <c r="J3139" s="8">
        <v>3.8700000000000012E-2</v>
      </c>
    </row>
    <row r="3140" spans="1:10" x14ac:dyDescent="0.25">
      <c r="A3140" s="5" t="s">
        <v>2653</v>
      </c>
      <c r="B3140" s="5" t="s">
        <v>5007</v>
      </c>
      <c r="C3140" s="6" t="str">
        <f>_xll.QS.CONTEXT.CREATE("market.3138",A3140,"USD","SOFR")</f>
        <v>QSObject:PricingContext:w1~market.3138:15976</v>
      </c>
      <c r="D3140" s="6" t="str">
        <f>_xll.QS.CONTEXT.ADD.CURVE(C3140,"SOFR",$K$2:$K$7,$L$2:$L$7,,,"Actual360","LogLinear",TRUE)</f>
        <v>QSObject:ContextInput:w1~input.qs_context_add_curve.2359132437744.3139.3.0:37394</v>
      </c>
      <c r="E3140" s="6" t="str">
        <f>_xll.QS.INSTRUMENT.SWAP("swap.3138",H3140,B3140,"USD","SOFR",I3140,J3140,0,"Actual360","Simple","Annual","Annual","Annual")</f>
        <v>QSObject:Swap:w1~swap.3138:15975</v>
      </c>
      <c r="F3140" s="6" t="str">
        <f>_xll.QS.TRADE.CREATE("trade.3138",E3140,A3140,"Receive")</f>
        <v>QSObject:SwapTrade:w1~trade.3138:28701</v>
      </c>
      <c r="G3140" s="3">
        <f>_xll.QS.EVALUATE(C3140,F3140)</f>
        <v>41131.055122485559</v>
      </c>
      <c r="H3140" s="5" t="s">
        <v>2667</v>
      </c>
      <c r="I3140" s="7">
        <v>1313800</v>
      </c>
      <c r="J3140" s="8">
        <v>3.8800000000000001E-2</v>
      </c>
    </row>
    <row r="3141" spans="1:10" x14ac:dyDescent="0.25">
      <c r="A3141" s="5" t="s">
        <v>2655</v>
      </c>
      <c r="B3141" s="5" t="s">
        <v>5008</v>
      </c>
      <c r="C3141" s="6" t="str">
        <f>_xll.QS.CONTEXT.CREATE("market.3139",A3141,"USD","SOFR")</f>
        <v>QSObject:PricingContext:w1~market.3139:15974</v>
      </c>
      <c r="D3141" s="6" t="str">
        <f>_xll.QS.CONTEXT.ADD.CURVE(C3141,"SOFR",$K$2:$K$7,$L$2:$L$7,,,"Actual360","LogLinear",TRUE)</f>
        <v>QSObject:ContextInput:w1~input.qs_context_add_curve.2359132437744.3140.3.0:37393</v>
      </c>
      <c r="E3141" s="6" t="str">
        <f>_xll.QS.INSTRUMENT.SWAP("swap.3139",H3141,B3141,"USD","SOFR",I3141,J3141,0,"Actual360","Simple","Annual","Annual","Annual")</f>
        <v>QSObject:Swap:w1~swap.3139:15973</v>
      </c>
      <c r="F3141" s="6" t="str">
        <f>_xll.QS.TRADE.CREATE("trade.3139",E3141,A3141,"Receive")</f>
        <v>QSObject:SwapTrade:w1~trade.3139:28700</v>
      </c>
      <c r="G3141" s="3">
        <f>_xll.QS.EVALUATE(C3141,F3141)</f>
        <v>41797.326051938166</v>
      </c>
      <c r="H3141" s="5" t="s">
        <v>2669</v>
      </c>
      <c r="I3141" s="7">
        <v>1313900</v>
      </c>
      <c r="J3141" s="8">
        <v>3.8899999999999997E-2</v>
      </c>
    </row>
    <row r="3142" spans="1:10" x14ac:dyDescent="0.25">
      <c r="A3142" s="5" t="s">
        <v>2657</v>
      </c>
      <c r="B3142" s="5" t="s">
        <v>5009</v>
      </c>
      <c r="C3142" s="6" t="str">
        <f>_xll.QS.CONTEXT.CREATE("market.3140",A3142,"USD","SOFR")</f>
        <v>QSObject:PricingContext:w1~market.3140:15972</v>
      </c>
      <c r="D3142" s="6" t="str">
        <f>_xll.QS.CONTEXT.ADD.CURVE(C3142,"SOFR",$K$2:$K$7,$L$2:$L$7,,,"Actual360","LogLinear",TRUE)</f>
        <v>QSObject:ContextInput:w1~input.qs_context_add_curve.2359132437744.3141.3.0:37392</v>
      </c>
      <c r="E3142" s="6" t="str">
        <f>_xll.QS.INSTRUMENT.SWAP("swap.3140",H3142,B3142,"USD","SOFR",I3142,J3142,0,"Actual360","Simple","Annual","Annual","Annual")</f>
        <v>QSObject:Swap:w1~swap.3140:15971</v>
      </c>
      <c r="F3142" s="6" t="str">
        <f>_xll.QS.TRADE.CREATE("trade.3140",E3142,A3142,"Receive")</f>
        <v>QSObject:SwapTrade:w1~trade.3140:28699</v>
      </c>
      <c r="G3142" s="3">
        <f>_xll.QS.EVALUATE(C3142,F3142)</f>
        <v>42356.475404694313</v>
      </c>
      <c r="H3142" s="5" t="s">
        <v>2671</v>
      </c>
      <c r="I3142" s="7">
        <v>1314000</v>
      </c>
      <c r="J3142" s="8">
        <v>3.9000000000000007E-2</v>
      </c>
    </row>
    <row r="3143" spans="1:10" x14ac:dyDescent="0.25">
      <c r="A3143" s="5" t="s">
        <v>2659</v>
      </c>
      <c r="B3143" s="5" t="s">
        <v>5010</v>
      </c>
      <c r="C3143" s="6" t="str">
        <f>_xll.QS.CONTEXT.CREATE("market.3141",A3143,"USD","SOFR")</f>
        <v>QSObject:PricingContext:w1~market.3141:15970</v>
      </c>
      <c r="D3143" s="6" t="str">
        <f>_xll.QS.CONTEXT.ADD.CURVE(C3143,"SOFR",$K$2:$K$7,$L$2:$L$7,,,"Actual360","LogLinear",TRUE)</f>
        <v>QSObject:ContextInput:w1~input.qs_context_add_curve.2359132437744.3142.3.0:37391</v>
      </c>
      <c r="E3143" s="6" t="str">
        <f>_xll.QS.INSTRUMENT.SWAP("swap.3141",H3143,B3143,"USD","SOFR",I3143,J3143,0,"Actual360","Simple","Annual","Annual","Annual")</f>
        <v>QSObject:Swap:w1~swap.3141:15969</v>
      </c>
      <c r="F3143" s="6" t="str">
        <f>_xll.QS.TRADE.CREATE("trade.3141",E3143,A3143,"Receive")</f>
        <v>QSObject:SwapTrade:w1~trade.3141:28698</v>
      </c>
      <c r="G3143" s="3">
        <f>_xll.QS.EVALUATE(C3143,F3143)</f>
        <v>42859.498349846079</v>
      </c>
      <c r="H3143" s="5" t="s">
        <v>2673</v>
      </c>
      <c r="I3143" s="7">
        <v>1314100</v>
      </c>
      <c r="J3143" s="8">
        <v>3.9100000000000003E-2</v>
      </c>
    </row>
    <row r="3144" spans="1:10" x14ac:dyDescent="0.25">
      <c r="A3144" s="5" t="s">
        <v>2661</v>
      </c>
      <c r="B3144" s="5" t="s">
        <v>5011</v>
      </c>
      <c r="C3144" s="6" t="str">
        <f>_xll.QS.CONTEXT.CREATE("market.3142",A3144,"USD","SOFR")</f>
        <v>QSObject:PricingContext:w1~market.3142:15968</v>
      </c>
      <c r="D3144" s="6" t="str">
        <f>_xll.QS.CONTEXT.ADD.CURVE(C3144,"SOFR",$K$2:$K$7,$L$2:$L$7,,,"Actual360","LogLinear",TRUE)</f>
        <v>QSObject:ContextInput:w1~input.qs_context_add_curve.2359132437744.3143.3.0:37390</v>
      </c>
      <c r="E3144" s="6" t="str">
        <f>_xll.QS.INSTRUMENT.SWAP("swap.3142",H3144,B3144,"USD","SOFR",I3144,J3144,0,"Actual360","Simple","Annual","Annual","Annual")</f>
        <v>QSObject:Swap:w1~swap.3142:15967</v>
      </c>
      <c r="F3144" s="6" t="str">
        <f>_xll.QS.TRADE.CREATE("trade.3142",E3144,A3144,"Receive")</f>
        <v>QSObject:SwapTrade:w1~trade.3142:28697</v>
      </c>
      <c r="G3144" s="3">
        <f>_xll.QS.EVALUATE(C3144,F3144)</f>
        <v>43386.325540802965</v>
      </c>
      <c r="H3144" s="5" t="s">
        <v>2675</v>
      </c>
      <c r="I3144" s="7">
        <v>1314200</v>
      </c>
      <c r="J3144" s="8">
        <v>3.9200000000000013E-2</v>
      </c>
    </row>
    <row r="3145" spans="1:10" x14ac:dyDescent="0.25">
      <c r="A3145" s="5" t="s">
        <v>2663</v>
      </c>
      <c r="B3145" s="5" t="s">
        <v>5012</v>
      </c>
      <c r="C3145" s="6" t="str">
        <f>_xll.QS.CONTEXT.CREATE("market.3143",A3145,"USD","SOFR")</f>
        <v>QSObject:PricingContext:w1~market.3143:15966</v>
      </c>
      <c r="D3145" s="6" t="str">
        <f>_xll.QS.CONTEXT.ADD.CURVE(C3145,"SOFR",$K$2:$K$7,$L$2:$L$7,,,"Actual360","LogLinear",TRUE)</f>
        <v>QSObject:ContextInput:w1~input.qs_context_add_curve.2359132437744.3144.3.0:37389</v>
      </c>
      <c r="E3145" s="6" t="str">
        <f>_xll.QS.INSTRUMENT.SWAP("swap.3143",H3145,B3145,"USD","SOFR",I3145,J3145,0,"Actual360","Simple","Annual","Annual","Annual")</f>
        <v>QSObject:Swap:w1~swap.3143:15965</v>
      </c>
      <c r="F3145" s="6" t="str">
        <f>_xll.QS.TRADE.CREATE("trade.3143",E3145,A3145,"Receive")</f>
        <v>QSObject:SwapTrade:w1~trade.3143:28696</v>
      </c>
      <c r="G3145" s="3">
        <f>_xll.QS.EVALUATE(C3145,F3145)</f>
        <v>44052.998481967581</v>
      </c>
      <c r="H3145" s="5" t="s">
        <v>2677</v>
      </c>
      <c r="I3145" s="7">
        <v>1314300</v>
      </c>
      <c r="J3145" s="8">
        <v>3.9300000000000002E-2</v>
      </c>
    </row>
    <row r="3146" spans="1:10" x14ac:dyDescent="0.25">
      <c r="A3146" s="5" t="s">
        <v>2665</v>
      </c>
      <c r="B3146" s="5" t="s">
        <v>5013</v>
      </c>
      <c r="C3146" s="6" t="str">
        <f>_xll.QS.CONTEXT.CREATE("market.3144",A3146,"USD","SOFR")</f>
        <v>QSObject:PricingContext:w1~market.3144:15964</v>
      </c>
      <c r="D3146" s="6" t="str">
        <f>_xll.QS.CONTEXT.ADD.CURVE(C3146,"SOFR",$K$2:$K$7,$L$2:$L$7,,,"Actual360","LogLinear",TRUE)</f>
        <v>QSObject:ContextInput:w1~input.qs_context_add_curve.2359132437744.3145.3.0:37388</v>
      </c>
      <c r="E3146" s="6" t="str">
        <f>_xll.QS.INSTRUMENT.SWAP("swap.3144",H3146,B3146,"USD","SOFR",I3146,J3146,0,"Actual360","Simple","Annual","Annual","Annual")</f>
        <v>QSObject:Swap:w1~swap.3144:15963</v>
      </c>
      <c r="F3146" s="6" t="str">
        <f>_xll.QS.TRADE.CREATE("trade.3144",E3146,A3146,"Receive")</f>
        <v>QSObject:SwapTrade:w1~trade.3144:28695</v>
      </c>
      <c r="G3146" s="3">
        <f>_xll.QS.EVALUATE(C3146,F3146)</f>
        <v>44690.32182599057</v>
      </c>
      <c r="H3146" s="5" t="s">
        <v>2679</v>
      </c>
      <c r="I3146" s="7">
        <v>1314400</v>
      </c>
      <c r="J3146" s="8">
        <v>3.9399999999999998E-2</v>
      </c>
    </row>
    <row r="3147" spans="1:10" x14ac:dyDescent="0.25">
      <c r="A3147" s="5" t="s">
        <v>2667</v>
      </c>
      <c r="B3147" s="5" t="s">
        <v>5014</v>
      </c>
      <c r="C3147" s="6" t="str">
        <f>_xll.QS.CONTEXT.CREATE("market.3145",A3147,"USD","SOFR")</f>
        <v>QSObject:PricingContext:w1~market.3145:15962</v>
      </c>
      <c r="D3147" s="6" t="str">
        <f>_xll.QS.CONTEXT.ADD.CURVE(C3147,"SOFR",$K$2:$K$7,$L$2:$L$7,,,"Actual360","LogLinear",TRUE)</f>
        <v>QSObject:ContextInput:w1~input.qs_context_add_curve.2359132437744.3146.3.0:37387</v>
      </c>
      <c r="E3147" s="6" t="str">
        <f>_xll.QS.INSTRUMENT.SWAP("swap.3145",H3147,B3147,"USD","SOFR",I3147,J3147,0,"Actual360","Simple","Annual","Annual","Annual")</f>
        <v>QSObject:Swap:w1~swap.3145:15961</v>
      </c>
      <c r="F3147" s="6" t="str">
        <f>_xll.QS.TRADE.CREATE("trade.3145",E3147,A3147,"Receive")</f>
        <v>QSObject:SwapTrade:w1~trade.3145:28694</v>
      </c>
      <c r="G3147" s="3">
        <f>_xll.QS.EVALUATE(C3147,F3147)</f>
        <v>45396.135293250802</v>
      </c>
      <c r="H3147" s="5" t="s">
        <v>2681</v>
      </c>
      <c r="I3147" s="7">
        <v>1314500</v>
      </c>
      <c r="J3147" s="8">
        <v>3.9500000000000007E-2</v>
      </c>
    </row>
    <row r="3148" spans="1:10" x14ac:dyDescent="0.25">
      <c r="A3148" s="5" t="s">
        <v>2669</v>
      </c>
      <c r="B3148" s="5" t="s">
        <v>5015</v>
      </c>
      <c r="C3148" s="6" t="str">
        <f>_xll.QS.CONTEXT.CREATE("market.3146",A3148,"USD","SOFR")</f>
        <v>QSObject:PricingContext:w1~market.3146:15960</v>
      </c>
      <c r="D3148" s="6" t="str">
        <f>_xll.QS.CONTEXT.ADD.CURVE(C3148,"SOFR",$K$2:$K$7,$L$2:$L$7,,,"Actual360","LogLinear",TRUE)</f>
        <v>QSObject:ContextInput:w1~input.qs_context_add_curve.2359132437744.3147.3.0:37386</v>
      </c>
      <c r="E3148" s="6" t="str">
        <f>_xll.QS.INSTRUMENT.SWAP("swap.3146",H3148,B3148,"USD","SOFR",I3148,J3148,0,"Actual360","Simple","Annual","Annual","Annual")</f>
        <v>QSObject:Swap:w1~swap.3146:15959</v>
      </c>
      <c r="F3148" s="6" t="str">
        <f>_xll.QS.TRADE.CREATE("trade.3146",E3148,A3148,"Receive")</f>
        <v>QSObject:SwapTrade:w1~trade.3146:28693</v>
      </c>
      <c r="G3148" s="3">
        <f>_xll.QS.EVALUATE(C3148,F3148)</f>
        <v>46063.127678239653</v>
      </c>
      <c r="H3148" s="5" t="s">
        <v>2683</v>
      </c>
      <c r="I3148" s="7">
        <v>1314600</v>
      </c>
      <c r="J3148" s="8">
        <v>3.9600000000000003E-2</v>
      </c>
    </row>
    <row r="3149" spans="1:10" x14ac:dyDescent="0.25">
      <c r="A3149" s="5" t="s">
        <v>2671</v>
      </c>
      <c r="B3149" s="5" t="s">
        <v>5016</v>
      </c>
      <c r="C3149" s="6" t="str">
        <f>_xll.QS.CONTEXT.CREATE("market.3147",A3149,"USD","SOFR")</f>
        <v>QSObject:PricingContext:w1~market.3147:15958</v>
      </c>
      <c r="D3149" s="6" t="str">
        <f>_xll.QS.CONTEXT.ADD.CURVE(C3149,"SOFR",$K$2:$K$7,$L$2:$L$7,,,"Actual360","LogLinear",TRUE)</f>
        <v>QSObject:ContextInput:w1~input.qs_context_add_curve.2359132437744.3148.3.0:37385</v>
      </c>
      <c r="E3149" s="6" t="str">
        <f>_xll.QS.INSTRUMENT.SWAP("swap.3147",H3149,B3149,"USD","SOFR",I3149,J3149,0,"Actual360","Simple","Annual","Annual","Annual")</f>
        <v>QSObject:Swap:w1~swap.3147:15957</v>
      </c>
      <c r="F3149" s="6" t="str">
        <f>_xll.QS.TRADE.CREATE("trade.3147",E3149,A3149,"Receive")</f>
        <v>QSObject:SwapTrade:w1~trade.3147:28692</v>
      </c>
      <c r="G3149" s="3">
        <f>_xll.QS.EVALUATE(C3149,F3149)</f>
        <v>46622.861798068916</v>
      </c>
      <c r="H3149" s="5" t="s">
        <v>2685</v>
      </c>
      <c r="I3149" s="7">
        <v>1314700</v>
      </c>
      <c r="J3149" s="8">
        <v>3.9700000000000013E-2</v>
      </c>
    </row>
    <row r="3150" spans="1:10" x14ac:dyDescent="0.25">
      <c r="A3150" s="5" t="s">
        <v>2673</v>
      </c>
      <c r="B3150" s="5" t="s">
        <v>5017</v>
      </c>
      <c r="C3150" s="6" t="str">
        <f>_xll.QS.CONTEXT.CREATE("market.3148",A3150,"USD","SOFR")</f>
        <v>QSObject:PricingContext:w1~market.3148:15956</v>
      </c>
      <c r="D3150" s="6" t="str">
        <f>_xll.QS.CONTEXT.ADD.CURVE(C3150,"SOFR",$K$2:$K$7,$L$2:$L$7,,,"Actual360","LogLinear",TRUE)</f>
        <v>QSObject:ContextInput:w1~input.qs_context_add_curve.2359132437744.3149.3.0:37384</v>
      </c>
      <c r="E3150" s="6" t="str">
        <f>_xll.QS.INSTRUMENT.SWAP("swap.3148",H3150,B3150,"USD","SOFR",I3150,J3150,0,"Actual360","Simple","Annual","Annual","Annual")</f>
        <v>QSObject:Swap:w1~swap.3148:15955</v>
      </c>
      <c r="F3150" s="6" t="str">
        <f>_xll.QS.TRADE.CREATE("trade.3148",E3150,A3150,"Receive")</f>
        <v>QSObject:SwapTrade:w1~trade.3148:28691</v>
      </c>
      <c r="G3150" s="3">
        <f>_xll.QS.EVALUATE(C3150,F3150)</f>
        <v>47121.472190116605</v>
      </c>
      <c r="H3150" s="5" t="s">
        <v>2687</v>
      </c>
      <c r="I3150" s="7">
        <v>1314800</v>
      </c>
      <c r="J3150" s="8">
        <v>3.9800000000000002E-2</v>
      </c>
    </row>
    <row r="3151" spans="1:10" x14ac:dyDescent="0.25">
      <c r="A3151" s="5" t="s">
        <v>2675</v>
      </c>
      <c r="B3151" s="5" t="s">
        <v>5018</v>
      </c>
      <c r="C3151" s="6" t="str">
        <f>_xll.QS.CONTEXT.CREATE("market.3149",A3151,"USD","SOFR")</f>
        <v>QSObject:PricingContext:w1~market.3149:15954</v>
      </c>
      <c r="D3151" s="6" t="str">
        <f>_xll.QS.CONTEXT.ADD.CURVE(C3151,"SOFR",$K$2:$K$7,$L$2:$L$7,,,"Actual360","LogLinear",TRUE)</f>
        <v>QSObject:ContextInput:w1~input.qs_context_add_curve.2359132437744.3150.3.0:37383</v>
      </c>
      <c r="E3151" s="6" t="str">
        <f>_xll.QS.INSTRUMENT.SWAP("swap.3149",H3151,B3151,"USD","SOFR",I3151,J3151,0,"Actual360","Simple","Annual","Annual","Annual")</f>
        <v>QSObject:Swap:w1~swap.3149:15953</v>
      </c>
      <c r="F3151" s="6" t="str">
        <f>_xll.QS.TRADE.CREATE("trade.3149",E3151,A3151,"Receive")</f>
        <v>QSObject:SwapTrade:w1~trade.3149:28690</v>
      </c>
      <c r="G3151" s="3">
        <f>_xll.QS.EVALUATE(C3151,F3151)</f>
        <v>47655.480771029928</v>
      </c>
      <c r="H3151" s="5" t="s">
        <v>2689</v>
      </c>
      <c r="I3151" s="7">
        <v>1314900</v>
      </c>
      <c r="J3151" s="8">
        <v>3.9899999999999998E-2</v>
      </c>
    </row>
    <row r="3152" spans="1:10" x14ac:dyDescent="0.25">
      <c r="A3152" s="5" t="s">
        <v>2677</v>
      </c>
      <c r="B3152" s="5" t="s">
        <v>5019</v>
      </c>
      <c r="C3152" s="6" t="str">
        <f>_xll.QS.CONTEXT.CREATE("market.3150",A3152,"USD","SOFR")</f>
        <v>QSObject:PricingContext:w1~market.3150:15952</v>
      </c>
      <c r="D3152" s="6" t="str">
        <f>_xll.QS.CONTEXT.ADD.CURVE(C3152,"SOFR",$K$2:$K$7,$L$2:$L$7,,,"Actual360","LogLinear",TRUE)</f>
        <v>QSObject:ContextInput:w1~input.qs_context_add_curve.2359132437744.3151.3.0:37382</v>
      </c>
      <c r="E3152" s="6" t="str">
        <f>_xll.QS.INSTRUMENT.SWAP("swap.3150",H3152,B3152,"USD","SOFR",I3152,J3152,0,"Actual360","Simple","Annual","Annual","Annual")</f>
        <v>QSObject:Swap:w1~swap.3150:15951</v>
      </c>
      <c r="F3152" s="6" t="str">
        <f>_xll.QS.TRADE.CREATE("trade.3150",E3152,A3152,"Receive")</f>
        <v>QSObject:SwapTrade:w1~trade.3150:28689</v>
      </c>
      <c r="G3152" s="3">
        <f>_xll.QS.EVALUATE(C3152,F3152)</f>
        <v>17989.007325874067</v>
      </c>
      <c r="H3152" s="5" t="s">
        <v>2691</v>
      </c>
      <c r="I3152" s="7">
        <v>1315000</v>
      </c>
      <c r="J3152" s="8">
        <v>3.5000000000000003E-2</v>
      </c>
    </row>
    <row r="3153" spans="1:10" x14ac:dyDescent="0.25">
      <c r="A3153" s="5" t="s">
        <v>2679</v>
      </c>
      <c r="B3153" s="5" t="s">
        <v>5020</v>
      </c>
      <c r="C3153" s="6" t="str">
        <f>_xll.QS.CONTEXT.CREATE("market.3151",A3153,"USD","SOFR")</f>
        <v>QSObject:PricingContext:w1~market.3151:15950</v>
      </c>
      <c r="D3153" s="6" t="str">
        <f>_xll.QS.CONTEXT.ADD.CURVE(C3153,"SOFR",$K$2:$K$7,$L$2:$L$7,,,"Actual360","LogLinear",TRUE)</f>
        <v>QSObject:ContextInput:w1~input.qs_context_add_curve.2359132437744.3152.3.0:37381</v>
      </c>
      <c r="E3153" s="6" t="str">
        <f>_xll.QS.INSTRUMENT.SWAP("swap.3151",H3153,B3153,"USD","SOFR",I3153,J3153,0,"Actual360","Simple","Annual","Annual","Annual")</f>
        <v>QSObject:Swap:w1~swap.3151:15949</v>
      </c>
      <c r="F3153" s="6" t="str">
        <f>_xll.QS.TRADE.CREATE("trade.3151",E3153,A3153,"Receive")</f>
        <v>QSObject:SwapTrade:w1~trade.3151:28688</v>
      </c>
      <c r="G3153" s="3">
        <f>_xll.QS.EVALUATE(C3153,F3153)</f>
        <v>18637.457768079512</v>
      </c>
      <c r="H3153" s="5" t="s">
        <v>2693</v>
      </c>
      <c r="I3153" s="7">
        <v>1315100</v>
      </c>
      <c r="J3153" s="8">
        <v>3.5100000000000013E-2</v>
      </c>
    </row>
    <row r="3154" spans="1:10" x14ac:dyDescent="0.25">
      <c r="A3154" s="5" t="s">
        <v>2681</v>
      </c>
      <c r="B3154" s="5" t="s">
        <v>5021</v>
      </c>
      <c r="C3154" s="6" t="str">
        <f>_xll.QS.CONTEXT.CREATE("market.3152",A3154,"USD","SOFR")</f>
        <v>QSObject:PricingContext:w1~market.3152:15948</v>
      </c>
      <c r="D3154" s="6" t="str">
        <f>_xll.QS.CONTEXT.ADD.CURVE(C3154,"SOFR",$K$2:$K$7,$L$2:$L$7,,,"Actual360","LogLinear",TRUE)</f>
        <v>QSObject:ContextInput:w1~input.qs_context_add_curve.2359132437744.3153.3.0:37380</v>
      </c>
      <c r="E3154" s="6" t="str">
        <f>_xll.QS.INSTRUMENT.SWAP("swap.3152",H3154,B3154,"USD","SOFR",I3154,J3154,0,"Actual360","Simple","Annual","Annual","Annual")</f>
        <v>QSObject:Swap:w1~swap.3152:15947</v>
      </c>
      <c r="F3154" s="6" t="str">
        <f>_xll.QS.TRADE.CREATE("trade.3152",E3154,A3154,"Receive")</f>
        <v>QSObject:SwapTrade:w1~trade.3152:28687</v>
      </c>
      <c r="G3154" s="3">
        <f>_xll.QS.EVALUATE(C3154,F3154)</f>
        <v>19341.271102749321</v>
      </c>
      <c r="H3154" s="5" t="s">
        <v>2695</v>
      </c>
      <c r="I3154" s="7">
        <v>1315200</v>
      </c>
      <c r="J3154" s="8">
        <v>3.5200000000000002E-2</v>
      </c>
    </row>
    <row r="3155" spans="1:10" x14ac:dyDescent="0.25">
      <c r="A3155" s="5" t="s">
        <v>2683</v>
      </c>
      <c r="B3155" s="5" t="s">
        <v>5022</v>
      </c>
      <c r="C3155" s="6" t="str">
        <f>_xll.QS.CONTEXT.CREATE("market.3153",A3155,"USD","SOFR")</f>
        <v>QSObject:PricingContext:w1~market.3153:15946</v>
      </c>
      <c r="D3155" s="6" t="str">
        <f>_xll.QS.CONTEXT.ADD.CURVE(C3155,"SOFR",$K$2:$K$7,$L$2:$L$7,,,"Actual360","LogLinear",TRUE)</f>
        <v>QSObject:ContextInput:w1~input.qs_context_add_curve.2359132437744.3154.3.0:37379</v>
      </c>
      <c r="E3155" s="6" t="str">
        <f>_xll.QS.INSTRUMENT.SWAP("swap.3153",H3155,B3155,"USD","SOFR",I3155,J3155,0,"Actual360","Simple","Annual","Annual","Annual")</f>
        <v>QSObject:Swap:w1~swap.3153:15945</v>
      </c>
      <c r="F3155" s="6" t="str">
        <f>_xll.QS.TRADE.CREATE("trade.3153",E3155,A3155,"Receive")</f>
        <v>QSObject:SwapTrade:w1~trade.3153:28686</v>
      </c>
      <c r="G3155" s="3">
        <f>_xll.QS.EVALUATE(C3155,F3155)</f>
        <v>20006.355121948916</v>
      </c>
      <c r="H3155" s="5" t="s">
        <v>2697</v>
      </c>
      <c r="I3155" s="7">
        <v>1315300</v>
      </c>
      <c r="J3155" s="8">
        <v>3.5299999999999998E-2</v>
      </c>
    </row>
    <row r="3156" spans="1:10" x14ac:dyDescent="0.25">
      <c r="A3156" s="5" t="s">
        <v>2685</v>
      </c>
      <c r="B3156" s="5" t="s">
        <v>5023</v>
      </c>
      <c r="C3156" s="6" t="str">
        <f>_xll.QS.CONTEXT.CREATE("market.3154",A3156,"USD","SOFR")</f>
        <v>QSObject:PricingContext:w1~market.3154:15944</v>
      </c>
      <c r="D3156" s="6" t="str">
        <f>_xll.QS.CONTEXT.ADD.CURVE(C3156,"SOFR",$K$2:$K$7,$L$2:$L$7,,,"Actual360","LogLinear",TRUE)</f>
        <v>QSObject:ContextInput:w1~input.qs_context_add_curve.2359132437744.3155.3.0:37378</v>
      </c>
      <c r="E3156" s="6" t="str">
        <f>_xll.QS.INSTRUMENT.SWAP("swap.3154",H3156,B3156,"USD","SOFR",I3156,J3156,0,"Actual360","Simple","Annual","Annual","Annual")</f>
        <v>QSObject:Swap:w1~swap.3154:15943</v>
      </c>
      <c r="F3156" s="6" t="str">
        <f>_xll.QS.TRADE.CREATE("trade.3154",E3156,A3156,"Receive")</f>
        <v>QSObject:SwapTrade:w1~trade.3154:28685</v>
      </c>
      <c r="G3156" s="3">
        <f>_xll.QS.EVALUATE(C3156,F3156)</f>
        <v>20564.612751134038</v>
      </c>
      <c r="H3156" s="5" t="s">
        <v>2699</v>
      </c>
      <c r="I3156" s="7">
        <v>1315400</v>
      </c>
      <c r="J3156" s="8">
        <v>3.5400000000000001E-2</v>
      </c>
    </row>
    <row r="3157" spans="1:10" x14ac:dyDescent="0.25">
      <c r="A3157" s="5" t="s">
        <v>2687</v>
      </c>
      <c r="B3157" s="5" t="s">
        <v>5024</v>
      </c>
      <c r="C3157" s="6" t="str">
        <f>_xll.QS.CONTEXT.CREATE("market.3155",A3157,"USD","SOFR")</f>
        <v>QSObject:PricingContext:w1~market.3155:15942</v>
      </c>
      <c r="D3157" s="6" t="str">
        <f>_xll.QS.CONTEXT.ADD.CURVE(C3157,"SOFR",$K$2:$K$7,$L$2:$L$7,,,"Actual360","LogLinear",TRUE)</f>
        <v>QSObject:ContextInput:w1~input.qs_context_add_curve.2359132437744.3156.3.0:37377</v>
      </c>
      <c r="E3157" s="6" t="str">
        <f>_xll.QS.INSTRUMENT.SWAP("swap.3155",H3157,B3157,"USD","SOFR",I3157,J3157,0,"Actual360","Simple","Annual","Annual","Annual")</f>
        <v>QSObject:Swap:w1~swap.3155:15941</v>
      </c>
      <c r="F3157" s="6" t="str">
        <f>_xll.QS.TRADE.CREATE("trade.3155",E3157,A3157,"Receive")</f>
        <v>QSObject:SwapTrade:w1~trade.3155:28684</v>
      </c>
      <c r="G3157" s="3">
        <f>_xll.QS.EVALUATE(C3157,F3157)</f>
        <v>21092.244200913003</v>
      </c>
      <c r="H3157" s="5" t="s">
        <v>2701</v>
      </c>
      <c r="I3157" s="7">
        <v>1315500</v>
      </c>
      <c r="J3157" s="8">
        <v>3.5499999999999997E-2</v>
      </c>
    </row>
    <row r="3158" spans="1:10" x14ac:dyDescent="0.25">
      <c r="A3158" s="5" t="s">
        <v>2689</v>
      </c>
      <c r="B3158" s="5" t="s">
        <v>5025</v>
      </c>
      <c r="C3158" s="6" t="str">
        <f>_xll.QS.CONTEXT.CREATE("market.3156",A3158,"USD","SOFR")</f>
        <v>QSObject:PricingContext:w1~market.3156:15940</v>
      </c>
      <c r="D3158" s="6" t="str">
        <f>_xll.QS.CONTEXT.ADD.CURVE(C3158,"SOFR",$K$2:$K$7,$L$2:$L$7,,,"Actual360","LogLinear",TRUE)</f>
        <v>QSObject:ContextInput:w1~input.qs_context_add_curve.2359132437744.3157.3.0:37376</v>
      </c>
      <c r="E3158" s="6" t="str">
        <f>_xll.QS.INSTRUMENT.SWAP("swap.3156",H3158,B3158,"USD","SOFR",I3158,J3158,0,"Actual360","Simple","Annual","Annual","Annual")</f>
        <v>QSObject:Swap:w1~swap.3156:15939</v>
      </c>
      <c r="F3158" s="6" t="str">
        <f>_xll.QS.TRADE.CREATE("trade.3156",E3158,A3158,"Receive")</f>
        <v>QSObject:SwapTrade:w1~trade.3156:28683</v>
      </c>
      <c r="G3158" s="3">
        <f>_xll.QS.EVALUATE(C3158,F3158)</f>
        <v>21701.468139871533</v>
      </c>
      <c r="H3158" s="5" t="s">
        <v>2703</v>
      </c>
      <c r="I3158" s="7">
        <v>1315600</v>
      </c>
      <c r="J3158" s="8">
        <v>3.5600000000000007E-2</v>
      </c>
    </row>
    <row r="3159" spans="1:10" x14ac:dyDescent="0.25">
      <c r="A3159" s="5" t="s">
        <v>2691</v>
      </c>
      <c r="B3159" s="5" t="s">
        <v>5026</v>
      </c>
      <c r="C3159" s="6" t="str">
        <f>_xll.QS.CONTEXT.CREATE("market.3157",A3159,"USD","SOFR")</f>
        <v>QSObject:PricingContext:w1~market.3157:15938</v>
      </c>
      <c r="D3159" s="6" t="str">
        <f>_xll.QS.CONTEXT.ADD.CURVE(C3159,"SOFR",$K$2:$K$7,$L$2:$L$7,,,"Actual360","LogLinear",TRUE)</f>
        <v>QSObject:ContextInput:w1~input.qs_context_add_curve.2359132437744.3158.3.0:37375</v>
      </c>
      <c r="E3159" s="6" t="str">
        <f>_xll.QS.INSTRUMENT.SWAP("swap.3157",H3159,B3159,"USD","SOFR",I3159,J3159,0,"Actual360","Simple","Annual","Annual","Annual")</f>
        <v>QSObject:Swap:w1~swap.3157:15937</v>
      </c>
      <c r="F3159" s="6" t="str">
        <f>_xll.QS.TRADE.CREATE("trade.3157",E3159,A3159,"Receive")</f>
        <v>QSObject:SwapTrade:w1~trade.3157:28682</v>
      </c>
      <c r="G3159" s="3">
        <f>_xll.QS.EVALUATE(C3159,F3159)</f>
        <v>22364.247534842136</v>
      </c>
      <c r="H3159" s="5" t="s">
        <v>2705</v>
      </c>
      <c r="I3159" s="7">
        <v>1315700</v>
      </c>
      <c r="J3159" s="8">
        <v>3.5700000000000003E-2</v>
      </c>
    </row>
    <row r="3160" spans="1:10" x14ac:dyDescent="0.25">
      <c r="A3160" s="5" t="s">
        <v>2693</v>
      </c>
      <c r="B3160" s="5" t="s">
        <v>5027</v>
      </c>
      <c r="C3160" s="6" t="str">
        <f>_xll.QS.CONTEXT.CREATE("market.3158",A3160,"USD","SOFR")</f>
        <v>QSObject:PricingContext:w1~market.3158:15936</v>
      </c>
      <c r="D3160" s="6" t="str">
        <f>_xll.QS.CONTEXT.ADD.CURVE(C3160,"SOFR",$K$2:$K$7,$L$2:$L$7,,,"Actual360","LogLinear",TRUE)</f>
        <v>QSObject:ContextInput:w1~input.qs_context_add_curve.2359132437744.3159.3.0:37374</v>
      </c>
      <c r="E3160" s="6" t="str">
        <f>_xll.QS.INSTRUMENT.SWAP("swap.3158",H3160,B3160,"USD","SOFR",I3160,J3160,0,"Actual360","Simple","Annual","Annual","Annual")</f>
        <v>QSObject:Swap:w1~swap.3158:15935</v>
      </c>
      <c r="F3160" s="6" t="str">
        <f>_xll.QS.TRADE.CREATE("trade.3158",E3160,A3160,"Receive")</f>
        <v>QSObject:SwapTrade:w1~trade.3158:28681</v>
      </c>
      <c r="G3160" s="3">
        <f>_xll.QS.EVALUATE(C3160,F3160)</f>
        <v>22856.030244262154</v>
      </c>
      <c r="H3160" s="5" t="s">
        <v>2707</v>
      </c>
      <c r="I3160" s="7">
        <v>1315800</v>
      </c>
      <c r="J3160" s="8">
        <v>3.5800000000000012E-2</v>
      </c>
    </row>
    <row r="3161" spans="1:10" x14ac:dyDescent="0.25">
      <c r="A3161" s="5" t="s">
        <v>2695</v>
      </c>
      <c r="B3161" s="5" t="s">
        <v>5028</v>
      </c>
      <c r="C3161" s="6" t="str">
        <f>_xll.QS.CONTEXT.CREATE("market.3159",A3161,"USD","SOFR")</f>
        <v>QSObject:PricingContext:w1~market.3159:15934</v>
      </c>
      <c r="D3161" s="6" t="str">
        <f>_xll.QS.CONTEXT.ADD.CURVE(C3161,"SOFR",$K$2:$K$7,$L$2:$L$7,,,"Actual360","LogLinear",TRUE)</f>
        <v>QSObject:ContextInput:w1~input.qs_context_add_curve.2359132437744.3160.3.0:37373</v>
      </c>
      <c r="E3161" s="6" t="str">
        <f>_xll.QS.INSTRUMENT.SWAP("swap.3159",H3161,B3161,"USD","SOFR",I3161,J3161,0,"Actual360","Simple","Annual","Annual","Annual")</f>
        <v>QSObject:Swap:w1~swap.3159:15933</v>
      </c>
      <c r="F3161" s="6" t="str">
        <f>_xll.QS.TRADE.CREATE("trade.3159",E3161,A3161,"Receive")</f>
        <v>QSObject:SwapTrade:w1~trade.3159:28680</v>
      </c>
      <c r="G3161" s="3">
        <f>_xll.QS.EVALUATE(C3161,F3161)</f>
        <v>23647.482334977074</v>
      </c>
      <c r="H3161" s="5" t="s">
        <v>2709</v>
      </c>
      <c r="I3161" s="7">
        <v>1315900</v>
      </c>
      <c r="J3161" s="8">
        <v>3.5900000000000001E-2</v>
      </c>
    </row>
    <row r="3162" spans="1:10" x14ac:dyDescent="0.25">
      <c r="A3162" s="5" t="s">
        <v>2697</v>
      </c>
      <c r="B3162" s="5" t="s">
        <v>5029</v>
      </c>
      <c r="C3162" s="6" t="str">
        <f>_xll.QS.CONTEXT.CREATE("market.3160",A3162,"USD","SOFR")</f>
        <v>QSObject:PricingContext:w1~market.3160:15932</v>
      </c>
      <c r="D3162" s="6" t="str">
        <f>_xll.QS.CONTEXT.ADD.CURVE(C3162,"SOFR",$K$2:$K$7,$L$2:$L$7,,,"Actual360","LogLinear",TRUE)</f>
        <v>QSObject:ContextInput:w1~input.qs_context_add_curve.2359132437744.3161.3.0:37372</v>
      </c>
      <c r="E3162" s="6" t="str">
        <f>_xll.QS.INSTRUMENT.SWAP("swap.3160",H3162,B3162,"USD","SOFR",I3162,J3162,0,"Actual360","Simple","Annual","Annual","Annual")</f>
        <v>QSObject:Swap:w1~swap.3160:15931</v>
      </c>
      <c r="F3162" s="6" t="str">
        <f>_xll.QS.TRADE.CREATE("trade.3160",E3162,A3162,"Receive")</f>
        <v>QSObject:SwapTrade:w1~trade.3160:28679</v>
      </c>
      <c r="G3162" s="3">
        <f>_xll.QS.EVALUATE(C3162,F3162)</f>
        <v>24259.673314050189</v>
      </c>
      <c r="H3162" s="5" t="s">
        <v>2711</v>
      </c>
      <c r="I3162" s="7">
        <v>1316000</v>
      </c>
      <c r="J3162" s="8">
        <v>3.5999999999999997E-2</v>
      </c>
    </row>
    <row r="3163" spans="1:10" x14ac:dyDescent="0.25">
      <c r="A3163" s="5" t="s">
        <v>2699</v>
      </c>
      <c r="B3163" s="5" t="s">
        <v>5030</v>
      </c>
      <c r="C3163" s="6" t="str">
        <f>_xll.QS.CONTEXT.CREATE("market.3161",A3163,"USD","SOFR")</f>
        <v>QSObject:PricingContext:w1~market.3161:15930</v>
      </c>
      <c r="D3163" s="6" t="str">
        <f>_xll.QS.CONTEXT.ADD.CURVE(C3163,"SOFR",$K$2:$K$7,$L$2:$L$7,,,"Actual360","LogLinear",TRUE)</f>
        <v>QSObject:ContextInput:w1~input.qs_context_add_curve.2359132437744.3162.3.0:37371</v>
      </c>
      <c r="E3163" s="6" t="str">
        <f>_xll.QS.INSTRUMENT.SWAP("swap.3161",H3163,B3163,"USD","SOFR",I3163,J3163,0,"Actual360","Simple","Annual","Annual","Annual")</f>
        <v>QSObject:Swap:w1~swap.3161:15929</v>
      </c>
      <c r="F3163" s="6" t="str">
        <f>_xll.QS.TRADE.CREATE("trade.3161",E3163,A3163,"Receive")</f>
        <v>QSObject:SwapTrade:w1~trade.3161:28678</v>
      </c>
      <c r="G3163" s="3">
        <f>_xll.QS.EVALUATE(C3163,F3163)</f>
        <v>24873.63639009864</v>
      </c>
      <c r="H3163" s="5" t="s">
        <v>2713</v>
      </c>
      <c r="I3163" s="7">
        <v>1316100</v>
      </c>
      <c r="J3163" s="8">
        <v>3.61E-2</v>
      </c>
    </row>
    <row r="3164" spans="1:10" x14ac:dyDescent="0.25">
      <c r="A3164" s="5" t="s">
        <v>2701</v>
      </c>
      <c r="B3164" s="5" t="s">
        <v>5031</v>
      </c>
      <c r="C3164" s="6" t="str">
        <f>_xll.QS.CONTEXT.CREATE("market.3162",A3164,"USD","SOFR")</f>
        <v>QSObject:PricingContext:w1~market.3162:15928</v>
      </c>
      <c r="D3164" s="6" t="str">
        <f>_xll.QS.CONTEXT.ADD.CURVE(C3164,"SOFR",$K$2:$K$7,$L$2:$L$7,,,"Actual360","LogLinear",TRUE)</f>
        <v>QSObject:ContextInput:w1~input.qs_context_add_curve.2359132437744.3163.3.0:37370</v>
      </c>
      <c r="E3164" s="6" t="str">
        <f>_xll.QS.INSTRUMENT.SWAP("swap.3162",H3164,B3164,"USD","SOFR",I3164,J3164,0,"Actual360","Simple","Annual","Annual","Annual")</f>
        <v>QSObject:Swap:w1~swap.3162:15927</v>
      </c>
      <c r="F3164" s="6" t="str">
        <f>_xll.QS.TRADE.CREATE("trade.3162",E3164,A3164,"Receive")</f>
        <v>QSObject:SwapTrade:w1~trade.3162:28677</v>
      </c>
      <c r="G3164" s="3">
        <f>_xll.QS.EVALUATE(C3164,F3164)</f>
        <v>25380.363793612945</v>
      </c>
      <c r="H3164" s="5" t="s">
        <v>2715</v>
      </c>
      <c r="I3164" s="7">
        <v>1316200</v>
      </c>
      <c r="J3164" s="8">
        <v>3.6200000000000003E-2</v>
      </c>
    </row>
    <row r="3165" spans="1:10" x14ac:dyDescent="0.25">
      <c r="A3165" s="5" t="s">
        <v>2703</v>
      </c>
      <c r="B3165" s="5" t="s">
        <v>5032</v>
      </c>
      <c r="C3165" s="6" t="str">
        <f>_xll.QS.CONTEXT.CREATE("market.3163",A3165,"USD","SOFR")</f>
        <v>QSObject:PricingContext:w1~market.3163:15926</v>
      </c>
      <c r="D3165" s="6" t="str">
        <f>_xll.QS.CONTEXT.ADD.CURVE(C3165,"SOFR",$K$2:$K$7,$L$2:$L$7,,,"Actual360","LogLinear",TRUE)</f>
        <v>QSObject:ContextInput:w1~input.qs_context_add_curve.2359132437744.3164.3.0:37369</v>
      </c>
      <c r="E3165" s="6" t="str">
        <f>_xll.QS.INSTRUMENT.SWAP("swap.3163",H3165,B3165,"USD","SOFR",I3165,J3165,0,"Actual360","Simple","Annual","Annual","Annual")</f>
        <v>QSObject:Swap:w1~swap.3163:15925</v>
      </c>
      <c r="F3165" s="6" t="str">
        <f>_xll.QS.TRADE.CREATE("trade.3163",E3165,A3165,"Receive")</f>
        <v>QSObject:SwapTrade:w1~trade.3163:28676</v>
      </c>
      <c r="G3165" s="3">
        <f>_xll.QS.EVALUATE(C3165,F3165)</f>
        <v>25878.881208612074</v>
      </c>
      <c r="H3165" s="5" t="s">
        <v>2717</v>
      </c>
      <c r="I3165" s="7">
        <v>1316300</v>
      </c>
      <c r="J3165" s="8">
        <v>3.6300000000000013E-2</v>
      </c>
    </row>
    <row r="3166" spans="1:10" x14ac:dyDescent="0.25">
      <c r="A3166" s="5" t="s">
        <v>2705</v>
      </c>
      <c r="B3166" s="5" t="s">
        <v>5033</v>
      </c>
      <c r="C3166" s="6" t="str">
        <f>_xll.QS.CONTEXT.CREATE("market.3164",A3166,"USD","SOFR")</f>
        <v>QSObject:PricingContext:w1~market.3164:15924</v>
      </c>
      <c r="D3166" s="6" t="str">
        <f>_xll.QS.CONTEXT.ADD.CURVE(C3166,"SOFR",$K$2:$K$7,$L$2:$L$7,,,"Actual360","LogLinear",TRUE)</f>
        <v>QSObject:ContextInput:w1~input.qs_context_add_curve.2359132437744.3165.3.0:37368</v>
      </c>
      <c r="E3166" s="6" t="str">
        <f>_xll.QS.INSTRUMENT.SWAP("swap.3164",H3166,B3166,"USD","SOFR",I3166,J3166,0,"Actual360","Simple","Annual","Annual","Annual")</f>
        <v>QSObject:Swap:w1~swap.3164:15923</v>
      </c>
      <c r="F3166" s="6" t="str">
        <f>_xll.QS.TRADE.CREATE("trade.3164",E3166,A3166,"Receive")</f>
        <v>QSObject:SwapTrade:w1~trade.3164:28675</v>
      </c>
      <c r="G3166" s="3">
        <f>_xll.QS.EVALUATE(C3166,F3166)</f>
        <v>26493.939115221736</v>
      </c>
      <c r="H3166" s="5" t="s">
        <v>2719</v>
      </c>
      <c r="I3166" s="7">
        <v>1316400</v>
      </c>
      <c r="J3166" s="8">
        <v>3.6400000000000002E-2</v>
      </c>
    </row>
    <row r="3167" spans="1:10" x14ac:dyDescent="0.25">
      <c r="A3167" s="5" t="s">
        <v>2707</v>
      </c>
      <c r="B3167" s="5" t="s">
        <v>5034</v>
      </c>
      <c r="C3167" s="6" t="str">
        <f>_xll.QS.CONTEXT.CREATE("market.3165",A3167,"USD","SOFR")</f>
        <v>QSObject:PricingContext:w1~market.3165:15922</v>
      </c>
      <c r="D3167" s="6" t="str">
        <f>_xll.QS.CONTEXT.ADD.CURVE(C3167,"SOFR",$K$2:$K$7,$L$2:$L$7,,,"Actual360","LogLinear",TRUE)</f>
        <v>QSObject:ContextInput:w1~input.qs_context_add_curve.2359132437744.3166.3.0:37367</v>
      </c>
      <c r="E3167" s="6" t="str">
        <f>_xll.QS.INSTRUMENT.SWAP("swap.3165",H3167,B3167,"USD","SOFR",I3167,J3167,0,"Actual360","Simple","Annual","Annual","Annual")</f>
        <v>QSObject:Swap:w1~swap.3165:15921</v>
      </c>
      <c r="F3167" s="6" t="str">
        <f>_xll.QS.TRADE.CREATE("trade.3165",E3167,A3167,"Receive")</f>
        <v>QSObject:SwapTrade:w1~trade.3165:28674</v>
      </c>
      <c r="G3167" s="3">
        <f>_xll.QS.EVALUATE(C3167,F3167)</f>
        <v>27156.933292493894</v>
      </c>
      <c r="H3167" s="5" t="s">
        <v>2721</v>
      </c>
      <c r="I3167" s="7">
        <v>1316500</v>
      </c>
      <c r="J3167" s="8">
        <v>3.6499999999999998E-2</v>
      </c>
    </row>
    <row r="3168" spans="1:10" x14ac:dyDescent="0.25">
      <c r="A3168" s="5" t="s">
        <v>2709</v>
      </c>
      <c r="B3168" s="5" t="s">
        <v>5035</v>
      </c>
      <c r="C3168" s="6" t="str">
        <f>_xll.QS.CONTEXT.CREATE("market.3166",A3168,"USD","SOFR")</f>
        <v>QSObject:PricingContext:w1~market.3166:15920</v>
      </c>
      <c r="D3168" s="6" t="str">
        <f>_xll.QS.CONTEXT.ADD.CURVE(C3168,"SOFR",$K$2:$K$7,$L$2:$L$7,,,"Actual360","LogLinear",TRUE)</f>
        <v>QSObject:ContextInput:w1~input.qs_context_add_curve.2359132437744.3167.3.0:37366</v>
      </c>
      <c r="E3168" s="6" t="str">
        <f>_xll.QS.INSTRUMENT.SWAP("swap.3166",H3168,B3168,"USD","SOFR",I3168,J3168,0,"Actual360","Simple","Annual","Annual","Annual")</f>
        <v>QSObject:Swap:w1~swap.3166:15919</v>
      </c>
      <c r="F3168" s="6" t="str">
        <f>_xll.QS.TRADE.CREATE("trade.3166",E3168,A3168,"Receive")</f>
        <v>QSObject:SwapTrade:w1~trade.3166:28673</v>
      </c>
      <c r="G3168" s="3">
        <f>_xll.QS.EVALUATE(C3168,F3168)</f>
        <v>27861.915334096913</v>
      </c>
      <c r="H3168" s="5" t="s">
        <v>2723</v>
      </c>
      <c r="I3168" s="7">
        <v>1316600</v>
      </c>
      <c r="J3168" s="8">
        <v>3.6600000000000001E-2</v>
      </c>
    </row>
    <row r="3169" spans="1:10" x14ac:dyDescent="0.25">
      <c r="A3169" s="5" t="s">
        <v>2711</v>
      </c>
      <c r="B3169" s="5" t="s">
        <v>5036</v>
      </c>
      <c r="C3169" s="6" t="str">
        <f>_xll.QS.CONTEXT.CREATE("market.3167",A3169,"USD","SOFR")</f>
        <v>QSObject:PricingContext:w1~market.3167:15918</v>
      </c>
      <c r="D3169" s="6" t="str">
        <f>_xll.QS.CONTEXT.ADD.CURVE(C3169,"SOFR",$K$2:$K$7,$L$2:$L$7,,,"Actual360","LogLinear",TRUE)</f>
        <v>QSObject:ContextInput:w1~input.qs_context_add_curve.2359132437744.3168.3.0:37365</v>
      </c>
      <c r="E3169" s="6" t="str">
        <f>_xll.QS.INSTRUMENT.SWAP("swap.3167",H3169,B3169,"USD","SOFR",I3169,J3169,0,"Actual360","Simple","Annual","Annual","Annual")</f>
        <v>QSObject:Swap:w1~swap.3167:15917</v>
      </c>
      <c r="F3169" s="6" t="str">
        <f>_xll.QS.TRADE.CREATE("trade.3167",E3169,A3169,"Receive")</f>
        <v>QSObject:SwapTrade:w1~trade.3167:28672</v>
      </c>
      <c r="G3169" s="3">
        <f>_xll.QS.EVALUATE(C3169,F3169)</f>
        <v>28530.599343900467</v>
      </c>
      <c r="H3169" s="5" t="s">
        <v>2725</v>
      </c>
      <c r="I3169" s="7">
        <v>1316700</v>
      </c>
      <c r="J3169" s="8">
        <v>3.6700000000000003E-2</v>
      </c>
    </row>
    <row r="3170" spans="1:10" x14ac:dyDescent="0.25">
      <c r="A3170" s="5" t="s">
        <v>2713</v>
      </c>
      <c r="B3170" s="5" t="s">
        <v>5037</v>
      </c>
      <c r="C3170" s="6" t="str">
        <f>_xll.QS.CONTEXT.CREATE("market.3168",A3170,"USD","SOFR")</f>
        <v>QSObject:PricingContext:w1~market.3168:15916</v>
      </c>
      <c r="D3170" s="6" t="str">
        <f>_xll.QS.CONTEXT.ADD.CURVE(C3170,"SOFR",$K$2:$K$7,$L$2:$L$7,,,"Actual360","LogLinear",TRUE)</f>
        <v>QSObject:ContextInput:w1~input.qs_context_add_curve.2359132437744.3169.3.0:37364</v>
      </c>
      <c r="E3170" s="6" t="str">
        <f>_xll.QS.INSTRUMENT.SWAP("swap.3168",H3170,B3170,"USD","SOFR",I3170,J3170,0,"Actual360","Simple","Annual","Annual","Annual")</f>
        <v>QSObject:Swap:w1~swap.3168:15915</v>
      </c>
      <c r="F3170" s="6" t="str">
        <f>_xll.QS.TRADE.CREATE("trade.3168",E3170,A3170,"Receive")</f>
        <v>QSObject:SwapTrade:w1~trade.3168:28671</v>
      </c>
      <c r="G3170" s="3">
        <f>_xll.QS.EVALUATE(C3170,F3170)</f>
        <v>29141.361683701922</v>
      </c>
      <c r="H3170" s="5" t="s">
        <v>2727</v>
      </c>
      <c r="I3170" s="7">
        <v>1316800</v>
      </c>
      <c r="J3170" s="8">
        <v>3.6800000000000013E-2</v>
      </c>
    </row>
    <row r="3171" spans="1:10" x14ac:dyDescent="0.25">
      <c r="A3171" s="5" t="s">
        <v>2715</v>
      </c>
      <c r="B3171" s="5" t="s">
        <v>5038</v>
      </c>
      <c r="C3171" s="6" t="str">
        <f>_xll.QS.CONTEXT.CREATE("market.3169",A3171,"USD","SOFR")</f>
        <v>QSObject:PricingContext:w1~market.3169:15914</v>
      </c>
      <c r="D3171" s="6" t="str">
        <f>_xll.QS.CONTEXT.ADD.CURVE(C3171,"SOFR",$K$2:$K$7,$L$2:$L$7,,,"Actual360","LogLinear",TRUE)</f>
        <v>QSObject:ContextInput:w1~input.qs_context_add_curve.2359132437744.3170.3.0:37363</v>
      </c>
      <c r="E3171" s="6" t="str">
        <f>_xll.QS.INSTRUMENT.SWAP("swap.3169",H3171,B3171,"USD","SOFR",I3171,J3171,0,"Actual360","Simple","Annual","Annual","Annual")</f>
        <v>QSObject:Swap:w1~swap.3169:15913</v>
      </c>
      <c r="F3171" s="6" t="str">
        <f>_xll.QS.TRADE.CREATE("trade.3169",E3171,A3171,"Receive")</f>
        <v>QSObject:SwapTrade:w1~trade.3169:28670</v>
      </c>
      <c r="G3171" s="3">
        <f>_xll.QS.EVALUATE(C3171,F3171)</f>
        <v>29660.18615933734</v>
      </c>
      <c r="H3171" s="5" t="s">
        <v>2729</v>
      </c>
      <c r="I3171" s="7">
        <v>1316900</v>
      </c>
      <c r="J3171" s="8">
        <v>3.6900000000000002E-2</v>
      </c>
    </row>
    <row r="3172" spans="1:10" x14ac:dyDescent="0.25">
      <c r="A3172" s="5" t="s">
        <v>2717</v>
      </c>
      <c r="B3172" s="5" t="s">
        <v>5039</v>
      </c>
      <c r="C3172" s="6" t="str">
        <f>_xll.QS.CONTEXT.CREATE("market.3170",A3172,"USD","SOFR")</f>
        <v>QSObject:PricingContext:w1~market.3170:15912</v>
      </c>
      <c r="D3172" s="6" t="str">
        <f>_xll.QS.CONTEXT.ADD.CURVE(C3172,"SOFR",$K$2:$K$7,$L$2:$L$7,,,"Actual360","LogLinear",TRUE)</f>
        <v>QSObject:ContextInput:w1~input.qs_context_add_curve.2359132437744.3171.3.0:37362</v>
      </c>
      <c r="E3172" s="6" t="str">
        <f>_xll.QS.INSTRUMENT.SWAP("swap.3170",H3172,B3172,"USD","SOFR",I3172,J3172,0,"Actual360","Simple","Annual","Annual","Annual")</f>
        <v>QSObject:Swap:w1~swap.3170:15911</v>
      </c>
      <c r="F3172" s="6" t="str">
        <f>_xll.QS.TRADE.CREATE("trade.3170",E3172,A3172,"Receive")</f>
        <v>QSObject:SwapTrade:w1~trade.3170:28669</v>
      </c>
      <c r="G3172" s="3">
        <f>_xll.QS.EVALUATE(C3172,F3172)</f>
        <v>30166.281534965812</v>
      </c>
      <c r="H3172" s="5" t="s">
        <v>2731</v>
      </c>
      <c r="I3172" s="7">
        <v>1317000</v>
      </c>
      <c r="J3172" s="8">
        <v>3.7000000000000012E-2</v>
      </c>
    </row>
    <row r="3173" spans="1:10" x14ac:dyDescent="0.25">
      <c r="A3173" s="5" t="s">
        <v>2719</v>
      </c>
      <c r="B3173" s="5" t="s">
        <v>5040</v>
      </c>
      <c r="C3173" s="6" t="str">
        <f>_xll.QS.CONTEXT.CREATE("market.3171",A3173,"USD","SOFR")</f>
        <v>QSObject:PricingContext:w1~market.3171:15910</v>
      </c>
      <c r="D3173" s="6" t="str">
        <f>_xll.QS.CONTEXT.ADD.CURVE(C3173,"SOFR",$K$2:$K$7,$L$2:$L$7,,,"Actual360","LogLinear",TRUE)</f>
        <v>QSObject:ContextInput:w1~input.qs_context_add_curve.2359132437744.3172.3.0:37361</v>
      </c>
      <c r="E3173" s="6" t="str">
        <f>_xll.QS.INSTRUMENT.SWAP("swap.3171",H3173,B3173,"USD","SOFR",I3173,J3173,0,"Actual360","Simple","Annual","Annual","Annual")</f>
        <v>QSObject:Swap:w1~swap.3171:15909</v>
      </c>
      <c r="F3173" s="6" t="str">
        <f>_xll.QS.TRADE.CREATE("trade.3171",E3173,A3173,"Receive")</f>
        <v>QSObject:SwapTrade:w1~trade.3171:28668</v>
      </c>
      <c r="G3173" s="3">
        <f>_xll.QS.EVALUATE(C3173,F3173)</f>
        <v>30778.465347533041</v>
      </c>
      <c r="H3173" s="5" t="s">
        <v>2733</v>
      </c>
      <c r="I3173" s="7">
        <v>1317100</v>
      </c>
      <c r="J3173" s="8">
        <v>3.7100000000000001E-2</v>
      </c>
    </row>
    <row r="3174" spans="1:10" x14ac:dyDescent="0.25">
      <c r="A3174" s="5" t="s">
        <v>2721</v>
      </c>
      <c r="B3174" s="5" t="s">
        <v>5041</v>
      </c>
      <c r="C3174" s="6" t="str">
        <f>_xll.QS.CONTEXT.CREATE("market.3172",A3174,"USD","SOFR")</f>
        <v>QSObject:PricingContext:w1~market.3172:15908</v>
      </c>
      <c r="D3174" s="6" t="str">
        <f>_xll.QS.CONTEXT.ADD.CURVE(C3174,"SOFR",$K$2:$K$7,$L$2:$L$7,,,"Actual360","LogLinear",TRUE)</f>
        <v>QSObject:ContextInput:w1~input.qs_context_add_curve.2359132437744.3173.3.0:37360</v>
      </c>
      <c r="E3174" s="6" t="str">
        <f>_xll.QS.INSTRUMENT.SWAP("swap.3172",H3174,B3174,"USD","SOFR",I3174,J3174,0,"Actual360","Simple","Annual","Annual","Annual")</f>
        <v>QSObject:Swap:w1~swap.3172:15907</v>
      </c>
      <c r="F3174" s="6" t="str">
        <f>_xll.QS.TRADE.CREATE("trade.3172",E3174,A3174,"Receive")</f>
        <v>QSObject:SwapTrade:w1~trade.3172:28667</v>
      </c>
      <c r="G3174" s="3">
        <f>_xll.QS.EVALUATE(C3174,F3174)</f>
        <v>31422.669838053815</v>
      </c>
      <c r="H3174" s="5" t="s">
        <v>2735</v>
      </c>
      <c r="I3174" s="7">
        <v>1317200</v>
      </c>
      <c r="J3174" s="8">
        <v>3.7199999999999997E-2</v>
      </c>
    </row>
    <row r="3175" spans="1:10" x14ac:dyDescent="0.25">
      <c r="A3175" s="5" t="s">
        <v>2723</v>
      </c>
      <c r="B3175" s="5" t="s">
        <v>5042</v>
      </c>
      <c r="C3175" s="6" t="str">
        <f>_xll.QS.CONTEXT.CREATE("market.3173",A3175,"USD","SOFR")</f>
        <v>QSObject:PricingContext:w1~market.3173:15906</v>
      </c>
      <c r="D3175" s="6" t="str">
        <f>_xll.QS.CONTEXT.ADD.CURVE(C3175,"SOFR",$K$2:$K$7,$L$2:$L$7,,,"Actual360","LogLinear",TRUE)</f>
        <v>QSObject:ContextInput:w1~input.qs_context_add_curve.2359132437744.3174.3.0:37359</v>
      </c>
      <c r="E3175" s="6" t="str">
        <f>_xll.QS.INSTRUMENT.SWAP("swap.3173",H3175,B3175,"USD","SOFR",I3175,J3175,0,"Actual360","Simple","Annual","Annual","Annual")</f>
        <v>QSObject:Swap:w1~swap.3173:15905</v>
      </c>
      <c r="F3175" s="6" t="str">
        <f>_xll.QS.TRADE.CREATE("trade.3173",E3175,A3175,"Receive")</f>
        <v>QSObject:SwapTrade:w1~trade.3173:28666</v>
      </c>
      <c r="G3175" s="3">
        <f>_xll.QS.EVALUATE(C3175,F3175)</f>
        <v>32128.764489328787</v>
      </c>
      <c r="H3175" s="5" t="s">
        <v>2737</v>
      </c>
      <c r="I3175" s="7">
        <v>1317300</v>
      </c>
      <c r="J3175" s="8">
        <v>3.73E-2</v>
      </c>
    </row>
    <row r="3176" spans="1:10" x14ac:dyDescent="0.25">
      <c r="A3176" s="5" t="s">
        <v>2725</v>
      </c>
      <c r="B3176" s="5" t="s">
        <v>5043</v>
      </c>
      <c r="C3176" s="6" t="str">
        <f>_xll.QS.CONTEXT.CREATE("market.3174",A3176,"USD","SOFR")</f>
        <v>QSObject:PricingContext:w1~market.3174:15904</v>
      </c>
      <c r="D3176" s="6" t="str">
        <f>_xll.QS.CONTEXT.ADD.CURVE(C3176,"SOFR",$K$2:$K$7,$L$2:$L$7,,,"Actual360","LogLinear",TRUE)</f>
        <v>QSObject:ContextInput:w1~input.qs_context_add_curve.2359132437744.3175.3.0:37358</v>
      </c>
      <c r="E3176" s="6" t="str">
        <f>_xll.QS.INSTRUMENT.SWAP("swap.3174",H3176,B3176,"USD","SOFR",I3176,J3176,0,"Actual360","Simple","Annual","Annual","Annual")</f>
        <v>QSObject:Swap:w1~swap.3174:15903</v>
      </c>
      <c r="F3176" s="6" t="str">
        <f>_xll.QS.TRADE.CREATE("trade.3174",E3176,A3176,"Receive")</f>
        <v>QSObject:SwapTrade:w1~trade.3174:28665</v>
      </c>
      <c r="G3176" s="3">
        <f>_xll.QS.EVALUATE(C3176,F3176)</f>
        <v>32796.012792323767</v>
      </c>
      <c r="H3176" s="5" t="s">
        <v>2739</v>
      </c>
      <c r="I3176" s="7">
        <v>1317400</v>
      </c>
      <c r="J3176" s="8">
        <v>3.7400000000000003E-2</v>
      </c>
    </row>
    <row r="3177" spans="1:10" x14ac:dyDescent="0.25">
      <c r="A3177" s="5" t="s">
        <v>2727</v>
      </c>
      <c r="B3177" s="5" t="s">
        <v>5044</v>
      </c>
      <c r="C3177" s="6" t="str">
        <f>_xll.QS.CONTEXT.CREATE("market.3175",A3177,"USD","SOFR")</f>
        <v>QSObject:PricingContext:w1~market.3175:15902</v>
      </c>
      <c r="D3177" s="6" t="str">
        <f>_xll.QS.CONTEXT.ADD.CURVE(C3177,"SOFR",$K$2:$K$7,$L$2:$L$7,,,"Actual360","LogLinear",TRUE)</f>
        <v>QSObject:ContextInput:w1~input.qs_context_add_curve.2359132437744.3176.3.0:37357</v>
      </c>
      <c r="E3177" s="6" t="str">
        <f>_xll.QS.INSTRUMENT.SWAP("swap.3175",H3177,B3177,"USD","SOFR",I3177,J3177,0,"Actual360","Simple","Annual","Annual","Annual")</f>
        <v>QSObject:Swap:w1~swap.3175:15901</v>
      </c>
      <c r="F3177" s="6" t="str">
        <f>_xll.QS.TRADE.CREATE("trade.3175",E3177,A3177,"Receive")</f>
        <v>QSObject:SwapTrade:w1~trade.3175:28664</v>
      </c>
      <c r="G3177" s="3">
        <f>_xll.QS.EVALUATE(C3177,F3177)</f>
        <v>33356.024785182031</v>
      </c>
      <c r="H3177" s="5" t="s">
        <v>2741</v>
      </c>
      <c r="I3177" s="7">
        <v>1317500</v>
      </c>
      <c r="J3177" s="8">
        <v>3.7500000000000012E-2</v>
      </c>
    </row>
    <row r="3178" spans="1:10" x14ac:dyDescent="0.25">
      <c r="A3178" s="5" t="s">
        <v>2729</v>
      </c>
      <c r="B3178" s="5" t="s">
        <v>5045</v>
      </c>
      <c r="C3178" s="6" t="str">
        <f>_xll.QS.CONTEXT.CREATE("market.3176",A3178,"USD","SOFR")</f>
        <v>QSObject:PricingContext:w1~market.3176:15900</v>
      </c>
      <c r="D3178" s="6" t="str">
        <f>_xll.QS.CONTEXT.ADD.CURVE(C3178,"SOFR",$K$2:$K$7,$L$2:$L$7,,,"Actual360","LogLinear",TRUE)</f>
        <v>QSObject:ContextInput:w1~input.qs_context_add_curve.2359132437744.3177.3.0:37356</v>
      </c>
      <c r="E3178" s="6" t="str">
        <f>_xll.QS.INSTRUMENT.SWAP("swap.3176",H3178,B3178,"USD","SOFR",I3178,J3178,0,"Actual360","Simple","Annual","Annual","Annual")</f>
        <v>QSObject:Swap:w1~swap.3176:15899</v>
      </c>
      <c r="F3178" s="6" t="str">
        <f>_xll.QS.TRADE.CREATE("trade.3176",E3178,A3178,"Receive")</f>
        <v>QSObject:SwapTrade:w1~trade.3176:28663</v>
      </c>
      <c r="G3178" s="3">
        <f>_xll.QS.EVALUATE(C3178,F3178)</f>
        <v>33870.427705406997</v>
      </c>
      <c r="H3178" s="5" t="s">
        <v>2743</v>
      </c>
      <c r="I3178" s="7">
        <v>1317600</v>
      </c>
      <c r="J3178" s="8">
        <v>3.7600000000000001E-2</v>
      </c>
    </row>
    <row r="3179" spans="1:10" x14ac:dyDescent="0.25">
      <c r="A3179" s="5" t="s">
        <v>2731</v>
      </c>
      <c r="B3179" s="5" t="s">
        <v>5046</v>
      </c>
      <c r="C3179" s="6" t="str">
        <f>_xll.QS.CONTEXT.CREATE("market.3177",A3179,"USD","SOFR")</f>
        <v>QSObject:PricingContext:w1~market.3177:15898</v>
      </c>
      <c r="D3179" s="6" t="str">
        <f>_xll.QS.CONTEXT.ADD.CURVE(C3179,"SOFR",$K$2:$K$7,$L$2:$L$7,,,"Actual360","LogLinear",TRUE)</f>
        <v>QSObject:ContextInput:w1~input.qs_context_add_curve.2359132437744.3178.3.0:37355</v>
      </c>
      <c r="E3179" s="6" t="str">
        <f>_xll.QS.INSTRUMENT.SWAP("swap.3177",H3179,B3179,"USD","SOFR",I3179,J3179,0,"Actual360","Simple","Annual","Annual","Annual")</f>
        <v>QSObject:Swap:w1~swap.3177:15897</v>
      </c>
      <c r="F3179" s="6" t="str">
        <f>_xll.QS.TRADE.CREATE("trade.3177",E3179,A3179,"Receive")</f>
        <v>QSObject:SwapTrade:w1~trade.3177:28662</v>
      </c>
      <c r="G3179" s="3">
        <f>_xll.QS.EVALUATE(C3179,F3179)</f>
        <v>34383.828133923751</v>
      </c>
      <c r="H3179" s="5" t="s">
        <v>2745</v>
      </c>
      <c r="I3179" s="7">
        <v>1317700</v>
      </c>
      <c r="J3179" s="8">
        <v>3.7699999999999997E-2</v>
      </c>
    </row>
    <row r="3180" spans="1:10" x14ac:dyDescent="0.25">
      <c r="A3180" s="5" t="s">
        <v>2733</v>
      </c>
      <c r="B3180" s="5" t="s">
        <v>5047</v>
      </c>
      <c r="C3180" s="6" t="str">
        <f>_xll.QS.CONTEXT.CREATE("market.3178",A3180,"USD","SOFR")</f>
        <v>QSObject:PricingContext:w1~market.3178:15896</v>
      </c>
      <c r="D3180" s="6" t="str">
        <f>_xll.QS.CONTEXT.ADD.CURVE(C3180,"SOFR",$K$2:$K$7,$L$2:$L$7,,,"Actual360","LogLinear",TRUE)</f>
        <v>QSObject:ContextInput:w1~input.qs_context_add_curve.2359132437744.3179.3.0:37354</v>
      </c>
      <c r="E3180" s="6" t="str">
        <f>_xll.QS.INSTRUMENT.SWAP("swap.3178",H3180,B3180,"USD","SOFR",I3180,J3180,0,"Actual360","Simple","Annual","Annual","Annual")</f>
        <v>QSObject:Swap:w1~swap.3178:15895</v>
      </c>
      <c r="F3180" s="6" t="str">
        <f>_xll.QS.TRADE.CREATE("trade.3178",E3180,A3180,"Receive")</f>
        <v>QSObject:SwapTrade:w1~trade.3178:28661</v>
      </c>
      <c r="G3180" s="3">
        <f>_xll.QS.EVALUATE(C3180,F3180)</f>
        <v>35050.660626365294</v>
      </c>
      <c r="H3180" s="5" t="s">
        <v>2747</v>
      </c>
      <c r="I3180" s="7">
        <v>1317800</v>
      </c>
      <c r="J3180" s="8">
        <v>3.78E-2</v>
      </c>
    </row>
    <row r="3181" spans="1:10" x14ac:dyDescent="0.25">
      <c r="A3181" s="5" t="s">
        <v>2735</v>
      </c>
      <c r="B3181" s="5" t="s">
        <v>5048</v>
      </c>
      <c r="C3181" s="6" t="str">
        <f>_xll.QS.CONTEXT.CREATE("market.3179",A3181,"USD","SOFR")</f>
        <v>QSObject:PricingContext:w1~market.3179:15894</v>
      </c>
      <c r="D3181" s="6" t="str">
        <f>_xll.QS.CONTEXT.ADD.CURVE(C3181,"SOFR",$K$2:$K$7,$L$2:$L$7,,,"Actual360","LogLinear",TRUE)</f>
        <v>QSObject:ContextInput:w1~input.qs_context_add_curve.2359132437744.3180.3.0:37353</v>
      </c>
      <c r="E3181" s="6" t="str">
        <f>_xll.QS.INSTRUMENT.SWAP("swap.3179",H3181,B3181,"USD","SOFR",I3181,J3181,0,"Actual360","Simple","Annual","Annual","Annual")</f>
        <v>QSObject:Swap:w1~swap.3179:15893</v>
      </c>
      <c r="F3181" s="6" t="str">
        <f>_xll.QS.TRADE.CREATE("trade.3179",E3181,A3181,"Receive")</f>
        <v>QSObject:SwapTrade:w1~trade.3179:28660</v>
      </c>
      <c r="G3181" s="3">
        <f>_xll.QS.EVALUATE(C3181,F3181)</f>
        <v>35693.445372427108</v>
      </c>
      <c r="H3181" s="5" t="s">
        <v>2749</v>
      </c>
      <c r="I3181" s="7">
        <v>1317900</v>
      </c>
      <c r="J3181" s="8">
        <v>3.7900000000000003E-2</v>
      </c>
    </row>
    <row r="3182" spans="1:10" x14ac:dyDescent="0.25">
      <c r="A3182" s="5" t="s">
        <v>2737</v>
      </c>
      <c r="B3182" s="5" t="s">
        <v>5049</v>
      </c>
      <c r="C3182" s="6" t="str">
        <f>_xll.QS.CONTEXT.CREATE("market.3180",A3182,"USD","SOFR")</f>
        <v>QSObject:PricingContext:w1~market.3180:15892</v>
      </c>
      <c r="D3182" s="6" t="str">
        <f>_xll.QS.CONTEXT.ADD.CURVE(C3182,"SOFR",$K$2:$K$7,$L$2:$L$7,,,"Actual360","LogLinear",TRUE)</f>
        <v>QSObject:ContextInput:w1~input.qs_context_add_curve.2359132437744.3181.3.0:37352</v>
      </c>
      <c r="E3182" s="6" t="str">
        <f>_xll.QS.INSTRUMENT.SWAP("swap.3180",H3182,B3182,"USD","SOFR",I3182,J3182,0,"Actual360","Simple","Annual","Annual","Annual")</f>
        <v>QSObject:Swap:w1~swap.3180:15891</v>
      </c>
      <c r="F3182" s="6" t="str">
        <f>_xll.QS.TRADE.CREATE("trade.3180",E3182,A3182,"Receive")</f>
        <v>QSObject:SwapTrade:w1~trade.3180:28659</v>
      </c>
      <c r="G3182" s="3">
        <f>_xll.QS.EVALUATE(C3182,F3182)</f>
        <v>36400.300598191126</v>
      </c>
      <c r="H3182" s="5" t="s">
        <v>2751</v>
      </c>
      <c r="I3182" s="7">
        <v>1318000</v>
      </c>
      <c r="J3182" s="8">
        <v>3.8000000000000013E-2</v>
      </c>
    </row>
    <row r="3183" spans="1:10" x14ac:dyDescent="0.25">
      <c r="A3183" s="5" t="s">
        <v>2739</v>
      </c>
      <c r="B3183" s="5" t="s">
        <v>5050</v>
      </c>
      <c r="C3183" s="6" t="str">
        <f>_xll.QS.CONTEXT.CREATE("market.3181",A3183,"USD","SOFR")</f>
        <v>QSObject:PricingContext:w1~market.3181:15890</v>
      </c>
      <c r="D3183" s="6" t="str">
        <f>_xll.QS.CONTEXT.ADD.CURVE(C3183,"SOFR",$K$2:$K$7,$L$2:$L$7,,,"Actual360","LogLinear",TRUE)</f>
        <v>QSObject:ContextInput:w1~input.qs_context_add_curve.2359132437744.3182.3.0:37351</v>
      </c>
      <c r="E3183" s="6" t="str">
        <f>_xll.QS.INSTRUMENT.SWAP("swap.3181",H3183,B3183,"USD","SOFR",I3183,J3183,0,"Actual360","Simple","Annual","Annual","Annual")</f>
        <v>QSObject:Swap:w1~swap.3181:15889</v>
      </c>
      <c r="F3183" s="6" t="str">
        <f>_xll.QS.TRADE.CREATE("trade.3181",E3183,A3183,"Receive")</f>
        <v>QSObject:SwapTrade:w1~trade.3181:28658</v>
      </c>
      <c r="G3183" s="3">
        <f>_xll.QS.EVALUATE(C3183,F3183)</f>
        <v>37068.270425732568</v>
      </c>
      <c r="H3183" s="5" t="s">
        <v>2753</v>
      </c>
      <c r="I3183" s="7">
        <v>1318100</v>
      </c>
      <c r="J3183" s="8">
        <v>3.8100000000000002E-2</v>
      </c>
    </row>
    <row r="3184" spans="1:10" x14ac:dyDescent="0.25">
      <c r="A3184" s="5" t="s">
        <v>2741</v>
      </c>
      <c r="B3184" s="5" t="s">
        <v>5051</v>
      </c>
      <c r="C3184" s="6" t="str">
        <f>_xll.QS.CONTEXT.CREATE("market.3182",A3184,"USD","SOFR")</f>
        <v>QSObject:PricingContext:w1~market.3182:15888</v>
      </c>
      <c r="D3184" s="6" t="str">
        <f>_xll.QS.CONTEXT.ADD.CURVE(C3184,"SOFR",$K$2:$K$7,$L$2:$L$7,,,"Actual360","LogLinear",TRUE)</f>
        <v>QSObject:ContextInput:w1~input.qs_context_add_curve.2359132437744.3183.3.0:37350</v>
      </c>
      <c r="E3184" s="6" t="str">
        <f>_xll.QS.INSTRUMENT.SWAP("swap.3182",H3184,B3184,"USD","SOFR",I3184,J3184,0,"Actual360","Simple","Annual","Annual","Annual")</f>
        <v>QSObject:Swap:w1~swap.3182:15887</v>
      </c>
      <c r="F3184" s="6" t="str">
        <f>_xll.QS.TRADE.CREATE("trade.3182",E3184,A3184,"Receive")</f>
        <v>QSObject:SwapTrade:w1~trade.3182:28657</v>
      </c>
      <c r="G3184" s="3">
        <f>_xll.QS.EVALUATE(C3184,F3184)</f>
        <v>37628.86713362013</v>
      </c>
      <c r="H3184" s="5" t="s">
        <v>2755</v>
      </c>
      <c r="I3184" s="7">
        <v>1318200</v>
      </c>
      <c r="J3184" s="8">
        <v>3.8199999999999998E-2</v>
      </c>
    </row>
    <row r="3185" spans="1:10" x14ac:dyDescent="0.25">
      <c r="A3185" s="5" t="s">
        <v>2743</v>
      </c>
      <c r="B3185" s="5" t="s">
        <v>5052</v>
      </c>
      <c r="C3185" s="6" t="str">
        <f>_xll.QS.CONTEXT.CREATE("market.3183",A3185,"USD","SOFR")</f>
        <v>QSObject:PricingContext:w1~market.3183:15886</v>
      </c>
      <c r="D3185" s="6" t="str">
        <f>_xll.QS.CONTEXT.ADD.CURVE(C3185,"SOFR",$K$2:$K$7,$L$2:$L$7,,,"Actual360","LogLinear",TRUE)</f>
        <v>QSObject:ContextInput:w1~input.qs_context_add_curve.2359132437744.3184.3.0:37349</v>
      </c>
      <c r="E3185" s="6" t="str">
        <f>_xll.QS.INSTRUMENT.SWAP("swap.3183",H3185,B3185,"USD","SOFR",I3185,J3185,0,"Actual360","Simple","Annual","Annual","Annual")</f>
        <v>QSObject:Swap:w1~swap.3183:15885</v>
      </c>
      <c r="F3185" s="6" t="str">
        <f>_xll.QS.TRADE.CREATE("trade.3183",E3185,A3185,"Receive")</f>
        <v>QSObject:SwapTrade:w1~trade.3183:28656</v>
      </c>
      <c r="G3185" s="3">
        <f>_xll.QS.EVALUATE(C3185,F3185)</f>
        <v>38138.849892609003</v>
      </c>
      <c r="H3185" s="5" t="s">
        <v>2757</v>
      </c>
      <c r="I3185" s="7">
        <v>1318300</v>
      </c>
      <c r="J3185" s="8">
        <v>3.8300000000000001E-2</v>
      </c>
    </row>
    <row r="3186" spans="1:10" x14ac:dyDescent="0.25">
      <c r="A3186" s="5" t="s">
        <v>2745</v>
      </c>
      <c r="B3186" s="5" t="s">
        <v>5053</v>
      </c>
      <c r="C3186" s="6" t="str">
        <f>_xll.QS.CONTEXT.CREATE("market.3184",A3186,"USD","SOFR")</f>
        <v>QSObject:PricingContext:w1~market.3184:15884</v>
      </c>
      <c r="D3186" s="6" t="str">
        <f>_xll.QS.CONTEXT.ADD.CURVE(C3186,"SOFR",$K$2:$K$7,$L$2:$L$7,,,"Actual360","LogLinear",TRUE)</f>
        <v>QSObject:ContextInput:w1~input.qs_context_add_curve.2359132437744.3185.3.0:37348</v>
      </c>
      <c r="E3186" s="6" t="str">
        <f>_xll.QS.INSTRUMENT.SWAP("swap.3184",H3186,B3186,"USD","SOFR",I3186,J3186,0,"Actual360","Simple","Annual","Annual","Annual")</f>
        <v>QSObject:Swap:w1~swap.3184:15883</v>
      </c>
      <c r="F3186" s="6" t="str">
        <f>_xll.QS.TRADE.CREATE("trade.3184",E3186,A3186,"Receive")</f>
        <v>QSObject:SwapTrade:w1~trade.3184:28655</v>
      </c>
      <c r="G3186" s="3">
        <f>_xll.QS.EVALUATE(C3186,F3186)</f>
        <v>38659.441719598028</v>
      </c>
      <c r="H3186" s="5" t="s">
        <v>2759</v>
      </c>
      <c r="I3186" s="7">
        <v>1318400</v>
      </c>
      <c r="J3186" s="8">
        <v>3.8399999999999997E-2</v>
      </c>
    </row>
    <row r="3187" spans="1:10" x14ac:dyDescent="0.25">
      <c r="A3187" s="5" t="s">
        <v>2747</v>
      </c>
      <c r="B3187" s="5" t="s">
        <v>5054</v>
      </c>
      <c r="C3187" s="6" t="str">
        <f>_xll.QS.CONTEXT.CREATE("market.3185",A3187,"USD","SOFR")</f>
        <v>QSObject:PricingContext:w1~market.3185:15882</v>
      </c>
      <c r="D3187" s="6" t="str">
        <f>_xll.QS.CONTEXT.ADD.CURVE(C3187,"SOFR",$K$2:$K$7,$L$2:$L$7,,,"Actual360","LogLinear",TRUE)</f>
        <v>QSObject:ContextInput:w1~input.qs_context_add_curve.2359132437744.3186.3.0:37347</v>
      </c>
      <c r="E3187" s="6" t="str">
        <f>_xll.QS.INSTRUMENT.SWAP("swap.3185",H3187,B3187,"USD","SOFR",I3187,J3187,0,"Actual360","Simple","Annual","Annual","Annual")</f>
        <v>QSObject:Swap:w1~swap.3185:15881</v>
      </c>
      <c r="F3187" s="6" t="str">
        <f>_xll.QS.TRADE.CREATE("trade.3185",E3187,A3187,"Receive")</f>
        <v>QSObject:SwapTrade:w1~trade.3185:28654</v>
      </c>
      <c r="G3187" s="3">
        <f>_xll.QS.EVALUATE(C3187,F3187)</f>
        <v>39327.377207670346</v>
      </c>
      <c r="H3187" s="5" t="s">
        <v>2761</v>
      </c>
      <c r="I3187" s="7">
        <v>1318500</v>
      </c>
      <c r="J3187" s="8">
        <v>3.8500000000000013E-2</v>
      </c>
    </row>
    <row r="3188" spans="1:10" x14ac:dyDescent="0.25">
      <c r="A3188" s="5" t="s">
        <v>2749</v>
      </c>
      <c r="B3188" s="5" t="s">
        <v>5055</v>
      </c>
      <c r="C3188" s="6" t="str">
        <f>_xll.QS.CONTEXT.CREATE("market.3186",A3188,"USD","SOFR")</f>
        <v>QSObject:PricingContext:w1~market.3186:15880</v>
      </c>
      <c r="D3188" s="6" t="str">
        <f>_xll.QS.CONTEXT.ADD.CURVE(C3188,"SOFR",$K$2:$K$7,$L$2:$L$7,,,"Actual360","LogLinear",TRUE)</f>
        <v>QSObject:ContextInput:w1~input.qs_context_add_curve.2359132437744.3187.3.0:37346</v>
      </c>
      <c r="E3188" s="6" t="str">
        <f>_xll.QS.INSTRUMENT.SWAP("swap.3186",H3188,B3188,"USD","SOFR",I3188,J3188,0,"Actual360","Simple","Annual","Annual","Annual")</f>
        <v>QSObject:Swap:w1~swap.3186:15879</v>
      </c>
      <c r="F3188" s="6" t="str">
        <f>_xll.QS.TRADE.CREATE("trade.3186",E3188,A3188,"Receive")</f>
        <v>QSObject:SwapTrade:w1~trade.3186:28653</v>
      </c>
      <c r="G3188" s="3">
        <f>_xll.QS.EVALUATE(C3188,F3188)</f>
        <v>39968.934736471958</v>
      </c>
      <c r="H3188" s="5" t="s">
        <v>2763</v>
      </c>
      <c r="I3188" s="7">
        <v>1318600</v>
      </c>
      <c r="J3188" s="8">
        <v>3.8600000000000002E-2</v>
      </c>
    </row>
    <row r="3189" spans="1:10" x14ac:dyDescent="0.25">
      <c r="A3189" s="5" t="s">
        <v>2751</v>
      </c>
      <c r="B3189" s="5" t="s">
        <v>5056</v>
      </c>
      <c r="C3189" s="6" t="str">
        <f>_xll.QS.CONTEXT.CREATE("market.3187",A3189,"USD","SOFR")</f>
        <v>QSObject:PricingContext:w1~market.3187:15878</v>
      </c>
      <c r="D3189" s="6" t="str">
        <f>_xll.QS.CONTEXT.ADD.CURVE(C3189,"SOFR",$K$2:$K$7,$L$2:$L$7,,,"Actual360","LogLinear",TRUE)</f>
        <v>QSObject:ContextInput:w1~input.qs_context_add_curve.2359132437744.3188.3.0:37345</v>
      </c>
      <c r="E3189" s="6" t="str">
        <f>_xll.QS.INSTRUMENT.SWAP("swap.3187",H3189,B3189,"USD","SOFR",I3189,J3189,0,"Actual360","Simple","Annual","Annual","Annual")</f>
        <v>QSObject:Swap:w1~swap.3187:15877</v>
      </c>
      <c r="F3189" s="6" t="str">
        <f>_xll.QS.TRADE.CREATE("trade.3187",E3189,A3189,"Receive")</f>
        <v>QSObject:SwapTrade:w1~trade.3187:28652</v>
      </c>
      <c r="G3189" s="3">
        <f>_xll.QS.EVALUATE(C3189,F3189)</f>
        <v>40676.787594997142</v>
      </c>
      <c r="H3189" s="5" t="s">
        <v>2765</v>
      </c>
      <c r="I3189" s="7">
        <v>1318700</v>
      </c>
      <c r="J3189" s="8">
        <v>3.8700000000000012E-2</v>
      </c>
    </row>
    <row r="3190" spans="1:10" x14ac:dyDescent="0.25">
      <c r="A3190" s="5" t="s">
        <v>2753</v>
      </c>
      <c r="B3190" s="5" t="s">
        <v>5057</v>
      </c>
      <c r="C3190" s="6" t="str">
        <f>_xll.QS.CONTEXT.CREATE("market.3188",A3190,"USD","SOFR")</f>
        <v>QSObject:PricingContext:w1~market.3188:15876</v>
      </c>
      <c r="D3190" s="6" t="str">
        <f>_xll.QS.CONTEXT.ADD.CURVE(C3190,"SOFR",$K$2:$K$7,$L$2:$L$7,,,"Actual360","LogLinear",TRUE)</f>
        <v>QSObject:ContextInput:w1~input.qs_context_add_curve.2359132437744.3189.3.0:37344</v>
      </c>
      <c r="E3190" s="6" t="str">
        <f>_xll.QS.INSTRUMENT.SWAP("swap.3188",H3190,B3190,"USD","SOFR",I3190,J3190,0,"Actual360","Simple","Annual","Annual","Annual")</f>
        <v>QSObject:Swap:w1~swap.3188:15875</v>
      </c>
      <c r="F3190" s="6" t="str">
        <f>_xll.QS.TRADE.CREATE("trade.3188",E3190,A3190,"Receive")</f>
        <v>QSObject:SwapTrade:w1~trade.3188:28651</v>
      </c>
      <c r="G3190" s="3">
        <f>_xll.QS.EVALUATE(C3190,F3190)</f>
        <v>41345.047264116722</v>
      </c>
      <c r="H3190" s="5" t="s">
        <v>2767</v>
      </c>
      <c r="I3190" s="7">
        <v>1318800</v>
      </c>
      <c r="J3190" s="8">
        <v>3.8800000000000001E-2</v>
      </c>
    </row>
    <row r="3191" spans="1:10" x14ac:dyDescent="0.25">
      <c r="A3191" s="5" t="s">
        <v>2755</v>
      </c>
      <c r="B3191" s="5" t="s">
        <v>5058</v>
      </c>
      <c r="C3191" s="6" t="str">
        <f>_xll.QS.CONTEXT.CREATE("market.3189",A3191,"USD","SOFR")</f>
        <v>QSObject:PricingContext:w1~market.3189:15874</v>
      </c>
      <c r="D3191" s="6" t="str">
        <f>_xll.QS.CONTEXT.ADD.CURVE(C3191,"SOFR",$K$2:$K$7,$L$2:$L$7,,,"Actual360","LogLinear",TRUE)</f>
        <v>QSObject:ContextInput:w1~input.qs_context_add_curve.2359132437744.3190.3.0:37343</v>
      </c>
      <c r="E3191" s="6" t="str">
        <f>_xll.QS.INSTRUMENT.SWAP("swap.3189",H3191,B3191,"USD","SOFR",I3191,J3191,0,"Actual360","Simple","Annual","Annual","Annual")</f>
        <v>QSObject:Swap:w1~swap.3189:15873</v>
      </c>
      <c r="F3191" s="6" t="str">
        <f>_xll.QS.TRADE.CREATE("trade.3189",E3191,A3191,"Receive")</f>
        <v>QSObject:SwapTrade:w1~trade.3189:28650</v>
      </c>
      <c r="G3191" s="3">
        <f>_xll.QS.EVALUATE(C3191,F3191)</f>
        <v>41906.062776236977</v>
      </c>
      <c r="H3191" s="5" t="s">
        <v>2769</v>
      </c>
      <c r="I3191" s="7">
        <v>1318900</v>
      </c>
      <c r="J3191" s="8">
        <v>3.8899999999999997E-2</v>
      </c>
    </row>
    <row r="3192" spans="1:10" x14ac:dyDescent="0.25">
      <c r="A3192" s="5" t="s">
        <v>2757</v>
      </c>
      <c r="B3192" s="5" t="s">
        <v>5059</v>
      </c>
      <c r="C3192" s="6" t="str">
        <f>_xll.QS.CONTEXT.CREATE("market.3190",A3192,"USD","SOFR")</f>
        <v>QSObject:PricingContext:w1~market.3190:15872</v>
      </c>
      <c r="D3192" s="6" t="str">
        <f>_xll.QS.CONTEXT.ADD.CURVE(C3192,"SOFR",$K$2:$K$7,$L$2:$L$7,,,"Actual360","LogLinear",TRUE)</f>
        <v>QSObject:ContextInput:w1~input.qs_context_add_curve.2359132437744.3191.3.0:37342</v>
      </c>
      <c r="E3192" s="6" t="str">
        <f>_xll.QS.INSTRUMENT.SWAP("swap.3190",H3192,B3192,"USD","SOFR",I3192,J3192,0,"Actual360","Simple","Annual","Annual","Annual")</f>
        <v>QSObject:Swap:w1~swap.3190:15871</v>
      </c>
      <c r="F3192" s="6" t="str">
        <f>_xll.QS.TRADE.CREATE("trade.3190",E3192,A3192,"Receive")</f>
        <v>QSObject:SwapTrade:w1~trade.3190:28649</v>
      </c>
      <c r="G3192" s="3">
        <f>_xll.QS.EVALUATE(C3192,F3192)</f>
        <v>42411.619374353264</v>
      </c>
      <c r="H3192" s="5" t="s">
        <v>2771</v>
      </c>
      <c r="I3192" s="7">
        <v>1319000</v>
      </c>
      <c r="J3192" s="8">
        <v>3.9000000000000007E-2</v>
      </c>
    </row>
    <row r="3193" spans="1:10" x14ac:dyDescent="0.25">
      <c r="A3193" s="5" t="s">
        <v>2759</v>
      </c>
      <c r="B3193" s="5" t="s">
        <v>5060</v>
      </c>
      <c r="C3193" s="6" t="str">
        <f>_xll.QS.CONTEXT.CREATE("market.3191",A3193,"USD","SOFR")</f>
        <v>QSObject:PricingContext:w1~market.3191:15870</v>
      </c>
      <c r="D3193" s="6" t="str">
        <f>_xll.QS.CONTEXT.ADD.CURVE(C3193,"SOFR",$K$2:$K$7,$L$2:$L$7,,,"Actual360","LogLinear",TRUE)</f>
        <v>QSObject:ContextInput:w1~input.qs_context_add_curve.2359132437744.3192.3.0:37341</v>
      </c>
      <c r="E3193" s="6" t="str">
        <f>_xll.QS.INSTRUMENT.SWAP("swap.3191",H3193,B3193,"USD","SOFR",I3193,J3193,0,"Actual360","Simple","Annual","Annual","Annual")</f>
        <v>QSObject:Swap:w1~swap.3191:15869</v>
      </c>
      <c r="F3193" s="6" t="str">
        <f>_xll.QS.TRADE.CREATE("trade.3191",E3193,A3193,"Receive")</f>
        <v>QSObject:SwapTrade:w1~trade.3191:28648</v>
      </c>
      <c r="G3193" s="3">
        <f>_xll.QS.EVALUATE(C3193,F3193)</f>
        <v>42939.407683118436</v>
      </c>
      <c r="H3193" s="5" t="s">
        <v>2773</v>
      </c>
      <c r="I3193" s="7">
        <v>1319100</v>
      </c>
      <c r="J3193" s="8">
        <v>3.9100000000000003E-2</v>
      </c>
    </row>
    <row r="3194" spans="1:10" x14ac:dyDescent="0.25">
      <c r="A3194" s="5" t="s">
        <v>2761</v>
      </c>
      <c r="B3194" s="5" t="s">
        <v>5061</v>
      </c>
      <c r="C3194" s="6" t="str">
        <f>_xll.QS.CONTEXT.CREATE("market.3192",A3194,"USD","SOFR")</f>
        <v>QSObject:PricingContext:w1~market.3192:15868</v>
      </c>
      <c r="D3194" s="6" t="str">
        <f>_xll.QS.CONTEXT.ADD.CURVE(C3194,"SOFR",$K$2:$K$7,$L$2:$L$7,,,"Actual360","LogLinear",TRUE)</f>
        <v>QSObject:ContextInput:w1~input.qs_context_add_curve.2359132437744.3193.3.0:37340</v>
      </c>
      <c r="E3194" s="6" t="str">
        <f>_xll.QS.INSTRUMENT.SWAP("swap.3192",H3194,B3194,"USD","SOFR",I3194,J3194,0,"Actual360","Simple","Annual","Annual","Annual")</f>
        <v>QSObject:Swap:w1~swap.3192:15867</v>
      </c>
      <c r="F3194" s="6" t="str">
        <f>_xll.QS.TRADE.CREATE("trade.3192",E3194,A3194,"Receive")</f>
        <v>QSObject:SwapTrade:w1~trade.3192:28647</v>
      </c>
      <c r="G3194" s="3">
        <f>_xll.QS.EVALUATE(C3194,F3194)</f>
        <v>43607.633831178631</v>
      </c>
      <c r="H3194" s="5" t="s">
        <v>2775</v>
      </c>
      <c r="I3194" s="7">
        <v>1319200</v>
      </c>
      <c r="J3194" s="8">
        <v>3.9200000000000013E-2</v>
      </c>
    </row>
    <row r="3195" spans="1:10" x14ac:dyDescent="0.25">
      <c r="A3195" s="5" t="s">
        <v>2763</v>
      </c>
      <c r="B3195" s="5" t="s">
        <v>5062</v>
      </c>
      <c r="C3195" s="6" t="str">
        <f>_xll.QS.CONTEXT.CREATE("market.3193",A3195,"USD","SOFR")</f>
        <v>QSObject:PricingContext:w1~market.3193:15866</v>
      </c>
      <c r="D3195" s="6" t="str">
        <f>_xll.QS.CONTEXT.ADD.CURVE(C3195,"SOFR",$K$2:$K$7,$L$2:$L$7,,,"Actual360","LogLinear",TRUE)</f>
        <v>QSObject:ContextInput:w1~input.qs_context_add_curve.2359132437744.3194.3.0:37339</v>
      </c>
      <c r="E3195" s="6" t="str">
        <f>_xll.QS.INSTRUMENT.SWAP("swap.3193",H3195,B3195,"USD","SOFR",I3195,J3195,0,"Actual360","Simple","Annual","Annual","Annual")</f>
        <v>QSObject:Swap:w1~swap.3193:15865</v>
      </c>
      <c r="F3195" s="6" t="str">
        <f>_xll.QS.TRADE.CREATE("trade.3193",E3195,A3195,"Receive")</f>
        <v>QSObject:SwapTrade:w1~trade.3193:28646</v>
      </c>
      <c r="G3195" s="3">
        <f>_xll.QS.EVALUATE(C3195,F3195)</f>
        <v>44248.442563683748</v>
      </c>
      <c r="H3195" s="5" t="s">
        <v>2777</v>
      </c>
      <c r="I3195" s="7">
        <v>1319300</v>
      </c>
      <c r="J3195" s="8">
        <v>3.9300000000000002E-2</v>
      </c>
    </row>
    <row r="3196" spans="1:10" x14ac:dyDescent="0.25">
      <c r="A3196" s="5" t="s">
        <v>2765</v>
      </c>
      <c r="B3196" s="5" t="s">
        <v>5063</v>
      </c>
      <c r="C3196" s="6" t="str">
        <f>_xll.QS.CONTEXT.CREATE("market.3194",A3196,"USD","SOFR")</f>
        <v>QSObject:PricingContext:w1~market.3194:15864</v>
      </c>
      <c r="D3196" s="6" t="str">
        <f>_xll.QS.CONTEXT.ADD.CURVE(C3196,"SOFR",$K$2:$K$7,$L$2:$L$7,,,"Actual360","LogLinear",TRUE)</f>
        <v>QSObject:ContextInput:w1~input.qs_context_add_curve.2359132437744.3195.3.0:37338</v>
      </c>
      <c r="E3196" s="6" t="str">
        <f>_xll.QS.INSTRUMENT.SWAP("swap.3194",H3196,B3196,"USD","SOFR",I3196,J3196,0,"Actual360","Simple","Annual","Annual","Annual")</f>
        <v>QSObject:Swap:w1~swap.3194:15863</v>
      </c>
      <c r="F3196" s="6" t="str">
        <f>_xll.QS.TRADE.CREATE("trade.3194",E3196,A3196,"Receive")</f>
        <v>QSObject:SwapTrade:w1~trade.3194:28645</v>
      </c>
      <c r="G3196" s="3">
        <f>_xll.QS.EVALUATE(C3196,F3196)</f>
        <v>44956.737827362274</v>
      </c>
      <c r="H3196" s="5" t="s">
        <v>2779</v>
      </c>
      <c r="I3196" s="7">
        <v>1319400</v>
      </c>
      <c r="J3196" s="8">
        <v>3.9399999999999998E-2</v>
      </c>
    </row>
    <row r="3197" spans="1:10" x14ac:dyDescent="0.25">
      <c r="A3197" s="5" t="s">
        <v>2767</v>
      </c>
      <c r="B3197" s="5" t="s">
        <v>5064</v>
      </c>
      <c r="C3197" s="6" t="str">
        <f>_xll.QS.CONTEXT.CREATE("market.3195",A3197,"USD","SOFR")</f>
        <v>QSObject:PricingContext:w1~market.3195:15862</v>
      </c>
      <c r="D3197" s="6" t="str">
        <f>_xll.QS.CONTEXT.ADD.CURVE(C3197,"SOFR",$K$2:$K$7,$L$2:$L$7,,,"Actual360","LogLinear",TRUE)</f>
        <v>QSObject:ContextInput:w1~input.qs_context_add_curve.2359132437744.3196.3.0:37337</v>
      </c>
      <c r="E3197" s="6" t="str">
        <f>_xll.QS.INSTRUMENT.SWAP("swap.3195",H3197,B3197,"USD","SOFR",I3197,J3197,0,"Actual360","Simple","Annual","Annual","Annual")</f>
        <v>QSObject:Swap:w1~swap.3195:15861</v>
      </c>
      <c r="F3197" s="6" t="str">
        <f>_xll.QS.TRADE.CREATE("trade.3195",E3197,A3197,"Receive")</f>
        <v>QSObject:SwapTrade:w1~trade.3195:28644</v>
      </c>
      <c r="G3197" s="3">
        <f>_xll.QS.EVALUATE(C3197,F3197)</f>
        <v>45625.894786067183</v>
      </c>
      <c r="H3197" s="5" t="s">
        <v>2781</v>
      </c>
      <c r="I3197" s="7">
        <v>1319500</v>
      </c>
      <c r="J3197" s="8">
        <v>3.9500000000000007E-2</v>
      </c>
    </row>
    <row r="3198" spans="1:10" x14ac:dyDescent="0.25">
      <c r="A3198" s="5" t="s">
        <v>2769</v>
      </c>
      <c r="B3198" s="5" t="s">
        <v>5065</v>
      </c>
      <c r="C3198" s="6" t="str">
        <f>_xll.QS.CONTEXT.CREATE("market.3196",A3198,"USD","SOFR")</f>
        <v>QSObject:PricingContext:w1~market.3196:15860</v>
      </c>
      <c r="D3198" s="6" t="str">
        <f>_xll.QS.CONTEXT.ADD.CURVE(C3198,"SOFR",$K$2:$K$7,$L$2:$L$7,,,"Actual360","LogLinear",TRUE)</f>
        <v>QSObject:ContextInput:w1~input.qs_context_add_curve.2359132437744.3197.3.0:37336</v>
      </c>
      <c r="E3198" s="6" t="str">
        <f>_xll.QS.INSTRUMENT.SWAP("swap.3196",H3198,B3198,"USD","SOFR",I3198,J3198,0,"Actual360","Simple","Annual","Annual","Annual")</f>
        <v>QSObject:Swap:w1~swap.3196:15859</v>
      </c>
      <c r="F3198" s="6" t="str">
        <f>_xll.QS.TRADE.CREATE("trade.3196",E3198,A3198,"Receive")</f>
        <v>QSObject:SwapTrade:w1~trade.3196:28643</v>
      </c>
      <c r="G3198" s="3">
        <f>_xll.QS.EVALUATE(C3198,F3198)</f>
        <v>46187.74215760611</v>
      </c>
      <c r="H3198" s="5" t="s">
        <v>2783</v>
      </c>
      <c r="I3198" s="7">
        <v>1319600</v>
      </c>
      <c r="J3198" s="8">
        <v>3.9600000000000003E-2</v>
      </c>
    </row>
    <row r="3199" spans="1:10" x14ac:dyDescent="0.25">
      <c r="A3199" s="5" t="s">
        <v>2771</v>
      </c>
      <c r="B3199" s="5" t="s">
        <v>5066</v>
      </c>
      <c r="C3199" s="6" t="str">
        <f>_xll.QS.CONTEXT.CREATE("market.3197",A3199,"USD","SOFR")</f>
        <v>QSObject:PricingContext:w1~market.3197:15858</v>
      </c>
      <c r="D3199" s="6" t="str">
        <f>_xll.QS.CONTEXT.ADD.CURVE(C3199,"SOFR",$K$2:$K$7,$L$2:$L$7,,,"Actual360","LogLinear",TRUE)</f>
        <v>QSObject:ContextInput:w1~input.qs_context_add_curve.2359132437744.3198.3.0:37335</v>
      </c>
      <c r="E3199" s="6" t="str">
        <f>_xll.QS.INSTRUMENT.SWAP("swap.3197",H3199,B3199,"USD","SOFR",I3199,J3199,0,"Actual360","Simple","Annual","Annual","Annual")</f>
        <v>QSObject:Swap:w1~swap.3197:15857</v>
      </c>
      <c r="F3199" s="6" t="str">
        <f>_xll.QS.TRADE.CREATE("trade.3197",E3199,A3199,"Receive")</f>
        <v>QSObject:SwapTrade:w1~trade.3197:28642</v>
      </c>
      <c r="G3199" s="3">
        <f>_xll.QS.EVALUATE(C3199,F3199)</f>
        <v>46659.926275749182</v>
      </c>
      <c r="H3199" s="5" t="s">
        <v>2785</v>
      </c>
      <c r="I3199" s="7">
        <v>1319700</v>
      </c>
      <c r="J3199" s="8">
        <v>3.9700000000000013E-2</v>
      </c>
    </row>
    <row r="3200" spans="1:10" x14ac:dyDescent="0.25">
      <c r="A3200" s="5" t="s">
        <v>2773</v>
      </c>
      <c r="B3200" s="5" t="s">
        <v>5067</v>
      </c>
      <c r="C3200" s="6" t="str">
        <f>_xll.QS.CONTEXT.CREATE("market.3198",A3200,"USD","SOFR")</f>
        <v>QSObject:PricingContext:w1~market.3198:15856</v>
      </c>
      <c r="D3200" s="6" t="str">
        <f>_xll.QS.CONTEXT.ADD.CURVE(C3200,"SOFR",$K$2:$K$7,$L$2:$L$7,,,"Actual360","LogLinear",TRUE)</f>
        <v>QSObject:ContextInput:w1~input.qs_context_add_curve.2359132437744.3199.3.0:37334</v>
      </c>
      <c r="E3200" s="6" t="str">
        <f>_xll.QS.INSTRUMENT.SWAP("swap.3198",H3200,B3200,"USD","SOFR",I3200,J3200,0,"Actual360","Simple","Annual","Annual","Annual")</f>
        <v>QSObject:Swap:w1~swap.3198:15855</v>
      </c>
      <c r="F3200" s="6" t="str">
        <f>_xll.QS.TRADE.CREATE("trade.3198",E3200,A3200,"Receive")</f>
        <v>QSObject:SwapTrade:w1~trade.3198:28641</v>
      </c>
      <c r="G3200" s="3">
        <f>_xll.QS.EVALUATE(C3200,F3200)</f>
        <v>47167.65633183805</v>
      </c>
      <c r="H3200" s="5" t="s">
        <v>2787</v>
      </c>
      <c r="I3200" s="7">
        <v>1319800</v>
      </c>
      <c r="J3200" s="8">
        <v>3.9800000000000002E-2</v>
      </c>
    </row>
    <row r="3201" spans="1:10" x14ac:dyDescent="0.25">
      <c r="A3201" s="5" t="s">
        <v>2775</v>
      </c>
      <c r="B3201" s="5" t="s">
        <v>5068</v>
      </c>
      <c r="C3201" s="6" t="str">
        <f>_xll.QS.CONTEXT.CREATE("market.3199",A3201,"USD","SOFR")</f>
        <v>QSObject:PricingContext:w1~market.3199:15854</v>
      </c>
      <c r="D3201" s="6" t="str">
        <f>_xll.QS.CONTEXT.ADD.CURVE(C3201,"SOFR",$K$2:$K$7,$L$2:$L$7,,,"Actual360","LogLinear",TRUE)</f>
        <v>QSObject:ContextInput:w1~input.qs_context_add_curve.2359132437744.3200.3.0:37333</v>
      </c>
      <c r="E3201" s="6" t="str">
        <f>_xll.QS.INSTRUMENT.SWAP("swap.3199",H3201,B3201,"USD","SOFR",I3201,J3201,0,"Actual360","Simple","Annual","Annual","Annual")</f>
        <v>QSObject:Swap:w1~swap.3199:15853</v>
      </c>
      <c r="F3201" s="6" t="str">
        <f>_xll.QS.TRADE.CREATE("trade.3199",E3201,A3201,"Receive")</f>
        <v>QSObject:SwapTrade:w1~trade.3199:28640</v>
      </c>
      <c r="G3201" s="3">
        <f>_xll.QS.EVALUATE(C3201,F3201)</f>
        <v>47838.531420109888</v>
      </c>
      <c r="H3201" s="5" t="s">
        <v>2789</v>
      </c>
      <c r="I3201" s="7">
        <v>1319900</v>
      </c>
      <c r="J3201" s="8">
        <v>3.9899999999999998E-2</v>
      </c>
    </row>
    <row r="3202" spans="1:10" x14ac:dyDescent="0.25">
      <c r="A3202" s="5" t="s">
        <v>2777</v>
      </c>
      <c r="B3202" s="5" t="s">
        <v>5069</v>
      </c>
      <c r="C3202" s="6" t="str">
        <f>_xll.QS.CONTEXT.CREATE("market.3200",A3202,"USD","SOFR")</f>
        <v>QSObject:PricingContext:w1~market.3200:15852</v>
      </c>
      <c r="D3202" s="6" t="str">
        <f>_xll.QS.CONTEXT.ADD.CURVE(C3202,"SOFR",$K$2:$K$7,$L$2:$L$7,,,"Actual360","LogLinear",TRUE)</f>
        <v>QSObject:ContextInput:w1~input.qs_context_add_curve.2359132437744.3201.3.0:37332</v>
      </c>
      <c r="E3202" s="6" t="str">
        <f>_xll.QS.INSTRUMENT.SWAP("swap.3200",H3202,B3202,"USD","SOFR",I3202,J3202,0,"Actual360","Simple","Annual","Annual","Annual")</f>
        <v>QSObject:Swap:w1~swap.3200:15851</v>
      </c>
      <c r="F3202" s="6" t="str">
        <f>_xll.QS.TRADE.CREATE("trade.3200",E3202,A3202,"Receive")</f>
        <v>QSObject:SwapTrade:w1~trade.3200:28639</v>
      </c>
      <c r="G3202" s="3">
        <f>_xll.QS.EVALUATE(C3202,F3202)</f>
        <v>18057.653479131128</v>
      </c>
      <c r="H3202" s="5" t="s">
        <v>2791</v>
      </c>
      <c r="I3202" s="7">
        <v>1320000</v>
      </c>
      <c r="J3202" s="8">
        <v>3.5000000000000003E-2</v>
      </c>
    </row>
    <row r="3203" spans="1:10" x14ac:dyDescent="0.25">
      <c r="A3203" s="5" t="s">
        <v>2779</v>
      </c>
      <c r="B3203" s="5" t="s">
        <v>5070</v>
      </c>
      <c r="C3203" s="6" t="str">
        <f>_xll.QS.CONTEXT.CREATE("market.3201",A3203,"USD","SOFR")</f>
        <v>QSObject:PricingContext:w1~market.3201:15850</v>
      </c>
      <c r="D3203" s="6" t="str">
        <f>_xll.QS.CONTEXT.ADD.CURVE(C3203,"SOFR",$K$2:$K$7,$L$2:$L$7,,,"Actual360","LogLinear",TRUE)</f>
        <v>QSObject:ContextInput:w1~input.qs_context_add_curve.2359132437744.3202.3.0:37331</v>
      </c>
      <c r="E3203" s="6" t="str">
        <f>_xll.QS.INSTRUMENT.SWAP("swap.3201",H3203,B3203,"USD","SOFR",I3203,J3203,0,"Actual360","Simple","Annual","Annual","Annual")</f>
        <v>QSObject:Swap:w1~swap.3201:15849</v>
      </c>
      <c r="F3203" s="6" t="str">
        <f>_xll.QS.TRADE.CREATE("trade.3201",E3203,A3203,"Receive")</f>
        <v>QSObject:SwapTrade:w1~trade.3201:28638</v>
      </c>
      <c r="G3203" s="3">
        <f>_xll.QS.EVALUATE(C3203,F3203)</f>
        <v>18853.245901352195</v>
      </c>
      <c r="H3203" s="5" t="s">
        <v>2793</v>
      </c>
      <c r="I3203" s="7">
        <v>1320100</v>
      </c>
      <c r="J3203" s="8">
        <v>3.5100000000000013E-2</v>
      </c>
    </row>
    <row r="3204" spans="1:10" x14ac:dyDescent="0.25">
      <c r="A3204" s="5" t="s">
        <v>2781</v>
      </c>
      <c r="B3204" s="5" t="s">
        <v>5071</v>
      </c>
      <c r="C3204" s="6" t="str">
        <f>_xll.QS.CONTEXT.CREATE("market.3202",A3204,"USD","SOFR")</f>
        <v>QSObject:PricingContext:w1~market.3202:15848</v>
      </c>
      <c r="D3204" s="6" t="str">
        <f>_xll.QS.CONTEXT.ADD.CURVE(C3204,"SOFR",$K$2:$K$7,$L$2:$L$7,,,"Actual360","LogLinear",TRUE)</f>
        <v>QSObject:ContextInput:w1~input.qs_context_add_curve.2359132437744.3203.3.0:37330</v>
      </c>
      <c r="E3204" s="6" t="str">
        <f>_xll.QS.INSTRUMENT.SWAP("swap.3202",H3204,B3204,"USD","SOFR",I3204,J3204,0,"Actual360","Simple","Annual","Annual","Annual")</f>
        <v>QSObject:Swap:w1~swap.3202:15847</v>
      </c>
      <c r="F3204" s="6" t="str">
        <f>_xll.QS.TRADE.CREATE("trade.3202",E3204,A3204,"Receive")</f>
        <v>QSObject:SwapTrade:w1~trade.3202:28637</v>
      </c>
      <c r="G3204" s="3">
        <f>_xll.QS.EVALUATE(C3204,F3204)</f>
        <v>19476.036550378449</v>
      </c>
      <c r="H3204" s="5" t="s">
        <v>2795</v>
      </c>
      <c r="I3204" s="7">
        <v>1320200</v>
      </c>
      <c r="J3204" s="8">
        <v>3.5200000000000002E-2</v>
      </c>
    </row>
    <row r="3205" spans="1:10" x14ac:dyDescent="0.25">
      <c r="A3205" s="5" t="s">
        <v>2783</v>
      </c>
      <c r="B3205" s="5" t="s">
        <v>5072</v>
      </c>
      <c r="C3205" s="6" t="str">
        <f>_xll.QS.CONTEXT.CREATE("market.3203",A3205,"USD","SOFR")</f>
        <v>QSObject:PricingContext:w1~market.3203:15846</v>
      </c>
      <c r="D3205" s="6" t="str">
        <f>_xll.QS.CONTEXT.ADD.CURVE(C3205,"SOFR",$K$2:$K$7,$L$2:$L$7,,,"Actual360","LogLinear",TRUE)</f>
        <v>QSObject:ContextInput:w1~input.qs_context_add_curve.2359132437744.3204.3.0:37329</v>
      </c>
      <c r="E3205" s="6" t="str">
        <f>_xll.QS.INSTRUMENT.SWAP("swap.3203",H3205,B3205,"USD","SOFR",I3205,J3205,0,"Actual360","Simple","Annual","Annual","Annual")</f>
        <v>QSObject:Swap:w1~swap.3203:15845</v>
      </c>
      <c r="F3205" s="6" t="str">
        <f>_xll.QS.TRADE.CREATE("trade.3203",E3205,A3205,"Receive")</f>
        <v>QSObject:SwapTrade:w1~trade.3203:28636</v>
      </c>
      <c r="G3205" s="3">
        <f>_xll.QS.EVALUATE(C3205,F3205)</f>
        <v>20086.070230271143</v>
      </c>
      <c r="H3205" s="5" t="s">
        <v>2797</v>
      </c>
      <c r="I3205" s="7">
        <v>1320300</v>
      </c>
      <c r="J3205" s="8">
        <v>3.5299999999999998E-2</v>
      </c>
    </row>
    <row r="3206" spans="1:10" x14ac:dyDescent="0.25">
      <c r="A3206" s="5" t="s">
        <v>2785</v>
      </c>
      <c r="B3206" s="5" t="s">
        <v>5073</v>
      </c>
      <c r="C3206" s="6" t="str">
        <f>_xll.QS.CONTEXT.CREATE("market.3204",A3206,"USD","SOFR")</f>
        <v>QSObject:PricingContext:w1~market.3204:15844</v>
      </c>
      <c r="D3206" s="6" t="str">
        <f>_xll.QS.CONTEXT.ADD.CURVE(C3206,"SOFR",$K$2:$K$7,$L$2:$L$7,,,"Actual360","LogLinear",TRUE)</f>
        <v>QSObject:ContextInput:w1~input.qs_context_add_curve.2359132437744.3205.3.0:37328</v>
      </c>
      <c r="E3206" s="6" t="str">
        <f>_xll.QS.INSTRUMENT.SWAP("swap.3204",H3206,B3206,"USD","SOFR",I3206,J3206,0,"Actual360","Simple","Annual","Annual","Annual")</f>
        <v>QSObject:Swap:w1~swap.3204:15843</v>
      </c>
      <c r="F3206" s="6" t="str">
        <f>_xll.QS.TRADE.CREATE("trade.3204",E3206,A3206,"Receive")</f>
        <v>QSObject:SwapTrade:w1~trade.3204:28635</v>
      </c>
      <c r="G3206" s="3">
        <f>_xll.QS.EVALUATE(C3206,F3206)</f>
        <v>20616.339599345607</v>
      </c>
      <c r="H3206" s="5" t="s">
        <v>2799</v>
      </c>
      <c r="I3206" s="7">
        <v>1320400</v>
      </c>
      <c r="J3206" s="8">
        <v>3.5400000000000001E-2</v>
      </c>
    </row>
    <row r="3207" spans="1:10" x14ac:dyDescent="0.25">
      <c r="A3207" s="5" t="s">
        <v>2787</v>
      </c>
      <c r="B3207" s="5" t="s">
        <v>5074</v>
      </c>
      <c r="C3207" s="6" t="str">
        <f>_xll.QS.CONTEXT.CREATE("market.3205",A3207,"USD","SOFR")</f>
        <v>QSObject:PricingContext:w1~market.3205:15842</v>
      </c>
      <c r="D3207" s="6" t="str">
        <f>_xll.QS.CONTEXT.ADD.CURVE(C3207,"SOFR",$K$2:$K$7,$L$2:$L$7,,,"Actual360","LogLinear",TRUE)</f>
        <v>QSObject:ContextInput:w1~input.qs_context_add_curve.2359132437744.3206.3.0:37327</v>
      </c>
      <c r="E3207" s="6" t="str">
        <f>_xll.QS.INSTRUMENT.SWAP("swap.3205",H3207,B3207,"USD","SOFR",I3207,J3207,0,"Actual360","Simple","Annual","Annual","Annual")</f>
        <v>QSObject:Swap:w1~swap.3205:15841</v>
      </c>
      <c r="F3207" s="6" t="str">
        <f>_xll.QS.TRADE.CREATE("trade.3205",E3207,A3207,"Receive")</f>
        <v>QSObject:SwapTrade:w1~trade.3205:28634</v>
      </c>
      <c r="G3207" s="3">
        <f>_xll.QS.EVALUATE(C3207,F3207)</f>
        <v>21108.9277074204</v>
      </c>
      <c r="H3207" s="5" t="s">
        <v>2801</v>
      </c>
      <c r="I3207" s="7">
        <v>1320500</v>
      </c>
      <c r="J3207" s="8">
        <v>3.5499999999999997E-2</v>
      </c>
    </row>
    <row r="3208" spans="1:10" x14ac:dyDescent="0.25">
      <c r="A3208" s="5" t="s">
        <v>2789</v>
      </c>
      <c r="B3208" s="5" t="s">
        <v>5075</v>
      </c>
      <c r="C3208" s="6" t="str">
        <f>_xll.QS.CONTEXT.CREATE("market.3206",A3208,"USD","SOFR")</f>
        <v>QSObject:PricingContext:w1~market.3206:15840</v>
      </c>
      <c r="D3208" s="6" t="str">
        <f>_xll.QS.CONTEXT.ADD.CURVE(C3208,"SOFR",$K$2:$K$7,$L$2:$L$7,,,"Actual360","LogLinear",TRUE)</f>
        <v>QSObject:ContextInput:w1~input.qs_context_add_curve.2359132437744.3207.3.0:37326</v>
      </c>
      <c r="E3208" s="6" t="str">
        <f>_xll.QS.INSTRUMENT.SWAP("swap.3206",H3208,B3208,"USD","SOFR",I3208,J3208,0,"Actual360","Simple","Annual","Annual","Annual")</f>
        <v>QSObject:Swap:w1~swap.3206:15839</v>
      </c>
      <c r="F3208" s="6" t="str">
        <f>_xll.QS.TRADE.CREATE("trade.3206",E3208,A3208,"Receive")</f>
        <v>QSObject:SwapTrade:w1~trade.3206:28633</v>
      </c>
      <c r="G3208" s="3">
        <f>_xll.QS.EVALUATE(C3208,F3208)</f>
        <v>21721.278383400771</v>
      </c>
      <c r="H3208" s="5" t="s">
        <v>2803</v>
      </c>
      <c r="I3208" s="7">
        <v>1320600</v>
      </c>
      <c r="J3208" s="8">
        <v>3.5600000000000007E-2</v>
      </c>
    </row>
    <row r="3209" spans="1:10" x14ac:dyDescent="0.25">
      <c r="A3209" s="5" t="s">
        <v>2791</v>
      </c>
      <c r="B3209" s="5" t="s">
        <v>5076</v>
      </c>
      <c r="C3209" s="6" t="str">
        <f>_xll.QS.CONTEXT.CREATE("market.3207",A3209,"USD","SOFR")</f>
        <v>QSObject:PricingContext:w1~market.3207:15838</v>
      </c>
      <c r="D3209" s="6" t="str">
        <f>_xll.QS.CONTEXT.ADD.CURVE(C3209,"SOFR",$K$2:$K$7,$L$2:$L$7,,,"Actual360","LogLinear",TRUE)</f>
        <v>QSObject:ContextInput:w1~input.qs_context_add_curve.2359132437744.3208.3.0:37325</v>
      </c>
      <c r="E3209" s="6" t="str">
        <f>_xll.QS.INSTRUMENT.SWAP("swap.3207",H3209,B3209,"USD","SOFR",I3209,J3209,0,"Actual360","Simple","Annual","Annual","Annual")</f>
        <v>QSObject:Swap:w1~swap.3207:15837</v>
      </c>
      <c r="F3209" s="6" t="str">
        <f>_xll.QS.TRADE.CREATE("trade.3207",E3209,A3209,"Receive")</f>
        <v>QSObject:SwapTrade:w1~trade.3207:28632</v>
      </c>
      <c r="G3209" s="3">
        <f>_xll.QS.EVALUATE(C3209,F3209)</f>
        <v>22370.918734076477</v>
      </c>
      <c r="H3209" s="5" t="s">
        <v>2805</v>
      </c>
      <c r="I3209" s="7">
        <v>1320700</v>
      </c>
      <c r="J3209" s="8">
        <v>3.5700000000000003E-2</v>
      </c>
    </row>
    <row r="3210" spans="1:10" x14ac:dyDescent="0.25">
      <c r="A3210" s="5" t="s">
        <v>2793</v>
      </c>
      <c r="B3210" s="5" t="s">
        <v>5077</v>
      </c>
      <c r="C3210" s="6" t="str">
        <f>_xll.QS.CONTEXT.CREATE("market.3208",A3210,"USD","SOFR")</f>
        <v>QSObject:PricingContext:w1~market.3208:15836</v>
      </c>
      <c r="D3210" s="6" t="str">
        <f>_xll.QS.CONTEXT.ADD.CURVE(C3210,"SOFR",$K$2:$K$7,$L$2:$L$7,,,"Actual360","LogLinear",TRUE)</f>
        <v>QSObject:ContextInput:w1~input.qs_context_add_curve.2359132437744.3209.3.0:37324</v>
      </c>
      <c r="E3210" s="6" t="str">
        <f>_xll.QS.INSTRUMENT.SWAP("swap.3208",H3210,B3210,"USD","SOFR",I3210,J3210,0,"Actual360","Simple","Annual","Annual","Annual")</f>
        <v>QSObject:Swap:w1~swap.3208:15835</v>
      </c>
      <c r="F3210" s="6" t="str">
        <f>_xll.QS.TRADE.CREATE("trade.3208",E3210,A3210,"Receive")</f>
        <v>QSObject:SwapTrade:w1~trade.3208:28631</v>
      </c>
      <c r="G3210" s="3">
        <f>_xll.QS.EVALUATE(C3210,F3210)</f>
        <v>23078.054320445517</v>
      </c>
      <c r="H3210" s="5" t="s">
        <v>2807</v>
      </c>
      <c r="I3210" s="7">
        <v>1320800</v>
      </c>
      <c r="J3210" s="8">
        <v>3.5800000000000012E-2</v>
      </c>
    </row>
    <row r="3211" spans="1:10" x14ac:dyDescent="0.25">
      <c r="A3211" s="5" t="s">
        <v>2795</v>
      </c>
      <c r="B3211" s="5" t="s">
        <v>5078</v>
      </c>
      <c r="C3211" s="6" t="str">
        <f>_xll.QS.CONTEXT.CREATE("market.3209",A3211,"USD","SOFR")</f>
        <v>QSObject:PricingContext:w1~market.3209:15834</v>
      </c>
      <c r="D3211" s="6" t="str">
        <f>_xll.QS.CONTEXT.ADD.CURVE(C3211,"SOFR",$K$2:$K$7,$L$2:$L$7,,,"Actual360","LogLinear",TRUE)</f>
        <v>QSObject:ContextInput:w1~input.qs_context_add_curve.2359132437744.3210.3.0:37323</v>
      </c>
      <c r="E3211" s="6" t="str">
        <f>_xll.QS.INSTRUMENT.SWAP("swap.3209",H3211,B3211,"USD","SOFR",I3211,J3211,0,"Actual360","Simple","Annual","Annual","Annual")</f>
        <v>QSObject:Swap:w1~swap.3209:15833</v>
      </c>
      <c r="F3211" s="6" t="str">
        <f>_xll.QS.TRADE.CREATE("trade.3209",E3211,A3211,"Receive")</f>
        <v>QSObject:SwapTrade:w1~trade.3209:28630</v>
      </c>
      <c r="G3211" s="3">
        <f>_xll.QS.EVALUATE(C3211,F3211)</f>
        <v>23746.279479402881</v>
      </c>
      <c r="H3211" s="5" t="s">
        <v>2809</v>
      </c>
      <c r="I3211" s="7">
        <v>1320900</v>
      </c>
      <c r="J3211" s="8">
        <v>3.5900000000000001E-2</v>
      </c>
    </row>
    <row r="3212" spans="1:10" x14ac:dyDescent="0.25">
      <c r="A3212" s="5" t="s">
        <v>2797</v>
      </c>
      <c r="B3212" s="5" t="s">
        <v>5079</v>
      </c>
      <c r="C3212" s="6" t="str">
        <f>_xll.QS.CONTEXT.CREATE("market.3210",A3212,"USD","SOFR")</f>
        <v>QSObject:PricingContext:w1~market.3210:15832</v>
      </c>
      <c r="D3212" s="6" t="str">
        <f>_xll.QS.CONTEXT.ADD.CURVE(C3212,"SOFR",$K$2:$K$7,$L$2:$L$7,,,"Actual360","LogLinear",TRUE)</f>
        <v>QSObject:ContextInput:w1~input.qs_context_add_curve.2359132437744.3211.3.0:37322</v>
      </c>
      <c r="E3212" s="6" t="str">
        <f>_xll.QS.INSTRUMENT.SWAP("swap.3210",H3212,B3212,"USD","SOFR",I3212,J3212,0,"Actual360","Simple","Annual","Annual","Annual")</f>
        <v>QSObject:Swap:w1~swap.3210:15831</v>
      </c>
      <c r="F3212" s="6" t="str">
        <f>_xll.QS.TRADE.CREATE("trade.3210",E3212,A3212,"Receive")</f>
        <v>QSObject:SwapTrade:w1~trade.3210:28629</v>
      </c>
      <c r="G3212" s="3">
        <f>_xll.QS.EVALUATE(C3212,F3212)</f>
        <v>24307.154502693811</v>
      </c>
      <c r="H3212" s="5" t="s">
        <v>2811</v>
      </c>
      <c r="I3212" s="7">
        <v>1321000</v>
      </c>
      <c r="J3212" s="8">
        <v>3.5999999999999997E-2</v>
      </c>
    </row>
    <row r="3213" spans="1:10" x14ac:dyDescent="0.25">
      <c r="A3213" s="5" t="s">
        <v>2799</v>
      </c>
      <c r="B3213" s="5" t="s">
        <v>5080</v>
      </c>
      <c r="C3213" s="6" t="str">
        <f>_xll.QS.CONTEXT.CREATE("market.3211",A3213,"USD","SOFR")</f>
        <v>QSObject:PricingContext:w1~market.3211:15830</v>
      </c>
      <c r="D3213" s="6" t="str">
        <f>_xll.QS.CONTEXT.ADD.CURVE(C3213,"SOFR",$K$2:$K$7,$L$2:$L$7,,,"Actual360","LogLinear",TRUE)</f>
        <v>QSObject:ContextInput:w1~input.qs_context_add_curve.2359132437744.3212.3.0:37321</v>
      </c>
      <c r="E3213" s="6" t="str">
        <f>_xll.QS.INSTRUMENT.SWAP("swap.3211",H3213,B3213,"USD","SOFR",I3213,J3213,0,"Actual360","Simple","Annual","Annual","Annual")</f>
        <v>QSObject:Swap:w1~swap.3211:15829</v>
      </c>
      <c r="F3213" s="6" t="str">
        <f>_xll.QS.TRADE.CREATE("trade.3211",E3213,A3213,"Receive")</f>
        <v>QSObject:SwapTrade:w1~trade.3211:28628</v>
      </c>
      <c r="G3213" s="3">
        <f>_xll.QS.EVALUATE(C3213,F3213)</f>
        <v>24832.994458982474</v>
      </c>
      <c r="H3213" s="5" t="s">
        <v>2813</v>
      </c>
      <c r="I3213" s="7">
        <v>1321100</v>
      </c>
      <c r="J3213" s="8">
        <v>3.61E-2</v>
      </c>
    </row>
    <row r="3214" spans="1:10" x14ac:dyDescent="0.25">
      <c r="A3214" s="5" t="s">
        <v>2801</v>
      </c>
      <c r="B3214" s="5" t="s">
        <v>5081</v>
      </c>
      <c r="C3214" s="6" t="str">
        <f>_xll.QS.CONTEXT.CREATE("market.3212",A3214,"USD","SOFR")</f>
        <v>QSObject:PricingContext:w1~market.3212:15828</v>
      </c>
      <c r="D3214" s="6" t="str">
        <f>_xll.QS.CONTEXT.ADD.CURVE(C3214,"SOFR",$K$2:$K$7,$L$2:$L$7,,,"Actual360","LogLinear",TRUE)</f>
        <v>QSObject:ContextInput:w1~input.qs_context_add_curve.2359132437744.3213.3.0:37320</v>
      </c>
      <c r="E3214" s="6" t="str">
        <f>_xll.QS.INSTRUMENT.SWAP("swap.3212",H3214,B3214,"USD","SOFR",I3214,J3214,0,"Actual360","Simple","Annual","Annual","Annual")</f>
        <v>QSObject:Swap:w1~swap.3212:15827</v>
      </c>
      <c r="F3214" s="6" t="str">
        <f>_xll.QS.TRADE.CREATE("trade.3212",E3214,A3214,"Receive")</f>
        <v>QSObject:SwapTrade:w1~trade.3212:28627</v>
      </c>
      <c r="G3214" s="3">
        <f>_xll.QS.EVALUATE(C3214,F3214)</f>
        <v>25332.893061189709</v>
      </c>
      <c r="H3214" s="5" t="s">
        <v>2815</v>
      </c>
      <c r="I3214" s="7">
        <v>1321200</v>
      </c>
      <c r="J3214" s="8">
        <v>3.6200000000000003E-2</v>
      </c>
    </row>
    <row r="3215" spans="1:10" x14ac:dyDescent="0.25">
      <c r="A3215" s="5" t="s">
        <v>2803</v>
      </c>
      <c r="B3215" s="5" t="s">
        <v>5082</v>
      </c>
      <c r="C3215" s="6" t="str">
        <f>_xll.QS.CONTEXT.CREATE("market.3213",A3215,"USD","SOFR")</f>
        <v>QSObject:PricingContext:w1~market.3213:15826</v>
      </c>
      <c r="D3215" s="6" t="str">
        <f>_xll.QS.CONTEXT.ADD.CURVE(C3215,"SOFR",$K$2:$K$7,$L$2:$L$7,,,"Actual360","LogLinear",TRUE)</f>
        <v>QSObject:ContextInput:w1~input.qs_context_add_curve.2359132437744.3214.3.0:37319</v>
      </c>
      <c r="E3215" s="6" t="str">
        <f>_xll.QS.INSTRUMENT.SWAP("swap.3213",H3215,B3215,"USD","SOFR",I3215,J3215,0,"Actual360","Simple","Annual","Annual","Annual")</f>
        <v>QSObject:Swap:w1~swap.3213:15825</v>
      </c>
      <c r="F3215" s="6" t="str">
        <f>_xll.QS.TRADE.CREATE("trade.3213",E3215,A3215,"Receive")</f>
        <v>QSObject:SwapTrade:w1~trade.3213:28626</v>
      </c>
      <c r="G3215" s="3">
        <f>_xll.QS.EVALUATE(C3215,F3215)</f>
        <v>25999.880244267973</v>
      </c>
      <c r="H3215" s="5" t="s">
        <v>2817</v>
      </c>
      <c r="I3215" s="7">
        <v>1321300</v>
      </c>
      <c r="J3215" s="8">
        <v>3.6300000000000013E-2</v>
      </c>
    </row>
    <row r="3216" spans="1:10" x14ac:dyDescent="0.25">
      <c r="A3216" s="5" t="s">
        <v>2805</v>
      </c>
      <c r="B3216" s="5" t="s">
        <v>5083</v>
      </c>
      <c r="C3216" s="6" t="str">
        <f>_xll.QS.CONTEXT.CREATE("market.3214",A3216,"USD","SOFR")</f>
        <v>QSObject:PricingContext:w1~market.3214:15824</v>
      </c>
      <c r="D3216" s="6" t="str">
        <f>_xll.QS.CONTEXT.ADD.CURVE(C3216,"SOFR",$K$2:$K$7,$L$2:$L$7,,,"Actual360","LogLinear",TRUE)</f>
        <v>QSObject:ContextInput:w1~input.qs_context_add_curve.2359132437744.3215.3.0:37318</v>
      </c>
      <c r="E3216" s="6" t="str">
        <f>_xll.QS.INSTRUMENT.SWAP("swap.3214",H3216,B3216,"USD","SOFR",I3216,J3216,0,"Actual360","Simple","Annual","Annual","Annual")</f>
        <v>QSObject:Swap:w1~swap.3214:15823</v>
      </c>
      <c r="F3216" s="6" t="str">
        <f>_xll.QS.TRADE.CREATE("trade.3214",E3216,A3216,"Receive")</f>
        <v>QSObject:SwapTrade:w1~trade.3214:28625</v>
      </c>
      <c r="G3216" s="3">
        <f>_xll.QS.EVALUATE(C3216,F3216)</f>
        <v>26648.150109674891</v>
      </c>
      <c r="H3216" s="5" t="s">
        <v>2819</v>
      </c>
      <c r="I3216" s="7">
        <v>1321400</v>
      </c>
      <c r="J3216" s="8">
        <v>3.6400000000000002E-2</v>
      </c>
    </row>
    <row r="3217" spans="1:10" x14ac:dyDescent="0.25">
      <c r="A3217" s="5" t="s">
        <v>2807</v>
      </c>
      <c r="B3217" s="5" t="s">
        <v>5084</v>
      </c>
      <c r="C3217" s="6" t="str">
        <f>_xll.QS.CONTEXT.CREATE("market.3215",A3217,"USD","SOFR")</f>
        <v>QSObject:PricingContext:w1~market.3215:15822</v>
      </c>
      <c r="D3217" s="6" t="str">
        <f>_xll.QS.CONTEXT.ADD.CURVE(C3217,"SOFR",$K$2:$K$7,$L$2:$L$7,,,"Actual360","LogLinear",TRUE)</f>
        <v>QSObject:ContextInput:w1~input.qs_context_add_curve.2359132437744.3216.3.0:37317</v>
      </c>
      <c r="E3217" s="6" t="str">
        <f>_xll.QS.INSTRUMENT.SWAP("swap.3215",H3217,B3217,"USD","SOFR",I3217,J3217,0,"Actual360","Simple","Annual","Annual","Annual")</f>
        <v>QSObject:Swap:w1~swap.3215:15821</v>
      </c>
      <c r="F3217" s="6" t="str">
        <f>_xll.QS.TRADE.CREATE("trade.3215",E3217,A3217,"Receive")</f>
        <v>QSObject:SwapTrade:w1~trade.3215:28624</v>
      </c>
      <c r="G3217" s="3">
        <f>_xll.QS.EVALUATE(C3217,F3217)</f>
        <v>27356.046367404415</v>
      </c>
      <c r="H3217" s="5" t="s">
        <v>2821</v>
      </c>
      <c r="I3217" s="7">
        <v>1321500</v>
      </c>
      <c r="J3217" s="8">
        <v>3.6499999999999998E-2</v>
      </c>
    </row>
    <row r="3218" spans="1:10" x14ac:dyDescent="0.25">
      <c r="A3218" s="5" t="s">
        <v>2809</v>
      </c>
      <c r="B3218" s="5" t="s">
        <v>5085</v>
      </c>
      <c r="C3218" s="6" t="str">
        <f>_xll.QS.CONTEXT.CREATE("market.3216",A3218,"USD","SOFR")</f>
        <v>QSObject:PricingContext:w1~market.3216:15820</v>
      </c>
      <c r="D3218" s="6" t="str">
        <f>_xll.QS.CONTEXT.ADD.CURVE(C3218,"SOFR",$K$2:$K$7,$L$2:$L$7,,,"Actual360","LogLinear",TRUE)</f>
        <v>QSObject:ContextInput:w1~input.qs_context_add_curve.2359132437744.3217.3.0:37316</v>
      </c>
      <c r="E3218" s="6" t="str">
        <f>_xll.QS.INSTRUMENT.SWAP("swap.3216",H3218,B3218,"USD","SOFR",I3218,J3218,0,"Actual360","Simple","Annual","Annual","Annual")</f>
        <v>QSObject:Swap:w1~swap.3216:15819</v>
      </c>
      <c r="F3218" s="6" t="str">
        <f>_xll.QS.TRADE.CREATE("trade.3216",E3218,A3218,"Receive")</f>
        <v>QSObject:SwapTrade:w1~trade.3216:28623</v>
      </c>
      <c r="G3218" s="3">
        <f>_xll.QS.EVALUATE(C3218,F3218)</f>
        <v>28024.993119919265</v>
      </c>
      <c r="H3218" s="5" t="s">
        <v>2823</v>
      </c>
      <c r="I3218" s="7">
        <v>1321600</v>
      </c>
      <c r="J3218" s="8">
        <v>3.6600000000000001E-2</v>
      </c>
    </row>
    <row r="3219" spans="1:10" x14ac:dyDescent="0.25">
      <c r="A3219" s="5" t="s">
        <v>2811</v>
      </c>
      <c r="B3219" s="5" t="s">
        <v>5086</v>
      </c>
      <c r="C3219" s="6" t="str">
        <f>_xll.QS.CONTEXT.CREATE("market.3217",A3219,"USD","SOFR")</f>
        <v>QSObject:PricingContext:w1~market.3217:15818</v>
      </c>
      <c r="D3219" s="6" t="str">
        <f>_xll.QS.CONTEXT.ADD.CURVE(C3219,"SOFR",$K$2:$K$7,$L$2:$L$7,,,"Actual360","LogLinear",TRUE)</f>
        <v>QSObject:ContextInput:w1~input.qs_context_add_curve.2359132437744.3218.3.0:37315</v>
      </c>
      <c r="E3219" s="6" t="str">
        <f>_xll.QS.INSTRUMENT.SWAP("swap.3217",H3219,B3219,"USD","SOFR",I3219,J3219,0,"Actual360","Simple","Annual","Annual","Annual")</f>
        <v>QSObject:Swap:w1~swap.3217:15817</v>
      </c>
      <c r="F3219" s="6" t="str">
        <f>_xll.QS.TRADE.CREATE("trade.3217",E3219,A3219,"Receive")</f>
        <v>QSObject:SwapTrade:w1~trade.3217:28622</v>
      </c>
      <c r="G3219" s="3">
        <f>_xll.QS.EVALUATE(C3219,F3219)</f>
        <v>28586.663675664451</v>
      </c>
      <c r="H3219" s="5" t="s">
        <v>2825</v>
      </c>
      <c r="I3219" s="7">
        <v>1321700</v>
      </c>
      <c r="J3219" s="8">
        <v>3.6700000000000003E-2</v>
      </c>
    </row>
    <row r="3220" spans="1:10" x14ac:dyDescent="0.25">
      <c r="A3220" s="5" t="s">
        <v>2813</v>
      </c>
      <c r="B3220" s="5" t="s">
        <v>5087</v>
      </c>
      <c r="C3220" s="6" t="str">
        <f>_xll.QS.CONTEXT.CREATE("market.3218",A3220,"USD","SOFR")</f>
        <v>QSObject:PricingContext:w1~market.3218:15816</v>
      </c>
      <c r="D3220" s="6" t="str">
        <f>_xll.QS.CONTEXT.ADD.CURVE(C3220,"SOFR",$K$2:$K$7,$L$2:$L$7,,,"Actual360","LogLinear",TRUE)</f>
        <v>QSObject:ContextInput:w1~input.qs_context_add_curve.2359132437744.3219.3.0:37314</v>
      </c>
      <c r="E3220" s="6" t="str">
        <f>_xll.QS.INSTRUMENT.SWAP("swap.3218",H3220,B3220,"USD","SOFR",I3220,J3220,0,"Actual360","Simple","Annual","Annual","Annual")</f>
        <v>QSObject:Swap:w1~swap.3218:15815</v>
      </c>
      <c r="F3220" s="6" t="str">
        <f>_xll.QS.TRADE.CREATE("trade.3218",E3220,A3220,"Receive")</f>
        <v>QSObject:SwapTrade:w1~trade.3218:28621</v>
      </c>
      <c r="G3220" s="3">
        <f>_xll.QS.EVALUATE(C3220,F3220)</f>
        <v>29164.774107381279</v>
      </c>
      <c r="H3220" s="5" t="s">
        <v>2827</v>
      </c>
      <c r="I3220" s="7">
        <v>1321800</v>
      </c>
      <c r="J3220" s="8">
        <v>3.6800000000000013E-2</v>
      </c>
    </row>
    <row r="3221" spans="1:10" x14ac:dyDescent="0.25">
      <c r="A3221" s="5" t="s">
        <v>2815</v>
      </c>
      <c r="B3221" s="5" t="s">
        <v>5088</v>
      </c>
      <c r="C3221" s="6" t="str">
        <f>_xll.QS.CONTEXT.CREATE("market.3219",A3221,"USD","SOFR")</f>
        <v>QSObject:PricingContext:w1~market.3219:15814</v>
      </c>
      <c r="D3221" s="6" t="str">
        <f>_xll.QS.CONTEXT.ADD.CURVE(C3221,"SOFR",$K$2:$K$7,$L$2:$L$7,,,"Actual360","LogLinear",TRUE)</f>
        <v>QSObject:ContextInput:w1~input.qs_context_add_curve.2359132437744.3220.3.0:37313</v>
      </c>
      <c r="E3221" s="6" t="str">
        <f>_xll.QS.INSTRUMENT.SWAP("swap.3219",H3221,B3221,"USD","SOFR",I3221,J3221,0,"Actual360","Simple","Annual","Annual","Annual")</f>
        <v>QSObject:Swap:w1~swap.3219:15813</v>
      </c>
      <c r="F3221" s="6" t="str">
        <f>_xll.QS.TRADE.CREATE("trade.3219",E3221,A3221,"Receive")</f>
        <v>QSObject:SwapTrade:w1~trade.3219:28620</v>
      </c>
      <c r="G3221" s="3">
        <f>_xll.QS.EVALUATE(C3221,F3221)</f>
        <v>29614.965002311517</v>
      </c>
      <c r="H3221" s="5" t="s">
        <v>2829</v>
      </c>
      <c r="I3221" s="7">
        <v>1321900</v>
      </c>
      <c r="J3221" s="8">
        <v>3.6900000000000002E-2</v>
      </c>
    </row>
    <row r="3222" spans="1:10" x14ac:dyDescent="0.25">
      <c r="A3222" s="5" t="s">
        <v>2817</v>
      </c>
      <c r="B3222" s="5" t="s">
        <v>5089</v>
      </c>
      <c r="C3222" s="6" t="str">
        <f>_xll.QS.CONTEXT.CREATE("market.3220",A3222,"USD","SOFR")</f>
        <v>QSObject:PricingContext:w1~market.3220:15812</v>
      </c>
      <c r="D3222" s="6" t="str">
        <f>_xll.QS.CONTEXT.ADD.CURVE(C3222,"SOFR",$K$2:$K$7,$L$2:$L$7,,,"Actual360","LogLinear",TRUE)</f>
        <v>QSObject:ContextInput:w1~input.qs_context_add_curve.2359132437744.3221.3.0:37312</v>
      </c>
      <c r="E3222" s="6" t="str">
        <f>_xll.QS.INSTRUMENT.SWAP("swap.3220",H3222,B3222,"USD","SOFR",I3222,J3222,0,"Actual360","Simple","Annual","Annual","Annual")</f>
        <v>QSObject:Swap:w1~swap.3220:15811</v>
      </c>
      <c r="F3222" s="6" t="str">
        <f>_xll.QS.TRADE.CREATE("trade.3220",E3222,A3222,"Receive")</f>
        <v>QSObject:SwapTrade:w1~trade.3220:28619</v>
      </c>
      <c r="G3222" s="3">
        <f>_xll.QS.EVALUATE(C3222,F3222)</f>
        <v>30283.055829105513</v>
      </c>
      <c r="H3222" s="5" t="s">
        <v>2831</v>
      </c>
      <c r="I3222" s="7">
        <v>1322000</v>
      </c>
      <c r="J3222" s="8">
        <v>3.7000000000000012E-2</v>
      </c>
    </row>
    <row r="3223" spans="1:10" x14ac:dyDescent="0.25">
      <c r="A3223" s="5" t="s">
        <v>2819</v>
      </c>
      <c r="B3223" s="5" t="s">
        <v>5090</v>
      </c>
      <c r="C3223" s="6" t="str">
        <f>_xll.QS.CONTEXT.CREATE("market.3221",A3223,"USD","SOFR")</f>
        <v>QSObject:PricingContext:w1~market.3221:15810</v>
      </c>
      <c r="D3223" s="6" t="str">
        <f>_xll.QS.CONTEXT.ADD.CURVE(C3223,"SOFR",$K$2:$K$7,$L$2:$L$7,,,"Actual360","LogLinear",TRUE)</f>
        <v>QSObject:ContextInput:w1~input.qs_context_add_curve.2359132437744.3222.3.0:37311</v>
      </c>
      <c r="E3223" s="6" t="str">
        <f>_xll.QS.INSTRUMENT.SWAP("swap.3221",H3223,B3223,"USD","SOFR",I3223,J3223,0,"Actual360","Simple","Annual","Annual","Annual")</f>
        <v>QSObject:Swap:w1~swap.3221:15809</v>
      </c>
      <c r="F3223" s="6" t="str">
        <f>_xll.QS.TRADE.CREATE("trade.3221",E3223,A3223,"Receive")</f>
        <v>QSObject:SwapTrade:w1~trade.3221:28618</v>
      </c>
      <c r="G3223" s="3">
        <f>_xll.QS.EVALUATE(C3223,F3223)</f>
        <v>30929.900574130872</v>
      </c>
      <c r="H3223" s="5" t="s">
        <v>2833</v>
      </c>
      <c r="I3223" s="7">
        <v>1322100</v>
      </c>
      <c r="J3223" s="8">
        <v>3.7100000000000001E-2</v>
      </c>
    </row>
    <row r="3224" spans="1:10" x14ac:dyDescent="0.25">
      <c r="A3224" s="5" t="s">
        <v>2821</v>
      </c>
      <c r="B3224" s="5" t="s">
        <v>5091</v>
      </c>
      <c r="C3224" s="6" t="str">
        <f>_xll.QS.CONTEXT.CREATE("market.3222",A3224,"USD","SOFR")</f>
        <v>QSObject:PricingContext:w1~market.3222:15808</v>
      </c>
      <c r="D3224" s="6" t="str">
        <f>_xll.QS.CONTEXT.ADD.CURVE(C3224,"SOFR",$K$2:$K$7,$L$2:$L$7,,,"Actual360","LogLinear",TRUE)</f>
        <v>QSObject:ContextInput:w1~input.qs_context_add_curve.2359132437744.3223.3.0:37310</v>
      </c>
      <c r="E3224" s="6" t="str">
        <f>_xll.QS.INSTRUMENT.SWAP("swap.3222",H3224,B3224,"USD","SOFR",I3224,J3224,0,"Actual360","Simple","Annual","Annual","Annual")</f>
        <v>QSObject:Swap:w1~swap.3222:15807</v>
      </c>
      <c r="F3224" s="6" t="str">
        <f>_xll.QS.TRADE.CREATE("trade.3222",E3224,A3224,"Receive")</f>
        <v>QSObject:SwapTrade:w1~trade.3222:28617</v>
      </c>
      <c r="G3224" s="3">
        <f>_xll.QS.EVALUATE(C3224,F3224)</f>
        <v>31689.646505153993</v>
      </c>
      <c r="H3224" s="5" t="s">
        <v>2835</v>
      </c>
      <c r="I3224" s="7">
        <v>1322200</v>
      </c>
      <c r="J3224" s="8">
        <v>3.7199999999999997E-2</v>
      </c>
    </row>
    <row r="3225" spans="1:10" x14ac:dyDescent="0.25">
      <c r="A3225" s="5" t="s">
        <v>2823</v>
      </c>
      <c r="B3225" s="5" t="s">
        <v>5092</v>
      </c>
      <c r="C3225" s="6" t="str">
        <f>_xll.QS.CONTEXT.CREATE("market.3223",A3225,"USD","SOFR")</f>
        <v>QSObject:PricingContext:w1~market.3223:15806</v>
      </c>
      <c r="D3225" s="6" t="str">
        <f>_xll.QS.CONTEXT.ADD.CURVE(C3225,"SOFR",$K$2:$K$7,$L$2:$L$7,,,"Actual360","LogLinear",TRUE)</f>
        <v>QSObject:ContextInput:w1~input.qs_context_add_curve.2359132437744.3224.3.0:37309</v>
      </c>
      <c r="E3225" s="6" t="str">
        <f>_xll.QS.INSTRUMENT.SWAP("swap.3223",H3225,B3225,"USD","SOFR",I3225,J3225,0,"Actual360","Simple","Annual","Annual","Annual")</f>
        <v>QSObject:Swap:w1~swap.3223:15805</v>
      </c>
      <c r="F3225" s="6" t="str">
        <f>_xll.QS.TRADE.CREATE("trade.3223",E3225,A3225,"Receive")</f>
        <v>QSObject:SwapTrade:w1~trade.3223:28616</v>
      </c>
      <c r="G3225" s="3">
        <f>_xll.QS.EVALUATE(C3225,F3225)</f>
        <v>32308.225965411075</v>
      </c>
      <c r="H3225" s="5" t="s">
        <v>2837</v>
      </c>
      <c r="I3225" s="7">
        <v>1322300</v>
      </c>
      <c r="J3225" s="8">
        <v>3.73E-2</v>
      </c>
    </row>
    <row r="3226" spans="1:10" x14ac:dyDescent="0.25">
      <c r="A3226" s="5" t="s">
        <v>2825</v>
      </c>
      <c r="B3226" s="5" t="s">
        <v>5093</v>
      </c>
      <c r="C3226" s="6" t="str">
        <f>_xll.QS.CONTEXT.CREATE("market.3224",A3226,"USD","SOFR")</f>
        <v>QSObject:PricingContext:w1~market.3224:15804</v>
      </c>
      <c r="D3226" s="6" t="str">
        <f>_xll.QS.CONTEXT.ADD.CURVE(C3226,"SOFR",$K$2:$K$7,$L$2:$L$7,,,"Actual360","LogLinear",TRUE)</f>
        <v>QSObject:ContextInput:w1~input.qs_context_add_curve.2359132437744.3225.3.0:37308</v>
      </c>
      <c r="E3226" s="6" t="str">
        <f>_xll.QS.INSTRUMENT.SWAP("swap.3224",H3226,B3226,"USD","SOFR",I3226,J3226,0,"Actual360","Simple","Annual","Annual","Annual")</f>
        <v>QSObject:Swap:w1~swap.3224:15803</v>
      </c>
      <c r="F3226" s="6" t="str">
        <f>_xll.QS.TRADE.CREATE("trade.3224",E3226,A3226,"Receive")</f>
        <v>QSObject:SwapTrade:w1~trade.3224:28615</v>
      </c>
      <c r="G3226" s="3">
        <f>_xll.QS.EVALUATE(C3226,F3226)</f>
        <v>32870.270278241696</v>
      </c>
      <c r="H3226" s="5" t="s">
        <v>2839</v>
      </c>
      <c r="I3226" s="7">
        <v>1322400</v>
      </c>
      <c r="J3226" s="8">
        <v>3.7400000000000003E-2</v>
      </c>
    </row>
    <row r="3227" spans="1:10" x14ac:dyDescent="0.25">
      <c r="A3227" s="5" t="s">
        <v>2827</v>
      </c>
      <c r="B3227" s="5" t="s">
        <v>5094</v>
      </c>
      <c r="C3227" s="6" t="str">
        <f>_xll.QS.CONTEXT.CREATE("market.3225",A3227,"USD","SOFR")</f>
        <v>QSObject:PricingContext:w1~market.3225:15802</v>
      </c>
      <c r="D3227" s="6" t="str">
        <f>_xll.QS.CONTEXT.ADD.CURVE(C3227,"SOFR",$K$2:$K$7,$L$2:$L$7,,,"Actual360","LogLinear",TRUE)</f>
        <v>QSObject:ContextInput:w1~input.qs_context_add_curve.2359132437744.3226.3.0:37307</v>
      </c>
      <c r="E3227" s="6" t="str">
        <f>_xll.QS.INSTRUMENT.SWAP("swap.3225",H3227,B3227,"USD","SOFR",I3227,J3227,0,"Actual360","Simple","Annual","Annual","Annual")</f>
        <v>QSObject:Swap:w1~swap.3225:15801</v>
      </c>
      <c r="F3227" s="6" t="str">
        <f>_xll.QS.TRADE.CREATE("trade.3225",E3227,A3227,"Receive")</f>
        <v>QSObject:SwapTrade:w1~trade.3225:28614</v>
      </c>
      <c r="G3227" s="3">
        <f>_xll.QS.EVALUATE(C3227,F3227)</f>
        <v>33387.249370101155</v>
      </c>
      <c r="H3227" s="5" t="s">
        <v>2841</v>
      </c>
      <c r="I3227" s="7">
        <v>1322500</v>
      </c>
      <c r="J3227" s="8">
        <v>3.7500000000000012E-2</v>
      </c>
    </row>
    <row r="3228" spans="1:10" x14ac:dyDescent="0.25">
      <c r="A3228" s="5" t="s">
        <v>2829</v>
      </c>
      <c r="B3228" s="5" t="s">
        <v>5095</v>
      </c>
      <c r="C3228" s="6" t="str">
        <f>_xll.QS.CONTEXT.CREATE("market.3226",A3228,"USD","SOFR")</f>
        <v>QSObject:PricingContext:w1~market.3226:15800</v>
      </c>
      <c r="D3228" s="6" t="str">
        <f>_xll.QS.CONTEXT.ADD.CURVE(C3228,"SOFR",$K$2:$K$7,$L$2:$L$7,,,"Actual360","LogLinear",TRUE)</f>
        <v>QSObject:ContextInput:w1~input.qs_context_add_curve.2359132437744.3227.3.0:37306</v>
      </c>
      <c r="E3228" s="6" t="str">
        <f>_xll.QS.INSTRUMENT.SWAP("swap.3226",H3228,B3228,"USD","SOFR",I3228,J3228,0,"Actual360","Simple","Annual","Annual","Annual")</f>
        <v>QSObject:Swap:w1~swap.3226:15799</v>
      </c>
      <c r="F3228" s="6" t="str">
        <f>_xll.QS.TRADE.CREATE("trade.3226",E3228,A3228,"Receive")</f>
        <v>QSObject:SwapTrade:w1~trade.3226:28613</v>
      </c>
      <c r="G3228" s="3">
        <f>_xll.QS.EVALUATE(C3228,F3228)</f>
        <v>33901.557792246364</v>
      </c>
      <c r="H3228" s="5" t="s">
        <v>2843</v>
      </c>
      <c r="I3228" s="7">
        <v>1322600</v>
      </c>
      <c r="J3228" s="8">
        <v>3.7600000000000001E-2</v>
      </c>
    </row>
    <row r="3229" spans="1:10" x14ac:dyDescent="0.25">
      <c r="A3229" s="5" t="s">
        <v>2831</v>
      </c>
      <c r="B3229" s="5" t="s">
        <v>5096</v>
      </c>
      <c r="C3229" s="6" t="str">
        <f>_xll.QS.CONTEXT.CREATE("market.3227",A3229,"USD","SOFR")</f>
        <v>QSObject:PricingContext:w1~market.3227:15798</v>
      </c>
      <c r="D3229" s="6" t="str">
        <f>_xll.QS.CONTEXT.ADD.CURVE(C3229,"SOFR",$K$2:$K$7,$L$2:$L$7,,,"Actual360","LogLinear",TRUE)</f>
        <v>QSObject:ContextInput:w1~input.qs_context_add_curve.2359132437744.3228.3.0:37305</v>
      </c>
      <c r="E3229" s="6" t="str">
        <f>_xll.QS.INSTRUMENT.SWAP("swap.3227",H3229,B3229,"USD","SOFR",I3229,J3229,0,"Actual360","Simple","Annual","Annual","Annual")</f>
        <v>QSObject:Swap:w1~swap.3227:15797</v>
      </c>
      <c r="F3229" s="6" t="str">
        <f>_xll.QS.TRADE.CREATE("trade.3227",E3229,A3229,"Receive")</f>
        <v>QSObject:SwapTrade:w1~trade.3227:28612</v>
      </c>
      <c r="G3229" s="3">
        <f>_xll.QS.EVALUATE(C3229,F3229)</f>
        <v>34570.668837927697</v>
      </c>
      <c r="H3229" s="5" t="s">
        <v>2845</v>
      </c>
      <c r="I3229" s="7">
        <v>1322700</v>
      </c>
      <c r="J3229" s="8">
        <v>3.7699999999999997E-2</v>
      </c>
    </row>
    <row r="3230" spans="1:10" x14ac:dyDescent="0.25">
      <c r="A3230" s="5" t="s">
        <v>2833</v>
      </c>
      <c r="B3230" s="5" t="s">
        <v>5097</v>
      </c>
      <c r="C3230" s="6" t="str">
        <f>_xll.QS.CONTEXT.CREATE("market.3228",A3230,"USD","SOFR")</f>
        <v>QSObject:PricingContext:w1~market.3228:15796</v>
      </c>
      <c r="D3230" s="6" t="str">
        <f>_xll.QS.CONTEXT.ADD.CURVE(C3230,"SOFR",$K$2:$K$7,$L$2:$L$7,,,"Actual360","LogLinear",TRUE)</f>
        <v>QSObject:ContextInput:w1~input.qs_context_add_curve.2359132437744.3229.3.0:37304</v>
      </c>
      <c r="E3230" s="6" t="str">
        <f>_xll.QS.INSTRUMENT.SWAP("swap.3228",H3230,B3230,"USD","SOFR",I3230,J3230,0,"Actual360","Simple","Annual","Annual","Annual")</f>
        <v>QSObject:Swap:w1~swap.3228:15795</v>
      </c>
      <c r="F3230" s="6" t="str">
        <f>_xll.QS.TRADE.CREATE("trade.3228",E3230,A3230,"Receive")</f>
        <v>QSObject:SwapTrade:w1~trade.3228:28611</v>
      </c>
      <c r="G3230" s="3">
        <f>_xll.QS.EVALUATE(C3230,F3230)</f>
        <v>35216.016636083972</v>
      </c>
      <c r="H3230" s="5" t="s">
        <v>2847</v>
      </c>
      <c r="I3230" s="7">
        <v>1322800</v>
      </c>
      <c r="J3230" s="8">
        <v>3.78E-2</v>
      </c>
    </row>
    <row r="3231" spans="1:10" x14ac:dyDescent="0.25">
      <c r="A3231" s="5" t="s">
        <v>2835</v>
      </c>
      <c r="B3231" s="5" t="s">
        <v>5098</v>
      </c>
      <c r="C3231" s="6" t="str">
        <f>_xll.QS.CONTEXT.CREATE("market.3229",A3231,"USD","SOFR")</f>
        <v>QSObject:PricingContext:w1~market.3229:15794</v>
      </c>
      <c r="D3231" s="6" t="str">
        <f>_xll.QS.CONTEXT.ADD.CURVE(C3231,"SOFR",$K$2:$K$7,$L$2:$L$7,,,"Actual360","LogLinear",TRUE)</f>
        <v>QSObject:ContextInput:w1~input.qs_context_add_curve.2359132437744.3230.3.0:37303</v>
      </c>
      <c r="E3231" s="6" t="str">
        <f>_xll.QS.INSTRUMENT.SWAP("swap.3229",H3231,B3231,"USD","SOFR",I3231,J3231,0,"Actual360","Simple","Annual","Annual","Annual")</f>
        <v>QSObject:Swap:w1~swap.3229:15793</v>
      </c>
      <c r="F3231" s="6" t="str">
        <f>_xll.QS.TRADE.CREATE("trade.3229",E3231,A3231,"Receive")</f>
        <v>QSObject:SwapTrade:w1~trade.3229:28610</v>
      </c>
      <c r="G3231" s="3">
        <f>_xll.QS.EVALUATE(C3231,F3231)</f>
        <v>35870.042633474062</v>
      </c>
      <c r="H3231" s="5" t="s">
        <v>2849</v>
      </c>
      <c r="I3231" s="7">
        <v>1322900</v>
      </c>
      <c r="J3231" s="8">
        <v>3.7900000000000003E-2</v>
      </c>
    </row>
    <row r="3232" spans="1:10" x14ac:dyDescent="0.25">
      <c r="A3232" s="5" t="s">
        <v>2837</v>
      </c>
      <c r="B3232" s="5" t="s">
        <v>5099</v>
      </c>
      <c r="C3232" s="6" t="str">
        <f>_xll.QS.CONTEXT.CREATE("market.3230",A3232,"USD","SOFR")</f>
        <v>QSObject:PricingContext:w1~market.3230:15792</v>
      </c>
      <c r="D3232" s="6" t="str">
        <f>_xll.QS.CONTEXT.ADD.CURVE(C3232,"SOFR",$K$2:$K$7,$L$2:$L$7,,,"Actual360","LogLinear",TRUE)</f>
        <v>QSObject:ContextInput:w1~input.qs_context_add_curve.2359132437744.3231.3.0:37302</v>
      </c>
      <c r="E3232" s="6" t="str">
        <f>_xll.QS.INSTRUMENT.SWAP("swap.3230",H3232,B3232,"USD","SOFR",I3232,J3232,0,"Actual360","Simple","Annual","Annual","Annual")</f>
        <v>QSObject:Swap:w1~swap.3230:15791</v>
      </c>
      <c r="F3232" s="6" t="str">
        <f>_xll.QS.TRADE.CREATE("trade.3230",E3232,A3232,"Receive")</f>
        <v>QSObject:SwapTrade:w1~trade.3230:28609</v>
      </c>
      <c r="G3232" s="3">
        <f>_xll.QS.EVALUATE(C3232,F3232)</f>
        <v>36596.383965731446</v>
      </c>
      <c r="H3232" s="5" t="s">
        <v>2851</v>
      </c>
      <c r="I3232" s="7">
        <v>1323000</v>
      </c>
      <c r="J3232" s="8">
        <v>3.8000000000000013E-2</v>
      </c>
    </row>
    <row r="3233" spans="1:10" x14ac:dyDescent="0.25">
      <c r="A3233" s="5" t="s">
        <v>2839</v>
      </c>
      <c r="B3233" s="5" t="s">
        <v>5100</v>
      </c>
      <c r="C3233" s="6" t="str">
        <f>_xll.QS.CONTEXT.CREATE("market.3231",A3233,"USD","SOFR")</f>
        <v>QSObject:PricingContext:w1~market.3231:15790</v>
      </c>
      <c r="D3233" s="6" t="str">
        <f>_xll.QS.CONTEXT.ADD.CURVE(C3233,"SOFR",$K$2:$K$7,$L$2:$L$7,,,"Actual360","LogLinear",TRUE)</f>
        <v>QSObject:ContextInput:w1~input.qs_context_add_curve.2359132437744.3232.3.0:37301</v>
      </c>
      <c r="E3233" s="6" t="str">
        <f>_xll.QS.INSTRUMENT.SWAP("swap.3231",H3233,B3233,"USD","SOFR",I3233,J3233,0,"Actual360","Simple","Annual","Annual","Annual")</f>
        <v>QSObject:Swap:w1~swap.3231:15789</v>
      </c>
      <c r="F3233" s="6" t="str">
        <f>_xll.QS.TRADE.CREATE("trade.3231",E3233,A3233,"Receive")</f>
        <v>QSObject:SwapTrade:w1~trade.3231:28608</v>
      </c>
      <c r="G3233" s="3">
        <f>_xll.QS.EVALUATE(C3233,F3233)</f>
        <v>37208.678464696837</v>
      </c>
      <c r="H3233" s="5" t="s">
        <v>2853</v>
      </c>
      <c r="I3233" s="7">
        <v>1323100</v>
      </c>
      <c r="J3233" s="8">
        <v>3.8100000000000002E-2</v>
      </c>
    </row>
    <row r="3234" spans="1:10" x14ac:dyDescent="0.25">
      <c r="A3234" s="5" t="s">
        <v>2841</v>
      </c>
      <c r="B3234" s="5" t="s">
        <v>5101</v>
      </c>
      <c r="C3234" s="6" t="str">
        <f>_xll.QS.CONTEXT.CREATE("market.3232",A3234,"USD","SOFR")</f>
        <v>QSObject:PricingContext:w1~market.3232:15788</v>
      </c>
      <c r="D3234" s="6" t="str">
        <f>_xll.QS.CONTEXT.ADD.CURVE(C3234,"SOFR",$K$2:$K$7,$L$2:$L$7,,,"Actual360","LogLinear",TRUE)</f>
        <v>QSObject:ContextInput:w1~input.qs_context_add_curve.2359132437744.3233.3.0:37300</v>
      </c>
      <c r="E3234" s="6" t="str">
        <f>_xll.QS.INSTRUMENT.SWAP("swap.3232",H3234,B3234,"USD","SOFR",I3234,J3234,0,"Actual360","Simple","Annual","Annual","Annual")</f>
        <v>QSObject:Swap:w1~swap.3232:15787</v>
      </c>
      <c r="F3234" s="6" t="str">
        <f>_xll.QS.TRADE.CREATE("trade.3232",E3234,A3234,"Receive")</f>
        <v>QSObject:SwapTrade:w1~trade.3232:28607</v>
      </c>
      <c r="G3234" s="3">
        <f>_xll.QS.EVALUATE(C3234,F3234)</f>
        <v>37721.188452855517</v>
      </c>
      <c r="H3234" s="5" t="s">
        <v>2855</v>
      </c>
      <c r="I3234" s="7">
        <v>1323200</v>
      </c>
      <c r="J3234" s="8">
        <v>3.8199999999999998E-2</v>
      </c>
    </row>
    <row r="3235" spans="1:10" x14ac:dyDescent="0.25">
      <c r="A3235" s="5" t="s">
        <v>2843</v>
      </c>
      <c r="B3235" s="5" t="s">
        <v>5102</v>
      </c>
      <c r="C3235" s="6" t="str">
        <f>_xll.QS.CONTEXT.CREATE("market.3233",A3235,"USD","SOFR")</f>
        <v>QSObject:PricingContext:w1~market.3233:15786</v>
      </c>
      <c r="D3235" s="6" t="str">
        <f>_xll.QS.CONTEXT.ADD.CURVE(C3235,"SOFR",$K$2:$K$7,$L$2:$L$7,,,"Actual360","LogLinear",TRUE)</f>
        <v>QSObject:ContextInput:w1~input.qs_context_add_curve.2359132437744.3234.3.0:37299</v>
      </c>
      <c r="E3235" s="6" t="str">
        <f>_xll.QS.INSTRUMENT.SWAP("swap.3233",H3235,B3235,"USD","SOFR",I3235,J3235,0,"Actual360","Simple","Annual","Annual","Annual")</f>
        <v>QSObject:Swap:w1~swap.3233:15785</v>
      </c>
      <c r="F3235" s="6" t="str">
        <f>_xll.QS.TRADE.CREATE("trade.3233",E3235,A3235,"Receive")</f>
        <v>QSObject:SwapTrade:w1~trade.3233:28606</v>
      </c>
      <c r="G3235" s="3">
        <f>_xll.QS.EVALUATE(C3235,F3235)</f>
        <v>38242.626743123205</v>
      </c>
      <c r="H3235" s="5" t="s">
        <v>2857</v>
      </c>
      <c r="I3235" s="7">
        <v>1323300</v>
      </c>
      <c r="J3235" s="8">
        <v>3.8300000000000001E-2</v>
      </c>
    </row>
    <row r="3236" spans="1:10" x14ac:dyDescent="0.25">
      <c r="A3236" s="5" t="s">
        <v>2845</v>
      </c>
      <c r="B3236" s="5" t="s">
        <v>5103</v>
      </c>
      <c r="C3236" s="6" t="str">
        <f>_xll.QS.CONTEXT.CREATE("market.3234",A3236,"USD","SOFR")</f>
        <v>QSObject:PricingContext:w1~market.3234:15784</v>
      </c>
      <c r="D3236" s="6" t="str">
        <f>_xll.QS.CONTEXT.ADD.CURVE(C3236,"SOFR",$K$2:$K$7,$L$2:$L$7,,,"Actual360","LogLinear",TRUE)</f>
        <v>QSObject:ContextInput:w1~input.qs_context_add_curve.2359132437744.3235.3.0:37298</v>
      </c>
      <c r="E3236" s="6" t="str">
        <f>_xll.QS.INSTRUMENT.SWAP("swap.3234",H3236,B3236,"USD","SOFR",I3236,J3236,0,"Actual360","Simple","Annual","Annual","Annual")</f>
        <v>QSObject:Swap:w1~swap.3234:15783</v>
      </c>
      <c r="F3236" s="6" t="str">
        <f>_xll.QS.TRADE.CREATE("trade.3234",E3236,A3236,"Receive")</f>
        <v>QSObject:SwapTrade:w1~trade.3234:28605</v>
      </c>
      <c r="G3236" s="3">
        <f>_xll.QS.EVALUATE(C3236,F3236)</f>
        <v>38915.44971891999</v>
      </c>
      <c r="H3236" s="5" t="s">
        <v>2859</v>
      </c>
      <c r="I3236" s="7">
        <v>1323400</v>
      </c>
      <c r="J3236" s="8">
        <v>3.8399999999999997E-2</v>
      </c>
    </row>
    <row r="3237" spans="1:10" x14ac:dyDescent="0.25">
      <c r="A3237" s="5" t="s">
        <v>2847</v>
      </c>
      <c r="B3237" s="5" t="s">
        <v>5104</v>
      </c>
      <c r="C3237" s="6" t="str">
        <f>_xll.QS.CONTEXT.CREATE("market.3235",A3237,"USD","SOFR")</f>
        <v>QSObject:PricingContext:w1~market.3235:15782</v>
      </c>
      <c r="D3237" s="6" t="str">
        <f>_xll.QS.CONTEXT.ADD.CURVE(C3237,"SOFR",$K$2:$K$7,$L$2:$L$7,,,"Actual360","LogLinear",TRUE)</f>
        <v>QSObject:ContextInput:w1~input.qs_context_add_curve.2359132437744.3236.3.0:37297</v>
      </c>
      <c r="E3237" s="6" t="str">
        <f>_xll.QS.INSTRUMENT.SWAP("swap.3235",H3237,B3237,"USD","SOFR",I3237,J3237,0,"Actual360","Simple","Annual","Annual","Annual")</f>
        <v>QSObject:Swap:w1~swap.3235:15781</v>
      </c>
      <c r="F3237" s="6" t="str">
        <f>_xll.QS.TRADE.CREATE("trade.3235",E3237,A3237,"Receive")</f>
        <v>QSObject:SwapTrade:w1~trade.3235:28604</v>
      </c>
      <c r="G3237" s="3">
        <f>_xll.QS.EVALUATE(C3237,F3237)</f>
        <v>39656.483720217373</v>
      </c>
      <c r="H3237" s="5" t="s">
        <v>2861</v>
      </c>
      <c r="I3237" s="7">
        <v>1323500</v>
      </c>
      <c r="J3237" s="8">
        <v>3.8500000000000013E-2</v>
      </c>
    </row>
    <row r="3238" spans="1:10" x14ac:dyDescent="0.25">
      <c r="A3238" s="5" t="s">
        <v>2849</v>
      </c>
      <c r="B3238" s="5" t="s">
        <v>5105</v>
      </c>
      <c r="C3238" s="6" t="str">
        <f>_xll.QS.CONTEXT.CREATE("market.3236",A3238,"USD","SOFR")</f>
        <v>QSObject:PricingContext:w1~market.3236:15780</v>
      </c>
      <c r="D3238" s="6" t="str">
        <f>_xll.QS.CONTEXT.ADD.CURVE(C3238,"SOFR",$K$2:$K$7,$L$2:$L$7,,,"Actual360","LogLinear",TRUE)</f>
        <v>QSObject:ContextInput:w1~input.qs_context_add_curve.2359132437744.3237.3.0:37296</v>
      </c>
      <c r="E3238" s="6" t="str">
        <f>_xll.QS.INSTRUMENT.SWAP("swap.3236",H3238,B3238,"USD","SOFR",I3238,J3238,0,"Actual360","Simple","Annual","Annual","Annual")</f>
        <v>QSObject:Swap:w1~swap.3236:15779</v>
      </c>
      <c r="F3238" s="6" t="str">
        <f>_xll.QS.TRADE.CREATE("trade.3236",E3238,A3238,"Receive")</f>
        <v>QSObject:SwapTrade:w1~trade.3236:28603</v>
      </c>
      <c r="G3238" s="3">
        <f>_xll.QS.EVALUATE(C3238,F3238)</f>
        <v>40217.137448288486</v>
      </c>
      <c r="H3238" s="5" t="s">
        <v>2863</v>
      </c>
      <c r="I3238" s="7">
        <v>1323600</v>
      </c>
      <c r="J3238" s="8">
        <v>3.8600000000000002E-2</v>
      </c>
    </row>
    <row r="3239" spans="1:10" x14ac:dyDescent="0.25">
      <c r="A3239" s="5" t="s">
        <v>2851</v>
      </c>
      <c r="B3239" s="5" t="s">
        <v>5106</v>
      </c>
      <c r="C3239" s="6" t="str">
        <f>_xll.QS.CONTEXT.CREATE("market.3237",A3239,"USD","SOFR")</f>
        <v>QSObject:PricingContext:w1~market.3237:15778</v>
      </c>
      <c r="D3239" s="6" t="str">
        <f>_xll.QS.CONTEXT.ADD.CURVE(C3239,"SOFR",$K$2:$K$7,$L$2:$L$7,,,"Actual360","LogLinear",TRUE)</f>
        <v>QSObject:ContextInput:w1~input.qs_context_add_curve.2359132437744.3238.3.0:37295</v>
      </c>
      <c r="E3239" s="6" t="str">
        <f>_xll.QS.INSTRUMENT.SWAP("swap.3237",H3239,B3239,"USD","SOFR",I3239,J3239,0,"Actual360","Simple","Annual","Annual","Annual")</f>
        <v>QSObject:Swap:w1~swap.3237:15777</v>
      </c>
      <c r="F3239" s="6" t="str">
        <f>_xll.QS.TRADE.CREATE("trade.3237",E3239,A3239,"Receive")</f>
        <v>QSObject:SwapTrade:w1~trade.3237:28602</v>
      </c>
      <c r="G3239" s="3">
        <f>_xll.QS.EVALUATE(C3239,F3239)</f>
        <v>40888.249271320143</v>
      </c>
      <c r="H3239" s="5" t="s">
        <v>2865</v>
      </c>
      <c r="I3239" s="7">
        <v>1323700</v>
      </c>
      <c r="J3239" s="8">
        <v>3.8700000000000012E-2</v>
      </c>
    </row>
    <row r="3240" spans="1:10" x14ac:dyDescent="0.25">
      <c r="A3240" s="5" t="s">
        <v>2853</v>
      </c>
      <c r="B3240" s="5" t="s">
        <v>5107</v>
      </c>
      <c r="C3240" s="6" t="str">
        <f>_xll.QS.CONTEXT.CREATE("market.3238",A3240,"USD","SOFR")</f>
        <v>QSObject:PricingContext:w1~market.3238:15776</v>
      </c>
      <c r="D3240" s="6" t="str">
        <f>_xll.QS.CONTEXT.ADD.CURVE(C3240,"SOFR",$K$2:$K$7,$L$2:$L$7,,,"Actual360","LogLinear",TRUE)</f>
        <v>QSObject:ContextInput:w1~input.qs_context_add_curve.2359132437744.3239.3.0:37294</v>
      </c>
      <c r="E3240" s="6" t="str">
        <f>_xll.QS.INSTRUMENT.SWAP("swap.3238",H3240,B3240,"USD","SOFR",I3240,J3240,0,"Actual360","Simple","Annual","Annual","Annual")</f>
        <v>QSObject:Swap:w1~swap.3238:15775</v>
      </c>
      <c r="F3240" s="6" t="str">
        <f>_xll.QS.TRADE.CREATE("trade.3238",E3240,A3240,"Receive")</f>
        <v>QSObject:SwapTrade:w1~trade.3238:28601</v>
      </c>
      <c r="G3240" s="3">
        <f>_xll.QS.EVALUATE(C3240,F3240)</f>
        <v>41451.462727967097</v>
      </c>
      <c r="H3240" s="5" t="s">
        <v>2867</v>
      </c>
      <c r="I3240" s="7">
        <v>1323800</v>
      </c>
      <c r="J3240" s="8">
        <v>3.8800000000000001E-2</v>
      </c>
    </row>
    <row r="3241" spans="1:10" x14ac:dyDescent="0.25">
      <c r="A3241" s="5" t="s">
        <v>2855</v>
      </c>
      <c r="B3241" s="5" t="s">
        <v>5108</v>
      </c>
      <c r="C3241" s="6" t="str">
        <f>_xll.QS.CONTEXT.CREATE("market.3239",A3241,"USD","SOFR")</f>
        <v>QSObject:PricingContext:w1~market.3239:15774</v>
      </c>
      <c r="D3241" s="6" t="str">
        <f>_xll.QS.CONTEXT.ADD.CURVE(C3241,"SOFR",$K$2:$K$7,$L$2:$L$7,,,"Actual360","LogLinear",TRUE)</f>
        <v>QSObject:ContextInput:w1~input.qs_context_add_curve.2359132437744.3240.3.0:37293</v>
      </c>
      <c r="E3241" s="6" t="str">
        <f>_xll.QS.INSTRUMENT.SWAP("swap.3239",H3241,B3241,"USD","SOFR",I3241,J3241,0,"Actual360","Simple","Annual","Annual","Annual")</f>
        <v>QSObject:Swap:w1~swap.3239:15773</v>
      </c>
      <c r="F3241" s="6" t="str">
        <f>_xll.QS.TRADE.CREATE("trade.3239",E3241,A3241,"Receive")</f>
        <v>QSObject:SwapTrade:w1~trade.3239:28600</v>
      </c>
      <c r="G3241" s="3">
        <f>_xll.QS.EVALUATE(C3241,F3241)</f>
        <v>41959.559652627693</v>
      </c>
      <c r="H3241" s="5" t="s">
        <v>2869</v>
      </c>
      <c r="I3241" s="7">
        <v>1323900</v>
      </c>
      <c r="J3241" s="8">
        <v>3.8899999999999997E-2</v>
      </c>
    </row>
    <row r="3242" spans="1:10" x14ac:dyDescent="0.25">
      <c r="A3242" s="5" t="s">
        <v>2857</v>
      </c>
      <c r="B3242" s="5" t="s">
        <v>5109</v>
      </c>
      <c r="C3242" s="6" t="str">
        <f>_xll.QS.CONTEXT.CREATE("market.3240",A3242,"USD","SOFR")</f>
        <v>QSObject:PricingContext:w1~market.3240:15772</v>
      </c>
      <c r="D3242" s="6" t="str">
        <f>_xll.QS.CONTEXT.ADD.CURVE(C3242,"SOFR",$K$2:$K$7,$L$2:$L$7,,,"Actual360","LogLinear",TRUE)</f>
        <v>QSObject:ContextInput:w1~input.qs_context_add_curve.2359132437744.3241.3.0:37292</v>
      </c>
      <c r="E3242" s="6" t="str">
        <f>_xll.QS.INSTRUMENT.SWAP("swap.3240",H3242,B3242,"USD","SOFR",I3242,J3242,0,"Actual360","Simple","Annual","Annual","Annual")</f>
        <v>QSObject:Swap:w1~swap.3240:15771</v>
      </c>
      <c r="F3242" s="6" t="str">
        <f>_xll.QS.TRADE.CREATE("trade.3240",E3242,A3242,"Receive")</f>
        <v>QSObject:SwapTrade:w1~trade.3240:28599</v>
      </c>
      <c r="G3242" s="3">
        <f>_xll.QS.EVALUATE(C3242,F3242)</f>
        <v>42488.229040147431</v>
      </c>
      <c r="H3242" s="5" t="s">
        <v>2871</v>
      </c>
      <c r="I3242" s="7">
        <v>1324000</v>
      </c>
      <c r="J3242" s="8">
        <v>3.9000000000000007E-2</v>
      </c>
    </row>
    <row r="3243" spans="1:10" x14ac:dyDescent="0.25">
      <c r="A3243" s="5" t="s">
        <v>2859</v>
      </c>
      <c r="B3243" s="5" t="s">
        <v>5110</v>
      </c>
      <c r="C3243" s="6" t="str">
        <f>_xll.QS.CONTEXT.CREATE("market.3241",A3243,"USD","SOFR")</f>
        <v>QSObject:PricingContext:w1~market.3241:15770</v>
      </c>
      <c r="D3243" s="6" t="str">
        <f>_xll.QS.CONTEXT.ADD.CURVE(C3243,"SOFR",$K$2:$K$7,$L$2:$L$7,,,"Actual360","LogLinear",TRUE)</f>
        <v>QSObject:ContextInput:w1~input.qs_context_add_curve.2359132437744.3242.3.0:37291</v>
      </c>
      <c r="E3243" s="6" t="str">
        <f>_xll.QS.INSTRUMENT.SWAP("swap.3241",H3243,B3243,"USD","SOFR",I3243,J3243,0,"Actual360","Simple","Annual","Annual","Annual")</f>
        <v>QSObject:Swap:w1~swap.3241:15769</v>
      </c>
      <c r="F3243" s="6" t="str">
        <f>_xll.QS.TRADE.CREATE("trade.3241",E3243,A3243,"Receive")</f>
        <v>QSObject:SwapTrade:w1~trade.3241:28598</v>
      </c>
      <c r="G3243" s="3">
        <f>_xll.QS.EVALUATE(C3243,F3243)</f>
        <v>43159.619009876558</v>
      </c>
      <c r="H3243" s="5" t="s">
        <v>2873</v>
      </c>
      <c r="I3243" s="7">
        <v>1324100</v>
      </c>
      <c r="J3243" s="8">
        <v>3.9100000000000003E-2</v>
      </c>
    </row>
    <row r="3244" spans="1:10" x14ac:dyDescent="0.25">
      <c r="A3244" s="5" t="s">
        <v>2861</v>
      </c>
      <c r="B3244" s="5" t="s">
        <v>5111</v>
      </c>
      <c r="C3244" s="6" t="str">
        <f>_xll.QS.CONTEXT.CREATE("market.3242",A3244,"USD","SOFR")</f>
        <v>QSObject:PricingContext:w1~market.3242:15768</v>
      </c>
      <c r="D3244" s="6" t="str">
        <f>_xll.QS.CONTEXT.ADD.CURVE(C3244,"SOFR",$K$2:$K$7,$L$2:$L$7,,,"Actual360","LogLinear",TRUE)</f>
        <v>QSObject:ContextInput:w1~input.qs_context_add_curve.2359132437744.3243.3.0:37290</v>
      </c>
      <c r="E3244" s="6" t="str">
        <f>_xll.QS.INSTRUMENT.SWAP("swap.3242",H3244,B3244,"USD","SOFR",I3244,J3244,0,"Actual360","Simple","Annual","Annual","Annual")</f>
        <v>QSObject:Swap:w1~swap.3242:15767</v>
      </c>
      <c r="F3244" s="6" t="str">
        <f>_xll.QS.TRADE.CREATE("trade.3242",E3244,A3244,"Receive")</f>
        <v>QSObject:SwapTrade:w1~trade.3242:28597</v>
      </c>
      <c r="G3244" s="3">
        <f>_xll.QS.EVALUATE(C3244,F3244)</f>
        <v>43802.266500644553</v>
      </c>
      <c r="H3244" s="5" t="s">
        <v>2875</v>
      </c>
      <c r="I3244" s="7">
        <v>1324200</v>
      </c>
      <c r="J3244" s="8">
        <v>3.9200000000000013E-2</v>
      </c>
    </row>
    <row r="3245" spans="1:10" x14ac:dyDescent="0.25">
      <c r="A3245" s="5" t="s">
        <v>2863</v>
      </c>
      <c r="B3245" s="5" t="s">
        <v>5112</v>
      </c>
      <c r="C3245" s="6" t="str">
        <f>_xll.QS.CONTEXT.CREATE("market.3243",A3245,"USD","SOFR")</f>
        <v>QSObject:PricingContext:w1~market.3243:15766</v>
      </c>
      <c r="D3245" s="6" t="str">
        <f>_xll.QS.CONTEXT.ADD.CURVE(C3245,"SOFR",$K$2:$K$7,$L$2:$L$7,,,"Actual360","LogLinear",TRUE)</f>
        <v>QSObject:ContextInput:w1~input.qs_context_add_curve.2359132437744.3244.3.0:37289</v>
      </c>
      <c r="E3245" s="6" t="str">
        <f>_xll.QS.INSTRUMENT.SWAP("swap.3243",H3245,B3245,"USD","SOFR",I3245,J3245,0,"Actual360","Simple","Annual","Annual","Annual")</f>
        <v>QSObject:Swap:w1~swap.3243:15765</v>
      </c>
      <c r="F3245" s="6" t="str">
        <f>_xll.QS.TRADE.CREATE("trade.3243",E3245,A3245,"Receive")</f>
        <v>QSObject:SwapTrade:w1~trade.3243:28596</v>
      </c>
      <c r="G3245" s="3">
        <f>_xll.QS.EVALUATE(C3245,F3245)</f>
        <v>44513.152582339753</v>
      </c>
      <c r="H3245" s="5" t="s">
        <v>2877</v>
      </c>
      <c r="I3245" s="7">
        <v>1324300</v>
      </c>
      <c r="J3245" s="8">
        <v>3.9300000000000002E-2</v>
      </c>
    </row>
    <row r="3246" spans="1:10" x14ac:dyDescent="0.25">
      <c r="A3246" s="5" t="s">
        <v>2865</v>
      </c>
      <c r="B3246" s="5" t="s">
        <v>5113</v>
      </c>
      <c r="C3246" s="6" t="str">
        <f>_xll.QS.CONTEXT.CREATE("market.3244",A3246,"USD","SOFR")</f>
        <v>QSObject:PricingContext:w1~market.3244:15764</v>
      </c>
      <c r="D3246" s="6" t="str">
        <f>_xll.QS.CONTEXT.ADD.CURVE(C3246,"SOFR",$K$2:$K$7,$L$2:$L$7,,,"Actual360","LogLinear",TRUE)</f>
        <v>QSObject:ContextInput:w1~input.qs_context_add_curve.2359132437744.3245.3.0:37288</v>
      </c>
      <c r="E3246" s="6" t="str">
        <f>_xll.QS.INSTRUMENT.SWAP("swap.3244",H3246,B3246,"USD","SOFR",I3246,J3246,0,"Actual360","Simple","Annual","Annual","Annual")</f>
        <v>QSObject:Swap:w1~swap.3244:15763</v>
      </c>
      <c r="F3246" s="6" t="str">
        <f>_xll.QS.TRADE.CREATE("trade.3244",E3246,A3246,"Receive")</f>
        <v>QSObject:SwapTrade:w1~trade.3244:28595</v>
      </c>
      <c r="G3246" s="3">
        <f>_xll.QS.EVALUATE(C3246,F3246)</f>
        <v>45157.440030814883</v>
      </c>
      <c r="H3246" s="5" t="s">
        <v>2879</v>
      </c>
      <c r="I3246" s="7">
        <v>1324400</v>
      </c>
      <c r="J3246" s="8">
        <v>3.9399999999999998E-2</v>
      </c>
    </row>
    <row r="3247" spans="1:10" x14ac:dyDescent="0.25">
      <c r="A3247" s="5" t="s">
        <v>2867</v>
      </c>
      <c r="B3247" s="5" t="s">
        <v>5114</v>
      </c>
      <c r="C3247" s="6" t="str">
        <f>_xll.QS.CONTEXT.CREATE("market.3245",A3247,"USD","SOFR")</f>
        <v>QSObject:PricingContext:w1~market.3245:15762</v>
      </c>
      <c r="D3247" s="6" t="str">
        <f>_xll.QS.CONTEXT.ADD.CURVE(C3247,"SOFR",$K$2:$K$7,$L$2:$L$7,,,"Actual360","LogLinear",TRUE)</f>
        <v>QSObject:ContextInput:w1~input.qs_context_add_curve.2359132437744.3246.3.0:37287</v>
      </c>
      <c r="E3247" s="6" t="str">
        <f>_xll.QS.INSTRUMENT.SWAP("swap.3245",H3247,B3247,"USD","SOFR",I3247,J3247,0,"Actual360","Simple","Annual","Annual","Annual")</f>
        <v>QSObject:Swap:w1~swap.3245:15761</v>
      </c>
      <c r="F3247" s="6" t="str">
        <f>_xll.QS.TRADE.CREATE("trade.3245",E3247,A3247,"Receive")</f>
        <v>QSObject:SwapTrade:w1~trade.3245:28594</v>
      </c>
      <c r="G3247" s="3">
        <f>_xll.QS.EVALUATE(C3247,F3247)</f>
        <v>45722.277364801579</v>
      </c>
      <c r="H3247" s="5" t="s">
        <v>2881</v>
      </c>
      <c r="I3247" s="7">
        <v>1324500</v>
      </c>
      <c r="J3247" s="8">
        <v>3.9500000000000007E-2</v>
      </c>
    </row>
    <row r="3248" spans="1:10" x14ac:dyDescent="0.25">
      <c r="A3248" s="5" t="s">
        <v>2869</v>
      </c>
      <c r="B3248" s="5" t="s">
        <v>5115</v>
      </c>
      <c r="C3248" s="6" t="str">
        <f>_xll.QS.CONTEXT.CREATE("market.3246",A3248,"USD","SOFR")</f>
        <v>QSObject:PricingContext:w1~market.3246:15760</v>
      </c>
      <c r="D3248" s="6" t="str">
        <f>_xll.QS.CONTEXT.ADD.CURVE(C3248,"SOFR",$K$2:$K$7,$L$2:$L$7,,,"Actual360","LogLinear",TRUE)</f>
        <v>QSObject:ContextInput:w1~input.qs_context_add_curve.2359132437744.3247.3.0:37286</v>
      </c>
      <c r="E3248" s="6" t="str">
        <f>_xll.QS.INSTRUMENT.SWAP("swap.3246",H3248,B3248,"USD","SOFR",I3248,J3248,0,"Actual360","Simple","Annual","Annual","Annual")</f>
        <v>QSObject:Swap:w1~swap.3246:15759</v>
      </c>
      <c r="F3248" s="6" t="str">
        <f>_xll.QS.TRADE.CREATE("trade.3246",E3248,A3248,"Receive")</f>
        <v>QSObject:SwapTrade:w1~trade.3246:28593</v>
      </c>
      <c r="G3248" s="3">
        <f>_xll.QS.EVALUATE(C3248,F3248)</f>
        <v>46253.595222133481</v>
      </c>
      <c r="H3248" s="5" t="s">
        <v>2883</v>
      </c>
      <c r="I3248" s="7">
        <v>1324600</v>
      </c>
      <c r="J3248" s="8">
        <v>3.9600000000000003E-2</v>
      </c>
    </row>
    <row r="3249" spans="1:10" x14ac:dyDescent="0.25">
      <c r="A3249" s="5" t="s">
        <v>2871</v>
      </c>
      <c r="B3249" s="5" t="s">
        <v>5116</v>
      </c>
      <c r="C3249" s="6" t="str">
        <f>_xll.QS.CONTEXT.CREATE("market.3247",A3249,"USD","SOFR")</f>
        <v>QSObject:PricingContext:w1~market.3247:15758</v>
      </c>
      <c r="D3249" s="6" t="str">
        <f>_xll.QS.CONTEXT.ADD.CURVE(C3249,"SOFR",$K$2:$K$7,$L$2:$L$7,,,"Actual360","LogLinear",TRUE)</f>
        <v>QSObject:ContextInput:w1~input.qs_context_add_curve.2359132437744.3248.3.0:37285</v>
      </c>
      <c r="E3249" s="6" t="str">
        <f>_xll.QS.INSTRUMENT.SWAP("swap.3247",H3249,B3249,"USD","SOFR",I3249,J3249,0,"Actual360","Simple","Annual","Annual","Annual")</f>
        <v>QSObject:Swap:w1~swap.3247:15757</v>
      </c>
      <c r="F3249" s="6" t="str">
        <f>_xll.QS.TRADE.CREATE("trade.3247",E3249,A3249,"Receive")</f>
        <v>QSObject:SwapTrade:w1~trade.3247:28592</v>
      </c>
      <c r="G3249" s="3">
        <f>_xll.QS.EVALUATE(C3249,F3249)</f>
        <v>46871.07848667715</v>
      </c>
      <c r="H3249" s="5" t="s">
        <v>2885</v>
      </c>
      <c r="I3249" s="7">
        <v>1324700</v>
      </c>
      <c r="J3249" s="8">
        <v>3.9700000000000013E-2</v>
      </c>
    </row>
    <row r="3250" spans="1:10" x14ac:dyDescent="0.25">
      <c r="A3250" s="5" t="s">
        <v>2873</v>
      </c>
      <c r="B3250" s="5" t="s">
        <v>5117</v>
      </c>
      <c r="C3250" s="6" t="str">
        <f>_xll.QS.CONTEXT.CREATE("market.3248",A3250,"USD","SOFR")</f>
        <v>QSObject:PricingContext:w1~market.3248:15756</v>
      </c>
      <c r="D3250" s="6" t="str">
        <f>_xll.QS.CONTEXT.ADD.CURVE(C3250,"SOFR",$K$2:$K$7,$L$2:$L$7,,,"Actual360","LogLinear",TRUE)</f>
        <v>QSObject:ContextInput:w1~input.qs_context_add_curve.2359132437744.3249.3.0:37284</v>
      </c>
      <c r="E3250" s="6" t="str">
        <f>_xll.QS.INSTRUMENT.SWAP("swap.3248",H3250,B3250,"USD","SOFR",I3250,J3250,0,"Actual360","Simple","Annual","Annual","Annual")</f>
        <v>QSObject:Swap:w1~swap.3248:15755</v>
      </c>
      <c r="F3250" s="6" t="str">
        <f>_xll.QS.TRADE.CREATE("trade.3248",E3250,A3250,"Receive")</f>
        <v>QSObject:SwapTrade:w1~trade.3248:28591</v>
      </c>
      <c r="G3250" s="3">
        <f>_xll.QS.EVALUATE(C3250,F3250)</f>
        <v>47590.659167661404</v>
      </c>
      <c r="H3250" s="5" t="s">
        <v>2887</v>
      </c>
      <c r="I3250" s="7">
        <v>1324800</v>
      </c>
      <c r="J3250" s="8">
        <v>3.9800000000000002E-2</v>
      </c>
    </row>
    <row r="3251" spans="1:10" x14ac:dyDescent="0.25">
      <c r="A3251" s="5" t="s">
        <v>2875</v>
      </c>
      <c r="B3251" s="5" t="s">
        <v>5118</v>
      </c>
      <c r="C3251" s="6" t="str">
        <f>_xll.QS.CONTEXT.CREATE("market.3249",A3251,"USD","SOFR")</f>
        <v>QSObject:PricingContext:w1~market.3249:15754</v>
      </c>
      <c r="D3251" s="6" t="str">
        <f>_xll.QS.CONTEXT.ADD.CURVE(C3251,"SOFR",$K$2:$K$7,$L$2:$L$7,,,"Actual360","LogLinear",TRUE)</f>
        <v>QSObject:ContextInput:w1~input.qs_context_add_curve.2359132437744.3250.3.0:37283</v>
      </c>
      <c r="E3251" s="6" t="str">
        <f>_xll.QS.INSTRUMENT.SWAP("swap.3249",H3251,B3251,"USD","SOFR",I3251,J3251,0,"Actual360","Simple","Annual","Annual","Annual")</f>
        <v>QSObject:Swap:w1~swap.3249:15753</v>
      </c>
      <c r="F3251" s="6" t="str">
        <f>_xll.QS.TRADE.CREATE("trade.3249",E3251,A3251,"Receive")</f>
        <v>QSObject:SwapTrade:w1~trade.3249:28590</v>
      </c>
      <c r="G3251" s="3">
        <f>_xll.QS.EVALUATE(C3251,F3251)</f>
        <v>48253.639219059572</v>
      </c>
      <c r="H3251" s="5" t="s">
        <v>2889</v>
      </c>
      <c r="I3251" s="7">
        <v>1324900</v>
      </c>
      <c r="J3251" s="8">
        <v>3.9899999999999998E-2</v>
      </c>
    </row>
    <row r="3252" spans="1:10" x14ac:dyDescent="0.25">
      <c r="A3252" s="5" t="s">
        <v>2877</v>
      </c>
      <c r="B3252" s="5" t="s">
        <v>5119</v>
      </c>
      <c r="C3252" s="6" t="str">
        <f>_xll.QS.CONTEXT.CREATE("market.3250",A3252,"USD","SOFR")</f>
        <v>QSObject:PricingContext:w1~market.3250:15752</v>
      </c>
      <c r="D3252" s="6" t="str">
        <f>_xll.QS.CONTEXT.ADD.CURVE(C3252,"SOFR",$K$2:$K$7,$L$2:$L$7,,,"Actual360","LogLinear",TRUE)</f>
        <v>QSObject:ContextInput:w1~input.qs_context_add_curve.2359132437744.3251.3.0:37282</v>
      </c>
      <c r="E3252" s="6" t="str">
        <f>_xll.QS.INSTRUMENT.SWAP("swap.3250",H3252,B3252,"USD","SOFR",I3252,J3252,0,"Actual360","Simple","Annual","Annual","Annual")</f>
        <v>QSObject:Swap:w1~swap.3250:15751</v>
      </c>
      <c r="F3252" s="6" t="str">
        <f>_xll.QS.TRADE.CREATE("trade.3250",E3252,A3252,"Receive")</f>
        <v>QSObject:SwapTrade:w1~trade.3250:28589</v>
      </c>
      <c r="G3252" s="3">
        <f>_xll.QS.EVALUATE(C3252,F3252)</f>
        <v>18319.421799254073</v>
      </c>
      <c r="H3252" s="5" t="s">
        <v>2891</v>
      </c>
      <c r="I3252" s="7">
        <v>1325000</v>
      </c>
      <c r="J3252" s="8">
        <v>3.5000000000000003E-2</v>
      </c>
    </row>
    <row r="3253" spans="1:10" x14ac:dyDescent="0.25">
      <c r="A3253" s="5" t="s">
        <v>2879</v>
      </c>
      <c r="B3253" s="5" t="s">
        <v>5120</v>
      </c>
      <c r="C3253" s="6" t="str">
        <f>_xll.QS.CONTEXT.CREATE("market.3251",A3253,"USD","SOFR")</f>
        <v>QSObject:PricingContext:w1~market.3251:15750</v>
      </c>
      <c r="D3253" s="6" t="str">
        <f>_xll.QS.CONTEXT.ADD.CURVE(C3253,"SOFR",$K$2:$K$7,$L$2:$L$7,,,"Actual360","LogLinear",TRUE)</f>
        <v>QSObject:ContextInput:w1~input.qs_context_add_curve.2359132437744.3252.3.0:37281</v>
      </c>
      <c r="E3253" s="6" t="str">
        <f>_xll.QS.INSTRUMENT.SWAP("swap.3251",H3253,B3253,"USD","SOFR",I3253,J3253,0,"Actual360","Simple","Annual","Annual","Annual")</f>
        <v>QSObject:Swap:w1~swap.3251:15749</v>
      </c>
      <c r="F3253" s="6" t="str">
        <f>_xll.QS.TRADE.CREATE("trade.3251",E3253,A3253,"Receive")</f>
        <v>QSObject:SwapTrade:w1~trade.3251:28588</v>
      </c>
      <c r="G3253" s="3">
        <f>_xll.QS.EVALUATE(C3253,F3253)</f>
        <v>18879.557913000877</v>
      </c>
      <c r="H3253" s="5" t="s">
        <v>2893</v>
      </c>
      <c r="I3253" s="7">
        <v>1325100</v>
      </c>
      <c r="J3253" s="8">
        <v>3.5100000000000013E-2</v>
      </c>
    </row>
    <row r="3254" spans="1:10" x14ac:dyDescent="0.25">
      <c r="A3254" s="5" t="s">
        <v>2881</v>
      </c>
      <c r="B3254" s="5" t="s">
        <v>5121</v>
      </c>
      <c r="C3254" s="6" t="str">
        <f>_xll.QS.CONTEXT.CREATE("market.3252",A3254,"USD","SOFR")</f>
        <v>QSObject:PricingContext:w1~market.3252:15748</v>
      </c>
      <c r="D3254" s="6" t="str">
        <f>_xll.QS.CONTEXT.ADD.CURVE(C3254,"SOFR",$K$2:$K$7,$L$2:$L$7,,,"Actual360","LogLinear",TRUE)</f>
        <v>QSObject:ContextInput:w1~input.qs_context_add_curve.2359132437744.3253.3.0:37280</v>
      </c>
      <c r="E3254" s="6" t="str">
        <f>_xll.QS.INSTRUMENT.SWAP("swap.3252",H3254,B3254,"USD","SOFR",I3254,J3254,0,"Actual360","Simple","Annual","Annual","Annual")</f>
        <v>QSObject:Swap:w1~swap.3252:15747</v>
      </c>
      <c r="F3254" s="6" t="str">
        <f>_xll.QS.TRADE.CREATE("trade.3252",E3254,A3254,"Receive")</f>
        <v>QSObject:SwapTrade:w1~trade.3252:28587</v>
      </c>
      <c r="G3254" s="3">
        <f>_xll.QS.EVALUATE(C3254,F3254)</f>
        <v>19495.618815794907</v>
      </c>
      <c r="H3254" s="5" t="s">
        <v>2895</v>
      </c>
      <c r="I3254" s="7">
        <v>1325200</v>
      </c>
      <c r="J3254" s="8">
        <v>3.5200000000000002E-2</v>
      </c>
    </row>
    <row r="3255" spans="1:10" x14ac:dyDescent="0.25">
      <c r="A3255" s="5" t="s">
        <v>2883</v>
      </c>
      <c r="B3255" s="5" t="s">
        <v>5122</v>
      </c>
      <c r="C3255" s="6" t="str">
        <f>_xll.QS.CONTEXT.CREATE("market.3253",A3255,"USD","SOFR")</f>
        <v>QSObject:PricingContext:w1~market.3253:15746</v>
      </c>
      <c r="D3255" s="6" t="str">
        <f>_xll.QS.CONTEXT.ADD.CURVE(C3255,"SOFR",$K$2:$K$7,$L$2:$L$7,,,"Actual360","LogLinear",TRUE)</f>
        <v>QSObject:ContextInput:w1~input.qs_context_add_curve.2359132437744.3254.3.0:37279</v>
      </c>
      <c r="E3255" s="6" t="str">
        <f>_xll.QS.INSTRUMENT.SWAP("swap.3253",H3255,B3255,"USD","SOFR",I3255,J3255,0,"Actual360","Simple","Annual","Annual","Annual")</f>
        <v>QSObject:Swap:w1~swap.3253:15745</v>
      </c>
      <c r="F3255" s="6" t="str">
        <f>_xll.QS.TRADE.CREATE("trade.3253",E3255,A3255,"Receive")</f>
        <v>QSObject:SwapTrade:w1~trade.3253:28586</v>
      </c>
      <c r="G3255" s="3">
        <f>_xll.QS.EVALUATE(C3255,F3255)</f>
        <v>20028.517491637016</v>
      </c>
      <c r="H3255" s="5" t="s">
        <v>2897</v>
      </c>
      <c r="I3255" s="7">
        <v>1325300</v>
      </c>
      <c r="J3255" s="8">
        <v>3.5299999999999998E-2</v>
      </c>
    </row>
    <row r="3256" spans="1:10" x14ac:dyDescent="0.25">
      <c r="A3256" s="5" t="s">
        <v>2885</v>
      </c>
      <c r="B3256" s="5" t="s">
        <v>5123</v>
      </c>
      <c r="C3256" s="6" t="str">
        <f>_xll.QS.CONTEXT.CREATE("market.3254",A3256,"USD","SOFR")</f>
        <v>QSObject:PricingContext:w1~market.3254:15744</v>
      </c>
      <c r="D3256" s="6" t="str">
        <f>_xll.QS.CONTEXT.ADD.CURVE(C3256,"SOFR",$K$2:$K$7,$L$2:$L$7,,,"Actual360","LogLinear",TRUE)</f>
        <v>QSObject:ContextInput:w1~input.qs_context_add_curve.2359132437744.3255.3.0:37278</v>
      </c>
      <c r="E3256" s="6" t="str">
        <f>_xll.QS.INSTRUMENT.SWAP("swap.3254",H3256,B3256,"USD","SOFR",I3256,J3256,0,"Actual360","Simple","Annual","Annual","Annual")</f>
        <v>QSObject:Swap:w1~swap.3254:15743</v>
      </c>
      <c r="F3256" s="6" t="str">
        <f>_xll.QS.TRADE.CREATE("trade.3254",E3256,A3256,"Receive")</f>
        <v>QSObject:SwapTrade:w1~trade.3254:28585</v>
      </c>
      <c r="G3256" s="3">
        <f>_xll.QS.EVALUATE(C3256,F3256)</f>
        <v>20522.050619169961</v>
      </c>
      <c r="H3256" s="5" t="s">
        <v>2899</v>
      </c>
      <c r="I3256" s="7">
        <v>1325400</v>
      </c>
      <c r="J3256" s="8">
        <v>3.5400000000000001E-2</v>
      </c>
    </row>
    <row r="3257" spans="1:10" x14ac:dyDescent="0.25">
      <c r="A3257" s="5" t="s">
        <v>2887</v>
      </c>
      <c r="B3257" s="5" t="s">
        <v>5124</v>
      </c>
      <c r="C3257" s="6" t="str">
        <f>_xll.QS.CONTEXT.CREATE("market.3255",A3257,"USD","SOFR")</f>
        <v>QSObject:PricingContext:w1~market.3255:15742</v>
      </c>
      <c r="D3257" s="6" t="str">
        <f>_xll.QS.CONTEXT.ADD.CURVE(C3257,"SOFR",$K$2:$K$7,$L$2:$L$7,,,"Actual360","LogLinear",TRUE)</f>
        <v>QSObject:ContextInput:w1~input.qs_context_add_curve.2359132437744.3256.3.0:37277</v>
      </c>
      <c r="E3257" s="6" t="str">
        <f>_xll.QS.INSTRUMENT.SWAP("swap.3255",H3257,B3257,"USD","SOFR",I3257,J3257,0,"Actual360","Simple","Annual","Annual","Annual")</f>
        <v>QSObject:Swap:w1~swap.3255:15741</v>
      </c>
      <c r="F3257" s="6" t="str">
        <f>_xll.QS.TRADE.CREATE("trade.3255",E3257,A3257,"Receive")</f>
        <v>QSObject:SwapTrade:w1~trade.3255:28584</v>
      </c>
      <c r="G3257" s="3">
        <f>_xll.QS.EVALUATE(C3257,F3257)</f>
        <v>21190.291924045632</v>
      </c>
      <c r="H3257" s="5" t="s">
        <v>2901</v>
      </c>
      <c r="I3257" s="7">
        <v>1325500</v>
      </c>
      <c r="J3257" s="8">
        <v>3.5499999999999997E-2</v>
      </c>
    </row>
    <row r="3258" spans="1:10" x14ac:dyDescent="0.25">
      <c r="A3258" s="5" t="s">
        <v>2889</v>
      </c>
      <c r="B3258" s="5" t="s">
        <v>5125</v>
      </c>
      <c r="C3258" s="6" t="str">
        <f>_xll.QS.CONTEXT.CREATE("market.3256",A3258,"USD","SOFR")</f>
        <v>QSObject:PricingContext:w1~market.3256:15740</v>
      </c>
      <c r="D3258" s="6" t="str">
        <f>_xll.QS.CONTEXT.ADD.CURVE(C3258,"SOFR",$K$2:$K$7,$L$2:$L$7,,,"Actual360","LogLinear",TRUE)</f>
        <v>QSObject:ContextInput:w1~input.qs_context_add_curve.2359132437744.3257.3.0:37276</v>
      </c>
      <c r="E3258" s="6" t="str">
        <f>_xll.QS.INSTRUMENT.SWAP("swap.3256",H3258,B3258,"USD","SOFR",I3258,J3258,0,"Actual360","Simple","Annual","Annual","Annual")</f>
        <v>QSObject:Swap:w1~swap.3256:15739</v>
      </c>
      <c r="F3258" s="6" t="str">
        <f>_xll.QS.TRADE.CREATE("trade.3256",E3258,A3258,"Receive")</f>
        <v>QSObject:SwapTrade:w1~trade.3256:28583</v>
      </c>
      <c r="G3258" s="3">
        <f>_xll.QS.EVALUATE(C3258,F3258)</f>
        <v>21842.642343415253</v>
      </c>
      <c r="H3258" s="5" t="s">
        <v>2903</v>
      </c>
      <c r="I3258" s="7">
        <v>1325600</v>
      </c>
      <c r="J3258" s="8">
        <v>3.5600000000000007E-2</v>
      </c>
    </row>
    <row r="3259" spans="1:10" x14ac:dyDescent="0.25">
      <c r="A3259" s="5" t="s">
        <v>2891</v>
      </c>
      <c r="B3259" s="5" t="s">
        <v>5126</v>
      </c>
      <c r="C3259" s="6" t="str">
        <f>_xll.QS.CONTEXT.CREATE("market.3257",A3259,"USD","SOFR")</f>
        <v>QSObject:PricingContext:w1~market.3257:15738</v>
      </c>
      <c r="D3259" s="6" t="str">
        <f>_xll.QS.CONTEXT.ADD.CURVE(C3259,"SOFR",$K$2:$K$7,$L$2:$L$7,,,"Actual360","LogLinear",TRUE)</f>
        <v>QSObject:ContextInput:w1~input.qs_context_add_curve.2359132437744.3258.3.0:37275</v>
      </c>
      <c r="E3259" s="6" t="str">
        <f>_xll.QS.INSTRUMENT.SWAP("swap.3257",H3259,B3259,"USD","SOFR",I3259,J3259,0,"Actual360","Simple","Annual","Annual","Annual")</f>
        <v>QSObject:Swap:w1~swap.3257:15737</v>
      </c>
      <c r="F3259" s="6" t="str">
        <f>_xll.QS.TRADE.CREATE("trade.3257",E3259,A3259,"Receive")</f>
        <v>QSObject:SwapTrade:w1~trade.3257:28582</v>
      </c>
      <c r="G3259" s="3">
        <f>_xll.QS.EVALUATE(C3259,F3259)</f>
        <v>22552.339742615091</v>
      </c>
      <c r="H3259" s="5" t="s">
        <v>2905</v>
      </c>
      <c r="I3259" s="7">
        <v>1325700</v>
      </c>
      <c r="J3259" s="8">
        <v>3.5700000000000003E-2</v>
      </c>
    </row>
    <row r="3260" spans="1:10" x14ac:dyDescent="0.25">
      <c r="A3260" s="5" t="s">
        <v>2893</v>
      </c>
      <c r="B3260" s="5" t="s">
        <v>5127</v>
      </c>
      <c r="C3260" s="6" t="str">
        <f>_xll.QS.CONTEXT.CREATE("market.3258",A3260,"USD","SOFR")</f>
        <v>QSObject:PricingContext:w1~market.3258:15736</v>
      </c>
      <c r="D3260" s="6" t="str">
        <f>_xll.QS.CONTEXT.ADD.CURVE(C3260,"SOFR",$K$2:$K$7,$L$2:$L$7,,,"Actual360","LogLinear",TRUE)</f>
        <v>QSObject:ContextInput:w1~input.qs_context_add_curve.2359132437744.3259.3.0:37274</v>
      </c>
      <c r="E3260" s="6" t="str">
        <f>_xll.QS.INSTRUMENT.SWAP("swap.3258",H3260,B3260,"USD","SOFR",I3260,J3260,0,"Actual360","Simple","Annual","Annual","Annual")</f>
        <v>QSObject:Swap:w1~swap.3258:15735</v>
      </c>
      <c r="F3260" s="6" t="str">
        <f>_xll.QS.TRADE.CREATE("trade.3258",E3260,A3260,"Receive")</f>
        <v>QSObject:SwapTrade:w1~trade.3258:28581</v>
      </c>
      <c r="G3260" s="3">
        <f>_xll.QS.EVALUATE(C3260,F3260)</f>
        <v>23222.984613398905</v>
      </c>
      <c r="H3260" s="5" t="s">
        <v>2907</v>
      </c>
      <c r="I3260" s="7">
        <v>1325800</v>
      </c>
      <c r="J3260" s="8">
        <v>3.5800000000000012E-2</v>
      </c>
    </row>
    <row r="3261" spans="1:10" x14ac:dyDescent="0.25">
      <c r="A3261" s="5" t="s">
        <v>2895</v>
      </c>
      <c r="B3261" s="5" t="s">
        <v>5128</v>
      </c>
      <c r="C3261" s="6" t="str">
        <f>_xll.QS.CONTEXT.CREATE("market.3259",A3261,"USD","SOFR")</f>
        <v>QSObject:PricingContext:w1~market.3259:15734</v>
      </c>
      <c r="D3261" s="6" t="str">
        <f>_xll.QS.CONTEXT.ADD.CURVE(C3261,"SOFR",$K$2:$K$7,$L$2:$L$7,,,"Actual360","LogLinear",TRUE)</f>
        <v>QSObject:ContextInput:w1~input.qs_context_add_curve.2359132437744.3260.3.0:37273</v>
      </c>
      <c r="E3261" s="6" t="str">
        <f>_xll.QS.INSTRUMENT.SWAP("swap.3259",H3261,B3261,"USD","SOFR",I3261,J3261,0,"Actual360","Simple","Annual","Annual","Annual")</f>
        <v>QSObject:Swap:w1~swap.3259:15733</v>
      </c>
      <c r="F3261" s="6" t="str">
        <f>_xll.QS.TRADE.CREATE("trade.3259",E3261,A3261,"Receive")</f>
        <v>QSObject:SwapTrade:w1~trade.3259:28580</v>
      </c>
      <c r="G3261" s="3">
        <f>_xll.QS.EVALUATE(C3261,F3261)</f>
        <v>23785.892242904454</v>
      </c>
      <c r="H3261" s="5" t="s">
        <v>2909</v>
      </c>
      <c r="I3261" s="7">
        <v>1325900</v>
      </c>
      <c r="J3261" s="8">
        <v>3.5900000000000001E-2</v>
      </c>
    </row>
    <row r="3262" spans="1:10" x14ac:dyDescent="0.25">
      <c r="A3262" s="5" t="s">
        <v>2897</v>
      </c>
      <c r="B3262" s="5" t="s">
        <v>5129</v>
      </c>
      <c r="C3262" s="6" t="str">
        <f>_xll.QS.CONTEXT.CREATE("market.3260",A3262,"USD","SOFR")</f>
        <v>QSObject:PricingContext:w1~market.3260:15732</v>
      </c>
      <c r="D3262" s="6" t="str">
        <f>_xll.QS.CONTEXT.ADD.CURVE(C3262,"SOFR",$K$2:$K$7,$L$2:$L$7,,,"Actual360","LogLinear",TRUE)</f>
        <v>QSObject:ContextInput:w1~input.qs_context_add_curve.2359132437744.3261.3.0:37272</v>
      </c>
      <c r="E3262" s="6" t="str">
        <f>_xll.QS.INSTRUMENT.SWAP("swap.3260",H3262,B3262,"USD","SOFR",I3262,J3262,0,"Actual360","Simple","Annual","Annual","Annual")</f>
        <v>QSObject:Swap:w1~swap.3260:15731</v>
      </c>
      <c r="F3262" s="6" t="str">
        <f>_xll.QS.TRADE.CREATE("trade.3260",E3262,A3262,"Receive")</f>
        <v>QSObject:SwapTrade:w1~trade.3260:28579</v>
      </c>
      <c r="G3262" s="3">
        <f>_xll.QS.EVALUATE(C3262,F3262)</f>
        <v>24314.350215553713</v>
      </c>
      <c r="H3262" s="5" t="s">
        <v>2911</v>
      </c>
      <c r="I3262" s="7">
        <v>1326000</v>
      </c>
      <c r="J3262" s="8">
        <v>3.5999999999999997E-2</v>
      </c>
    </row>
    <row r="3263" spans="1:10" x14ac:dyDescent="0.25">
      <c r="A3263" s="5" t="s">
        <v>2899</v>
      </c>
      <c r="B3263" s="5" t="s">
        <v>5130</v>
      </c>
      <c r="C3263" s="6" t="str">
        <f>_xll.QS.CONTEXT.CREATE("market.3261",A3263,"USD","SOFR")</f>
        <v>QSObject:PricingContext:w1~market.3261:15730</v>
      </c>
      <c r="D3263" s="6" t="str">
        <f>_xll.QS.CONTEXT.ADD.CURVE(C3263,"SOFR",$K$2:$K$7,$L$2:$L$7,,,"Actual360","LogLinear",TRUE)</f>
        <v>QSObject:ContextInput:w1~input.qs_context_add_curve.2359132437744.3262.3.0:37271</v>
      </c>
      <c r="E3263" s="6" t="str">
        <f>_xll.QS.INSTRUMENT.SWAP("swap.3261",H3263,B3263,"USD","SOFR",I3263,J3263,0,"Actual360","Simple","Annual","Annual","Annual")</f>
        <v>QSObject:Swap:w1~swap.3261:15729</v>
      </c>
      <c r="F3263" s="6" t="str">
        <f>_xll.QS.TRADE.CREATE("trade.3261",E3263,A3263,"Receive")</f>
        <v>QSObject:SwapTrade:w1~trade.3261:28578</v>
      </c>
      <c r="G3263" s="3">
        <f>_xll.QS.EVALUATE(C3263,F3263)</f>
        <v>24815.101764552077</v>
      </c>
      <c r="H3263" s="5" t="s">
        <v>2913</v>
      </c>
      <c r="I3263" s="7">
        <v>1326100</v>
      </c>
      <c r="J3263" s="8">
        <v>3.61E-2</v>
      </c>
    </row>
    <row r="3264" spans="1:10" x14ac:dyDescent="0.25">
      <c r="A3264" s="5" t="s">
        <v>2901</v>
      </c>
      <c r="B3264" s="5" t="s">
        <v>5131</v>
      </c>
      <c r="C3264" s="6" t="str">
        <f>_xll.QS.CONTEXT.CREATE("market.3262",A3264,"USD","SOFR")</f>
        <v>QSObject:PricingContext:w1~market.3262:15728</v>
      </c>
      <c r="D3264" s="6" t="str">
        <f>_xll.QS.CONTEXT.ADD.CURVE(C3264,"SOFR",$K$2:$K$7,$L$2:$L$7,,,"Actual360","LogLinear",TRUE)</f>
        <v>QSObject:ContextInput:w1~input.qs_context_add_curve.2359132437744.3263.3.0:37270</v>
      </c>
      <c r="E3264" s="6" t="str">
        <f>_xll.QS.INSTRUMENT.SWAP("swap.3262",H3264,B3264,"USD","SOFR",I3264,J3264,0,"Actual360","Simple","Annual","Annual","Annual")</f>
        <v>QSObject:Swap:w1~swap.3262:15727</v>
      </c>
      <c r="F3264" s="6" t="str">
        <f>_xll.QS.TRADE.CREATE("trade.3262",E3264,A3264,"Receive")</f>
        <v>QSObject:SwapTrade:w1~trade.3262:28577</v>
      </c>
      <c r="G3264" s="3">
        <f>_xll.QS.EVALUATE(C3264,F3264)</f>
        <v>25484.447814888801</v>
      </c>
      <c r="H3264" s="5" t="s">
        <v>2915</v>
      </c>
      <c r="I3264" s="7">
        <v>1326200</v>
      </c>
      <c r="J3264" s="8">
        <v>3.6200000000000003E-2</v>
      </c>
    </row>
    <row r="3265" spans="1:10" x14ac:dyDescent="0.25">
      <c r="A3265" s="5" t="s">
        <v>2903</v>
      </c>
      <c r="B3265" s="5" t="s">
        <v>5132</v>
      </c>
      <c r="C3265" s="6" t="str">
        <f>_xll.QS.CONTEXT.CREATE("market.3263",A3265,"USD","SOFR")</f>
        <v>QSObject:PricingContext:w1~market.3263:15726</v>
      </c>
      <c r="D3265" s="6" t="str">
        <f>_xll.QS.CONTEXT.ADD.CURVE(C3265,"SOFR",$K$2:$K$7,$L$2:$L$7,,,"Actual360","LogLinear",TRUE)</f>
        <v>QSObject:ContextInput:w1~input.qs_context_add_curve.2359132437744.3264.3.0:37269</v>
      </c>
      <c r="E3265" s="6" t="str">
        <f>_xll.QS.INSTRUMENT.SWAP("swap.3263",H3265,B3265,"USD","SOFR",I3265,J3265,0,"Actual360","Simple","Annual","Annual","Annual")</f>
        <v>QSObject:Swap:w1~swap.3263:15725</v>
      </c>
      <c r="F3265" s="6" t="str">
        <f>_xll.QS.TRADE.CREATE("trade.3263",E3265,A3265,"Receive")</f>
        <v>QSObject:SwapTrade:w1~trade.3263:28576</v>
      </c>
      <c r="G3265" s="3">
        <f>_xll.QS.EVALUATE(C3265,F3265)</f>
        <v>26135.367737954148</v>
      </c>
      <c r="H3265" s="5" t="s">
        <v>2917</v>
      </c>
      <c r="I3265" s="7">
        <v>1326300</v>
      </c>
      <c r="J3265" s="8">
        <v>3.6300000000000013E-2</v>
      </c>
    </row>
    <row r="3266" spans="1:10" x14ac:dyDescent="0.25">
      <c r="A3266" s="5" t="s">
        <v>2905</v>
      </c>
      <c r="B3266" s="5" t="s">
        <v>5133</v>
      </c>
      <c r="C3266" s="6" t="str">
        <f>_xll.QS.CONTEXT.CREATE("market.3264",A3266,"USD","SOFR")</f>
        <v>QSObject:PricingContext:w1~market.3264:15724</v>
      </c>
      <c r="D3266" s="6" t="str">
        <f>_xll.QS.CONTEXT.ADD.CURVE(C3266,"SOFR",$K$2:$K$7,$L$2:$L$7,,,"Actual360","LogLinear",TRUE)</f>
        <v>QSObject:ContextInput:w1~input.qs_context_add_curve.2359132437744.3265.3.0:37268</v>
      </c>
      <c r="E3266" s="6" t="str">
        <f>_xll.QS.INSTRUMENT.SWAP("swap.3264",H3266,B3266,"USD","SOFR",I3266,J3266,0,"Actual360","Simple","Annual","Annual","Annual")</f>
        <v>QSObject:Swap:w1~swap.3264:15723</v>
      </c>
      <c r="F3266" s="6" t="str">
        <f>_xll.QS.TRADE.CREATE("trade.3264",E3266,A3266,"Receive")</f>
        <v>QSObject:SwapTrade:w1~trade.3264:28575</v>
      </c>
      <c r="G3266" s="3">
        <f>_xll.QS.EVALUATE(C3266,F3266)</f>
        <v>26845.826041006614</v>
      </c>
      <c r="H3266" s="5" t="s">
        <v>2919</v>
      </c>
      <c r="I3266" s="7">
        <v>1326400</v>
      </c>
      <c r="J3266" s="8">
        <v>3.6400000000000002E-2</v>
      </c>
    </row>
    <row r="3267" spans="1:10" x14ac:dyDescent="0.25">
      <c r="A3267" s="5" t="s">
        <v>2907</v>
      </c>
      <c r="B3267" s="5" t="s">
        <v>5134</v>
      </c>
      <c r="C3267" s="6" t="str">
        <f>_xll.QS.CONTEXT.CREATE("market.3265",A3267,"USD","SOFR")</f>
        <v>QSObject:PricingContext:w1~market.3265:15722</v>
      </c>
      <c r="D3267" s="6" t="str">
        <f>_xll.QS.CONTEXT.ADD.CURVE(C3267,"SOFR",$K$2:$K$7,$L$2:$L$7,,,"Actual360","LogLinear",TRUE)</f>
        <v>QSObject:ContextInput:w1~input.qs_context_add_curve.2359132437744.3266.3.0:37267</v>
      </c>
      <c r="E3267" s="6" t="str">
        <f>_xll.QS.INSTRUMENT.SWAP("swap.3265",H3267,B3267,"USD","SOFR",I3267,J3267,0,"Actual360","Simple","Annual","Annual","Annual")</f>
        <v>QSObject:Swap:w1~swap.3265:15721</v>
      </c>
      <c r="F3267" s="6" t="str">
        <f>_xll.QS.TRADE.CREATE("trade.3265",E3267,A3267,"Receive")</f>
        <v>QSObject:SwapTrade:w1~trade.3265:28574</v>
      </c>
      <c r="G3267" s="3">
        <f>_xll.QS.EVALUATE(C3267,F3267)</f>
        <v>27517.192670973171</v>
      </c>
      <c r="H3267" s="5" t="s">
        <v>2921</v>
      </c>
      <c r="I3267" s="7">
        <v>1326500</v>
      </c>
      <c r="J3267" s="8">
        <v>3.6499999999999998E-2</v>
      </c>
    </row>
    <row r="3268" spans="1:10" x14ac:dyDescent="0.25">
      <c r="A3268" s="5" t="s">
        <v>2909</v>
      </c>
      <c r="B3268" s="5" t="s">
        <v>5135</v>
      </c>
      <c r="C3268" s="6" t="str">
        <f>_xll.QS.CONTEXT.CREATE("market.3266",A3268,"USD","SOFR")</f>
        <v>QSObject:PricingContext:w1~market.3266:15720</v>
      </c>
      <c r="D3268" s="6" t="str">
        <f>_xll.QS.CONTEXT.ADD.CURVE(C3268,"SOFR",$K$2:$K$7,$L$2:$L$7,,,"Actual360","LogLinear",TRUE)</f>
        <v>QSObject:ContextInput:w1~input.qs_context_add_curve.2359132437744.3267.3.0:37266</v>
      </c>
      <c r="E3268" s="6" t="str">
        <f>_xll.QS.INSTRUMENT.SWAP("swap.3266",H3268,B3268,"USD","SOFR",I3268,J3268,0,"Actual360","Simple","Annual","Annual","Annual")</f>
        <v>QSObject:Swap:w1~swap.3266:15719</v>
      </c>
      <c r="F3268" s="6" t="str">
        <f>_xll.QS.TRADE.CREATE("trade.3266",E3268,A3268,"Receive")</f>
        <v>QSObject:SwapTrade:w1~trade.3266:28573</v>
      </c>
      <c r="G3268" s="3">
        <f>_xll.QS.EVALUATE(C3268,F3268)</f>
        <v>28080.68483855854</v>
      </c>
      <c r="H3268" s="5" t="s">
        <v>2923</v>
      </c>
      <c r="I3268" s="7">
        <v>1326600</v>
      </c>
      <c r="J3268" s="8">
        <v>3.6600000000000001E-2</v>
      </c>
    </row>
    <row r="3269" spans="1:10" x14ac:dyDescent="0.25">
      <c r="A3269" s="5" t="s">
        <v>2911</v>
      </c>
      <c r="B3269" s="5" t="s">
        <v>5136</v>
      </c>
      <c r="C3269" s="6" t="str">
        <f>_xll.QS.CONTEXT.CREATE("market.3267",A3269,"USD","SOFR")</f>
        <v>QSObject:PricingContext:w1~market.3267:15718</v>
      </c>
      <c r="D3269" s="6" t="str">
        <f>_xll.QS.CONTEXT.ADD.CURVE(C3269,"SOFR",$K$2:$K$7,$L$2:$L$7,,,"Actual360","LogLinear",TRUE)</f>
        <v>QSObject:ContextInput:w1~input.qs_context_add_curve.2359132437744.3268.3.0:37265</v>
      </c>
      <c r="E3269" s="6" t="str">
        <f>_xll.QS.INSTRUMENT.SWAP("swap.3267",H3269,B3269,"USD","SOFR",I3269,J3269,0,"Actual360","Simple","Annual","Annual","Annual")</f>
        <v>QSObject:Swap:w1~swap.3267:15717</v>
      </c>
      <c r="F3269" s="6" t="str">
        <f>_xll.QS.TRADE.CREATE("trade.3267",E3269,A3269,"Receive")</f>
        <v>QSObject:SwapTrade:w1~trade.3267:28572</v>
      </c>
      <c r="G3269" s="3">
        <f>_xll.QS.EVALUATE(C3269,F3269)</f>
        <v>28604.696782322375</v>
      </c>
      <c r="H3269" s="5" t="s">
        <v>2925</v>
      </c>
      <c r="I3269" s="7">
        <v>1326700</v>
      </c>
      <c r="J3269" s="8">
        <v>3.6700000000000003E-2</v>
      </c>
    </row>
    <row r="3270" spans="1:10" x14ac:dyDescent="0.25">
      <c r="A3270" s="5" t="s">
        <v>2913</v>
      </c>
      <c r="B3270" s="5" t="s">
        <v>5137</v>
      </c>
      <c r="C3270" s="6" t="str">
        <f>_xll.QS.CONTEXT.CREATE("market.3268",A3270,"USD","SOFR")</f>
        <v>QSObject:PricingContext:w1~market.3268:15716</v>
      </c>
      <c r="D3270" s="6" t="str">
        <f>_xll.QS.CONTEXT.ADD.CURVE(C3270,"SOFR",$K$2:$K$7,$L$2:$L$7,,,"Actual360","LogLinear",TRUE)</f>
        <v>QSObject:ContextInput:w1~input.qs_context_add_curve.2359132437744.3269.3.0:37264</v>
      </c>
      <c r="E3270" s="6" t="str">
        <f>_xll.QS.INSTRUMENT.SWAP("swap.3268",H3270,B3270,"USD","SOFR",I3270,J3270,0,"Actual360","Simple","Annual","Annual","Annual")</f>
        <v>QSObject:Swap:w1~swap.3268:15715</v>
      </c>
      <c r="F3270" s="6" t="str">
        <f>_xll.QS.TRADE.CREATE("trade.3268",E3270,A3270,"Receive")</f>
        <v>QSObject:SwapTrade:w1~trade.3268:28571</v>
      </c>
      <c r="G3270" s="3">
        <f>_xll.QS.EVALUATE(C3270,F3270)</f>
        <v>29112.673758747369</v>
      </c>
      <c r="H3270" s="5" t="s">
        <v>2927</v>
      </c>
      <c r="I3270" s="7">
        <v>1326800</v>
      </c>
      <c r="J3270" s="8">
        <v>3.6800000000000013E-2</v>
      </c>
    </row>
    <row r="3271" spans="1:10" x14ac:dyDescent="0.25">
      <c r="A3271" s="5" t="s">
        <v>2915</v>
      </c>
      <c r="B3271" s="5" t="s">
        <v>5138</v>
      </c>
      <c r="C3271" s="6" t="str">
        <f>_xll.QS.CONTEXT.CREATE("market.3269",A3271,"USD","SOFR")</f>
        <v>QSObject:PricingContext:w1~market.3269:15714</v>
      </c>
      <c r="D3271" s="6" t="str">
        <f>_xll.QS.CONTEXT.ADD.CURVE(C3271,"SOFR",$K$2:$K$7,$L$2:$L$7,,,"Actual360","LogLinear",TRUE)</f>
        <v>QSObject:ContextInput:w1~input.qs_context_add_curve.2359132437744.3270.3.0:37263</v>
      </c>
      <c r="E3271" s="6" t="str">
        <f>_xll.QS.INSTRUMENT.SWAP("swap.3269",H3271,B3271,"USD","SOFR",I3271,J3271,0,"Actual360","Simple","Annual","Annual","Annual")</f>
        <v>QSObject:Swap:w1~swap.3269:15713</v>
      </c>
      <c r="F3271" s="6" t="str">
        <f>_xll.QS.TRADE.CREATE("trade.3269",E3271,A3271,"Receive")</f>
        <v>QSObject:SwapTrade:w1~trade.3269:28570</v>
      </c>
      <c r="G3271" s="3">
        <f>_xll.QS.EVALUATE(C3271,F3271)</f>
        <v>29783.125008205017</v>
      </c>
      <c r="H3271" s="5" t="s">
        <v>2929</v>
      </c>
      <c r="I3271" s="7">
        <v>1326900</v>
      </c>
      <c r="J3271" s="8">
        <v>3.6900000000000002E-2</v>
      </c>
    </row>
    <row r="3272" spans="1:10" x14ac:dyDescent="0.25">
      <c r="A3272" s="5" t="s">
        <v>2917</v>
      </c>
      <c r="B3272" s="5" t="s">
        <v>5139</v>
      </c>
      <c r="C3272" s="6" t="str">
        <f>_xll.QS.CONTEXT.CREATE("market.3270",A3272,"USD","SOFR")</f>
        <v>QSObject:PricingContext:w1~market.3270:15712</v>
      </c>
      <c r="D3272" s="6" t="str">
        <f>_xll.QS.CONTEXT.ADD.CURVE(C3272,"SOFR",$K$2:$K$7,$L$2:$L$7,,,"Actual360","LogLinear",TRUE)</f>
        <v>QSObject:ContextInput:w1~input.qs_context_add_curve.2359132437744.3271.3.0:37262</v>
      </c>
      <c r="E3272" s="6" t="str">
        <f>_xll.QS.INSTRUMENT.SWAP("swap.3270",H3272,B3272,"USD","SOFR",I3272,J3272,0,"Actual360","Simple","Annual","Annual","Annual")</f>
        <v>QSObject:Swap:w1~swap.3270:15711</v>
      </c>
      <c r="F3272" s="6" t="str">
        <f>_xll.QS.TRADE.CREATE("trade.3270",E3272,A3272,"Receive")</f>
        <v>QSObject:SwapTrade:w1~trade.3270:28569</v>
      </c>
      <c r="G3272" s="3">
        <f>_xll.QS.EVALUATE(C3272,F3272)</f>
        <v>30432.612221350639</v>
      </c>
      <c r="H3272" s="5" t="s">
        <v>2931</v>
      </c>
      <c r="I3272" s="7">
        <v>1327000</v>
      </c>
      <c r="J3272" s="8">
        <v>3.7000000000000012E-2</v>
      </c>
    </row>
    <row r="3273" spans="1:10" x14ac:dyDescent="0.25">
      <c r="A3273" s="5" t="s">
        <v>2919</v>
      </c>
      <c r="B3273" s="5" t="s">
        <v>5140</v>
      </c>
      <c r="C3273" s="6" t="str">
        <f>_xll.QS.CONTEXT.CREATE("market.3271",A3273,"USD","SOFR")</f>
        <v>QSObject:PricingContext:w1~market.3271:15710</v>
      </c>
      <c r="D3273" s="6" t="str">
        <f>_xll.QS.CONTEXT.ADD.CURVE(C3273,"SOFR",$K$2:$K$7,$L$2:$L$7,,,"Actual360","LogLinear",TRUE)</f>
        <v>QSObject:ContextInput:w1~input.qs_context_add_curve.2359132437744.3272.3.0:37261</v>
      </c>
      <c r="E3273" s="6" t="str">
        <f>_xll.QS.INSTRUMENT.SWAP("swap.3271",H3273,B3273,"USD","SOFR",I3273,J3273,0,"Actual360","Simple","Annual","Annual","Annual")</f>
        <v>QSObject:Swap:w1~swap.3271:15709</v>
      </c>
      <c r="F3273" s="6" t="str">
        <f>_xll.QS.TRADE.CREATE("trade.3271",E3273,A3273,"Receive")</f>
        <v>QSObject:SwapTrade:w1~trade.3271:28568</v>
      </c>
      <c r="G3273" s="3">
        <f>_xll.QS.EVALUATE(C3273,F3273)</f>
        <v>31143.711319821923</v>
      </c>
      <c r="H3273" s="5" t="s">
        <v>2933</v>
      </c>
      <c r="I3273" s="7">
        <v>1327100</v>
      </c>
      <c r="J3273" s="8">
        <v>3.7100000000000001E-2</v>
      </c>
    </row>
    <row r="3274" spans="1:10" x14ac:dyDescent="0.25">
      <c r="A3274" s="5" t="s">
        <v>2921</v>
      </c>
      <c r="B3274" s="5" t="s">
        <v>5141</v>
      </c>
      <c r="C3274" s="6" t="str">
        <f>_xll.QS.CONTEXT.CREATE("market.3272",A3274,"USD","SOFR")</f>
        <v>QSObject:PricingContext:w1~market.3272:15708</v>
      </c>
      <c r="D3274" s="6" t="str">
        <f>_xll.QS.CONTEXT.ADD.CURVE(C3274,"SOFR",$K$2:$K$7,$L$2:$L$7,,,"Actual360","LogLinear",TRUE)</f>
        <v>QSObject:ContextInput:w1~input.qs_context_add_curve.2359132437744.3273.3.0:37260</v>
      </c>
      <c r="E3274" s="6" t="str">
        <f>_xll.QS.INSTRUMENT.SWAP("swap.3272",H3274,B3274,"USD","SOFR",I3274,J3274,0,"Actual360","Simple","Annual","Annual","Annual")</f>
        <v>QSObject:Swap:w1~swap.3272:15707</v>
      </c>
      <c r="F3274" s="6" t="str">
        <f>_xll.QS.TRADE.CREATE("trade.3272",E3274,A3274,"Receive")</f>
        <v>QSObject:SwapTrade:w1~trade.3272:28567</v>
      </c>
      <c r="G3274" s="3">
        <f>_xll.QS.EVALUATE(C3274,F3274)</f>
        <v>31815.331490240824</v>
      </c>
      <c r="H3274" s="5" t="s">
        <v>2935</v>
      </c>
      <c r="I3274" s="7">
        <v>1327200</v>
      </c>
      <c r="J3274" s="8">
        <v>3.7199999999999997E-2</v>
      </c>
    </row>
    <row r="3275" spans="1:10" x14ac:dyDescent="0.25">
      <c r="A3275" s="5" t="s">
        <v>2923</v>
      </c>
      <c r="B3275" s="5" t="s">
        <v>5142</v>
      </c>
      <c r="C3275" s="6" t="str">
        <f>_xll.QS.CONTEXT.CREATE("market.3273",A3275,"USD","SOFR")</f>
        <v>QSObject:PricingContext:w1~market.3273:15706</v>
      </c>
      <c r="D3275" s="6" t="str">
        <f>_xll.QS.CONTEXT.ADD.CURVE(C3275,"SOFR",$K$2:$K$7,$L$2:$L$7,,,"Actual360","LogLinear",TRUE)</f>
        <v>QSObject:ContextInput:w1~input.qs_context_add_curve.2359132437744.3274.3.0:37259</v>
      </c>
      <c r="E3275" s="6" t="str">
        <f>_xll.QS.INSTRUMENT.SWAP("swap.3273",H3275,B3275,"USD","SOFR",I3275,J3275,0,"Actual360","Simple","Annual","Annual","Annual")</f>
        <v>QSObject:Swap:w1~swap.3273:15705</v>
      </c>
      <c r="F3275" s="6" t="str">
        <f>_xll.QS.TRADE.CREATE("trade.3273",E3275,A3275,"Receive")</f>
        <v>QSObject:SwapTrade:w1~trade.3273:28566</v>
      </c>
      <c r="G3275" s="3">
        <f>_xll.QS.EVALUATE(C3275,F3275)</f>
        <v>32283.986021551071</v>
      </c>
      <c r="H3275" s="5" t="s">
        <v>2937</v>
      </c>
      <c r="I3275" s="7">
        <v>1327300</v>
      </c>
      <c r="J3275" s="8">
        <v>3.73E-2</v>
      </c>
    </row>
    <row r="3276" spans="1:10" x14ac:dyDescent="0.25">
      <c r="A3276" s="5" t="s">
        <v>2925</v>
      </c>
      <c r="B3276" s="5" t="s">
        <v>5143</v>
      </c>
      <c r="C3276" s="6" t="str">
        <f>_xll.QS.CONTEXT.CREATE("market.3274",A3276,"USD","SOFR")</f>
        <v>QSObject:PricingContext:w1~market.3274:15704</v>
      </c>
      <c r="D3276" s="6" t="str">
        <f>_xll.QS.CONTEXT.ADD.CURVE(C3276,"SOFR",$K$2:$K$7,$L$2:$L$7,,,"Actual360","LogLinear",TRUE)</f>
        <v>QSObject:ContextInput:w1~input.qs_context_add_curve.2359132437744.3275.3.0:37258</v>
      </c>
      <c r="E3276" s="6" t="str">
        <f>_xll.QS.INSTRUMENT.SWAP("swap.3274",H3276,B3276,"USD","SOFR",I3276,J3276,0,"Actual360","Simple","Annual","Annual","Annual")</f>
        <v>QSObject:Swap:w1~swap.3274:15703</v>
      </c>
      <c r="F3276" s="6" t="str">
        <f>_xll.QS.TRADE.CREATE("trade.3274",E3276,A3276,"Receive")</f>
        <v>QSObject:SwapTrade:w1~trade.3274:28565</v>
      </c>
      <c r="G3276" s="3">
        <f>_xll.QS.EVALUATE(C3276,F3276)</f>
        <v>32900.553129188353</v>
      </c>
      <c r="H3276" s="5" t="s">
        <v>2939</v>
      </c>
      <c r="I3276" s="7">
        <v>1327400</v>
      </c>
      <c r="J3276" s="8">
        <v>3.7400000000000003E-2</v>
      </c>
    </row>
    <row r="3277" spans="1:10" x14ac:dyDescent="0.25">
      <c r="A3277" s="5" t="s">
        <v>2927</v>
      </c>
      <c r="B3277" s="5" t="s">
        <v>5144</v>
      </c>
      <c r="C3277" s="6" t="str">
        <f>_xll.QS.CONTEXT.CREATE("market.3275",A3277,"USD","SOFR")</f>
        <v>QSObject:PricingContext:w1~market.3275:15702</v>
      </c>
      <c r="D3277" s="6" t="str">
        <f>_xll.QS.CONTEXT.ADD.CURVE(C3277,"SOFR",$K$2:$K$7,$L$2:$L$7,,,"Actual360","LogLinear",TRUE)</f>
        <v>QSObject:ContextInput:w1~input.qs_context_add_curve.2359132437744.3276.3.0:37257</v>
      </c>
      <c r="E3277" s="6" t="str">
        <f>_xll.QS.INSTRUMENT.SWAP("swap.3275",H3277,B3277,"USD","SOFR",I3277,J3277,0,"Actual360","Simple","Annual","Annual","Annual")</f>
        <v>QSObject:Swap:w1~swap.3275:15701</v>
      </c>
      <c r="F3277" s="6" t="str">
        <f>_xll.QS.TRADE.CREATE("trade.3275",E3277,A3277,"Receive")</f>
        <v>QSObject:SwapTrade:w1~trade.3275:28564</v>
      </c>
      <c r="G3277" s="3">
        <f>_xll.QS.EVALUATE(C3277,F3277)</f>
        <v>33415.624893378124</v>
      </c>
      <c r="H3277" s="5" t="s">
        <v>2941</v>
      </c>
      <c r="I3277" s="7">
        <v>1327500</v>
      </c>
      <c r="J3277" s="8">
        <v>3.7500000000000012E-2</v>
      </c>
    </row>
    <row r="3278" spans="1:10" x14ac:dyDescent="0.25">
      <c r="A3278" s="5" t="s">
        <v>2929</v>
      </c>
      <c r="B3278" s="5" t="s">
        <v>5145</v>
      </c>
      <c r="C3278" s="6" t="str">
        <f>_xll.QS.CONTEXT.CREATE("market.3276",A3278,"USD","SOFR")</f>
        <v>QSObject:PricingContext:w1~market.3276:15700</v>
      </c>
      <c r="D3278" s="6" t="str">
        <f>_xll.QS.CONTEXT.ADD.CURVE(C3278,"SOFR",$K$2:$K$7,$L$2:$L$7,,,"Actual360","LogLinear",TRUE)</f>
        <v>QSObject:ContextInput:w1~input.qs_context_add_curve.2359132437744.3277.3.0:37256</v>
      </c>
      <c r="E3278" s="6" t="str">
        <f>_xll.QS.INSTRUMENT.SWAP("swap.3276",H3278,B3278,"USD","SOFR",I3278,J3278,0,"Actual360","Simple","Annual","Annual","Annual")</f>
        <v>QSObject:Swap:w1~swap.3276:15699</v>
      </c>
      <c r="F3278" s="6" t="str">
        <f>_xll.QS.TRADE.CREATE("trade.3276",E3278,A3278,"Receive")</f>
        <v>QSObject:SwapTrade:w1~trade.3276:28563</v>
      </c>
      <c r="G3278" s="3">
        <f>_xll.QS.EVALUATE(C3278,F3278)</f>
        <v>34135.625961772254</v>
      </c>
      <c r="H3278" s="5" t="s">
        <v>2943</v>
      </c>
      <c r="I3278" s="7">
        <v>1327600</v>
      </c>
      <c r="J3278" s="8">
        <v>3.7600000000000001E-2</v>
      </c>
    </row>
    <row r="3279" spans="1:10" x14ac:dyDescent="0.25">
      <c r="A3279" s="5" t="s">
        <v>2931</v>
      </c>
      <c r="B3279" s="5" t="s">
        <v>5146</v>
      </c>
      <c r="C3279" s="6" t="str">
        <f>_xll.QS.CONTEXT.CREATE("market.3277",A3279,"USD","SOFR")</f>
        <v>QSObject:PricingContext:w1~market.3277:15698</v>
      </c>
      <c r="D3279" s="6" t="str">
        <f>_xll.QS.CONTEXT.ADD.CURVE(C3279,"SOFR",$K$2:$K$7,$L$2:$L$7,,,"Actual360","LogLinear",TRUE)</f>
        <v>QSObject:ContextInput:w1~input.qs_context_add_curve.2359132437744.3278.3.0:37255</v>
      </c>
      <c r="E3279" s="6" t="str">
        <f>_xll.QS.INSTRUMENT.SWAP("swap.3277",H3279,B3279,"USD","SOFR",I3279,J3279,0,"Actual360","Simple","Annual","Annual","Annual")</f>
        <v>QSObject:Swap:w1~swap.3277:15697</v>
      </c>
      <c r="F3279" s="6" t="str">
        <f>_xll.QS.TRADE.CREATE("trade.3277",E3279,A3279,"Receive")</f>
        <v>QSObject:SwapTrade:w1~trade.3277:28562</v>
      </c>
      <c r="G3279" s="3">
        <f>_xll.QS.EVALUATE(C3279,F3279)</f>
        <v>34880.695436640679</v>
      </c>
      <c r="H3279" s="5" t="s">
        <v>2945</v>
      </c>
      <c r="I3279" s="7">
        <v>1327700</v>
      </c>
      <c r="J3279" s="8">
        <v>3.7699999999999997E-2</v>
      </c>
    </row>
    <row r="3280" spans="1:10" x14ac:dyDescent="0.25">
      <c r="A3280" s="5" t="s">
        <v>2933</v>
      </c>
      <c r="B3280" s="5" t="s">
        <v>5147</v>
      </c>
      <c r="C3280" s="6" t="str">
        <f>_xll.QS.CONTEXT.CREATE("market.3278",A3280,"USD","SOFR")</f>
        <v>QSObject:PricingContext:w1~market.3278:15696</v>
      </c>
      <c r="D3280" s="6" t="str">
        <f>_xll.QS.CONTEXT.ADD.CURVE(C3280,"SOFR",$K$2:$K$7,$L$2:$L$7,,,"Actual360","LogLinear",TRUE)</f>
        <v>QSObject:ContextInput:w1~input.qs_context_add_curve.2359132437744.3279.3.0:37254</v>
      </c>
      <c r="E3280" s="6" t="str">
        <f>_xll.QS.INSTRUMENT.SWAP("swap.3278",H3280,B3280,"USD","SOFR",I3280,J3280,0,"Actual360","Simple","Annual","Annual","Annual")</f>
        <v>QSObject:Swap:w1~swap.3278:15695</v>
      </c>
      <c r="F3280" s="6" t="str">
        <f>_xll.QS.TRADE.CREATE("trade.3278",E3280,A3280,"Receive")</f>
        <v>QSObject:SwapTrade:w1~trade.3278:28561</v>
      </c>
      <c r="G3280" s="3">
        <f>_xll.QS.EVALUATE(C3280,F3280)</f>
        <v>35508.264609331163</v>
      </c>
      <c r="H3280" s="5" t="s">
        <v>2947</v>
      </c>
      <c r="I3280" s="7">
        <v>1327800</v>
      </c>
      <c r="J3280" s="8">
        <v>3.78E-2</v>
      </c>
    </row>
    <row r="3281" spans="1:10" x14ac:dyDescent="0.25">
      <c r="A3281" s="5" t="s">
        <v>2935</v>
      </c>
      <c r="B3281" s="5" t="s">
        <v>5148</v>
      </c>
      <c r="C3281" s="6" t="str">
        <f>_xll.QS.CONTEXT.CREATE("market.3279",A3281,"USD","SOFR")</f>
        <v>QSObject:PricingContext:w1~market.3279:15694</v>
      </c>
      <c r="D3281" s="6" t="str">
        <f>_xll.QS.CONTEXT.ADD.CURVE(C3281,"SOFR",$K$2:$K$7,$L$2:$L$7,,,"Actual360","LogLinear",TRUE)</f>
        <v>QSObject:ContextInput:w1~input.qs_context_add_curve.2359132437744.3280.3.0:37253</v>
      </c>
      <c r="E3281" s="6" t="str">
        <f>_xll.QS.INSTRUMENT.SWAP("swap.3279",H3281,B3281,"USD","SOFR",I3281,J3281,0,"Actual360","Simple","Annual","Annual","Annual")</f>
        <v>QSObject:Swap:w1~swap.3279:15693</v>
      </c>
      <c r="F3281" s="6" t="str">
        <f>_xll.QS.TRADE.CREATE("trade.3279",E3281,A3281,"Receive")</f>
        <v>QSObject:SwapTrade:w1~trade.3279:28560</v>
      </c>
      <c r="G3281" s="3">
        <f>_xll.QS.EVALUATE(C3281,F3281)</f>
        <v>36122.002057452482</v>
      </c>
      <c r="H3281" s="5" t="s">
        <v>2949</v>
      </c>
      <c r="I3281" s="7">
        <v>1327900</v>
      </c>
      <c r="J3281" s="8">
        <v>3.7900000000000003E-2</v>
      </c>
    </row>
    <row r="3282" spans="1:10" x14ac:dyDescent="0.25">
      <c r="A3282" s="5" t="s">
        <v>2937</v>
      </c>
      <c r="B3282" s="5" t="s">
        <v>5149</v>
      </c>
      <c r="C3282" s="6" t="str">
        <f>_xll.QS.CONTEXT.CREATE("market.3280",A3282,"USD","SOFR")</f>
        <v>QSObject:PricingContext:w1~market.3280:15692</v>
      </c>
      <c r="D3282" s="6" t="str">
        <f>_xll.QS.CONTEXT.ADD.CURVE(C3282,"SOFR",$K$2:$K$7,$L$2:$L$7,,,"Actual360","LogLinear",TRUE)</f>
        <v>QSObject:ContextInput:w1~input.qs_context_add_curve.2359132437744.3281.3.0:37252</v>
      </c>
      <c r="E3282" s="6" t="str">
        <f>_xll.QS.INSTRUMENT.SWAP("swap.3280",H3282,B3282,"USD","SOFR",I3282,J3282,0,"Actual360","Simple","Annual","Annual","Annual")</f>
        <v>QSObject:Swap:w1~swap.3280:15691</v>
      </c>
      <c r="F3282" s="6" t="str">
        <f>_xll.QS.TRADE.CREATE("trade.3280",E3282,A3282,"Receive")</f>
        <v>QSObject:SwapTrade:w1~trade.3280:28559</v>
      </c>
      <c r="G3282" s="3">
        <f>_xll.QS.EVALUATE(C3282,F3282)</f>
        <v>36581.222573210427</v>
      </c>
      <c r="H3282" s="5" t="s">
        <v>2951</v>
      </c>
      <c r="I3282" s="7">
        <v>1328000</v>
      </c>
      <c r="J3282" s="8">
        <v>3.8000000000000013E-2</v>
      </c>
    </row>
    <row r="3283" spans="1:10" x14ac:dyDescent="0.25">
      <c r="A3283" s="5" t="s">
        <v>2939</v>
      </c>
      <c r="B3283" s="5" t="s">
        <v>5150</v>
      </c>
      <c r="C3283" s="6" t="str">
        <f>_xll.QS.CONTEXT.CREATE("market.3281",A3283,"USD","SOFR")</f>
        <v>QSObject:PricingContext:w1~market.3281:15690</v>
      </c>
      <c r="D3283" s="6" t="str">
        <f>_xll.QS.CONTEXT.ADD.CURVE(C3283,"SOFR",$K$2:$K$7,$L$2:$L$7,,,"Actual360","LogLinear",TRUE)</f>
        <v>QSObject:ContextInput:w1~input.qs_context_add_curve.2359132437744.3282.3.0:37251</v>
      </c>
      <c r="E3283" s="6" t="str">
        <f>_xll.QS.INSTRUMENT.SWAP("swap.3281",H3283,B3283,"USD","SOFR",I3283,J3283,0,"Actual360","Simple","Annual","Annual","Annual")</f>
        <v>QSObject:Swap:w1~swap.3281:15689</v>
      </c>
      <c r="F3283" s="6" t="str">
        <f>_xll.QS.TRADE.CREATE("trade.3281",E3283,A3283,"Receive")</f>
        <v>QSObject:SwapTrade:w1~trade.3281:28558</v>
      </c>
      <c r="G3283" s="3">
        <f>_xll.QS.EVALUATE(C3283,F3283)</f>
        <v>37198.796571508232</v>
      </c>
      <c r="H3283" s="5" t="s">
        <v>2953</v>
      </c>
      <c r="I3283" s="7">
        <v>1328100</v>
      </c>
      <c r="J3283" s="8">
        <v>3.8100000000000002E-2</v>
      </c>
    </row>
    <row r="3284" spans="1:10" x14ac:dyDescent="0.25">
      <c r="A3284" s="5" t="s">
        <v>2941</v>
      </c>
      <c r="B3284" s="5" t="s">
        <v>5151</v>
      </c>
      <c r="C3284" s="6" t="str">
        <f>_xll.QS.CONTEXT.CREATE("market.3282",A3284,"USD","SOFR")</f>
        <v>QSObject:PricingContext:w1~market.3282:15688</v>
      </c>
      <c r="D3284" s="6" t="str">
        <f>_xll.QS.CONTEXT.ADD.CURVE(C3284,"SOFR",$K$2:$K$7,$L$2:$L$7,,,"Actual360","LogLinear",TRUE)</f>
        <v>QSObject:ContextInput:w1~input.qs_context_add_curve.2359132437744.3283.3.0:37250</v>
      </c>
      <c r="E3284" s="6" t="str">
        <f>_xll.QS.INSTRUMENT.SWAP("swap.3282",H3284,B3284,"USD","SOFR",I3284,J3284,0,"Actual360","Simple","Annual","Annual","Annual")</f>
        <v>QSObject:Swap:w1~swap.3282:15687</v>
      </c>
      <c r="F3284" s="6" t="str">
        <f>_xll.QS.TRADE.CREATE("trade.3282",E3284,A3284,"Receive")</f>
        <v>QSObject:SwapTrade:w1~trade.3282:28557</v>
      </c>
      <c r="G3284" s="3">
        <f>_xll.QS.EVALUATE(C3284,F3284)</f>
        <v>37721.107454377547</v>
      </c>
      <c r="H3284" s="5" t="s">
        <v>2955</v>
      </c>
      <c r="I3284" s="7">
        <v>1328200</v>
      </c>
      <c r="J3284" s="8">
        <v>3.8199999999999998E-2</v>
      </c>
    </row>
    <row r="3285" spans="1:10" x14ac:dyDescent="0.25">
      <c r="A3285" s="5" t="s">
        <v>2943</v>
      </c>
      <c r="B3285" s="5" t="s">
        <v>5152</v>
      </c>
      <c r="C3285" s="6" t="str">
        <f>_xll.QS.CONTEXT.CREATE("market.3283",A3285,"USD","SOFR")</f>
        <v>QSObject:PricingContext:w1~market.3283:15686</v>
      </c>
      <c r="D3285" s="6" t="str">
        <f>_xll.QS.CONTEXT.ADD.CURVE(C3285,"SOFR",$K$2:$K$7,$L$2:$L$7,,,"Actual360","LogLinear",TRUE)</f>
        <v>QSObject:ContextInput:w1~input.qs_context_add_curve.2359132437744.3284.3.0:37249</v>
      </c>
      <c r="E3285" s="6" t="str">
        <f>_xll.QS.INSTRUMENT.SWAP("swap.3283",H3285,B3285,"USD","SOFR",I3285,J3285,0,"Actual360","Simple","Annual","Annual","Annual")</f>
        <v>QSObject:Swap:w1~swap.3283:15685</v>
      </c>
      <c r="F3285" s="6" t="str">
        <f>_xll.QS.TRADE.CREATE("trade.3283",E3285,A3285,"Receive")</f>
        <v>QSObject:SwapTrade:w1~trade.3283:28556</v>
      </c>
      <c r="G3285" s="3">
        <f>_xll.QS.EVALUATE(C3285,F3285)</f>
        <v>38441.851690065931</v>
      </c>
      <c r="H3285" s="5" t="s">
        <v>2957</v>
      </c>
      <c r="I3285" s="7">
        <v>1328300</v>
      </c>
      <c r="J3285" s="8">
        <v>3.8300000000000001E-2</v>
      </c>
    </row>
    <row r="3286" spans="1:10" x14ac:dyDescent="0.25">
      <c r="A3286" s="5" t="s">
        <v>2945</v>
      </c>
      <c r="B3286" s="5" t="s">
        <v>5153</v>
      </c>
      <c r="C3286" s="6" t="str">
        <f>_xll.QS.CONTEXT.CREATE("market.3284",A3286,"USD","SOFR")</f>
        <v>QSObject:PricingContext:w1~market.3284:15684</v>
      </c>
      <c r="D3286" s="6" t="str">
        <f>_xll.QS.CONTEXT.ADD.CURVE(C3286,"SOFR",$K$2:$K$7,$L$2:$L$7,,,"Actual360","LogLinear",TRUE)</f>
        <v>QSObject:ContextInput:w1~input.qs_context_add_curve.2359132437744.3285.3.0:37248</v>
      </c>
      <c r="E3286" s="6" t="str">
        <f>_xll.QS.INSTRUMENT.SWAP("swap.3284",H3286,B3286,"USD","SOFR",I3286,J3286,0,"Actual360","Simple","Annual","Annual","Annual")</f>
        <v>QSObject:Swap:w1~swap.3284:15683</v>
      </c>
      <c r="F3286" s="6" t="str">
        <f>_xll.QS.TRADE.CREATE("trade.3284",E3286,A3286,"Receive")</f>
        <v>QSObject:SwapTrade:w1~trade.3284:28555</v>
      </c>
      <c r="G3286" s="3">
        <f>_xll.QS.EVALUATE(C3286,F3286)</f>
        <v>39186.567355379579</v>
      </c>
      <c r="H3286" s="5" t="s">
        <v>2959</v>
      </c>
      <c r="I3286" s="7">
        <v>1328400</v>
      </c>
      <c r="J3286" s="8">
        <v>3.8399999999999997E-2</v>
      </c>
    </row>
    <row r="3287" spans="1:10" x14ac:dyDescent="0.25">
      <c r="A3287" s="5" t="s">
        <v>2947</v>
      </c>
      <c r="B3287" s="5" t="s">
        <v>5154</v>
      </c>
      <c r="C3287" s="6" t="str">
        <f>_xll.QS.CONTEXT.CREATE("market.3285",A3287,"USD","SOFR")</f>
        <v>QSObject:PricingContext:w1~market.3285:15682</v>
      </c>
      <c r="D3287" s="6" t="str">
        <f>_xll.QS.CONTEXT.ADD.CURVE(C3287,"SOFR",$K$2:$K$7,$L$2:$L$7,,,"Actual360","LogLinear",TRUE)</f>
        <v>QSObject:ContextInput:w1~input.qs_context_add_curve.2359132437744.3286.3.0:37247</v>
      </c>
      <c r="E3287" s="6" t="str">
        <f>_xll.QS.INSTRUMENT.SWAP("swap.3285",H3287,B3287,"USD","SOFR",I3287,J3287,0,"Actual360","Simple","Annual","Annual","Annual")</f>
        <v>QSObject:Swap:w1~swap.3285:15681</v>
      </c>
      <c r="F3287" s="6" t="str">
        <f>_xll.QS.TRADE.CREATE("trade.3285",E3287,A3287,"Receive")</f>
        <v>QSObject:SwapTrade:w1~trade.3285:28554</v>
      </c>
      <c r="G3287" s="3">
        <f>_xll.QS.EVALUATE(C3287,F3287)</f>
        <v>39814.899562970408</v>
      </c>
      <c r="H3287" s="5" t="s">
        <v>2961</v>
      </c>
      <c r="I3287" s="7">
        <v>1328500</v>
      </c>
      <c r="J3287" s="8">
        <v>3.8500000000000013E-2</v>
      </c>
    </row>
    <row r="3288" spans="1:10" x14ac:dyDescent="0.25">
      <c r="A3288" s="5" t="s">
        <v>2949</v>
      </c>
      <c r="B3288" s="5" t="s">
        <v>5155</v>
      </c>
      <c r="C3288" s="6" t="str">
        <f>_xll.QS.CONTEXT.CREATE("market.3286",A3288,"USD","SOFR")</f>
        <v>QSObject:PricingContext:w1~market.3286:15680</v>
      </c>
      <c r="D3288" s="6" t="str">
        <f>_xll.QS.CONTEXT.ADD.CURVE(C3288,"SOFR",$K$2:$K$7,$L$2:$L$7,,,"Actual360","LogLinear",TRUE)</f>
        <v>QSObject:ContextInput:w1~input.qs_context_add_curve.2359132437744.3287.3.0:37246</v>
      </c>
      <c r="E3288" s="6" t="str">
        <f>_xll.QS.INSTRUMENT.SWAP("swap.3286",H3288,B3288,"USD","SOFR",I3288,J3288,0,"Actual360","Simple","Annual","Annual","Annual")</f>
        <v>QSObject:Swap:w1~swap.3286:15679</v>
      </c>
      <c r="F3288" s="6" t="str">
        <f>_xll.QS.TRADE.CREATE("trade.3286",E3288,A3288,"Receive")</f>
        <v>QSObject:SwapTrade:w1~trade.3286:28553</v>
      </c>
      <c r="G3288" s="3">
        <f>_xll.QS.EVALUATE(C3288,F3288)</f>
        <v>40429.3173287174</v>
      </c>
      <c r="H3288" s="5" t="s">
        <v>2963</v>
      </c>
      <c r="I3288" s="7">
        <v>1328600</v>
      </c>
      <c r="J3288" s="8">
        <v>3.8600000000000002E-2</v>
      </c>
    </row>
    <row r="3289" spans="1:10" x14ac:dyDescent="0.25">
      <c r="A3289" s="5" t="s">
        <v>2951</v>
      </c>
      <c r="B3289" s="5" t="s">
        <v>5156</v>
      </c>
      <c r="C3289" s="6" t="str">
        <f>_xll.QS.CONTEXT.CREATE("market.3287",A3289,"USD","SOFR")</f>
        <v>QSObject:PricingContext:w1~market.3287:15678</v>
      </c>
      <c r="D3289" s="6" t="str">
        <f>_xll.QS.CONTEXT.ADD.CURVE(C3289,"SOFR",$K$2:$K$7,$L$2:$L$7,,,"Actual360","LogLinear",TRUE)</f>
        <v>QSObject:ContextInput:w1~input.qs_context_add_curve.2359132437744.3288.3.0:37245</v>
      </c>
      <c r="E3289" s="6" t="str">
        <f>_xll.QS.INSTRUMENT.SWAP("swap.3287",H3289,B3289,"USD","SOFR",I3289,J3289,0,"Actual360","Simple","Annual","Annual","Annual")</f>
        <v>QSObject:Swap:w1~swap.3287:15677</v>
      </c>
      <c r="F3289" s="6" t="str">
        <f>_xll.QS.TRADE.CREATE("trade.3287",E3289,A3289,"Receive")</f>
        <v>QSObject:SwapTrade:w1~trade.3287:28552</v>
      </c>
      <c r="G3289" s="3">
        <f>_xll.QS.EVALUATE(C3289,F3289)</f>
        <v>40992.177636786881</v>
      </c>
      <c r="H3289" s="5" t="s">
        <v>2965</v>
      </c>
      <c r="I3289" s="7">
        <v>1328700</v>
      </c>
      <c r="J3289" s="8">
        <v>3.8700000000000012E-2</v>
      </c>
    </row>
    <row r="3290" spans="1:10" x14ac:dyDescent="0.25">
      <c r="A3290" s="5" t="s">
        <v>2953</v>
      </c>
      <c r="B3290" s="5" t="s">
        <v>5157</v>
      </c>
      <c r="C3290" s="6" t="str">
        <f>_xll.QS.CONTEXT.CREATE("market.3288",A3290,"USD","SOFR")</f>
        <v>QSObject:PricingContext:w1~market.3288:15676</v>
      </c>
      <c r="D3290" s="6" t="str">
        <f>_xll.QS.CONTEXT.ADD.CURVE(C3290,"SOFR",$K$2:$K$7,$L$2:$L$7,,,"Actual360","LogLinear",TRUE)</f>
        <v>QSObject:ContextInput:w1~input.qs_context_add_curve.2359132437744.3289.3.0:37244</v>
      </c>
      <c r="E3290" s="6" t="str">
        <f>_xll.QS.INSTRUMENT.SWAP("swap.3288",H3290,B3290,"USD","SOFR",I3290,J3290,0,"Actual360","Simple","Annual","Annual","Annual")</f>
        <v>QSObject:Swap:w1~swap.3288:15675</v>
      </c>
      <c r="F3290" s="6" t="str">
        <f>_xll.QS.TRADE.CREATE("trade.3288",E3290,A3290,"Receive")</f>
        <v>QSObject:SwapTrade:w1~trade.3288:28551</v>
      </c>
      <c r="G3290" s="3">
        <f>_xll.QS.EVALUATE(C3290,F3290)</f>
        <v>41502.81953974058</v>
      </c>
      <c r="H3290" s="5" t="s">
        <v>2967</v>
      </c>
      <c r="I3290" s="7">
        <v>1328800</v>
      </c>
      <c r="J3290" s="8">
        <v>3.8800000000000001E-2</v>
      </c>
    </row>
    <row r="3291" spans="1:10" x14ac:dyDescent="0.25">
      <c r="A3291" s="5" t="s">
        <v>2955</v>
      </c>
      <c r="B3291" s="5" t="s">
        <v>5158</v>
      </c>
      <c r="C3291" s="6" t="str">
        <f>_xll.QS.CONTEXT.CREATE("market.3289",A3291,"USD","SOFR")</f>
        <v>QSObject:PricingContext:w1~market.3289:15674</v>
      </c>
      <c r="D3291" s="6" t="str">
        <f>_xll.QS.CONTEXT.ADD.CURVE(C3291,"SOFR",$K$2:$K$7,$L$2:$L$7,,,"Actual360","LogLinear",TRUE)</f>
        <v>QSObject:ContextInput:w1~input.qs_context_add_curve.2359132437744.3290.3.0:37243</v>
      </c>
      <c r="E3291" s="6" t="str">
        <f>_xll.QS.INSTRUMENT.SWAP("swap.3289",H3291,B3291,"USD","SOFR",I3291,J3291,0,"Actual360","Simple","Annual","Annual","Annual")</f>
        <v>QSObject:Swap:w1~swap.3289:15673</v>
      </c>
      <c r="F3291" s="6" t="str">
        <f>_xll.QS.TRADE.CREATE("trade.3289",E3291,A3291,"Receive")</f>
        <v>QSObject:SwapTrade:w1~trade.3289:28550</v>
      </c>
      <c r="G3291" s="3">
        <f>_xll.QS.EVALUATE(C3291,F3291)</f>
        <v>42032.514834211615</v>
      </c>
      <c r="H3291" s="5" t="s">
        <v>2969</v>
      </c>
      <c r="I3291" s="7">
        <v>1328900</v>
      </c>
      <c r="J3291" s="8">
        <v>3.8899999999999997E-2</v>
      </c>
    </row>
    <row r="3292" spans="1:10" x14ac:dyDescent="0.25">
      <c r="A3292" s="5" t="s">
        <v>2957</v>
      </c>
      <c r="B3292" s="5" t="s">
        <v>5159</v>
      </c>
      <c r="C3292" s="6" t="str">
        <f>_xll.QS.CONTEXT.CREATE("market.3290",A3292,"USD","SOFR")</f>
        <v>QSObject:PricingContext:w1~market.3290:15672</v>
      </c>
      <c r="D3292" s="6" t="str">
        <f>_xll.QS.CONTEXT.ADD.CURVE(C3292,"SOFR",$K$2:$K$7,$L$2:$L$7,,,"Actual360","LogLinear",TRUE)</f>
        <v>QSObject:ContextInput:w1~input.qs_context_add_curve.2359132437744.3291.3.0:37242</v>
      </c>
      <c r="E3292" s="6" t="str">
        <f>_xll.QS.INSTRUMENT.SWAP("swap.3290",H3292,B3292,"USD","SOFR",I3292,J3292,0,"Actual360","Simple","Annual","Annual","Annual")</f>
        <v>QSObject:Swap:w1~swap.3290:15671</v>
      </c>
      <c r="F3292" s="6" t="str">
        <f>_xll.QS.TRADE.CREATE("trade.3290",E3292,A3292,"Receive")</f>
        <v>QSObject:SwapTrade:w1~trade.3290:28549</v>
      </c>
      <c r="G3292" s="3">
        <f>_xll.QS.EVALUATE(C3292,F3292)</f>
        <v>42706.284402990568</v>
      </c>
      <c r="H3292" s="5" t="s">
        <v>2971</v>
      </c>
      <c r="I3292" s="7">
        <v>1329000</v>
      </c>
      <c r="J3292" s="8">
        <v>3.9000000000000007E-2</v>
      </c>
    </row>
    <row r="3293" spans="1:10" x14ac:dyDescent="0.25">
      <c r="A3293" s="5" t="s">
        <v>2959</v>
      </c>
      <c r="B3293" s="5" t="s">
        <v>5160</v>
      </c>
      <c r="C3293" s="6" t="str">
        <f>_xll.QS.CONTEXT.CREATE("market.3291",A3293,"USD","SOFR")</f>
        <v>QSObject:PricingContext:w1~market.3291:15670</v>
      </c>
      <c r="D3293" s="6" t="str">
        <f>_xll.QS.CONTEXT.ADD.CURVE(C3293,"SOFR",$K$2:$K$7,$L$2:$L$7,,,"Actual360","LogLinear",TRUE)</f>
        <v>QSObject:ContextInput:w1~input.qs_context_add_curve.2359132437744.3292.3.0:37241</v>
      </c>
      <c r="E3293" s="6" t="str">
        <f>_xll.QS.INSTRUMENT.SWAP("swap.3291",H3293,B3293,"USD","SOFR",I3293,J3293,0,"Actual360","Simple","Annual","Annual","Annual")</f>
        <v>QSObject:Swap:w1~swap.3291:15669</v>
      </c>
      <c r="F3293" s="6" t="str">
        <f>_xll.QS.TRADE.CREATE("trade.3291",E3293,A3293,"Receive")</f>
        <v>QSObject:SwapTrade:w1~trade.3291:28548</v>
      </c>
      <c r="G3293" s="3">
        <f>_xll.QS.EVALUATE(C3293,F3293)</f>
        <v>43351.460204685056</v>
      </c>
      <c r="H3293" s="5" t="s">
        <v>2973</v>
      </c>
      <c r="I3293" s="7">
        <v>1329100</v>
      </c>
      <c r="J3293" s="8">
        <v>3.9100000000000003E-2</v>
      </c>
    </row>
    <row r="3294" spans="1:10" x14ac:dyDescent="0.25">
      <c r="A3294" s="5" t="s">
        <v>2961</v>
      </c>
      <c r="B3294" s="5" t="s">
        <v>5161</v>
      </c>
      <c r="C3294" s="6" t="str">
        <f>_xll.QS.CONTEXT.CREATE("market.3292",A3294,"USD","SOFR")</f>
        <v>QSObject:PricingContext:w1~market.3292:15668</v>
      </c>
      <c r="D3294" s="6" t="str">
        <f>_xll.QS.CONTEXT.ADD.CURVE(C3294,"SOFR",$K$2:$K$7,$L$2:$L$7,,,"Actual360","LogLinear",TRUE)</f>
        <v>QSObject:ContextInput:w1~input.qs_context_add_curve.2359132437744.3293.3.0:37240</v>
      </c>
      <c r="E3294" s="6" t="str">
        <f>_xll.QS.INSTRUMENT.SWAP("swap.3292",H3294,B3294,"USD","SOFR",I3294,J3294,0,"Actual360","Simple","Annual","Annual","Annual")</f>
        <v>QSObject:Swap:w1~swap.3292:15667</v>
      </c>
      <c r="F3294" s="6" t="str">
        <f>_xll.QS.TRADE.CREATE("trade.3292",E3294,A3294,"Receive")</f>
        <v>QSObject:SwapTrade:w1~trade.3292:28547</v>
      </c>
      <c r="G3294" s="3">
        <f>_xll.QS.EVALUATE(C3294,F3294)</f>
        <v>44064.835621647362</v>
      </c>
      <c r="H3294" s="5" t="s">
        <v>2975</v>
      </c>
      <c r="I3294" s="7">
        <v>1329200</v>
      </c>
      <c r="J3294" s="8">
        <v>3.9200000000000013E-2</v>
      </c>
    </row>
    <row r="3295" spans="1:10" x14ac:dyDescent="0.25">
      <c r="A3295" s="5" t="s">
        <v>2963</v>
      </c>
      <c r="B3295" s="5" t="s">
        <v>5162</v>
      </c>
      <c r="C3295" s="6" t="str">
        <f>_xll.QS.CONTEXT.CREATE("market.3293",A3295,"USD","SOFR")</f>
        <v>QSObject:PricingContext:w1~market.3293:15666</v>
      </c>
      <c r="D3295" s="6" t="str">
        <f>_xll.QS.CONTEXT.ADD.CURVE(C3295,"SOFR",$K$2:$K$7,$L$2:$L$7,,,"Actual360","LogLinear",TRUE)</f>
        <v>QSObject:ContextInput:w1~input.qs_context_add_curve.2359132437744.3294.3.0:37239</v>
      </c>
      <c r="E3295" s="6" t="str">
        <f>_xll.QS.INSTRUMENT.SWAP("swap.3293",H3295,B3295,"USD","SOFR",I3295,J3295,0,"Actual360","Simple","Annual","Annual","Annual")</f>
        <v>QSObject:Swap:w1~swap.3293:15665</v>
      </c>
      <c r="F3295" s="6" t="str">
        <f>_xll.QS.TRADE.CREATE("trade.3293",E3295,A3295,"Receive")</f>
        <v>QSObject:SwapTrade:w1~trade.3293:28546</v>
      </c>
      <c r="G3295" s="3">
        <f>_xll.QS.EVALUATE(C3295,F3295)</f>
        <v>44738.823100140486</v>
      </c>
      <c r="H3295" s="5" t="s">
        <v>2977</v>
      </c>
      <c r="I3295" s="7">
        <v>1329300</v>
      </c>
      <c r="J3295" s="8">
        <v>3.9300000000000002E-2</v>
      </c>
    </row>
    <row r="3296" spans="1:10" x14ac:dyDescent="0.25">
      <c r="A3296" s="5" t="s">
        <v>2965</v>
      </c>
      <c r="B3296" s="5" t="s">
        <v>5163</v>
      </c>
      <c r="C3296" s="6" t="str">
        <f>_xll.QS.CONTEXT.CREATE("market.3294",A3296,"USD","SOFR")</f>
        <v>QSObject:PricingContext:w1~market.3294:15664</v>
      </c>
      <c r="D3296" s="6" t="str">
        <f>_xll.QS.CONTEXT.ADD.CURVE(C3296,"SOFR",$K$2:$K$7,$L$2:$L$7,,,"Actual360","LogLinear",TRUE)</f>
        <v>QSObject:ContextInput:w1~input.qs_context_add_curve.2359132437744.3295.3.0:37238</v>
      </c>
      <c r="E3296" s="6" t="str">
        <f>_xll.QS.INSTRUMENT.SWAP("swap.3294",H3296,B3296,"USD","SOFR",I3296,J3296,0,"Actual360","Simple","Annual","Annual","Annual")</f>
        <v>QSObject:Swap:w1~swap.3294:15663</v>
      </c>
      <c r="F3296" s="6" t="str">
        <f>_xll.QS.TRADE.CREATE("trade.3294",E3296,A3296,"Receive")</f>
        <v>QSObject:SwapTrade:w1~trade.3294:28545</v>
      </c>
      <c r="G3296" s="3">
        <f>_xll.QS.EVALUATE(C3296,F3296)</f>
        <v>45304.586544786784</v>
      </c>
      <c r="H3296" s="5" t="s">
        <v>2979</v>
      </c>
      <c r="I3296" s="7">
        <v>1329400</v>
      </c>
      <c r="J3296" s="8">
        <v>3.9399999999999998E-2</v>
      </c>
    </row>
    <row r="3297" spans="1:10" x14ac:dyDescent="0.25">
      <c r="A3297" s="5" t="s">
        <v>2967</v>
      </c>
      <c r="B3297" s="5" t="s">
        <v>5164</v>
      </c>
      <c r="C3297" s="6" t="str">
        <f>_xll.QS.CONTEXT.CREATE("market.3295",A3297,"USD","SOFR")</f>
        <v>QSObject:PricingContext:w1~market.3295:15662</v>
      </c>
      <c r="D3297" s="6" t="str">
        <f>_xll.QS.CONTEXT.ADD.CURVE(C3297,"SOFR",$K$2:$K$7,$L$2:$L$7,,,"Actual360","LogLinear",TRUE)</f>
        <v>QSObject:ContextInput:w1~input.qs_context_add_curve.2359132437744.3296.3.0:37237</v>
      </c>
      <c r="E3297" s="6" t="str">
        <f>_xll.QS.INSTRUMENT.SWAP("swap.3295",H3297,B3297,"USD","SOFR",I3297,J3297,0,"Actual360","Simple","Annual","Annual","Annual")</f>
        <v>QSObject:Swap:w1~swap.3295:15661</v>
      </c>
      <c r="F3297" s="6" t="str">
        <f>_xll.QS.TRADE.CREATE("trade.3295",E3297,A3297,"Receive")</f>
        <v>QSObject:SwapTrade:w1~trade.3295:28544</v>
      </c>
      <c r="G3297" s="3">
        <f>_xll.QS.EVALUATE(C3297,F3297)</f>
        <v>45782.317994444835</v>
      </c>
      <c r="H3297" s="5" t="s">
        <v>2981</v>
      </c>
      <c r="I3297" s="7">
        <v>1329500</v>
      </c>
      <c r="J3297" s="8">
        <v>3.9500000000000007E-2</v>
      </c>
    </row>
    <row r="3298" spans="1:10" x14ac:dyDescent="0.25">
      <c r="A3298" s="5" t="s">
        <v>2969</v>
      </c>
      <c r="B3298" s="5" t="s">
        <v>5165</v>
      </c>
      <c r="C3298" s="6" t="str">
        <f>_xll.QS.CONTEXT.CREATE("market.3296",A3298,"USD","SOFR")</f>
        <v>QSObject:PricingContext:w1~market.3296:15660</v>
      </c>
      <c r="D3298" s="6" t="str">
        <f>_xll.QS.CONTEXT.ADD.CURVE(C3298,"SOFR",$K$2:$K$7,$L$2:$L$7,,,"Actual360","LogLinear",TRUE)</f>
        <v>QSObject:ContextInput:w1~input.qs_context_add_curve.2359132437744.3297.3.0:37236</v>
      </c>
      <c r="E3298" s="6" t="str">
        <f>_xll.QS.INSTRUMENT.SWAP("swap.3296",H3298,B3298,"USD","SOFR",I3298,J3298,0,"Actual360","Simple","Annual","Annual","Annual")</f>
        <v>QSObject:Swap:w1~swap.3296:15659</v>
      </c>
      <c r="F3298" s="6" t="str">
        <f>_xll.QS.TRADE.CREATE("trade.3296",E3298,A3298,"Receive")</f>
        <v>QSObject:SwapTrade:w1~trade.3296:28543</v>
      </c>
      <c r="G3298" s="3">
        <f>_xll.QS.EVALUATE(C3298,F3298)</f>
        <v>46291.199895771941</v>
      </c>
      <c r="H3298" s="5" t="s">
        <v>2983</v>
      </c>
      <c r="I3298" s="7">
        <v>1329600</v>
      </c>
      <c r="J3298" s="8">
        <v>3.9600000000000003E-2</v>
      </c>
    </row>
    <row r="3299" spans="1:10" x14ac:dyDescent="0.25">
      <c r="A3299" s="5" t="s">
        <v>2971</v>
      </c>
      <c r="B3299" s="5" t="s">
        <v>5166</v>
      </c>
      <c r="C3299" s="6" t="str">
        <f>_xll.QS.CONTEXT.CREATE("market.3297",A3299,"USD","SOFR")</f>
        <v>QSObject:PricingContext:w1~market.3297:15658</v>
      </c>
      <c r="D3299" s="6" t="str">
        <f>_xll.QS.CONTEXT.ADD.CURVE(C3299,"SOFR",$K$2:$K$7,$L$2:$L$7,,,"Actual360","LogLinear",TRUE)</f>
        <v>QSObject:ContextInput:w1~input.qs_context_add_curve.2359132437744.3298.3.0:37235</v>
      </c>
      <c r="E3299" s="6" t="str">
        <f>_xll.QS.INSTRUMENT.SWAP("swap.3297",H3299,B3299,"USD","SOFR",I3299,J3299,0,"Actual360","Simple","Annual","Annual","Annual")</f>
        <v>QSObject:Swap:w1~swap.3297:15657</v>
      </c>
      <c r="F3299" s="6" t="str">
        <f>_xll.QS.TRADE.CREATE("trade.3297",E3299,A3299,"Receive")</f>
        <v>QSObject:SwapTrade:w1~trade.3297:28542</v>
      </c>
      <c r="G3299" s="3">
        <f>_xll.QS.EVALUATE(C3299,F3299)</f>
        <v>46966.848853383977</v>
      </c>
      <c r="H3299" s="5" t="s">
        <v>2985</v>
      </c>
      <c r="I3299" s="7">
        <v>1329700</v>
      </c>
      <c r="J3299" s="8">
        <v>3.9700000000000013E-2</v>
      </c>
    </row>
    <row r="3300" spans="1:10" x14ac:dyDescent="0.25">
      <c r="A3300" s="5" t="s">
        <v>2973</v>
      </c>
      <c r="B3300" s="5" t="s">
        <v>5167</v>
      </c>
      <c r="C3300" s="6" t="str">
        <f>_xll.QS.CONTEXT.CREATE("market.3298",A3300,"USD","SOFR")</f>
        <v>QSObject:PricingContext:w1~market.3298:15656</v>
      </c>
      <c r="D3300" s="6" t="str">
        <f>_xll.QS.CONTEXT.ADD.CURVE(C3300,"SOFR",$K$2:$K$7,$L$2:$L$7,,,"Actual360","LogLinear",TRUE)</f>
        <v>QSObject:ContextInput:w1~input.qs_context_add_curve.2359132437744.3299.3.0:37234</v>
      </c>
      <c r="E3300" s="6" t="str">
        <f>_xll.QS.INSTRUMENT.SWAP("swap.3298",H3300,B3300,"USD","SOFR",I3300,J3300,0,"Actual360","Simple","Annual","Annual","Annual")</f>
        <v>QSObject:Swap:w1~swap.3298:15655</v>
      </c>
      <c r="F3300" s="6" t="str">
        <f>_xll.QS.TRADE.CREATE("trade.3298",E3300,A3300,"Receive")</f>
        <v>QSObject:SwapTrade:w1~trade.3298:28541</v>
      </c>
      <c r="G3300" s="3">
        <f>_xll.QS.EVALUATE(C3300,F3300)</f>
        <v>47640.217019697804</v>
      </c>
      <c r="H3300" s="5" t="s">
        <v>2987</v>
      </c>
      <c r="I3300" s="7">
        <v>1329800</v>
      </c>
      <c r="J3300" s="8">
        <v>3.9800000000000002E-2</v>
      </c>
    </row>
    <row r="3301" spans="1:10" x14ac:dyDescent="0.25">
      <c r="A3301" s="5" t="s">
        <v>2975</v>
      </c>
      <c r="B3301" s="5" t="s">
        <v>5168</v>
      </c>
      <c r="C3301" s="6" t="str">
        <f>_xll.QS.CONTEXT.CREATE("market.3299",A3301,"USD","SOFR")</f>
        <v>QSObject:PricingContext:w1~market.3299:15654</v>
      </c>
      <c r="D3301" s="6" t="str">
        <f>_xll.QS.CONTEXT.ADD.CURVE(C3301,"SOFR",$K$2:$K$7,$L$2:$L$7,,,"Actual360","LogLinear",TRUE)</f>
        <v>QSObject:ContextInput:w1~input.qs_context_add_curve.2359132437744.3300.3.0:37233</v>
      </c>
      <c r="E3301" s="6" t="str">
        <f>_xll.QS.INSTRUMENT.SWAP("swap.3299",H3301,B3301,"USD","SOFR",I3301,J3301,0,"Actual360","Simple","Annual","Annual","Annual")</f>
        <v>QSObject:Swap:w1~swap.3299:15653</v>
      </c>
      <c r="F3301" s="6" t="str">
        <f>_xll.QS.TRADE.CREATE("trade.3299",E3301,A3301,"Receive")</f>
        <v>QSObject:SwapTrade:w1~trade.3299:28540</v>
      </c>
      <c r="G3301" s="3">
        <f>_xll.QS.EVALUATE(C3301,F3301)</f>
        <v>48430.28055703007</v>
      </c>
      <c r="H3301" s="5" t="s">
        <v>2989</v>
      </c>
      <c r="I3301" s="7">
        <v>1329900</v>
      </c>
      <c r="J3301" s="8">
        <v>3.9899999999999998E-2</v>
      </c>
    </row>
    <row r="3302" spans="1:10" x14ac:dyDescent="0.25">
      <c r="A3302" s="5" t="s">
        <v>2977</v>
      </c>
      <c r="B3302" s="5" t="s">
        <v>5169</v>
      </c>
      <c r="C3302" s="6" t="str">
        <f>_xll.QS.CONTEXT.CREATE("market.3300",A3302,"USD","SOFR")</f>
        <v>QSObject:PricingContext:w1~market.3300:15652</v>
      </c>
      <c r="D3302" s="6" t="str">
        <f>_xll.QS.CONTEXT.ADD.CURVE(C3302,"SOFR",$K$2:$K$7,$L$2:$L$7,,,"Actual360","LogLinear",TRUE)</f>
        <v>QSObject:ContextInput:w1~input.qs_context_add_curve.2359132437744.3301.3.0:37232</v>
      </c>
      <c r="E3302" s="6" t="str">
        <f>_xll.QS.INSTRUMENT.SWAP("swap.3300",H3302,B3302,"USD","SOFR",I3302,J3302,0,"Actual360","Simple","Annual","Annual","Annual")</f>
        <v>QSObject:Swap:w1~swap.3300:15651</v>
      </c>
      <c r="F3302" s="6" t="str">
        <f>_xll.QS.TRADE.CREATE("trade.3300",E3302,A3302,"Receive")</f>
        <v>QSObject:SwapTrade:w1~trade.3300:28539</v>
      </c>
      <c r="G3302" s="3">
        <f>_xll.QS.EVALUATE(C3302,F3302)</f>
        <v>18393.986982562812</v>
      </c>
      <c r="H3302" s="5" t="s">
        <v>2991</v>
      </c>
      <c r="I3302" s="7">
        <v>1330000</v>
      </c>
      <c r="J3302" s="8">
        <v>3.5000000000000003E-2</v>
      </c>
    </row>
    <row r="3303" spans="1:10" x14ac:dyDescent="0.25">
      <c r="A3303" s="5" t="s">
        <v>2979</v>
      </c>
      <c r="B3303" s="5" t="s">
        <v>5170</v>
      </c>
      <c r="C3303" s="6" t="str">
        <f>_xll.QS.CONTEXT.CREATE("market.3301",A3303,"USD","SOFR")</f>
        <v>QSObject:PricingContext:w1~market.3301:15650</v>
      </c>
      <c r="D3303" s="6" t="str">
        <f>_xll.QS.CONTEXT.ADD.CURVE(C3303,"SOFR",$K$2:$K$7,$L$2:$L$7,,,"Actual360","LogLinear",TRUE)</f>
        <v>QSObject:ContextInput:w1~input.qs_context_add_curve.2359132437744.3302.3.0:37231</v>
      </c>
      <c r="E3303" s="6" t="str">
        <f>_xll.QS.INSTRUMENT.SWAP("swap.3301",H3303,B3303,"USD","SOFR",I3303,J3303,0,"Actual360","Simple","Annual","Annual","Annual")</f>
        <v>QSObject:Swap:w1~swap.3301:15649</v>
      </c>
      <c r="F3303" s="6" t="str">
        <f>_xll.QS.TRADE.CREATE("trade.3301",E3303,A3303,"Receive")</f>
        <v>QSObject:SwapTrade:w1~trade.3301:28538</v>
      </c>
      <c r="G3303" s="3">
        <f>_xll.QS.EVALUATE(C3303,F3303)</f>
        <v>19008.469391404571</v>
      </c>
      <c r="H3303" s="5" t="s">
        <v>2993</v>
      </c>
      <c r="I3303" s="7">
        <v>1330100</v>
      </c>
      <c r="J3303" s="8">
        <v>3.5100000000000013E-2</v>
      </c>
    </row>
    <row r="3304" spans="1:10" x14ac:dyDescent="0.25">
      <c r="A3304" s="5" t="s">
        <v>2981</v>
      </c>
      <c r="B3304" s="5" t="s">
        <v>5171</v>
      </c>
      <c r="C3304" s="6" t="str">
        <f>_xll.QS.CONTEXT.CREATE("market.3302",A3304,"USD","SOFR")</f>
        <v>QSObject:PricingContext:w1~market.3302:15648</v>
      </c>
      <c r="D3304" s="6" t="str">
        <f>_xll.QS.CONTEXT.ADD.CURVE(C3304,"SOFR",$K$2:$K$7,$L$2:$L$7,,,"Actual360","LogLinear",TRUE)</f>
        <v>QSObject:ContextInput:w1~input.qs_context_add_curve.2359132437744.3303.3.0:37230</v>
      </c>
      <c r="E3304" s="6" t="str">
        <f>_xll.QS.INSTRUMENT.SWAP("swap.3302",H3304,B3304,"USD","SOFR",I3304,J3304,0,"Actual360","Simple","Annual","Annual","Annual")</f>
        <v>QSObject:Swap:w1~swap.3302:15647</v>
      </c>
      <c r="F3304" s="6" t="str">
        <f>_xll.QS.TRADE.CREATE("trade.3302",E3304,A3304,"Receive")</f>
        <v>QSObject:SwapTrade:w1~trade.3302:28537</v>
      </c>
      <c r="G3304" s="3">
        <f>_xll.QS.EVALUATE(C3304,F3304)</f>
        <v>19544.016783553845</v>
      </c>
      <c r="H3304" s="5" t="s">
        <v>2995</v>
      </c>
      <c r="I3304" s="7">
        <v>1330200</v>
      </c>
      <c r="J3304" s="8">
        <v>3.5200000000000002E-2</v>
      </c>
    </row>
    <row r="3305" spans="1:10" x14ac:dyDescent="0.25">
      <c r="A3305" s="5" t="s">
        <v>2983</v>
      </c>
      <c r="B3305" s="5" t="s">
        <v>5172</v>
      </c>
      <c r="C3305" s="6" t="str">
        <f>_xll.QS.CONTEXT.CREATE("market.3303",A3305,"USD","SOFR")</f>
        <v>QSObject:PricingContext:w1~market.3303:15646</v>
      </c>
      <c r="D3305" s="6" t="str">
        <f>_xll.QS.CONTEXT.ADD.CURVE(C3305,"SOFR",$K$2:$K$7,$L$2:$L$7,,,"Actual360","LogLinear",TRUE)</f>
        <v>QSObject:ContextInput:w1~input.qs_context_add_curve.2359132437744.3304.3.0:37229</v>
      </c>
      <c r="E3305" s="6" t="str">
        <f>_xll.QS.INSTRUMENT.SWAP("swap.3303",H3305,B3305,"USD","SOFR",I3305,J3305,0,"Actual360","Simple","Annual","Annual","Annual")</f>
        <v>QSObject:Swap:w1~swap.3303:15645</v>
      </c>
      <c r="F3305" s="6" t="str">
        <f>_xll.QS.TRADE.CREATE("trade.3303",E3305,A3305,"Receive")</f>
        <v>QSObject:SwapTrade:w1~trade.3303:28536</v>
      </c>
      <c r="G3305" s="3">
        <f>_xll.QS.EVALUATE(C3305,F3305)</f>
        <v>20038.255748728538</v>
      </c>
      <c r="H3305" s="5" t="s">
        <v>2997</v>
      </c>
      <c r="I3305" s="7">
        <v>1330300</v>
      </c>
      <c r="J3305" s="8">
        <v>3.5299999999999998E-2</v>
      </c>
    </row>
    <row r="3306" spans="1:10" x14ac:dyDescent="0.25">
      <c r="A3306" s="5" t="s">
        <v>2985</v>
      </c>
      <c r="B3306" s="5" t="s">
        <v>5173</v>
      </c>
      <c r="C3306" s="6" t="str">
        <f>_xll.QS.CONTEXT.CREATE("market.3304",A3306,"USD","SOFR")</f>
        <v>QSObject:PricingContext:w1~market.3304:15644</v>
      </c>
      <c r="D3306" s="6" t="str">
        <f>_xll.QS.CONTEXT.ADD.CURVE(C3306,"SOFR",$K$2:$K$7,$L$2:$L$7,,,"Actual360","LogLinear",TRUE)</f>
        <v>QSObject:ContextInput:w1~input.qs_context_add_curve.2359132437744.3305.3.0:37228</v>
      </c>
      <c r="E3306" s="6" t="str">
        <f>_xll.QS.INSTRUMENT.SWAP("swap.3304",H3306,B3306,"USD","SOFR",I3306,J3306,0,"Actual360","Simple","Annual","Annual","Annual")</f>
        <v>QSObject:Swap:w1~swap.3304:15643</v>
      </c>
      <c r="F3306" s="6" t="str">
        <f>_xll.QS.TRADE.CREATE("trade.3304",E3306,A3306,"Receive")</f>
        <v>QSObject:SwapTrade:w1~trade.3304:28535</v>
      </c>
      <c r="G3306" s="3">
        <f>_xll.QS.EVALUATE(C3306,F3306)</f>
        <v>20654.944154457684</v>
      </c>
      <c r="H3306" s="5" t="s">
        <v>2999</v>
      </c>
      <c r="I3306" s="7">
        <v>1330400</v>
      </c>
      <c r="J3306" s="8">
        <v>3.5400000000000001E-2</v>
      </c>
    </row>
    <row r="3307" spans="1:10" x14ac:dyDescent="0.25">
      <c r="A3307" s="5" t="s">
        <v>2987</v>
      </c>
      <c r="B3307" s="5" t="s">
        <v>5174</v>
      </c>
      <c r="C3307" s="6" t="str">
        <f>_xll.QS.CONTEXT.CREATE("market.3305",A3307,"USD","SOFR")</f>
        <v>QSObject:PricingContext:w1~market.3305:15642</v>
      </c>
      <c r="D3307" s="6" t="str">
        <f>_xll.QS.CONTEXT.ADD.CURVE(C3307,"SOFR",$K$2:$K$7,$L$2:$L$7,,,"Actual360","LogLinear",TRUE)</f>
        <v>QSObject:ContextInput:w1~input.qs_context_add_curve.2359132437744.3306.3.0:37227</v>
      </c>
      <c r="E3307" s="6" t="str">
        <f>_xll.QS.INSTRUMENT.SWAP("swap.3305",H3307,B3307,"USD","SOFR",I3307,J3307,0,"Actual360","Simple","Annual","Annual","Annual")</f>
        <v>QSObject:Swap:w1~swap.3305:15641</v>
      </c>
      <c r="F3307" s="6" t="str">
        <f>_xll.QS.TRADE.CREATE("trade.3305",E3307,A3307,"Receive")</f>
        <v>QSObject:SwapTrade:w1~trade.3305:28534</v>
      </c>
      <c r="G3307" s="3">
        <f>_xll.QS.EVALUATE(C3307,F3307)</f>
        <v>21309.901561795086</v>
      </c>
      <c r="H3307" s="5" t="s">
        <v>3001</v>
      </c>
      <c r="I3307" s="7">
        <v>1330500</v>
      </c>
      <c r="J3307" s="8">
        <v>3.5499999999999997E-2</v>
      </c>
    </row>
    <row r="3308" spans="1:10" x14ac:dyDescent="0.25">
      <c r="A3308" s="5" t="s">
        <v>2989</v>
      </c>
      <c r="B3308" s="5" t="s">
        <v>5175</v>
      </c>
      <c r="C3308" s="6" t="str">
        <f>_xll.QS.CONTEXT.CREATE("market.3306",A3308,"USD","SOFR")</f>
        <v>QSObject:PricingContext:w1~market.3306:15640</v>
      </c>
      <c r="D3308" s="6" t="str">
        <f>_xll.QS.CONTEXT.ADD.CURVE(C3308,"SOFR",$K$2:$K$7,$L$2:$L$7,,,"Actual360","LogLinear",TRUE)</f>
        <v>QSObject:ContextInput:w1~input.qs_context_add_curve.2359132437744.3307.3.0:37226</v>
      </c>
      <c r="E3308" s="6" t="str">
        <f>_xll.QS.INSTRUMENT.SWAP("swap.3306",H3308,B3308,"USD","SOFR",I3308,J3308,0,"Actual360","Simple","Annual","Annual","Annual")</f>
        <v>QSObject:Swap:w1~swap.3306:15639</v>
      </c>
      <c r="F3308" s="6" t="str">
        <f>_xll.QS.TRADE.CREATE("trade.3306",E3308,A3308,"Receive")</f>
        <v>QSObject:SwapTrade:w1~trade.3306:28533</v>
      </c>
      <c r="G3308" s="3">
        <f>_xll.QS.EVALUATE(C3308,F3308)</f>
        <v>22022.10600811684</v>
      </c>
      <c r="H3308" s="5" t="s">
        <v>3003</v>
      </c>
      <c r="I3308" s="7">
        <v>1330600</v>
      </c>
      <c r="J3308" s="8">
        <v>3.5600000000000007E-2</v>
      </c>
    </row>
    <row r="3309" spans="1:10" x14ac:dyDescent="0.25">
      <c r="A3309" s="5" t="s">
        <v>2991</v>
      </c>
      <c r="B3309" s="5" t="s">
        <v>5176</v>
      </c>
      <c r="C3309" s="6" t="str">
        <f>_xll.QS.CONTEXT.CREATE("market.3307",A3309,"USD","SOFR")</f>
        <v>QSObject:PricingContext:w1~market.3307:15638</v>
      </c>
      <c r="D3309" s="6" t="str">
        <f>_xll.QS.CONTEXT.ADD.CURVE(C3309,"SOFR",$K$2:$K$7,$L$2:$L$7,,,"Actual360","LogLinear",TRUE)</f>
        <v>QSObject:ContextInput:w1~input.qs_context_add_curve.2359132437744.3308.3.0:37225</v>
      </c>
      <c r="E3309" s="6" t="str">
        <f>_xll.QS.INSTRUMENT.SWAP("swap.3307",H3309,B3309,"USD","SOFR",I3309,J3309,0,"Actual360","Simple","Annual","Annual","Annual")</f>
        <v>QSObject:Swap:w1~swap.3307:15637</v>
      </c>
      <c r="F3309" s="6" t="str">
        <f>_xll.QS.TRADE.CREATE("trade.3307",E3309,A3309,"Receive")</f>
        <v>QSObject:SwapTrade:w1~trade.3307:28532</v>
      </c>
      <c r="G3309" s="3">
        <f>_xll.QS.EVALUATE(C3309,F3309)</f>
        <v>22695.170542419328</v>
      </c>
      <c r="H3309" s="5" t="s">
        <v>3005</v>
      </c>
      <c r="I3309" s="7">
        <v>1330700</v>
      </c>
      <c r="J3309" s="8">
        <v>3.5700000000000003E-2</v>
      </c>
    </row>
    <row r="3310" spans="1:10" x14ac:dyDescent="0.25">
      <c r="A3310" s="5" t="s">
        <v>2993</v>
      </c>
      <c r="B3310" s="5" t="s">
        <v>5177</v>
      </c>
      <c r="C3310" s="6" t="str">
        <f>_xll.QS.CONTEXT.CREATE("market.3308",A3310,"USD","SOFR")</f>
        <v>QSObject:PricingContext:w1~market.3308:15636</v>
      </c>
      <c r="D3310" s="6" t="str">
        <f>_xll.QS.CONTEXT.ADD.CURVE(C3310,"SOFR",$K$2:$K$7,$L$2:$L$7,,,"Actual360","LogLinear",TRUE)</f>
        <v>QSObject:ContextInput:w1~input.qs_context_add_curve.2359132437744.3309.3.0:37224</v>
      </c>
      <c r="E3310" s="6" t="str">
        <f>_xll.QS.INSTRUMENT.SWAP("swap.3308",H3310,B3310,"USD","SOFR",I3310,J3310,0,"Actual360","Simple","Annual","Annual","Annual")</f>
        <v>QSObject:Swap:w1~swap.3308:15635</v>
      </c>
      <c r="F3310" s="6" t="str">
        <f>_xll.QS.TRADE.CREATE("trade.3308",E3310,A3310,"Receive")</f>
        <v>QSObject:SwapTrade:w1~trade.3308:28531</v>
      </c>
      <c r="G3310" s="3">
        <f>_xll.QS.EVALUATE(C3310,F3310)</f>
        <v>23260.110814570755</v>
      </c>
      <c r="H3310" s="5" t="s">
        <v>3007</v>
      </c>
      <c r="I3310" s="7">
        <v>1330800</v>
      </c>
      <c r="J3310" s="8">
        <v>3.5800000000000012E-2</v>
      </c>
    </row>
    <row r="3311" spans="1:10" x14ac:dyDescent="0.25">
      <c r="A3311" s="5" t="s">
        <v>2995</v>
      </c>
      <c r="B3311" s="5" t="s">
        <v>5178</v>
      </c>
      <c r="C3311" s="6" t="str">
        <f>_xll.QS.CONTEXT.CREATE("market.3309",A3311,"USD","SOFR")</f>
        <v>QSObject:PricingContext:w1~market.3309:15634</v>
      </c>
      <c r="D3311" s="6" t="str">
        <f>_xll.QS.CONTEXT.ADD.CURVE(C3311,"SOFR",$K$2:$K$7,$L$2:$L$7,,,"Actual360","LogLinear",TRUE)</f>
        <v>QSObject:ContextInput:w1~input.qs_context_add_curve.2359132437744.3310.3.0:37223</v>
      </c>
      <c r="E3311" s="6" t="str">
        <f>_xll.QS.INSTRUMENT.SWAP("swap.3309",H3311,B3311,"USD","SOFR",I3311,J3311,0,"Actual360","Simple","Annual","Annual","Annual")</f>
        <v>QSObject:Swap:w1~swap.3309:15633</v>
      </c>
      <c r="F3311" s="6" t="str">
        <f>_xll.QS.TRADE.CREATE("trade.3309",E3311,A3311,"Receive")</f>
        <v>QSObject:SwapTrade:w1~trade.3309:28530</v>
      </c>
      <c r="G3311" s="3">
        <f>_xll.QS.EVALUATE(C3311,F3311)</f>
        <v>23838.643787823108</v>
      </c>
      <c r="H3311" s="5" t="s">
        <v>3009</v>
      </c>
      <c r="I3311" s="7">
        <v>1330900</v>
      </c>
      <c r="J3311" s="8">
        <v>3.5900000000000001E-2</v>
      </c>
    </row>
    <row r="3312" spans="1:10" x14ac:dyDescent="0.25">
      <c r="A3312" s="5" t="s">
        <v>2997</v>
      </c>
      <c r="B3312" s="5" t="s">
        <v>5179</v>
      </c>
      <c r="C3312" s="6" t="str">
        <f>_xll.QS.CONTEXT.CREATE("market.3310",A3312,"USD","SOFR")</f>
        <v>QSObject:PricingContext:w1~market.3310:15632</v>
      </c>
      <c r="D3312" s="6" t="str">
        <f>_xll.QS.CONTEXT.ADD.CURVE(C3312,"SOFR",$K$2:$K$7,$L$2:$L$7,,,"Actual360","LogLinear",TRUE)</f>
        <v>QSObject:ContextInput:w1~input.qs_context_add_curve.2359132437744.3311.3.0:37222</v>
      </c>
      <c r="E3312" s="6" t="str">
        <f>_xll.QS.INSTRUMENT.SWAP("swap.3310",H3312,B3312,"USD","SOFR",I3312,J3312,0,"Actual360","Simple","Annual","Annual","Annual")</f>
        <v>QSObject:Swap:w1~swap.3310:15631</v>
      </c>
      <c r="F3312" s="6" t="str">
        <f>_xll.QS.TRADE.CREATE("trade.3310",E3312,A3312,"Receive")</f>
        <v>QSObject:SwapTrade:w1~trade.3310:28529</v>
      </c>
      <c r="G3312" s="3">
        <f>_xll.QS.EVALUATE(C3312,F3312)</f>
        <v>24456.452759732296</v>
      </c>
      <c r="H3312" s="5" t="s">
        <v>3011</v>
      </c>
      <c r="I3312" s="7">
        <v>1331000</v>
      </c>
      <c r="J3312" s="8">
        <v>3.5999999999999997E-2</v>
      </c>
    </row>
    <row r="3313" spans="1:10" x14ac:dyDescent="0.25">
      <c r="A3313" s="5" t="s">
        <v>2999</v>
      </c>
      <c r="B3313" s="5" t="s">
        <v>5180</v>
      </c>
      <c r="C3313" s="6" t="str">
        <f>_xll.QS.CONTEXT.CREATE("market.3311",A3313,"USD","SOFR")</f>
        <v>QSObject:PricingContext:w1~market.3311:15630</v>
      </c>
      <c r="D3313" s="6" t="str">
        <f>_xll.QS.CONTEXT.ADD.CURVE(C3313,"SOFR",$K$2:$K$7,$L$2:$L$7,,,"Actual360","LogLinear",TRUE)</f>
        <v>QSObject:ContextInput:w1~input.qs_context_add_curve.2359132437744.3312.3.0:37221</v>
      </c>
      <c r="E3313" s="6" t="str">
        <f>_xll.QS.INSTRUMENT.SWAP("swap.3311",H3313,B3313,"USD","SOFR",I3313,J3313,0,"Actual360","Simple","Annual","Annual","Annual")</f>
        <v>QSObject:Swap:w1~swap.3311:15629</v>
      </c>
      <c r="F3313" s="6" t="str">
        <f>_xll.QS.TRADE.CREATE("trade.3311",E3313,A3313,"Receive")</f>
        <v>QSObject:SwapTrade:w1~trade.3311:28528</v>
      </c>
      <c r="G3313" s="3">
        <f>_xll.QS.EVALUATE(C3313,F3313)</f>
        <v>24964.49408303704</v>
      </c>
      <c r="H3313" s="5" t="s">
        <v>3013</v>
      </c>
      <c r="I3313" s="7">
        <v>1331100</v>
      </c>
      <c r="J3313" s="8">
        <v>3.61E-2</v>
      </c>
    </row>
    <row r="3314" spans="1:10" x14ac:dyDescent="0.25">
      <c r="A3314" s="5" t="s">
        <v>3001</v>
      </c>
      <c r="B3314" s="5" t="s">
        <v>5181</v>
      </c>
      <c r="C3314" s="6" t="str">
        <f>_xll.QS.CONTEXT.CREATE("market.3312",A3314,"USD","SOFR")</f>
        <v>QSObject:PricingContext:w1~market.3312:15628</v>
      </c>
      <c r="D3314" s="6" t="str">
        <f>_xll.QS.CONTEXT.ADD.CURVE(C3314,"SOFR",$K$2:$K$7,$L$2:$L$7,,,"Actual360","LogLinear",TRUE)</f>
        <v>QSObject:ContextInput:w1~input.qs_context_add_curve.2359132437744.3313.3.0:37220</v>
      </c>
      <c r="E3314" s="6" t="str">
        <f>_xll.QS.INSTRUMENT.SWAP("swap.3312",H3314,B3314,"USD","SOFR",I3314,J3314,0,"Actual360","Simple","Annual","Annual","Annual")</f>
        <v>QSObject:Swap:w1~swap.3312:15627</v>
      </c>
      <c r="F3314" s="6" t="str">
        <f>_xll.QS.TRADE.CREATE("trade.3312",E3314,A3314,"Receive")</f>
        <v>QSObject:SwapTrade:w1~trade.3312:28527</v>
      </c>
      <c r="G3314" s="3">
        <f>_xll.QS.EVALUATE(C3314,F3314)</f>
        <v>25618.066277375852</v>
      </c>
      <c r="H3314" s="5" t="s">
        <v>3015</v>
      </c>
      <c r="I3314" s="7">
        <v>1331200</v>
      </c>
      <c r="J3314" s="8">
        <v>3.6200000000000003E-2</v>
      </c>
    </row>
    <row r="3315" spans="1:10" x14ac:dyDescent="0.25">
      <c r="A3315" s="5" t="s">
        <v>3003</v>
      </c>
      <c r="B3315" s="5" t="s">
        <v>5182</v>
      </c>
      <c r="C3315" s="6" t="str">
        <f>_xll.QS.CONTEXT.CREATE("market.3313",A3315,"USD","SOFR")</f>
        <v>QSObject:PricingContext:w1~market.3313:15626</v>
      </c>
      <c r="D3315" s="6" t="str">
        <f>_xll.QS.CONTEXT.ADD.CURVE(C3315,"SOFR",$K$2:$K$7,$L$2:$L$7,,,"Actual360","LogLinear",TRUE)</f>
        <v>QSObject:ContextInput:w1~input.qs_context_add_curve.2359132437744.3314.3.0:37219</v>
      </c>
      <c r="E3315" s="6" t="str">
        <f>_xll.QS.INSTRUMENT.SWAP("swap.3313",H3315,B3315,"USD","SOFR",I3315,J3315,0,"Actual360","Simple","Annual","Annual","Annual")</f>
        <v>QSObject:Swap:w1~swap.3313:15625</v>
      </c>
      <c r="F3315" s="6" t="str">
        <f>_xll.QS.TRADE.CREATE("trade.3313",E3315,A3315,"Receive")</f>
        <v>QSObject:SwapTrade:w1~trade.3313:28526</v>
      </c>
      <c r="G3315" s="3">
        <f>_xll.QS.EVALUATE(C3315,F3315)</f>
        <v>26382.108838235064</v>
      </c>
      <c r="H3315" s="5" t="s">
        <v>3017</v>
      </c>
      <c r="I3315" s="7">
        <v>1331300</v>
      </c>
      <c r="J3315" s="8">
        <v>3.6300000000000013E-2</v>
      </c>
    </row>
    <row r="3316" spans="1:10" x14ac:dyDescent="0.25">
      <c r="A3316" s="5" t="s">
        <v>3005</v>
      </c>
      <c r="B3316" s="5" t="s">
        <v>5183</v>
      </c>
      <c r="C3316" s="6" t="str">
        <f>_xll.QS.CONTEXT.CREATE("market.3314",A3316,"USD","SOFR")</f>
        <v>QSObject:PricingContext:w1~market.3314:15624</v>
      </c>
      <c r="D3316" s="6" t="str">
        <f>_xll.QS.CONTEXT.ADD.CURVE(C3316,"SOFR",$K$2:$K$7,$L$2:$L$7,,,"Actual360","LogLinear",TRUE)</f>
        <v>QSObject:ContextInput:w1~input.qs_context_add_curve.2359132437744.3315.3.0:37218</v>
      </c>
      <c r="E3316" s="6" t="str">
        <f>_xll.QS.INSTRUMENT.SWAP("swap.3314",H3316,B3316,"USD","SOFR",I3316,J3316,0,"Actual360","Simple","Annual","Annual","Annual")</f>
        <v>QSObject:Swap:w1~swap.3314:15623</v>
      </c>
      <c r="F3316" s="6" t="str">
        <f>_xll.QS.TRADE.CREATE("trade.3314",E3316,A3316,"Receive")</f>
        <v>QSObject:SwapTrade:w1~trade.3314:28525</v>
      </c>
      <c r="G3316" s="3">
        <f>_xll.QS.EVALUATE(C3316,F3316)</f>
        <v>27004.873017051927</v>
      </c>
      <c r="H3316" s="5" t="s">
        <v>3019</v>
      </c>
      <c r="I3316" s="7">
        <v>1331400</v>
      </c>
      <c r="J3316" s="8">
        <v>3.6400000000000002E-2</v>
      </c>
    </row>
    <row r="3317" spans="1:10" x14ac:dyDescent="0.25">
      <c r="A3317" s="5" t="s">
        <v>3007</v>
      </c>
      <c r="B3317" s="5" t="s">
        <v>5184</v>
      </c>
      <c r="C3317" s="6" t="str">
        <f>_xll.QS.CONTEXT.CREATE("market.3315",A3317,"USD","SOFR")</f>
        <v>QSObject:PricingContext:w1~market.3315:15622</v>
      </c>
      <c r="D3317" s="6" t="str">
        <f>_xll.QS.CONTEXT.ADD.CURVE(C3317,"SOFR",$K$2:$K$7,$L$2:$L$7,,,"Actual360","LogLinear",TRUE)</f>
        <v>QSObject:ContextInput:w1~input.qs_context_add_curve.2359132437744.3316.3.0:37217</v>
      </c>
      <c r="E3317" s="6" t="str">
        <f>_xll.QS.INSTRUMENT.SWAP("swap.3315",H3317,B3317,"USD","SOFR",I3317,J3317,0,"Actual360","Simple","Annual","Annual","Annual")</f>
        <v>QSObject:Swap:w1~swap.3315:15621</v>
      </c>
      <c r="F3317" s="6" t="str">
        <f>_xll.QS.TRADE.CREATE("trade.3315",E3317,A3317,"Receive")</f>
        <v>QSObject:SwapTrade:w1~trade.3315:28524</v>
      </c>
      <c r="G3317" s="3">
        <f>_xll.QS.EVALUATE(C3317,F3317)</f>
        <v>27570.397702376955</v>
      </c>
      <c r="H3317" s="5" t="s">
        <v>3021</v>
      </c>
      <c r="I3317" s="7">
        <v>1331500</v>
      </c>
      <c r="J3317" s="8">
        <v>3.6499999999999998E-2</v>
      </c>
    </row>
    <row r="3318" spans="1:10" x14ac:dyDescent="0.25">
      <c r="A3318" s="5" t="s">
        <v>3009</v>
      </c>
      <c r="B3318" s="5" t="s">
        <v>5185</v>
      </c>
      <c r="C3318" s="6" t="str">
        <f>_xll.QS.CONTEXT.CREATE("market.3316",A3318,"USD","SOFR")</f>
        <v>QSObject:PricingContext:w1~market.3316:15620</v>
      </c>
      <c r="D3318" s="6" t="str">
        <f>_xll.QS.CONTEXT.ADD.CURVE(C3318,"SOFR",$K$2:$K$7,$L$2:$L$7,,,"Actual360","LogLinear",TRUE)</f>
        <v>QSObject:ContextInput:w1~input.qs_context_add_curve.2359132437744.3317.3.0:37216</v>
      </c>
      <c r="E3318" s="6" t="str">
        <f>_xll.QS.INSTRUMENT.SWAP("swap.3316",H3318,B3318,"USD","SOFR",I3318,J3318,0,"Actual360","Simple","Annual","Annual","Annual")</f>
        <v>QSObject:Swap:w1~swap.3316:15619</v>
      </c>
      <c r="F3318" s="6" t="str">
        <f>_xll.QS.TRADE.CREATE("trade.3316",E3318,A3318,"Receive")</f>
        <v>QSObject:SwapTrade:w1~trade.3316:28523</v>
      </c>
      <c r="G3318" s="3">
        <f>_xll.QS.EVALUATE(C3318,F3318)</f>
        <v>28097.014728677386</v>
      </c>
      <c r="H3318" s="5" t="s">
        <v>3023</v>
      </c>
      <c r="I3318" s="7">
        <v>1331600</v>
      </c>
      <c r="J3318" s="8">
        <v>3.6600000000000001E-2</v>
      </c>
    </row>
    <row r="3319" spans="1:10" x14ac:dyDescent="0.25">
      <c r="A3319" s="5" t="s">
        <v>3011</v>
      </c>
      <c r="B3319" s="5" t="s">
        <v>5186</v>
      </c>
      <c r="C3319" s="6" t="str">
        <f>_xll.QS.CONTEXT.CREATE("market.3317",A3319,"USD","SOFR")</f>
        <v>QSObject:PricingContext:w1~market.3317:15618</v>
      </c>
      <c r="D3319" s="6" t="str">
        <f>_xll.QS.CONTEXT.ADD.CURVE(C3319,"SOFR",$K$2:$K$7,$L$2:$L$7,,,"Actual360","LogLinear",TRUE)</f>
        <v>QSObject:ContextInput:w1~input.qs_context_add_curve.2359132437744.3318.3.0:37215</v>
      </c>
      <c r="E3319" s="6" t="str">
        <f>_xll.QS.INSTRUMENT.SWAP("swap.3317",H3319,B3319,"USD","SOFR",I3319,J3319,0,"Actual360","Simple","Annual","Annual","Annual")</f>
        <v>QSObject:Swap:w1~swap.3317:15617</v>
      </c>
      <c r="F3319" s="6" t="str">
        <f>_xll.QS.TRADE.CREATE("trade.3317",E3319,A3319,"Receive")</f>
        <v>QSObject:SwapTrade:w1~trade.3317:28522</v>
      </c>
      <c r="G3319" s="3">
        <f>_xll.QS.EVALUATE(C3319,F3319)</f>
        <v>28605.861666370001</v>
      </c>
      <c r="H3319" s="5" t="s">
        <v>3025</v>
      </c>
      <c r="I3319" s="7">
        <v>1331700</v>
      </c>
      <c r="J3319" s="8">
        <v>3.6700000000000003E-2</v>
      </c>
    </row>
    <row r="3320" spans="1:10" x14ac:dyDescent="0.25">
      <c r="A3320" s="5" t="s">
        <v>3013</v>
      </c>
      <c r="B3320" s="5" t="s">
        <v>5187</v>
      </c>
      <c r="C3320" s="6" t="str">
        <f>_xll.QS.CONTEXT.CREATE("market.3318",A3320,"USD","SOFR")</f>
        <v>QSObject:PricingContext:w1~market.3318:15616</v>
      </c>
      <c r="D3320" s="6" t="str">
        <f>_xll.QS.CONTEXT.ADD.CURVE(C3320,"SOFR",$K$2:$K$7,$L$2:$L$7,,,"Actual360","LogLinear",TRUE)</f>
        <v>QSObject:ContextInput:w1~input.qs_context_add_curve.2359132437744.3319.3.0:37214</v>
      </c>
      <c r="E3320" s="6" t="str">
        <f>_xll.QS.INSTRUMENT.SWAP("swap.3318",H3320,B3320,"USD","SOFR",I3320,J3320,0,"Actual360","Simple","Annual","Annual","Annual")</f>
        <v>QSObject:Swap:w1~swap.3318:15615</v>
      </c>
      <c r="F3320" s="6" t="str">
        <f>_xll.QS.TRADE.CREATE("trade.3318",E3320,A3320,"Receive")</f>
        <v>QSObject:SwapTrade:w1~trade.3318:28521</v>
      </c>
      <c r="G3320" s="3">
        <f>_xll.QS.EVALUATE(C3320,F3320)</f>
        <v>29278.672884831612</v>
      </c>
      <c r="H3320" s="5" t="s">
        <v>3027</v>
      </c>
      <c r="I3320" s="7">
        <v>1331800</v>
      </c>
      <c r="J3320" s="8">
        <v>3.6800000000000013E-2</v>
      </c>
    </row>
    <row r="3321" spans="1:10" x14ac:dyDescent="0.25">
      <c r="A3321" s="5" t="s">
        <v>3015</v>
      </c>
      <c r="B3321" s="5" t="s">
        <v>5188</v>
      </c>
      <c r="C3321" s="6" t="str">
        <f>_xll.QS.CONTEXT.CREATE("market.3319",A3321,"USD","SOFR")</f>
        <v>QSObject:PricingContext:w1~market.3319:15614</v>
      </c>
      <c r="D3321" s="6" t="str">
        <f>_xll.QS.CONTEXT.ADD.CURVE(C3321,"SOFR",$K$2:$K$7,$L$2:$L$7,,,"Actual360","LogLinear",TRUE)</f>
        <v>QSObject:ContextInput:w1~input.qs_context_add_curve.2359132437744.3320.3.0:37213</v>
      </c>
      <c r="E3321" s="6" t="str">
        <f>_xll.QS.INSTRUMENT.SWAP("swap.3319",H3321,B3321,"USD","SOFR",I3321,J3321,0,"Actual360","Simple","Annual","Annual","Annual")</f>
        <v>QSObject:Swap:w1~swap.3319:15613</v>
      </c>
      <c r="F3321" s="6" t="str">
        <f>_xll.QS.TRADE.CREATE("trade.3319",E3321,A3321,"Receive")</f>
        <v>QSObject:SwapTrade:w1~trade.3319:28520</v>
      </c>
      <c r="G3321" s="3">
        <f>_xll.QS.EVALUATE(C3321,F3321)</f>
        <v>29930.804779712329</v>
      </c>
      <c r="H3321" s="5" t="s">
        <v>3029</v>
      </c>
      <c r="I3321" s="7">
        <v>1331900</v>
      </c>
      <c r="J3321" s="8">
        <v>3.6900000000000002E-2</v>
      </c>
    </row>
    <row r="3322" spans="1:10" x14ac:dyDescent="0.25">
      <c r="A3322" s="5" t="s">
        <v>3017</v>
      </c>
      <c r="B3322" s="5" t="s">
        <v>5189</v>
      </c>
      <c r="C3322" s="6" t="str">
        <f>_xll.QS.CONTEXT.CREATE("market.3320",A3322,"USD","SOFR")</f>
        <v>QSObject:PricingContext:w1~market.3320:15612</v>
      </c>
      <c r="D3322" s="6" t="str">
        <f>_xll.QS.CONTEXT.ADD.CURVE(C3322,"SOFR",$K$2:$K$7,$L$2:$L$7,,,"Actual360","LogLinear",TRUE)</f>
        <v>QSObject:ContextInput:w1~input.qs_context_add_curve.2359132437744.3321.3.0:37212</v>
      </c>
      <c r="E3322" s="6" t="str">
        <f>_xll.QS.INSTRUMENT.SWAP("swap.3320",H3322,B3322,"USD","SOFR",I3322,J3322,0,"Actual360","Simple","Annual","Annual","Annual")</f>
        <v>QSObject:Swap:w1~swap.3320:15611</v>
      </c>
      <c r="F3322" s="6" t="str">
        <f>_xll.QS.TRADE.CREATE("trade.3320",E3322,A3322,"Receive")</f>
        <v>QSObject:SwapTrade:w1~trade.3320:28519</v>
      </c>
      <c r="G3322" s="3">
        <f>_xll.QS.EVALUATE(C3322,F3322)</f>
        <v>30644.586264432961</v>
      </c>
      <c r="H3322" s="5" t="s">
        <v>3031</v>
      </c>
      <c r="I3322" s="7">
        <v>1332000</v>
      </c>
      <c r="J3322" s="8">
        <v>3.7000000000000012E-2</v>
      </c>
    </row>
    <row r="3323" spans="1:10" x14ac:dyDescent="0.25">
      <c r="A3323" s="5" t="s">
        <v>3019</v>
      </c>
      <c r="B3323" s="5" t="s">
        <v>5190</v>
      </c>
      <c r="C3323" s="6" t="str">
        <f>_xll.QS.CONTEXT.CREATE("market.3321",A3323,"USD","SOFR")</f>
        <v>QSObject:PricingContext:w1~market.3321:15610</v>
      </c>
      <c r="D3323" s="6" t="str">
        <f>_xll.QS.CONTEXT.ADD.CURVE(C3323,"SOFR",$K$2:$K$7,$L$2:$L$7,,,"Actual360","LogLinear",TRUE)</f>
        <v>QSObject:ContextInput:w1~input.qs_context_add_curve.2359132437744.3322.3.0:37211</v>
      </c>
      <c r="E3323" s="6" t="str">
        <f>_xll.QS.INSTRUMENT.SWAP("swap.3321",H3323,B3323,"USD","SOFR",I3323,J3323,0,"Actual360","Simple","Annual","Annual","Annual")</f>
        <v>QSObject:Swap:w1~swap.3321:15609</v>
      </c>
      <c r="F3323" s="6" t="str">
        <f>_xll.QS.TRADE.CREATE("trade.3321",E3323,A3323,"Receive")</f>
        <v>QSObject:SwapTrade:w1~trade.3321:28518</v>
      </c>
      <c r="G3323" s="3">
        <f>_xll.QS.EVALUATE(C3323,F3323)</f>
        <v>31319.094696659587</v>
      </c>
      <c r="H3323" s="5" t="s">
        <v>3033</v>
      </c>
      <c r="I3323" s="7">
        <v>1332100</v>
      </c>
      <c r="J3323" s="8">
        <v>3.7100000000000001E-2</v>
      </c>
    </row>
    <row r="3324" spans="1:10" x14ac:dyDescent="0.25">
      <c r="A3324" s="5" t="s">
        <v>3021</v>
      </c>
      <c r="B3324" s="5" t="s">
        <v>5191</v>
      </c>
      <c r="C3324" s="6" t="str">
        <f>_xll.QS.CONTEXT.CREATE("market.3322",A3324,"USD","SOFR")</f>
        <v>QSObject:PricingContext:w1~market.3322:15608</v>
      </c>
      <c r="D3324" s="6" t="str">
        <f>_xll.QS.CONTEXT.ADD.CURVE(C3324,"SOFR",$K$2:$K$7,$L$2:$L$7,,,"Actual360","LogLinear",TRUE)</f>
        <v>QSObject:ContextInput:w1~input.qs_context_add_curve.2359132437744.3323.3.0:37210</v>
      </c>
      <c r="E3324" s="6" t="str">
        <f>_xll.QS.INSTRUMENT.SWAP("swap.3322",H3324,B3324,"USD","SOFR",I3324,J3324,0,"Actual360","Simple","Annual","Annual","Annual")</f>
        <v>QSObject:Swap:w1~swap.3322:15607</v>
      </c>
      <c r="F3324" s="6" t="str">
        <f>_xll.QS.TRADE.CREATE("trade.3322",E3324,A3324,"Receive")</f>
        <v>QSObject:SwapTrade:w1~trade.3322:28517</v>
      </c>
      <c r="G3324" s="3">
        <f>_xll.QS.EVALUATE(C3324,F3324)</f>
        <v>31885.203758727504</v>
      </c>
      <c r="H3324" s="5" t="s">
        <v>3035</v>
      </c>
      <c r="I3324" s="7">
        <v>1332200</v>
      </c>
      <c r="J3324" s="8">
        <v>3.7199999999999997E-2</v>
      </c>
    </row>
    <row r="3325" spans="1:10" x14ac:dyDescent="0.25">
      <c r="A3325" s="5" t="s">
        <v>3023</v>
      </c>
      <c r="B3325" s="5" t="s">
        <v>5192</v>
      </c>
      <c r="C3325" s="6" t="str">
        <f>_xll.QS.CONTEXT.CREATE("market.3323",A3325,"USD","SOFR")</f>
        <v>QSObject:PricingContext:w1~market.3323:15606</v>
      </c>
      <c r="D3325" s="6" t="str">
        <f>_xll.QS.CONTEXT.ADD.CURVE(C3325,"SOFR",$K$2:$K$7,$L$2:$L$7,,,"Actual360","LogLinear",TRUE)</f>
        <v>QSObject:ContextInput:w1~input.qs_context_add_curve.2359132437744.3324.3.0:37209</v>
      </c>
      <c r="E3325" s="6" t="str">
        <f>_xll.QS.INSTRUMENT.SWAP("swap.3323",H3325,B3325,"USD","SOFR",I3325,J3325,0,"Actual360","Simple","Annual","Annual","Annual")</f>
        <v>QSObject:Swap:w1~swap.3323:15605</v>
      </c>
      <c r="F3325" s="6" t="str">
        <f>_xll.QS.TRADE.CREATE("trade.3323",E3325,A3325,"Receive")</f>
        <v>QSObject:SwapTrade:w1~trade.3323:28516</v>
      </c>
      <c r="G3325" s="3">
        <f>_xll.QS.EVALUATE(C3325,F3325)</f>
        <v>32386.478378063744</v>
      </c>
      <c r="H3325" s="5" t="s">
        <v>3037</v>
      </c>
      <c r="I3325" s="7">
        <v>1332300</v>
      </c>
      <c r="J3325" s="8">
        <v>3.73E-2</v>
      </c>
    </row>
    <row r="3326" spans="1:10" x14ac:dyDescent="0.25">
      <c r="A3326" s="5" t="s">
        <v>3025</v>
      </c>
      <c r="B3326" s="5" t="s">
        <v>5193</v>
      </c>
      <c r="C3326" s="6" t="str">
        <f>_xll.QS.CONTEXT.CREATE("market.3324",A3326,"USD","SOFR")</f>
        <v>QSObject:PricingContext:w1~market.3324:15604</v>
      </c>
      <c r="D3326" s="6" t="str">
        <f>_xll.QS.CONTEXT.ADD.CURVE(C3326,"SOFR",$K$2:$K$7,$L$2:$L$7,,,"Actual360","LogLinear",TRUE)</f>
        <v>QSObject:ContextInput:w1~input.qs_context_add_curve.2359132437744.3325.3.0:37208</v>
      </c>
      <c r="E3326" s="6" t="str">
        <f>_xll.QS.INSTRUMENT.SWAP("swap.3324",H3326,B3326,"USD","SOFR",I3326,J3326,0,"Actual360","Simple","Annual","Annual","Annual")</f>
        <v>QSObject:Swap:w1~swap.3324:15603</v>
      </c>
      <c r="F3326" s="6" t="str">
        <f>_xll.QS.TRADE.CREATE("trade.3324",E3326,A3326,"Receive")</f>
        <v>QSObject:SwapTrade:w1~trade.3324:28515</v>
      </c>
      <c r="G3326" s="3">
        <f>_xll.QS.EVALUATE(C3326,F3326)</f>
        <v>32867.986125223972</v>
      </c>
      <c r="H3326" s="5" t="s">
        <v>3039</v>
      </c>
      <c r="I3326" s="7">
        <v>1332400</v>
      </c>
      <c r="J3326" s="8">
        <v>3.7400000000000003E-2</v>
      </c>
    </row>
    <row r="3327" spans="1:10" x14ac:dyDescent="0.25">
      <c r="A3327" s="5" t="s">
        <v>3027</v>
      </c>
      <c r="B3327" s="5" t="s">
        <v>5194</v>
      </c>
      <c r="C3327" s="6" t="str">
        <f>_xll.QS.CONTEXT.CREATE("market.3325",A3327,"USD","SOFR")</f>
        <v>QSObject:PricingContext:w1~market.3325:15602</v>
      </c>
      <c r="D3327" s="6" t="str">
        <f>_xll.QS.CONTEXT.ADD.CURVE(C3327,"SOFR",$K$2:$K$7,$L$2:$L$7,,,"Actual360","LogLinear",TRUE)</f>
        <v>QSObject:ContextInput:w1~input.qs_context_add_curve.2359132437744.3326.3.0:37207</v>
      </c>
      <c r="E3327" s="6" t="str">
        <f>_xll.QS.INSTRUMENT.SWAP("swap.3325",H3327,B3327,"USD","SOFR",I3327,J3327,0,"Actual360","Simple","Annual","Annual","Annual")</f>
        <v>QSObject:Swap:w1~swap.3325:15601</v>
      </c>
      <c r="F3327" s="6" t="str">
        <f>_xll.QS.TRADE.CREATE("trade.3325",E3327,A3327,"Receive")</f>
        <v>QSObject:SwapTrade:w1~trade.3325:28514</v>
      </c>
      <c r="G3327" s="3">
        <f>_xll.QS.EVALUATE(C3327,F3327)</f>
        <v>33541.822527848191</v>
      </c>
      <c r="H3327" s="5" t="s">
        <v>3041</v>
      </c>
      <c r="I3327" s="7">
        <v>1332500</v>
      </c>
      <c r="J3327" s="8">
        <v>3.7500000000000012E-2</v>
      </c>
    </row>
    <row r="3328" spans="1:10" x14ac:dyDescent="0.25">
      <c r="A3328" s="5" t="s">
        <v>3029</v>
      </c>
      <c r="B3328" s="5" t="s">
        <v>5195</v>
      </c>
      <c r="C3328" s="6" t="str">
        <f>_xll.QS.CONTEXT.CREATE("market.3326",A3328,"USD","SOFR")</f>
        <v>QSObject:PricingContext:w1~market.3326:15600</v>
      </c>
      <c r="D3328" s="6" t="str">
        <f>_xll.QS.CONTEXT.ADD.CURVE(C3328,"SOFR",$K$2:$K$7,$L$2:$L$7,,,"Actual360","LogLinear",TRUE)</f>
        <v>QSObject:ContextInput:w1~input.qs_context_add_curve.2359132437744.3327.3.0:37206</v>
      </c>
      <c r="E3328" s="6" t="str">
        <f>_xll.QS.INSTRUMENT.SWAP("swap.3326",H3328,B3328,"USD","SOFR",I3328,J3328,0,"Actual360","Simple","Annual","Annual","Annual")</f>
        <v>QSObject:Swap:w1~swap.3326:15599</v>
      </c>
      <c r="F3328" s="6" t="str">
        <f>_xll.QS.TRADE.CREATE("trade.3326",E3328,A3328,"Receive")</f>
        <v>QSObject:SwapTrade:w1~trade.3326:28513</v>
      </c>
      <c r="G3328" s="3">
        <f>_xll.QS.EVALUATE(C3328,F3328)</f>
        <v>34214.324075944642</v>
      </c>
      <c r="H3328" s="5" t="s">
        <v>3043</v>
      </c>
      <c r="I3328" s="7">
        <v>1332600</v>
      </c>
      <c r="J3328" s="8">
        <v>3.7600000000000001E-2</v>
      </c>
    </row>
    <row r="3329" spans="1:10" x14ac:dyDescent="0.25">
      <c r="A3329" s="5" t="s">
        <v>3031</v>
      </c>
      <c r="B3329" s="5" t="s">
        <v>5196</v>
      </c>
      <c r="C3329" s="6" t="str">
        <f>_xll.QS.CONTEXT.CREATE("market.3327",A3329,"USD","SOFR")</f>
        <v>QSObject:PricingContext:w1~market.3327:15598</v>
      </c>
      <c r="D3329" s="6" t="str">
        <f>_xll.QS.CONTEXT.ADD.CURVE(C3329,"SOFR",$K$2:$K$7,$L$2:$L$7,,,"Actual360","LogLinear",TRUE)</f>
        <v>QSObject:ContextInput:w1~input.qs_context_add_curve.2359132437744.3328.3.0:37205</v>
      </c>
      <c r="E3329" s="6" t="str">
        <f>_xll.QS.INSTRUMENT.SWAP("swap.3327",H3329,B3329,"USD","SOFR",I3329,J3329,0,"Actual360","Simple","Annual","Annual","Annual")</f>
        <v>QSObject:Swap:w1~swap.3327:15597</v>
      </c>
      <c r="F3329" s="6" t="str">
        <f>_xll.QS.TRADE.CREATE("trade.3327",E3329,A3329,"Receive")</f>
        <v>QSObject:SwapTrade:w1~trade.3327:28512</v>
      </c>
      <c r="G3329" s="3">
        <f>_xll.QS.EVALUATE(C3329,F3329)</f>
        <v>35011.528602420593</v>
      </c>
      <c r="H3329" s="5" t="s">
        <v>3045</v>
      </c>
      <c r="I3329" s="7">
        <v>1332700</v>
      </c>
      <c r="J3329" s="8">
        <v>3.7699999999999997E-2</v>
      </c>
    </row>
    <row r="3330" spans="1:10" x14ac:dyDescent="0.25">
      <c r="A3330" s="5" t="s">
        <v>3033</v>
      </c>
      <c r="B3330" s="5" t="s">
        <v>5197</v>
      </c>
      <c r="C3330" s="6" t="str">
        <f>_xll.QS.CONTEXT.CREATE("market.3328",A3330,"USD","SOFR")</f>
        <v>QSObject:PricingContext:w1~market.3328:15596</v>
      </c>
      <c r="D3330" s="6" t="str">
        <f>_xll.QS.CONTEXT.ADD.CURVE(C3330,"SOFR",$K$2:$K$7,$L$2:$L$7,,,"Actual360","LogLinear",TRUE)</f>
        <v>QSObject:ContextInput:w1~input.qs_context_add_curve.2359132437744.3329.3.0:37204</v>
      </c>
      <c r="E3330" s="6" t="str">
        <f>_xll.QS.INSTRUMENT.SWAP("swap.3328",H3330,B3330,"USD","SOFR",I3330,J3330,0,"Actual360","Simple","Annual","Annual","Annual")</f>
        <v>QSObject:Swap:w1~swap.3328:15595</v>
      </c>
      <c r="F3330" s="6" t="str">
        <f>_xll.QS.TRADE.CREATE("trade.3328",E3330,A3330,"Receive")</f>
        <v>QSObject:SwapTrade:w1~trade.3328:28511</v>
      </c>
      <c r="G3330" s="3">
        <f>_xll.QS.EVALUATE(C3330,F3330)</f>
        <v>35641.535342891417</v>
      </c>
      <c r="H3330" s="5" t="s">
        <v>3047</v>
      </c>
      <c r="I3330" s="7">
        <v>1332800</v>
      </c>
      <c r="J3330" s="8">
        <v>3.78E-2</v>
      </c>
    </row>
    <row r="3331" spans="1:10" x14ac:dyDescent="0.25">
      <c r="A3331" s="5" t="s">
        <v>3035</v>
      </c>
      <c r="B3331" s="5" t="s">
        <v>5198</v>
      </c>
      <c r="C3331" s="6" t="str">
        <f>_xll.QS.CONTEXT.CREATE("market.3329",A3331,"USD","SOFR")</f>
        <v>QSObject:PricingContext:w1~market.3329:15594</v>
      </c>
      <c r="D3331" s="6" t="str">
        <f>_xll.QS.CONTEXT.ADD.CURVE(C3331,"SOFR",$K$2:$K$7,$L$2:$L$7,,,"Actual360","LogLinear",TRUE)</f>
        <v>QSObject:ContextInput:w1~input.qs_context_add_curve.2359132437744.3330.3.0:37203</v>
      </c>
      <c r="E3331" s="6" t="str">
        <f>_xll.QS.INSTRUMENT.SWAP("swap.3329",H3331,B3331,"USD","SOFR",I3331,J3331,0,"Actual360","Simple","Annual","Annual","Annual")</f>
        <v>QSObject:Swap:w1~swap.3329:15593</v>
      </c>
      <c r="F3331" s="6" t="str">
        <f>_xll.QS.TRADE.CREATE("trade.3329",E3331,A3331,"Receive")</f>
        <v>QSObject:SwapTrade:w1~trade.3329:28510</v>
      </c>
      <c r="G3331" s="3">
        <f>_xll.QS.EVALUATE(C3331,F3331)</f>
        <v>36259.395144507493</v>
      </c>
      <c r="H3331" s="5" t="s">
        <v>3049</v>
      </c>
      <c r="I3331" s="7">
        <v>1332900</v>
      </c>
      <c r="J3331" s="8">
        <v>3.7900000000000003E-2</v>
      </c>
    </row>
    <row r="3332" spans="1:10" x14ac:dyDescent="0.25">
      <c r="A3332" s="5" t="s">
        <v>3037</v>
      </c>
      <c r="B3332" s="5" t="s">
        <v>5199</v>
      </c>
      <c r="C3332" s="6" t="str">
        <f>_xll.QS.CONTEXT.CREATE("market.3330",A3332,"USD","SOFR")</f>
        <v>QSObject:PricingContext:w1~market.3330:15592</v>
      </c>
      <c r="D3332" s="6" t="str">
        <f>_xll.QS.CONTEXT.ADD.CURVE(C3332,"SOFR",$K$2:$K$7,$L$2:$L$7,,,"Actual360","LogLinear",TRUE)</f>
        <v>QSObject:ContextInput:w1~input.qs_context_add_curve.2359132437744.3331.3.0:37202</v>
      </c>
      <c r="E3332" s="6" t="str">
        <f>_xll.QS.INSTRUMENT.SWAP("swap.3330",H3332,B3332,"USD","SOFR",I3332,J3332,0,"Actual360","Simple","Annual","Annual","Annual")</f>
        <v>QSObject:Swap:w1~swap.3330:15591</v>
      </c>
      <c r="F3332" s="6" t="str">
        <f>_xll.QS.TRADE.CREATE("trade.3330",E3332,A3332,"Receive")</f>
        <v>QSObject:SwapTrade:w1~trade.3330:28509</v>
      </c>
      <c r="G3332" s="3">
        <f>_xll.QS.EVALUATE(C3332,F3332)</f>
        <v>36777.309559584151</v>
      </c>
      <c r="H3332" s="5" t="s">
        <v>3051</v>
      </c>
      <c r="I3332" s="7">
        <v>1333000</v>
      </c>
      <c r="J3332" s="8">
        <v>3.8000000000000013E-2</v>
      </c>
    </row>
    <row r="3333" spans="1:10" x14ac:dyDescent="0.25">
      <c r="A3333" s="5" t="s">
        <v>3039</v>
      </c>
      <c r="B3333" s="5" t="s">
        <v>5200</v>
      </c>
      <c r="C3333" s="6" t="str">
        <f>_xll.QS.CONTEXT.CREATE("market.3331",A3333,"USD","SOFR")</f>
        <v>QSObject:PricingContext:w1~market.3331:15590</v>
      </c>
      <c r="D3333" s="6" t="str">
        <f>_xll.QS.CONTEXT.ADD.CURVE(C3333,"SOFR",$K$2:$K$7,$L$2:$L$7,,,"Actual360","LogLinear",TRUE)</f>
        <v>QSObject:ContextInput:w1~input.qs_context_add_curve.2359132437744.3332.3.0:37201</v>
      </c>
      <c r="E3333" s="6" t="str">
        <f>_xll.QS.INSTRUMENT.SWAP("swap.3331",H3333,B3333,"USD","SOFR",I3333,J3333,0,"Actual360","Simple","Annual","Annual","Annual")</f>
        <v>QSObject:Swap:w1~swap.3331:15589</v>
      </c>
      <c r="F3333" s="6" t="str">
        <f>_xll.QS.TRADE.CREATE("trade.3331",E3333,A3333,"Receive")</f>
        <v>QSObject:SwapTrade:w1~trade.3331:28508</v>
      </c>
      <c r="G3333" s="3">
        <f>_xll.QS.EVALUATE(C3333,F3333)</f>
        <v>37300.561698886937</v>
      </c>
      <c r="H3333" s="5" t="s">
        <v>3053</v>
      </c>
      <c r="I3333" s="7">
        <v>1333100</v>
      </c>
      <c r="J3333" s="8">
        <v>3.8100000000000002E-2</v>
      </c>
    </row>
    <row r="3334" spans="1:10" x14ac:dyDescent="0.25">
      <c r="A3334" s="5" t="s">
        <v>3041</v>
      </c>
      <c r="B3334" s="5" t="s">
        <v>5201</v>
      </c>
      <c r="C3334" s="6" t="str">
        <f>_xll.QS.CONTEXT.CREATE("market.3332",A3334,"USD","SOFR")</f>
        <v>QSObject:PricingContext:w1~market.3332:15588</v>
      </c>
      <c r="D3334" s="6" t="str">
        <f>_xll.QS.CONTEXT.ADD.CURVE(C3334,"SOFR",$K$2:$K$7,$L$2:$L$7,,,"Actual360","LogLinear",TRUE)</f>
        <v>QSObject:ContextInput:w1~input.qs_context_add_curve.2359132437744.3333.3.0:37200</v>
      </c>
      <c r="E3334" s="6" t="str">
        <f>_xll.QS.INSTRUMENT.SWAP("swap.3332",H3334,B3334,"USD","SOFR",I3334,J3334,0,"Actual360","Simple","Annual","Annual","Annual")</f>
        <v>QSObject:Swap:w1~swap.3332:15587</v>
      </c>
      <c r="F3334" s="6" t="str">
        <f>_xll.QS.TRADE.CREATE("trade.3332",E3334,A3334,"Receive")</f>
        <v>QSObject:SwapTrade:w1~trade.3332:28507</v>
      </c>
      <c r="G3334" s="3">
        <f>_xll.QS.EVALUATE(C3334,F3334)</f>
        <v>37921.199093482537</v>
      </c>
      <c r="H3334" s="5" t="s">
        <v>3055</v>
      </c>
      <c r="I3334" s="7">
        <v>1333200</v>
      </c>
      <c r="J3334" s="8">
        <v>3.8199999999999998E-2</v>
      </c>
    </row>
    <row r="3335" spans="1:10" x14ac:dyDescent="0.25">
      <c r="A3335" s="5" t="s">
        <v>3043</v>
      </c>
      <c r="B3335" s="5" t="s">
        <v>5202</v>
      </c>
      <c r="C3335" s="6" t="str">
        <f>_xll.QS.CONTEXT.CREATE("market.3333",A3335,"USD","SOFR")</f>
        <v>QSObject:PricingContext:w1~market.3333:15586</v>
      </c>
      <c r="D3335" s="6" t="str">
        <f>_xll.QS.CONTEXT.ADD.CURVE(C3335,"SOFR",$K$2:$K$7,$L$2:$L$7,,,"Actual360","LogLinear",TRUE)</f>
        <v>QSObject:ContextInput:w1~input.qs_context_add_curve.2359132437744.3334.3.0:37199</v>
      </c>
      <c r="E3335" s="6" t="str">
        <f>_xll.QS.INSTRUMENT.SWAP("swap.3333",H3335,B3335,"USD","SOFR",I3335,J3335,0,"Actual360","Simple","Annual","Annual","Annual")</f>
        <v>QSObject:Swap:w1~swap.3333:15585</v>
      </c>
      <c r="F3335" s="6" t="str">
        <f>_xll.QS.TRADE.CREATE("trade.3333",E3335,A3335,"Receive")</f>
        <v>QSObject:SwapTrade:w1~trade.3333:28506</v>
      </c>
      <c r="G3335" s="3">
        <f>_xll.QS.EVALUATE(C3335,F3335)</f>
        <v>38570.385608629913</v>
      </c>
      <c r="H3335" s="5" t="s">
        <v>3057</v>
      </c>
      <c r="I3335" s="7">
        <v>1333300</v>
      </c>
      <c r="J3335" s="8">
        <v>3.8300000000000001E-2</v>
      </c>
    </row>
    <row r="3336" spans="1:10" x14ac:dyDescent="0.25">
      <c r="A3336" s="5" t="s">
        <v>3045</v>
      </c>
      <c r="B3336" s="5" t="s">
        <v>5203</v>
      </c>
      <c r="C3336" s="6" t="str">
        <f>_xll.QS.CONTEXT.CREATE("market.3334",A3336,"USD","SOFR")</f>
        <v>QSObject:PricingContext:w1~market.3334:15584</v>
      </c>
      <c r="D3336" s="6" t="str">
        <f>_xll.QS.CONTEXT.ADD.CURVE(C3336,"SOFR",$K$2:$K$7,$L$2:$L$7,,,"Actual360","LogLinear",TRUE)</f>
        <v>QSObject:ContextInput:w1~input.qs_context_add_curve.2359132437744.3335.3.0:37198</v>
      </c>
      <c r="E3336" s="6" t="str">
        <f>_xll.QS.INSTRUMENT.SWAP("swap.3334",H3336,B3336,"USD","SOFR",I3336,J3336,0,"Actual360","Simple","Annual","Annual","Annual")</f>
        <v>QSObject:Swap:w1~swap.3334:15583</v>
      </c>
      <c r="F3336" s="6" t="str">
        <f>_xll.QS.TRADE.CREATE("trade.3334",E3336,A3336,"Receive")</f>
        <v>QSObject:SwapTrade:w1~trade.3334:28505</v>
      </c>
      <c r="G3336" s="3">
        <f>_xll.QS.EVALUATE(C3336,F3336)</f>
        <v>39285.333813882869</v>
      </c>
      <c r="H3336" s="5" t="s">
        <v>3059</v>
      </c>
      <c r="I3336" s="7">
        <v>1333400</v>
      </c>
      <c r="J3336" s="8">
        <v>3.8399999999999997E-2</v>
      </c>
    </row>
    <row r="3337" spans="1:10" x14ac:dyDescent="0.25">
      <c r="A3337" s="5" t="s">
        <v>3047</v>
      </c>
      <c r="B3337" s="5" t="s">
        <v>5204</v>
      </c>
      <c r="C3337" s="6" t="str">
        <f>_xll.QS.CONTEXT.CREATE("market.3335",A3337,"USD","SOFR")</f>
        <v>QSObject:PricingContext:w1~market.3335:15582</v>
      </c>
      <c r="D3337" s="6" t="str">
        <f>_xll.QS.CONTEXT.ADD.CURVE(C3337,"SOFR",$K$2:$K$7,$L$2:$L$7,,,"Actual360","LogLinear",TRUE)</f>
        <v>QSObject:ContextInput:w1~input.qs_context_add_curve.2359132437744.3336.3.0:37197</v>
      </c>
      <c r="E3337" s="6" t="str">
        <f>_xll.QS.INSTRUMENT.SWAP("swap.3335",H3337,B3337,"USD","SOFR",I3337,J3337,0,"Actual360","Simple","Annual","Annual","Annual")</f>
        <v>QSObject:Swap:w1~swap.3335:15581</v>
      </c>
      <c r="F3337" s="6" t="str">
        <f>_xll.QS.TRADE.CREATE("trade.3335",E3337,A3337,"Receive")</f>
        <v>QSObject:SwapTrade:w1~trade.3335:28504</v>
      </c>
      <c r="G3337" s="3">
        <f>_xll.QS.EVALUATE(C3337,F3337)</f>
        <v>39961.095670800751</v>
      </c>
      <c r="H3337" s="5" t="s">
        <v>3061</v>
      </c>
      <c r="I3337" s="7">
        <v>1333500</v>
      </c>
      <c r="J3337" s="8">
        <v>3.8500000000000013E-2</v>
      </c>
    </row>
    <row r="3338" spans="1:10" x14ac:dyDescent="0.25">
      <c r="A3338" s="5" t="s">
        <v>3049</v>
      </c>
      <c r="B3338" s="5" t="s">
        <v>5205</v>
      </c>
      <c r="C3338" s="6" t="str">
        <f>_xll.QS.CONTEXT.CREATE("market.3336",A3338,"USD","SOFR")</f>
        <v>QSObject:PricingContext:w1~market.3336:15580</v>
      </c>
      <c r="D3338" s="6" t="str">
        <f>_xll.QS.CONTEXT.ADD.CURVE(C3338,"SOFR",$K$2:$K$7,$L$2:$L$7,,,"Actual360","LogLinear",TRUE)</f>
        <v>QSObject:ContextInput:w1~input.qs_context_add_curve.2359132437744.3337.3.0:37196</v>
      </c>
      <c r="E3338" s="6" t="str">
        <f>_xll.QS.INSTRUMENT.SWAP("swap.3336",H3338,B3338,"USD","SOFR",I3338,J3338,0,"Actual360","Simple","Annual","Annual","Annual")</f>
        <v>QSObject:Swap:w1~swap.3336:15579</v>
      </c>
      <c r="F3338" s="6" t="str">
        <f>_xll.QS.TRADE.CREATE("trade.3336",E3338,A3338,"Receive")</f>
        <v>QSObject:SwapTrade:w1~trade.3336:28503</v>
      </c>
      <c r="G3338" s="3">
        <f>_xll.QS.EVALUATE(C3338,F3338)</f>
        <v>40528.373377062329</v>
      </c>
      <c r="H3338" s="5" t="s">
        <v>3063</v>
      </c>
      <c r="I3338" s="7">
        <v>1333600</v>
      </c>
      <c r="J3338" s="8">
        <v>3.8600000000000002E-2</v>
      </c>
    </row>
    <row r="3339" spans="1:10" x14ac:dyDescent="0.25">
      <c r="A3339" s="5" t="s">
        <v>3051</v>
      </c>
      <c r="B3339" s="5" t="s">
        <v>5206</v>
      </c>
      <c r="C3339" s="6" t="str">
        <f>_xll.QS.CONTEXT.CREATE("market.3337",A3339,"USD","SOFR")</f>
        <v>QSObject:PricingContext:w1~market.3337:15578</v>
      </c>
      <c r="D3339" s="6" t="str">
        <f>_xll.QS.CONTEXT.ADD.CURVE(C3339,"SOFR",$K$2:$K$7,$L$2:$L$7,,,"Actual360","LogLinear",TRUE)</f>
        <v>QSObject:ContextInput:w1~input.qs_context_add_curve.2359132437744.3338.3.0:37195</v>
      </c>
      <c r="E3339" s="6" t="str">
        <f>_xll.QS.INSTRUMENT.SWAP("swap.3337",H3339,B3339,"USD","SOFR",I3339,J3339,0,"Actual360","Simple","Annual","Annual","Annual")</f>
        <v>QSObject:Swap:w1~swap.3337:15577</v>
      </c>
      <c r="F3339" s="6" t="str">
        <f>_xll.QS.TRADE.CREATE("trade.3337",E3339,A3339,"Receive")</f>
        <v>QSObject:SwapTrade:w1~trade.3337:28502</v>
      </c>
      <c r="G3339" s="3">
        <f>_xll.QS.EVALUATE(C3339,F3339)</f>
        <v>41119.267484756645</v>
      </c>
      <c r="H3339" s="5" t="s">
        <v>3065</v>
      </c>
      <c r="I3339" s="7">
        <v>1333700</v>
      </c>
      <c r="J3339" s="8">
        <v>3.8700000000000012E-2</v>
      </c>
    </row>
    <row r="3340" spans="1:10" x14ac:dyDescent="0.25">
      <c r="A3340" s="5" t="s">
        <v>3053</v>
      </c>
      <c r="B3340" s="5" t="s">
        <v>5207</v>
      </c>
      <c r="C3340" s="6" t="str">
        <f>_xll.QS.CONTEXT.CREATE("market.3338",A3340,"USD","SOFR")</f>
        <v>QSObject:PricingContext:w1~market.3338:15576</v>
      </c>
      <c r="D3340" s="6" t="str">
        <f>_xll.QS.CONTEXT.ADD.CURVE(C3340,"SOFR",$K$2:$K$7,$L$2:$L$7,,,"Actual360","LogLinear",TRUE)</f>
        <v>QSObject:ContextInput:w1~input.qs_context_add_curve.2359132437744.3339.3.0:37194</v>
      </c>
      <c r="E3340" s="6" t="str">
        <f>_xll.QS.INSTRUMENT.SWAP("swap.3338",H3340,B3340,"USD","SOFR",I3340,J3340,0,"Actual360","Simple","Annual","Annual","Annual")</f>
        <v>QSObject:Swap:w1~swap.3338:15575</v>
      </c>
      <c r="F3340" s="6" t="str">
        <f>_xll.QS.TRADE.CREATE("trade.3338",E3340,A3340,"Receive")</f>
        <v>QSObject:SwapTrade:w1~trade.3338:28501</v>
      </c>
      <c r="G3340" s="3">
        <f>_xll.QS.EVALUATE(C3340,F3340)</f>
        <v>41741.111028770341</v>
      </c>
      <c r="H3340" s="5" t="s">
        <v>3067</v>
      </c>
      <c r="I3340" s="7">
        <v>1333800</v>
      </c>
      <c r="J3340" s="8">
        <v>3.8800000000000001E-2</v>
      </c>
    </row>
    <row r="3341" spans="1:10" x14ac:dyDescent="0.25">
      <c r="A3341" s="5" t="s">
        <v>3055</v>
      </c>
      <c r="B3341" s="5" t="s">
        <v>5208</v>
      </c>
      <c r="C3341" s="6" t="str">
        <f>_xll.QS.CONTEXT.CREATE("market.3339",A3341,"USD","SOFR")</f>
        <v>QSObject:PricingContext:w1~market.3339:15574</v>
      </c>
      <c r="D3341" s="6" t="str">
        <f>_xll.QS.CONTEXT.ADD.CURVE(C3341,"SOFR",$K$2:$K$7,$L$2:$L$7,,,"Actual360","LogLinear",TRUE)</f>
        <v>QSObject:ContextInput:w1~input.qs_context_add_curve.2359132437744.3340.3.0:37193</v>
      </c>
      <c r="E3341" s="6" t="str">
        <f>_xll.QS.INSTRUMENT.SWAP("swap.3339",H3341,B3341,"USD","SOFR",I3341,J3341,0,"Actual360","Simple","Annual","Annual","Annual")</f>
        <v>QSObject:Swap:w1~swap.3339:15573</v>
      </c>
      <c r="F3341" s="6" t="str">
        <f>_xll.QS.TRADE.CREATE("trade.3339",E3341,A3341,"Receive")</f>
        <v>QSObject:SwapTrade:w1~trade.3339:28500</v>
      </c>
      <c r="G3341" s="3">
        <f>_xll.QS.EVALUATE(C3341,F3341)</f>
        <v>42248.261523354369</v>
      </c>
      <c r="H3341" s="5" t="s">
        <v>3069</v>
      </c>
      <c r="I3341" s="7">
        <v>1333900</v>
      </c>
      <c r="J3341" s="8">
        <v>3.8899999999999997E-2</v>
      </c>
    </row>
    <row r="3342" spans="1:10" x14ac:dyDescent="0.25">
      <c r="A3342" s="5" t="s">
        <v>3057</v>
      </c>
      <c r="B3342" s="5" t="s">
        <v>5209</v>
      </c>
      <c r="C3342" s="6" t="str">
        <f>_xll.QS.CONTEXT.CREATE("market.3340",A3342,"USD","SOFR")</f>
        <v>QSObject:PricingContext:w1~market.3340:15572</v>
      </c>
      <c r="D3342" s="6" t="str">
        <f>_xll.QS.CONTEXT.ADD.CURVE(C3342,"SOFR",$K$2:$K$7,$L$2:$L$7,,,"Actual360","LogLinear",TRUE)</f>
        <v>QSObject:ContextInput:w1~input.qs_context_add_curve.2359132437744.3341.3.0:37192</v>
      </c>
      <c r="E3342" s="6" t="str">
        <f>_xll.QS.INSTRUMENT.SWAP("swap.3340",H3342,B3342,"USD","SOFR",I3342,J3342,0,"Actual360","Simple","Annual","Annual","Annual")</f>
        <v>QSObject:Swap:w1~swap.3340:15571</v>
      </c>
      <c r="F3342" s="6" t="str">
        <f>_xll.QS.TRADE.CREATE("trade.3340",E3342,A3342,"Receive")</f>
        <v>QSObject:SwapTrade:w1~trade.3340:28499</v>
      </c>
      <c r="G3342" s="3">
        <f>_xll.QS.EVALUATE(C3342,F3342)</f>
        <v>42866.63383711638</v>
      </c>
      <c r="H3342" s="5" t="s">
        <v>3071</v>
      </c>
      <c r="I3342" s="7">
        <v>1334000</v>
      </c>
      <c r="J3342" s="8">
        <v>3.9000000000000007E-2</v>
      </c>
    </row>
    <row r="3343" spans="1:10" x14ac:dyDescent="0.25">
      <c r="A3343" s="5" t="s">
        <v>3059</v>
      </c>
      <c r="B3343" s="5" t="s">
        <v>5210</v>
      </c>
      <c r="C3343" s="6" t="str">
        <f>_xll.QS.CONTEXT.CREATE("market.3341",A3343,"USD","SOFR")</f>
        <v>QSObject:PricingContext:w1~market.3341:15570</v>
      </c>
      <c r="D3343" s="6" t="str">
        <f>_xll.QS.CONTEXT.ADD.CURVE(C3343,"SOFR",$K$2:$K$7,$L$2:$L$7,,,"Actual360","LogLinear",TRUE)</f>
        <v>QSObject:ContextInput:w1~input.qs_context_add_curve.2359132437744.3342.3.0:37191</v>
      </c>
      <c r="E3343" s="6" t="str">
        <f>_xll.QS.INSTRUMENT.SWAP("swap.3341",H3343,B3343,"USD","SOFR",I3343,J3343,0,"Actual360","Simple","Annual","Annual","Annual")</f>
        <v>QSObject:Swap:w1~swap.3341:15569</v>
      </c>
      <c r="F3343" s="6" t="str">
        <f>_xll.QS.TRADE.CREATE("trade.3341",E3343,A3343,"Receive")</f>
        <v>QSObject:SwapTrade:w1~trade.3341:28498</v>
      </c>
      <c r="G3343" s="3">
        <f>_xll.QS.EVALUATE(C3343,F3343)</f>
        <v>43634.335749936021</v>
      </c>
      <c r="H3343" s="5" t="s">
        <v>3073</v>
      </c>
      <c r="I3343" s="7">
        <v>1334100</v>
      </c>
      <c r="J3343" s="8">
        <v>3.9100000000000003E-2</v>
      </c>
    </row>
    <row r="3344" spans="1:10" x14ac:dyDescent="0.25">
      <c r="A3344" s="5" t="s">
        <v>3061</v>
      </c>
      <c r="B3344" s="5" t="s">
        <v>5211</v>
      </c>
      <c r="C3344" s="6" t="str">
        <f>_xll.QS.CONTEXT.CREATE("market.3342",A3344,"USD","SOFR")</f>
        <v>QSObject:PricingContext:w1~market.3342:15568</v>
      </c>
      <c r="D3344" s="6" t="str">
        <f>_xll.QS.CONTEXT.ADD.CURVE(C3344,"SOFR",$K$2:$K$7,$L$2:$L$7,,,"Actual360","LogLinear",TRUE)</f>
        <v>QSObject:ContextInput:w1~input.qs_context_add_curve.2359132437744.3343.3.0:37190</v>
      </c>
      <c r="E3344" s="6" t="str">
        <f>_xll.QS.INSTRUMENT.SWAP("swap.3342",H3344,B3344,"USD","SOFR",I3344,J3344,0,"Actual360","Simple","Annual","Annual","Annual")</f>
        <v>QSObject:Swap:w1~swap.3342:15567</v>
      </c>
      <c r="F3344" s="6" t="str">
        <f>_xll.QS.TRADE.CREATE("trade.3342",E3344,A3344,"Receive")</f>
        <v>QSObject:SwapTrade:w1~trade.3342:28497</v>
      </c>
      <c r="G3344" s="3">
        <f>_xll.QS.EVALUATE(C3344,F3344)</f>
        <v>44259.848636951814</v>
      </c>
      <c r="H3344" s="5" t="s">
        <v>3075</v>
      </c>
      <c r="I3344" s="7">
        <v>1334200</v>
      </c>
      <c r="J3344" s="8">
        <v>3.9200000000000013E-2</v>
      </c>
    </row>
    <row r="3345" spans="1:10" x14ac:dyDescent="0.25">
      <c r="A3345" s="5" t="s">
        <v>3063</v>
      </c>
      <c r="B3345" s="5" t="s">
        <v>5212</v>
      </c>
      <c r="C3345" s="6" t="str">
        <f>_xll.QS.CONTEXT.CREATE("market.3343",A3345,"USD","SOFR")</f>
        <v>QSObject:PricingContext:w1~market.3343:15566</v>
      </c>
      <c r="D3345" s="6" t="str">
        <f>_xll.QS.CONTEXT.ADD.CURVE(C3345,"SOFR",$K$2:$K$7,$L$2:$L$7,,,"Actual360","LogLinear",TRUE)</f>
        <v>QSObject:ContextInput:w1~input.qs_context_add_curve.2359132437744.3344.3.0:37189</v>
      </c>
      <c r="E3345" s="6" t="str">
        <f>_xll.QS.INSTRUMENT.SWAP("swap.3343",H3345,B3345,"USD","SOFR",I3345,J3345,0,"Actual360","Simple","Annual","Annual","Annual")</f>
        <v>QSObject:Swap:w1~swap.3343:15565</v>
      </c>
      <c r="F3345" s="6" t="str">
        <f>_xll.QS.TRADE.CREATE("trade.3343",E3345,A3345,"Receive")</f>
        <v>QSObject:SwapTrade:w1~trade.3343:28496</v>
      </c>
      <c r="G3345" s="3">
        <f>_xll.QS.EVALUATE(C3345,F3345)</f>
        <v>44879.930961044462</v>
      </c>
      <c r="H3345" s="5" t="s">
        <v>3077</v>
      </c>
      <c r="I3345" s="7">
        <v>1334300</v>
      </c>
      <c r="J3345" s="8">
        <v>3.9300000000000002E-2</v>
      </c>
    </row>
    <row r="3346" spans="1:10" x14ac:dyDescent="0.25">
      <c r="A3346" s="5" t="s">
        <v>3065</v>
      </c>
      <c r="B3346" s="5" t="s">
        <v>5213</v>
      </c>
      <c r="C3346" s="6" t="str">
        <f>_xll.QS.CONTEXT.CREATE("market.3344",A3346,"USD","SOFR")</f>
        <v>QSObject:PricingContext:w1~market.3344:15564</v>
      </c>
      <c r="D3346" s="6" t="str">
        <f>_xll.QS.CONTEXT.ADD.CURVE(C3346,"SOFR",$K$2:$K$7,$L$2:$L$7,,,"Actual360","LogLinear",TRUE)</f>
        <v>QSObject:ContextInput:w1~input.qs_context_add_curve.2359132437744.3345.3.0:37188</v>
      </c>
      <c r="E3346" s="6" t="str">
        <f>_xll.QS.INSTRUMENT.SWAP("swap.3344",H3346,B3346,"USD","SOFR",I3346,J3346,0,"Actual360","Simple","Annual","Annual","Annual")</f>
        <v>QSObject:Swap:w1~swap.3344:15563</v>
      </c>
      <c r="F3346" s="6" t="str">
        <f>_xll.QS.TRADE.CREATE("trade.3344",E3346,A3346,"Receive")</f>
        <v>QSObject:SwapTrade:w1~trade.3344:28495</v>
      </c>
      <c r="G3346" s="3">
        <f>_xll.QS.EVALUATE(C3346,F3346)</f>
        <v>45332.293609460176</v>
      </c>
      <c r="H3346" s="5" t="s">
        <v>3079</v>
      </c>
      <c r="I3346" s="7">
        <v>1334400</v>
      </c>
      <c r="J3346" s="8">
        <v>3.9399999999999998E-2</v>
      </c>
    </row>
    <row r="3347" spans="1:10" x14ac:dyDescent="0.25">
      <c r="A3347" s="5" t="s">
        <v>3067</v>
      </c>
      <c r="B3347" s="5" t="s">
        <v>5214</v>
      </c>
      <c r="C3347" s="6" t="str">
        <f>_xll.QS.CONTEXT.CREATE("market.3345",A3347,"USD","SOFR")</f>
        <v>QSObject:PricingContext:w1~market.3345:15562</v>
      </c>
      <c r="D3347" s="6" t="str">
        <f>_xll.QS.CONTEXT.ADD.CURVE(C3347,"SOFR",$K$2:$K$7,$L$2:$L$7,,,"Actual360","LogLinear",TRUE)</f>
        <v>QSObject:ContextInput:w1~input.qs_context_add_curve.2359132437744.3346.3.0:37187</v>
      </c>
      <c r="E3347" s="6" t="str">
        <f>_xll.QS.INSTRUMENT.SWAP("swap.3345",H3347,B3347,"USD","SOFR",I3347,J3347,0,"Actual360","Simple","Annual","Annual","Annual")</f>
        <v>QSObject:Swap:w1~swap.3345:15561</v>
      </c>
      <c r="F3347" s="6" t="str">
        <f>_xll.QS.TRADE.CREATE("trade.3345",E3347,A3347,"Receive")</f>
        <v>QSObject:SwapTrade:w1~trade.3345:28494</v>
      </c>
      <c r="G3347" s="3">
        <f>_xll.QS.EVALUATE(C3347,F3347)</f>
        <v>45954.938936972292</v>
      </c>
      <c r="H3347" s="5" t="s">
        <v>3081</v>
      </c>
      <c r="I3347" s="7">
        <v>1334500</v>
      </c>
      <c r="J3347" s="8">
        <v>3.9500000000000007E-2</v>
      </c>
    </row>
    <row r="3348" spans="1:10" x14ac:dyDescent="0.25">
      <c r="A3348" s="5" t="s">
        <v>3069</v>
      </c>
      <c r="B3348" s="5" t="s">
        <v>5215</v>
      </c>
      <c r="C3348" s="6" t="str">
        <f>_xll.QS.CONTEXT.CREATE("market.3346",A3348,"USD","SOFR")</f>
        <v>QSObject:PricingContext:w1~market.3346:15560</v>
      </c>
      <c r="D3348" s="6" t="str">
        <f>_xll.QS.CONTEXT.ADD.CURVE(C3348,"SOFR",$K$2:$K$7,$L$2:$L$7,,,"Actual360","LogLinear",TRUE)</f>
        <v>QSObject:ContextInput:w1~input.qs_context_add_curve.2359132437744.3347.3.0:37186</v>
      </c>
      <c r="E3348" s="6" t="str">
        <f>_xll.QS.INSTRUMENT.SWAP("swap.3346",H3348,B3348,"USD","SOFR",I3348,J3348,0,"Actual360","Simple","Annual","Annual","Annual")</f>
        <v>QSObject:Swap:w1~swap.3346:15559</v>
      </c>
      <c r="F3348" s="6" t="str">
        <f>_xll.QS.TRADE.CREATE("trade.3346",E3348,A3348,"Receive")</f>
        <v>QSObject:SwapTrade:w1~trade.3346:28493</v>
      </c>
      <c r="G3348" s="3">
        <f>_xll.QS.EVALUATE(C3348,F3348)</f>
        <v>46631.406456229437</v>
      </c>
      <c r="H3348" s="5" t="s">
        <v>3083</v>
      </c>
      <c r="I3348" s="7">
        <v>1334600</v>
      </c>
      <c r="J3348" s="8">
        <v>3.9600000000000003E-2</v>
      </c>
    </row>
    <row r="3349" spans="1:10" x14ac:dyDescent="0.25">
      <c r="A3349" s="5" t="s">
        <v>3071</v>
      </c>
      <c r="B3349" s="5" t="s">
        <v>5216</v>
      </c>
      <c r="C3349" s="6" t="str">
        <f>_xll.QS.CONTEXT.CREATE("market.3347",A3349,"USD","SOFR")</f>
        <v>QSObject:PricingContext:w1~market.3347:15558</v>
      </c>
      <c r="D3349" s="6" t="str">
        <f>_xll.QS.CONTEXT.ADD.CURVE(C3349,"SOFR",$K$2:$K$7,$L$2:$L$7,,,"Actual360","LogLinear",TRUE)</f>
        <v>QSObject:ContextInput:w1~input.qs_context_add_curve.2359132437744.3348.3.0:37185</v>
      </c>
      <c r="E3349" s="6" t="str">
        <f>_xll.QS.INSTRUMENT.SWAP("swap.3347",H3349,B3349,"USD","SOFR",I3349,J3349,0,"Actual360","Simple","Annual","Annual","Annual")</f>
        <v>QSObject:Swap:w1~swap.3347:15557</v>
      </c>
      <c r="F3349" s="6" t="str">
        <f>_xll.QS.TRADE.CREATE("trade.3347",E3349,A3349,"Receive")</f>
        <v>QSObject:SwapTrade:w1~trade.3347:28492</v>
      </c>
      <c r="G3349" s="3">
        <f>_xll.QS.EVALUATE(C3349,F3349)</f>
        <v>47348.416491511176</v>
      </c>
      <c r="H3349" s="5" t="s">
        <v>3085</v>
      </c>
      <c r="I3349" s="7">
        <v>1334700</v>
      </c>
      <c r="J3349" s="8">
        <v>3.9700000000000013E-2</v>
      </c>
    </row>
    <row r="3350" spans="1:10" x14ac:dyDescent="0.25">
      <c r="A3350" s="5" t="s">
        <v>3073</v>
      </c>
      <c r="B3350" s="5" t="s">
        <v>5217</v>
      </c>
      <c r="C3350" s="6" t="str">
        <f>_xll.QS.CONTEXT.CREATE("market.3348",A3350,"USD","SOFR")</f>
        <v>QSObject:PricingContext:w1~market.3348:15556</v>
      </c>
      <c r="D3350" s="6" t="str">
        <f>_xll.QS.CONTEXT.ADD.CURVE(C3350,"SOFR",$K$2:$K$7,$L$2:$L$7,,,"Actual360","LogLinear",TRUE)</f>
        <v>QSObject:ContextInput:w1~input.qs_context_add_curve.2359132437744.3349.3.0:37184</v>
      </c>
      <c r="E3350" s="6" t="str">
        <f>_xll.QS.INSTRUMENT.SWAP("swap.3348",H3350,B3350,"USD","SOFR",I3350,J3350,0,"Actual360","Simple","Annual","Annual","Annual")</f>
        <v>QSObject:Swap:w1~swap.3348:15555</v>
      </c>
      <c r="F3350" s="6" t="str">
        <f>_xll.QS.TRADE.CREATE("trade.3348",E3350,A3350,"Receive")</f>
        <v>QSObject:SwapTrade:w1~trade.3348:28491</v>
      </c>
      <c r="G3350" s="3">
        <f>_xll.QS.EVALUATE(C3350,F3350)</f>
        <v>47967.5679621749</v>
      </c>
      <c r="H3350" s="5" t="s">
        <v>3087</v>
      </c>
      <c r="I3350" s="7">
        <v>1334800</v>
      </c>
      <c r="J3350" s="8">
        <v>3.9800000000000002E-2</v>
      </c>
    </row>
    <row r="3351" spans="1:10" x14ac:dyDescent="0.25">
      <c r="A3351" s="5" t="s">
        <v>3075</v>
      </c>
      <c r="B3351" s="5" t="s">
        <v>5218</v>
      </c>
      <c r="C3351" s="6" t="str">
        <f>_xll.QS.CONTEXT.CREATE("market.3349",A3351,"USD","SOFR")</f>
        <v>QSObject:PricingContext:w1~market.3349:15554</v>
      </c>
      <c r="D3351" s="6" t="str">
        <f>_xll.QS.CONTEXT.ADD.CURVE(C3351,"SOFR",$K$2:$K$7,$L$2:$L$7,,,"Actual360","LogLinear",TRUE)</f>
        <v>QSObject:ContextInput:w1~input.qs_context_add_curve.2359132437744.3350.3.0:37183</v>
      </c>
      <c r="E3351" s="6" t="str">
        <f>_xll.QS.INSTRUMENT.SWAP("swap.3349",H3351,B3351,"USD","SOFR",I3351,J3351,0,"Actual360","Simple","Annual","Annual","Annual")</f>
        <v>QSObject:Swap:w1~swap.3349:15553</v>
      </c>
      <c r="F3351" s="6" t="str">
        <f>_xll.QS.TRADE.CREATE("trade.3349",E3351,A3351,"Receive")</f>
        <v>QSObject:SwapTrade:w1~trade.3349:28490</v>
      </c>
      <c r="G3351" s="3">
        <f>_xll.QS.EVALUATE(C3351,F3351)</f>
        <v>48594.239282079223</v>
      </c>
      <c r="H3351" s="5" t="s">
        <v>3089</v>
      </c>
      <c r="I3351" s="7">
        <v>1334900</v>
      </c>
      <c r="J3351" s="8">
        <v>3.9899999999999998E-2</v>
      </c>
    </row>
    <row r="3352" spans="1:10" x14ac:dyDescent="0.25">
      <c r="A3352" s="5" t="s">
        <v>3077</v>
      </c>
      <c r="B3352" s="5" t="s">
        <v>5219</v>
      </c>
      <c r="C3352" s="6" t="str">
        <f>_xll.QS.CONTEXT.CREATE("market.3350",A3352,"USD","SOFR")</f>
        <v>QSObject:PricingContext:w1~market.3350:15552</v>
      </c>
      <c r="D3352" s="6" t="str">
        <f>_xll.QS.CONTEXT.ADD.CURVE(C3352,"SOFR",$K$2:$K$7,$L$2:$L$7,,,"Actual360","LogLinear",TRUE)</f>
        <v>QSObject:ContextInput:w1~input.qs_context_add_curve.2359132437744.3351.3.0:37182</v>
      </c>
      <c r="E3352" s="6" t="str">
        <f>_xll.QS.INSTRUMENT.SWAP("swap.3350",H3352,B3352,"USD","SOFR",I3352,J3352,0,"Actual360","Simple","Annual","Annual","Annual")</f>
        <v>QSObject:Swap:w1~swap.3350:15551</v>
      </c>
      <c r="F3352" s="6" t="str">
        <f>_xll.QS.TRADE.CREATE("trade.3350",E3352,A3352,"Receive")</f>
        <v>QSObject:SwapTrade:w1~trade.3350:28489</v>
      </c>
      <c r="G3352" s="3">
        <f>_xll.QS.EVALUATE(C3352,F3352)</f>
        <v>18418.493913434628</v>
      </c>
      <c r="H3352" s="5" t="s">
        <v>3091</v>
      </c>
      <c r="I3352" s="7">
        <v>1335000</v>
      </c>
      <c r="J3352" s="8">
        <v>3.5000000000000003E-2</v>
      </c>
    </row>
    <row r="3353" spans="1:10" x14ac:dyDescent="0.25">
      <c r="A3353" s="5" t="s">
        <v>3079</v>
      </c>
      <c r="B3353" s="5" t="s">
        <v>5220</v>
      </c>
      <c r="C3353" s="6" t="str">
        <f>_xll.QS.CONTEXT.CREATE("market.3351",A3353,"USD","SOFR")</f>
        <v>QSObject:PricingContext:w1~market.3351:15550</v>
      </c>
      <c r="D3353" s="6" t="str">
        <f>_xll.QS.CONTEXT.ADD.CURVE(C3353,"SOFR",$K$2:$K$7,$L$2:$L$7,,,"Actual360","LogLinear",TRUE)</f>
        <v>QSObject:ContextInput:w1~input.qs_context_add_curve.2359132437744.3352.3.0:37181</v>
      </c>
      <c r="E3353" s="6" t="str">
        <f>_xll.QS.INSTRUMENT.SWAP("swap.3351",H3353,B3353,"USD","SOFR",I3353,J3353,0,"Actual360","Simple","Annual","Annual","Annual")</f>
        <v>QSObject:Swap:w1~swap.3351:15549</v>
      </c>
      <c r="F3353" s="6" t="str">
        <f>_xll.QS.TRADE.CREATE("trade.3351",E3353,A3353,"Receive")</f>
        <v>QSObject:SwapTrade:w1~trade.3351:28488</v>
      </c>
      <c r="G3353" s="3">
        <f>_xll.QS.EVALUATE(C3353,F3353)</f>
        <v>18874.435713011211</v>
      </c>
      <c r="H3353" s="5" t="s">
        <v>3093</v>
      </c>
      <c r="I3353" s="7">
        <v>1335100</v>
      </c>
      <c r="J3353" s="8">
        <v>3.5100000000000013E-2</v>
      </c>
    </row>
    <row r="3354" spans="1:10" x14ac:dyDescent="0.25">
      <c r="A3354" s="5" t="s">
        <v>3081</v>
      </c>
      <c r="B3354" s="5" t="s">
        <v>5221</v>
      </c>
      <c r="C3354" s="6" t="str">
        <f>_xll.QS.CONTEXT.CREATE("market.3352",A3354,"USD","SOFR")</f>
        <v>QSObject:PricingContext:w1~market.3352:15548</v>
      </c>
      <c r="D3354" s="6" t="str">
        <f>_xll.QS.CONTEXT.ADD.CURVE(C3354,"SOFR",$K$2:$K$7,$L$2:$L$7,,,"Actual360","LogLinear",TRUE)</f>
        <v>QSObject:ContextInput:w1~input.qs_context_add_curve.2359132437744.3353.3.0:37180</v>
      </c>
      <c r="E3354" s="6" t="str">
        <f>_xll.QS.INSTRUMENT.SWAP("swap.3352",H3354,B3354,"USD","SOFR",I3354,J3354,0,"Actual360","Simple","Annual","Annual","Annual")</f>
        <v>QSObject:Swap:w1~swap.3352:15547</v>
      </c>
      <c r="F3354" s="6" t="str">
        <f>_xll.QS.TRADE.CREATE("trade.3352",E3354,A3354,"Receive")</f>
        <v>QSObject:SwapTrade:w1~trade.3352:28487</v>
      </c>
      <c r="G3354" s="3">
        <f>_xll.QS.EVALUATE(C3354,F3354)</f>
        <v>19493.201244416538</v>
      </c>
      <c r="H3354" s="5" t="s">
        <v>3095</v>
      </c>
      <c r="I3354" s="7">
        <v>1335200</v>
      </c>
      <c r="J3354" s="8">
        <v>3.5200000000000002E-2</v>
      </c>
    </row>
    <row r="3355" spans="1:10" x14ac:dyDescent="0.25">
      <c r="A3355" s="5" t="s">
        <v>3083</v>
      </c>
      <c r="B3355" s="5" t="s">
        <v>5222</v>
      </c>
      <c r="C3355" s="6" t="str">
        <f>_xll.QS.CONTEXT.CREATE("market.3353",A3355,"USD","SOFR")</f>
        <v>QSObject:PricingContext:w1~market.3353:15546</v>
      </c>
      <c r="D3355" s="6" t="str">
        <f>_xll.QS.CONTEXT.ADD.CURVE(C3355,"SOFR",$K$2:$K$7,$L$2:$L$7,,,"Actual360","LogLinear",TRUE)</f>
        <v>QSObject:ContextInput:w1~input.qs_context_add_curve.2359132437744.3354.3.0:37179</v>
      </c>
      <c r="E3355" s="6" t="str">
        <f>_xll.QS.INSTRUMENT.SWAP("swap.3353",H3355,B3355,"USD","SOFR",I3355,J3355,0,"Actual360","Simple","Annual","Annual","Annual")</f>
        <v>QSObject:Swap:w1~swap.3353:15545</v>
      </c>
      <c r="F3355" s="6" t="str">
        <f>_xll.QS.TRADE.CREATE("trade.3353",E3355,A3355,"Receive")</f>
        <v>QSObject:SwapTrade:w1~trade.3353:28486</v>
      </c>
      <c r="G3355" s="3">
        <f>_xll.QS.EVALUATE(C3355,F3355)</f>
        <v>20165.446843887359</v>
      </c>
      <c r="H3355" s="5" t="s">
        <v>3097</v>
      </c>
      <c r="I3355" s="7">
        <v>1335300</v>
      </c>
      <c r="J3355" s="8">
        <v>3.5299999999999998E-2</v>
      </c>
    </row>
    <row r="3356" spans="1:10" x14ac:dyDescent="0.25">
      <c r="A3356" s="5" t="s">
        <v>3085</v>
      </c>
      <c r="B3356" s="5" t="s">
        <v>5223</v>
      </c>
      <c r="C3356" s="6" t="str">
        <f>_xll.QS.CONTEXT.CREATE("market.3354",A3356,"USD","SOFR")</f>
        <v>QSObject:PricingContext:w1~market.3354:15544</v>
      </c>
      <c r="D3356" s="6" t="str">
        <f>_xll.QS.CONTEXT.ADD.CURVE(C3356,"SOFR",$K$2:$K$7,$L$2:$L$7,,,"Actual360","LogLinear",TRUE)</f>
        <v>QSObject:ContextInput:w1~input.qs_context_add_curve.2359132437744.3355.3.0:37178</v>
      </c>
      <c r="E3356" s="6" t="str">
        <f>_xll.QS.INSTRUMENT.SWAP("swap.3354",H3356,B3356,"USD","SOFR",I3356,J3356,0,"Actual360","Simple","Annual","Annual","Annual")</f>
        <v>QSObject:Swap:w1~swap.3354:15543</v>
      </c>
      <c r="F3356" s="6" t="str">
        <f>_xll.QS.TRADE.CREATE("trade.3354",E3356,A3356,"Receive")</f>
        <v>QSObject:SwapTrade:w1~trade.3354:28485</v>
      </c>
      <c r="G3356" s="3">
        <f>_xll.QS.EVALUATE(C3356,F3356)</f>
        <v>20880.453955399884</v>
      </c>
      <c r="H3356" s="5" t="s">
        <v>3099</v>
      </c>
      <c r="I3356" s="7">
        <v>1335400</v>
      </c>
      <c r="J3356" s="8">
        <v>3.5400000000000001E-2</v>
      </c>
    </row>
    <row r="3357" spans="1:10" x14ac:dyDescent="0.25">
      <c r="A3357" s="5" t="s">
        <v>3087</v>
      </c>
      <c r="B3357" s="5" t="s">
        <v>5224</v>
      </c>
      <c r="C3357" s="6" t="str">
        <f>_xll.QS.CONTEXT.CREATE("market.3355",A3357,"USD","SOFR")</f>
        <v>QSObject:PricingContext:w1~market.3355:15542</v>
      </c>
      <c r="D3357" s="6" t="str">
        <f>_xll.QS.CONTEXT.ADD.CURVE(C3357,"SOFR",$K$2:$K$7,$L$2:$L$7,,,"Actual360","LogLinear",TRUE)</f>
        <v>QSObject:ContextInput:w1~input.qs_context_add_curve.2359132437744.3356.3.0:37177</v>
      </c>
      <c r="E3357" s="6" t="str">
        <f>_xll.QS.INSTRUMENT.SWAP("swap.3355",H3357,B3357,"USD","SOFR",I3357,J3357,0,"Actual360","Simple","Annual","Annual","Annual")</f>
        <v>QSObject:Swap:w1~swap.3355:15541</v>
      </c>
      <c r="F3357" s="6" t="str">
        <f>_xll.QS.TRADE.CREATE("trade.3355",E3357,A3357,"Receive")</f>
        <v>QSObject:SwapTrade:w1~trade.3355:28484</v>
      </c>
      <c r="G3357" s="3">
        <f>_xll.QS.EVALUATE(C3357,F3357)</f>
        <v>21497.996584791479</v>
      </c>
      <c r="H3357" s="5" t="s">
        <v>3101</v>
      </c>
      <c r="I3357" s="7">
        <v>1335500</v>
      </c>
      <c r="J3357" s="8">
        <v>3.5499999999999997E-2</v>
      </c>
    </row>
    <row r="3358" spans="1:10" x14ac:dyDescent="0.25">
      <c r="A3358" s="5" t="s">
        <v>3089</v>
      </c>
      <c r="B3358" s="5" t="s">
        <v>5225</v>
      </c>
      <c r="C3358" s="6" t="str">
        <f>_xll.QS.CONTEXT.CREATE("market.3356",A3358,"USD","SOFR")</f>
        <v>QSObject:PricingContext:w1~market.3356:15540</v>
      </c>
      <c r="D3358" s="6" t="str">
        <f>_xll.QS.CONTEXT.ADD.CURVE(C3358,"SOFR",$K$2:$K$7,$L$2:$L$7,,,"Actual360","LogLinear",TRUE)</f>
        <v>QSObject:ContextInput:w1~input.qs_context_add_curve.2359132437744.3357.3.0:37176</v>
      </c>
      <c r="E3358" s="6" t="str">
        <f>_xll.QS.INSTRUMENT.SWAP("swap.3356",H3358,B3358,"USD","SOFR",I3358,J3358,0,"Actual360","Simple","Annual","Annual","Annual")</f>
        <v>QSObject:Swap:w1~swap.3356:15539</v>
      </c>
      <c r="F3358" s="6" t="str">
        <f>_xll.QS.TRADE.CREATE("trade.3356",E3358,A3358,"Receive")</f>
        <v>QSObject:SwapTrade:w1~trade.3356:28483</v>
      </c>
      <c r="G3358" s="3">
        <f>_xll.QS.EVALUATE(C3358,F3358)</f>
        <v>22122.936870784091</v>
      </c>
      <c r="H3358" s="5" t="s">
        <v>3103</v>
      </c>
      <c r="I3358" s="7">
        <v>1335600</v>
      </c>
      <c r="J3358" s="8">
        <v>3.5600000000000007E-2</v>
      </c>
    </row>
    <row r="3359" spans="1:10" x14ac:dyDescent="0.25">
      <c r="A3359" s="5" t="s">
        <v>3091</v>
      </c>
      <c r="B3359" s="5" t="s">
        <v>5226</v>
      </c>
      <c r="C3359" s="6" t="str">
        <f>_xll.QS.CONTEXT.CREATE("market.3357",A3359,"USD","SOFR")</f>
        <v>QSObject:PricingContext:w1~market.3357:15538</v>
      </c>
      <c r="D3359" s="6" t="str">
        <f>_xll.QS.CONTEXT.ADD.CURVE(C3359,"SOFR",$K$2:$K$7,$L$2:$L$7,,,"Actual360","LogLinear",TRUE)</f>
        <v>QSObject:ContextInput:w1~input.qs_context_add_curve.2359132437744.3358.3.0:37175</v>
      </c>
      <c r="E3359" s="6" t="str">
        <f>_xll.QS.INSTRUMENT.SWAP("swap.3357",H3359,B3359,"USD","SOFR",I3359,J3359,0,"Actual360","Simple","Annual","Annual","Annual")</f>
        <v>QSObject:Swap:w1~swap.3357:15537</v>
      </c>
      <c r="F3359" s="6" t="str">
        <f>_xll.QS.TRADE.CREATE("trade.3357",E3359,A3359,"Receive")</f>
        <v>QSObject:SwapTrade:w1~trade.3357:28482</v>
      </c>
      <c r="G3359" s="3">
        <f>_xll.QS.EVALUATE(C3359,F3359)</f>
        <v>22741.920954979985</v>
      </c>
      <c r="H3359" s="5" t="s">
        <v>3105</v>
      </c>
      <c r="I3359" s="7">
        <v>1335700</v>
      </c>
      <c r="J3359" s="8">
        <v>3.5700000000000003E-2</v>
      </c>
    </row>
    <row r="3360" spans="1:10" x14ac:dyDescent="0.25">
      <c r="A3360" s="5" t="s">
        <v>3093</v>
      </c>
      <c r="B3360" s="5" t="s">
        <v>5227</v>
      </c>
      <c r="C3360" s="6" t="str">
        <f>_xll.QS.CONTEXT.CREATE("market.3358",A3360,"USD","SOFR")</f>
        <v>QSObject:PricingContext:w1~market.3358:15536</v>
      </c>
      <c r="D3360" s="6" t="str">
        <f>_xll.QS.CONTEXT.ADD.CURVE(C3360,"SOFR",$K$2:$K$7,$L$2:$L$7,,,"Actual360","LogLinear",TRUE)</f>
        <v>QSObject:ContextInput:w1~input.qs_context_add_curve.2359132437744.3359.3.0:37174</v>
      </c>
      <c r="E3360" s="6" t="str">
        <f>_xll.QS.INSTRUMENT.SWAP("swap.3358",H3360,B3360,"USD","SOFR",I3360,J3360,0,"Actual360","Simple","Annual","Annual","Annual")</f>
        <v>QSObject:Swap:w1~swap.3358:15535</v>
      </c>
      <c r="F3360" s="6" t="str">
        <f>_xll.QS.TRADE.CREATE("trade.3358",E3360,A3360,"Receive")</f>
        <v>QSObject:SwapTrade:w1~trade.3358:28481</v>
      </c>
      <c r="G3360" s="3">
        <f>_xll.QS.EVALUATE(C3360,F3360)</f>
        <v>23197.556319749019</v>
      </c>
      <c r="H3360" s="5" t="s">
        <v>3107</v>
      </c>
      <c r="I3360" s="7">
        <v>1335800</v>
      </c>
      <c r="J3360" s="8">
        <v>3.5800000000000012E-2</v>
      </c>
    </row>
    <row r="3361" spans="1:10" x14ac:dyDescent="0.25">
      <c r="A3361" s="5" t="s">
        <v>3095</v>
      </c>
      <c r="B3361" s="5" t="s">
        <v>5228</v>
      </c>
      <c r="C3361" s="6" t="str">
        <f>_xll.QS.CONTEXT.CREATE("market.3359",A3361,"USD","SOFR")</f>
        <v>QSObject:PricingContext:w1~market.3359:15534</v>
      </c>
      <c r="D3361" s="6" t="str">
        <f>_xll.QS.CONTEXT.ADD.CURVE(C3361,"SOFR",$K$2:$K$7,$L$2:$L$7,,,"Actual360","LogLinear",TRUE)</f>
        <v>QSObject:ContextInput:w1~input.qs_context_add_curve.2359132437744.3360.3.0:37173</v>
      </c>
      <c r="E3361" s="6" t="str">
        <f>_xll.QS.INSTRUMENT.SWAP("swap.3359",H3361,B3361,"USD","SOFR",I3361,J3361,0,"Actual360","Simple","Annual","Annual","Annual")</f>
        <v>QSObject:Swap:w1~swap.3359:15533</v>
      </c>
      <c r="F3361" s="6" t="str">
        <f>_xll.QS.TRADE.CREATE("trade.3359",E3361,A3361,"Receive")</f>
        <v>QSObject:SwapTrade:w1~trade.3359:28480</v>
      </c>
      <c r="G3361" s="3">
        <f>_xll.QS.EVALUATE(C3361,F3361)</f>
        <v>23817.330169864632</v>
      </c>
      <c r="H3361" s="5" t="s">
        <v>3109</v>
      </c>
      <c r="I3361" s="7">
        <v>1335900</v>
      </c>
      <c r="J3361" s="8">
        <v>3.5900000000000001E-2</v>
      </c>
    </row>
    <row r="3362" spans="1:10" x14ac:dyDescent="0.25">
      <c r="A3362" s="5" t="s">
        <v>3097</v>
      </c>
      <c r="B3362" s="5" t="s">
        <v>5229</v>
      </c>
      <c r="C3362" s="6" t="str">
        <f>_xll.QS.CONTEXT.CREATE("market.3360",A3362,"USD","SOFR")</f>
        <v>QSObject:PricingContext:w1~market.3360:15532</v>
      </c>
      <c r="D3362" s="6" t="str">
        <f>_xll.QS.CONTEXT.ADD.CURVE(C3362,"SOFR",$K$2:$K$7,$L$2:$L$7,,,"Actual360","LogLinear",TRUE)</f>
        <v>QSObject:ContextInput:w1~input.qs_context_add_curve.2359132437744.3361.3.0:37172</v>
      </c>
      <c r="E3362" s="6" t="str">
        <f>_xll.QS.INSTRUMENT.SWAP("swap.3360",H3362,B3362,"USD","SOFR",I3362,J3362,0,"Actual360","Simple","Annual","Annual","Annual")</f>
        <v>QSObject:Swap:w1~swap.3360:15531</v>
      </c>
      <c r="F3362" s="6" t="str">
        <f>_xll.QS.TRADE.CREATE("trade.3360",E3362,A3362,"Receive")</f>
        <v>QSObject:SwapTrade:w1~trade.3360:28479</v>
      </c>
      <c r="G3362" s="3">
        <f>_xll.QS.EVALUATE(C3362,F3362)</f>
        <v>24490.67238900729</v>
      </c>
      <c r="H3362" s="5" t="s">
        <v>3111</v>
      </c>
      <c r="I3362" s="7">
        <v>1336000</v>
      </c>
      <c r="J3362" s="8">
        <v>3.5999999999999997E-2</v>
      </c>
    </row>
    <row r="3363" spans="1:10" x14ac:dyDescent="0.25">
      <c r="A3363" s="5" t="s">
        <v>3099</v>
      </c>
      <c r="B3363" s="5" t="s">
        <v>5230</v>
      </c>
      <c r="C3363" s="6" t="str">
        <f>_xll.QS.CONTEXT.CREATE("market.3361",A3363,"USD","SOFR")</f>
        <v>QSObject:PricingContext:w1~market.3361:15530</v>
      </c>
      <c r="D3363" s="6" t="str">
        <f>_xll.QS.CONTEXT.ADD.CURVE(C3363,"SOFR",$K$2:$K$7,$L$2:$L$7,,,"Actual360","LogLinear",TRUE)</f>
        <v>QSObject:ContextInput:w1~input.qs_context_add_curve.2359132437744.3362.3.0:37171</v>
      </c>
      <c r="E3363" s="6" t="str">
        <f>_xll.QS.INSTRUMENT.SWAP("swap.3361",H3363,B3363,"USD","SOFR",I3363,J3363,0,"Actual360","Simple","Annual","Annual","Annual")</f>
        <v>QSObject:Swap:w1~swap.3361:15529</v>
      </c>
      <c r="F3363" s="6" t="str">
        <f>_xll.QS.TRADE.CREATE("trade.3361",E3363,A3363,"Receive")</f>
        <v>QSObject:SwapTrade:w1~trade.3361:28478</v>
      </c>
      <c r="G3363" s="3">
        <f>_xll.QS.EVALUATE(C3363,F3363)</f>
        <v>25206.440515902803</v>
      </c>
      <c r="H3363" s="5" t="s">
        <v>3113</v>
      </c>
      <c r="I3363" s="7">
        <v>1336100</v>
      </c>
      <c r="J3363" s="8">
        <v>3.61E-2</v>
      </c>
    </row>
    <row r="3364" spans="1:10" x14ac:dyDescent="0.25">
      <c r="A3364" s="5" t="s">
        <v>3101</v>
      </c>
      <c r="B3364" s="5" t="s">
        <v>5231</v>
      </c>
      <c r="C3364" s="6" t="str">
        <f>_xll.QS.CONTEXT.CREATE("market.3362",A3364,"USD","SOFR")</f>
        <v>QSObject:PricingContext:w1~market.3362:15528</v>
      </c>
      <c r="D3364" s="6" t="str">
        <f>_xll.QS.CONTEXT.ADD.CURVE(C3364,"SOFR",$K$2:$K$7,$L$2:$L$7,,,"Actual360","LogLinear",TRUE)</f>
        <v>QSObject:ContextInput:w1~input.qs_context_add_curve.2359132437744.3363.3.0:37170</v>
      </c>
      <c r="E3364" s="6" t="str">
        <f>_xll.QS.INSTRUMENT.SWAP("swap.3362",H3364,B3364,"USD","SOFR",I3364,J3364,0,"Actual360","Simple","Annual","Annual","Annual")</f>
        <v>QSObject:Swap:w1~swap.3362:15527</v>
      </c>
      <c r="F3364" s="6" t="str">
        <f>_xll.QS.TRADE.CREATE("trade.3362",E3364,A3364,"Receive")</f>
        <v>QSObject:SwapTrade:w1~trade.3362:28477</v>
      </c>
      <c r="G3364" s="3">
        <f>_xll.QS.EVALUATE(C3364,F3364)</f>
        <v>25824.6184140197</v>
      </c>
      <c r="H3364" s="5" t="s">
        <v>3115</v>
      </c>
      <c r="I3364" s="7">
        <v>1336200</v>
      </c>
      <c r="J3364" s="8">
        <v>3.6200000000000003E-2</v>
      </c>
    </row>
    <row r="3365" spans="1:10" x14ac:dyDescent="0.25">
      <c r="A3365" s="5" t="s">
        <v>3103</v>
      </c>
      <c r="B3365" s="5" t="s">
        <v>5232</v>
      </c>
      <c r="C3365" s="6" t="str">
        <f>_xll.QS.CONTEXT.CREATE("market.3363",A3365,"USD","SOFR")</f>
        <v>QSObject:PricingContext:w1~market.3363:15526</v>
      </c>
      <c r="D3365" s="6" t="str">
        <f>_xll.QS.CONTEXT.ADD.CURVE(C3365,"SOFR",$K$2:$K$7,$L$2:$L$7,,,"Actual360","LogLinear",TRUE)</f>
        <v>QSObject:ContextInput:w1~input.qs_context_add_curve.2359132437744.3364.3.0:37169</v>
      </c>
      <c r="E3365" s="6" t="str">
        <f>_xll.QS.INSTRUMENT.SWAP("swap.3363",H3365,B3365,"USD","SOFR",I3365,J3365,0,"Actual360","Simple","Annual","Annual","Annual")</f>
        <v>QSObject:Swap:w1~swap.3363:15525</v>
      </c>
      <c r="F3365" s="6" t="str">
        <f>_xll.QS.TRADE.CREATE("trade.3363",E3365,A3365,"Receive")</f>
        <v>QSObject:SwapTrade:w1~trade.3363:28476</v>
      </c>
      <c r="G3365" s="3">
        <f>_xll.QS.EVALUATE(C3365,F3365)</f>
        <v>26450.222435006093</v>
      </c>
      <c r="H3365" s="5" t="s">
        <v>3117</v>
      </c>
      <c r="I3365" s="7">
        <v>1336300</v>
      </c>
      <c r="J3365" s="8">
        <v>3.6300000000000013E-2</v>
      </c>
    </row>
    <row r="3366" spans="1:10" x14ac:dyDescent="0.25">
      <c r="A3366" s="5" t="s">
        <v>3105</v>
      </c>
      <c r="B3366" s="5" t="s">
        <v>5233</v>
      </c>
      <c r="C3366" s="6" t="str">
        <f>_xll.QS.CONTEXT.CREATE("market.3364",A3366,"USD","SOFR")</f>
        <v>QSObject:PricingContext:w1~market.3364:15524</v>
      </c>
      <c r="D3366" s="6" t="str">
        <f>_xll.QS.CONTEXT.ADD.CURVE(C3366,"SOFR",$K$2:$K$7,$L$2:$L$7,,,"Actual360","LogLinear",TRUE)</f>
        <v>QSObject:ContextInput:w1~input.qs_context_add_curve.2359132437744.3365.3.0:37168</v>
      </c>
      <c r="E3366" s="6" t="str">
        <f>_xll.QS.INSTRUMENT.SWAP("swap.3364",H3366,B3366,"USD","SOFR",I3366,J3366,0,"Actual360","Simple","Annual","Annual","Annual")</f>
        <v>QSObject:Swap:w1~swap.3364:15523</v>
      </c>
      <c r="F3366" s="6" t="str">
        <f>_xll.QS.TRADE.CREATE("trade.3364",E3366,A3366,"Receive")</f>
        <v>QSObject:SwapTrade:w1~trade.3364:28475</v>
      </c>
      <c r="G3366" s="3">
        <f>_xll.QS.EVALUATE(C3366,F3366)</f>
        <v>27069.867105179575</v>
      </c>
      <c r="H3366" s="5" t="s">
        <v>3119</v>
      </c>
      <c r="I3366" s="7">
        <v>1336400</v>
      </c>
      <c r="J3366" s="8">
        <v>3.6400000000000002E-2</v>
      </c>
    </row>
    <row r="3367" spans="1:10" x14ac:dyDescent="0.25">
      <c r="A3367" s="5" t="s">
        <v>3107</v>
      </c>
      <c r="B3367" s="5" t="s">
        <v>5234</v>
      </c>
      <c r="C3367" s="6" t="str">
        <f>_xll.QS.CONTEXT.CREATE("market.3365",A3367,"USD","SOFR")</f>
        <v>QSObject:PricingContext:w1~market.3365:15522</v>
      </c>
      <c r="D3367" s="6" t="str">
        <f>_xll.QS.CONTEXT.ADD.CURVE(C3367,"SOFR",$K$2:$K$7,$L$2:$L$7,,,"Actual360","LogLinear",TRUE)</f>
        <v>QSObject:ContextInput:w1~input.qs_context_add_curve.2359132437744.3366.3.0:37167</v>
      </c>
      <c r="E3367" s="6" t="str">
        <f>_xll.QS.INSTRUMENT.SWAP("swap.3365",H3367,B3367,"USD","SOFR",I3367,J3367,0,"Actual360","Simple","Annual","Annual","Annual")</f>
        <v>QSObject:Swap:w1~swap.3365:15521</v>
      </c>
      <c r="F3367" s="6" t="str">
        <f>_xll.QS.TRADE.CREATE("trade.3365",E3367,A3367,"Receive")</f>
        <v>QSObject:SwapTrade:w1~trade.3365:28474</v>
      </c>
      <c r="G3367" s="3">
        <f>_xll.QS.EVALUATE(C3367,F3367)</f>
        <v>27525.18815407181</v>
      </c>
      <c r="H3367" s="5" t="s">
        <v>3121</v>
      </c>
      <c r="I3367" s="7">
        <v>1336500</v>
      </c>
      <c r="J3367" s="8">
        <v>3.6499999999999998E-2</v>
      </c>
    </row>
    <row r="3368" spans="1:10" x14ac:dyDescent="0.25">
      <c r="A3368" s="5" t="s">
        <v>3109</v>
      </c>
      <c r="B3368" s="5" t="s">
        <v>5235</v>
      </c>
      <c r="C3368" s="6" t="str">
        <f>_xll.QS.CONTEXT.CREATE("market.3366",A3368,"USD","SOFR")</f>
        <v>QSObject:PricingContext:w1~market.3366:15520</v>
      </c>
      <c r="D3368" s="6" t="str">
        <f>_xll.QS.CONTEXT.ADD.CURVE(C3368,"SOFR",$K$2:$K$7,$L$2:$L$7,,,"Actual360","LogLinear",TRUE)</f>
        <v>QSObject:ContextInput:w1~input.qs_context_add_curve.2359132437744.3367.3.0:37166</v>
      </c>
      <c r="E3368" s="6" t="str">
        <f>_xll.QS.INSTRUMENT.SWAP("swap.3366",H3368,B3368,"USD","SOFR",I3368,J3368,0,"Actual360","Simple","Annual","Annual","Annual")</f>
        <v>QSObject:Swap:w1~swap.3366:15519</v>
      </c>
      <c r="F3368" s="6" t="str">
        <f>_xll.QS.TRADE.CREATE("trade.3366",E3368,A3368,"Receive")</f>
        <v>QSObject:SwapTrade:w1~trade.3366:28473</v>
      </c>
      <c r="G3368" s="3">
        <f>_xll.QS.EVALUATE(C3368,F3368)</f>
        <v>28145.970700534934</v>
      </c>
      <c r="H3368" s="5" t="s">
        <v>3123</v>
      </c>
      <c r="I3368" s="7">
        <v>1336600</v>
      </c>
      <c r="J3368" s="8">
        <v>3.6600000000000001E-2</v>
      </c>
    </row>
    <row r="3369" spans="1:10" x14ac:dyDescent="0.25">
      <c r="A3369" s="5" t="s">
        <v>3111</v>
      </c>
      <c r="B3369" s="5" t="s">
        <v>5236</v>
      </c>
      <c r="C3369" s="6" t="str">
        <f>_xll.QS.CONTEXT.CREATE("market.3367",A3369,"USD","SOFR")</f>
        <v>QSObject:PricingContext:w1~market.3367:15518</v>
      </c>
      <c r="D3369" s="6" t="str">
        <f>_xll.QS.CONTEXT.ADD.CURVE(C3369,"SOFR",$K$2:$K$7,$L$2:$L$7,,,"Actual360","LogLinear",TRUE)</f>
        <v>QSObject:ContextInput:w1~input.qs_context_add_curve.2359132437744.3368.3.0:37165</v>
      </c>
      <c r="E3369" s="6" t="str">
        <f>_xll.QS.INSTRUMENT.SWAP("swap.3367",H3369,B3369,"USD","SOFR",I3369,J3369,0,"Actual360","Simple","Annual","Annual","Annual")</f>
        <v>QSObject:Swap:w1~swap.3367:15517</v>
      </c>
      <c r="F3369" s="6" t="str">
        <f>_xll.QS.TRADE.CREATE("trade.3367",E3369,A3369,"Receive")</f>
        <v>QSObject:SwapTrade:w1~trade.3367:28472</v>
      </c>
      <c r="G3369" s="3">
        <f>_xll.QS.EVALUATE(C3369,F3369)</f>
        <v>28820.447738418618</v>
      </c>
      <c r="H3369" s="5" t="s">
        <v>3125</v>
      </c>
      <c r="I3369" s="7">
        <v>1336700</v>
      </c>
      <c r="J3369" s="8">
        <v>3.6700000000000003E-2</v>
      </c>
    </row>
    <row r="3370" spans="1:10" x14ac:dyDescent="0.25">
      <c r="A3370" s="5" t="s">
        <v>3113</v>
      </c>
      <c r="B3370" s="5" t="s">
        <v>5237</v>
      </c>
      <c r="C3370" s="6" t="str">
        <f>_xll.QS.CONTEXT.CREATE("market.3368",A3370,"USD","SOFR")</f>
        <v>QSObject:PricingContext:w1~market.3368:15516</v>
      </c>
      <c r="D3370" s="6" t="str">
        <f>_xll.QS.CONTEXT.ADD.CURVE(C3370,"SOFR",$K$2:$K$7,$L$2:$L$7,,,"Actual360","LogLinear",TRUE)</f>
        <v>QSObject:ContextInput:w1~input.qs_context_add_curve.2359132437744.3369.3.0:37164</v>
      </c>
      <c r="E3370" s="6" t="str">
        <f>_xll.QS.INSTRUMENT.SWAP("swap.3368",H3370,B3370,"USD","SOFR",I3370,J3370,0,"Actual360","Simple","Annual","Annual","Annual")</f>
        <v>QSObject:Swap:w1~swap.3368:15515</v>
      </c>
      <c r="F3370" s="6" t="str">
        <f>_xll.QS.TRADE.CREATE("trade.3368",E3370,A3370,"Receive")</f>
        <v>QSObject:SwapTrade:w1~trade.3368:28471</v>
      </c>
      <c r="G3370" s="3">
        <f>_xll.QS.EVALUATE(C3370,F3370)</f>
        <v>29537.158538133168</v>
      </c>
      <c r="H3370" s="5" t="s">
        <v>3127</v>
      </c>
      <c r="I3370" s="7">
        <v>1336800</v>
      </c>
      <c r="J3370" s="8">
        <v>3.6800000000000013E-2</v>
      </c>
    </row>
    <row r="3371" spans="1:10" x14ac:dyDescent="0.25">
      <c r="A3371" s="5" t="s">
        <v>3115</v>
      </c>
      <c r="B3371" s="5" t="s">
        <v>5238</v>
      </c>
      <c r="C3371" s="6" t="str">
        <f>_xll.QS.CONTEXT.CREATE("market.3369",A3371,"USD","SOFR")</f>
        <v>QSObject:PricingContext:w1~market.3369:15514</v>
      </c>
      <c r="D3371" s="6" t="str">
        <f>_xll.QS.CONTEXT.ADD.CURVE(C3371,"SOFR",$K$2:$K$7,$L$2:$L$7,,,"Actual360","LogLinear",TRUE)</f>
        <v>QSObject:ContextInput:w1~input.qs_context_add_curve.2359132437744.3370.3.0:37163</v>
      </c>
      <c r="E3371" s="6" t="str">
        <f>_xll.QS.INSTRUMENT.SWAP("swap.3369",H3371,B3371,"USD","SOFR",I3371,J3371,0,"Actual360","Simple","Annual","Annual","Annual")</f>
        <v>QSObject:Swap:w1~swap.3369:15513</v>
      </c>
      <c r="F3371" s="6" t="str">
        <f>_xll.QS.TRADE.CREATE("trade.3369",E3371,A3371,"Receive")</f>
        <v>QSObject:SwapTrade:w1~trade.3369:28470</v>
      </c>
      <c r="G3371" s="3">
        <f>_xll.QS.EVALUATE(C3371,F3371)</f>
        <v>30156.16943227814</v>
      </c>
      <c r="H3371" s="5" t="s">
        <v>3129</v>
      </c>
      <c r="I3371" s="7">
        <v>1336900</v>
      </c>
      <c r="J3371" s="8">
        <v>3.6900000000000002E-2</v>
      </c>
    </row>
    <row r="3372" spans="1:10" x14ac:dyDescent="0.25">
      <c r="A3372" s="5" t="s">
        <v>3117</v>
      </c>
      <c r="B3372" s="5" t="s">
        <v>5239</v>
      </c>
      <c r="C3372" s="6" t="str">
        <f>_xll.QS.CONTEXT.CREATE("market.3370",A3372,"USD","SOFR")</f>
        <v>QSObject:PricingContext:w1~market.3370:15512</v>
      </c>
      <c r="D3372" s="6" t="str">
        <f>_xll.QS.CONTEXT.ADD.CURVE(C3372,"SOFR",$K$2:$K$7,$L$2:$L$7,,,"Actual360","LogLinear",TRUE)</f>
        <v>QSObject:ContextInput:w1~input.qs_context_add_curve.2359132437744.3371.3.0:37162</v>
      </c>
      <c r="E3372" s="6" t="str">
        <f>_xll.QS.INSTRUMENT.SWAP("swap.3370",H3372,B3372,"USD","SOFR",I3372,J3372,0,"Actual360","Simple","Annual","Annual","Annual")</f>
        <v>QSObject:Swap:w1~swap.3370:15511</v>
      </c>
      <c r="F3372" s="6" t="str">
        <f>_xll.QS.TRADE.CREATE("trade.3370",E3372,A3372,"Receive")</f>
        <v>QSObject:SwapTrade:w1~trade.3370:28469</v>
      </c>
      <c r="G3372" s="3">
        <f>_xll.QS.EVALUATE(C3372,F3372)</f>
        <v>30782.002417654759</v>
      </c>
      <c r="H3372" s="5" t="s">
        <v>3131</v>
      </c>
      <c r="I3372" s="7">
        <v>1337000</v>
      </c>
      <c r="J3372" s="8">
        <v>3.7000000000000012E-2</v>
      </c>
    </row>
    <row r="3373" spans="1:10" x14ac:dyDescent="0.25">
      <c r="A3373" s="5" t="s">
        <v>3119</v>
      </c>
      <c r="B3373" s="5" t="s">
        <v>5240</v>
      </c>
      <c r="C3373" s="6" t="str">
        <f>_xll.QS.CONTEXT.CREATE("market.3371",A3373,"USD","SOFR")</f>
        <v>QSObject:PricingContext:w1~market.3371:15510</v>
      </c>
      <c r="D3373" s="6" t="str">
        <f>_xll.QS.CONTEXT.ADD.CURVE(C3373,"SOFR",$K$2:$K$7,$L$2:$L$7,,,"Actual360","LogLinear",TRUE)</f>
        <v>QSObject:ContextInput:w1~input.qs_context_add_curve.2359132437744.3372.3.0:37161</v>
      </c>
      <c r="E3373" s="6" t="str">
        <f>_xll.QS.INSTRUMENT.SWAP("swap.3371",H3373,B3373,"USD","SOFR",I3373,J3373,0,"Actual360","Simple","Annual","Annual","Annual")</f>
        <v>QSObject:Swap:w1~swap.3371:15509</v>
      </c>
      <c r="F3373" s="6" t="str">
        <f>_xll.QS.TRADE.CREATE("trade.3371",E3373,A3373,"Receive")</f>
        <v>QSObject:SwapTrade:w1~trade.3371:28468</v>
      </c>
      <c r="G3373" s="3">
        <f>_xll.QS.EVALUATE(C3373,F3373)</f>
        <v>31341.512579512877</v>
      </c>
      <c r="H3373" s="5" t="s">
        <v>3133</v>
      </c>
      <c r="I3373" s="7">
        <v>1337100</v>
      </c>
      <c r="J3373" s="8">
        <v>3.7100000000000001E-2</v>
      </c>
    </row>
    <row r="3374" spans="1:10" x14ac:dyDescent="0.25">
      <c r="A3374" s="5" t="s">
        <v>3121</v>
      </c>
      <c r="B3374" s="5" t="s">
        <v>5241</v>
      </c>
      <c r="C3374" s="6" t="str">
        <f>_xll.QS.CONTEXT.CREATE("market.3372",A3374,"USD","SOFR")</f>
        <v>QSObject:PricingContext:w1~market.3372:15508</v>
      </c>
      <c r="D3374" s="6" t="str">
        <f>_xll.QS.CONTEXT.ADD.CURVE(C3374,"SOFR",$K$2:$K$7,$L$2:$L$7,,,"Actual360","LogLinear",TRUE)</f>
        <v>QSObject:ContextInput:w1~input.qs_context_add_curve.2359132437744.3373.3.0:37160</v>
      </c>
      <c r="E3374" s="6" t="str">
        <f>_xll.QS.INSTRUMENT.SWAP("swap.3372",H3374,B3374,"USD","SOFR",I3374,J3374,0,"Actual360","Simple","Annual","Annual","Annual")</f>
        <v>QSObject:Swap:w1~swap.3372:15507</v>
      </c>
      <c r="F3374" s="6" t="str">
        <f>_xll.QS.TRADE.CREATE("trade.3372",E3374,A3374,"Receive")</f>
        <v>QSObject:SwapTrade:w1~trade.3372:28467</v>
      </c>
      <c r="G3374" s="3">
        <f>_xll.QS.EVALUATE(C3374,F3374)</f>
        <v>31857.180029661613</v>
      </c>
      <c r="H3374" s="5" t="s">
        <v>3135</v>
      </c>
      <c r="I3374" s="7">
        <v>1337200</v>
      </c>
      <c r="J3374" s="8">
        <v>3.7199999999999997E-2</v>
      </c>
    </row>
    <row r="3375" spans="1:10" x14ac:dyDescent="0.25">
      <c r="A3375" s="5" t="s">
        <v>3123</v>
      </c>
      <c r="B3375" s="5" t="s">
        <v>5242</v>
      </c>
      <c r="C3375" s="6" t="str">
        <f>_xll.QS.CONTEXT.CREATE("market.3373",A3375,"USD","SOFR")</f>
        <v>QSObject:PricingContext:w1~market.3373:15506</v>
      </c>
      <c r="D3375" s="6" t="str">
        <f>_xll.QS.CONTEXT.ADD.CURVE(C3375,"SOFR",$K$2:$K$7,$L$2:$L$7,,,"Actual360","LogLinear",TRUE)</f>
        <v>QSObject:ContextInput:w1~input.qs_context_add_curve.2359132437744.3374.3.0:37159</v>
      </c>
      <c r="E3375" s="6" t="str">
        <f>_xll.QS.INSTRUMENT.SWAP("swap.3373",H3375,B3375,"USD","SOFR",I3375,J3375,0,"Actual360","Simple","Annual","Annual","Annual")</f>
        <v>QSObject:Swap:w1~swap.3373:15505</v>
      </c>
      <c r="F3375" s="6" t="str">
        <f>_xll.QS.TRADE.CREATE("trade.3373",E3375,A3375,"Receive")</f>
        <v>QSObject:SwapTrade:w1~trade.3373:28466</v>
      </c>
      <c r="G3375" s="3">
        <f>_xll.QS.EVALUATE(C3375,F3375)</f>
        <v>32478.971589689674</v>
      </c>
      <c r="H3375" s="5" t="s">
        <v>3137</v>
      </c>
      <c r="I3375" s="7">
        <v>1337300</v>
      </c>
      <c r="J3375" s="8">
        <v>3.73E-2</v>
      </c>
    </row>
    <row r="3376" spans="1:10" x14ac:dyDescent="0.25">
      <c r="A3376" s="5" t="s">
        <v>3125</v>
      </c>
      <c r="B3376" s="5" t="s">
        <v>5243</v>
      </c>
      <c r="C3376" s="6" t="str">
        <f>_xll.QS.CONTEXT.CREATE("market.3374",A3376,"USD","SOFR")</f>
        <v>QSObject:PricingContext:w1~market.3374:15504</v>
      </c>
      <c r="D3376" s="6" t="str">
        <f>_xll.QS.CONTEXT.ADD.CURVE(C3376,"SOFR",$K$2:$K$7,$L$2:$L$7,,,"Actual360","LogLinear",TRUE)</f>
        <v>QSObject:ContextInput:w1~input.qs_context_add_curve.2359132437744.3375.3.0:37158</v>
      </c>
      <c r="E3376" s="6" t="str">
        <f>_xll.QS.INSTRUMENT.SWAP("swap.3374",H3376,B3376,"USD","SOFR",I3376,J3376,0,"Actual360","Simple","Annual","Annual","Annual")</f>
        <v>QSObject:Swap:w1~swap.3374:15503</v>
      </c>
      <c r="F3376" s="6" t="str">
        <f>_xll.QS.TRADE.CREATE("trade.3374",E3376,A3376,"Receive")</f>
        <v>QSObject:SwapTrade:w1~trade.3374:28465</v>
      </c>
      <c r="G3376" s="3">
        <f>_xll.QS.EVALUATE(C3376,F3376)</f>
        <v>33153.755392070496</v>
      </c>
      <c r="H3376" s="5" t="s">
        <v>3139</v>
      </c>
      <c r="I3376" s="7">
        <v>1337400</v>
      </c>
      <c r="J3376" s="8">
        <v>3.7400000000000003E-2</v>
      </c>
    </row>
    <row r="3377" spans="1:10" x14ac:dyDescent="0.25">
      <c r="A3377" s="5" t="s">
        <v>3127</v>
      </c>
      <c r="B3377" s="5" t="s">
        <v>5244</v>
      </c>
      <c r="C3377" s="6" t="str">
        <f>_xll.QS.CONTEXT.CREATE("market.3375",A3377,"USD","SOFR")</f>
        <v>QSObject:PricingContext:w1~market.3375:15502</v>
      </c>
      <c r="D3377" s="6" t="str">
        <f>_xll.QS.CONTEXT.ADD.CURVE(C3377,"SOFR",$K$2:$K$7,$L$2:$L$7,,,"Actual360","LogLinear",TRUE)</f>
        <v>QSObject:ContextInput:w1~input.qs_context_add_curve.2359132437744.3376.3.0:37157</v>
      </c>
      <c r="E3377" s="6" t="str">
        <f>_xll.QS.INSTRUMENT.SWAP("swap.3375",H3377,B3377,"USD","SOFR",I3377,J3377,0,"Actual360","Simple","Annual","Annual","Annual")</f>
        <v>QSObject:Swap:w1~swap.3375:15501</v>
      </c>
      <c r="F3377" s="6" t="str">
        <f>_xll.QS.TRADE.CREATE("trade.3375",E3377,A3377,"Receive")</f>
        <v>QSObject:SwapTrade:w1~trade.3375:28464</v>
      </c>
      <c r="G3377" s="3">
        <f>_xll.QS.EVALUATE(C3377,F3377)</f>
        <v>33871.977871177827</v>
      </c>
      <c r="H3377" s="5" t="s">
        <v>3141</v>
      </c>
      <c r="I3377" s="7">
        <v>1337500</v>
      </c>
      <c r="J3377" s="8">
        <v>3.7500000000000012E-2</v>
      </c>
    </row>
    <row r="3378" spans="1:10" x14ac:dyDescent="0.25">
      <c r="A3378" s="5" t="s">
        <v>3129</v>
      </c>
      <c r="B3378" s="5" t="s">
        <v>5245</v>
      </c>
      <c r="C3378" s="6" t="str">
        <f>_xll.QS.CONTEXT.CREATE("market.3376",A3378,"USD","SOFR")</f>
        <v>QSObject:PricingContext:w1~market.3376:15500</v>
      </c>
      <c r="D3378" s="6" t="str">
        <f>_xll.QS.CONTEXT.ADD.CURVE(C3378,"SOFR",$K$2:$K$7,$L$2:$L$7,,,"Actual360","LogLinear",TRUE)</f>
        <v>QSObject:ContextInput:w1~input.qs_context_add_curve.2359132437744.3377.3.0:37156</v>
      </c>
      <c r="E3378" s="6" t="str">
        <f>_xll.QS.INSTRUMENT.SWAP("swap.3376",H3378,B3378,"USD","SOFR",I3378,J3378,0,"Actual360","Simple","Annual","Annual","Annual")</f>
        <v>QSObject:Swap:w1~swap.3376:15499</v>
      </c>
      <c r="F3378" s="6" t="str">
        <f>_xll.QS.TRADE.CREATE("trade.3376",E3378,A3378,"Receive")</f>
        <v>QSObject:SwapTrade:w1~trade.3376:28463</v>
      </c>
      <c r="G3378" s="3">
        <f>_xll.QS.EVALUATE(C3378,F3378)</f>
        <v>34551.769299605046</v>
      </c>
      <c r="H3378" s="5" t="s">
        <v>3143</v>
      </c>
      <c r="I3378" s="7">
        <v>1337600</v>
      </c>
      <c r="J3378" s="8">
        <v>3.7600000000000001E-2</v>
      </c>
    </row>
    <row r="3379" spans="1:10" x14ac:dyDescent="0.25">
      <c r="A3379" s="5" t="s">
        <v>3131</v>
      </c>
      <c r="B3379" s="5" t="s">
        <v>5246</v>
      </c>
      <c r="C3379" s="6" t="str">
        <f>_xll.QS.CONTEXT.CREATE("market.3377",A3379,"USD","SOFR")</f>
        <v>QSObject:PricingContext:w1~market.3377:15498</v>
      </c>
      <c r="D3379" s="6" t="str">
        <f>_xll.QS.CONTEXT.ADD.CURVE(C3379,"SOFR",$K$2:$K$7,$L$2:$L$7,,,"Actual360","LogLinear",TRUE)</f>
        <v>QSObject:ContextInput:w1~input.qs_context_add_curve.2359132437744.3378.3.0:37155</v>
      </c>
      <c r="E3379" s="6" t="str">
        <f>_xll.QS.INSTRUMENT.SWAP("swap.3377",H3379,B3379,"USD","SOFR",I3379,J3379,0,"Actual360","Simple","Annual","Annual","Annual")</f>
        <v>QSObject:Swap:w1~swap.3377:15497</v>
      </c>
      <c r="F3379" s="6" t="str">
        <f>_xll.QS.TRADE.CREATE("trade.3377",E3379,A3379,"Receive")</f>
        <v>QSObject:SwapTrade:w1~trade.3377:28462</v>
      </c>
      <c r="G3379" s="3">
        <f>_xll.QS.EVALUATE(C3379,F3379)</f>
        <v>35172.459667329676</v>
      </c>
      <c r="H3379" s="5" t="s">
        <v>3145</v>
      </c>
      <c r="I3379" s="7">
        <v>1337700</v>
      </c>
      <c r="J3379" s="8">
        <v>3.7699999999999997E-2</v>
      </c>
    </row>
    <row r="3380" spans="1:10" x14ac:dyDescent="0.25">
      <c r="A3380" s="5" t="s">
        <v>3133</v>
      </c>
      <c r="B3380" s="5" t="s">
        <v>5247</v>
      </c>
      <c r="C3380" s="6" t="str">
        <f>_xll.QS.CONTEXT.CREATE("market.3378",A3380,"USD","SOFR")</f>
        <v>QSObject:PricingContext:w1~market.3378:15496</v>
      </c>
      <c r="D3380" s="6" t="str">
        <f>_xll.QS.CONTEXT.ADD.CURVE(C3380,"SOFR",$K$2:$K$7,$L$2:$L$7,,,"Actual360","LogLinear",TRUE)</f>
        <v>QSObject:ContextInput:w1~input.qs_context_add_curve.2359132437744.3379.3.0:37154</v>
      </c>
      <c r="E3380" s="6" t="str">
        <f>_xll.QS.INSTRUMENT.SWAP("swap.3378",H3380,B3380,"USD","SOFR",I3380,J3380,0,"Actual360","Simple","Annual","Annual","Annual")</f>
        <v>QSObject:Swap:w1~swap.3378:15495</v>
      </c>
      <c r="F3380" s="6" t="str">
        <f>_xll.QS.TRADE.CREATE("trade.3378",E3380,A3380,"Receive")</f>
        <v>QSObject:SwapTrade:w1~trade.3378:28461</v>
      </c>
      <c r="G3380" s="3">
        <f>_xll.QS.EVALUATE(C3380,F3380)</f>
        <v>35639.732522215665</v>
      </c>
      <c r="H3380" s="5" t="s">
        <v>3147</v>
      </c>
      <c r="I3380" s="7">
        <v>1337800</v>
      </c>
      <c r="J3380" s="8">
        <v>3.78E-2</v>
      </c>
    </row>
    <row r="3381" spans="1:10" x14ac:dyDescent="0.25">
      <c r="A3381" s="5" t="s">
        <v>3135</v>
      </c>
      <c r="B3381" s="5" t="s">
        <v>5248</v>
      </c>
      <c r="C3381" s="6" t="str">
        <f>_xll.QS.CONTEXT.CREATE("market.3379",A3381,"USD","SOFR")</f>
        <v>QSObject:PricingContext:w1~market.3379:15494</v>
      </c>
      <c r="D3381" s="6" t="str">
        <f>_xll.QS.CONTEXT.ADD.CURVE(C3381,"SOFR",$K$2:$K$7,$L$2:$L$7,,,"Actual360","LogLinear",TRUE)</f>
        <v>QSObject:ContextInput:w1~input.qs_context_add_curve.2359132437744.3380.3.0:37153</v>
      </c>
      <c r="E3381" s="6" t="str">
        <f>_xll.QS.INSTRUMENT.SWAP("swap.3379",H3381,B3381,"USD","SOFR",I3381,J3381,0,"Actual360","Simple","Annual","Annual","Annual")</f>
        <v>QSObject:Swap:w1~swap.3379:15493</v>
      </c>
      <c r="F3381" s="6" t="str">
        <f>_xll.QS.TRADE.CREATE("trade.3379",E3381,A3381,"Receive")</f>
        <v>QSObject:SwapTrade:w1~trade.3379:28460</v>
      </c>
      <c r="G3381" s="3">
        <f>_xll.QS.EVALUATE(C3381,F3381)</f>
        <v>36194.047995696928</v>
      </c>
      <c r="H3381" s="5" t="s">
        <v>3149</v>
      </c>
      <c r="I3381" s="7">
        <v>1337900</v>
      </c>
      <c r="J3381" s="8">
        <v>3.7900000000000003E-2</v>
      </c>
    </row>
    <row r="3382" spans="1:10" x14ac:dyDescent="0.25">
      <c r="A3382" s="5" t="s">
        <v>3137</v>
      </c>
      <c r="B3382" s="5" t="s">
        <v>5249</v>
      </c>
      <c r="C3382" s="6" t="str">
        <f>_xll.QS.CONTEXT.CREATE("market.3380",A3382,"USD","SOFR")</f>
        <v>QSObject:PricingContext:w1~market.3380:15492</v>
      </c>
      <c r="D3382" s="6" t="str">
        <f>_xll.QS.CONTEXT.ADD.CURVE(C3382,"SOFR",$K$2:$K$7,$L$2:$L$7,,,"Actual360","LogLinear",TRUE)</f>
        <v>QSObject:ContextInput:w1~input.qs_context_add_curve.2359132437744.3381.3.0:37152</v>
      </c>
      <c r="E3382" s="6" t="str">
        <f>_xll.QS.INSTRUMENT.SWAP("swap.3380",H3382,B3382,"USD","SOFR",I3382,J3382,0,"Actual360","Simple","Annual","Annual","Annual")</f>
        <v>QSObject:Swap:w1~swap.3380:15491</v>
      </c>
      <c r="F3382" s="6" t="str">
        <f>_xll.QS.TRADE.CREATE("trade.3380",E3382,A3382,"Receive")</f>
        <v>QSObject:SwapTrade:w1~trade.3380:28459</v>
      </c>
      <c r="G3382" s="3">
        <f>_xll.QS.EVALUATE(C3382,F3382)</f>
        <v>36816.849077750543</v>
      </c>
      <c r="H3382" s="5" t="s">
        <v>3151</v>
      </c>
      <c r="I3382" s="7">
        <v>1338000</v>
      </c>
      <c r="J3382" s="8">
        <v>3.8000000000000013E-2</v>
      </c>
    </row>
    <row r="3383" spans="1:10" x14ac:dyDescent="0.25">
      <c r="A3383" s="5" t="s">
        <v>3139</v>
      </c>
      <c r="B3383" s="5" t="s">
        <v>5250</v>
      </c>
      <c r="C3383" s="6" t="str">
        <f>_xll.QS.CONTEXT.CREATE("market.3381",A3383,"USD","SOFR")</f>
        <v>QSObject:PricingContext:w1~market.3381:15490</v>
      </c>
      <c r="D3383" s="6" t="str">
        <f>_xll.QS.CONTEXT.ADD.CURVE(C3383,"SOFR",$K$2:$K$7,$L$2:$L$7,,,"Actual360","LogLinear",TRUE)</f>
        <v>QSObject:ContextInput:w1~input.qs_context_add_curve.2359132437744.3382.3.0:37151</v>
      </c>
      <c r="E3383" s="6" t="str">
        <f>_xll.QS.INSTRUMENT.SWAP("swap.3381",H3383,B3383,"USD","SOFR",I3383,J3383,0,"Actual360","Simple","Annual","Annual","Annual")</f>
        <v>QSObject:Swap:w1~swap.3381:15489</v>
      </c>
      <c r="F3383" s="6" t="str">
        <f>_xll.QS.TRADE.CREATE("trade.3381",E3383,A3383,"Receive")</f>
        <v>QSObject:SwapTrade:w1~trade.3381:28458</v>
      </c>
      <c r="G3383" s="3">
        <f>_xll.QS.EVALUATE(C3383,F3383)</f>
        <v>37641.498171452411</v>
      </c>
      <c r="H3383" s="5" t="s">
        <v>3153</v>
      </c>
      <c r="I3383" s="7">
        <v>1338100</v>
      </c>
      <c r="J3383" s="8">
        <v>3.8100000000000002E-2</v>
      </c>
    </row>
    <row r="3384" spans="1:10" x14ac:dyDescent="0.25">
      <c r="A3384" s="5" t="s">
        <v>3141</v>
      </c>
      <c r="B3384" s="5" t="s">
        <v>5251</v>
      </c>
      <c r="C3384" s="6" t="str">
        <f>_xll.QS.CONTEXT.CREATE("market.3382",A3384,"USD","SOFR")</f>
        <v>QSObject:PricingContext:w1~market.3382:15488</v>
      </c>
      <c r="D3384" s="6" t="str">
        <f>_xll.QS.CONTEXT.ADD.CURVE(C3384,"SOFR",$K$2:$K$7,$L$2:$L$7,,,"Actual360","LogLinear",TRUE)</f>
        <v>QSObject:ContextInput:w1~input.qs_context_add_curve.2359132437744.3383.3.0:37150</v>
      </c>
      <c r="E3384" s="6" t="str">
        <f>_xll.QS.INSTRUMENT.SWAP("swap.3382",H3384,B3384,"USD","SOFR",I3384,J3384,0,"Actual360","Simple","Annual","Annual","Annual")</f>
        <v>QSObject:Swap:w1~swap.3382:15487</v>
      </c>
      <c r="F3384" s="6" t="str">
        <f>_xll.QS.TRADE.CREATE("trade.3382",E3384,A3384,"Receive")</f>
        <v>QSObject:SwapTrade:w1~trade.3382:28457</v>
      </c>
      <c r="G3384" s="3">
        <f>_xll.QS.EVALUATE(C3384,F3384)</f>
        <v>38260.706483614493</v>
      </c>
      <c r="H3384" s="5" t="s">
        <v>3155</v>
      </c>
      <c r="I3384" s="7">
        <v>1338200</v>
      </c>
      <c r="J3384" s="8">
        <v>3.8199999999999998E-2</v>
      </c>
    </row>
    <row r="3385" spans="1:10" x14ac:dyDescent="0.25">
      <c r="A3385" s="5" t="s">
        <v>3143</v>
      </c>
      <c r="B3385" s="5" t="s">
        <v>5252</v>
      </c>
      <c r="C3385" s="6" t="str">
        <f>_xll.QS.CONTEXT.CREATE("market.3383",A3385,"USD","SOFR")</f>
        <v>QSObject:PricingContext:w1~market.3383:15486</v>
      </c>
      <c r="D3385" s="6" t="str">
        <f>_xll.QS.CONTEXT.ADD.CURVE(C3385,"SOFR",$K$2:$K$7,$L$2:$L$7,,,"Actual360","LogLinear",TRUE)</f>
        <v>QSObject:ContextInput:w1~input.qs_context_add_curve.2359132437744.3384.3.0:37149</v>
      </c>
      <c r="E3385" s="6" t="str">
        <f>_xll.QS.INSTRUMENT.SWAP("swap.3383",H3385,B3385,"USD","SOFR",I3385,J3385,0,"Actual360","Simple","Annual","Annual","Annual")</f>
        <v>QSObject:Swap:w1~swap.3383:15485</v>
      </c>
      <c r="F3385" s="6" t="str">
        <f>_xll.QS.TRADE.CREATE("trade.3383",E3385,A3385,"Receive")</f>
        <v>QSObject:SwapTrade:w1~trade.3383:28456</v>
      </c>
      <c r="G3385" s="3">
        <f>_xll.QS.EVALUATE(C3385,F3385)</f>
        <v>38886.042163491489</v>
      </c>
      <c r="H3385" s="5" t="s">
        <v>3157</v>
      </c>
      <c r="I3385" s="7">
        <v>1338300</v>
      </c>
      <c r="J3385" s="8">
        <v>3.8300000000000001E-2</v>
      </c>
    </row>
    <row r="3386" spans="1:10" x14ac:dyDescent="0.25">
      <c r="A3386" s="5" t="s">
        <v>3145</v>
      </c>
      <c r="B3386" s="5" t="s">
        <v>5253</v>
      </c>
      <c r="C3386" s="6" t="str">
        <f>_xll.QS.CONTEXT.CREATE("market.3384",A3386,"USD","SOFR")</f>
        <v>QSObject:PricingContext:w1~market.3384:15484</v>
      </c>
      <c r="D3386" s="6" t="str">
        <f>_xll.QS.CONTEXT.ADD.CURVE(C3386,"SOFR",$K$2:$K$7,$L$2:$L$7,,,"Actual360","LogLinear",TRUE)</f>
        <v>QSObject:ContextInput:w1~input.qs_context_add_curve.2359132437744.3385.3.0:37148</v>
      </c>
      <c r="E3386" s="6" t="str">
        <f>_xll.QS.INSTRUMENT.SWAP("swap.3384",H3386,B3386,"USD","SOFR",I3386,J3386,0,"Actual360","Simple","Annual","Annual","Annual")</f>
        <v>QSObject:Swap:w1~swap.3384:15483</v>
      </c>
      <c r="F3386" s="6" t="str">
        <f>_xll.QS.TRADE.CREATE("trade.3384",E3386,A3386,"Receive")</f>
        <v>QSObject:SwapTrade:w1~trade.3384:28455</v>
      </c>
      <c r="G3386" s="3">
        <f>_xll.QS.EVALUATE(C3386,F3386)</f>
        <v>39459.069992620301</v>
      </c>
      <c r="H3386" s="5" t="s">
        <v>3159</v>
      </c>
      <c r="I3386" s="7">
        <v>1338400</v>
      </c>
      <c r="J3386" s="8">
        <v>3.8399999999999997E-2</v>
      </c>
    </row>
    <row r="3387" spans="1:10" x14ac:dyDescent="0.25">
      <c r="A3387" s="5" t="s">
        <v>3147</v>
      </c>
      <c r="B3387" s="5" t="s">
        <v>5254</v>
      </c>
      <c r="C3387" s="6" t="str">
        <f>_xll.QS.CONTEXT.CREATE("market.3385",A3387,"USD","SOFR")</f>
        <v>QSObject:PricingContext:w1~market.3385:15482</v>
      </c>
      <c r="D3387" s="6" t="str">
        <f>_xll.QS.CONTEXT.ADD.CURVE(C3387,"SOFR",$K$2:$K$7,$L$2:$L$7,,,"Actual360","LogLinear",TRUE)</f>
        <v>QSObject:ContextInput:w1~input.qs_context_add_curve.2359132437744.3386.3.0:37147</v>
      </c>
      <c r="E3387" s="6" t="str">
        <f>_xll.QS.INSTRUMENT.SWAP("swap.3385",H3387,B3387,"USD","SOFR",I3387,J3387,0,"Actual360","Simple","Annual","Annual","Annual")</f>
        <v>QSObject:Swap:w1~swap.3385:15481</v>
      </c>
      <c r="F3387" s="6" t="str">
        <f>_xll.QS.TRADE.CREATE("trade.3385",E3387,A3387,"Receive")</f>
        <v>QSObject:SwapTrade:w1~trade.3385:28454</v>
      </c>
      <c r="G3387" s="3">
        <f>_xll.QS.EVALUATE(C3387,F3387)</f>
        <v>40081.783681373294</v>
      </c>
      <c r="H3387" s="5" t="s">
        <v>3161</v>
      </c>
      <c r="I3387" s="7">
        <v>1338500</v>
      </c>
      <c r="J3387" s="8">
        <v>3.8500000000000013E-2</v>
      </c>
    </row>
    <row r="3388" spans="1:10" x14ac:dyDescent="0.25">
      <c r="A3388" s="5" t="s">
        <v>3149</v>
      </c>
      <c r="B3388" s="5" t="s">
        <v>5255</v>
      </c>
      <c r="C3388" s="6" t="str">
        <f>_xll.QS.CONTEXT.CREATE("market.3386",A3388,"USD","SOFR")</f>
        <v>QSObject:PricingContext:w1~market.3386:15480</v>
      </c>
      <c r="D3388" s="6" t="str">
        <f>_xll.QS.CONTEXT.ADD.CURVE(C3388,"SOFR",$K$2:$K$7,$L$2:$L$7,,,"Actual360","LogLinear",TRUE)</f>
        <v>QSObject:ContextInput:w1~input.qs_context_add_curve.2359132437744.3387.3.0:37146</v>
      </c>
      <c r="E3388" s="6" t="str">
        <f>_xll.QS.INSTRUMENT.SWAP("swap.3386",H3388,B3388,"USD","SOFR",I3388,J3388,0,"Actual360","Simple","Annual","Annual","Annual")</f>
        <v>QSObject:Swap:w1~swap.3386:15479</v>
      </c>
      <c r="F3388" s="6" t="str">
        <f>_xll.QS.TRADE.CREATE("trade.3386",E3388,A3388,"Receive")</f>
        <v>QSObject:SwapTrade:w1~trade.3386:28453</v>
      </c>
      <c r="G3388" s="3">
        <f>_xll.QS.EVALUATE(C3388,F3388)</f>
        <v>40536.184272781473</v>
      </c>
      <c r="H3388" s="5" t="s">
        <v>3163</v>
      </c>
      <c r="I3388" s="7">
        <v>1338600</v>
      </c>
      <c r="J3388" s="8">
        <v>3.8600000000000002E-2</v>
      </c>
    </row>
    <row r="3389" spans="1:10" x14ac:dyDescent="0.25">
      <c r="A3389" s="5" t="s">
        <v>3151</v>
      </c>
      <c r="B3389" s="5" t="s">
        <v>5256</v>
      </c>
      <c r="C3389" s="6" t="str">
        <f>_xll.QS.CONTEXT.CREATE("market.3387",A3389,"USD","SOFR")</f>
        <v>QSObject:PricingContext:w1~market.3387:15478</v>
      </c>
      <c r="D3389" s="6" t="str">
        <f>_xll.QS.CONTEXT.ADD.CURVE(C3389,"SOFR",$K$2:$K$7,$L$2:$L$7,,,"Actual360","LogLinear",TRUE)</f>
        <v>QSObject:ContextInput:w1~input.qs_context_add_curve.2359132437744.3388.3.0:37145</v>
      </c>
      <c r="E3389" s="6" t="str">
        <f>_xll.QS.INSTRUMENT.SWAP("swap.3387",H3389,B3389,"USD","SOFR",I3389,J3389,0,"Actual360","Simple","Annual","Annual","Annual")</f>
        <v>QSObject:Swap:w1~swap.3387:15477</v>
      </c>
      <c r="F3389" s="6" t="str">
        <f>_xll.QS.TRADE.CREATE("trade.3387",E3389,A3389,"Receive")</f>
        <v>QSObject:SwapTrade:w1~trade.3387:28452</v>
      </c>
      <c r="G3389" s="3">
        <f>_xll.QS.EVALUATE(C3389,F3389)</f>
        <v>41159.696074406973</v>
      </c>
      <c r="H3389" s="5" t="s">
        <v>3165</v>
      </c>
      <c r="I3389" s="7">
        <v>1338700</v>
      </c>
      <c r="J3389" s="8">
        <v>3.8700000000000012E-2</v>
      </c>
    </row>
    <row r="3390" spans="1:10" x14ac:dyDescent="0.25">
      <c r="A3390" s="5" t="s">
        <v>3153</v>
      </c>
      <c r="B3390" s="5" t="s">
        <v>5257</v>
      </c>
      <c r="C3390" s="6" t="str">
        <f>_xll.QS.CONTEXT.CREATE("market.3388",A3390,"USD","SOFR")</f>
        <v>QSObject:PricingContext:w1~market.3388:15476</v>
      </c>
      <c r="D3390" s="6" t="str">
        <f>_xll.QS.CONTEXT.ADD.CURVE(C3390,"SOFR",$K$2:$K$7,$L$2:$L$7,,,"Actual360","LogLinear",TRUE)</f>
        <v>QSObject:ContextInput:w1~input.qs_context_add_curve.2359132437744.3389.3.0:37144</v>
      </c>
      <c r="E3390" s="6" t="str">
        <f>_xll.QS.INSTRUMENT.SWAP("swap.3388",H3390,B3390,"USD","SOFR",I3390,J3390,0,"Actual360","Simple","Annual","Annual","Annual")</f>
        <v>QSObject:Swap:w1~swap.3388:15475</v>
      </c>
      <c r="F3390" s="6" t="str">
        <f>_xll.QS.TRADE.CREATE("trade.3388",E3390,A3390,"Receive")</f>
        <v>QSObject:SwapTrade:w1~trade.3388:28451</v>
      </c>
      <c r="G3390" s="3">
        <f>_xll.QS.EVALUATE(C3390,F3390)</f>
        <v>41836.793301900914</v>
      </c>
      <c r="H3390" s="5" t="s">
        <v>3167</v>
      </c>
      <c r="I3390" s="7">
        <v>1338800</v>
      </c>
      <c r="J3390" s="8">
        <v>3.8800000000000001E-2</v>
      </c>
    </row>
    <row r="3391" spans="1:10" x14ac:dyDescent="0.25">
      <c r="A3391" s="5" t="s">
        <v>3155</v>
      </c>
      <c r="B3391" s="5" t="s">
        <v>5258</v>
      </c>
      <c r="C3391" s="6" t="str">
        <f>_xll.QS.CONTEXT.CREATE("market.3389",A3391,"USD","SOFR")</f>
        <v>QSObject:PricingContext:w1~market.3389:15474</v>
      </c>
      <c r="D3391" s="6" t="str">
        <f>_xll.QS.CONTEXT.ADD.CURVE(C3391,"SOFR",$K$2:$K$7,$L$2:$L$7,,,"Actual360","LogLinear",TRUE)</f>
        <v>QSObject:ContextInput:w1~input.qs_context_add_curve.2359132437744.3390.3.0:37143</v>
      </c>
      <c r="E3391" s="6" t="str">
        <f>_xll.QS.INSTRUMENT.SWAP("swap.3389",H3391,B3391,"USD","SOFR",I3391,J3391,0,"Actual360","Simple","Annual","Annual","Annual")</f>
        <v>QSObject:Swap:w1~swap.3389:15473</v>
      </c>
      <c r="F3391" s="6" t="str">
        <f>_xll.QS.TRADE.CREATE("trade.3389",E3391,A3391,"Receive")</f>
        <v>QSObject:SwapTrade:w1~trade.3389:28450</v>
      </c>
      <c r="G3391" s="3">
        <f>_xll.QS.EVALUATE(C3391,F3391)</f>
        <v>42555.600872144736</v>
      </c>
      <c r="H3391" s="5" t="s">
        <v>3169</v>
      </c>
      <c r="I3391" s="7">
        <v>1338900</v>
      </c>
      <c r="J3391" s="8">
        <v>3.8899999999999997E-2</v>
      </c>
    </row>
    <row r="3392" spans="1:10" x14ac:dyDescent="0.25">
      <c r="A3392" s="5" t="s">
        <v>3157</v>
      </c>
      <c r="B3392" s="5" t="s">
        <v>5259</v>
      </c>
      <c r="C3392" s="6" t="str">
        <f>_xll.QS.CONTEXT.CREATE("market.3390",A3392,"USD","SOFR")</f>
        <v>QSObject:PricingContext:w1~market.3390:15472</v>
      </c>
      <c r="D3392" s="6" t="str">
        <f>_xll.QS.CONTEXT.ADD.CURVE(C3392,"SOFR",$K$2:$K$7,$L$2:$L$7,,,"Actual360","LogLinear",TRUE)</f>
        <v>QSObject:ContextInput:w1~input.qs_context_add_curve.2359132437744.3391.3.0:37142</v>
      </c>
      <c r="E3392" s="6" t="str">
        <f>_xll.QS.INSTRUMENT.SWAP("swap.3390",H3392,B3392,"USD","SOFR",I3392,J3392,0,"Actual360","Simple","Annual","Annual","Annual")</f>
        <v>QSObject:Swap:w1~swap.3390:15471</v>
      </c>
      <c r="F3392" s="6" t="str">
        <f>_xll.QS.TRADE.CREATE("trade.3390",E3392,A3392,"Receive")</f>
        <v>QSObject:SwapTrade:w1~trade.3390:28449</v>
      </c>
      <c r="G3392" s="3">
        <f>_xll.QS.EVALUATE(C3392,F3392)</f>
        <v>43176.023082167674</v>
      </c>
      <c r="H3392" s="5" t="s">
        <v>3171</v>
      </c>
      <c r="I3392" s="7">
        <v>1339000</v>
      </c>
      <c r="J3392" s="8">
        <v>3.9000000000000007E-2</v>
      </c>
    </row>
    <row r="3393" spans="1:10" x14ac:dyDescent="0.25">
      <c r="A3393" s="5" t="s">
        <v>3159</v>
      </c>
      <c r="B3393" s="5" t="s">
        <v>5260</v>
      </c>
      <c r="C3393" s="6" t="str">
        <f>_xll.QS.CONTEXT.CREATE("market.3391",A3393,"USD","SOFR")</f>
        <v>QSObject:PricingContext:w1~market.3391:15470</v>
      </c>
      <c r="D3393" s="6" t="str">
        <f>_xll.QS.CONTEXT.ADD.CURVE(C3393,"SOFR",$K$2:$K$7,$L$2:$L$7,,,"Actual360","LogLinear",TRUE)</f>
        <v>QSObject:ContextInput:w1~input.qs_context_add_curve.2359132437744.3392.3.0:37141</v>
      </c>
      <c r="E3393" s="6" t="str">
        <f>_xll.QS.INSTRUMENT.SWAP("swap.3391",H3393,B3393,"USD","SOFR",I3393,J3393,0,"Actual360","Simple","Annual","Annual","Annual")</f>
        <v>QSObject:Swap:w1~swap.3391:15469</v>
      </c>
      <c r="F3393" s="6" t="str">
        <f>_xll.QS.TRADE.CREATE("trade.3391",E3393,A3393,"Receive")</f>
        <v>QSObject:SwapTrade:w1~trade.3391:28448</v>
      </c>
      <c r="G3393" s="3">
        <f>_xll.QS.EVALUATE(C3393,F3393)</f>
        <v>43805.771938205668</v>
      </c>
      <c r="H3393" s="5" t="s">
        <v>3173</v>
      </c>
      <c r="I3393" s="7">
        <v>1339100</v>
      </c>
      <c r="J3393" s="8">
        <v>3.9100000000000003E-2</v>
      </c>
    </row>
    <row r="3394" spans="1:10" x14ac:dyDescent="0.25">
      <c r="A3394" s="5" t="s">
        <v>3161</v>
      </c>
      <c r="B3394" s="5" t="s">
        <v>5261</v>
      </c>
      <c r="C3394" s="6" t="str">
        <f>_xll.QS.CONTEXT.CREATE("market.3392",A3394,"USD","SOFR")</f>
        <v>QSObject:PricingContext:w1~market.3392:15468</v>
      </c>
      <c r="D3394" s="6" t="str">
        <f>_xll.QS.CONTEXT.ADD.CURVE(C3394,"SOFR",$K$2:$K$7,$L$2:$L$7,,,"Actual360","LogLinear",TRUE)</f>
        <v>QSObject:ContextInput:w1~input.qs_context_add_curve.2359132437744.3393.3.0:37140</v>
      </c>
      <c r="E3394" s="6" t="str">
        <f>_xll.QS.INSTRUMENT.SWAP("swap.3392",H3394,B3394,"USD","SOFR",I3394,J3394,0,"Actual360","Simple","Annual","Annual","Annual")</f>
        <v>QSObject:Swap:w1~swap.3392:15467</v>
      </c>
      <c r="F3394" s="6" t="str">
        <f>_xll.QS.TRADE.CREATE("trade.3392",E3394,A3394,"Receive")</f>
        <v>QSObject:SwapTrade:w1~trade.3392:28447</v>
      </c>
      <c r="G3394" s="3">
        <f>_xll.QS.EVALUATE(C3394,F3394)</f>
        <v>44426.99029447358</v>
      </c>
      <c r="H3394" s="5" t="s">
        <v>3175</v>
      </c>
      <c r="I3394" s="7">
        <v>1339200</v>
      </c>
      <c r="J3394" s="8">
        <v>3.9200000000000013E-2</v>
      </c>
    </row>
    <row r="3395" spans="1:10" x14ac:dyDescent="0.25">
      <c r="A3395" s="5" t="s">
        <v>3163</v>
      </c>
      <c r="B3395" s="5" t="s">
        <v>5262</v>
      </c>
      <c r="C3395" s="6" t="str">
        <f>_xll.QS.CONTEXT.CREATE("market.3393",A3395,"USD","SOFR")</f>
        <v>QSObject:PricingContext:w1~market.3393:15466</v>
      </c>
      <c r="D3395" s="6" t="str">
        <f>_xll.QS.CONTEXT.ADD.CURVE(C3395,"SOFR",$K$2:$K$7,$L$2:$L$7,,,"Actual360","LogLinear",TRUE)</f>
        <v>QSObject:ContextInput:w1~input.qs_context_add_curve.2359132437744.3394.3.0:37139</v>
      </c>
      <c r="E3395" s="6" t="str">
        <f>_xll.QS.INSTRUMENT.SWAP("swap.3393",H3395,B3395,"USD","SOFR",I3395,J3395,0,"Actual360","Simple","Annual","Annual","Annual")</f>
        <v>QSObject:Swap:w1~swap.3393:15465</v>
      </c>
      <c r="F3395" s="6" t="str">
        <f>_xll.QS.TRADE.CREATE("trade.3393",E3395,A3395,"Receive")</f>
        <v>QSObject:SwapTrade:w1~trade.3393:28446</v>
      </c>
      <c r="G3395" s="3">
        <f>_xll.QS.EVALUATE(C3395,F3395)</f>
        <v>44881.080632517485</v>
      </c>
      <c r="H3395" s="5" t="s">
        <v>3177</v>
      </c>
      <c r="I3395" s="7">
        <v>1339300</v>
      </c>
      <c r="J3395" s="8">
        <v>3.9300000000000002E-2</v>
      </c>
    </row>
    <row r="3396" spans="1:10" x14ac:dyDescent="0.25">
      <c r="A3396" s="5" t="s">
        <v>3165</v>
      </c>
      <c r="B3396" s="5" t="s">
        <v>5263</v>
      </c>
      <c r="C3396" s="6" t="str">
        <f>_xll.QS.CONTEXT.CREATE("market.3394",A3396,"USD","SOFR")</f>
        <v>QSObject:PricingContext:w1~market.3394:15464</v>
      </c>
      <c r="D3396" s="6" t="str">
        <f>_xll.QS.CONTEXT.ADD.CURVE(C3396,"SOFR",$K$2:$K$7,$L$2:$L$7,,,"Actual360","LogLinear",TRUE)</f>
        <v>QSObject:ContextInput:w1~input.qs_context_add_curve.2359132437744.3395.3.0:37138</v>
      </c>
      <c r="E3396" s="6" t="str">
        <f>_xll.QS.INSTRUMENT.SWAP("swap.3394",H3396,B3396,"USD","SOFR",I3396,J3396,0,"Actual360","Simple","Annual","Annual","Annual")</f>
        <v>QSObject:Swap:w1~swap.3394:15463</v>
      </c>
      <c r="F3396" s="6" t="str">
        <f>_xll.QS.TRADE.CREATE("trade.3394",E3396,A3396,"Receive")</f>
        <v>QSObject:SwapTrade:w1~trade.3394:28445</v>
      </c>
      <c r="G3396" s="3">
        <f>_xll.QS.EVALUATE(C3396,F3396)</f>
        <v>45506.189151018712</v>
      </c>
      <c r="H3396" s="5" t="s">
        <v>3179</v>
      </c>
      <c r="I3396" s="7">
        <v>1339400</v>
      </c>
      <c r="J3396" s="8">
        <v>3.9399999999999998E-2</v>
      </c>
    </row>
    <row r="3397" spans="1:10" x14ac:dyDescent="0.25">
      <c r="A3397" s="5" t="s">
        <v>3167</v>
      </c>
      <c r="B3397" s="5" t="s">
        <v>5264</v>
      </c>
      <c r="C3397" s="6" t="str">
        <f>_xll.QS.CONTEXT.CREATE("market.3395",A3397,"USD","SOFR")</f>
        <v>QSObject:PricingContext:w1~market.3395:15462</v>
      </c>
      <c r="D3397" s="6" t="str">
        <f>_xll.QS.CONTEXT.ADD.CURVE(C3397,"SOFR",$K$2:$K$7,$L$2:$L$7,,,"Actual360","LogLinear",TRUE)</f>
        <v>QSObject:ContextInput:w1~input.qs_context_add_curve.2359132437744.3396.3.0:37137</v>
      </c>
      <c r="E3397" s="6" t="str">
        <f>_xll.QS.INSTRUMENT.SWAP("swap.3395",H3397,B3397,"USD","SOFR",I3397,J3397,0,"Actual360","Simple","Annual","Annual","Annual")</f>
        <v>QSObject:Swap:w1~swap.3395:15461</v>
      </c>
      <c r="F3397" s="6" t="str">
        <f>_xll.QS.TRADE.CREATE("trade.3395",E3397,A3397,"Receive")</f>
        <v>QSObject:SwapTrade:w1~trade.3395:28444</v>
      </c>
      <c r="G3397" s="3">
        <f>_xll.QS.EVALUATE(C3397,F3397)</f>
        <v>46184.173330139667</v>
      </c>
      <c r="H3397" s="5" t="s">
        <v>3181</v>
      </c>
      <c r="I3397" s="7">
        <v>1339500</v>
      </c>
      <c r="J3397" s="8">
        <v>3.9500000000000007E-2</v>
      </c>
    </row>
    <row r="3398" spans="1:10" x14ac:dyDescent="0.25">
      <c r="A3398" s="5" t="s">
        <v>3169</v>
      </c>
      <c r="B3398" s="5" t="s">
        <v>5265</v>
      </c>
      <c r="C3398" s="6" t="str">
        <f>_xll.QS.CONTEXT.CREATE("market.3396",A3398,"USD","SOFR")</f>
        <v>QSObject:PricingContext:w1~market.3396:15460</v>
      </c>
      <c r="D3398" s="6" t="str">
        <f>_xll.QS.CONTEXT.ADD.CURVE(C3398,"SOFR",$K$2:$K$7,$L$2:$L$7,,,"Actual360","LogLinear",TRUE)</f>
        <v>QSObject:ContextInput:w1~input.qs_context_add_curve.2359132437744.3397.3.0:37136</v>
      </c>
      <c r="E3398" s="6" t="str">
        <f>_xll.QS.INSTRUMENT.SWAP("swap.3396",H3398,B3398,"USD","SOFR",I3398,J3398,0,"Actual360","Simple","Annual","Annual","Annual")</f>
        <v>QSObject:Swap:w1~swap.3396:15459</v>
      </c>
      <c r="F3398" s="6" t="str">
        <f>_xll.QS.TRADE.CREATE("trade.3396",E3398,A3398,"Receive")</f>
        <v>QSObject:SwapTrade:w1~trade.3396:28443</v>
      </c>
      <c r="G3398" s="3">
        <f>_xll.QS.EVALUATE(C3398,F3398)</f>
        <v>46904.194489762958</v>
      </c>
      <c r="H3398" s="5" t="s">
        <v>3183</v>
      </c>
      <c r="I3398" s="7">
        <v>1339600</v>
      </c>
      <c r="J3398" s="8">
        <v>3.9600000000000003E-2</v>
      </c>
    </row>
    <row r="3399" spans="1:10" x14ac:dyDescent="0.25">
      <c r="A3399" s="5" t="s">
        <v>3171</v>
      </c>
      <c r="B3399" s="5" t="s">
        <v>5266</v>
      </c>
      <c r="C3399" s="6" t="str">
        <f>_xll.QS.CONTEXT.CREATE("market.3397",A3399,"USD","SOFR")</f>
        <v>QSObject:PricingContext:w1~market.3397:15458</v>
      </c>
      <c r="D3399" s="6" t="str">
        <f>_xll.QS.CONTEXT.ADD.CURVE(C3399,"SOFR",$K$2:$K$7,$L$2:$L$7,,,"Actual360","LogLinear",TRUE)</f>
        <v>QSObject:ContextInput:w1~input.qs_context_add_curve.2359132437744.3398.3.0:37135</v>
      </c>
      <c r="E3399" s="6" t="str">
        <f>_xll.QS.INSTRUMENT.SWAP("swap.3397",H3399,B3399,"USD","SOFR",I3399,J3399,0,"Actual360","Simple","Annual","Annual","Annual")</f>
        <v>QSObject:Swap:w1~swap.3397:15457</v>
      </c>
      <c r="F3399" s="6" t="str">
        <f>_xll.QS.TRADE.CREATE("trade.3397",E3399,A3399,"Receive")</f>
        <v>QSObject:SwapTrade:w1~trade.3397:28442</v>
      </c>
      <c r="G3399" s="3">
        <f>_xll.QS.EVALUATE(C3399,F3399)</f>
        <v>47525.560900260891</v>
      </c>
      <c r="H3399" s="5" t="s">
        <v>3185</v>
      </c>
      <c r="I3399" s="7">
        <v>1339700</v>
      </c>
      <c r="J3399" s="8">
        <v>3.9700000000000013E-2</v>
      </c>
    </row>
    <row r="3400" spans="1:10" x14ac:dyDescent="0.25">
      <c r="A3400" s="5" t="s">
        <v>3173</v>
      </c>
      <c r="B3400" s="5" t="s">
        <v>5267</v>
      </c>
      <c r="C3400" s="6" t="str">
        <f>_xll.QS.CONTEXT.CREATE("market.3398",A3400,"USD","SOFR")</f>
        <v>QSObject:PricingContext:w1~market.3398:15456</v>
      </c>
      <c r="D3400" s="6" t="str">
        <f>_xll.QS.CONTEXT.ADD.CURVE(C3400,"SOFR",$K$2:$K$7,$L$2:$L$7,,,"Actual360","LogLinear",TRUE)</f>
        <v>QSObject:ContextInput:w1~input.qs_context_add_curve.2359132437744.3399.3.0:37134</v>
      </c>
      <c r="E3400" s="6" t="str">
        <f>_xll.QS.INSTRUMENT.SWAP("swap.3398",H3400,B3400,"USD","SOFR",I3400,J3400,0,"Actual360","Simple","Annual","Annual","Annual")</f>
        <v>QSObject:Swap:w1~swap.3398:15455</v>
      </c>
      <c r="F3400" s="6" t="str">
        <f>_xll.QS.TRADE.CREATE("trade.3398",E3400,A3400,"Receive")</f>
        <v>QSObject:SwapTrade:w1~trade.3398:28441</v>
      </c>
      <c r="G3400" s="3">
        <f>_xll.QS.EVALUATE(C3400,F3400)</f>
        <v>48154.74224778833</v>
      </c>
      <c r="H3400" s="5" t="s">
        <v>3187</v>
      </c>
      <c r="I3400" s="7">
        <v>1339800</v>
      </c>
      <c r="J3400" s="8">
        <v>3.9800000000000002E-2</v>
      </c>
    </row>
    <row r="3401" spans="1:10" x14ac:dyDescent="0.25">
      <c r="A3401" s="5" t="s">
        <v>3175</v>
      </c>
      <c r="B3401" s="5" t="s">
        <v>5268</v>
      </c>
      <c r="C3401" s="6" t="str">
        <f>_xll.QS.CONTEXT.CREATE("market.3399",A3401,"USD","SOFR")</f>
        <v>QSObject:PricingContext:w1~market.3399:15454</v>
      </c>
      <c r="D3401" s="6" t="str">
        <f>_xll.QS.CONTEXT.ADD.CURVE(C3401,"SOFR",$K$2:$K$7,$L$2:$L$7,,,"Actual360","LogLinear",TRUE)</f>
        <v>QSObject:ContextInput:w1~input.qs_context_add_curve.2359132437744.3400.3.0:37133</v>
      </c>
      <c r="E3401" s="6" t="str">
        <f>_xll.QS.INSTRUMENT.SWAP("swap.3399",H3401,B3401,"USD","SOFR",I3401,J3401,0,"Actual360","Simple","Annual","Annual","Annual")</f>
        <v>QSObject:Swap:w1~swap.3399:15453</v>
      </c>
      <c r="F3401" s="6" t="str">
        <f>_xll.QS.TRADE.CREATE("trade.3399",E3401,A3401,"Receive")</f>
        <v>QSObject:SwapTrade:w1~trade.3399:28440</v>
      </c>
      <c r="G3401" s="3">
        <f>_xll.QS.EVALUATE(C3401,F3401)</f>
        <v>48776.794885039082</v>
      </c>
      <c r="H3401" s="5" t="s">
        <v>3189</v>
      </c>
      <c r="I3401" s="7">
        <v>1339900</v>
      </c>
      <c r="J3401" s="8">
        <v>3.9899999999999998E-2</v>
      </c>
    </row>
    <row r="3402" spans="1:10" x14ac:dyDescent="0.25">
      <c r="A3402" s="5" t="s">
        <v>3177</v>
      </c>
      <c r="B3402" s="5" t="s">
        <v>5269</v>
      </c>
      <c r="C3402" s="6" t="str">
        <f>_xll.QS.CONTEXT.CREATE("market.3400",A3402,"USD","SOFR")</f>
        <v>QSObject:PricingContext:w1~market.3400:15452</v>
      </c>
      <c r="D3402" s="6" t="str">
        <f>_xll.QS.CONTEXT.ADD.CURVE(C3402,"SOFR",$K$2:$K$7,$L$2:$L$7,,,"Actual360","LogLinear",TRUE)</f>
        <v>QSObject:ContextInput:w1~input.qs_context_add_curve.2359132437744.3401.3.0:37132</v>
      </c>
      <c r="E3402" s="6" t="str">
        <f>_xll.QS.INSTRUMENT.SWAP("swap.3400",H3402,B3402,"USD","SOFR",I3402,J3402,0,"Actual360","Simple","Annual","Annual","Annual")</f>
        <v>QSObject:Swap:w1~swap.3400:15451</v>
      </c>
      <c r="F3402" s="6" t="str">
        <f>_xll.QS.TRADE.CREATE("trade.3400",E3402,A3402,"Receive")</f>
        <v>QSObject:SwapTrade:w1~trade.3400:28439</v>
      </c>
      <c r="G3402" s="3">
        <f>_xll.QS.EVALUATE(C3402,F3402)</f>
        <v>18325.595163614977</v>
      </c>
      <c r="H3402" s="5" t="s">
        <v>3191</v>
      </c>
      <c r="I3402" s="7">
        <v>1340000</v>
      </c>
      <c r="J3402" s="8">
        <v>3.5000000000000003E-2</v>
      </c>
    </row>
    <row r="3403" spans="1:10" x14ac:dyDescent="0.25">
      <c r="A3403" s="5" t="s">
        <v>3179</v>
      </c>
      <c r="B3403" s="5" t="s">
        <v>5270</v>
      </c>
      <c r="C3403" s="6" t="str">
        <f>_xll.QS.CONTEXT.CREATE("market.3401",A3403,"USD","SOFR")</f>
        <v>QSObject:PricingContext:w1~market.3401:15450</v>
      </c>
      <c r="D3403" s="6" t="str">
        <f>_xll.QS.CONTEXT.ADD.CURVE(C3403,"SOFR",$K$2:$K$7,$L$2:$L$7,,,"Actual360","LogLinear",TRUE)</f>
        <v>QSObject:ContextInput:w1~input.qs_context_add_curve.2359132437744.3402.3.0:37131</v>
      </c>
      <c r="E3403" s="6" t="str">
        <f>_xll.QS.INSTRUMENT.SWAP("swap.3401",H3403,B3403,"USD","SOFR",I3403,J3403,0,"Actual360","Simple","Annual","Annual","Annual")</f>
        <v>QSObject:Swap:w1~swap.3401:15449</v>
      </c>
      <c r="F3403" s="6" t="str">
        <f>_xll.QS.TRADE.CREATE("trade.3401",E3403,A3403,"Receive")</f>
        <v>QSObject:SwapTrade:w1~trade.3401:28438</v>
      </c>
      <c r="G3403" s="3">
        <f>_xll.QS.EVALUATE(C3403,F3403)</f>
        <v>18946.52831977413</v>
      </c>
      <c r="H3403" s="5" t="s">
        <v>3193</v>
      </c>
      <c r="I3403" s="7">
        <v>1340100</v>
      </c>
      <c r="J3403" s="8">
        <v>3.5100000000000013E-2</v>
      </c>
    </row>
    <row r="3404" spans="1:10" x14ac:dyDescent="0.25">
      <c r="A3404" s="5" t="s">
        <v>3181</v>
      </c>
      <c r="B3404" s="5" t="s">
        <v>5271</v>
      </c>
      <c r="C3404" s="6" t="str">
        <f>_xll.QS.CONTEXT.CREATE("market.3402",A3404,"USD","SOFR")</f>
        <v>QSObject:PricingContext:w1~market.3402:15448</v>
      </c>
      <c r="D3404" s="6" t="str">
        <f>_xll.QS.CONTEXT.ADD.CURVE(C3404,"SOFR",$K$2:$K$7,$L$2:$L$7,,,"Actual360","LogLinear",TRUE)</f>
        <v>QSObject:ContextInput:w1~input.qs_context_add_curve.2359132437744.3403.3.0:37130</v>
      </c>
      <c r="E3404" s="6" t="str">
        <f>_xll.QS.INSTRUMENT.SWAP("swap.3402",H3404,B3404,"USD","SOFR",I3404,J3404,0,"Actual360","Simple","Annual","Annual","Annual")</f>
        <v>QSObject:Swap:w1~swap.3402:15447</v>
      </c>
      <c r="F3404" s="6" t="str">
        <f>_xll.QS.TRADE.CREATE("trade.3402",E3404,A3404,"Receive")</f>
        <v>QSObject:SwapTrade:w1~trade.3402:28437</v>
      </c>
      <c r="G3404" s="3">
        <f>_xll.QS.EVALUATE(C3404,F3404)</f>
        <v>19621.128811127666</v>
      </c>
      <c r="H3404" s="5" t="s">
        <v>3195</v>
      </c>
      <c r="I3404" s="7">
        <v>1340200</v>
      </c>
      <c r="J3404" s="8">
        <v>3.5200000000000002E-2</v>
      </c>
    </row>
    <row r="3405" spans="1:10" x14ac:dyDescent="0.25">
      <c r="A3405" s="5" t="s">
        <v>3183</v>
      </c>
      <c r="B3405" s="5" t="s">
        <v>5272</v>
      </c>
      <c r="C3405" s="6" t="str">
        <f>_xll.QS.CONTEXT.CREATE("market.3403",A3405,"USD","SOFR")</f>
        <v>QSObject:PricingContext:w1~market.3403:15446</v>
      </c>
      <c r="D3405" s="6" t="str">
        <f>_xll.QS.CONTEXT.ADD.CURVE(C3405,"SOFR",$K$2:$K$7,$L$2:$L$7,,,"Actual360","LogLinear",TRUE)</f>
        <v>QSObject:ContextInput:w1~input.qs_context_add_curve.2359132437744.3404.3.0:37129</v>
      </c>
      <c r="E3405" s="6" t="str">
        <f>_xll.QS.INSTRUMENT.SWAP("swap.3403",H3405,B3405,"USD","SOFR",I3405,J3405,0,"Actual360","Simple","Annual","Annual","Annual")</f>
        <v>QSObject:Swap:w1~swap.3403:15445</v>
      </c>
      <c r="F3405" s="6" t="str">
        <f>_xll.QS.TRADE.CREATE("trade.3403",E3405,A3405,"Receive")</f>
        <v>QSObject:SwapTrade:w1~trade.3403:28436</v>
      </c>
      <c r="G3405" s="3">
        <f>_xll.QS.EVALUATE(C3405,F3405)</f>
        <v>20339.210023017069</v>
      </c>
      <c r="H3405" s="5" t="s">
        <v>3197</v>
      </c>
      <c r="I3405" s="7">
        <v>1340300</v>
      </c>
      <c r="J3405" s="8">
        <v>3.5299999999999998E-2</v>
      </c>
    </row>
    <row r="3406" spans="1:10" x14ac:dyDescent="0.25">
      <c r="A3406" s="5" t="s">
        <v>3185</v>
      </c>
      <c r="B3406" s="5" t="s">
        <v>5273</v>
      </c>
      <c r="C3406" s="6" t="str">
        <f>_xll.QS.CONTEXT.CREATE("market.3404",A3406,"USD","SOFR")</f>
        <v>QSObject:PricingContext:w1~market.3404:15444</v>
      </c>
      <c r="D3406" s="6" t="str">
        <f>_xll.QS.CONTEXT.ADD.CURVE(C3406,"SOFR",$K$2:$K$7,$L$2:$L$7,,,"Actual360","LogLinear",TRUE)</f>
        <v>QSObject:ContextInput:w1~input.qs_context_add_curve.2359132437744.3405.3.0:37128</v>
      </c>
      <c r="E3406" s="6" t="str">
        <f>_xll.QS.INSTRUMENT.SWAP("swap.3404",H3406,B3406,"USD","SOFR",I3406,J3406,0,"Actual360","Simple","Annual","Annual","Annual")</f>
        <v>QSObject:Swap:w1~swap.3404:15443</v>
      </c>
      <c r="F3406" s="6" t="str">
        <f>_xll.QS.TRADE.CREATE("trade.3404",E3406,A3406,"Receive")</f>
        <v>QSObject:SwapTrade:w1~trade.3404:28435</v>
      </c>
      <c r="G3406" s="3">
        <f>_xll.QS.EVALUATE(C3406,F3406)</f>
        <v>20958.99426635947</v>
      </c>
      <c r="H3406" s="5" t="s">
        <v>3199</v>
      </c>
      <c r="I3406" s="7">
        <v>1340400</v>
      </c>
      <c r="J3406" s="8">
        <v>3.5400000000000001E-2</v>
      </c>
    </row>
    <row r="3407" spans="1:10" x14ac:dyDescent="0.25">
      <c r="A3407" s="5" t="s">
        <v>3187</v>
      </c>
      <c r="B3407" s="5" t="s">
        <v>5274</v>
      </c>
      <c r="C3407" s="6" t="str">
        <f>_xll.QS.CONTEXT.CREATE("market.3405",A3407,"USD","SOFR")</f>
        <v>QSObject:PricingContext:w1~market.3405:15442</v>
      </c>
      <c r="D3407" s="6" t="str">
        <f>_xll.QS.CONTEXT.ADD.CURVE(C3407,"SOFR",$K$2:$K$7,$L$2:$L$7,,,"Actual360","LogLinear",TRUE)</f>
        <v>QSObject:ContextInput:w1~input.qs_context_add_curve.2359132437744.3406.3.0:37127</v>
      </c>
      <c r="E3407" s="6" t="str">
        <f>_xll.QS.INSTRUMENT.SWAP("swap.3405",H3407,B3407,"USD","SOFR",I3407,J3407,0,"Actual360","Simple","Annual","Annual","Annual")</f>
        <v>QSObject:Swap:w1~swap.3405:15441</v>
      </c>
      <c r="F3407" s="6" t="str">
        <f>_xll.QS.TRADE.CREATE("trade.3405",E3407,A3407,"Receive")</f>
        <v>QSObject:SwapTrade:w1~trade.3405:28434</v>
      </c>
      <c r="G3407" s="3">
        <f>_xll.QS.EVALUATE(C3407,F3407)</f>
        <v>21585.635688307826</v>
      </c>
      <c r="H3407" s="5" t="s">
        <v>3201</v>
      </c>
      <c r="I3407" s="7">
        <v>1340500</v>
      </c>
      <c r="J3407" s="8">
        <v>3.5499999999999997E-2</v>
      </c>
    </row>
    <row r="3408" spans="1:10" x14ac:dyDescent="0.25">
      <c r="A3408" s="5" t="s">
        <v>3189</v>
      </c>
      <c r="B3408" s="5" t="s">
        <v>5275</v>
      </c>
      <c r="C3408" s="6" t="str">
        <f>_xll.QS.CONTEXT.CREATE("market.3406",A3408,"USD","SOFR")</f>
        <v>QSObject:PricingContext:w1~market.3406:15440</v>
      </c>
      <c r="D3408" s="6" t="str">
        <f>_xll.QS.CONTEXT.ADD.CURVE(C3408,"SOFR",$K$2:$K$7,$L$2:$L$7,,,"Actual360","LogLinear",TRUE)</f>
        <v>QSObject:ContextInput:w1~input.qs_context_add_curve.2359132437744.3407.3.0:37126</v>
      </c>
      <c r="E3408" s="6" t="str">
        <f>_xll.QS.INSTRUMENT.SWAP("swap.3406",H3408,B3408,"USD","SOFR",I3408,J3408,0,"Actual360","Simple","Annual","Annual","Annual")</f>
        <v>QSObject:Swap:w1~swap.3406:15439</v>
      </c>
      <c r="F3408" s="6" t="str">
        <f>_xll.QS.TRADE.CREATE("trade.3406",E3408,A3408,"Receive")</f>
        <v>QSObject:SwapTrade:w1~trade.3406:28433</v>
      </c>
      <c r="G3408" s="3">
        <f>_xll.QS.EVALUATE(C3408,F3408)</f>
        <v>22206.835940741083</v>
      </c>
      <c r="H3408" s="5" t="s">
        <v>3203</v>
      </c>
      <c r="I3408" s="7">
        <v>1340600</v>
      </c>
      <c r="J3408" s="8">
        <v>3.5600000000000007E-2</v>
      </c>
    </row>
    <row r="3409" spans="1:10" x14ac:dyDescent="0.25">
      <c r="A3409" s="5" t="s">
        <v>3191</v>
      </c>
      <c r="B3409" s="5" t="s">
        <v>5276</v>
      </c>
      <c r="C3409" s="6" t="str">
        <f>_xll.QS.CONTEXT.CREATE("market.3407",A3409,"USD","SOFR")</f>
        <v>QSObject:PricingContext:w1~market.3407:15438</v>
      </c>
      <c r="D3409" s="6" t="str">
        <f>_xll.QS.CONTEXT.ADD.CURVE(C3409,"SOFR",$K$2:$K$7,$L$2:$L$7,,,"Actual360","LogLinear",TRUE)</f>
        <v>QSObject:ContextInput:w1~input.qs_context_add_curve.2359132437744.3408.3.0:37125</v>
      </c>
      <c r="E3409" s="6" t="str">
        <f>_xll.QS.INSTRUMENT.SWAP("swap.3407",H3409,B3409,"USD","SOFR",I3409,J3409,0,"Actual360","Simple","Annual","Annual","Annual")</f>
        <v>QSObject:Swap:w1~swap.3407:15437</v>
      </c>
      <c r="F3409" s="6" t="str">
        <f>_xll.QS.TRADE.CREATE("trade.3407",E3409,A3409,"Receive")</f>
        <v>QSObject:SwapTrade:w1~trade.3407:28432</v>
      </c>
      <c r="G3409" s="3">
        <f>_xll.QS.EVALUATE(C3409,F3409)</f>
        <v>22664.21470602636</v>
      </c>
      <c r="H3409" s="5" t="s">
        <v>3205</v>
      </c>
      <c r="I3409" s="7">
        <v>1340700</v>
      </c>
      <c r="J3409" s="8">
        <v>3.5700000000000003E-2</v>
      </c>
    </row>
    <row r="3410" spans="1:10" x14ac:dyDescent="0.25">
      <c r="A3410" s="5" t="s">
        <v>3193</v>
      </c>
      <c r="B3410" s="5" t="s">
        <v>5277</v>
      </c>
      <c r="C3410" s="6" t="str">
        <f>_xll.QS.CONTEXT.CREATE("market.3408",A3410,"USD","SOFR")</f>
        <v>QSObject:PricingContext:w1~market.3408:15436</v>
      </c>
      <c r="D3410" s="6" t="str">
        <f>_xll.QS.CONTEXT.ADD.CURVE(C3410,"SOFR",$K$2:$K$7,$L$2:$L$7,,,"Actual360","LogLinear",TRUE)</f>
        <v>QSObject:ContextInput:w1~input.qs_context_add_curve.2359132437744.3409.3.0:37124</v>
      </c>
      <c r="E3410" s="6" t="str">
        <f>_xll.QS.INSTRUMENT.SWAP("swap.3408",H3410,B3410,"USD","SOFR",I3410,J3410,0,"Actual360","Simple","Annual","Annual","Annual")</f>
        <v>QSObject:Swap:w1~swap.3408:15435</v>
      </c>
      <c r="F3410" s="6" t="str">
        <f>_xll.QS.TRADE.CREATE("trade.3408",E3410,A3410,"Receive")</f>
        <v>QSObject:SwapTrade:w1~trade.3408:28431</v>
      </c>
      <c r="G3410" s="3">
        <f>_xll.QS.EVALUATE(C3410,F3410)</f>
        <v>23286.157480756985</v>
      </c>
      <c r="H3410" s="5" t="s">
        <v>3207</v>
      </c>
      <c r="I3410" s="7">
        <v>1340800</v>
      </c>
      <c r="J3410" s="8">
        <v>3.5800000000000012E-2</v>
      </c>
    </row>
    <row r="3411" spans="1:10" x14ac:dyDescent="0.25">
      <c r="A3411" s="5" t="s">
        <v>3195</v>
      </c>
      <c r="B3411" s="5" t="s">
        <v>5278</v>
      </c>
      <c r="C3411" s="6" t="str">
        <f>_xll.QS.CONTEXT.CREATE("market.3409",A3411,"USD","SOFR")</f>
        <v>QSObject:PricingContext:w1~market.3409:15434</v>
      </c>
      <c r="D3411" s="6" t="str">
        <f>_xll.QS.CONTEXT.ADD.CURVE(C3411,"SOFR",$K$2:$K$7,$L$2:$L$7,,,"Actual360","LogLinear",TRUE)</f>
        <v>QSObject:ContextInput:w1~input.qs_context_add_curve.2359132437744.3410.3.0:37123</v>
      </c>
      <c r="E3411" s="6" t="str">
        <f>_xll.QS.INSTRUMENT.SWAP("swap.3409",H3411,B3411,"USD","SOFR",I3411,J3411,0,"Actual360","Simple","Annual","Annual","Annual")</f>
        <v>QSObject:Swap:w1~swap.3409:15433</v>
      </c>
      <c r="F3411" s="6" t="str">
        <f>_xll.QS.TRADE.CREATE("trade.3409",E3411,A3411,"Receive")</f>
        <v>QSObject:SwapTrade:w1~trade.3409:28430</v>
      </c>
      <c r="G3411" s="3">
        <f>_xll.QS.EVALUATE(C3411,F3411)</f>
        <v>23961.856108145003</v>
      </c>
      <c r="H3411" s="5" t="s">
        <v>3209</v>
      </c>
      <c r="I3411" s="7">
        <v>1340900</v>
      </c>
      <c r="J3411" s="8">
        <v>3.5900000000000001E-2</v>
      </c>
    </row>
    <row r="3412" spans="1:10" x14ac:dyDescent="0.25">
      <c r="A3412" s="5" t="s">
        <v>3197</v>
      </c>
      <c r="B3412" s="5" t="s">
        <v>5279</v>
      </c>
      <c r="C3412" s="6" t="str">
        <f>_xll.QS.CONTEXT.CREATE("market.3410",A3412,"USD","SOFR")</f>
        <v>QSObject:PricingContext:w1~market.3410:15432</v>
      </c>
      <c r="D3412" s="6" t="str">
        <f>_xll.QS.CONTEXT.ADD.CURVE(C3412,"SOFR",$K$2:$K$7,$L$2:$L$7,,,"Actual360","LogLinear",TRUE)</f>
        <v>QSObject:ContextInput:w1~input.qs_context_add_curve.2359132437744.3411.3.0:37122</v>
      </c>
      <c r="E3412" s="6" t="str">
        <f>_xll.QS.INSTRUMENT.SWAP("swap.3410",H3412,B3412,"USD","SOFR",I3412,J3412,0,"Actual360","Simple","Annual","Annual","Annual")</f>
        <v>QSObject:Swap:w1~swap.3410:15431</v>
      </c>
      <c r="F3412" s="6" t="str">
        <f>_xll.QS.TRADE.CREATE("trade.3410",E3412,A3412,"Receive")</f>
        <v>QSObject:SwapTrade:w1~trade.3410:28429</v>
      </c>
      <c r="G3412" s="3">
        <f>_xll.QS.EVALUATE(C3412,F3412)</f>
        <v>24680.18719262274</v>
      </c>
      <c r="H3412" s="5" t="s">
        <v>3211</v>
      </c>
      <c r="I3412" s="7">
        <v>1341000</v>
      </c>
      <c r="J3412" s="8">
        <v>3.5999999999999997E-2</v>
      </c>
    </row>
    <row r="3413" spans="1:10" x14ac:dyDescent="0.25">
      <c r="A3413" s="5" t="s">
        <v>3199</v>
      </c>
      <c r="B3413" s="5" t="s">
        <v>5280</v>
      </c>
      <c r="C3413" s="6" t="str">
        <f>_xll.QS.CONTEXT.CREATE("market.3411",A3413,"USD","SOFR")</f>
        <v>QSObject:PricingContext:w1~market.3411:15430</v>
      </c>
      <c r="D3413" s="6" t="str">
        <f>_xll.QS.CONTEXT.ADD.CURVE(C3413,"SOFR",$K$2:$K$7,$L$2:$L$7,,,"Actual360","LogLinear",TRUE)</f>
        <v>QSObject:ContextInput:w1~input.qs_context_add_curve.2359132437744.3412.3.0:37121</v>
      </c>
      <c r="E3413" s="6" t="str">
        <f>_xll.QS.INSTRUMENT.SWAP("swap.3411",H3413,B3413,"USD","SOFR",I3413,J3413,0,"Actual360","Simple","Annual","Annual","Annual")</f>
        <v>QSObject:Swap:w1~swap.3411:15429</v>
      </c>
      <c r="F3413" s="6" t="str">
        <f>_xll.QS.TRADE.CREATE("trade.3411",E3413,A3413,"Receive")</f>
        <v>QSObject:SwapTrade:w1~trade.3411:28428</v>
      </c>
      <c r="G3413" s="3">
        <f>_xll.QS.EVALUATE(C3413,F3413)</f>
        <v>25300.582242610377</v>
      </c>
      <c r="H3413" s="5" t="s">
        <v>3213</v>
      </c>
      <c r="I3413" s="7">
        <v>1341100</v>
      </c>
      <c r="J3413" s="8">
        <v>3.61E-2</v>
      </c>
    </row>
    <row r="3414" spans="1:10" x14ac:dyDescent="0.25">
      <c r="A3414" s="5" t="s">
        <v>3201</v>
      </c>
      <c r="B3414" s="5" t="s">
        <v>5281</v>
      </c>
      <c r="C3414" s="6" t="str">
        <f>_xll.QS.CONTEXT.CREATE("market.3412",A3414,"USD","SOFR")</f>
        <v>QSObject:PricingContext:w1~market.3412:15428</v>
      </c>
      <c r="D3414" s="6" t="str">
        <f>_xll.QS.CONTEXT.ADD.CURVE(C3414,"SOFR",$K$2:$K$7,$L$2:$L$7,,,"Actual360","LogLinear",TRUE)</f>
        <v>QSObject:ContextInput:w1~input.qs_context_add_curve.2359132437744.3413.3.0:37120</v>
      </c>
      <c r="E3414" s="6" t="str">
        <f>_xll.QS.INSTRUMENT.SWAP("swap.3412",H3414,B3414,"USD","SOFR",I3414,J3414,0,"Actual360","Simple","Annual","Annual","Annual")</f>
        <v>QSObject:Swap:w1~swap.3412:15427</v>
      </c>
      <c r="F3414" s="6" t="str">
        <f>_xll.QS.TRADE.CREATE("trade.3412",E3414,A3414,"Receive")</f>
        <v>QSObject:SwapTrade:w1~trade.3412:28427</v>
      </c>
      <c r="G3414" s="3">
        <f>_xll.QS.EVALUATE(C3414,F3414)</f>
        <v>25928.423247232553</v>
      </c>
      <c r="H3414" s="5" t="s">
        <v>3215</v>
      </c>
      <c r="I3414" s="7">
        <v>1341200</v>
      </c>
      <c r="J3414" s="8">
        <v>3.6200000000000003E-2</v>
      </c>
    </row>
    <row r="3415" spans="1:10" x14ac:dyDescent="0.25">
      <c r="A3415" s="5" t="s">
        <v>3203</v>
      </c>
      <c r="B3415" s="5" t="s">
        <v>5282</v>
      </c>
      <c r="C3415" s="6" t="str">
        <f>_xll.QS.CONTEXT.CREATE("market.3413",A3415,"USD","SOFR")</f>
        <v>QSObject:PricingContext:w1~market.3413:15426</v>
      </c>
      <c r="D3415" s="6" t="str">
        <f>_xll.QS.CONTEXT.ADD.CURVE(C3415,"SOFR",$K$2:$K$7,$L$2:$L$7,,,"Actual360","LogLinear",TRUE)</f>
        <v>QSObject:ContextInput:w1~input.qs_context_add_curve.2359132437744.3414.3.0:37119</v>
      </c>
      <c r="E3415" s="6" t="str">
        <f>_xll.QS.INSTRUMENT.SWAP("swap.3413",H3415,B3415,"USD","SOFR",I3415,J3415,0,"Actual360","Simple","Annual","Annual","Annual")</f>
        <v>QSObject:Swap:w1~swap.3413:15425</v>
      </c>
      <c r="F3415" s="6" t="str">
        <f>_xll.QS.TRADE.CREATE("trade.3413",E3415,A3415,"Receive")</f>
        <v>QSObject:SwapTrade:w1~trade.3413:28426</v>
      </c>
      <c r="G3415" s="3">
        <f>_xll.QS.EVALUATE(C3415,F3415)</f>
        <v>26550.286468328566</v>
      </c>
      <c r="H3415" s="5" t="s">
        <v>3217</v>
      </c>
      <c r="I3415" s="7">
        <v>1341300</v>
      </c>
      <c r="J3415" s="8">
        <v>3.6300000000000013E-2</v>
      </c>
    </row>
    <row r="3416" spans="1:10" x14ac:dyDescent="0.25">
      <c r="A3416" s="5" t="s">
        <v>3205</v>
      </c>
      <c r="B3416" s="5" t="s">
        <v>5283</v>
      </c>
      <c r="C3416" s="6" t="str">
        <f>_xll.QS.CONTEXT.CREATE("market.3414",A3416,"USD","SOFR")</f>
        <v>QSObject:PricingContext:w1~market.3414:15424</v>
      </c>
      <c r="D3416" s="6" t="str">
        <f>_xll.QS.CONTEXT.ADD.CURVE(C3416,"SOFR",$K$2:$K$7,$L$2:$L$7,,,"Actual360","LogLinear",TRUE)</f>
        <v>QSObject:ContextInput:w1~input.qs_context_add_curve.2359132437744.3415.3.0:37118</v>
      </c>
      <c r="E3416" s="6" t="str">
        <f>_xll.QS.INSTRUMENT.SWAP("swap.3414",H3416,B3416,"USD","SOFR",I3416,J3416,0,"Actual360","Simple","Annual","Annual","Annual")</f>
        <v>QSObject:Swap:w1~swap.3414:15423</v>
      </c>
      <c r="F3416" s="6" t="str">
        <f>_xll.QS.TRADE.CREATE("trade.3414",E3416,A3416,"Receive")</f>
        <v>QSObject:SwapTrade:w1~trade.3414:28425</v>
      </c>
      <c r="G3416" s="3">
        <f>_xll.QS.EVALUATE(C3416,F3416)</f>
        <v>27007.354771342587</v>
      </c>
      <c r="H3416" s="5" t="s">
        <v>3219</v>
      </c>
      <c r="I3416" s="7">
        <v>1341400</v>
      </c>
      <c r="J3416" s="8">
        <v>3.6400000000000002E-2</v>
      </c>
    </row>
    <row r="3417" spans="1:10" x14ac:dyDescent="0.25">
      <c r="A3417" s="5" t="s">
        <v>3207</v>
      </c>
      <c r="B3417" s="5" t="s">
        <v>5284</v>
      </c>
      <c r="C3417" s="6" t="str">
        <f>_xll.QS.CONTEXT.CREATE("market.3415",A3417,"USD","SOFR")</f>
        <v>QSObject:PricingContext:w1~market.3415:15422</v>
      </c>
      <c r="D3417" s="6" t="str">
        <f>_xll.QS.CONTEXT.ADD.CURVE(C3417,"SOFR",$K$2:$K$7,$L$2:$L$7,,,"Actual360","LogLinear",TRUE)</f>
        <v>QSObject:ContextInput:w1~input.qs_context_add_curve.2359132437744.3416.3.0:37117</v>
      </c>
      <c r="E3417" s="6" t="str">
        <f>_xll.QS.INSTRUMENT.SWAP("swap.3415",H3417,B3417,"USD","SOFR",I3417,J3417,0,"Actual360","Simple","Annual","Annual","Annual")</f>
        <v>QSObject:Swap:w1~swap.3415:15421</v>
      </c>
      <c r="F3417" s="6" t="str">
        <f>_xll.QS.TRADE.CREATE("trade.3415",E3417,A3417,"Receive")</f>
        <v>QSObject:SwapTrade:w1~trade.3415:28424</v>
      </c>
      <c r="G3417" s="3">
        <f>_xll.QS.EVALUATE(C3417,F3417)</f>
        <v>27630.307543770534</v>
      </c>
      <c r="H3417" s="5" t="s">
        <v>3221</v>
      </c>
      <c r="I3417" s="7">
        <v>1341500</v>
      </c>
      <c r="J3417" s="8">
        <v>3.6499999999999998E-2</v>
      </c>
    </row>
    <row r="3418" spans="1:10" x14ac:dyDescent="0.25">
      <c r="A3418" s="5" t="s">
        <v>3209</v>
      </c>
      <c r="B3418" s="5" t="s">
        <v>5285</v>
      </c>
      <c r="C3418" s="6" t="str">
        <f>_xll.QS.CONTEXT.CREATE("market.3416",A3418,"USD","SOFR")</f>
        <v>QSObject:PricingContext:w1~market.3416:15420</v>
      </c>
      <c r="D3418" s="6" t="str">
        <f>_xll.QS.CONTEXT.ADD.CURVE(C3418,"SOFR",$K$2:$K$7,$L$2:$L$7,,,"Actual360","LogLinear",TRUE)</f>
        <v>QSObject:ContextInput:w1~input.qs_context_add_curve.2359132437744.3417.3.0:37116</v>
      </c>
      <c r="E3418" s="6" t="str">
        <f>_xll.QS.INSTRUMENT.SWAP("swap.3416",H3418,B3418,"USD","SOFR",I3418,J3418,0,"Actual360","Simple","Annual","Annual","Annual")</f>
        <v>QSObject:Swap:w1~swap.3416:15419</v>
      </c>
      <c r="F3418" s="6" t="str">
        <f>_xll.QS.TRADE.CREATE("trade.3416",E3418,A3418,"Receive")</f>
        <v>QSObject:SwapTrade:w1~trade.3416:28423</v>
      </c>
      <c r="G3418" s="3">
        <f>_xll.QS.EVALUATE(C3418,F3418)</f>
        <v>28307.104749465929</v>
      </c>
      <c r="H3418" s="5" t="s">
        <v>3223</v>
      </c>
      <c r="I3418" s="7">
        <v>1341600</v>
      </c>
      <c r="J3418" s="8">
        <v>3.6600000000000001E-2</v>
      </c>
    </row>
    <row r="3419" spans="1:10" x14ac:dyDescent="0.25">
      <c r="A3419" s="5" t="s">
        <v>3211</v>
      </c>
      <c r="B3419" s="5" t="s">
        <v>5286</v>
      </c>
      <c r="C3419" s="6" t="str">
        <f>_xll.QS.CONTEXT.CREATE("market.3417",A3419,"USD","SOFR")</f>
        <v>QSObject:PricingContext:w1~market.3417:15418</v>
      </c>
      <c r="D3419" s="6" t="str">
        <f>_xll.QS.CONTEXT.ADD.CURVE(C3419,"SOFR",$K$2:$K$7,$L$2:$L$7,,,"Actual360","LogLinear",TRUE)</f>
        <v>QSObject:ContextInput:w1~input.qs_context_add_curve.2359132437744.3418.3.0:37115</v>
      </c>
      <c r="E3419" s="6" t="str">
        <f>_xll.QS.INSTRUMENT.SWAP("swap.3417",H3419,B3419,"USD","SOFR",I3419,J3419,0,"Actual360","Simple","Annual","Annual","Annual")</f>
        <v>QSObject:Swap:w1~swap.3417:15417</v>
      </c>
      <c r="F3419" s="6" t="str">
        <f>_xll.QS.TRADE.CREATE("trade.3417",E3419,A3419,"Receive")</f>
        <v>QSObject:SwapTrade:w1~trade.3417:28422</v>
      </c>
      <c r="G3419" s="3">
        <f>_xll.QS.EVALUATE(C3419,F3419)</f>
        <v>29026.197146570659</v>
      </c>
      <c r="H3419" s="5" t="s">
        <v>3225</v>
      </c>
      <c r="I3419" s="7">
        <v>1341700</v>
      </c>
      <c r="J3419" s="8">
        <v>3.6700000000000003E-2</v>
      </c>
    </row>
    <row r="3420" spans="1:10" x14ac:dyDescent="0.25">
      <c r="A3420" s="5" t="s">
        <v>3213</v>
      </c>
      <c r="B3420" s="5" t="s">
        <v>5287</v>
      </c>
      <c r="C3420" s="6" t="str">
        <f>_xll.QS.CONTEXT.CREATE("market.3418",A3420,"USD","SOFR")</f>
        <v>QSObject:PricingContext:w1~market.3418:15416</v>
      </c>
      <c r="D3420" s="6" t="str">
        <f>_xll.QS.CONTEXT.ADD.CURVE(C3420,"SOFR",$K$2:$K$7,$L$2:$L$7,,,"Actual360","LogLinear",TRUE)</f>
        <v>QSObject:ContextInput:w1~input.qs_context_add_curve.2359132437744.3419.3.0:37114</v>
      </c>
      <c r="E3420" s="6" t="str">
        <f>_xll.QS.INSTRUMENT.SWAP("swap.3418",H3420,B3420,"USD","SOFR",I3420,J3420,0,"Actual360","Simple","Annual","Annual","Annual")</f>
        <v>QSObject:Swap:w1~swap.3418:15415</v>
      </c>
      <c r="F3420" s="6" t="str">
        <f>_xll.QS.TRADE.CREATE("trade.3418",E3420,A3420,"Receive")</f>
        <v>QSObject:SwapTrade:w1~trade.3418:28421</v>
      </c>
      <c r="G3420" s="3">
        <f>_xll.QS.EVALUATE(C3420,F3420)</f>
        <v>29647.229476227287</v>
      </c>
      <c r="H3420" s="5" t="s">
        <v>3227</v>
      </c>
      <c r="I3420" s="7">
        <v>1341800</v>
      </c>
      <c r="J3420" s="8">
        <v>3.6800000000000013E-2</v>
      </c>
    </row>
    <row r="3421" spans="1:10" x14ac:dyDescent="0.25">
      <c r="A3421" s="5" t="s">
        <v>3215</v>
      </c>
      <c r="B3421" s="5" t="s">
        <v>5288</v>
      </c>
      <c r="C3421" s="6" t="str">
        <f>_xll.QS.CONTEXT.CREATE("market.3419",A3421,"USD","SOFR")</f>
        <v>QSObject:PricingContext:w1~market.3419:15414</v>
      </c>
      <c r="D3421" s="6" t="str">
        <f>_xll.QS.CONTEXT.ADD.CURVE(C3421,"SOFR",$K$2:$K$7,$L$2:$L$7,,,"Actual360","LogLinear",TRUE)</f>
        <v>QSObject:ContextInput:w1~input.qs_context_add_curve.2359132437744.3420.3.0:37113</v>
      </c>
      <c r="E3421" s="6" t="str">
        <f>_xll.QS.INSTRUMENT.SWAP("swap.3419",H3421,B3421,"USD","SOFR",I3421,J3421,0,"Actual360","Simple","Annual","Annual","Annual")</f>
        <v>QSObject:Swap:w1~swap.3419:15413</v>
      </c>
      <c r="F3421" s="6" t="str">
        <f>_xll.QS.TRADE.CREATE("trade.3419",E3421,A3421,"Receive")</f>
        <v>QSObject:SwapTrade:w1~trade.3419:28420</v>
      </c>
      <c r="G3421" s="3">
        <f>_xll.QS.EVALUATE(C3421,F3421)</f>
        <v>30275.732221278915</v>
      </c>
      <c r="H3421" s="5" t="s">
        <v>3229</v>
      </c>
      <c r="I3421" s="7">
        <v>1341900</v>
      </c>
      <c r="J3421" s="8">
        <v>3.6900000000000002E-2</v>
      </c>
    </row>
    <row r="3422" spans="1:10" x14ac:dyDescent="0.25">
      <c r="A3422" s="5" t="s">
        <v>3217</v>
      </c>
      <c r="B3422" s="5" t="s">
        <v>5289</v>
      </c>
      <c r="C3422" s="6" t="str">
        <f>_xll.QS.CONTEXT.CREATE("market.3420",A3422,"USD","SOFR")</f>
        <v>QSObject:PricingContext:w1~market.3420:15412</v>
      </c>
      <c r="D3422" s="6" t="str">
        <f>_xll.QS.CONTEXT.ADD.CURVE(C3422,"SOFR",$K$2:$K$7,$L$2:$L$7,,,"Actual360","LogLinear",TRUE)</f>
        <v>QSObject:ContextInput:w1~input.qs_context_add_curve.2359132437744.3421.3.0:37112</v>
      </c>
      <c r="E3422" s="6" t="str">
        <f>_xll.QS.INSTRUMENT.SWAP("swap.3420",H3422,B3422,"USD","SOFR",I3422,J3422,0,"Actual360","Simple","Annual","Annual","Annual")</f>
        <v>QSObject:Swap:w1~swap.3420:15411</v>
      </c>
      <c r="F3422" s="6" t="str">
        <f>_xll.QS.TRADE.CREATE("trade.3420",E3422,A3422,"Receive")</f>
        <v>QSObject:SwapTrade:w1~trade.3420:28419</v>
      </c>
      <c r="G3422" s="3">
        <f>_xll.QS.EVALUATE(C3422,F3422)</f>
        <v>30898.258428248315</v>
      </c>
      <c r="H3422" s="5" t="s">
        <v>3231</v>
      </c>
      <c r="I3422" s="7">
        <v>1342000</v>
      </c>
      <c r="J3422" s="8">
        <v>3.7000000000000012E-2</v>
      </c>
    </row>
    <row r="3423" spans="1:10" x14ac:dyDescent="0.25">
      <c r="A3423" s="5" t="s">
        <v>3219</v>
      </c>
      <c r="B3423" s="5" t="s">
        <v>5290</v>
      </c>
      <c r="C3423" s="6" t="str">
        <f>_xll.QS.CONTEXT.CREATE("market.3421",A3423,"USD","SOFR")</f>
        <v>QSObject:PricingContext:w1~market.3421:15410</v>
      </c>
      <c r="D3423" s="6" t="str">
        <f>_xll.QS.CONTEXT.ADD.CURVE(C3423,"SOFR",$K$2:$K$7,$L$2:$L$7,,,"Actual360","LogLinear",TRUE)</f>
        <v>QSObject:ContextInput:w1~input.qs_context_add_curve.2359132437744.3422.3.0:37111</v>
      </c>
      <c r="E3423" s="6" t="str">
        <f>_xll.QS.INSTRUMENT.SWAP("swap.3421",H3423,B3423,"USD","SOFR",I3423,J3423,0,"Actual360","Simple","Annual","Annual","Annual")</f>
        <v>QSObject:Swap:w1~swap.3421:15409</v>
      </c>
      <c r="F3423" s="6" t="str">
        <f>_xll.QS.TRADE.CREATE("trade.3421",E3423,A3423,"Receive")</f>
        <v>QSObject:SwapTrade:w1~trade.3421:28418</v>
      </c>
      <c r="G3423" s="3">
        <f>_xll.QS.EVALUATE(C3423,F3423)</f>
        <v>31355.015359563629</v>
      </c>
      <c r="H3423" s="5" t="s">
        <v>3233</v>
      </c>
      <c r="I3423" s="7">
        <v>1342100</v>
      </c>
      <c r="J3423" s="8">
        <v>3.7100000000000001E-2</v>
      </c>
    </row>
    <row r="3424" spans="1:10" x14ac:dyDescent="0.25">
      <c r="A3424" s="5" t="s">
        <v>3221</v>
      </c>
      <c r="B3424" s="5" t="s">
        <v>5291</v>
      </c>
      <c r="C3424" s="6" t="str">
        <f>_xll.QS.CONTEXT.CREATE("market.3422",A3424,"USD","SOFR")</f>
        <v>QSObject:PricingContext:w1~market.3422:15408</v>
      </c>
      <c r="D3424" s="6" t="str">
        <f>_xll.QS.CONTEXT.ADD.CURVE(C3424,"SOFR",$K$2:$K$7,$L$2:$L$7,,,"Actual360","LogLinear",TRUE)</f>
        <v>QSObject:ContextInput:w1~input.qs_context_add_curve.2359132437744.3423.3.0:37110</v>
      </c>
      <c r="E3424" s="6" t="str">
        <f>_xll.QS.INSTRUMENT.SWAP("swap.3422",H3424,B3424,"USD","SOFR",I3424,J3424,0,"Actual360","Simple","Annual","Annual","Annual")</f>
        <v>QSObject:Swap:w1~swap.3422:15407</v>
      </c>
      <c r="F3424" s="6" t="str">
        <f>_xll.QS.TRADE.CREATE("trade.3422",E3424,A3424,"Receive")</f>
        <v>QSObject:SwapTrade:w1~trade.3422:28417</v>
      </c>
      <c r="G3424" s="3">
        <f>_xll.QS.EVALUATE(C3424,F3424)</f>
        <v>31978.978508815344</v>
      </c>
      <c r="H3424" s="5" t="s">
        <v>3235</v>
      </c>
      <c r="I3424" s="7">
        <v>1342200</v>
      </c>
      <c r="J3424" s="8">
        <v>3.7199999999999997E-2</v>
      </c>
    </row>
    <row r="3425" spans="1:10" x14ac:dyDescent="0.25">
      <c r="A3425" s="5" t="s">
        <v>3223</v>
      </c>
      <c r="B3425" s="5" t="s">
        <v>5292</v>
      </c>
      <c r="C3425" s="6" t="str">
        <f>_xll.QS.CONTEXT.CREATE("market.3423",A3425,"USD","SOFR")</f>
        <v>QSObject:PricingContext:w1~market.3423:15406</v>
      </c>
      <c r="D3425" s="6" t="str">
        <f>_xll.QS.CONTEXT.ADD.CURVE(C3425,"SOFR",$K$2:$K$7,$L$2:$L$7,,,"Actual360","LogLinear",TRUE)</f>
        <v>QSObject:ContextInput:w1~input.qs_context_add_curve.2359132437744.3424.3.0:37109</v>
      </c>
      <c r="E3425" s="6" t="str">
        <f>_xll.QS.INSTRUMENT.SWAP("swap.3423",H3425,B3425,"USD","SOFR",I3425,J3425,0,"Actual360","Simple","Annual","Annual","Annual")</f>
        <v>QSObject:Swap:w1~swap.3423:15405</v>
      </c>
      <c r="F3425" s="6" t="str">
        <f>_xll.QS.TRADE.CREATE("trade.3423",E3425,A3425,"Receive")</f>
        <v>QSObject:SwapTrade:w1~trade.3423:28416</v>
      </c>
      <c r="G3425" s="3">
        <f>_xll.QS.EVALUATE(C3425,F3425)</f>
        <v>32656.785594693953</v>
      </c>
      <c r="H3425" s="5" t="s">
        <v>3237</v>
      </c>
      <c r="I3425" s="7">
        <v>1342300</v>
      </c>
      <c r="J3425" s="8">
        <v>3.73E-2</v>
      </c>
    </row>
    <row r="3426" spans="1:10" x14ac:dyDescent="0.25">
      <c r="A3426" s="5" t="s">
        <v>3225</v>
      </c>
      <c r="B3426" s="5" t="s">
        <v>5293</v>
      </c>
      <c r="C3426" s="6" t="str">
        <f>_xll.QS.CONTEXT.CREATE("market.3424",A3426,"USD","SOFR")</f>
        <v>QSObject:PricingContext:w1~market.3424:15404</v>
      </c>
      <c r="D3426" s="6" t="str">
        <f>_xll.QS.CONTEXT.ADD.CURVE(C3426,"SOFR",$K$2:$K$7,$L$2:$L$7,,,"Actual360","LogLinear",TRUE)</f>
        <v>QSObject:ContextInput:w1~input.qs_context_add_curve.2359132437744.3425.3.0:37108</v>
      </c>
      <c r="E3426" s="6" t="str">
        <f>_xll.QS.INSTRUMENT.SWAP("swap.3424",H3426,B3426,"USD","SOFR",I3426,J3426,0,"Actual360","Simple","Annual","Annual","Annual")</f>
        <v>QSObject:Swap:w1~swap.3424:15403</v>
      </c>
      <c r="F3426" s="6" t="str">
        <f>_xll.QS.TRADE.CREATE("trade.3424",E3426,A3426,"Receive")</f>
        <v>QSObject:SwapTrade:w1~trade.3424:28415</v>
      </c>
      <c r="G3426" s="3">
        <f>_xll.QS.EVALUATE(C3426,F3426)</f>
        <v>33376.574901235726</v>
      </c>
      <c r="H3426" s="5" t="s">
        <v>3239</v>
      </c>
      <c r="I3426" s="7">
        <v>1342400</v>
      </c>
      <c r="J3426" s="8">
        <v>3.7400000000000003E-2</v>
      </c>
    </row>
    <row r="3427" spans="1:10" x14ac:dyDescent="0.25">
      <c r="A3427" s="5" t="s">
        <v>3227</v>
      </c>
      <c r="B3427" s="5" t="s">
        <v>5294</v>
      </c>
      <c r="C3427" s="6" t="str">
        <f>_xll.QS.CONTEXT.CREATE("market.3425",A3427,"USD","SOFR")</f>
        <v>QSObject:PricingContext:w1~market.3425:15402</v>
      </c>
      <c r="D3427" s="6" t="str">
        <f>_xll.QS.CONTEXT.ADD.CURVE(C3427,"SOFR",$K$2:$K$7,$L$2:$L$7,,,"Actual360","LogLinear",TRUE)</f>
        <v>QSObject:ContextInput:w1~input.qs_context_add_curve.2359132437744.3426.3.0:37107</v>
      </c>
      <c r="E3427" s="6" t="str">
        <f>_xll.QS.INSTRUMENT.SWAP("swap.3425",H3427,B3427,"USD","SOFR",I3427,J3427,0,"Actual360","Simple","Annual","Annual","Annual")</f>
        <v>QSObject:Swap:w1~swap.3425:15401</v>
      </c>
      <c r="F3427" s="6" t="str">
        <f>_xll.QS.TRADE.CREATE("trade.3425",E3427,A3427,"Receive")</f>
        <v>QSObject:SwapTrade:w1~trade.3425:28414</v>
      </c>
      <c r="G3427" s="3">
        <f>_xll.QS.EVALUATE(C3427,F3427)</f>
        <v>33998.186842718824</v>
      </c>
      <c r="H3427" s="5" t="s">
        <v>3241</v>
      </c>
      <c r="I3427" s="7">
        <v>1342500</v>
      </c>
      <c r="J3427" s="8">
        <v>3.7500000000000012E-2</v>
      </c>
    </row>
    <row r="3428" spans="1:10" x14ac:dyDescent="0.25">
      <c r="A3428" s="5" t="s">
        <v>3229</v>
      </c>
      <c r="B3428" s="5" t="s">
        <v>5295</v>
      </c>
      <c r="C3428" s="6" t="str">
        <f>_xll.QS.CONTEXT.CREATE("market.3426",A3428,"USD","SOFR")</f>
        <v>QSObject:PricingContext:w1~market.3426:15400</v>
      </c>
      <c r="D3428" s="6" t="str">
        <f>_xll.QS.CONTEXT.ADD.CURVE(C3428,"SOFR",$K$2:$K$7,$L$2:$L$7,,,"Actual360","LogLinear",TRUE)</f>
        <v>QSObject:ContextInput:w1~input.qs_context_add_curve.2359132437744.3427.3.0:37106</v>
      </c>
      <c r="E3428" s="6" t="str">
        <f>_xll.QS.INSTRUMENT.SWAP("swap.3426",H3428,B3428,"USD","SOFR",I3428,J3428,0,"Actual360","Simple","Annual","Annual","Annual")</f>
        <v>QSObject:Swap:w1~swap.3426:15399</v>
      </c>
      <c r="F3428" s="6" t="str">
        <f>_xll.QS.TRADE.CREATE("trade.3426",E3428,A3428,"Receive")</f>
        <v>QSObject:SwapTrade:w1~trade.3426:28413</v>
      </c>
      <c r="G3428" s="3">
        <f>_xll.QS.EVALUATE(C3428,F3428)</f>
        <v>34627.146487400605</v>
      </c>
      <c r="H3428" s="5" t="s">
        <v>3243</v>
      </c>
      <c r="I3428" s="7">
        <v>1342600</v>
      </c>
      <c r="J3428" s="8">
        <v>3.7600000000000001E-2</v>
      </c>
    </row>
    <row r="3429" spans="1:10" x14ac:dyDescent="0.25">
      <c r="A3429" s="5" t="s">
        <v>3231</v>
      </c>
      <c r="B3429" s="5" t="s">
        <v>5296</v>
      </c>
      <c r="C3429" s="6" t="str">
        <f>_xll.QS.CONTEXT.CREATE("market.3427",A3429,"USD","SOFR")</f>
        <v>QSObject:PricingContext:w1~market.3427:15398</v>
      </c>
      <c r="D3429" s="6" t="str">
        <f>_xll.QS.CONTEXT.ADD.CURVE(C3429,"SOFR",$K$2:$K$7,$L$2:$L$7,,,"Actual360","LogLinear",TRUE)</f>
        <v>QSObject:ContextInput:w1~input.qs_context_add_curve.2359132437744.3428.3.0:37105</v>
      </c>
      <c r="E3429" s="6" t="str">
        <f>_xll.QS.INSTRUMENT.SWAP("swap.3427",H3429,B3429,"USD","SOFR",I3429,J3429,0,"Actual360","Simple","Annual","Annual","Annual")</f>
        <v>QSObject:Swap:w1~swap.3427:15397</v>
      </c>
      <c r="F3429" s="6" t="str">
        <f>_xll.QS.TRADE.CREATE("trade.3427",E3429,A3429,"Receive")</f>
        <v>QSObject:SwapTrade:w1~trade.3427:28412</v>
      </c>
      <c r="G3429" s="3">
        <f>_xll.QS.EVALUATE(C3429,F3429)</f>
        <v>35250.846073910958</v>
      </c>
      <c r="H3429" s="5" t="s">
        <v>3245</v>
      </c>
      <c r="I3429" s="7">
        <v>1342700</v>
      </c>
      <c r="J3429" s="8">
        <v>3.7699999999999997E-2</v>
      </c>
    </row>
    <row r="3430" spans="1:10" x14ac:dyDescent="0.25">
      <c r="A3430" s="5" t="s">
        <v>3233</v>
      </c>
      <c r="B3430" s="5" t="s">
        <v>5297</v>
      </c>
      <c r="C3430" s="6" t="str">
        <f>_xll.QS.CONTEXT.CREATE("market.3428",A3430,"USD","SOFR")</f>
        <v>QSObject:PricingContext:w1~market.3428:15396</v>
      </c>
      <c r="D3430" s="6" t="str">
        <f>_xll.QS.CONTEXT.ADD.CURVE(C3430,"SOFR",$K$2:$K$7,$L$2:$L$7,,,"Actual360","LogLinear",TRUE)</f>
        <v>QSObject:ContextInput:w1~input.qs_context_add_curve.2359132437744.3429.3.0:37104</v>
      </c>
      <c r="E3430" s="6" t="str">
        <f>_xll.QS.INSTRUMENT.SWAP("swap.3428",H3430,B3430,"USD","SOFR",I3430,J3430,0,"Actual360","Simple","Annual","Annual","Annual")</f>
        <v>QSObject:Swap:w1~swap.3428:15395</v>
      </c>
      <c r="F3430" s="6" t="str">
        <f>_xll.QS.TRADE.CREATE("trade.3428",E3430,A3430,"Receive")</f>
        <v>QSObject:SwapTrade:w1~trade.3428:28411</v>
      </c>
      <c r="G3430" s="3">
        <f>_xll.QS.EVALUATE(C3430,F3430)</f>
        <v>35875.929836075535</v>
      </c>
      <c r="H3430" s="5" t="s">
        <v>3247</v>
      </c>
      <c r="I3430" s="7">
        <v>1342800</v>
      </c>
      <c r="J3430" s="8">
        <v>3.78E-2</v>
      </c>
    </row>
    <row r="3431" spans="1:10" x14ac:dyDescent="0.25">
      <c r="A3431" s="5" t="s">
        <v>3235</v>
      </c>
      <c r="B3431" s="5" t="s">
        <v>5298</v>
      </c>
      <c r="C3431" s="6" t="str">
        <f>_xll.QS.CONTEXT.CREATE("market.3429",A3431,"USD","SOFR")</f>
        <v>QSObject:PricingContext:w1~market.3429:15394</v>
      </c>
      <c r="D3431" s="6" t="str">
        <f>_xll.QS.CONTEXT.ADD.CURVE(C3431,"SOFR",$K$2:$K$7,$L$2:$L$7,,,"Actual360","LogLinear",TRUE)</f>
        <v>QSObject:ContextInput:w1~input.qs_context_add_curve.2359132437744.3430.3.0:37103</v>
      </c>
      <c r="E3431" s="6" t="str">
        <f>_xll.QS.INSTRUMENT.SWAP("swap.3429",H3431,B3431,"USD","SOFR",I3431,J3431,0,"Actual360","Simple","Annual","Annual","Annual")</f>
        <v>QSObject:Swap:w1~swap.3429:15393</v>
      </c>
      <c r="F3431" s="6" t="str">
        <f>_xll.QS.TRADE.CREATE("trade.3429",E3431,A3431,"Receive")</f>
        <v>QSObject:SwapTrade:w1~trade.3429:28410</v>
      </c>
      <c r="G3431" s="3">
        <f>_xll.QS.EVALUATE(C3431,F3431)</f>
        <v>36500.995005003308</v>
      </c>
      <c r="H3431" s="5" t="s">
        <v>3249</v>
      </c>
      <c r="I3431" s="7">
        <v>1342900</v>
      </c>
      <c r="J3431" s="8">
        <v>3.7900000000000003E-2</v>
      </c>
    </row>
    <row r="3432" spans="1:10" x14ac:dyDescent="0.25">
      <c r="A3432" s="5" t="s">
        <v>3237</v>
      </c>
      <c r="B3432" s="5" t="s">
        <v>5299</v>
      </c>
      <c r="C3432" s="6" t="str">
        <f>_xll.QS.CONTEXT.CREATE("market.3430",A3432,"USD","SOFR")</f>
        <v>QSObject:PricingContext:w1~market.3430:15392</v>
      </c>
      <c r="D3432" s="6" t="str">
        <f>_xll.QS.CONTEXT.ADD.CURVE(C3432,"SOFR",$K$2:$K$7,$L$2:$L$7,,,"Actual360","LogLinear",TRUE)</f>
        <v>QSObject:ContextInput:w1~input.qs_context_add_curve.2359132437744.3431.3.0:37102</v>
      </c>
      <c r="E3432" s="6" t="str">
        <f>_xll.QS.INSTRUMENT.SWAP("swap.3430",H3432,B3432,"USD","SOFR",I3432,J3432,0,"Actual360","Simple","Annual","Annual","Annual")</f>
        <v>QSObject:Swap:w1~swap.3430:15391</v>
      </c>
      <c r="F3432" s="6" t="str">
        <f>_xll.QS.TRADE.CREATE("trade.3430",E3432,A3432,"Receive")</f>
        <v>QSObject:SwapTrade:w1~trade.3430:28409</v>
      </c>
      <c r="G3432" s="3">
        <f>_xll.QS.EVALUATE(C3432,F3432)</f>
        <v>37180.63615076444</v>
      </c>
      <c r="H3432" s="5" t="s">
        <v>3251</v>
      </c>
      <c r="I3432" s="7">
        <v>1343000</v>
      </c>
      <c r="J3432" s="8">
        <v>3.8000000000000013E-2</v>
      </c>
    </row>
    <row r="3433" spans="1:10" x14ac:dyDescent="0.25">
      <c r="A3433" s="5" t="s">
        <v>3239</v>
      </c>
      <c r="B3433" s="5" t="s">
        <v>5300</v>
      </c>
      <c r="C3433" s="6" t="str">
        <f>_xll.QS.CONTEXT.CREATE("market.3431",A3433,"USD","SOFR")</f>
        <v>QSObject:PricingContext:w1~market.3431:15390</v>
      </c>
      <c r="D3433" s="6" t="str">
        <f>_xll.QS.CONTEXT.ADD.CURVE(C3433,"SOFR",$K$2:$K$7,$L$2:$L$7,,,"Actual360","LogLinear",TRUE)</f>
        <v>QSObject:ContextInput:w1~input.qs_context_add_curve.2359132437744.3432.3.0:37101</v>
      </c>
      <c r="E3433" s="6" t="str">
        <f>_xll.QS.INSTRUMENT.SWAP("swap.3431",H3433,B3433,"USD","SOFR",I3433,J3433,0,"Actual360","Simple","Annual","Annual","Annual")</f>
        <v>QSObject:Swap:w1~swap.3431:15389</v>
      </c>
      <c r="F3433" s="6" t="str">
        <f>_xll.QS.TRADE.CREATE("trade.3431",E3433,A3433,"Receive")</f>
        <v>QSObject:SwapTrade:w1~trade.3431:28408</v>
      </c>
      <c r="G3433" s="3">
        <f>_xll.QS.EVALUATE(C3433,F3433)</f>
        <v>37781.625145840815</v>
      </c>
      <c r="H3433" s="5" t="s">
        <v>3253</v>
      </c>
      <c r="I3433" s="7">
        <v>1343100</v>
      </c>
      <c r="J3433" s="8">
        <v>3.8100000000000002E-2</v>
      </c>
    </row>
    <row r="3434" spans="1:10" x14ac:dyDescent="0.25">
      <c r="A3434" s="5" t="s">
        <v>3241</v>
      </c>
      <c r="B3434" s="5" t="s">
        <v>5301</v>
      </c>
      <c r="C3434" s="6" t="str">
        <f>_xll.QS.CONTEXT.CREATE("market.3432",A3434,"USD","SOFR")</f>
        <v>QSObject:PricingContext:w1~market.3432:15388</v>
      </c>
      <c r="D3434" s="6" t="str">
        <f>_xll.QS.CONTEXT.ADD.CURVE(C3434,"SOFR",$K$2:$K$7,$L$2:$L$7,,,"Actual360","LogLinear",TRUE)</f>
        <v>QSObject:ContextInput:w1~input.qs_context_add_curve.2359132437744.3433.3.0:37100</v>
      </c>
      <c r="E3434" s="6" t="str">
        <f>_xll.QS.INSTRUMENT.SWAP("swap.3432",H3434,B3434,"USD","SOFR",I3434,J3434,0,"Actual360","Simple","Annual","Annual","Annual")</f>
        <v>QSObject:Swap:w1~swap.3432:15387</v>
      </c>
      <c r="F3434" s="6" t="str">
        <f>_xll.QS.TRADE.CREATE("trade.3432",E3434,A3434,"Receive")</f>
        <v>QSObject:SwapTrade:w1~trade.3432:28407</v>
      </c>
      <c r="G3434" s="3">
        <f>_xll.QS.EVALUATE(C3434,F3434)</f>
        <v>38403.883608406475</v>
      </c>
      <c r="H3434" s="5" t="s">
        <v>3255</v>
      </c>
      <c r="I3434" s="7">
        <v>1343200</v>
      </c>
      <c r="J3434" s="8">
        <v>3.8199999999999998E-2</v>
      </c>
    </row>
    <row r="3435" spans="1:10" x14ac:dyDescent="0.25">
      <c r="A3435" s="5" t="s">
        <v>3243</v>
      </c>
      <c r="B3435" s="5" t="s">
        <v>5302</v>
      </c>
      <c r="C3435" s="6" t="str">
        <f>_xll.QS.CONTEXT.CREATE("market.3433",A3435,"USD","SOFR")</f>
        <v>QSObject:PricingContext:w1~market.3433:15386</v>
      </c>
      <c r="D3435" s="6" t="str">
        <f>_xll.QS.CONTEXT.ADD.CURVE(C3435,"SOFR",$K$2:$K$7,$L$2:$L$7,,,"Actual360","LogLinear",TRUE)</f>
        <v>QSObject:ContextInput:w1~input.qs_context_add_curve.2359132437744.3434.3.0:37099</v>
      </c>
      <c r="E3435" s="6" t="str">
        <f>_xll.QS.INSTRUMENT.SWAP("swap.3433",H3435,B3435,"USD","SOFR",I3435,J3435,0,"Actual360","Simple","Annual","Annual","Annual")</f>
        <v>QSObject:Swap:w1~swap.3433:15385</v>
      </c>
      <c r="F3435" s="6" t="str">
        <f>_xll.QS.TRADE.CREATE("trade.3433",E3435,A3435,"Receive")</f>
        <v>QSObject:SwapTrade:w1~trade.3433:28406</v>
      </c>
      <c r="G3435" s="3">
        <f>_xll.QS.EVALUATE(C3435,F3435)</f>
        <v>39038.295468221491</v>
      </c>
      <c r="H3435" s="5" t="s">
        <v>3257</v>
      </c>
      <c r="I3435" s="7">
        <v>1343300</v>
      </c>
      <c r="J3435" s="8">
        <v>3.8300000000000001E-2</v>
      </c>
    </row>
    <row r="3436" spans="1:10" x14ac:dyDescent="0.25">
      <c r="A3436" s="5" t="s">
        <v>3245</v>
      </c>
      <c r="B3436" s="5" t="s">
        <v>5303</v>
      </c>
      <c r="C3436" s="6" t="str">
        <f>_xll.QS.CONTEXT.CREATE("market.3434",A3436,"USD","SOFR")</f>
        <v>QSObject:PricingContext:w1~market.3434:15384</v>
      </c>
      <c r="D3436" s="6" t="str">
        <f>_xll.QS.CONTEXT.ADD.CURVE(C3436,"SOFR",$K$2:$K$7,$L$2:$L$7,,,"Actual360","LogLinear",TRUE)</f>
        <v>QSObject:ContextInput:w1~input.qs_context_add_curve.2359132437744.3435.3.0:37098</v>
      </c>
      <c r="E3436" s="6" t="str">
        <f>_xll.QS.INSTRUMENT.SWAP("swap.3434",H3436,B3436,"USD","SOFR",I3436,J3436,0,"Actual360","Simple","Annual","Annual","Annual")</f>
        <v>QSObject:Swap:w1~swap.3434:15383</v>
      </c>
      <c r="F3436" s="6" t="str">
        <f>_xll.QS.TRADE.CREATE("trade.3434",E3436,A3436,"Receive")</f>
        <v>QSObject:SwapTrade:w1~trade.3434:28405</v>
      </c>
      <c r="G3436" s="3">
        <f>_xll.QS.EVALUATE(C3436,F3436)</f>
        <v>39661.650631123077</v>
      </c>
      <c r="H3436" s="5" t="s">
        <v>3259</v>
      </c>
      <c r="I3436" s="7">
        <v>1343400</v>
      </c>
      <c r="J3436" s="8">
        <v>3.8399999999999997E-2</v>
      </c>
    </row>
    <row r="3437" spans="1:10" x14ac:dyDescent="0.25">
      <c r="A3437" s="5" t="s">
        <v>3247</v>
      </c>
      <c r="B3437" s="5" t="s">
        <v>5304</v>
      </c>
      <c r="C3437" s="6" t="str">
        <f>_xll.QS.CONTEXT.CREATE("market.3435",A3437,"USD","SOFR")</f>
        <v>QSObject:PricingContext:w1~market.3435:15382</v>
      </c>
      <c r="D3437" s="6" t="str">
        <f>_xll.QS.CONTEXT.ADD.CURVE(C3437,"SOFR",$K$2:$K$7,$L$2:$L$7,,,"Actual360","LogLinear",TRUE)</f>
        <v>QSObject:ContextInput:w1~input.qs_context_add_curve.2359132437744.3436.3.0:37097</v>
      </c>
      <c r="E3437" s="6" t="str">
        <f>_xll.QS.INSTRUMENT.SWAP("swap.3435",H3437,B3437,"USD","SOFR",I3437,J3437,0,"Actual360","Simple","Annual","Annual","Annual")</f>
        <v>QSObject:Swap:w1~swap.3435:15381</v>
      </c>
      <c r="F3437" s="6" t="str">
        <f>_xll.QS.TRADE.CREATE("trade.3435",E3437,A3437,"Receive")</f>
        <v>QSObject:SwapTrade:w1~trade.3435:28404</v>
      </c>
      <c r="G3437" s="3">
        <f>_xll.QS.EVALUATE(C3437,F3437)</f>
        <v>40117.78857388928</v>
      </c>
      <c r="H3437" s="5" t="s">
        <v>3261</v>
      </c>
      <c r="I3437" s="7">
        <v>1343500</v>
      </c>
      <c r="J3437" s="8">
        <v>3.8500000000000013E-2</v>
      </c>
    </row>
    <row r="3438" spans="1:10" x14ac:dyDescent="0.25">
      <c r="A3438" s="5" t="s">
        <v>3249</v>
      </c>
      <c r="B3438" s="5" t="s">
        <v>5305</v>
      </c>
      <c r="C3438" s="6" t="str">
        <f>_xll.QS.CONTEXT.CREATE("market.3436",A3438,"USD","SOFR")</f>
        <v>QSObject:PricingContext:w1~market.3436:15380</v>
      </c>
      <c r="D3438" s="6" t="str">
        <f>_xll.QS.CONTEXT.ADD.CURVE(C3438,"SOFR",$K$2:$K$7,$L$2:$L$7,,,"Actual360","LogLinear",TRUE)</f>
        <v>QSObject:ContextInput:w1~input.qs_context_add_curve.2359132437744.3437.3.0:37096</v>
      </c>
      <c r="E3438" s="6" t="str">
        <f>_xll.QS.INSTRUMENT.SWAP("swap.3436",H3438,B3438,"USD","SOFR",I3438,J3438,0,"Actual360","Simple","Annual","Annual","Annual")</f>
        <v>QSObject:Swap:w1~swap.3436:15379</v>
      </c>
      <c r="F3438" s="6" t="str">
        <f>_xll.QS.TRADE.CREATE("trade.3436",E3438,A3438,"Receive")</f>
        <v>QSObject:SwapTrade:w1~trade.3436:28403</v>
      </c>
      <c r="G3438" s="3">
        <f>_xll.QS.EVALUATE(C3438,F3438)</f>
        <v>40743.92717281104</v>
      </c>
      <c r="H3438" s="5" t="s">
        <v>3263</v>
      </c>
      <c r="I3438" s="7">
        <v>1343600</v>
      </c>
      <c r="J3438" s="8">
        <v>3.8600000000000002E-2</v>
      </c>
    </row>
    <row r="3439" spans="1:10" x14ac:dyDescent="0.25">
      <c r="A3439" s="5" t="s">
        <v>3251</v>
      </c>
      <c r="B3439" s="5" t="s">
        <v>5306</v>
      </c>
      <c r="C3439" s="6" t="str">
        <f>_xll.QS.CONTEXT.CREATE("market.3437",A3439,"USD","SOFR")</f>
        <v>QSObject:PricingContext:w1~market.3437:15378</v>
      </c>
      <c r="D3439" s="6" t="str">
        <f>_xll.QS.CONTEXT.ADD.CURVE(C3439,"SOFR",$K$2:$K$7,$L$2:$L$7,,,"Actual360","LogLinear",TRUE)</f>
        <v>QSObject:ContextInput:w1~input.qs_context_add_curve.2359132437744.3438.3.0:37095</v>
      </c>
      <c r="E3439" s="6" t="str">
        <f>_xll.QS.INSTRUMENT.SWAP("swap.3437",H3439,B3439,"USD","SOFR",I3439,J3439,0,"Actual360","Simple","Annual","Annual","Annual")</f>
        <v>QSObject:Swap:w1~swap.3437:15377</v>
      </c>
      <c r="F3439" s="6" t="str">
        <f>_xll.QS.TRADE.CREATE("trade.3437",E3439,A3439,"Receive")</f>
        <v>QSObject:SwapTrade:w1~trade.3437:28402</v>
      </c>
      <c r="G3439" s="3">
        <f>_xll.QS.EVALUATE(C3439,F3439)</f>
        <v>41369.978739249505</v>
      </c>
      <c r="H3439" s="5" t="s">
        <v>3265</v>
      </c>
      <c r="I3439" s="7">
        <v>1343700</v>
      </c>
      <c r="J3439" s="8">
        <v>3.8700000000000012E-2</v>
      </c>
    </row>
    <row r="3440" spans="1:10" x14ac:dyDescent="0.25">
      <c r="A3440" s="5" t="s">
        <v>3253</v>
      </c>
      <c r="B3440" s="5" t="s">
        <v>5307</v>
      </c>
      <c r="C3440" s="6" t="str">
        <f>_xll.QS.CONTEXT.CREATE("market.3438",A3440,"USD","SOFR")</f>
        <v>QSObject:PricingContext:w1~market.3438:15376</v>
      </c>
      <c r="D3440" s="6" t="str">
        <f>_xll.QS.CONTEXT.ADD.CURVE(C3440,"SOFR",$K$2:$K$7,$L$2:$L$7,,,"Actual360","LogLinear",TRUE)</f>
        <v>QSObject:ContextInput:w1~input.qs_context_add_curve.2359132437744.3439.3.0:37094</v>
      </c>
      <c r="E3440" s="6" t="str">
        <f>_xll.QS.INSTRUMENT.SWAP("swap.3438",H3440,B3440,"USD","SOFR",I3440,J3440,0,"Actual360","Simple","Annual","Annual","Annual")</f>
        <v>QSObject:Swap:w1~swap.3438:15375</v>
      </c>
      <c r="F3440" s="6" t="str">
        <f>_xll.QS.TRADE.CREATE("trade.3438",E3440,A3440,"Receive")</f>
        <v>QSObject:SwapTrade:w1~trade.3438:28401</v>
      </c>
      <c r="G3440" s="3">
        <f>_xll.QS.EVALUATE(C3440,F3440)</f>
        <v>42091.355476951838</v>
      </c>
      <c r="H3440" s="5" t="s">
        <v>3267</v>
      </c>
      <c r="I3440" s="7">
        <v>1343800</v>
      </c>
      <c r="J3440" s="8">
        <v>3.8800000000000001E-2</v>
      </c>
    </row>
    <row r="3441" spans="1:10" x14ac:dyDescent="0.25">
      <c r="A3441" s="5" t="s">
        <v>3255</v>
      </c>
      <c r="B3441" s="5" t="s">
        <v>5308</v>
      </c>
      <c r="C3441" s="6" t="str">
        <f>_xll.QS.CONTEXT.CREATE("market.3439",A3441,"USD","SOFR")</f>
        <v>QSObject:PricingContext:w1~market.3439:15374</v>
      </c>
      <c r="D3441" s="6" t="str">
        <f>_xll.QS.CONTEXT.ADD.CURVE(C3441,"SOFR",$K$2:$K$7,$L$2:$L$7,,,"Actual360","LogLinear",TRUE)</f>
        <v>QSObject:ContextInput:w1~input.qs_context_add_curve.2359132437744.3440.3.0:37093</v>
      </c>
      <c r="E3441" s="6" t="str">
        <f>_xll.QS.INSTRUMENT.SWAP("swap.3439",H3441,B3441,"USD","SOFR",I3441,J3441,0,"Actual360","Simple","Annual","Annual","Annual")</f>
        <v>QSObject:Swap:w1~swap.3439:15373</v>
      </c>
      <c r="F3441" s="6" t="str">
        <f>_xll.QS.TRADE.CREATE("trade.3439",E3441,A3441,"Receive")</f>
        <v>QSObject:SwapTrade:w1~trade.3439:28400</v>
      </c>
      <c r="G3441" s="3">
        <f>_xll.QS.EVALUATE(C3441,F3441)</f>
        <v>42714.299592160787</v>
      </c>
      <c r="H3441" s="5" t="s">
        <v>3269</v>
      </c>
      <c r="I3441" s="7">
        <v>1343900</v>
      </c>
      <c r="J3441" s="8">
        <v>3.8899999999999997E-2</v>
      </c>
    </row>
    <row r="3442" spans="1:10" x14ac:dyDescent="0.25">
      <c r="A3442" s="5" t="s">
        <v>3257</v>
      </c>
      <c r="B3442" s="5" t="s">
        <v>5309</v>
      </c>
      <c r="C3442" s="6" t="str">
        <f>_xll.QS.CONTEXT.CREATE("market.3440",A3442,"USD","SOFR")</f>
        <v>QSObject:PricingContext:w1~market.3440:15372</v>
      </c>
      <c r="D3442" s="6" t="str">
        <f>_xll.QS.CONTEXT.ADD.CURVE(C3442,"SOFR",$K$2:$K$7,$L$2:$L$7,,,"Actual360","LogLinear",TRUE)</f>
        <v>QSObject:ContextInput:w1~input.qs_context_add_curve.2359132437744.3441.3.0:37092</v>
      </c>
      <c r="E3442" s="6" t="str">
        <f>_xll.QS.INSTRUMENT.SWAP("swap.3440",H3442,B3442,"USD","SOFR",I3442,J3442,0,"Actual360","Simple","Annual","Annual","Annual")</f>
        <v>QSObject:Swap:w1~swap.3440:15371</v>
      </c>
      <c r="F3442" s="6" t="str">
        <f>_xll.QS.TRADE.CREATE("trade.3440",E3442,A3442,"Receive")</f>
        <v>QSObject:SwapTrade:w1~trade.3440:28399</v>
      </c>
      <c r="G3442" s="3">
        <f>_xll.QS.EVALUATE(C3442,F3442)</f>
        <v>43344.787634147571</v>
      </c>
      <c r="H3442" s="5" t="s">
        <v>3271</v>
      </c>
      <c r="I3442" s="7">
        <v>1344000</v>
      </c>
      <c r="J3442" s="8">
        <v>3.9000000000000007E-2</v>
      </c>
    </row>
    <row r="3443" spans="1:10" x14ac:dyDescent="0.25">
      <c r="A3443" s="5" t="s">
        <v>3259</v>
      </c>
      <c r="B3443" s="5" t="s">
        <v>5310</v>
      </c>
      <c r="C3443" s="6" t="str">
        <f>_xll.QS.CONTEXT.CREATE("market.3441",A3443,"USD","SOFR")</f>
        <v>QSObject:PricingContext:w1~market.3441:15370</v>
      </c>
      <c r="D3443" s="6" t="str">
        <f>_xll.QS.CONTEXT.ADD.CURVE(C3443,"SOFR",$K$2:$K$7,$L$2:$L$7,,,"Actual360","LogLinear",TRUE)</f>
        <v>QSObject:ContextInput:w1~input.qs_context_add_curve.2359132437744.3442.3.0:37091</v>
      </c>
      <c r="E3443" s="6" t="str">
        <f>_xll.QS.INSTRUMENT.SWAP("swap.3441",H3443,B3443,"USD","SOFR",I3443,J3443,0,"Actual360","Simple","Annual","Annual","Annual")</f>
        <v>QSObject:Swap:w1~swap.3441:15369</v>
      </c>
      <c r="F3443" s="6" t="str">
        <f>_xll.QS.TRADE.CREATE("trade.3441",E3443,A3443,"Receive")</f>
        <v>QSObject:SwapTrade:w1~trade.3441:28398</v>
      </c>
      <c r="G3443" s="3">
        <f>_xll.QS.EVALUATE(C3443,F3443)</f>
        <v>43881.040023250294</v>
      </c>
      <c r="H3443" s="5" t="s">
        <v>3273</v>
      </c>
      <c r="I3443" s="7">
        <v>1344100</v>
      </c>
      <c r="J3443" s="8">
        <v>3.9100000000000003E-2</v>
      </c>
    </row>
    <row r="3444" spans="1:10" x14ac:dyDescent="0.25">
      <c r="A3444" s="5" t="s">
        <v>3261</v>
      </c>
      <c r="B3444" s="5" t="s">
        <v>5311</v>
      </c>
      <c r="C3444" s="6" t="str">
        <f>_xll.QS.CONTEXT.CREATE("market.3442",A3444,"USD","SOFR")</f>
        <v>QSObject:PricingContext:w1~market.3442:15368</v>
      </c>
      <c r="D3444" s="6" t="str">
        <f>_xll.QS.CONTEXT.ADD.CURVE(C3444,"SOFR",$K$2:$K$7,$L$2:$L$7,,,"Actual360","LogLinear",TRUE)</f>
        <v>QSObject:ContextInput:w1~input.qs_context_add_curve.2359132437744.3443.3.0:37090</v>
      </c>
      <c r="E3444" s="6" t="str">
        <f>_xll.QS.INSTRUMENT.SWAP("swap.3442",H3444,B3444,"USD","SOFR",I3444,J3444,0,"Actual360","Simple","Annual","Annual","Annual")</f>
        <v>QSObject:Swap:w1~swap.3442:15367</v>
      </c>
      <c r="F3444" s="6" t="str">
        <f>_xll.QS.TRADE.CREATE("trade.3442",E3444,A3444,"Receive")</f>
        <v>QSObject:SwapTrade:w1~trade.3442:28397</v>
      </c>
      <c r="G3444" s="3">
        <f>_xll.QS.EVALUATE(C3444,F3444)</f>
        <v>44425.120261655145</v>
      </c>
      <c r="H3444" s="5" t="s">
        <v>3275</v>
      </c>
      <c r="I3444" s="7">
        <v>1344200</v>
      </c>
      <c r="J3444" s="8">
        <v>3.9200000000000013E-2</v>
      </c>
    </row>
    <row r="3445" spans="1:10" x14ac:dyDescent="0.25">
      <c r="A3445" s="5" t="s">
        <v>3263</v>
      </c>
      <c r="B3445" s="5" t="s">
        <v>5312</v>
      </c>
      <c r="C3445" s="6" t="str">
        <f>_xll.QS.CONTEXT.CREATE("market.3443",A3445,"USD","SOFR")</f>
        <v>QSObject:PricingContext:w1~market.3443:15366</v>
      </c>
      <c r="D3445" s="6" t="str">
        <f>_xll.QS.CONTEXT.ADD.CURVE(C3445,"SOFR",$K$2:$K$7,$L$2:$L$7,,,"Actual360","LogLinear",TRUE)</f>
        <v>QSObject:ContextInput:w1~input.qs_context_add_curve.2359132437744.3444.3.0:37089</v>
      </c>
      <c r="E3445" s="6" t="str">
        <f>_xll.QS.INSTRUMENT.SWAP("swap.3443",H3445,B3445,"USD","SOFR",I3445,J3445,0,"Actual360","Simple","Annual","Annual","Annual")</f>
        <v>QSObject:Swap:w1~swap.3443:15365</v>
      </c>
      <c r="F3445" s="6" t="str">
        <f>_xll.QS.TRADE.CREATE("trade.3443",E3445,A3445,"Receive")</f>
        <v>QSObject:SwapTrade:w1~trade.3443:28396</v>
      </c>
      <c r="G3445" s="3">
        <f>_xll.QS.EVALUATE(C3445,F3445)</f>
        <v>45052.116816135094</v>
      </c>
      <c r="H3445" s="5" t="s">
        <v>3277</v>
      </c>
      <c r="I3445" s="7">
        <v>1344300</v>
      </c>
      <c r="J3445" s="8">
        <v>3.9300000000000002E-2</v>
      </c>
    </row>
    <row r="3446" spans="1:10" x14ac:dyDescent="0.25">
      <c r="A3446" s="5" t="s">
        <v>3265</v>
      </c>
      <c r="B3446" s="5" t="s">
        <v>5313</v>
      </c>
      <c r="C3446" s="6" t="str">
        <f>_xll.QS.CONTEXT.CREATE("market.3444",A3446,"USD","SOFR")</f>
        <v>QSObject:PricingContext:w1~market.3444:15364</v>
      </c>
      <c r="D3446" s="6" t="str">
        <f>_xll.QS.CONTEXT.ADD.CURVE(C3446,"SOFR",$K$2:$K$7,$L$2:$L$7,,,"Actual360","LogLinear",TRUE)</f>
        <v>QSObject:ContextInput:w1~input.qs_context_add_curve.2359132437744.3445.3.0:37088</v>
      </c>
      <c r="E3446" s="6" t="str">
        <f>_xll.QS.INSTRUMENT.SWAP("swap.3444",H3446,B3446,"USD","SOFR",I3446,J3446,0,"Actual360","Simple","Annual","Annual","Annual")</f>
        <v>QSObject:Swap:w1~swap.3444:15363</v>
      </c>
      <c r="F3446" s="6" t="str">
        <f>_xll.QS.TRADE.CREATE("trade.3444",E3446,A3446,"Receive")</f>
        <v>QSObject:SwapTrade:w1~trade.3444:28395</v>
      </c>
      <c r="G3446" s="3">
        <f>_xll.QS.EVALUATE(C3446,F3446)</f>
        <v>45882.218977519238</v>
      </c>
      <c r="H3446" s="5" t="s">
        <v>3279</v>
      </c>
      <c r="I3446" s="7">
        <v>1344400</v>
      </c>
      <c r="J3446" s="8">
        <v>3.9399999999999998E-2</v>
      </c>
    </row>
    <row r="3447" spans="1:10" x14ac:dyDescent="0.25">
      <c r="A3447" s="5" t="s">
        <v>3267</v>
      </c>
      <c r="B3447" s="5" t="s">
        <v>5314</v>
      </c>
      <c r="C3447" s="6" t="str">
        <f>_xll.QS.CONTEXT.CREATE("market.3445",A3447,"USD","SOFR")</f>
        <v>QSObject:PricingContext:w1~market.3445:15362</v>
      </c>
      <c r="D3447" s="6" t="str">
        <f>_xll.QS.CONTEXT.ADD.CURVE(C3447,"SOFR",$K$2:$K$7,$L$2:$L$7,,,"Actual360","LogLinear",TRUE)</f>
        <v>QSObject:ContextInput:w1~input.qs_context_add_curve.2359132437744.3446.3.0:37087</v>
      </c>
      <c r="E3447" s="6" t="str">
        <f>_xll.QS.INSTRUMENT.SWAP("swap.3445",H3447,B3447,"USD","SOFR",I3447,J3447,0,"Actual360","Simple","Annual","Annual","Annual")</f>
        <v>QSObject:Swap:w1~swap.3445:15361</v>
      </c>
      <c r="F3447" s="6" t="str">
        <f>_xll.QS.TRADE.CREATE("trade.3445",E3447,A3447,"Receive")</f>
        <v>QSObject:SwapTrade:w1~trade.3445:28394</v>
      </c>
      <c r="G3447" s="3">
        <f>_xll.QS.EVALUATE(C3447,F3447)</f>
        <v>46505.161363926112</v>
      </c>
      <c r="H3447" s="5" t="s">
        <v>3281</v>
      </c>
      <c r="I3447" s="7">
        <v>1344500</v>
      </c>
      <c r="J3447" s="8">
        <v>3.9500000000000007E-2</v>
      </c>
    </row>
    <row r="3448" spans="1:10" x14ac:dyDescent="0.25">
      <c r="A3448" s="5" t="s">
        <v>3269</v>
      </c>
      <c r="B3448" s="5" t="s">
        <v>5315</v>
      </c>
      <c r="C3448" s="6" t="str">
        <f>_xll.QS.CONTEXT.CREATE("market.3446",A3448,"USD","SOFR")</f>
        <v>QSObject:PricingContext:w1~market.3446:15360</v>
      </c>
      <c r="D3448" s="6" t="str">
        <f>_xll.QS.CONTEXT.ADD.CURVE(C3448,"SOFR",$K$2:$K$7,$L$2:$L$7,,,"Actual360","LogLinear",TRUE)</f>
        <v>QSObject:ContextInput:w1~input.qs_context_add_curve.2359132437744.3447.3.0:37086</v>
      </c>
      <c r="E3448" s="6" t="str">
        <f>_xll.QS.INSTRUMENT.SWAP("swap.3446",H3448,B3448,"USD","SOFR",I3448,J3448,0,"Actual360","Simple","Annual","Annual","Annual")</f>
        <v>QSObject:Swap:w1~swap.3446:15359</v>
      </c>
      <c r="F3448" s="6" t="str">
        <f>_xll.QS.TRADE.CREATE("trade.3446",E3448,A3448,"Receive")</f>
        <v>QSObject:SwapTrade:w1~trade.3446:28393</v>
      </c>
      <c r="G3448" s="3">
        <f>_xll.QS.EVALUATE(C3448,F3448)</f>
        <v>47133.786007286857</v>
      </c>
      <c r="H3448" s="5" t="s">
        <v>3283</v>
      </c>
      <c r="I3448" s="7">
        <v>1344600</v>
      </c>
      <c r="J3448" s="8">
        <v>3.9600000000000003E-2</v>
      </c>
    </row>
    <row r="3449" spans="1:10" x14ac:dyDescent="0.25">
      <c r="A3449" s="5" t="s">
        <v>3271</v>
      </c>
      <c r="B3449" s="5" t="s">
        <v>5316</v>
      </c>
      <c r="C3449" s="6" t="str">
        <f>_xll.QS.CONTEXT.CREATE("market.3447",A3449,"USD","SOFR")</f>
        <v>QSObject:PricingContext:w1~market.3447:15358</v>
      </c>
      <c r="D3449" s="6" t="str">
        <f>_xll.QS.CONTEXT.ADD.CURVE(C3449,"SOFR",$K$2:$K$7,$L$2:$L$7,,,"Actual360","LogLinear",TRUE)</f>
        <v>QSObject:ContextInput:w1~input.qs_context_add_curve.2359132437744.3448.3.0:37085</v>
      </c>
      <c r="E3449" s="6" t="str">
        <f>_xll.QS.INSTRUMENT.SWAP("swap.3447",H3449,B3449,"USD","SOFR",I3449,J3449,0,"Actual360","Simple","Annual","Annual","Annual")</f>
        <v>QSObject:Swap:w1~swap.3447:15357</v>
      </c>
      <c r="F3449" s="6" t="str">
        <f>_xll.QS.TRADE.CREATE("trade.3447",E3449,A3449,"Receive")</f>
        <v>QSObject:SwapTrade:w1~trade.3447:28392</v>
      </c>
      <c r="G3449" s="3">
        <f>_xll.QS.EVALUATE(C3449,F3449)</f>
        <v>47710.182268680393</v>
      </c>
      <c r="H3449" s="5" t="s">
        <v>3285</v>
      </c>
      <c r="I3449" s="7">
        <v>1344700</v>
      </c>
      <c r="J3449" s="8">
        <v>3.9700000000000013E-2</v>
      </c>
    </row>
    <row r="3450" spans="1:10" x14ac:dyDescent="0.25">
      <c r="A3450" s="5" t="s">
        <v>3273</v>
      </c>
      <c r="B3450" s="5" t="s">
        <v>5317</v>
      </c>
      <c r="C3450" s="6" t="str">
        <f>_xll.QS.CONTEXT.CREATE("market.3448",A3450,"USD","SOFR")</f>
        <v>QSObject:PricingContext:w1~market.3448:15356</v>
      </c>
      <c r="D3450" s="6" t="str">
        <f>_xll.QS.CONTEXT.ADD.CURVE(C3450,"SOFR",$K$2:$K$7,$L$2:$L$7,,,"Actual360","LogLinear",TRUE)</f>
        <v>QSObject:ContextInput:w1~input.qs_context_add_curve.2359132437744.3449.3.0:37084</v>
      </c>
      <c r="E3450" s="6" t="str">
        <f>_xll.QS.INSTRUMENT.SWAP("swap.3448",H3450,B3450,"USD","SOFR",I3450,J3450,0,"Actual360","Simple","Annual","Annual","Annual")</f>
        <v>QSObject:Swap:w1~swap.3448:15355</v>
      </c>
      <c r="F3450" s="6" t="str">
        <f>_xll.QS.TRADE.CREATE("trade.3448",E3450,A3450,"Receive")</f>
        <v>QSObject:SwapTrade:w1~trade.3448:28391</v>
      </c>
      <c r="G3450" s="3">
        <f>_xll.QS.EVALUATE(C3450,F3450)</f>
        <v>48335.360591247998</v>
      </c>
      <c r="H3450" s="5" t="s">
        <v>3287</v>
      </c>
      <c r="I3450" s="7">
        <v>1344800</v>
      </c>
      <c r="J3450" s="8">
        <v>3.9800000000000002E-2</v>
      </c>
    </row>
    <row r="3451" spans="1:10" x14ac:dyDescent="0.25">
      <c r="A3451" s="5" t="s">
        <v>3275</v>
      </c>
      <c r="B3451" s="5" t="s">
        <v>5318</v>
      </c>
      <c r="C3451" s="6" t="str">
        <f>_xll.QS.CONTEXT.CREATE("market.3449",A3451,"USD","SOFR")</f>
        <v>QSObject:PricingContext:w1~market.3449:15354</v>
      </c>
      <c r="D3451" s="6" t="str">
        <f>_xll.QS.CONTEXT.ADD.CURVE(C3451,"SOFR",$K$2:$K$7,$L$2:$L$7,,,"Actual360","LogLinear",TRUE)</f>
        <v>QSObject:ContextInput:w1~input.qs_context_add_curve.2359132437744.3450.3.0:37083</v>
      </c>
      <c r="E3451" s="6" t="str">
        <f>_xll.QS.INSTRUMENT.SWAP("swap.3449",H3451,B3451,"USD","SOFR",I3451,J3451,0,"Actual360","Simple","Annual","Annual","Annual")</f>
        <v>QSObject:Swap:w1~swap.3449:15353</v>
      </c>
      <c r="F3451" s="6" t="str">
        <f>_xll.QS.TRADE.CREATE("trade.3449",E3451,A3451,"Receive")</f>
        <v>QSObject:SwapTrade:w1~trade.3449:28390</v>
      </c>
      <c r="G3451" s="3">
        <f>_xll.QS.EVALUATE(C3451,F3451)</f>
        <v>48790.862941495245</v>
      </c>
      <c r="H3451" s="5" t="s">
        <v>3289</v>
      </c>
      <c r="I3451" s="7">
        <v>1344900</v>
      </c>
      <c r="J3451" s="8">
        <v>3.9899999999999998E-2</v>
      </c>
    </row>
    <row r="3452" spans="1:10" x14ac:dyDescent="0.25">
      <c r="A3452" s="5" t="s">
        <v>3277</v>
      </c>
      <c r="B3452" s="5" t="s">
        <v>5319</v>
      </c>
      <c r="C3452" s="6" t="str">
        <f>_xll.QS.CONTEXT.CREATE("market.3450",A3452,"USD","SOFR")</f>
        <v>QSObject:PricingContext:w1~market.3450:15352</v>
      </c>
      <c r="D3452" s="6" t="str">
        <f>_xll.QS.CONTEXT.ADD.CURVE(C3452,"SOFR",$K$2:$K$7,$L$2:$L$7,,,"Actual360","LogLinear",TRUE)</f>
        <v>QSObject:ContextInput:w1~input.qs_context_add_curve.2359132437744.3451.3.0:37082</v>
      </c>
      <c r="E3452" s="6" t="str">
        <f>_xll.QS.INSTRUMENT.SWAP("swap.3450",H3452,B3452,"USD","SOFR",I3452,J3452,0,"Actual360","Simple","Annual","Annual","Annual")</f>
        <v>QSObject:Swap:w1~swap.3450:15351</v>
      </c>
      <c r="F3452" s="6" t="str">
        <f>_xll.QS.TRADE.CREATE("trade.3450",E3452,A3452,"Receive")</f>
        <v>QSObject:SwapTrade:w1~trade.3450:28389</v>
      </c>
      <c r="G3452" s="3">
        <f>_xll.QS.EVALUATE(C3452,F3452)</f>
        <v>18395.334493100665</v>
      </c>
      <c r="H3452" s="5" t="s">
        <v>3291</v>
      </c>
      <c r="I3452" s="7">
        <v>1345000</v>
      </c>
      <c r="J3452" s="8">
        <v>3.5000000000000003E-2</v>
      </c>
    </row>
    <row r="3453" spans="1:10" x14ac:dyDescent="0.25">
      <c r="A3453" s="5" t="s">
        <v>3279</v>
      </c>
      <c r="B3453" s="5" t="s">
        <v>5320</v>
      </c>
      <c r="C3453" s="6" t="str">
        <f>_xll.QS.CONTEXT.CREATE("market.3451",A3453,"USD","SOFR")</f>
        <v>QSObject:PricingContext:w1~market.3451:15350</v>
      </c>
      <c r="D3453" s="6" t="str">
        <f>_xll.QS.CONTEXT.ADD.CURVE(C3453,"SOFR",$K$2:$K$7,$L$2:$L$7,,,"Actual360","LogLinear",TRUE)</f>
        <v>QSObject:ContextInput:w1~input.qs_context_add_curve.2359132437744.3452.3.0:37081</v>
      </c>
      <c r="E3453" s="6" t="str">
        <f>_xll.QS.INSTRUMENT.SWAP("swap.3451",H3453,B3453,"USD","SOFR",I3453,J3453,0,"Actual360","Simple","Annual","Annual","Annual")</f>
        <v>QSObject:Swap:w1~swap.3451:15349</v>
      </c>
      <c r="F3453" s="6" t="str">
        <f>_xll.QS.TRADE.CREATE("trade.3451",E3453,A3453,"Receive")</f>
        <v>QSObject:SwapTrade:w1~trade.3451:28388</v>
      </c>
      <c r="G3453" s="3">
        <f>_xll.QS.EVALUATE(C3453,F3453)</f>
        <v>19072.28943406466</v>
      </c>
      <c r="H3453" s="5" t="s">
        <v>3293</v>
      </c>
      <c r="I3453" s="7">
        <v>1345100</v>
      </c>
      <c r="J3453" s="8">
        <v>3.5100000000000013E-2</v>
      </c>
    </row>
    <row r="3454" spans="1:10" x14ac:dyDescent="0.25">
      <c r="A3454" s="5" t="s">
        <v>3281</v>
      </c>
      <c r="B3454" s="5" t="s">
        <v>5321</v>
      </c>
      <c r="C3454" s="6" t="str">
        <f>_xll.QS.CONTEXT.CREATE("market.3452",A3454,"USD","SOFR")</f>
        <v>QSObject:PricingContext:w1~market.3452:15348</v>
      </c>
      <c r="D3454" s="6" t="str">
        <f>_xll.QS.CONTEXT.ADD.CURVE(C3454,"SOFR",$K$2:$K$7,$L$2:$L$7,,,"Actual360","LogLinear",TRUE)</f>
        <v>QSObject:ContextInput:w1~input.qs_context_add_curve.2359132437744.3453.3.0:37080</v>
      </c>
      <c r="E3454" s="6" t="str">
        <f>_xll.QS.INSTRUMENT.SWAP("swap.3452",H3454,B3454,"USD","SOFR",I3454,J3454,0,"Actual360","Simple","Annual","Annual","Annual")</f>
        <v>QSObject:Swap:w1~swap.3452:15347</v>
      </c>
      <c r="F3454" s="6" t="str">
        <f>_xll.QS.TRADE.CREATE("trade.3452",E3454,A3454,"Receive")</f>
        <v>QSObject:SwapTrade:w1~trade.3452:28387</v>
      </c>
      <c r="G3454" s="3">
        <f>_xll.QS.EVALUATE(C3454,F3454)</f>
        <v>19792.421933373422</v>
      </c>
      <c r="H3454" s="5" t="s">
        <v>3295</v>
      </c>
      <c r="I3454" s="7">
        <v>1345200</v>
      </c>
      <c r="J3454" s="8">
        <v>3.5200000000000002E-2</v>
      </c>
    </row>
    <row r="3455" spans="1:10" x14ac:dyDescent="0.25">
      <c r="A3455" s="5" t="s">
        <v>3283</v>
      </c>
      <c r="B3455" s="5" t="s">
        <v>5322</v>
      </c>
      <c r="C3455" s="6" t="str">
        <f>_xll.QS.CONTEXT.CREATE("market.3453",A3455,"USD","SOFR")</f>
        <v>QSObject:PricingContext:w1~market.3453:15346</v>
      </c>
      <c r="D3455" s="6" t="str">
        <f>_xll.QS.CONTEXT.ADD.CURVE(C3455,"SOFR",$K$2:$K$7,$L$2:$L$7,,,"Actual360","LogLinear",TRUE)</f>
        <v>QSObject:ContextInput:w1~input.qs_context_add_curve.2359132437744.3454.3.0:37079</v>
      </c>
      <c r="E3455" s="6" t="str">
        <f>_xll.QS.INSTRUMENT.SWAP("swap.3453",H3455,B3455,"USD","SOFR",I3455,J3455,0,"Actual360","Simple","Annual","Annual","Annual")</f>
        <v>QSObject:Swap:w1~swap.3453:15345</v>
      </c>
      <c r="F3455" s="6" t="str">
        <f>_xll.QS.TRADE.CREATE("trade.3453",E3455,A3455,"Receive")</f>
        <v>QSObject:SwapTrade:w1~trade.3453:28386</v>
      </c>
      <c r="G3455" s="3">
        <f>_xll.QS.EVALUATE(C3455,F3455)</f>
        <v>20414.394835709543</v>
      </c>
      <c r="H3455" s="5" t="s">
        <v>3297</v>
      </c>
      <c r="I3455" s="7">
        <v>1345300</v>
      </c>
      <c r="J3455" s="8">
        <v>3.5299999999999998E-2</v>
      </c>
    </row>
    <row r="3456" spans="1:10" x14ac:dyDescent="0.25">
      <c r="A3456" s="5" t="s">
        <v>3285</v>
      </c>
      <c r="B3456" s="5" t="s">
        <v>5323</v>
      </c>
      <c r="C3456" s="6" t="str">
        <f>_xll.QS.CONTEXT.CREATE("market.3454",A3456,"USD","SOFR")</f>
        <v>QSObject:PricingContext:w1~market.3454:15344</v>
      </c>
      <c r="D3456" s="6" t="str">
        <f>_xll.QS.CONTEXT.ADD.CURVE(C3456,"SOFR",$K$2:$K$7,$L$2:$L$7,,,"Actual360","LogLinear",TRUE)</f>
        <v>QSObject:ContextInput:w1~input.qs_context_add_curve.2359132437744.3455.3.0:37078</v>
      </c>
      <c r="E3456" s="6" t="str">
        <f>_xll.QS.INSTRUMENT.SWAP("swap.3454",H3456,B3456,"USD","SOFR",I3456,J3456,0,"Actual360","Simple","Annual","Annual","Annual")</f>
        <v>QSObject:Swap:w1~swap.3454:15343</v>
      </c>
      <c r="F3456" s="6" t="str">
        <f>_xll.QS.TRADE.CREATE("trade.3454",E3456,A3456,"Receive")</f>
        <v>QSObject:SwapTrade:w1~trade.3454:28385</v>
      </c>
      <c r="G3456" s="3">
        <f>_xll.QS.EVALUATE(C3456,F3456)</f>
        <v>21043.813090709955</v>
      </c>
      <c r="H3456" s="5" t="s">
        <v>3299</v>
      </c>
      <c r="I3456" s="7">
        <v>1345400</v>
      </c>
      <c r="J3456" s="8">
        <v>3.5400000000000001E-2</v>
      </c>
    </row>
    <row r="3457" spans="1:10" x14ac:dyDescent="0.25">
      <c r="A3457" s="5" t="s">
        <v>3287</v>
      </c>
      <c r="B3457" s="5" t="s">
        <v>5324</v>
      </c>
      <c r="C3457" s="6" t="str">
        <f>_xll.QS.CONTEXT.CREATE("market.3455",A3457,"USD","SOFR")</f>
        <v>QSObject:PricingContext:w1~market.3455:15342</v>
      </c>
      <c r="D3457" s="6" t="str">
        <f>_xll.QS.CONTEXT.ADD.CURVE(C3457,"SOFR",$K$2:$K$7,$L$2:$L$7,,,"Actual360","LogLinear",TRUE)</f>
        <v>QSObject:ContextInput:w1~input.qs_context_add_curve.2359132437744.3456.3.0:37077</v>
      </c>
      <c r="E3457" s="6" t="str">
        <f>_xll.QS.INSTRUMENT.SWAP("swap.3455",H3457,B3457,"USD","SOFR",I3457,J3457,0,"Actual360","Simple","Annual","Annual","Annual")</f>
        <v>QSObject:Swap:w1~swap.3455:15341</v>
      </c>
      <c r="F3457" s="6" t="str">
        <f>_xll.QS.TRADE.CREATE("trade.3455",E3457,A3457,"Receive")</f>
        <v>QSObject:SwapTrade:w1~trade.3455:28384</v>
      </c>
      <c r="G3457" s="3">
        <f>_xll.QS.EVALUATE(C3457,F3457)</f>
        <v>21667.229494169973</v>
      </c>
      <c r="H3457" s="5" t="s">
        <v>3301</v>
      </c>
      <c r="I3457" s="7">
        <v>1345500</v>
      </c>
      <c r="J3457" s="8">
        <v>3.5499999999999997E-2</v>
      </c>
    </row>
    <row r="3458" spans="1:10" x14ac:dyDescent="0.25">
      <c r="A3458" s="5" t="s">
        <v>3289</v>
      </c>
      <c r="B3458" s="5" t="s">
        <v>5325</v>
      </c>
      <c r="C3458" s="6" t="str">
        <f>_xll.QS.CONTEXT.CREATE("market.3456",A3458,"USD","SOFR")</f>
        <v>QSObject:PricingContext:w1~market.3456:15340</v>
      </c>
      <c r="D3458" s="6" t="str">
        <f>_xll.QS.CONTEXT.ADD.CURVE(C3458,"SOFR",$K$2:$K$7,$L$2:$L$7,,,"Actual360","LogLinear",TRUE)</f>
        <v>QSObject:ContextInput:w1~input.qs_context_add_curve.2359132437744.3457.3.0:37076</v>
      </c>
      <c r="E3458" s="6" t="str">
        <f>_xll.QS.INSTRUMENT.SWAP("swap.3456",H3458,B3458,"USD","SOFR",I3458,J3458,0,"Actual360","Simple","Annual","Annual","Annual")</f>
        <v>QSObject:Swap:w1~swap.3456:15339</v>
      </c>
      <c r="F3458" s="6" t="str">
        <f>_xll.QS.TRADE.CREATE("trade.3456",E3458,A3458,"Receive")</f>
        <v>QSObject:SwapTrade:w1~trade.3456:28383</v>
      </c>
      <c r="G3458" s="3">
        <f>_xll.QS.EVALUATE(C3458,F3458)</f>
        <v>22126.352569399147</v>
      </c>
      <c r="H3458" s="5" t="s">
        <v>3303</v>
      </c>
      <c r="I3458" s="7">
        <v>1345600</v>
      </c>
      <c r="J3458" s="8">
        <v>3.5600000000000007E-2</v>
      </c>
    </row>
    <row r="3459" spans="1:10" x14ac:dyDescent="0.25">
      <c r="A3459" s="5" t="s">
        <v>3291</v>
      </c>
      <c r="B3459" s="5" t="s">
        <v>5326</v>
      </c>
      <c r="C3459" s="6" t="str">
        <f>_xll.QS.CONTEXT.CREATE("market.3457",A3459,"USD","SOFR")</f>
        <v>QSObject:PricingContext:w1~market.3457:15338</v>
      </c>
      <c r="D3459" s="6" t="str">
        <f>_xll.QS.CONTEXT.ADD.CURVE(C3459,"SOFR",$K$2:$K$7,$L$2:$L$7,,,"Actual360","LogLinear",TRUE)</f>
        <v>QSObject:ContextInput:w1~input.qs_context_add_curve.2359132437744.3458.3.0:37075</v>
      </c>
      <c r="E3459" s="6" t="str">
        <f>_xll.QS.INSTRUMENT.SWAP("swap.3457",H3459,B3459,"USD","SOFR",I3459,J3459,0,"Actual360","Simple","Annual","Annual","Annual")</f>
        <v>QSObject:Swap:w1~swap.3457:15337</v>
      </c>
      <c r="F3459" s="6" t="str">
        <f>_xll.QS.TRADE.CREATE("trade.3457",E3459,A3459,"Receive")</f>
        <v>QSObject:SwapTrade:w1~trade.3457:28382</v>
      </c>
      <c r="G3459" s="3">
        <f>_xll.QS.EVALUATE(C3459,F3459)</f>
        <v>22750.463889618033</v>
      </c>
      <c r="H3459" s="5" t="s">
        <v>3305</v>
      </c>
      <c r="I3459" s="7">
        <v>1345700</v>
      </c>
      <c r="J3459" s="8">
        <v>3.5700000000000003E-2</v>
      </c>
    </row>
    <row r="3460" spans="1:10" x14ac:dyDescent="0.25">
      <c r="A3460" s="5" t="s">
        <v>3293</v>
      </c>
      <c r="B3460" s="5" t="s">
        <v>5327</v>
      </c>
      <c r="C3460" s="6" t="str">
        <f>_xll.QS.CONTEXT.CREATE("market.3458",A3460,"USD","SOFR")</f>
        <v>QSObject:PricingContext:w1~market.3458:15336</v>
      </c>
      <c r="D3460" s="6" t="str">
        <f>_xll.QS.CONTEXT.ADD.CURVE(C3460,"SOFR",$K$2:$K$7,$L$2:$L$7,,,"Actual360","LogLinear",TRUE)</f>
        <v>QSObject:ContextInput:w1~input.qs_context_add_curve.2359132437744.3459.3.0:37074</v>
      </c>
      <c r="E3460" s="6" t="str">
        <f>_xll.QS.INSTRUMENT.SWAP("swap.3458",H3460,B3460,"USD","SOFR",I3460,J3460,0,"Actual360","Simple","Annual","Annual","Annual")</f>
        <v>QSObject:Swap:w1~swap.3458:15335</v>
      </c>
      <c r="F3460" s="6" t="str">
        <f>_xll.QS.TRADE.CREATE("trade.3458",E3460,A3460,"Receive")</f>
        <v>QSObject:SwapTrade:w1~trade.3458:28381</v>
      </c>
      <c r="G3460" s="3">
        <f>_xll.QS.EVALUATE(C3460,F3460)</f>
        <v>23428.51848297954</v>
      </c>
      <c r="H3460" s="5" t="s">
        <v>3307</v>
      </c>
      <c r="I3460" s="7">
        <v>1345800</v>
      </c>
      <c r="J3460" s="8">
        <v>3.5800000000000012E-2</v>
      </c>
    </row>
    <row r="3461" spans="1:10" x14ac:dyDescent="0.25">
      <c r="A3461" s="5" t="s">
        <v>3295</v>
      </c>
      <c r="B3461" s="5" t="s">
        <v>5328</v>
      </c>
      <c r="C3461" s="6" t="str">
        <f>_xll.QS.CONTEXT.CREATE("market.3459",A3461,"USD","SOFR")</f>
        <v>QSObject:PricingContext:w1~market.3459:15334</v>
      </c>
      <c r="D3461" s="6" t="str">
        <f>_xll.QS.CONTEXT.ADD.CURVE(C3461,"SOFR",$K$2:$K$7,$L$2:$L$7,,,"Actual360","LogLinear",TRUE)</f>
        <v>QSObject:ContextInput:w1~input.qs_context_add_curve.2359132437744.3460.3.0:37073</v>
      </c>
      <c r="E3461" s="6" t="str">
        <f>_xll.QS.INSTRUMENT.SWAP("swap.3459",H3461,B3461,"USD","SOFR",I3461,J3461,0,"Actual360","Simple","Annual","Annual","Annual")</f>
        <v>QSObject:Swap:w1~swap.3459:15333</v>
      </c>
      <c r="F3461" s="6" t="str">
        <f>_xll.QS.TRADE.CREATE("trade.3459",E3461,A3461,"Receive")</f>
        <v>QSObject:SwapTrade:w1~trade.3459:28380</v>
      </c>
      <c r="G3461" s="3">
        <f>_xll.QS.EVALUATE(C3461,F3461)</f>
        <v>24149.597321401452</v>
      </c>
      <c r="H3461" s="5" t="s">
        <v>3309</v>
      </c>
      <c r="I3461" s="7">
        <v>1345900</v>
      </c>
      <c r="J3461" s="8">
        <v>3.5900000000000001E-2</v>
      </c>
    </row>
    <row r="3462" spans="1:10" x14ac:dyDescent="0.25">
      <c r="A3462" s="5" t="s">
        <v>3297</v>
      </c>
      <c r="B3462" s="5" t="s">
        <v>5329</v>
      </c>
      <c r="C3462" s="6" t="str">
        <f>_xll.QS.CONTEXT.CREATE("market.3460",A3462,"USD","SOFR")</f>
        <v>QSObject:PricingContext:w1~market.3460:15332</v>
      </c>
      <c r="D3462" s="6" t="str">
        <f>_xll.QS.CONTEXT.ADD.CURVE(C3462,"SOFR",$K$2:$K$7,$L$2:$L$7,,,"Actual360","LogLinear",TRUE)</f>
        <v>QSObject:ContextInput:w1~input.qs_context_add_curve.2359132437744.3461.3.0:37072</v>
      </c>
      <c r="E3462" s="6" t="str">
        <f>_xll.QS.INSTRUMENT.SWAP("swap.3460",H3462,B3462,"USD","SOFR",I3462,J3462,0,"Actual360","Simple","Annual","Annual","Annual")</f>
        <v>QSObject:Swap:w1~swap.3460:15331</v>
      </c>
      <c r="F3462" s="6" t="str">
        <f>_xll.QS.TRADE.CREATE("trade.3460",E3462,A3462,"Receive")</f>
        <v>QSObject:SwapTrade:w1~trade.3460:28379</v>
      </c>
      <c r="G3462" s="3">
        <f>_xll.QS.EVALUATE(C3462,F3462)</f>
        <v>24772.399422127128</v>
      </c>
      <c r="H3462" s="5" t="s">
        <v>3311</v>
      </c>
      <c r="I3462" s="7">
        <v>1346000</v>
      </c>
      <c r="J3462" s="8">
        <v>3.5999999999999997E-2</v>
      </c>
    </row>
    <row r="3463" spans="1:10" x14ac:dyDescent="0.25">
      <c r="A3463" s="5" t="s">
        <v>3299</v>
      </c>
      <c r="B3463" s="5" t="s">
        <v>5330</v>
      </c>
      <c r="C3463" s="6" t="str">
        <f>_xll.QS.CONTEXT.CREATE("market.3461",A3463,"USD","SOFR")</f>
        <v>QSObject:PricingContext:w1~market.3461:15330</v>
      </c>
      <c r="D3463" s="6" t="str">
        <f>_xll.QS.CONTEXT.ADD.CURVE(C3463,"SOFR",$K$2:$K$7,$L$2:$L$7,,,"Actual360","LogLinear",TRUE)</f>
        <v>QSObject:ContextInput:w1~input.qs_context_add_curve.2359132437744.3462.3.0:37071</v>
      </c>
      <c r="E3463" s="6" t="str">
        <f>_xll.QS.INSTRUMENT.SWAP("swap.3461",H3463,B3463,"USD","SOFR",I3463,J3463,0,"Actual360","Simple","Annual","Annual","Annual")</f>
        <v>QSObject:Swap:w1~swap.3461:15329</v>
      </c>
      <c r="F3463" s="6" t="str">
        <f>_xll.QS.TRADE.CREATE("trade.3461",E3463,A3463,"Receive")</f>
        <v>QSObject:SwapTrade:w1~trade.3461:28378</v>
      </c>
      <c r="G3463" s="3">
        <f>_xll.QS.EVALUATE(C3463,F3463)</f>
        <v>25402.102644337225</v>
      </c>
      <c r="H3463" s="5" t="s">
        <v>3313</v>
      </c>
      <c r="I3463" s="7">
        <v>1346100</v>
      </c>
      <c r="J3463" s="8">
        <v>3.61E-2</v>
      </c>
    </row>
    <row r="3464" spans="1:10" x14ac:dyDescent="0.25">
      <c r="A3464" s="5" t="s">
        <v>3301</v>
      </c>
      <c r="B3464" s="5" t="s">
        <v>5331</v>
      </c>
      <c r="C3464" s="6" t="str">
        <f>_xll.QS.CONTEXT.CREATE("market.3462",A3464,"USD","SOFR")</f>
        <v>QSObject:PricingContext:w1~market.3462:15328</v>
      </c>
      <c r="D3464" s="6" t="str">
        <f>_xll.QS.CONTEXT.ADD.CURVE(C3464,"SOFR",$K$2:$K$7,$L$2:$L$7,,,"Actual360","LogLinear",TRUE)</f>
        <v>QSObject:ContextInput:w1~input.qs_context_add_curve.2359132437744.3463.3.0:37070</v>
      </c>
      <c r="E3464" s="6" t="str">
        <f>_xll.QS.INSTRUMENT.SWAP("swap.3462",H3464,B3464,"USD","SOFR",I3464,J3464,0,"Actual360","Simple","Annual","Annual","Annual")</f>
        <v>QSObject:Swap:w1~swap.3462:15327</v>
      </c>
      <c r="F3464" s="6" t="str">
        <f>_xll.QS.TRADE.CREATE("trade.3462",E3464,A3464,"Receive")</f>
        <v>QSObject:SwapTrade:w1~trade.3462:28377</v>
      </c>
      <c r="G3464" s="3">
        <f>_xll.QS.EVALUATE(C3464,F3464)</f>
        <v>26026.015293275108</v>
      </c>
      <c r="H3464" s="5" t="s">
        <v>3315</v>
      </c>
      <c r="I3464" s="7">
        <v>1346200</v>
      </c>
      <c r="J3464" s="8">
        <v>3.6200000000000003E-2</v>
      </c>
    </row>
    <row r="3465" spans="1:10" x14ac:dyDescent="0.25">
      <c r="A3465" s="5" t="s">
        <v>3303</v>
      </c>
      <c r="B3465" s="5" t="s">
        <v>5332</v>
      </c>
      <c r="C3465" s="6" t="str">
        <f>_xll.QS.CONTEXT.CREATE("market.3463",A3465,"USD","SOFR")</f>
        <v>QSObject:PricingContext:w1~market.3463:15326</v>
      </c>
      <c r="D3465" s="6" t="str">
        <f>_xll.QS.CONTEXT.ADD.CURVE(C3465,"SOFR",$K$2:$K$7,$L$2:$L$7,,,"Actual360","LogLinear",TRUE)</f>
        <v>QSObject:ContextInput:w1~input.qs_context_add_curve.2359132437744.3464.3.0:37069</v>
      </c>
      <c r="E3465" s="6" t="str">
        <f>_xll.QS.INSTRUMENT.SWAP("swap.3463",H3465,B3465,"USD","SOFR",I3465,J3465,0,"Actual360","Simple","Annual","Annual","Annual")</f>
        <v>QSObject:Swap:w1~swap.3463:15325</v>
      </c>
      <c r="F3465" s="6" t="str">
        <f>_xll.QS.TRADE.CREATE("trade.3463",E3465,A3465,"Receive")</f>
        <v>QSObject:SwapTrade:w1~trade.3463:28376</v>
      </c>
      <c r="G3465" s="3">
        <f>_xll.QS.EVALUATE(C3465,F3465)</f>
        <v>26429.381451031804</v>
      </c>
      <c r="H3465" s="5" t="s">
        <v>3317</v>
      </c>
      <c r="I3465" s="7">
        <v>1346300</v>
      </c>
      <c r="J3465" s="8">
        <v>3.6300000000000013E-2</v>
      </c>
    </row>
    <row r="3466" spans="1:10" x14ac:dyDescent="0.25">
      <c r="A3466" s="5" t="s">
        <v>3305</v>
      </c>
      <c r="B3466" s="5" t="s">
        <v>5333</v>
      </c>
      <c r="C3466" s="6" t="str">
        <f>_xll.QS.CONTEXT.CREATE("market.3464",A3466,"USD","SOFR")</f>
        <v>QSObject:PricingContext:w1~market.3464:15324</v>
      </c>
      <c r="D3466" s="6" t="str">
        <f>_xll.QS.CONTEXT.ADD.CURVE(C3466,"SOFR",$K$2:$K$7,$L$2:$L$7,,,"Actual360","LogLinear",TRUE)</f>
        <v>QSObject:ContextInput:w1~input.qs_context_add_curve.2359132437744.3465.3.0:37068</v>
      </c>
      <c r="E3466" s="6" t="str">
        <f>_xll.QS.INSTRUMENT.SWAP("swap.3464",H3466,B3466,"USD","SOFR",I3466,J3466,0,"Actual360","Simple","Annual","Annual","Annual")</f>
        <v>QSObject:Swap:w1~swap.3464:15323</v>
      </c>
      <c r="F3466" s="6" t="str">
        <f>_xll.QS.TRADE.CREATE("trade.3464",E3466,A3466,"Receive")</f>
        <v>QSObject:SwapTrade:w1~trade.3464:28375</v>
      </c>
      <c r="G3466" s="3">
        <f>_xll.QS.EVALUATE(C3466,F3466)</f>
        <v>27054.186941143955</v>
      </c>
      <c r="H3466" s="5" t="s">
        <v>3319</v>
      </c>
      <c r="I3466" s="7">
        <v>1346400</v>
      </c>
      <c r="J3466" s="8">
        <v>3.6400000000000002E-2</v>
      </c>
    </row>
    <row r="3467" spans="1:10" x14ac:dyDescent="0.25">
      <c r="A3467" s="5" t="s">
        <v>3307</v>
      </c>
      <c r="B3467" s="5" t="s">
        <v>5334</v>
      </c>
      <c r="C3467" s="6" t="str">
        <f>_xll.QS.CONTEXT.CREATE("market.3465",A3467,"USD","SOFR")</f>
        <v>QSObject:PricingContext:w1~market.3465:15322</v>
      </c>
      <c r="D3467" s="6" t="str">
        <f>_xll.QS.CONTEXT.ADD.CURVE(C3467,"SOFR",$K$2:$K$7,$L$2:$L$7,,,"Actual360","LogLinear",TRUE)</f>
        <v>QSObject:ContextInput:w1~input.qs_context_add_curve.2359132437744.3466.3.0:37067</v>
      </c>
      <c r="E3467" s="6" t="str">
        <f>_xll.QS.INSTRUMENT.SWAP("swap.3465",H3467,B3467,"USD","SOFR",I3467,J3467,0,"Actual360","Simple","Annual","Annual","Annual")</f>
        <v>QSObject:Swap:w1~swap.3465:15321</v>
      </c>
      <c r="F3467" s="6" t="str">
        <f>_xll.QS.TRADE.CREATE("trade.3465",E3467,A3467,"Receive")</f>
        <v>QSObject:SwapTrade:w1~trade.3465:28374</v>
      </c>
      <c r="G3467" s="3">
        <f>_xll.QS.EVALUATE(C3467,F3467)</f>
        <v>27733.242840706072</v>
      </c>
      <c r="H3467" s="5" t="s">
        <v>3321</v>
      </c>
      <c r="I3467" s="7">
        <v>1346500</v>
      </c>
      <c r="J3467" s="8">
        <v>3.6499999999999998E-2</v>
      </c>
    </row>
    <row r="3468" spans="1:10" x14ac:dyDescent="0.25">
      <c r="A3468" s="5" t="s">
        <v>3309</v>
      </c>
      <c r="B3468" s="5" t="s">
        <v>5335</v>
      </c>
      <c r="C3468" s="6" t="str">
        <f>_xll.QS.CONTEXT.CREATE("market.3466",A3468,"USD","SOFR")</f>
        <v>QSObject:PricingContext:w1~market.3466:15320</v>
      </c>
      <c r="D3468" s="6" t="str">
        <f>_xll.QS.CONTEXT.ADD.CURVE(C3468,"SOFR",$K$2:$K$7,$L$2:$L$7,,,"Actual360","LogLinear",TRUE)</f>
        <v>QSObject:ContextInput:w1~input.qs_context_add_curve.2359132437744.3467.3.0:37066</v>
      </c>
      <c r="E3468" s="6" t="str">
        <f>_xll.QS.INSTRUMENT.SWAP("swap.3466",H3468,B3468,"USD","SOFR",I3468,J3468,0,"Actual360","Simple","Annual","Annual","Annual")</f>
        <v>QSObject:Swap:w1~swap.3466:15319</v>
      </c>
      <c r="F3468" s="6" t="str">
        <f>_xll.QS.TRADE.CREATE("trade.3466",E3468,A3468,"Receive")</f>
        <v>QSObject:SwapTrade:w1~trade.3466:28373</v>
      </c>
      <c r="G3468" s="3">
        <f>_xll.QS.EVALUATE(C3468,F3468)</f>
        <v>28560.699969738744</v>
      </c>
      <c r="H3468" s="5" t="s">
        <v>3323</v>
      </c>
      <c r="I3468" s="7">
        <v>1346600</v>
      </c>
      <c r="J3468" s="8">
        <v>3.6600000000000001E-2</v>
      </c>
    </row>
    <row r="3469" spans="1:10" x14ac:dyDescent="0.25">
      <c r="A3469" s="5" t="s">
        <v>3311</v>
      </c>
      <c r="B3469" s="5" t="s">
        <v>5336</v>
      </c>
      <c r="C3469" s="6" t="str">
        <f>_xll.QS.CONTEXT.CREATE("market.3467",A3469,"USD","SOFR")</f>
        <v>QSObject:PricingContext:w1~market.3467:15318</v>
      </c>
      <c r="D3469" s="6" t="str">
        <f>_xll.QS.CONTEXT.ADD.CURVE(C3469,"SOFR",$K$2:$K$7,$L$2:$L$7,,,"Actual360","LogLinear",TRUE)</f>
        <v>QSObject:ContextInput:w1~input.qs_context_add_curve.2359132437744.3468.3.0:37065</v>
      </c>
      <c r="E3469" s="6" t="str">
        <f>_xll.QS.INSTRUMENT.SWAP("swap.3467",H3469,B3469,"USD","SOFR",I3469,J3469,0,"Actual360","Simple","Annual","Annual","Annual")</f>
        <v>QSObject:Swap:w1~swap.3467:15317</v>
      </c>
      <c r="F3469" s="6" t="str">
        <f>_xll.QS.TRADE.CREATE("trade.3467",E3469,A3469,"Receive")</f>
        <v>QSObject:SwapTrade:w1~trade.3467:28372</v>
      </c>
      <c r="G3469" s="3">
        <f>_xll.QS.EVALUATE(C3469,F3469)</f>
        <v>29183.962033213968</v>
      </c>
      <c r="H3469" s="5" t="s">
        <v>3325</v>
      </c>
      <c r="I3469" s="7">
        <v>1346700</v>
      </c>
      <c r="J3469" s="8">
        <v>3.6700000000000003E-2</v>
      </c>
    </row>
    <row r="3470" spans="1:10" x14ac:dyDescent="0.25">
      <c r="A3470" s="5" t="s">
        <v>3313</v>
      </c>
      <c r="B3470" s="5" t="s">
        <v>5337</v>
      </c>
      <c r="C3470" s="6" t="str">
        <f>_xll.QS.CONTEXT.CREATE("market.3468",A3470,"USD","SOFR")</f>
        <v>QSObject:PricingContext:w1~market.3468:15316</v>
      </c>
      <c r="D3470" s="6" t="str">
        <f>_xll.QS.CONTEXT.ADD.CURVE(C3470,"SOFR",$K$2:$K$7,$L$2:$L$7,,,"Actual360","LogLinear",TRUE)</f>
        <v>QSObject:ContextInput:w1~input.qs_context_add_curve.2359132437744.3469.3.0:37064</v>
      </c>
      <c r="E3470" s="6" t="str">
        <f>_xll.QS.INSTRUMENT.SWAP("swap.3468",H3470,B3470,"USD","SOFR",I3470,J3470,0,"Actual360","Simple","Annual","Annual","Annual")</f>
        <v>QSObject:Swap:w1~swap.3468:15315</v>
      </c>
      <c r="F3470" s="6" t="str">
        <f>_xll.QS.TRADE.CREATE("trade.3468",E3470,A3470,"Receive")</f>
        <v>QSObject:SwapTrade:w1~trade.3468:28371</v>
      </c>
      <c r="G3470" s="3">
        <f>_xll.QS.EVALUATE(C3470,F3470)</f>
        <v>29819.304242093465</v>
      </c>
      <c r="H3470" s="5" t="s">
        <v>3327</v>
      </c>
      <c r="I3470" s="7">
        <v>1346800</v>
      </c>
      <c r="J3470" s="8">
        <v>3.6800000000000013E-2</v>
      </c>
    </row>
    <row r="3471" spans="1:10" x14ac:dyDescent="0.25">
      <c r="A3471" s="5" t="s">
        <v>3315</v>
      </c>
      <c r="B3471" s="5" t="s">
        <v>5338</v>
      </c>
      <c r="C3471" s="6" t="str">
        <f>_xll.QS.CONTEXT.CREATE("market.3469",A3471,"USD","SOFR")</f>
        <v>QSObject:PricingContext:w1~market.3469:15314</v>
      </c>
      <c r="D3471" s="6" t="str">
        <f>_xll.QS.CONTEXT.ADD.CURVE(C3471,"SOFR",$K$2:$K$7,$L$2:$L$7,,,"Actual360","LogLinear",TRUE)</f>
        <v>QSObject:ContextInput:w1~input.qs_context_add_curve.2359132437744.3470.3.0:37063</v>
      </c>
      <c r="E3471" s="6" t="str">
        <f>_xll.QS.INSTRUMENT.SWAP("swap.3469",H3471,B3471,"USD","SOFR",I3471,J3471,0,"Actual360","Simple","Annual","Annual","Annual")</f>
        <v>QSObject:Swap:w1~swap.3469:15313</v>
      </c>
      <c r="F3471" s="6" t="str">
        <f>_xll.QS.TRADE.CREATE("trade.3469",E3471,A3471,"Receive")</f>
        <v>QSObject:SwapTrade:w1~trade.3469:28370</v>
      </c>
      <c r="G3471" s="3">
        <f>_xll.QS.EVALUATE(C3471,F3471)</f>
        <v>30443.550408439238</v>
      </c>
      <c r="H3471" s="5" t="s">
        <v>3329</v>
      </c>
      <c r="I3471" s="7">
        <v>1346900</v>
      </c>
      <c r="J3471" s="8">
        <v>3.6900000000000002E-2</v>
      </c>
    </row>
    <row r="3472" spans="1:10" x14ac:dyDescent="0.25">
      <c r="A3472" s="5" t="s">
        <v>3317</v>
      </c>
      <c r="B3472" s="5" t="s">
        <v>5339</v>
      </c>
      <c r="C3472" s="6" t="str">
        <f>_xll.QS.CONTEXT.CREATE("market.3470",A3472,"USD","SOFR")</f>
        <v>QSObject:PricingContext:w1~market.3470:15312</v>
      </c>
      <c r="D3472" s="6" t="str">
        <f>_xll.QS.CONTEXT.ADD.CURVE(C3472,"SOFR",$K$2:$K$7,$L$2:$L$7,,,"Actual360","LogLinear",TRUE)</f>
        <v>QSObject:ContextInput:w1~input.qs_context_add_curve.2359132437744.3471.3.0:37062</v>
      </c>
      <c r="E3472" s="6" t="str">
        <f>_xll.QS.INSTRUMENT.SWAP("swap.3470",H3472,B3472,"USD","SOFR",I3472,J3472,0,"Actual360","Simple","Annual","Annual","Annual")</f>
        <v>QSObject:Swap:w1~swap.3470:15311</v>
      </c>
      <c r="F3472" s="6" t="str">
        <f>_xll.QS.TRADE.CREATE("trade.3470",E3472,A3472,"Receive")</f>
        <v>QSObject:SwapTrade:w1~trade.3470:28369</v>
      </c>
      <c r="G3472" s="3">
        <f>_xll.QS.EVALUATE(C3472,F3472)</f>
        <v>30902.051409080421</v>
      </c>
      <c r="H3472" s="5" t="s">
        <v>3331</v>
      </c>
      <c r="I3472" s="7">
        <v>1347000</v>
      </c>
      <c r="J3472" s="8">
        <v>3.7000000000000012E-2</v>
      </c>
    </row>
    <row r="3473" spans="1:10" x14ac:dyDescent="0.25">
      <c r="A3473" s="5" t="s">
        <v>3319</v>
      </c>
      <c r="B3473" s="5" t="s">
        <v>5340</v>
      </c>
      <c r="C3473" s="6" t="str">
        <f>_xll.QS.CONTEXT.CREATE("market.3471",A3473,"USD","SOFR")</f>
        <v>QSObject:PricingContext:w1~market.3471:15310</v>
      </c>
      <c r="D3473" s="6" t="str">
        <f>_xll.QS.CONTEXT.ADD.CURVE(C3473,"SOFR",$K$2:$K$7,$L$2:$L$7,,,"Actual360","LogLinear",TRUE)</f>
        <v>QSObject:ContextInput:w1~input.qs_context_add_curve.2359132437744.3472.3.0:37061</v>
      </c>
      <c r="E3473" s="6" t="str">
        <f>_xll.QS.INSTRUMENT.SWAP("swap.3471",H3473,B3473,"USD","SOFR",I3473,J3473,0,"Actual360","Simple","Annual","Annual","Annual")</f>
        <v>QSObject:Swap:w1~swap.3471:15309</v>
      </c>
      <c r="F3473" s="6" t="str">
        <f>_xll.QS.TRADE.CREATE("trade.3471",E3473,A3473,"Receive")</f>
        <v>QSObject:SwapTrade:w1~trade.3471:28368</v>
      </c>
      <c r="G3473" s="3">
        <f>_xll.QS.EVALUATE(C3473,F3473)</f>
        <v>31528.334320710739</v>
      </c>
      <c r="H3473" s="5" t="s">
        <v>3333</v>
      </c>
      <c r="I3473" s="7">
        <v>1347100</v>
      </c>
      <c r="J3473" s="8">
        <v>3.7100000000000001E-2</v>
      </c>
    </row>
    <row r="3474" spans="1:10" x14ac:dyDescent="0.25">
      <c r="A3474" s="5" t="s">
        <v>3321</v>
      </c>
      <c r="B3474" s="5" t="s">
        <v>5341</v>
      </c>
      <c r="C3474" s="6" t="str">
        <f>_xll.QS.CONTEXT.CREATE("market.3472",A3474,"USD","SOFR")</f>
        <v>QSObject:PricingContext:w1~market.3472:15308</v>
      </c>
      <c r="D3474" s="6" t="str">
        <f>_xll.QS.CONTEXT.ADD.CURVE(C3474,"SOFR",$K$2:$K$7,$L$2:$L$7,,,"Actual360","LogLinear",TRUE)</f>
        <v>QSObject:ContextInput:w1~input.qs_context_add_curve.2359132437744.3473.3.0:37060</v>
      </c>
      <c r="E3474" s="6" t="str">
        <f>_xll.QS.INSTRUMENT.SWAP("swap.3472",H3474,B3474,"USD","SOFR",I3474,J3474,0,"Actual360","Simple","Annual","Annual","Annual")</f>
        <v>QSObject:Swap:w1~swap.3472:15307</v>
      </c>
      <c r="F3474" s="6" t="str">
        <f>_xll.QS.TRADE.CREATE("trade.3472",E3474,A3474,"Receive")</f>
        <v>QSObject:SwapTrade:w1~trade.3472:28367</v>
      </c>
      <c r="G3474" s="3">
        <f>_xll.QS.EVALUATE(C3474,F3474)</f>
        <v>32154.54061371983</v>
      </c>
      <c r="H3474" s="5" t="s">
        <v>3335</v>
      </c>
      <c r="I3474" s="7">
        <v>1347200</v>
      </c>
      <c r="J3474" s="8">
        <v>3.7199999999999997E-2</v>
      </c>
    </row>
    <row r="3475" spans="1:10" x14ac:dyDescent="0.25">
      <c r="A3475" s="5" t="s">
        <v>3323</v>
      </c>
      <c r="B3475" s="5" t="s">
        <v>5342</v>
      </c>
      <c r="C3475" s="6" t="str">
        <f>_xll.QS.CONTEXT.CREATE("market.3473",A3475,"USD","SOFR")</f>
        <v>QSObject:PricingContext:w1~market.3473:15306</v>
      </c>
      <c r="D3475" s="6" t="str">
        <f>_xll.QS.CONTEXT.ADD.CURVE(C3475,"SOFR",$K$2:$K$7,$L$2:$L$7,,,"Actual360","LogLinear",TRUE)</f>
        <v>QSObject:ContextInput:w1~input.qs_context_add_curve.2359132437744.3474.3.0:37059</v>
      </c>
      <c r="E3475" s="6" t="str">
        <f>_xll.QS.INSTRUMENT.SWAP("swap.3473",H3475,B3475,"USD","SOFR",I3475,J3475,0,"Actual360","Simple","Annual","Annual","Annual")</f>
        <v>QSObject:Swap:w1~swap.3473:15305</v>
      </c>
      <c r="F3475" s="6" t="str">
        <f>_xll.QS.TRADE.CREATE("trade.3473",E3475,A3475,"Receive")</f>
        <v>QSObject:SwapTrade:w1~trade.3473:28366</v>
      </c>
      <c r="G3475" s="3">
        <f>_xll.QS.EVALUATE(C3475,F3475)</f>
        <v>32876.957741281934</v>
      </c>
      <c r="H3475" s="5" t="s">
        <v>3337</v>
      </c>
      <c r="I3475" s="7">
        <v>1347300</v>
      </c>
      <c r="J3475" s="8">
        <v>3.73E-2</v>
      </c>
    </row>
    <row r="3476" spans="1:10" x14ac:dyDescent="0.25">
      <c r="A3476" s="5" t="s">
        <v>3325</v>
      </c>
      <c r="B3476" s="5" t="s">
        <v>5343</v>
      </c>
      <c r="C3476" s="6" t="str">
        <f>_xll.QS.CONTEXT.CREATE("market.3474",A3476,"USD","SOFR")</f>
        <v>QSObject:PricingContext:w1~market.3474:15304</v>
      </c>
      <c r="D3476" s="6" t="str">
        <f>_xll.QS.CONTEXT.ADD.CURVE(C3476,"SOFR",$K$2:$K$7,$L$2:$L$7,,,"Actual360","LogLinear",TRUE)</f>
        <v>QSObject:ContextInput:w1~input.qs_context_add_curve.2359132437744.3475.3.0:37058</v>
      </c>
      <c r="E3476" s="6" t="str">
        <f>_xll.QS.INSTRUMENT.SWAP("swap.3474",H3476,B3476,"USD","SOFR",I3476,J3476,0,"Actual360","Simple","Annual","Annual","Annual")</f>
        <v>QSObject:Swap:w1~swap.3474:15303</v>
      </c>
      <c r="F3476" s="6" t="str">
        <f>_xll.QS.TRADE.CREATE("trade.3474",E3476,A3476,"Receive")</f>
        <v>QSObject:SwapTrade:w1~trade.3474:28365</v>
      </c>
      <c r="G3476" s="3">
        <f>_xll.QS.EVALUATE(C3476,F3476)</f>
        <v>33500.842390988313</v>
      </c>
      <c r="H3476" s="5" t="s">
        <v>3339</v>
      </c>
      <c r="I3476" s="7">
        <v>1347400</v>
      </c>
      <c r="J3476" s="8">
        <v>3.7400000000000003E-2</v>
      </c>
    </row>
    <row r="3477" spans="1:10" x14ac:dyDescent="0.25">
      <c r="A3477" s="5" t="s">
        <v>3327</v>
      </c>
      <c r="B3477" s="5" t="s">
        <v>5344</v>
      </c>
      <c r="C3477" s="6" t="str">
        <f>_xll.QS.CONTEXT.CREATE("market.3475",A3477,"USD","SOFR")</f>
        <v>QSObject:PricingContext:w1~market.3475:15302</v>
      </c>
      <c r="D3477" s="6" t="str">
        <f>_xll.QS.CONTEXT.ADD.CURVE(C3477,"SOFR",$K$2:$K$7,$L$2:$L$7,,,"Actual360","LogLinear",TRUE)</f>
        <v>QSObject:ContextInput:w1~input.qs_context_add_curve.2359132437744.3476.3.0:37057</v>
      </c>
      <c r="E3477" s="6" t="str">
        <f>_xll.QS.INSTRUMENT.SWAP("swap.3475",H3477,B3477,"USD","SOFR",I3477,J3477,0,"Actual360","Simple","Annual","Annual","Annual")</f>
        <v>QSObject:Swap:w1~swap.3475:15301</v>
      </c>
      <c r="F3477" s="6" t="str">
        <f>_xll.QS.TRADE.CREATE("trade.3475",E3477,A3477,"Receive")</f>
        <v>QSObject:SwapTrade:w1~trade.3475:28364</v>
      </c>
      <c r="G3477" s="3">
        <f>_xll.QS.EVALUATE(C3477,F3477)</f>
        <v>34132.245996957005</v>
      </c>
      <c r="H3477" s="5" t="s">
        <v>3341</v>
      </c>
      <c r="I3477" s="7">
        <v>1347500</v>
      </c>
      <c r="J3477" s="8">
        <v>3.7500000000000012E-2</v>
      </c>
    </row>
    <row r="3478" spans="1:10" x14ac:dyDescent="0.25">
      <c r="A3478" s="5" t="s">
        <v>3329</v>
      </c>
      <c r="B3478" s="5" t="s">
        <v>5345</v>
      </c>
      <c r="C3478" s="6" t="str">
        <f>_xll.QS.CONTEXT.CREATE("market.3476",A3478,"USD","SOFR")</f>
        <v>QSObject:PricingContext:w1~market.3476:15300</v>
      </c>
      <c r="D3478" s="6" t="str">
        <f>_xll.QS.CONTEXT.ADD.CURVE(C3478,"SOFR",$K$2:$K$7,$L$2:$L$7,,,"Actual360","LogLinear",TRUE)</f>
        <v>QSObject:ContextInput:w1~input.qs_context_add_curve.2359132437744.3477.3.0:37056</v>
      </c>
      <c r="E3478" s="6" t="str">
        <f>_xll.QS.INSTRUMENT.SWAP("swap.3476",H3478,B3478,"USD","SOFR",I3478,J3478,0,"Actual360","Simple","Annual","Annual","Annual")</f>
        <v>QSObject:Swap:w1~swap.3476:15299</v>
      </c>
      <c r="F3478" s="6" t="str">
        <f>_xll.QS.TRADE.CREATE("trade.3476",E3478,A3478,"Receive")</f>
        <v>QSObject:SwapTrade:w1~trade.3476:28363</v>
      </c>
      <c r="G3478" s="3">
        <f>_xll.QS.EVALUATE(C3478,F3478)</f>
        <v>34757.651535059376</v>
      </c>
      <c r="H3478" s="5" t="s">
        <v>3343</v>
      </c>
      <c r="I3478" s="7">
        <v>1347600</v>
      </c>
      <c r="J3478" s="8">
        <v>3.7600000000000001E-2</v>
      </c>
    </row>
    <row r="3479" spans="1:10" x14ac:dyDescent="0.25">
      <c r="A3479" s="5" t="s">
        <v>3331</v>
      </c>
      <c r="B3479" s="5" t="s">
        <v>5346</v>
      </c>
      <c r="C3479" s="6" t="str">
        <f>_xll.QS.CONTEXT.CREATE("market.3477",A3479,"USD","SOFR")</f>
        <v>QSObject:PricingContext:w1~market.3477:15298</v>
      </c>
      <c r="D3479" s="6" t="str">
        <f>_xll.QS.CONTEXT.ADD.CURVE(C3479,"SOFR",$K$2:$K$7,$L$2:$L$7,,,"Actual360","LogLinear",TRUE)</f>
        <v>QSObject:ContextInput:w1~input.qs_context_add_curve.2359132437744.3478.3.0:37055</v>
      </c>
      <c r="E3479" s="6" t="str">
        <f>_xll.QS.INSTRUMENT.SWAP("swap.3477",H3479,B3479,"USD","SOFR",I3479,J3479,0,"Actual360","Simple","Annual","Annual","Annual")</f>
        <v>QSObject:Swap:w1~swap.3477:15297</v>
      </c>
      <c r="F3479" s="6" t="str">
        <f>_xll.QS.TRADE.CREATE("trade.3477",E3479,A3479,"Receive")</f>
        <v>QSObject:SwapTrade:w1~trade.3477:28362</v>
      </c>
      <c r="G3479" s="3">
        <f>_xll.QS.EVALUATE(C3479,F3479)</f>
        <v>35215.831141082628</v>
      </c>
      <c r="H3479" s="5" t="s">
        <v>3345</v>
      </c>
      <c r="I3479" s="7">
        <v>1347700</v>
      </c>
      <c r="J3479" s="8">
        <v>3.7699999999999997E-2</v>
      </c>
    </row>
    <row r="3480" spans="1:10" x14ac:dyDescent="0.25">
      <c r="A3480" s="5" t="s">
        <v>3333</v>
      </c>
      <c r="B3480" s="5" t="s">
        <v>5347</v>
      </c>
      <c r="C3480" s="6" t="str">
        <f>_xll.QS.CONTEXT.CREATE("market.3478",A3480,"USD","SOFR")</f>
        <v>QSObject:PricingContext:w1~market.3478:15296</v>
      </c>
      <c r="D3480" s="6" t="str">
        <f>_xll.QS.CONTEXT.ADD.CURVE(C3480,"SOFR",$K$2:$K$7,$L$2:$L$7,,,"Actual360","LogLinear",TRUE)</f>
        <v>QSObject:ContextInput:w1~input.qs_context_add_curve.2359132437744.3479.3.0:37054</v>
      </c>
      <c r="E3480" s="6" t="str">
        <f>_xll.QS.INSTRUMENT.SWAP("swap.3478",H3480,B3480,"USD","SOFR",I3480,J3480,0,"Actual360","Simple","Annual","Annual","Annual")</f>
        <v>QSObject:Swap:w1~swap.3478:15295</v>
      </c>
      <c r="F3480" s="6" t="str">
        <f>_xll.QS.TRADE.CREATE("trade.3478",E3480,A3480,"Receive")</f>
        <v>QSObject:SwapTrade:w1~trade.3478:28361</v>
      </c>
      <c r="G3480" s="3">
        <f>_xll.QS.EVALUATE(C3480,F3480)</f>
        <v>35842.977491356331</v>
      </c>
      <c r="H3480" s="5" t="s">
        <v>3347</v>
      </c>
      <c r="I3480" s="7">
        <v>1347800</v>
      </c>
      <c r="J3480" s="8">
        <v>3.78E-2</v>
      </c>
    </row>
    <row r="3481" spans="1:10" x14ac:dyDescent="0.25">
      <c r="A3481" s="5" t="s">
        <v>3335</v>
      </c>
      <c r="B3481" s="5" t="s">
        <v>5348</v>
      </c>
      <c r="C3481" s="6" t="str">
        <f>_xll.QS.CONTEXT.CREATE("market.3479",A3481,"USD","SOFR")</f>
        <v>QSObject:PricingContext:w1~market.3479:15294</v>
      </c>
      <c r="D3481" s="6" t="str">
        <f>_xll.QS.CONTEXT.ADD.CURVE(C3481,"SOFR",$K$2:$K$7,$L$2:$L$7,,,"Actual360","LogLinear",TRUE)</f>
        <v>QSObject:ContextInput:w1~input.qs_context_add_curve.2359132437744.3480.3.0:37053</v>
      </c>
      <c r="E3481" s="6" t="str">
        <f>_xll.QS.INSTRUMENT.SWAP("swap.3479",H3481,B3481,"USD","SOFR",I3481,J3481,0,"Actual360","Simple","Annual","Annual","Annual")</f>
        <v>QSObject:Swap:w1~swap.3479:15293</v>
      </c>
      <c r="F3481" s="6" t="str">
        <f>_xll.QS.TRADE.CREATE("trade.3479",E3481,A3481,"Receive")</f>
        <v>QSObject:SwapTrade:w1~trade.3479:28360</v>
      </c>
      <c r="G3481" s="3">
        <f>_xll.QS.EVALUATE(C3481,F3481)</f>
        <v>36524.333695545196</v>
      </c>
      <c r="H3481" s="5" t="s">
        <v>3349</v>
      </c>
      <c r="I3481" s="7">
        <v>1347900</v>
      </c>
      <c r="J3481" s="8">
        <v>3.7900000000000003E-2</v>
      </c>
    </row>
    <row r="3482" spans="1:10" x14ac:dyDescent="0.25">
      <c r="A3482" s="5" t="s">
        <v>3337</v>
      </c>
      <c r="B3482" s="5" t="s">
        <v>5349</v>
      </c>
      <c r="C3482" s="6" t="str">
        <f>_xll.QS.CONTEXT.CREATE("market.3480",A3482,"USD","SOFR")</f>
        <v>QSObject:PricingContext:w1~market.3480:15292</v>
      </c>
      <c r="D3482" s="6" t="str">
        <f>_xll.QS.CONTEXT.ADD.CURVE(C3482,"SOFR",$K$2:$K$7,$L$2:$L$7,,,"Actual360","LogLinear",TRUE)</f>
        <v>QSObject:ContextInput:w1~input.qs_context_add_curve.2359132437744.3481.3.0:37052</v>
      </c>
      <c r="E3482" s="6" t="str">
        <f>_xll.QS.INSTRUMENT.SWAP("swap.3480",H3482,B3482,"USD","SOFR",I3482,J3482,0,"Actual360","Simple","Annual","Annual","Annual")</f>
        <v>QSObject:Swap:w1~swap.3480:15291</v>
      </c>
      <c r="F3482" s="6" t="str">
        <f>_xll.QS.TRADE.CREATE("trade.3480",E3482,A3482,"Receive")</f>
        <v>QSObject:SwapTrade:w1~trade.3480:28359</v>
      </c>
      <c r="G3482" s="3">
        <f>_xll.QS.EVALUATE(C3482,F3482)</f>
        <v>37247.512500097408</v>
      </c>
      <c r="H3482" s="5" t="s">
        <v>3351</v>
      </c>
      <c r="I3482" s="7">
        <v>1348000</v>
      </c>
      <c r="J3482" s="8">
        <v>3.8000000000000013E-2</v>
      </c>
    </row>
    <row r="3483" spans="1:10" x14ac:dyDescent="0.25">
      <c r="A3483" s="5" t="s">
        <v>3339</v>
      </c>
      <c r="B3483" s="5" t="s">
        <v>5350</v>
      </c>
      <c r="C3483" s="6" t="str">
        <f>_xll.QS.CONTEXT.CREATE("market.3481",A3483,"USD","SOFR")</f>
        <v>QSObject:PricingContext:w1~market.3481:15290</v>
      </c>
      <c r="D3483" s="6" t="str">
        <f>_xll.QS.CONTEXT.ADD.CURVE(C3483,"SOFR",$K$2:$K$7,$L$2:$L$7,,,"Actual360","LogLinear",TRUE)</f>
        <v>QSObject:ContextInput:w1~input.qs_context_add_curve.2359132437744.3482.3.0:37051</v>
      </c>
      <c r="E3483" s="6" t="str">
        <f>_xll.QS.INSTRUMENT.SWAP("swap.3481",H3483,B3483,"USD","SOFR",I3483,J3483,0,"Actual360","Simple","Annual","Annual","Annual")</f>
        <v>QSObject:Swap:w1~swap.3481:15289</v>
      </c>
      <c r="F3483" s="6" t="str">
        <f>_xll.QS.TRADE.CREATE("trade.3481",E3483,A3483,"Receive")</f>
        <v>QSObject:SwapTrade:w1~trade.3481:28358</v>
      </c>
      <c r="G3483" s="3">
        <f>_xll.QS.EVALUATE(C3483,F3483)</f>
        <v>37872.034381108744</v>
      </c>
      <c r="H3483" s="5" t="s">
        <v>3353</v>
      </c>
      <c r="I3483" s="7">
        <v>1348100</v>
      </c>
      <c r="J3483" s="8">
        <v>3.8100000000000002E-2</v>
      </c>
    </row>
    <row r="3484" spans="1:10" x14ac:dyDescent="0.25">
      <c r="A3484" s="5" t="s">
        <v>3341</v>
      </c>
      <c r="B3484" s="5" t="s">
        <v>5351</v>
      </c>
      <c r="C3484" s="6" t="str">
        <f>_xll.QS.CONTEXT.CREATE("market.3482",A3484,"USD","SOFR")</f>
        <v>QSObject:PricingContext:w1~market.3482:15288</v>
      </c>
      <c r="D3484" s="6" t="str">
        <f>_xll.QS.CONTEXT.ADD.CURVE(C3484,"SOFR",$K$2:$K$7,$L$2:$L$7,,,"Actual360","LogLinear",TRUE)</f>
        <v>QSObject:ContextInput:w1~input.qs_context_add_curve.2359132437744.3483.3.0:37050</v>
      </c>
      <c r="E3484" s="6" t="str">
        <f>_xll.QS.INSTRUMENT.SWAP("swap.3482",H3484,B3484,"USD","SOFR",I3484,J3484,0,"Actual360","Simple","Annual","Annual","Annual")</f>
        <v>QSObject:Swap:w1~swap.3482:15287</v>
      </c>
      <c r="F3484" s="6" t="str">
        <f>_xll.QS.TRADE.CREATE("trade.3482",E3484,A3484,"Receive")</f>
        <v>QSObject:SwapTrade:w1~trade.3482:28357</v>
      </c>
      <c r="G3484" s="3">
        <f>_xll.QS.EVALUATE(C3484,F3484)</f>
        <v>38504.099795949114</v>
      </c>
      <c r="H3484" s="5" t="s">
        <v>3355</v>
      </c>
      <c r="I3484" s="7">
        <v>1348200</v>
      </c>
      <c r="J3484" s="8">
        <v>3.8199999999999998E-2</v>
      </c>
    </row>
    <row r="3485" spans="1:10" x14ac:dyDescent="0.25">
      <c r="A3485" s="5" t="s">
        <v>3343</v>
      </c>
      <c r="B3485" s="5" t="s">
        <v>5352</v>
      </c>
      <c r="C3485" s="6" t="str">
        <f>_xll.QS.CONTEXT.CREATE("market.3483",A3485,"USD","SOFR")</f>
        <v>QSObject:PricingContext:w1~market.3483:15286</v>
      </c>
      <c r="D3485" s="6" t="str">
        <f>_xll.QS.CONTEXT.ADD.CURVE(C3485,"SOFR",$K$2:$K$7,$L$2:$L$7,,,"Actual360","LogLinear",TRUE)</f>
        <v>QSObject:ContextInput:w1~input.qs_context_add_curve.2359132437744.3484.3.0:37049</v>
      </c>
      <c r="E3485" s="6" t="str">
        <f>_xll.QS.INSTRUMENT.SWAP("swap.3483",H3485,B3485,"USD","SOFR",I3485,J3485,0,"Actual360","Simple","Annual","Annual","Annual")</f>
        <v>QSObject:Swap:w1~swap.3483:15285</v>
      </c>
      <c r="F3485" s="6" t="str">
        <f>_xll.QS.TRADE.CREATE("trade.3483",E3485,A3485,"Receive")</f>
        <v>QSObject:SwapTrade:w1~trade.3483:28356</v>
      </c>
      <c r="G3485" s="3">
        <f>_xll.QS.EVALUATE(C3485,F3485)</f>
        <v>39130.168413353218</v>
      </c>
      <c r="H3485" s="5" t="s">
        <v>3357</v>
      </c>
      <c r="I3485" s="7">
        <v>1348300</v>
      </c>
      <c r="J3485" s="8">
        <v>3.8300000000000001E-2</v>
      </c>
    </row>
    <row r="3486" spans="1:10" x14ac:dyDescent="0.25">
      <c r="A3486" s="5" t="s">
        <v>3345</v>
      </c>
      <c r="B3486" s="5" t="s">
        <v>5353</v>
      </c>
      <c r="C3486" s="6" t="str">
        <f>_xll.QS.CONTEXT.CREATE("market.3484",A3486,"USD","SOFR")</f>
        <v>QSObject:PricingContext:w1~market.3484:15284</v>
      </c>
      <c r="D3486" s="6" t="str">
        <f>_xll.QS.CONTEXT.ADD.CURVE(C3486,"SOFR",$K$2:$K$7,$L$2:$L$7,,,"Actual360","LogLinear",TRUE)</f>
        <v>QSObject:ContextInput:w1~input.qs_context_add_curve.2359132437744.3485.3.0:37048</v>
      </c>
      <c r="E3486" s="6" t="str">
        <f>_xll.QS.INSTRUMENT.SWAP("swap.3484",H3486,B3486,"USD","SOFR",I3486,J3486,0,"Actual360","Simple","Annual","Annual","Annual")</f>
        <v>QSObject:Swap:w1~swap.3484:15283</v>
      </c>
      <c r="F3486" s="6" t="str">
        <f>_xll.QS.TRADE.CREATE("trade.3484",E3486,A3486,"Receive")</f>
        <v>QSObject:SwapTrade:w1~trade.3484:28355</v>
      </c>
      <c r="G3486" s="3">
        <f>_xll.QS.EVALUATE(C3486,F3486)</f>
        <v>39588.031710786679</v>
      </c>
      <c r="H3486" s="5" t="s">
        <v>3359</v>
      </c>
      <c r="I3486" s="7">
        <v>1348400</v>
      </c>
      <c r="J3486" s="8">
        <v>3.8399999999999997E-2</v>
      </c>
    </row>
    <row r="3487" spans="1:10" x14ac:dyDescent="0.25">
      <c r="A3487" s="5" t="s">
        <v>3347</v>
      </c>
      <c r="B3487" s="5" t="s">
        <v>5354</v>
      </c>
      <c r="C3487" s="6" t="str">
        <f>_xll.QS.CONTEXT.CREATE("market.3485",A3487,"USD","SOFR")</f>
        <v>QSObject:PricingContext:w1~market.3485:15282</v>
      </c>
      <c r="D3487" s="6" t="str">
        <f>_xll.QS.CONTEXT.ADD.CURVE(C3487,"SOFR",$K$2:$K$7,$L$2:$L$7,,,"Actual360","LogLinear",TRUE)</f>
        <v>QSObject:ContextInput:w1~input.qs_context_add_curve.2359132437744.3486.3.0:37047</v>
      </c>
      <c r="E3487" s="6" t="str">
        <f>_xll.QS.INSTRUMENT.SWAP("swap.3485",H3487,B3487,"USD","SOFR",I3487,J3487,0,"Actual360","Simple","Annual","Annual","Annual")</f>
        <v>QSObject:Swap:w1~swap.3485:15281</v>
      </c>
      <c r="F3487" s="6" t="str">
        <f>_xll.QS.TRADE.CREATE("trade.3485",E3487,A3487,"Receive")</f>
        <v>QSObject:SwapTrade:w1~trade.3485:28354</v>
      </c>
      <c r="G3487" s="3">
        <f>_xll.QS.EVALUATE(C3487,F3487)</f>
        <v>40216.190495997878</v>
      </c>
      <c r="H3487" s="5" t="s">
        <v>3361</v>
      </c>
      <c r="I3487" s="7">
        <v>1348500</v>
      </c>
      <c r="J3487" s="8">
        <v>3.8500000000000013E-2</v>
      </c>
    </row>
    <row r="3488" spans="1:10" x14ac:dyDescent="0.25">
      <c r="A3488" s="5" t="s">
        <v>3349</v>
      </c>
      <c r="B3488" s="5" t="s">
        <v>5355</v>
      </c>
      <c r="C3488" s="6" t="str">
        <f>_xll.QS.CONTEXT.CREATE("market.3486",A3488,"USD","SOFR")</f>
        <v>QSObject:PricingContext:w1~market.3486:15280</v>
      </c>
      <c r="D3488" s="6" t="str">
        <f>_xll.QS.CONTEXT.ADD.CURVE(C3488,"SOFR",$K$2:$K$7,$L$2:$L$7,,,"Actual360","LogLinear",TRUE)</f>
        <v>QSObject:ContextInput:w1~input.qs_context_add_curve.2359132437744.3487.3.0:37046</v>
      </c>
      <c r="E3488" s="6" t="str">
        <f>_xll.QS.INSTRUMENT.SWAP("swap.3486",H3488,B3488,"USD","SOFR",I3488,J3488,0,"Actual360","Simple","Annual","Annual","Annual")</f>
        <v>QSObject:Swap:w1~swap.3486:15279</v>
      </c>
      <c r="F3488" s="6" t="str">
        <f>_xll.QS.TRADE.CREATE("trade.3486",E3488,A3488,"Receive")</f>
        <v>QSObject:SwapTrade:w1~trade.3486:28353</v>
      </c>
      <c r="G3488" s="3">
        <f>_xll.QS.EVALUATE(C3488,F3488)</f>
        <v>40898.64812167389</v>
      </c>
      <c r="H3488" s="5" t="s">
        <v>3363</v>
      </c>
      <c r="I3488" s="7">
        <v>1348600</v>
      </c>
      <c r="J3488" s="8">
        <v>3.8600000000000002E-2</v>
      </c>
    </row>
    <row r="3489" spans="1:10" x14ac:dyDescent="0.25">
      <c r="A3489" s="5" t="s">
        <v>3351</v>
      </c>
      <c r="B3489" s="5" t="s">
        <v>5356</v>
      </c>
      <c r="C3489" s="6" t="str">
        <f>_xll.QS.CONTEXT.CREATE("market.3487",A3489,"USD","SOFR")</f>
        <v>QSObject:PricingContext:w1~market.3487:15278</v>
      </c>
      <c r="D3489" s="6" t="str">
        <f>_xll.QS.CONTEXT.ADD.CURVE(C3489,"SOFR",$K$2:$K$7,$L$2:$L$7,,,"Actual360","LogLinear",TRUE)</f>
        <v>QSObject:ContextInput:w1~input.qs_context_add_curve.2359132437744.3488.3.0:37045</v>
      </c>
      <c r="E3489" s="6" t="str">
        <f>_xll.QS.INSTRUMENT.SWAP("swap.3487",H3489,B3489,"USD","SOFR",I3489,J3489,0,"Actual360","Simple","Annual","Annual","Annual")</f>
        <v>QSObject:Swap:w1~swap.3487:15277</v>
      </c>
      <c r="F3489" s="6" t="str">
        <f>_xll.QS.TRADE.CREATE("trade.3487",E3489,A3489,"Receive")</f>
        <v>QSObject:SwapTrade:w1~trade.3487:28352</v>
      </c>
      <c r="G3489" s="3">
        <f>_xll.QS.EVALUATE(C3489,F3489)</f>
        <v>41622.588670335994</v>
      </c>
      <c r="H3489" s="5" t="s">
        <v>3365</v>
      </c>
      <c r="I3489" s="7">
        <v>1348700</v>
      </c>
      <c r="J3489" s="8">
        <v>3.8700000000000012E-2</v>
      </c>
    </row>
    <row r="3490" spans="1:10" x14ac:dyDescent="0.25">
      <c r="A3490" s="5" t="s">
        <v>3353</v>
      </c>
      <c r="B3490" s="5" t="s">
        <v>5357</v>
      </c>
      <c r="C3490" s="6" t="str">
        <f>_xll.QS.CONTEXT.CREATE("market.3488",A3490,"USD","SOFR")</f>
        <v>QSObject:PricingContext:w1~market.3488:15276</v>
      </c>
      <c r="D3490" s="6" t="str">
        <f>_xll.QS.CONTEXT.ADD.CURVE(C3490,"SOFR",$K$2:$K$7,$L$2:$L$7,,,"Actual360","LogLinear",TRUE)</f>
        <v>QSObject:ContextInput:w1~input.qs_context_add_curve.2359132437744.3489.3.0:37044</v>
      </c>
      <c r="E3490" s="6" t="str">
        <f>_xll.QS.INSTRUMENT.SWAP("swap.3488",H3490,B3490,"USD","SOFR",I3490,J3490,0,"Actual360","Simple","Annual","Annual","Annual")</f>
        <v>QSObject:Swap:w1~swap.3488:15275</v>
      </c>
      <c r="F3490" s="6" t="str">
        <f>_xll.QS.TRADE.CREATE("trade.3488",E3490,A3490,"Receive")</f>
        <v>QSObject:SwapTrade:w1~trade.3488:28351</v>
      </c>
      <c r="G3490" s="3">
        <f>_xll.QS.EVALUATE(C3490,F3490)</f>
        <v>42247.747773743249</v>
      </c>
      <c r="H3490" s="5" t="s">
        <v>3367</v>
      </c>
      <c r="I3490" s="7">
        <v>1348800</v>
      </c>
      <c r="J3490" s="8">
        <v>3.8800000000000001E-2</v>
      </c>
    </row>
    <row r="3491" spans="1:10" x14ac:dyDescent="0.25">
      <c r="A3491" s="5" t="s">
        <v>3355</v>
      </c>
      <c r="B3491" s="5" t="s">
        <v>5358</v>
      </c>
      <c r="C3491" s="6" t="str">
        <f>_xll.QS.CONTEXT.CREATE("market.3489",A3491,"USD","SOFR")</f>
        <v>QSObject:PricingContext:w1~market.3489:15274</v>
      </c>
      <c r="D3491" s="6" t="str">
        <f>_xll.QS.CONTEXT.ADD.CURVE(C3491,"SOFR",$K$2:$K$7,$L$2:$L$7,,,"Actual360","LogLinear",TRUE)</f>
        <v>QSObject:ContextInput:w1~input.qs_context_add_curve.2359132437744.3490.3.0:37043</v>
      </c>
      <c r="E3491" s="6" t="str">
        <f>_xll.QS.INSTRUMENT.SWAP("swap.3489",H3491,B3491,"USD","SOFR",I3491,J3491,0,"Actual360","Simple","Annual","Annual","Annual")</f>
        <v>QSObject:Swap:w1~swap.3489:15273</v>
      </c>
      <c r="F3491" s="6" t="str">
        <f>_xll.QS.TRADE.CREATE("trade.3489",E3491,A3491,"Receive")</f>
        <v>QSObject:SwapTrade:w1~trade.3489:28350</v>
      </c>
      <c r="G3491" s="3">
        <f>_xll.QS.EVALUATE(C3491,F3491)</f>
        <v>42880.475010063055</v>
      </c>
      <c r="H3491" s="5" t="s">
        <v>3369</v>
      </c>
      <c r="I3491" s="7">
        <v>1348900</v>
      </c>
      <c r="J3491" s="8">
        <v>3.8899999999999997E-2</v>
      </c>
    </row>
    <row r="3492" spans="1:10" x14ac:dyDescent="0.25">
      <c r="A3492" s="5" t="s">
        <v>3357</v>
      </c>
      <c r="B3492" s="5" t="s">
        <v>5359</v>
      </c>
      <c r="C3492" s="6" t="str">
        <f>_xll.QS.CONTEXT.CREATE("market.3490",A3492,"USD","SOFR")</f>
        <v>QSObject:PricingContext:w1~market.3490:15272</v>
      </c>
      <c r="D3492" s="6" t="str">
        <f>_xll.QS.CONTEXT.ADD.CURVE(C3492,"SOFR",$K$2:$K$7,$L$2:$L$7,,,"Actual360","LogLinear",TRUE)</f>
        <v>QSObject:ContextInput:w1~input.qs_context_add_curve.2359132437744.3491.3.0:37042</v>
      </c>
      <c r="E3492" s="6" t="str">
        <f>_xll.QS.INSTRUMENT.SWAP("swap.3490",H3492,B3492,"USD","SOFR",I3492,J3492,0,"Actual360","Simple","Annual","Annual","Annual")</f>
        <v>QSObject:Swap:w1~swap.3490:15271</v>
      </c>
      <c r="F3492" s="6" t="str">
        <f>_xll.QS.TRADE.CREATE("trade.3490",E3492,A3492,"Receive")</f>
        <v>QSObject:SwapTrade:w1~trade.3490:28349</v>
      </c>
      <c r="G3492" s="3">
        <f>_xll.QS.EVALUATE(C3492,F3492)</f>
        <v>43507.206723979565</v>
      </c>
      <c r="H3492" s="5" t="s">
        <v>3371</v>
      </c>
      <c r="I3492" s="7">
        <v>1349000</v>
      </c>
      <c r="J3492" s="8">
        <v>3.9000000000000007E-2</v>
      </c>
    </row>
    <row r="3493" spans="1:10" x14ac:dyDescent="0.25">
      <c r="A3493" s="5" t="s">
        <v>3359</v>
      </c>
      <c r="B3493" s="5" t="s">
        <v>5360</v>
      </c>
      <c r="C3493" s="6" t="str">
        <f>_xll.QS.CONTEXT.CREATE("market.3491",A3493,"USD","SOFR")</f>
        <v>QSObject:PricingContext:w1~market.3491:15270</v>
      </c>
      <c r="D3493" s="6" t="str">
        <f>_xll.QS.CONTEXT.ADD.CURVE(C3493,"SOFR",$K$2:$K$7,$L$2:$L$7,,,"Actual360","LogLinear",TRUE)</f>
        <v>QSObject:ContextInput:w1~input.qs_context_add_curve.2359132437744.3492.3.0:37041</v>
      </c>
      <c r="E3493" s="6" t="str">
        <f>_xll.QS.INSTRUMENT.SWAP("swap.3491",H3493,B3493,"USD","SOFR",I3493,J3493,0,"Actual360","Simple","Annual","Annual","Annual")</f>
        <v>QSObject:Swap:w1~swap.3491:15269</v>
      </c>
      <c r="F3493" s="6" t="str">
        <f>_xll.QS.TRADE.CREATE("trade.3491",E3493,A3493,"Receive")</f>
        <v>QSObject:SwapTrade:w1~trade.3491:28348</v>
      </c>
      <c r="G3493" s="3">
        <f>_xll.QS.EVALUATE(C3493,F3493)</f>
        <v>44136.281181045844</v>
      </c>
      <c r="H3493" s="5" t="s">
        <v>3373</v>
      </c>
      <c r="I3493" s="7">
        <v>1349100</v>
      </c>
      <c r="J3493" s="8">
        <v>3.9100000000000003E-2</v>
      </c>
    </row>
    <row r="3494" spans="1:10" x14ac:dyDescent="0.25">
      <c r="A3494" s="5" t="s">
        <v>3361</v>
      </c>
      <c r="B3494" s="5" t="s">
        <v>5361</v>
      </c>
      <c r="C3494" s="6" t="str">
        <f>_xll.QS.CONTEXT.CREATE("market.3492",A3494,"USD","SOFR")</f>
        <v>QSObject:PricingContext:w1~market.3492:15268</v>
      </c>
      <c r="D3494" s="6" t="str">
        <f>_xll.QS.CONTEXT.ADD.CURVE(C3494,"SOFR",$K$2:$K$7,$L$2:$L$7,,,"Actual360","LogLinear",TRUE)</f>
        <v>QSObject:ContextInput:w1~input.qs_context_add_curve.2359132437744.3493.3.0:37040</v>
      </c>
      <c r="E3494" s="6" t="str">
        <f>_xll.QS.INSTRUMENT.SWAP("swap.3492",H3494,B3494,"USD","SOFR",I3494,J3494,0,"Actual360","Simple","Annual","Annual","Annual")</f>
        <v>QSObject:Swap:w1~swap.3492:15267</v>
      </c>
      <c r="F3494" s="6" t="str">
        <f>_xll.QS.TRADE.CREATE("trade.3492",E3494,A3494,"Receive")</f>
        <v>QSObject:SwapTrade:w1~trade.3492:28347</v>
      </c>
      <c r="G3494" s="3">
        <f>_xll.QS.EVALUATE(C3494,F3494)</f>
        <v>44593.924402670331</v>
      </c>
      <c r="H3494" s="5" t="s">
        <v>3375</v>
      </c>
      <c r="I3494" s="7">
        <v>1349200</v>
      </c>
      <c r="J3494" s="8">
        <v>3.9200000000000013E-2</v>
      </c>
    </row>
    <row r="3495" spans="1:10" x14ac:dyDescent="0.25">
      <c r="A3495" s="5" t="s">
        <v>3363</v>
      </c>
      <c r="B3495" s="5" t="s">
        <v>5362</v>
      </c>
      <c r="C3495" s="6" t="str">
        <f>_xll.QS.CONTEXT.CREATE("market.3493",A3495,"USD","SOFR")</f>
        <v>QSObject:PricingContext:w1~market.3493:15266</v>
      </c>
      <c r="D3495" s="6" t="str">
        <f>_xll.QS.CONTEXT.ADD.CURVE(C3495,"SOFR",$K$2:$K$7,$L$2:$L$7,,,"Actual360","LogLinear",TRUE)</f>
        <v>QSObject:ContextInput:w1~input.qs_context_add_curve.2359132437744.3494.3.0:37039</v>
      </c>
      <c r="E3495" s="6" t="str">
        <f>_xll.QS.INSTRUMENT.SWAP("swap.3493",H3495,B3495,"USD","SOFR",I3495,J3495,0,"Actual360","Simple","Annual","Annual","Annual")</f>
        <v>QSObject:Swap:w1~swap.3493:15265</v>
      </c>
      <c r="F3495" s="6" t="str">
        <f>_xll.QS.TRADE.CREATE("trade.3493",E3495,A3495,"Receive")</f>
        <v>QSObject:SwapTrade:w1~trade.3493:28346</v>
      </c>
      <c r="G3495" s="3">
        <f>_xll.QS.EVALUATE(C3495,F3495)</f>
        <v>45277.483892106218</v>
      </c>
      <c r="H3495" s="5" t="s">
        <v>3377</v>
      </c>
      <c r="I3495" s="7">
        <v>1349300</v>
      </c>
      <c r="J3495" s="8">
        <v>3.9300000000000002E-2</v>
      </c>
    </row>
    <row r="3496" spans="1:10" x14ac:dyDescent="0.25">
      <c r="A3496" s="5" t="s">
        <v>3365</v>
      </c>
      <c r="B3496" s="5" t="s">
        <v>5363</v>
      </c>
      <c r="C3496" s="6" t="str">
        <f>_xll.QS.CONTEXT.CREATE("market.3494",A3496,"USD","SOFR")</f>
        <v>QSObject:PricingContext:w1~market.3494:15264</v>
      </c>
      <c r="D3496" s="6" t="str">
        <f>_xll.QS.CONTEXT.ADD.CURVE(C3496,"SOFR",$K$2:$K$7,$L$2:$L$7,,,"Actual360","LogLinear",TRUE)</f>
        <v>QSObject:ContextInput:w1~input.qs_context_add_curve.2359132437744.3495.3.0:37038</v>
      </c>
      <c r="E3496" s="6" t="str">
        <f>_xll.QS.INSTRUMENT.SWAP("swap.3494",H3496,B3496,"USD","SOFR",I3496,J3496,0,"Actual360","Simple","Annual","Annual","Annual")</f>
        <v>QSObject:Swap:w1~swap.3494:15263</v>
      </c>
      <c r="F3496" s="6" t="str">
        <f>_xll.QS.TRADE.CREATE("trade.3494",E3496,A3496,"Receive")</f>
        <v>QSObject:SwapTrade:w1~trade.3494:28345</v>
      </c>
      <c r="G3496" s="3">
        <f>_xll.QS.EVALUATE(C3496,F3496)</f>
        <v>46002.18625199746</v>
      </c>
      <c r="H3496" s="5" t="s">
        <v>3379</v>
      </c>
      <c r="I3496" s="7">
        <v>1349400</v>
      </c>
      <c r="J3496" s="8">
        <v>3.9399999999999998E-2</v>
      </c>
    </row>
    <row r="3497" spans="1:10" x14ac:dyDescent="0.25">
      <c r="A3497" s="5" t="s">
        <v>3367</v>
      </c>
      <c r="B3497" s="5" t="s">
        <v>5364</v>
      </c>
      <c r="C3497" s="6" t="str">
        <f>_xll.QS.CONTEXT.CREATE("market.3495",A3497,"USD","SOFR")</f>
        <v>QSObject:PricingContext:w1~market.3495:15262</v>
      </c>
      <c r="D3497" s="6" t="str">
        <f>_xll.QS.CONTEXT.ADD.CURVE(C3497,"SOFR",$K$2:$K$7,$L$2:$L$7,,,"Actual360","LogLinear",TRUE)</f>
        <v>QSObject:ContextInput:w1~input.qs_context_add_curve.2359132437744.3496.3.0:37037</v>
      </c>
      <c r="E3497" s="6" t="str">
        <f>_xll.QS.INSTRUMENT.SWAP("swap.3495",H3497,B3497,"USD","SOFR",I3497,J3497,0,"Actual360","Simple","Annual","Annual","Annual")</f>
        <v>QSObject:Swap:w1~swap.3495:15261</v>
      </c>
      <c r="F3497" s="6" t="str">
        <f>_xll.QS.TRADE.CREATE("trade.3495",E3497,A3497,"Receive")</f>
        <v>QSObject:SwapTrade:w1~trade.3495:28344</v>
      </c>
      <c r="G3497" s="3">
        <f>_xll.QS.EVALUATE(C3497,F3497)</f>
        <v>46628.173641217465</v>
      </c>
      <c r="H3497" s="5" t="s">
        <v>3381</v>
      </c>
      <c r="I3497" s="7">
        <v>1349500</v>
      </c>
      <c r="J3497" s="8">
        <v>3.9500000000000007E-2</v>
      </c>
    </row>
    <row r="3498" spans="1:10" x14ac:dyDescent="0.25">
      <c r="A3498" s="5" t="s">
        <v>3369</v>
      </c>
      <c r="B3498" s="5" t="s">
        <v>5365</v>
      </c>
      <c r="C3498" s="6" t="str">
        <f>_xll.QS.CONTEXT.CREATE("market.3496",A3498,"USD","SOFR")</f>
        <v>QSObject:PricingContext:w1~market.3496:15260</v>
      </c>
      <c r="D3498" s="6" t="str">
        <f>_xll.QS.CONTEXT.ADD.CURVE(C3498,"SOFR",$K$2:$K$7,$L$2:$L$7,,,"Actual360","LogLinear",TRUE)</f>
        <v>QSObject:ContextInput:w1~input.qs_context_add_curve.2359132437744.3497.3.0:37036</v>
      </c>
      <c r="E3498" s="6" t="str">
        <f>_xll.QS.INSTRUMENT.SWAP("swap.3496",H3498,B3498,"USD","SOFR",I3498,J3498,0,"Actual360","Simple","Annual","Annual","Annual")</f>
        <v>QSObject:Swap:w1~swap.3496:15259</v>
      </c>
      <c r="F3498" s="6" t="str">
        <f>_xll.QS.TRADE.CREATE("trade.3496",E3498,A3498,"Receive")</f>
        <v>QSObject:SwapTrade:w1~trade.3496:28343</v>
      </c>
      <c r="G3498" s="3">
        <f>_xll.QS.EVALUATE(C3498,F3498)</f>
        <v>47261.371639298661</v>
      </c>
      <c r="H3498" s="5" t="s">
        <v>3383</v>
      </c>
      <c r="I3498" s="7">
        <v>1349600</v>
      </c>
      <c r="J3498" s="8">
        <v>3.9600000000000003E-2</v>
      </c>
    </row>
    <row r="3499" spans="1:10" x14ac:dyDescent="0.25">
      <c r="A3499" s="5" t="s">
        <v>3371</v>
      </c>
      <c r="B3499" s="5" t="s">
        <v>5366</v>
      </c>
      <c r="C3499" s="6" t="str">
        <f>_xll.QS.CONTEXT.CREATE("market.3497",A3499,"USD","SOFR")</f>
        <v>QSObject:PricingContext:w1~market.3497:15258</v>
      </c>
      <c r="D3499" s="6" t="str">
        <f>_xll.QS.CONTEXT.ADD.CURVE(C3499,"SOFR",$K$2:$K$7,$L$2:$L$7,,,"Actual360","LogLinear",TRUE)</f>
        <v>QSObject:ContextInput:w1~input.qs_context_add_curve.2359132437744.3498.3.0:37035</v>
      </c>
      <c r="E3499" s="6" t="str">
        <f>_xll.QS.INSTRUMENT.SWAP("swap.3497",H3499,B3499,"USD","SOFR",I3499,J3499,0,"Actual360","Simple","Annual","Annual","Annual")</f>
        <v>QSObject:Swap:w1~swap.3497:15257</v>
      </c>
      <c r="F3499" s="6" t="str">
        <f>_xll.QS.TRADE.CREATE("trade.3497",E3499,A3499,"Receive")</f>
        <v>QSObject:SwapTrade:w1~trade.3497:28342</v>
      </c>
      <c r="G3499" s="3">
        <f>_xll.QS.EVALUATE(C3499,F3499)</f>
        <v>47888.766466937646</v>
      </c>
      <c r="H3499" s="5" t="s">
        <v>3385</v>
      </c>
      <c r="I3499" s="7">
        <v>1349700</v>
      </c>
      <c r="J3499" s="8">
        <v>3.9700000000000013E-2</v>
      </c>
    </row>
    <row r="3500" spans="1:10" x14ac:dyDescent="0.25">
      <c r="A3500" s="5" t="s">
        <v>3373</v>
      </c>
      <c r="B3500" s="5" t="s">
        <v>5367</v>
      </c>
      <c r="C3500" s="6" t="str">
        <f>_xll.QS.CONTEXT.CREATE("market.3498",A3500,"USD","SOFR")</f>
        <v>QSObject:PricingContext:w1~market.3498:15256</v>
      </c>
      <c r="D3500" s="6" t="str">
        <f>_xll.QS.CONTEXT.ADD.CURVE(C3500,"SOFR",$K$2:$K$7,$L$2:$L$7,,,"Actual360","LogLinear",TRUE)</f>
        <v>QSObject:ContextInput:w1~input.qs_context_add_curve.2359132437744.3499.3.0:37034</v>
      </c>
      <c r="E3500" s="6" t="str">
        <f>_xll.QS.INSTRUMENT.SWAP("swap.3498",H3500,B3500,"USD","SOFR",I3500,J3500,0,"Actual360","Simple","Annual","Annual","Annual")</f>
        <v>QSObject:Swap:w1~swap.3498:15255</v>
      </c>
      <c r="F3500" s="6" t="str">
        <f>_xll.QS.TRADE.CREATE("trade.3498",E3500,A3500,"Receive")</f>
        <v>QSObject:SwapTrade:w1~trade.3498:28341</v>
      </c>
      <c r="G3500" s="3">
        <f>_xll.QS.EVALUATE(C3500,F3500)</f>
        <v>48345.994418909002</v>
      </c>
      <c r="H3500" s="5" t="s">
        <v>3387</v>
      </c>
      <c r="I3500" s="7">
        <v>1349800</v>
      </c>
      <c r="J3500" s="8">
        <v>3.9800000000000002E-2</v>
      </c>
    </row>
    <row r="3501" spans="1:10" x14ac:dyDescent="0.25">
      <c r="A3501" s="5" t="s">
        <v>3375</v>
      </c>
      <c r="B3501" s="5" t="s">
        <v>5368</v>
      </c>
      <c r="C3501" s="6" t="str">
        <f>_xll.QS.CONTEXT.CREATE("market.3499",A3501,"USD","SOFR")</f>
        <v>QSObject:PricingContext:w1~market.3499:15254</v>
      </c>
      <c r="D3501" s="6" t="str">
        <f>_xll.QS.CONTEXT.ADD.CURVE(C3501,"SOFR",$K$2:$K$7,$L$2:$L$7,,,"Actual360","LogLinear",TRUE)</f>
        <v>QSObject:ContextInput:w1~input.qs_context_add_curve.2359132437744.3500.3.0:37033</v>
      </c>
      <c r="E3501" s="6" t="str">
        <f>_xll.QS.INSTRUMENT.SWAP("swap.3499",H3501,B3501,"USD","SOFR",I3501,J3501,0,"Actual360","Simple","Annual","Annual","Annual")</f>
        <v>QSObject:Swap:w1~swap.3499:15253</v>
      </c>
      <c r="F3501" s="6" t="str">
        <f>_xll.QS.TRADE.CREATE("trade.3499",E3501,A3501,"Receive")</f>
        <v>QSObject:SwapTrade:w1~trade.3499:28340</v>
      </c>
      <c r="G3501" s="3">
        <f>_xll.QS.EVALUATE(C3501,F3501)</f>
        <v>48976.179211373565</v>
      </c>
      <c r="H3501" s="5" t="s">
        <v>3389</v>
      </c>
      <c r="I3501" s="7">
        <v>1349900</v>
      </c>
      <c r="J3501" s="8">
        <v>3.9899999999999998E-2</v>
      </c>
    </row>
    <row r="3502" spans="1:10" x14ac:dyDescent="0.25">
      <c r="A3502" s="5" t="s">
        <v>3377</v>
      </c>
      <c r="B3502" s="5" t="s">
        <v>5369</v>
      </c>
      <c r="C3502" s="6" t="str">
        <f>_xll.QS.CONTEXT.CREATE("market.3500",A3502,"USD","SOFR")</f>
        <v>QSObject:PricingContext:w1~market.3500:15252</v>
      </c>
      <c r="D3502" s="6" t="str">
        <f>_xll.QS.CONTEXT.ADD.CURVE(C3502,"SOFR",$K$2:$K$7,$L$2:$L$7,,,"Actual360","LogLinear",TRUE)</f>
        <v>QSObject:ContextInput:w1~input.qs_context_add_curve.2359132437744.3501.3.0:37032</v>
      </c>
      <c r="E3502" s="6" t="str">
        <f>_xll.QS.INSTRUMENT.SWAP("swap.3500",H3502,B3502,"USD","SOFR",I3502,J3502,0,"Actual360","Simple","Annual","Annual","Annual")</f>
        <v>QSObject:Swap:w1~swap.3500:15251</v>
      </c>
      <c r="F3502" s="6" t="str">
        <f>_xll.QS.TRADE.CREATE("trade.3500",E3502,A3502,"Receive")</f>
        <v>QSObject:SwapTrade:w1~trade.3500:28339</v>
      </c>
      <c r="G3502" s="3">
        <f>_xll.QS.EVALUATE(C3502,F3502)</f>
        <v>18518.928712698151</v>
      </c>
      <c r="H3502" s="5" t="s">
        <v>3391</v>
      </c>
      <c r="I3502" s="7">
        <v>1350000</v>
      </c>
      <c r="J3502" s="8">
        <v>3.5000000000000003E-2</v>
      </c>
    </row>
    <row r="3503" spans="1:10" x14ac:dyDescent="0.25">
      <c r="A3503" s="5" t="s">
        <v>3379</v>
      </c>
      <c r="B3503" s="5" t="s">
        <v>5370</v>
      </c>
      <c r="C3503" s="6" t="str">
        <f>_xll.QS.CONTEXT.CREATE("market.3501",A3503,"USD","SOFR")</f>
        <v>QSObject:PricingContext:w1~market.3501:15250</v>
      </c>
      <c r="D3503" s="6" t="str">
        <f>_xll.QS.CONTEXT.ADD.CURVE(C3503,"SOFR",$K$2:$K$7,$L$2:$L$7,,,"Actual360","LogLinear",TRUE)</f>
        <v>QSObject:ContextInput:w1~input.qs_context_add_curve.2359132437744.3502.3.0:37031</v>
      </c>
      <c r="E3503" s="6" t="str">
        <f>_xll.QS.INSTRUMENT.SWAP("swap.3501",H3503,B3503,"USD","SOFR",I3503,J3503,0,"Actual360","Simple","Annual","Annual","Annual")</f>
        <v>QSObject:Swap:w1~swap.3501:15249</v>
      </c>
      <c r="F3503" s="6" t="str">
        <f>_xll.QS.TRADE.CREATE("trade.3501",E3503,A3503,"Receive")</f>
        <v>QSObject:SwapTrade:w1~trade.3501:28338</v>
      </c>
      <c r="G3503" s="3">
        <f>_xll.QS.EVALUATE(C3503,F3503)</f>
        <v>19241.623805225507</v>
      </c>
      <c r="H3503" s="5" t="s">
        <v>3393</v>
      </c>
      <c r="I3503" s="7">
        <v>1350100</v>
      </c>
      <c r="J3503" s="8">
        <v>3.5100000000000013E-2</v>
      </c>
    </row>
    <row r="3504" spans="1:10" x14ac:dyDescent="0.25">
      <c r="A3504" s="5" t="s">
        <v>3381</v>
      </c>
      <c r="B3504" s="5" t="s">
        <v>5371</v>
      </c>
      <c r="C3504" s="6" t="str">
        <f>_xll.QS.CONTEXT.CREATE("market.3502",A3504,"USD","SOFR")</f>
        <v>QSObject:PricingContext:w1~market.3502:15248</v>
      </c>
      <c r="D3504" s="6" t="str">
        <f>_xll.QS.CONTEXT.ADD.CURVE(C3504,"SOFR",$K$2:$K$7,$L$2:$L$7,,,"Actual360","LogLinear",TRUE)</f>
        <v>QSObject:ContextInput:w1~input.qs_context_add_curve.2359132437744.3503.3.0:37030</v>
      </c>
      <c r="E3504" s="6" t="str">
        <f>_xll.QS.INSTRUMENT.SWAP("swap.3502",H3504,B3504,"USD","SOFR",I3504,J3504,0,"Actual360","Simple","Annual","Annual","Annual")</f>
        <v>QSObject:Swap:w1~swap.3502:15247</v>
      </c>
      <c r="F3504" s="6" t="str">
        <f>_xll.QS.TRADE.CREATE("trade.3502",E3504,A3504,"Receive")</f>
        <v>QSObject:SwapTrade:w1~trade.3502:28337</v>
      </c>
      <c r="G3504" s="3">
        <f>_xll.QS.EVALUATE(C3504,F3504)</f>
        <v>19865.811857397704</v>
      </c>
      <c r="H3504" s="5" t="s">
        <v>3395</v>
      </c>
      <c r="I3504" s="7">
        <v>1350200</v>
      </c>
      <c r="J3504" s="8">
        <v>3.5200000000000002E-2</v>
      </c>
    </row>
    <row r="3505" spans="1:10" x14ac:dyDescent="0.25">
      <c r="A3505" s="5" t="s">
        <v>3383</v>
      </c>
      <c r="B3505" s="5" t="s">
        <v>5372</v>
      </c>
      <c r="C3505" s="6" t="str">
        <f>_xll.QS.CONTEXT.CREATE("market.3503",A3505,"USD","SOFR")</f>
        <v>QSObject:PricingContext:w1~market.3503:15246</v>
      </c>
      <c r="D3505" s="6" t="str">
        <f>_xll.QS.CONTEXT.ADD.CURVE(C3505,"SOFR",$K$2:$K$7,$L$2:$L$7,,,"Actual360","LogLinear",TRUE)</f>
        <v>QSObject:ContextInput:w1~input.qs_context_add_curve.2359132437744.3504.3.0:37029</v>
      </c>
      <c r="E3505" s="6" t="str">
        <f>_xll.QS.INSTRUMENT.SWAP("swap.3503",H3505,B3505,"USD","SOFR",I3505,J3505,0,"Actual360","Simple","Annual","Annual","Annual")</f>
        <v>QSObject:Swap:w1~swap.3503:15245</v>
      </c>
      <c r="F3505" s="6" t="str">
        <f>_xll.QS.TRADE.CREATE("trade.3503",E3505,A3505,"Receive")</f>
        <v>QSObject:SwapTrade:w1~trade.3503:28336</v>
      </c>
      <c r="G3505" s="3">
        <f>_xll.QS.EVALUATE(C3505,F3505)</f>
        <v>20497.469077990441</v>
      </c>
      <c r="H3505" s="5" t="s">
        <v>3397</v>
      </c>
      <c r="I3505" s="7">
        <v>1350300</v>
      </c>
      <c r="J3505" s="8">
        <v>3.5299999999999998E-2</v>
      </c>
    </row>
    <row r="3506" spans="1:10" x14ac:dyDescent="0.25">
      <c r="A3506" s="5" t="s">
        <v>3385</v>
      </c>
      <c r="B3506" s="5" t="s">
        <v>5373</v>
      </c>
      <c r="C3506" s="6" t="str">
        <f>_xll.QS.CONTEXT.CREATE("market.3504",A3506,"USD","SOFR")</f>
        <v>QSObject:PricingContext:w1~market.3504:15244</v>
      </c>
      <c r="D3506" s="6" t="str">
        <f>_xll.QS.CONTEXT.ADD.CURVE(C3506,"SOFR",$K$2:$K$7,$L$2:$L$7,,,"Actual360","LogLinear",TRUE)</f>
        <v>QSObject:ContextInput:w1~input.qs_context_add_curve.2359132437744.3505.3.0:37028</v>
      </c>
      <c r="E3506" s="6" t="str">
        <f>_xll.QS.INSTRUMENT.SWAP("swap.3504",H3506,B3506,"USD","SOFR",I3506,J3506,0,"Actual360","Simple","Annual","Annual","Annual")</f>
        <v>QSObject:Swap:w1~swap.3504:15243</v>
      </c>
      <c r="F3506" s="6" t="str">
        <f>_xll.QS.TRADE.CREATE("trade.3504",E3506,A3506,"Receive")</f>
        <v>QSObject:SwapTrade:w1~trade.3504:28335</v>
      </c>
      <c r="G3506" s="3">
        <f>_xll.QS.EVALUATE(C3506,F3506)</f>
        <v>21123.101615267027</v>
      </c>
      <c r="H3506" s="5" t="s">
        <v>3399</v>
      </c>
      <c r="I3506" s="7">
        <v>1350400</v>
      </c>
      <c r="J3506" s="8">
        <v>3.5400000000000001E-2</v>
      </c>
    </row>
    <row r="3507" spans="1:10" x14ac:dyDescent="0.25">
      <c r="A3507" s="5" t="s">
        <v>3387</v>
      </c>
      <c r="B3507" s="5" t="s">
        <v>5374</v>
      </c>
      <c r="C3507" s="6" t="str">
        <f>_xll.QS.CONTEXT.CREATE("market.3505",A3507,"USD","SOFR")</f>
        <v>QSObject:PricingContext:w1~market.3505:15242</v>
      </c>
      <c r="D3507" s="6" t="str">
        <f>_xll.QS.CONTEXT.ADD.CURVE(C3507,"SOFR",$K$2:$K$7,$L$2:$L$7,,,"Actual360","LogLinear",TRUE)</f>
        <v>QSObject:ContextInput:w1~input.qs_context_add_curve.2359132437744.3506.3.0:37027</v>
      </c>
      <c r="E3507" s="6" t="str">
        <f>_xll.QS.INSTRUMENT.SWAP("swap.3505",H3507,B3507,"USD","SOFR",I3507,J3507,0,"Actual360","Simple","Annual","Annual","Annual")</f>
        <v>QSObject:Swap:w1~swap.3505:15241</v>
      </c>
      <c r="F3507" s="6" t="str">
        <f>_xll.QS.TRADE.CREATE("trade.3505",E3507,A3507,"Receive")</f>
        <v>QSObject:SwapTrade:w1~trade.3505:28334</v>
      </c>
      <c r="G3507" s="3">
        <f>_xll.QS.EVALUATE(C3507,F3507)</f>
        <v>21583.96990986709</v>
      </c>
      <c r="H3507" s="5" t="s">
        <v>3401</v>
      </c>
      <c r="I3507" s="7">
        <v>1350500</v>
      </c>
      <c r="J3507" s="8">
        <v>3.5499999999999997E-2</v>
      </c>
    </row>
    <row r="3508" spans="1:10" x14ac:dyDescent="0.25">
      <c r="A3508" s="5" t="s">
        <v>3389</v>
      </c>
      <c r="B3508" s="5" t="s">
        <v>5375</v>
      </c>
      <c r="C3508" s="6" t="str">
        <f>_xll.QS.CONTEXT.CREATE("market.3506",A3508,"USD","SOFR")</f>
        <v>QSObject:PricingContext:w1~market.3506:15240</v>
      </c>
      <c r="D3508" s="6" t="str">
        <f>_xll.QS.CONTEXT.ADD.CURVE(C3508,"SOFR",$K$2:$K$7,$L$2:$L$7,,,"Actual360","LogLinear",TRUE)</f>
        <v>QSObject:ContextInput:w1~input.qs_context_add_curve.2359132437744.3507.3.0:37026</v>
      </c>
      <c r="E3508" s="6" t="str">
        <f>_xll.QS.INSTRUMENT.SWAP("swap.3506",H3508,B3508,"USD","SOFR",I3508,J3508,0,"Actual360","Simple","Annual","Annual","Annual")</f>
        <v>QSObject:Swap:w1~swap.3506:15239</v>
      </c>
      <c r="F3508" s="6" t="str">
        <f>_xll.QS.TRADE.CREATE("trade.3506",E3508,A3508,"Receive")</f>
        <v>QSObject:SwapTrade:w1~trade.3506:28333</v>
      </c>
      <c r="G3508" s="3">
        <f>_xll.QS.EVALUATE(C3508,F3508)</f>
        <v>22210.249396448489</v>
      </c>
      <c r="H3508" s="5" t="s">
        <v>3403</v>
      </c>
      <c r="I3508" s="7">
        <v>1350600</v>
      </c>
      <c r="J3508" s="8">
        <v>3.5600000000000007E-2</v>
      </c>
    </row>
    <row r="3509" spans="1:10" x14ac:dyDescent="0.25">
      <c r="A3509" s="5" t="s">
        <v>3391</v>
      </c>
      <c r="B3509" s="5" t="s">
        <v>5376</v>
      </c>
      <c r="C3509" s="6" t="str">
        <f>_xll.QS.CONTEXT.CREATE("market.3507",A3509,"USD","SOFR")</f>
        <v>QSObject:PricingContext:w1~market.3507:15238</v>
      </c>
      <c r="D3509" s="6" t="str">
        <f>_xll.QS.CONTEXT.ADD.CURVE(C3509,"SOFR",$K$2:$K$7,$L$2:$L$7,,,"Actual360","LogLinear",TRUE)</f>
        <v>QSObject:ContextInput:w1~input.qs_context_add_curve.2359132437744.3508.3.0:37025</v>
      </c>
      <c r="E3509" s="6" t="str">
        <f>_xll.QS.INSTRUMENT.SWAP("swap.3507",H3509,B3509,"USD","SOFR",I3509,J3509,0,"Actual360","Simple","Annual","Annual","Annual")</f>
        <v>QSObject:Swap:w1~swap.3507:15237</v>
      </c>
      <c r="F3509" s="6" t="str">
        <f>_xll.QS.TRADE.CREATE("trade.3507",E3509,A3509,"Receive")</f>
        <v>QSObject:SwapTrade:w1~trade.3507:28332</v>
      </c>
      <c r="G3509" s="3">
        <f>_xll.QS.EVALUATE(C3509,F3509)</f>
        <v>22890.659513510509</v>
      </c>
      <c r="H3509" s="5" t="s">
        <v>3405</v>
      </c>
      <c r="I3509" s="7">
        <v>1350700</v>
      </c>
      <c r="J3509" s="8">
        <v>3.5700000000000003E-2</v>
      </c>
    </row>
    <row r="3510" spans="1:10" x14ac:dyDescent="0.25">
      <c r="A3510" s="5" t="s">
        <v>3393</v>
      </c>
      <c r="B3510" s="5" t="s">
        <v>5377</v>
      </c>
      <c r="C3510" s="6" t="str">
        <f>_xll.QS.CONTEXT.CREATE("market.3508",A3510,"USD","SOFR")</f>
        <v>QSObject:PricingContext:w1~market.3508:15236</v>
      </c>
      <c r="D3510" s="6" t="str">
        <f>_xll.QS.CONTEXT.ADD.CURVE(C3510,"SOFR",$K$2:$K$7,$L$2:$L$7,,,"Actual360","LogLinear",TRUE)</f>
        <v>QSObject:ContextInput:w1~input.qs_context_add_curve.2359132437744.3509.3.0:36996</v>
      </c>
      <c r="E3510" s="6" t="str">
        <f>_xll.QS.INSTRUMENT.SWAP("swap.3508",H3510,B3510,"USD","SOFR",I3510,J3510,0,"Actual360","Simple","Annual","Annual","Annual")</f>
        <v>QSObject:Swap:w1~swap.3508:15235</v>
      </c>
      <c r="F3510" s="6" t="str">
        <f>_xll.QS.TRADE.CREATE("trade.3508",E3510,A3510,"Receive")</f>
        <v>QSObject:SwapTrade:w1~trade.3508:28331</v>
      </c>
      <c r="G3510" s="3">
        <f>_xll.QS.EVALUATE(C3510,F3510)</f>
        <v>23614.11631179395</v>
      </c>
      <c r="H3510" s="5" t="s">
        <v>3407</v>
      </c>
      <c r="I3510" s="7">
        <v>1350800</v>
      </c>
      <c r="J3510" s="8">
        <v>3.5800000000000012E-2</v>
      </c>
    </row>
    <row r="3511" spans="1:10" x14ac:dyDescent="0.25">
      <c r="A3511" s="5" t="s">
        <v>3395</v>
      </c>
      <c r="B3511" s="5" t="s">
        <v>5378</v>
      </c>
      <c r="C3511" s="6" t="str">
        <f>_xll.QS.CONTEXT.CREATE("market.3509",A3511,"USD","SOFR")</f>
        <v>QSObject:PricingContext:w1~market.3509:15234</v>
      </c>
      <c r="D3511" s="6" t="str">
        <f>_xll.QS.CONTEXT.ADD.CURVE(C3511,"SOFR",$K$2:$K$7,$L$2:$L$7,,,"Actual360","LogLinear",TRUE)</f>
        <v>QSObject:ContextInput:w1~input.qs_context_add_curve.2359132437744.3510.3.0:33513</v>
      </c>
      <c r="E3511" s="6" t="str">
        <f>_xll.QS.INSTRUMENT.SWAP("swap.3509",H3511,B3511,"USD","SOFR",I3511,J3511,0,"Actual360","Simple","Annual","Annual","Annual")</f>
        <v>QSObject:Swap:w1~swap.3509:15233</v>
      </c>
      <c r="F3511" s="6" t="str">
        <f>_xll.QS.TRADE.CREATE("trade.3509",E3511,A3511,"Receive")</f>
        <v>QSObject:SwapTrade:w1~trade.3509:28330</v>
      </c>
      <c r="G3511" s="3">
        <f>_xll.QS.EVALUATE(C3511,F3511)</f>
        <v>24238.941591452938</v>
      </c>
      <c r="H3511" s="5" t="s">
        <v>3409</v>
      </c>
      <c r="I3511" s="7">
        <v>1350900</v>
      </c>
      <c r="J3511" s="8">
        <v>3.5900000000000001E-2</v>
      </c>
    </row>
    <row r="3512" spans="1:10" x14ac:dyDescent="0.25">
      <c r="A3512" s="5" t="s">
        <v>3397</v>
      </c>
      <c r="B3512" s="5" t="s">
        <v>5379</v>
      </c>
      <c r="C3512" s="6" t="str">
        <f>_xll.QS.CONTEXT.CREATE("market.3510",A3512,"USD","SOFR")</f>
        <v>QSObject:PricingContext:w1~market.3510:15232</v>
      </c>
      <c r="D3512" s="6" t="str">
        <f>_xll.QS.CONTEXT.ADD.CURVE(C3512,"SOFR",$K$2:$K$7,$L$2:$L$7,,,"Actual360","LogLinear",TRUE)</f>
        <v>QSObject:ContextInput:w1~input.qs_context_add_curve.2359132437744.3511.3.0:36470</v>
      </c>
      <c r="E3512" s="6" t="str">
        <f>_xll.QS.INSTRUMENT.SWAP("swap.3510",H3512,B3512,"USD","SOFR",I3512,J3512,0,"Actual360","Simple","Annual","Annual","Annual")</f>
        <v>QSObject:Swap:w1~swap.3510:15231</v>
      </c>
      <c r="F3512" s="6" t="str">
        <f>_xll.QS.TRADE.CREATE("trade.3510",E3512,A3512,"Receive")</f>
        <v>QSObject:SwapTrade:w1~trade.3510:28329</v>
      </c>
      <c r="G3512" s="3">
        <f>_xll.QS.EVALUATE(C3512,F3512)</f>
        <v>24871.260626320422</v>
      </c>
      <c r="H3512" s="5" t="s">
        <v>3411</v>
      </c>
      <c r="I3512" s="7">
        <v>1351000</v>
      </c>
      <c r="J3512" s="8">
        <v>3.5999999999999997E-2</v>
      </c>
    </row>
    <row r="3513" spans="1:10" x14ac:dyDescent="0.25">
      <c r="A3513" s="5" t="s">
        <v>3399</v>
      </c>
      <c r="B3513" s="5" t="s">
        <v>5380</v>
      </c>
      <c r="C3513" s="6" t="str">
        <f>_xll.QS.CONTEXT.CREATE("market.3511",A3513,"USD","SOFR")</f>
        <v>QSObject:PricingContext:w1~market.3511:15230</v>
      </c>
      <c r="D3513" s="6" t="str">
        <f>_xll.QS.CONTEXT.ADD.CURVE(C3513,"SOFR",$K$2:$K$7,$L$2:$L$7,,,"Actual360","LogLinear",TRUE)</f>
        <v>QSObject:ContextInput:w1~input.qs_context_add_curve.2359132437744.3512.3.0:36469</v>
      </c>
      <c r="E3513" s="6" t="str">
        <f>_xll.QS.INSTRUMENT.SWAP("swap.3511",H3513,B3513,"USD","SOFR",I3513,J3513,0,"Actual360","Simple","Annual","Annual","Annual")</f>
        <v>QSObject:Swap:w1~swap.3511:15229</v>
      </c>
      <c r="F3513" s="6" t="str">
        <f>_xll.QS.TRADE.CREATE("trade.3511",E3513,A3513,"Receive")</f>
        <v>QSObject:SwapTrade:w1~trade.3511:28328</v>
      </c>
      <c r="G3513" s="3">
        <f>_xll.QS.EVALUATE(C3513,F3513)</f>
        <v>25497.556250274669</v>
      </c>
      <c r="H3513" s="5" t="s">
        <v>3413</v>
      </c>
      <c r="I3513" s="7">
        <v>1351100</v>
      </c>
      <c r="J3513" s="8">
        <v>3.61E-2</v>
      </c>
    </row>
    <row r="3514" spans="1:10" x14ac:dyDescent="0.25">
      <c r="A3514" s="5" t="s">
        <v>3401</v>
      </c>
      <c r="B3514" s="5" t="s">
        <v>5381</v>
      </c>
      <c r="C3514" s="6" t="str">
        <f>_xll.QS.CONTEXT.CREATE("market.3512",A3514,"USD","SOFR")</f>
        <v>QSObject:PricingContext:w1~market.3512:15228</v>
      </c>
      <c r="D3514" s="6" t="str">
        <f>_xll.QS.CONTEXT.ADD.CURVE(C3514,"SOFR",$K$2:$K$7,$L$2:$L$7,,,"Actual360","LogLinear",TRUE)</f>
        <v>QSObject:ContextInput:w1~input.qs_context_add_curve.2359132437744.3513.3.0:35337</v>
      </c>
      <c r="E3514" s="6" t="str">
        <f>_xll.QS.INSTRUMENT.SWAP("swap.3512",H3514,B3514,"USD","SOFR",I3514,J3514,0,"Actual360","Simple","Annual","Annual","Annual")</f>
        <v>QSObject:Swap:w1~swap.3512:15227</v>
      </c>
      <c r="F3514" s="6" t="str">
        <f>_xll.QS.TRADE.CREATE("trade.3512",E3514,A3514,"Receive")</f>
        <v>QSObject:SwapTrade:w1~trade.3512:28327</v>
      </c>
      <c r="G3514" s="3">
        <f>_xll.QS.EVALUATE(C3514,F3514)</f>
        <v>25958.107846530322</v>
      </c>
      <c r="H3514" s="5" t="s">
        <v>3415</v>
      </c>
      <c r="I3514" s="7">
        <v>1351200</v>
      </c>
      <c r="J3514" s="8">
        <v>3.6200000000000003E-2</v>
      </c>
    </row>
    <row r="3515" spans="1:10" x14ac:dyDescent="0.25">
      <c r="A3515" s="5" t="s">
        <v>3403</v>
      </c>
      <c r="B3515" s="5" t="s">
        <v>5382</v>
      </c>
      <c r="C3515" s="6" t="str">
        <f>_xll.QS.CONTEXT.CREATE("market.3513",A3515,"USD","SOFR")</f>
        <v>QSObject:PricingContext:w1~market.3513:15226</v>
      </c>
      <c r="D3515" s="6" t="str">
        <f>_xll.QS.CONTEXT.ADD.CURVE(C3515,"SOFR",$K$2:$K$7,$L$2:$L$7,,,"Actual360","LogLinear",TRUE)</f>
        <v>QSObject:ContextInput:w1~input.qs_context_add_curve.2359132437744.3514.3.0:33512</v>
      </c>
      <c r="E3515" s="6" t="str">
        <f>_xll.QS.INSTRUMENT.SWAP("swap.3513",H3515,B3515,"USD","SOFR",I3515,J3515,0,"Actual360","Simple","Annual","Annual","Annual")</f>
        <v>QSObject:Swap:w1~swap.3513:15225</v>
      </c>
      <c r="F3515" s="6" t="str">
        <f>_xll.QS.TRADE.CREATE("trade.3513",E3515,A3515,"Receive")</f>
        <v>QSObject:SwapTrade:w1~trade.3513:28326</v>
      </c>
      <c r="G3515" s="3">
        <f>_xll.QS.EVALUATE(C3515,F3515)</f>
        <v>26585.399930531676</v>
      </c>
      <c r="H3515" s="5" t="s">
        <v>3417</v>
      </c>
      <c r="I3515" s="7">
        <v>1351300</v>
      </c>
      <c r="J3515" s="8">
        <v>3.6300000000000013E-2</v>
      </c>
    </row>
    <row r="3516" spans="1:10" x14ac:dyDescent="0.25">
      <c r="A3516" s="5" t="s">
        <v>3405</v>
      </c>
      <c r="B3516" s="5" t="s">
        <v>5383</v>
      </c>
      <c r="C3516" s="6" t="str">
        <f>_xll.QS.CONTEXT.CREATE("market.3514",A3516,"USD","SOFR")</f>
        <v>QSObject:PricingContext:w1~market.3514:15224</v>
      </c>
      <c r="D3516" s="6" t="str">
        <f>_xll.QS.CONTEXT.ADD.CURVE(C3516,"SOFR",$K$2:$K$7,$L$2:$L$7,,,"Actual360","LogLinear",TRUE)</f>
        <v>QSObject:ContextInput:w1~input.qs_context_add_curve.2359132437744.3515.3.0:34098</v>
      </c>
      <c r="E3516" s="6" t="str">
        <f>_xll.QS.INSTRUMENT.SWAP("swap.3514",H3516,B3516,"USD","SOFR",I3516,J3516,0,"Actual360","Simple","Annual","Annual","Annual")</f>
        <v>QSObject:Swap:w1~swap.3514:15223</v>
      </c>
      <c r="F3516" s="6" t="str">
        <f>_xll.QS.TRADE.CREATE("trade.3514",E3516,A3516,"Receive")</f>
        <v>QSObject:SwapTrade:w1~trade.3514:28325</v>
      </c>
      <c r="G3516" s="3">
        <f>_xll.QS.EVALUATE(C3516,F3516)</f>
        <v>27266.911658626486</v>
      </c>
      <c r="H3516" s="5" t="s">
        <v>3419</v>
      </c>
      <c r="I3516" s="7">
        <v>1351400</v>
      </c>
      <c r="J3516" s="8">
        <v>3.6400000000000002E-2</v>
      </c>
    </row>
    <row r="3517" spans="1:10" x14ac:dyDescent="0.25">
      <c r="A3517" s="5" t="s">
        <v>3407</v>
      </c>
      <c r="B3517" s="5" t="s">
        <v>5384</v>
      </c>
      <c r="C3517" s="6" t="str">
        <f>_xll.QS.CONTEXT.CREATE("market.3515",A3517,"USD","SOFR")</f>
        <v>QSObject:PricingContext:w1~market.3515:15222</v>
      </c>
      <c r="D3517" s="6" t="str">
        <f>_xll.QS.CONTEXT.ADD.CURVE(C3517,"SOFR",$K$2:$K$7,$L$2:$L$7,,,"Actual360","LogLinear",TRUE)</f>
        <v>QSObject:ContextInput:w1~input.qs_context_add_curve.2359132437744.3516.3.0:34729</v>
      </c>
      <c r="E3517" s="6" t="str">
        <f>_xll.QS.INSTRUMENT.SWAP("swap.3515",H3517,B3517,"USD","SOFR",I3517,J3517,0,"Actual360","Simple","Annual","Annual","Annual")</f>
        <v>QSObject:Swap:w1~swap.3515:15221</v>
      </c>
      <c r="F3517" s="6" t="str">
        <f>_xll.QS.TRADE.CREATE("trade.3515",E3517,A3517,"Receive")</f>
        <v>QSObject:SwapTrade:w1~trade.3515:28324</v>
      </c>
      <c r="G3517" s="3">
        <f>_xll.QS.EVALUATE(C3517,F3517)</f>
        <v>27991.130229785093</v>
      </c>
      <c r="H3517" s="5" t="s">
        <v>3421</v>
      </c>
      <c r="I3517" s="7">
        <v>1351500</v>
      </c>
      <c r="J3517" s="8">
        <v>3.6499999999999998E-2</v>
      </c>
    </row>
    <row r="3518" spans="1:10" x14ac:dyDescent="0.25">
      <c r="A3518" s="5" t="s">
        <v>3409</v>
      </c>
      <c r="B3518" s="5" t="s">
        <v>5385</v>
      </c>
      <c r="C3518" s="6" t="str">
        <f>_xll.QS.CONTEXT.CREATE("market.3516",A3518,"USD","SOFR")</f>
        <v>QSObject:PricingContext:w1~market.3516:15220</v>
      </c>
      <c r="D3518" s="6" t="str">
        <f>_xll.QS.CONTEXT.ADD.CURVE(C3518,"SOFR",$K$2:$K$7,$L$2:$L$7,,,"Actual360","LogLinear",TRUE)</f>
        <v>QSObject:ContextInput:w1~input.qs_context_add_curve.2359132437744.3517.3.0:34097</v>
      </c>
      <c r="E3518" s="6" t="str">
        <f>_xll.QS.INSTRUMENT.SWAP("swap.3516",H3518,B3518,"USD","SOFR",I3518,J3518,0,"Actual360","Simple","Annual","Annual","Annual")</f>
        <v>QSObject:Swap:w1~swap.3516:15219</v>
      </c>
      <c r="F3518" s="6" t="str">
        <f>_xll.QS.TRADE.CREATE("trade.3516",E3518,A3518,"Receive")</f>
        <v>QSObject:SwapTrade:w1~trade.3516:28323</v>
      </c>
      <c r="G3518" s="3">
        <f>_xll.QS.EVALUATE(C3518,F3518)</f>
        <v>28616.592728021795</v>
      </c>
      <c r="H3518" s="5" t="s">
        <v>3423</v>
      </c>
      <c r="I3518" s="7">
        <v>1351600</v>
      </c>
      <c r="J3518" s="8">
        <v>3.6600000000000001E-2</v>
      </c>
    </row>
    <row r="3519" spans="1:10" x14ac:dyDescent="0.25">
      <c r="A3519" s="5" t="s">
        <v>3411</v>
      </c>
      <c r="B3519" s="5" t="s">
        <v>5386</v>
      </c>
      <c r="C3519" s="6" t="str">
        <f>_xll.QS.CONTEXT.CREATE("market.3517",A3519,"USD","SOFR")</f>
        <v>QSObject:PricingContext:w1~market.3517:15218</v>
      </c>
      <c r="D3519" s="6" t="str">
        <f>_xll.QS.CONTEXT.ADD.CURVE(C3519,"SOFR",$K$2:$K$7,$L$2:$L$7,,,"Actual360","LogLinear",TRUE)</f>
        <v>QSObject:ContextInput:w1~input.qs_context_add_curve.2359132437744.3518.3.0:35336</v>
      </c>
      <c r="E3519" s="6" t="str">
        <f>_xll.QS.INSTRUMENT.SWAP("swap.3517",H3519,B3519,"USD","SOFR",I3519,J3519,0,"Actual360","Simple","Annual","Annual","Annual")</f>
        <v>QSObject:Swap:w1~swap.3517:15217</v>
      </c>
      <c r="F3519" s="6" t="str">
        <f>_xll.QS.TRADE.CREATE("trade.3517",E3519,A3519,"Receive")</f>
        <v>QSObject:SwapTrade:w1~trade.3517:28322</v>
      </c>
      <c r="G3519" s="3">
        <f>_xll.QS.EVALUATE(C3519,F3519)</f>
        <v>29249.573589772226</v>
      </c>
      <c r="H3519" s="5" t="s">
        <v>3425</v>
      </c>
      <c r="I3519" s="7">
        <v>1351700</v>
      </c>
      <c r="J3519" s="8">
        <v>3.6700000000000003E-2</v>
      </c>
    </row>
    <row r="3520" spans="1:10" x14ac:dyDescent="0.25">
      <c r="A3520" s="5" t="s">
        <v>3413</v>
      </c>
      <c r="B3520" s="5" t="s">
        <v>5387</v>
      </c>
      <c r="C3520" s="6" t="str">
        <f>_xll.QS.CONTEXT.CREATE("market.3518",A3520,"USD","SOFR")</f>
        <v>QSObject:PricingContext:w1~market.3518:15216</v>
      </c>
      <c r="D3520" s="6" t="str">
        <f>_xll.QS.CONTEXT.ADD.CURVE(C3520,"SOFR",$K$2:$K$7,$L$2:$L$7,,,"Actual360","LogLinear",TRUE)</f>
        <v>QSObject:ContextInput:w1~input.qs_context_add_curve.2359132437744.3519.3.0:34096</v>
      </c>
      <c r="E3520" s="6" t="str">
        <f>_xll.QS.INSTRUMENT.SWAP("swap.3518",H3520,B3520,"USD","SOFR",I3520,J3520,0,"Actual360","Simple","Annual","Annual","Annual")</f>
        <v>QSObject:Swap:w1~swap.3518:15215</v>
      </c>
      <c r="F3520" s="6" t="str">
        <f>_xll.QS.TRADE.CREATE("trade.3518",E3520,A3520,"Receive")</f>
        <v>QSObject:SwapTrade:w1~trade.3518:28321</v>
      </c>
      <c r="G3520" s="3">
        <f>_xll.QS.EVALUATE(C3520,F3520)</f>
        <v>29876.532317614707</v>
      </c>
      <c r="H3520" s="5" t="s">
        <v>3427</v>
      </c>
      <c r="I3520" s="7">
        <v>1351800</v>
      </c>
      <c r="J3520" s="8">
        <v>3.6800000000000013E-2</v>
      </c>
    </row>
    <row r="3521" spans="1:10" x14ac:dyDescent="0.25">
      <c r="A3521" s="5" t="s">
        <v>3415</v>
      </c>
      <c r="B3521" s="5" t="s">
        <v>5388</v>
      </c>
      <c r="C3521" s="6" t="str">
        <f>_xll.QS.CONTEXT.CREATE("market.3519",A3521,"USD","SOFR")</f>
        <v>QSObject:PricingContext:w1~market.3519:15214</v>
      </c>
      <c r="D3521" s="6" t="str">
        <f>_xll.QS.CONTEXT.ADD.CURVE(C3521,"SOFR",$K$2:$K$7,$L$2:$L$7,,,"Actual360","LogLinear",TRUE)</f>
        <v>QSObject:ContextInput:w1~input.qs_context_add_curve.2359132437744.3520.3.0:32979</v>
      </c>
      <c r="E3521" s="6" t="str">
        <f>_xll.QS.INSTRUMENT.SWAP("swap.3519",H3521,B3521,"USD","SOFR",I3521,J3521,0,"Actual360","Simple","Annual","Annual","Annual")</f>
        <v>QSObject:Swap:w1~swap.3519:15213</v>
      </c>
      <c r="F3521" s="6" t="str">
        <f>_xll.QS.TRADE.CREATE("trade.3519",E3521,A3521,"Receive")</f>
        <v>QSObject:SwapTrade:w1~trade.3519:28320</v>
      </c>
      <c r="G3521" s="3">
        <f>_xll.QS.EVALUATE(C3521,F3521)</f>
        <v>30336.766306098354</v>
      </c>
      <c r="H3521" s="5" t="s">
        <v>3429</v>
      </c>
      <c r="I3521" s="7">
        <v>1351900</v>
      </c>
      <c r="J3521" s="8">
        <v>3.6900000000000002E-2</v>
      </c>
    </row>
    <row r="3522" spans="1:10" x14ac:dyDescent="0.25">
      <c r="A3522" s="5" t="s">
        <v>3417</v>
      </c>
      <c r="B3522" s="5" t="s">
        <v>5389</v>
      </c>
      <c r="C3522" s="6" t="str">
        <f>_xll.QS.CONTEXT.CREATE("market.3520",A3522,"USD","SOFR")</f>
        <v>QSObject:PricingContext:w1~market.3520:15212</v>
      </c>
      <c r="D3522" s="6" t="str">
        <f>_xll.QS.CONTEXT.ADD.CURVE(C3522,"SOFR",$K$2:$K$7,$L$2:$L$7,,,"Actual360","LogLinear",TRUE)</f>
        <v>QSObject:ContextInput:w1~input.qs_context_add_curve.2359132437744.3521.3.0:35921</v>
      </c>
      <c r="E3522" s="6" t="str">
        <f>_xll.QS.INSTRUMENT.SWAP("swap.3520",H3522,B3522,"USD","SOFR",I3522,J3522,0,"Actual360","Simple","Annual","Annual","Annual")</f>
        <v>QSObject:Swap:w1~swap.3520:15211</v>
      </c>
      <c r="F3522" s="6" t="str">
        <f>_xll.QS.TRADE.CREATE("trade.3520",E3522,A3522,"Receive")</f>
        <v>QSObject:SwapTrade:w1~trade.3520:28319</v>
      </c>
      <c r="G3522" s="3">
        <f>_xll.QS.EVALUATE(C3522,F3522)</f>
        <v>30965.071366646014</v>
      </c>
      <c r="H3522" s="5" t="s">
        <v>3431</v>
      </c>
      <c r="I3522" s="7">
        <v>1352000</v>
      </c>
      <c r="J3522" s="8">
        <v>3.7000000000000012E-2</v>
      </c>
    </row>
    <row r="3523" spans="1:10" x14ac:dyDescent="0.25">
      <c r="A3523" s="5" t="s">
        <v>3419</v>
      </c>
      <c r="B3523" s="5" t="s">
        <v>5390</v>
      </c>
      <c r="C3523" s="6" t="str">
        <f>_xll.QS.CONTEXT.CREATE("market.3521",A3523,"USD","SOFR")</f>
        <v>QSObject:PricingContext:w1~market.3521:15210</v>
      </c>
      <c r="D3523" s="6" t="str">
        <f>_xll.QS.CONTEXT.ADD.CURVE(C3523,"SOFR",$K$2:$K$7,$L$2:$L$7,,,"Actual360","LogLinear",TRUE)</f>
        <v>QSObject:ContextInput:w1~input.qs_context_add_curve.2359132437744.3522.3.0:35920</v>
      </c>
      <c r="E3523" s="6" t="str">
        <f>_xll.QS.INSTRUMENT.SWAP("swap.3521",H3523,B3523,"USD","SOFR",I3523,J3523,0,"Actual360","Simple","Annual","Annual","Annual")</f>
        <v>QSObject:Swap:w1~swap.3521:15209</v>
      </c>
      <c r="F3523" s="6" t="str">
        <f>_xll.QS.TRADE.CREATE("trade.3521",E3523,A3523,"Receive")</f>
        <v>QSObject:SwapTrade:w1~trade.3521:28318</v>
      </c>
      <c r="G3523" s="3">
        <f>_xll.QS.EVALUATE(C3523,F3523)</f>
        <v>31647.826519062553</v>
      </c>
      <c r="H3523" s="5" t="s">
        <v>3433</v>
      </c>
      <c r="I3523" s="7">
        <v>1352100</v>
      </c>
      <c r="J3523" s="8">
        <v>3.7100000000000001E-2</v>
      </c>
    </row>
    <row r="3524" spans="1:10" x14ac:dyDescent="0.25">
      <c r="A3524" s="5" t="s">
        <v>3421</v>
      </c>
      <c r="B3524" s="5" t="s">
        <v>5391</v>
      </c>
      <c r="C3524" s="6" t="str">
        <f>_xll.QS.CONTEXT.CREATE("market.3522",A3524,"USD","SOFR")</f>
        <v>QSObject:PricingContext:w1~market.3522:15208</v>
      </c>
      <c r="D3524" s="6" t="str">
        <f>_xll.QS.CONTEXT.ADD.CURVE(C3524,"SOFR",$K$2:$K$7,$L$2:$L$7,,,"Actual360","LogLinear",TRUE)</f>
        <v>QSObject:ContextInput:w1~input.qs_context_add_curve.2359132437744.3523.3.0:32978</v>
      </c>
      <c r="E3524" s="6" t="str">
        <f>_xll.QS.INSTRUMENT.SWAP("swap.3522",H3524,B3524,"USD","SOFR",I3524,J3524,0,"Actual360","Simple","Annual","Annual","Annual")</f>
        <v>QSObject:Swap:w1~swap.3522:15207</v>
      </c>
      <c r="F3524" s="6" t="str">
        <f>_xll.QS.TRADE.CREATE("trade.3522",E3524,A3524,"Receive")</f>
        <v>QSObject:SwapTrade:w1~trade.3522:28317</v>
      </c>
      <c r="G3524" s="3">
        <f>_xll.QS.EVALUATE(C3524,F3524)</f>
        <v>32372.998302709908</v>
      </c>
      <c r="H3524" s="5" t="s">
        <v>3435</v>
      </c>
      <c r="I3524" s="7">
        <v>1352200</v>
      </c>
      <c r="J3524" s="8">
        <v>3.7199999999999997E-2</v>
      </c>
    </row>
    <row r="3525" spans="1:10" x14ac:dyDescent="0.25">
      <c r="A3525" s="5" t="s">
        <v>3423</v>
      </c>
      <c r="B3525" s="5" t="s">
        <v>5392</v>
      </c>
      <c r="C3525" s="6" t="str">
        <f>_xll.QS.CONTEXT.CREATE("market.3523",A3525,"USD","SOFR")</f>
        <v>QSObject:PricingContext:w1~market.3523:15206</v>
      </c>
      <c r="D3525" s="6" t="str">
        <f>_xll.QS.CONTEXT.ADD.CURVE(C3525,"SOFR",$K$2:$K$7,$L$2:$L$7,,,"Actual360","LogLinear",TRUE)</f>
        <v>QSObject:ContextInput:w1~input.qs_context_add_curve.2359132437744.3524.3.0:34095</v>
      </c>
      <c r="E3525" s="6" t="str">
        <f>_xll.QS.INSTRUMENT.SWAP("swap.3523",H3525,B3525,"USD","SOFR",I3525,J3525,0,"Actual360","Simple","Annual","Annual","Annual")</f>
        <v>QSObject:Swap:w1~swap.3523:15205</v>
      </c>
      <c r="F3525" s="6" t="str">
        <f>_xll.QS.TRADE.CREATE("trade.3523",E3525,A3525,"Receive")</f>
        <v>QSObject:SwapTrade:w1~trade.3523:28316</v>
      </c>
      <c r="G3525" s="3">
        <f>_xll.QS.EVALUATE(C3525,F3525)</f>
        <v>32998.554245166168</v>
      </c>
      <c r="H3525" s="5" t="s">
        <v>3437</v>
      </c>
      <c r="I3525" s="7">
        <v>1352300</v>
      </c>
      <c r="J3525" s="8">
        <v>3.73E-2</v>
      </c>
    </row>
    <row r="3526" spans="1:10" x14ac:dyDescent="0.25">
      <c r="A3526" s="5" t="s">
        <v>3425</v>
      </c>
      <c r="B3526" s="5" t="s">
        <v>5393</v>
      </c>
      <c r="C3526" s="6" t="str">
        <f>_xll.QS.CONTEXT.CREATE("market.3524",A3526,"USD","SOFR")</f>
        <v>QSObject:PricingContext:w1~market.3524:15204</v>
      </c>
      <c r="D3526" s="6" t="str">
        <f>_xll.QS.CONTEXT.ADD.CURVE(C3526,"SOFR",$K$2:$K$7,$L$2:$L$7,,,"Actual360","LogLinear",TRUE)</f>
        <v>QSObject:ContextInput:w1~input.qs_context_add_curve.2359132437744.3525.3.0:35919</v>
      </c>
      <c r="E3526" s="6" t="str">
        <f>_xll.QS.INSTRUMENT.SWAP("swap.3524",H3526,B3526,"USD","SOFR",I3526,J3526,0,"Actual360","Simple","Annual","Annual","Annual")</f>
        <v>QSObject:Swap:w1~swap.3524:15203</v>
      </c>
      <c r="F3526" s="6" t="str">
        <f>_xll.QS.TRADE.CREATE("trade.3524",E3526,A3526,"Receive")</f>
        <v>QSObject:SwapTrade:w1~trade.3524:28315</v>
      </c>
      <c r="G3526" s="3">
        <f>_xll.QS.EVALUATE(C3526,F3526)</f>
        <v>33631.724371934695</v>
      </c>
      <c r="H3526" s="5" t="s">
        <v>3439</v>
      </c>
      <c r="I3526" s="7">
        <v>1352400</v>
      </c>
      <c r="J3526" s="8">
        <v>3.7400000000000003E-2</v>
      </c>
    </row>
    <row r="3527" spans="1:10" x14ac:dyDescent="0.25">
      <c r="A3527" s="5" t="s">
        <v>3427</v>
      </c>
      <c r="B3527" s="5" t="s">
        <v>5394</v>
      </c>
      <c r="C3527" s="6" t="str">
        <f>_xll.QS.CONTEXT.CREATE("market.3525",A3527,"USD","SOFR")</f>
        <v>QSObject:PricingContext:w1~market.3525:15202</v>
      </c>
      <c r="D3527" s="6" t="str">
        <f>_xll.QS.CONTEXT.ADD.CURVE(C3527,"SOFR",$K$2:$K$7,$L$2:$L$7,,,"Actual360","LogLinear",TRUE)</f>
        <v>QSObject:ContextInput:w1~input.qs_context_add_curve.2359132437744.3526.3.0:35335</v>
      </c>
      <c r="E3527" s="6" t="str">
        <f>_xll.QS.INSTRUMENT.SWAP("swap.3525",H3527,B3527,"USD","SOFR",I3527,J3527,0,"Actual360","Simple","Annual","Annual","Annual")</f>
        <v>QSObject:Swap:w1~swap.3525:15201</v>
      </c>
      <c r="F3527" s="6" t="str">
        <f>_xll.QS.TRADE.CREATE("trade.3525",E3527,A3527,"Receive")</f>
        <v>QSObject:SwapTrade:w1~trade.3525:28314</v>
      </c>
      <c r="G3527" s="3">
        <f>_xll.QS.EVALUATE(C3527,F3527)</f>
        <v>34259.669349179167</v>
      </c>
      <c r="H3527" s="5" t="s">
        <v>3441</v>
      </c>
      <c r="I3527" s="7">
        <v>1352500</v>
      </c>
      <c r="J3527" s="8">
        <v>3.7500000000000012E-2</v>
      </c>
    </row>
    <row r="3528" spans="1:10" x14ac:dyDescent="0.25">
      <c r="A3528" s="5" t="s">
        <v>3429</v>
      </c>
      <c r="B3528" s="5" t="s">
        <v>5395</v>
      </c>
      <c r="C3528" s="6" t="str">
        <f>_xll.QS.CONTEXT.CREATE("market.3526",A3528,"USD","SOFR")</f>
        <v>QSObject:PricingContext:w1~market.3526:15200</v>
      </c>
      <c r="D3528" s="6" t="str">
        <f>_xll.QS.CONTEXT.ADD.CURVE(C3528,"SOFR",$K$2:$K$7,$L$2:$L$7,,,"Actual360","LogLinear",TRUE)</f>
        <v>QSObject:ContextInput:w1~input.qs_context_add_curve.2359132437744.3527.3.0:32977</v>
      </c>
      <c r="E3528" s="6" t="str">
        <f>_xll.QS.INSTRUMENT.SWAP("swap.3526",H3528,B3528,"USD","SOFR",I3528,J3528,0,"Actual360","Simple","Annual","Annual","Annual")</f>
        <v>QSObject:Swap:w1~swap.3526:15199</v>
      </c>
      <c r="F3528" s="6" t="str">
        <f>_xll.QS.TRADE.CREATE("trade.3526",E3528,A3528,"Receive")</f>
        <v>QSObject:SwapTrade:w1~trade.3526:28313</v>
      </c>
      <c r="G3528" s="3">
        <f>_xll.QS.EVALUATE(C3528,F3528)</f>
        <v>34663.357436380305</v>
      </c>
      <c r="H3528" s="5" t="s">
        <v>3443</v>
      </c>
      <c r="I3528" s="7">
        <v>1352600</v>
      </c>
      <c r="J3528" s="8">
        <v>3.7600000000000001E-2</v>
      </c>
    </row>
    <row r="3529" spans="1:10" x14ac:dyDescent="0.25">
      <c r="A3529" s="5" t="s">
        <v>3431</v>
      </c>
      <c r="B3529" s="5" t="s">
        <v>5396</v>
      </c>
      <c r="C3529" s="6" t="str">
        <f>_xll.QS.CONTEXT.CREATE("market.3527",A3529,"USD","SOFR")</f>
        <v>QSObject:PricingContext:w1~market.3527:15198</v>
      </c>
      <c r="D3529" s="6" t="str">
        <f>_xll.QS.CONTEXT.ADD.CURVE(C3529,"SOFR",$K$2:$K$7,$L$2:$L$7,,,"Actual360","LogLinear",TRUE)</f>
        <v>QSObject:ContextInput:w1~input.qs_context_add_curve.2359132437744.3528.3.0:35918</v>
      </c>
      <c r="E3529" s="6" t="str">
        <f>_xll.QS.INSTRUMENT.SWAP("swap.3527",H3529,B3529,"USD","SOFR",I3529,J3529,0,"Actual360","Simple","Annual","Annual","Annual")</f>
        <v>QSObject:Swap:w1~swap.3527:15197</v>
      </c>
      <c r="F3529" s="6" t="str">
        <f>_xll.QS.TRADE.CREATE("trade.3527",E3529,A3529,"Receive")</f>
        <v>QSObject:SwapTrade:w1~trade.3527:28312</v>
      </c>
      <c r="G3529" s="3">
        <f>_xll.QS.EVALUATE(C3529,F3529)</f>
        <v>35292.557723301943</v>
      </c>
      <c r="H3529" s="5" t="s">
        <v>3445</v>
      </c>
      <c r="I3529" s="7">
        <v>1352700</v>
      </c>
      <c r="J3529" s="8">
        <v>3.7699999999999997E-2</v>
      </c>
    </row>
    <row r="3530" spans="1:10" x14ac:dyDescent="0.25">
      <c r="A3530" s="5" t="s">
        <v>3433</v>
      </c>
      <c r="B3530" s="5" t="s">
        <v>5397</v>
      </c>
      <c r="C3530" s="6" t="str">
        <f>_xll.QS.CONTEXT.CREATE("market.3528",A3530,"USD","SOFR")</f>
        <v>QSObject:PricingContext:w1~market.3528:15196</v>
      </c>
      <c r="D3530" s="6" t="str">
        <f>_xll.QS.CONTEXT.ADD.CURVE(C3530,"SOFR",$K$2:$K$7,$L$2:$L$7,,,"Actual360","LogLinear",TRUE)</f>
        <v>QSObject:ContextInput:w1~input.qs_context_add_curve.2359132437744.3529.3.0:34094</v>
      </c>
      <c r="E3530" s="6" t="str">
        <f>_xll.QS.INSTRUMENT.SWAP("swap.3528",H3530,B3530,"USD","SOFR",I3530,J3530,0,"Actual360","Simple","Annual","Annual","Annual")</f>
        <v>QSObject:Swap:w1~swap.3528:15195</v>
      </c>
      <c r="F3530" s="6" t="str">
        <f>_xll.QS.TRADE.CREATE("trade.3528",E3530,A3530,"Receive")</f>
        <v>QSObject:SwapTrade:w1~trade.3528:28311</v>
      </c>
      <c r="G3530" s="3">
        <f>_xll.QS.EVALUATE(C3530,F3530)</f>
        <v>35977.040326177652</v>
      </c>
      <c r="H3530" s="5" t="s">
        <v>3447</v>
      </c>
      <c r="I3530" s="7">
        <v>1352800</v>
      </c>
      <c r="J3530" s="8">
        <v>3.78E-2</v>
      </c>
    </row>
    <row r="3531" spans="1:10" x14ac:dyDescent="0.25">
      <c r="A3531" s="5" t="s">
        <v>3435</v>
      </c>
      <c r="B3531" s="5" t="s">
        <v>5398</v>
      </c>
      <c r="C3531" s="6" t="str">
        <f>_xll.QS.CONTEXT.CREATE("market.3529",A3531,"USD","SOFR")</f>
        <v>QSObject:PricingContext:w1~market.3529:15194</v>
      </c>
      <c r="D3531" s="6" t="str">
        <f>_xll.QS.CONTEXT.ADD.CURVE(C3531,"SOFR",$K$2:$K$7,$L$2:$L$7,,,"Actual360","LogLinear",TRUE)</f>
        <v>QSObject:ContextInput:w1~input.qs_context_add_curve.2359132437744.3530.3.0:34728</v>
      </c>
      <c r="E3531" s="6" t="str">
        <f>_xll.QS.INSTRUMENT.SWAP("swap.3529",H3531,B3531,"USD","SOFR",I3531,J3531,0,"Actual360","Simple","Annual","Annual","Annual")</f>
        <v>QSObject:Swap:w1~swap.3529:15193</v>
      </c>
      <c r="F3531" s="6" t="str">
        <f>_xll.QS.TRADE.CREATE("trade.3529",E3531,A3531,"Receive")</f>
        <v>QSObject:SwapTrade:w1~trade.3529:28310</v>
      </c>
      <c r="G3531" s="3">
        <f>_xll.QS.EVALUATE(C3531,F3531)</f>
        <v>36808.917719370475</v>
      </c>
      <c r="H3531" s="5" t="s">
        <v>3449</v>
      </c>
      <c r="I3531" s="7">
        <v>1352900</v>
      </c>
      <c r="J3531" s="8">
        <v>3.7900000000000003E-2</v>
      </c>
    </row>
    <row r="3532" spans="1:10" x14ac:dyDescent="0.25">
      <c r="A3532" s="5" t="s">
        <v>3437</v>
      </c>
      <c r="B3532" s="5" t="s">
        <v>5399</v>
      </c>
      <c r="C3532" s="6" t="str">
        <f>_xll.QS.CONTEXT.CREATE("market.3530",A3532,"USD","SOFR")</f>
        <v>QSObject:PricingContext:w1~market.3530:15192</v>
      </c>
      <c r="D3532" s="6" t="str">
        <f>_xll.QS.CONTEXT.ADD.CURVE(C3532,"SOFR",$K$2:$K$7,$L$2:$L$7,,,"Actual360","LogLinear",TRUE)</f>
        <v>QSObject:ContextInput:w1~input.qs_context_add_curve.2359132437744.3531.3.0:34093</v>
      </c>
      <c r="E3532" s="6" t="str">
        <f>_xll.QS.INSTRUMENT.SWAP("swap.3530",H3532,B3532,"USD","SOFR",I3532,J3532,0,"Actual360","Simple","Annual","Annual","Annual")</f>
        <v>QSObject:Swap:w1~swap.3530:15191</v>
      </c>
      <c r="F3532" s="6" t="str">
        <f>_xll.QS.TRADE.CREATE("trade.3530",E3532,A3532,"Receive")</f>
        <v>QSObject:SwapTrade:w1~trade.3530:28309</v>
      </c>
      <c r="G3532" s="3">
        <f>_xll.QS.EVALUATE(C3532,F3532)</f>
        <v>37435.604312750198</v>
      </c>
      <c r="H3532" s="5" t="s">
        <v>3451</v>
      </c>
      <c r="I3532" s="7">
        <v>1353000</v>
      </c>
      <c r="J3532" s="8">
        <v>3.8000000000000013E-2</v>
      </c>
    </row>
    <row r="3533" spans="1:10" x14ac:dyDescent="0.25">
      <c r="A3533" s="5" t="s">
        <v>3439</v>
      </c>
      <c r="B3533" s="5" t="s">
        <v>5400</v>
      </c>
      <c r="C3533" s="6" t="str">
        <f>_xll.QS.CONTEXT.CREATE("market.3531",A3533,"USD","SOFR")</f>
        <v>QSObject:PricingContext:w1~market.3531:15190</v>
      </c>
      <c r="D3533" s="6" t="str">
        <f>_xll.QS.CONTEXT.ADD.CURVE(C3533,"SOFR",$K$2:$K$7,$L$2:$L$7,,,"Actual360","LogLinear",TRUE)</f>
        <v>QSObject:ContextInput:w1~input.qs_context_add_curve.2359132437744.3532.3.0:35917</v>
      </c>
      <c r="E3533" s="6" t="str">
        <f>_xll.QS.INSTRUMENT.SWAP("swap.3531",H3533,B3533,"USD","SOFR",I3533,J3533,0,"Actual360","Simple","Annual","Annual","Annual")</f>
        <v>QSObject:Swap:w1~swap.3531:15189</v>
      </c>
      <c r="F3533" s="6" t="str">
        <f>_xll.QS.TRADE.CREATE("trade.3531",E3533,A3533,"Receive")</f>
        <v>QSObject:SwapTrade:w1~trade.3531:28308</v>
      </c>
      <c r="G3533" s="3">
        <f>_xll.QS.EVALUATE(C3533,F3533)</f>
        <v>38074.523852859282</v>
      </c>
      <c r="H3533" s="5" t="s">
        <v>3453</v>
      </c>
      <c r="I3533" s="7">
        <v>1353100</v>
      </c>
      <c r="J3533" s="8">
        <v>3.8100000000000002E-2</v>
      </c>
    </row>
    <row r="3534" spans="1:10" x14ac:dyDescent="0.25">
      <c r="A3534" s="5" t="s">
        <v>3441</v>
      </c>
      <c r="B3534" s="5" t="s">
        <v>5401</v>
      </c>
      <c r="C3534" s="6" t="str">
        <f>_xll.QS.CONTEXT.CREATE("market.3532",A3534,"USD","SOFR")</f>
        <v>QSObject:PricingContext:w1~market.3532:15188</v>
      </c>
      <c r="D3534" s="6" t="str">
        <f>_xll.QS.CONTEXT.ADD.CURVE(C3534,"SOFR",$K$2:$K$7,$L$2:$L$7,,,"Actual360","LogLinear",TRUE)</f>
        <v>QSObject:ContextInput:w1~input.qs_context_add_curve.2359132437744.3533.3.0:36995</v>
      </c>
      <c r="E3534" s="6" t="str">
        <f>_xll.QS.INSTRUMENT.SWAP("swap.3532",H3534,B3534,"USD","SOFR",I3534,J3534,0,"Actual360","Simple","Annual","Annual","Annual")</f>
        <v>QSObject:Swap:w1~swap.3532:15187</v>
      </c>
      <c r="F3534" s="6" t="str">
        <f>_xll.QS.TRADE.CREATE("trade.3532",E3534,A3534,"Receive")</f>
        <v>QSObject:SwapTrade:w1~trade.3532:28307</v>
      </c>
      <c r="G3534" s="3">
        <f>_xll.QS.EVALUATE(C3534,F3534)</f>
        <v>38702.308393468978</v>
      </c>
      <c r="H3534" s="5" t="s">
        <v>3455</v>
      </c>
      <c r="I3534" s="7">
        <v>1353200</v>
      </c>
      <c r="J3534" s="8">
        <v>3.8199999999999998E-2</v>
      </c>
    </row>
    <row r="3535" spans="1:10" x14ac:dyDescent="0.25">
      <c r="A3535" s="5" t="s">
        <v>3443</v>
      </c>
      <c r="B3535" s="5" t="s">
        <v>5402</v>
      </c>
      <c r="C3535" s="6" t="str">
        <f>_xll.QS.CONTEXT.CREATE("market.3533",A3535,"USD","SOFR")</f>
        <v>QSObject:PricingContext:w1~market.3533:15186</v>
      </c>
      <c r="D3535" s="6" t="str">
        <f>_xll.QS.CONTEXT.ADD.CURVE(C3535,"SOFR",$K$2:$K$7,$L$2:$L$7,,,"Actual360","LogLinear",TRUE)</f>
        <v>QSObject:ContextInput:w1~input.qs_context_add_curve.2359132437744.3534.3.0:33511</v>
      </c>
      <c r="E3535" s="6" t="str">
        <f>_xll.QS.INSTRUMENT.SWAP("swap.3533",H3535,B3535,"USD","SOFR",I3535,J3535,0,"Actual360","Simple","Annual","Annual","Annual")</f>
        <v>QSObject:Swap:w1~swap.3533:15185</v>
      </c>
      <c r="F3535" s="6" t="str">
        <f>_xll.QS.TRADE.CREATE("trade.3533",E3535,A3535,"Receive")</f>
        <v>QSObject:SwapTrade:w1~trade.3533:28306</v>
      </c>
      <c r="G3535" s="3">
        <f>_xll.QS.EVALUATE(C3535,F3535)</f>
        <v>39161.91087310564</v>
      </c>
      <c r="H3535" s="5" t="s">
        <v>3457</v>
      </c>
      <c r="I3535" s="7">
        <v>1353300</v>
      </c>
      <c r="J3535" s="8">
        <v>3.8300000000000001E-2</v>
      </c>
    </row>
    <row r="3536" spans="1:10" x14ac:dyDescent="0.25">
      <c r="A3536" s="5" t="s">
        <v>3445</v>
      </c>
      <c r="B3536" s="5" t="s">
        <v>5403</v>
      </c>
      <c r="C3536" s="6" t="str">
        <f>_xll.QS.CONTEXT.CREATE("market.3534",A3536,"USD","SOFR")</f>
        <v>QSObject:PricingContext:w1~market.3534:15184</v>
      </c>
      <c r="D3536" s="6" t="str">
        <f>_xll.QS.CONTEXT.ADD.CURVE(C3536,"SOFR",$K$2:$K$7,$L$2:$L$7,,,"Actual360","LogLinear",TRUE)</f>
        <v>QSObject:ContextInput:w1~input.qs_context_add_curve.2359132437744.3535.3.0:34727</v>
      </c>
      <c r="E3536" s="6" t="str">
        <f>_xll.QS.INSTRUMENT.SWAP("swap.3534",H3536,B3536,"USD","SOFR",I3536,J3536,0,"Actual360","Simple","Annual","Annual","Annual")</f>
        <v>QSObject:Swap:w1~swap.3534:15183</v>
      </c>
      <c r="F3536" s="6" t="str">
        <f>_xll.QS.TRADE.CREATE("trade.3534",E3536,A3536,"Receive")</f>
        <v>QSObject:SwapTrade:w1~trade.3534:28305</v>
      </c>
      <c r="G3536" s="3">
        <f>_xll.QS.EVALUATE(C3536,F3536)</f>
        <v>39792.396959419515</v>
      </c>
      <c r="H3536" s="5" t="s">
        <v>3459</v>
      </c>
      <c r="I3536" s="7">
        <v>1353400</v>
      </c>
      <c r="J3536" s="8">
        <v>3.8399999999999997E-2</v>
      </c>
    </row>
    <row r="3537" spans="1:10" x14ac:dyDescent="0.25">
      <c r="A3537" s="5" t="s">
        <v>3447</v>
      </c>
      <c r="B3537" s="5" t="s">
        <v>5404</v>
      </c>
      <c r="C3537" s="6" t="str">
        <f>_xll.QS.CONTEXT.CREATE("market.3535",A3537,"USD","SOFR")</f>
        <v>QSObject:PricingContext:w1~market.3535:15182</v>
      </c>
      <c r="D3537" s="6" t="str">
        <f>_xll.QS.CONTEXT.ADD.CURVE(C3537,"SOFR",$K$2:$K$7,$L$2:$L$7,,,"Actual360","LogLinear",TRUE)</f>
        <v>QSObject:ContextInput:w1~input.qs_context_add_curve.2359132437744.3536.3.0:36994</v>
      </c>
      <c r="E3537" s="6" t="str">
        <f>_xll.QS.INSTRUMENT.SWAP("swap.3535",H3537,B3537,"USD","SOFR",I3537,J3537,0,"Actual360","Simple","Annual","Annual","Annual")</f>
        <v>QSObject:Swap:w1~swap.3535:15181</v>
      </c>
      <c r="F3537" s="6" t="str">
        <f>_xll.QS.TRADE.CREATE("trade.3535",E3537,A3537,"Receive")</f>
        <v>QSObject:SwapTrade:w1~trade.3535:28304</v>
      </c>
      <c r="G3537" s="3">
        <f>_xll.QS.EVALUATE(C3537,F3537)</f>
        <v>40422.796159795093</v>
      </c>
      <c r="H3537" s="5" t="s">
        <v>3461</v>
      </c>
      <c r="I3537" s="7">
        <v>1353500</v>
      </c>
      <c r="J3537" s="8">
        <v>3.8500000000000013E-2</v>
      </c>
    </row>
    <row r="3538" spans="1:10" x14ac:dyDescent="0.25">
      <c r="A3538" s="5" t="s">
        <v>3449</v>
      </c>
      <c r="B3538" s="5" t="s">
        <v>5405</v>
      </c>
      <c r="C3538" s="6" t="str">
        <f>_xll.QS.CONTEXT.CREATE("market.3536",A3538,"USD","SOFR")</f>
        <v>QSObject:PricingContext:w1~market.3536:15180</v>
      </c>
      <c r="D3538" s="6" t="str">
        <f>_xll.QS.CONTEXT.ADD.CURVE(C3538,"SOFR",$K$2:$K$7,$L$2:$L$7,,,"Actual360","LogLinear",TRUE)</f>
        <v>QSObject:ContextInput:w1~input.qs_context_add_curve.2359132437744.3537.3.0:35334</v>
      </c>
      <c r="E3538" s="6" t="str">
        <f>_xll.QS.INSTRUMENT.SWAP("swap.3536",H3538,B3538,"USD","SOFR",I3538,J3538,0,"Actual360","Simple","Annual","Annual","Annual")</f>
        <v>QSObject:Swap:w1~swap.3536:15179</v>
      </c>
      <c r="F3538" s="6" t="str">
        <f>_xll.QS.TRADE.CREATE("trade.3536",E3538,A3538,"Receive")</f>
        <v>QSObject:SwapTrade:w1~trade.3536:28303</v>
      </c>
      <c r="G3538" s="3">
        <f>_xll.QS.EVALUATE(C3538,F3538)</f>
        <v>41149.300452297059</v>
      </c>
      <c r="H3538" s="5" t="s">
        <v>3463</v>
      </c>
      <c r="I3538" s="7">
        <v>1353600</v>
      </c>
      <c r="J3538" s="8">
        <v>3.8600000000000002E-2</v>
      </c>
    </row>
    <row r="3539" spans="1:10" x14ac:dyDescent="0.25">
      <c r="A3539" s="5" t="s">
        <v>3451</v>
      </c>
      <c r="B3539" s="5" t="s">
        <v>5406</v>
      </c>
      <c r="C3539" s="6" t="str">
        <f>_xll.QS.CONTEXT.CREATE("market.3537",A3539,"USD","SOFR")</f>
        <v>QSObject:PricingContext:w1~market.3537:15178</v>
      </c>
      <c r="D3539" s="6" t="str">
        <f>_xll.QS.CONTEXT.ADD.CURVE(C3539,"SOFR",$K$2:$K$7,$L$2:$L$7,,,"Actual360","LogLinear",TRUE)</f>
        <v>QSObject:ContextInput:w1~input.qs_context_add_curve.2359132437744.3538.3.0:34092</v>
      </c>
      <c r="E3539" s="6" t="str">
        <f>_xll.QS.INSTRUMENT.SWAP("swap.3537",H3539,B3539,"USD","SOFR",I3539,J3539,0,"Actual360","Simple","Annual","Annual","Annual")</f>
        <v>QSObject:Swap:w1~swap.3537:15177</v>
      </c>
      <c r="F3539" s="6" t="str">
        <f>_xll.QS.TRADE.CREATE("trade.3537",E3539,A3539,"Receive")</f>
        <v>QSObject:SwapTrade:w1~trade.3537:28302</v>
      </c>
      <c r="G3539" s="3">
        <f>_xll.QS.EVALUATE(C3539,F3539)</f>
        <v>41776.674552811681</v>
      </c>
      <c r="H3539" s="5" t="s">
        <v>3465</v>
      </c>
      <c r="I3539" s="7">
        <v>1353700</v>
      </c>
      <c r="J3539" s="8">
        <v>3.8700000000000012E-2</v>
      </c>
    </row>
    <row r="3540" spans="1:10" x14ac:dyDescent="0.25">
      <c r="A3540" s="5" t="s">
        <v>3453</v>
      </c>
      <c r="B3540" s="5" t="s">
        <v>5407</v>
      </c>
      <c r="C3540" s="6" t="str">
        <f>_xll.QS.CONTEXT.CREATE("market.3538",A3540,"USD","SOFR")</f>
        <v>QSObject:PricingContext:w1~market.3538:15176</v>
      </c>
      <c r="D3540" s="6" t="str">
        <f>_xll.QS.CONTEXT.ADD.CURVE(C3540,"SOFR",$K$2:$K$7,$L$2:$L$7,,,"Actual360","LogLinear",TRUE)</f>
        <v>QSObject:ContextInput:w1~input.qs_context_add_curve.2359132437744.3539.3.0:32976</v>
      </c>
      <c r="E3540" s="6" t="str">
        <f>_xll.QS.INSTRUMENT.SWAP("swap.3538",H3540,B3540,"USD","SOFR",I3540,J3540,0,"Actual360","Simple","Annual","Annual","Annual")</f>
        <v>QSObject:Swap:w1~swap.3538:15175</v>
      </c>
      <c r="F3540" s="6" t="str">
        <f>_xll.QS.TRADE.CREATE("trade.3538",E3540,A3540,"Receive")</f>
        <v>QSObject:SwapTrade:w1~trade.3538:28301</v>
      </c>
      <c r="G3540" s="3">
        <f>_xll.QS.EVALUATE(C3540,F3540)</f>
        <v>42411.640970857006</v>
      </c>
      <c r="H3540" s="5" t="s">
        <v>3467</v>
      </c>
      <c r="I3540" s="7">
        <v>1353800</v>
      </c>
      <c r="J3540" s="8">
        <v>3.8800000000000001E-2</v>
      </c>
    </row>
    <row r="3541" spans="1:10" x14ac:dyDescent="0.25">
      <c r="A3541" s="5" t="s">
        <v>3455</v>
      </c>
      <c r="B3541" s="5" t="s">
        <v>5408</v>
      </c>
      <c r="C3541" s="6" t="str">
        <f>_xll.QS.CONTEXT.CREATE("market.3539",A3541,"USD","SOFR")</f>
        <v>QSObject:PricingContext:w1~market.3539:15174</v>
      </c>
      <c r="D3541" s="6" t="str">
        <f>_xll.QS.CONTEXT.ADD.CURVE(C3541,"SOFR",$K$2:$K$7,$L$2:$L$7,,,"Actual360","LogLinear",TRUE)</f>
        <v>QSObject:ContextInput:w1~input.qs_context_add_curve.2359132437744.3540.3.0:34726</v>
      </c>
      <c r="E3541" s="6" t="str">
        <f>_xll.QS.INSTRUMENT.SWAP("swap.3539",H3541,B3541,"USD","SOFR",I3541,J3541,0,"Actual360","Simple","Annual","Annual","Annual")</f>
        <v>QSObject:Swap:w1~swap.3539:15173</v>
      </c>
      <c r="F3541" s="6" t="str">
        <f>_xll.QS.TRADE.CREATE("trade.3539",E3541,A3541,"Receive")</f>
        <v>QSObject:SwapTrade:w1~trade.3539:25016</v>
      </c>
      <c r="G3541" s="3">
        <f>_xll.QS.EVALUATE(C3541,F3541)</f>
        <v>43040.589113626789</v>
      </c>
      <c r="H3541" s="5" t="s">
        <v>3469</v>
      </c>
      <c r="I3541" s="7">
        <v>1353900</v>
      </c>
      <c r="J3541" s="8">
        <v>3.8899999999999997E-2</v>
      </c>
    </row>
    <row r="3542" spans="1:10" x14ac:dyDescent="0.25">
      <c r="A3542" s="5" t="s">
        <v>3457</v>
      </c>
      <c r="B3542" s="5" t="s">
        <v>5409</v>
      </c>
      <c r="C3542" s="6" t="str">
        <f>_xll.QS.CONTEXT.CREATE("market.3540",A3542,"USD","SOFR")</f>
        <v>QSObject:PricingContext:w1~market.3540:15172</v>
      </c>
      <c r="D3542" s="6" t="str">
        <f>_xll.QS.CONTEXT.ADD.CURVE(C3542,"SOFR",$K$2:$K$7,$L$2:$L$7,,,"Actual360","LogLinear",TRUE)</f>
        <v>QSObject:ContextInput:w1~input.qs_context_add_curve.2359132437744.3541.3.0:34091</v>
      </c>
      <c r="E3542" s="6" t="str">
        <f>_xll.QS.INSTRUMENT.SWAP("swap.3540",H3542,B3542,"USD","SOFR",I3542,J3542,0,"Actual360","Simple","Annual","Annual","Annual")</f>
        <v>QSObject:Swap:w1~swap.3540:15171</v>
      </c>
      <c r="F3542" s="6" t="str">
        <f>_xll.QS.TRADE.CREATE("trade.3540",E3542,A3542,"Receive")</f>
        <v>QSObject:SwapTrade:w1~trade.3540:28278</v>
      </c>
      <c r="G3542" s="3">
        <f>_xll.QS.EVALUATE(C3542,F3542)</f>
        <v>43499.864822230891</v>
      </c>
      <c r="H3542" s="5" t="s">
        <v>3471</v>
      </c>
      <c r="I3542" s="7">
        <v>1354000</v>
      </c>
      <c r="J3542" s="8">
        <v>3.9000000000000007E-2</v>
      </c>
    </row>
    <row r="3543" spans="1:10" x14ac:dyDescent="0.25">
      <c r="A3543" s="5" t="s">
        <v>3459</v>
      </c>
      <c r="B3543" s="5" t="s">
        <v>5410</v>
      </c>
      <c r="C3543" s="6" t="str">
        <f>_xll.QS.CONTEXT.CREATE("market.3541",A3543,"USD","SOFR")</f>
        <v>QSObject:PricingContext:w1~market.3541:15170</v>
      </c>
      <c r="D3543" s="6" t="str">
        <f>_xll.QS.CONTEXT.ADD.CURVE(C3543,"SOFR",$K$2:$K$7,$L$2:$L$7,,,"Actual360","LogLinear",TRUE)</f>
        <v>QSObject:ContextInput:w1~input.qs_context_add_curve.2359132437744.3542.3.0:32975</v>
      </c>
      <c r="E3543" s="6" t="str">
        <f>_xll.QS.INSTRUMENT.SWAP("swap.3541",H3543,B3543,"USD","SOFR",I3543,J3543,0,"Actual360","Simple","Annual","Annual","Annual")</f>
        <v>QSObject:Swap:w1~swap.3541:15169</v>
      </c>
      <c r="F3543" s="6" t="str">
        <f>_xll.QS.TRADE.CREATE("trade.3541",E3543,A3543,"Receive")</f>
        <v>QSObject:SwapTrade:w1~trade.3541:24201</v>
      </c>
      <c r="G3543" s="3">
        <f>_xll.QS.EVALUATE(C3543,F3543)</f>
        <v>44131.211087174415</v>
      </c>
      <c r="H3543" s="5" t="s">
        <v>3473</v>
      </c>
      <c r="I3543" s="7">
        <v>1354100</v>
      </c>
      <c r="J3543" s="8">
        <v>3.9100000000000003E-2</v>
      </c>
    </row>
    <row r="3544" spans="1:10" x14ac:dyDescent="0.25">
      <c r="A3544" s="5" t="s">
        <v>3461</v>
      </c>
      <c r="B3544" s="5" t="s">
        <v>5411</v>
      </c>
      <c r="C3544" s="6" t="str">
        <f>_xll.QS.CONTEXT.CREATE("market.3542",A3544,"USD","SOFR")</f>
        <v>QSObject:PricingContext:w1~market.3542:15168</v>
      </c>
      <c r="D3544" s="6" t="str">
        <f>_xll.QS.CONTEXT.ADD.CURVE(C3544,"SOFR",$K$2:$K$7,$L$2:$L$7,,,"Actual360","LogLinear",TRUE)</f>
        <v>QSObject:ContextInput:w1~input.qs_context_add_curve.2359132437744.3543.3.0:34725</v>
      </c>
      <c r="E3544" s="6" t="str">
        <f>_xll.QS.INSTRUMENT.SWAP("swap.3542",H3544,B3544,"USD","SOFR",I3544,J3544,0,"Actual360","Simple","Annual","Annual","Annual")</f>
        <v>QSObject:Swap:w1~swap.3542:15167</v>
      </c>
      <c r="F3544" s="6" t="str">
        <f>_xll.QS.TRADE.CREATE("trade.3542",E3544,A3544,"Receive")</f>
        <v>QSObject:SwapTrade:w1~trade.3542:27628</v>
      </c>
      <c r="G3544" s="3">
        <f>_xll.QS.EVALUATE(C3544,F3544)</f>
        <v>44817.133682124848</v>
      </c>
      <c r="H3544" s="5" t="s">
        <v>3475</v>
      </c>
      <c r="I3544" s="7">
        <v>1354200</v>
      </c>
      <c r="J3544" s="8">
        <v>3.9200000000000013E-2</v>
      </c>
    </row>
    <row r="3545" spans="1:10" x14ac:dyDescent="0.25">
      <c r="A3545" s="5" t="s">
        <v>3463</v>
      </c>
      <c r="B3545" s="5" t="s">
        <v>5412</v>
      </c>
      <c r="C3545" s="6" t="str">
        <f>_xll.QS.CONTEXT.CREATE("market.3543",A3545,"USD","SOFR")</f>
        <v>QSObject:PricingContext:w1~market.3543:15166</v>
      </c>
      <c r="D3545" s="6" t="str">
        <f>_xll.QS.CONTEXT.ADD.CURVE(C3545,"SOFR",$K$2:$K$7,$L$2:$L$7,,,"Actual360","LogLinear",TRUE)</f>
        <v>QSObject:ContextInput:w1~input.qs_context_add_curve.2359132437744.3544.3.0:35916</v>
      </c>
      <c r="E3545" s="6" t="str">
        <f>_xll.QS.INSTRUMENT.SWAP("swap.3543",H3545,B3545,"USD","SOFR",I3545,J3545,0,"Actual360","Simple","Annual","Annual","Annual")</f>
        <v>QSObject:Swap:w1~swap.3543:15165</v>
      </c>
      <c r="F3545" s="6" t="str">
        <f>_xll.QS.TRADE.CREATE("trade.3543",E3545,A3545,"Receive")</f>
        <v>QSObject:SwapTrade:w1~trade.3543:25701</v>
      </c>
      <c r="G3545" s="3">
        <f>_xll.QS.EVALUATE(C3545,F3545)</f>
        <v>45544.400015980398</v>
      </c>
      <c r="H3545" s="5" t="s">
        <v>3477</v>
      </c>
      <c r="I3545" s="7">
        <v>1354300</v>
      </c>
      <c r="J3545" s="8">
        <v>3.9300000000000002E-2</v>
      </c>
    </row>
    <row r="3546" spans="1:10" x14ac:dyDescent="0.25">
      <c r="A3546" s="5" t="s">
        <v>3465</v>
      </c>
      <c r="B3546" s="5" t="s">
        <v>5413</v>
      </c>
      <c r="C3546" s="6" t="str">
        <f>_xll.QS.CONTEXT.CREATE("market.3544",A3546,"USD","SOFR")</f>
        <v>QSObject:PricingContext:w1~market.3544:15164</v>
      </c>
      <c r="D3546" s="6" t="str">
        <f>_xll.QS.CONTEXT.ADD.CURVE(C3546,"SOFR",$K$2:$K$7,$L$2:$L$7,,,"Actual360","LogLinear",TRUE)</f>
        <v>QSObject:ContextInput:w1~input.qs_context_add_curve.2359132437744.3545.3.0:32974</v>
      </c>
      <c r="E3546" s="6" t="str">
        <f>_xll.QS.INSTRUMENT.SWAP("swap.3544",H3546,B3546,"USD","SOFR",I3546,J3546,0,"Actual360","Simple","Annual","Annual","Annual")</f>
        <v>QSObject:Swap:w1~swap.3544:15163</v>
      </c>
      <c r="F3546" s="6" t="str">
        <f>_xll.QS.TRADE.CREATE("trade.3544",E3546,A3546,"Receive")</f>
        <v>QSObject:SwapTrade:w1~trade.3544:24200</v>
      </c>
      <c r="G3546" s="3">
        <f>_xll.QS.EVALUATE(C3546,F3546)</f>
        <v>46172.411299435931</v>
      </c>
      <c r="H3546" s="5" t="s">
        <v>3479</v>
      </c>
      <c r="I3546" s="7">
        <v>1354400</v>
      </c>
      <c r="J3546" s="8">
        <v>3.9399999999999998E-2</v>
      </c>
    </row>
    <row r="3547" spans="1:10" x14ac:dyDescent="0.25">
      <c r="A3547" s="5" t="s">
        <v>3467</v>
      </c>
      <c r="B3547" s="5" t="s">
        <v>5414</v>
      </c>
      <c r="C3547" s="6" t="str">
        <f>_xll.QS.CONTEXT.CREATE("market.3545",A3547,"USD","SOFR")</f>
        <v>QSObject:PricingContext:w1~market.3545:15162</v>
      </c>
      <c r="D3547" s="6" t="str">
        <f>_xll.QS.CONTEXT.ADD.CURVE(C3547,"SOFR",$K$2:$K$7,$L$2:$L$7,,,"Actual360","LogLinear",TRUE)</f>
        <v>QSObject:ContextInput:w1~input.qs_context_add_curve.2359132437744.3546.3.0:35915</v>
      </c>
      <c r="E3547" s="6" t="str">
        <f>_xll.QS.INSTRUMENT.SWAP("swap.3545",H3547,B3547,"USD","SOFR",I3547,J3547,0,"Actual360","Simple","Annual","Annual","Annual")</f>
        <v>QSObject:Swap:w1~swap.3545:15161</v>
      </c>
      <c r="F3547" s="6" t="str">
        <f>_xll.QS.TRADE.CREATE("trade.3545",E3547,A3547,"Receive")</f>
        <v>QSObject:SwapTrade:w1~trade.3545:28277</v>
      </c>
      <c r="G3547" s="3">
        <f>_xll.QS.EVALUATE(C3547,F3547)</f>
        <v>46808.039594795075</v>
      </c>
      <c r="H3547" s="5" t="s">
        <v>3481</v>
      </c>
      <c r="I3547" s="7">
        <v>1354500</v>
      </c>
      <c r="J3547" s="8">
        <v>3.9500000000000007E-2</v>
      </c>
    </row>
    <row r="3548" spans="1:10" x14ac:dyDescent="0.25">
      <c r="A3548" s="5" t="s">
        <v>3469</v>
      </c>
      <c r="B3548" s="5" t="s">
        <v>5415</v>
      </c>
      <c r="C3548" s="6" t="str">
        <f>_xll.QS.CONTEXT.CREATE("market.3546",A3548,"USD","SOFR")</f>
        <v>QSObject:PricingContext:w1~market.3546:15160</v>
      </c>
      <c r="D3548" s="6" t="str">
        <f>_xll.QS.CONTEXT.ADD.CURVE(C3548,"SOFR",$K$2:$K$7,$L$2:$L$7,,,"Actual360","LogLinear",TRUE)</f>
        <v>QSObject:ContextInput:w1~input.qs_context_add_curve.2359132437744.3547.3.0:34090</v>
      </c>
      <c r="E3548" s="6" t="str">
        <f>_xll.QS.INSTRUMENT.SWAP("swap.3546",H3548,B3548,"USD","SOFR",I3548,J3548,0,"Actual360","Simple","Annual","Annual","Annual")</f>
        <v>QSObject:Swap:w1~swap.3546:15159</v>
      </c>
      <c r="F3548" s="6" t="str">
        <f>_xll.QS.TRADE.CREATE("trade.3546",E3548,A3548,"Receive")</f>
        <v>QSObject:SwapTrade:w1~trade.3546:25015</v>
      </c>
      <c r="G3548" s="3">
        <f>_xll.QS.EVALUATE(C3548,F3548)</f>
        <v>47437.650910295299</v>
      </c>
      <c r="H3548" s="5" t="s">
        <v>3483</v>
      </c>
      <c r="I3548" s="7">
        <v>1354600</v>
      </c>
      <c r="J3548" s="8">
        <v>3.9600000000000003E-2</v>
      </c>
    </row>
    <row r="3549" spans="1:10" x14ac:dyDescent="0.25">
      <c r="A3549" s="5" t="s">
        <v>3471</v>
      </c>
      <c r="B3549" s="5" t="s">
        <v>5416</v>
      </c>
      <c r="C3549" s="6" t="str">
        <f>_xll.QS.CONTEXT.CREATE("market.3547",A3549,"USD","SOFR")</f>
        <v>QSObject:PricingContext:w1~market.3547:15158</v>
      </c>
      <c r="D3549" s="6" t="str">
        <f>_xll.QS.CONTEXT.ADD.CURVE(C3549,"SOFR",$K$2:$K$7,$L$2:$L$7,,,"Actual360","LogLinear",TRUE)</f>
        <v>QSObject:ContextInput:w1~input.qs_context_add_curve.2359132437744.3548.3.0:32973</v>
      </c>
      <c r="E3549" s="6" t="str">
        <f>_xll.QS.INSTRUMENT.SWAP("swap.3547",H3549,B3549,"USD","SOFR",I3549,J3549,0,"Actual360","Simple","Annual","Annual","Annual")</f>
        <v>QSObject:Swap:w1~swap.3547:15157</v>
      </c>
      <c r="F3549" s="6" t="str">
        <f>_xll.QS.TRADE.CREATE("trade.3547",E3549,A3549,"Receive")</f>
        <v>QSObject:SwapTrade:w1~trade.3547:28276</v>
      </c>
      <c r="G3549" s="3">
        <f>_xll.QS.EVALUATE(C3549,F3549)</f>
        <v>47896.605373418184</v>
      </c>
      <c r="H3549" s="5" t="s">
        <v>3485</v>
      </c>
      <c r="I3549" s="7">
        <v>1354700</v>
      </c>
      <c r="J3549" s="8">
        <v>3.9700000000000013E-2</v>
      </c>
    </row>
    <row r="3550" spans="1:10" x14ac:dyDescent="0.25">
      <c r="A3550" s="5" t="s">
        <v>3473</v>
      </c>
      <c r="B3550" s="5" t="s">
        <v>5417</v>
      </c>
      <c r="C3550" s="6" t="str">
        <f>_xll.QS.CONTEXT.CREATE("market.3548",A3550,"USD","SOFR")</f>
        <v>QSObject:PricingContext:w1~market.3548:15156</v>
      </c>
      <c r="D3550" s="6" t="str">
        <f>_xll.QS.CONTEXT.ADD.CURVE(C3550,"SOFR",$K$2:$K$7,$L$2:$L$7,,,"Actual360","LogLinear",TRUE)</f>
        <v>QSObject:ContextInput:w1~input.qs_context_add_curve.2359132437744.3549.3.0:32972</v>
      </c>
      <c r="E3550" s="6" t="str">
        <f>_xll.QS.INSTRUMENT.SWAP("swap.3548",H3550,B3550,"USD","SOFR",I3550,J3550,0,"Actual360","Simple","Annual","Annual","Annual")</f>
        <v>QSObject:Swap:w1~swap.3548:15155</v>
      </c>
      <c r="F3550" s="6" t="str">
        <f>_xll.QS.TRADE.CREATE("trade.3548",E3550,A3550,"Receive")</f>
        <v>QSObject:SwapTrade:w1~trade.3548:25014</v>
      </c>
      <c r="G3550" s="3">
        <f>_xll.QS.EVALUATE(C3550,F3550)</f>
        <v>48528.966131412439</v>
      </c>
      <c r="H3550" s="5" t="s">
        <v>3487</v>
      </c>
      <c r="I3550" s="7">
        <v>1354800</v>
      </c>
      <c r="J3550" s="8">
        <v>3.9800000000000002E-2</v>
      </c>
    </row>
    <row r="3551" spans="1:10" x14ac:dyDescent="0.25">
      <c r="A3551" s="5" t="s">
        <v>3475</v>
      </c>
      <c r="B3551" s="5" t="s">
        <v>5418</v>
      </c>
      <c r="C3551" s="6" t="str">
        <f>_xll.QS.CONTEXT.CREATE("market.3549",A3551,"USD","SOFR")</f>
        <v>QSObject:PricingContext:w1~market.3549:15154</v>
      </c>
      <c r="D3551" s="6" t="str">
        <f>_xll.QS.CONTEXT.ADD.CURVE(C3551,"SOFR",$K$2:$K$7,$L$2:$L$7,,,"Actual360","LogLinear",TRUE)</f>
        <v>QSObject:ContextInput:w1~input.qs_context_add_curve.2359132437744.3550.3.0:34724</v>
      </c>
      <c r="E3551" s="6" t="str">
        <f>_xll.QS.INSTRUMENT.SWAP("swap.3549",H3551,B3551,"USD","SOFR",I3551,J3551,0,"Actual360","Simple","Annual","Annual","Annual")</f>
        <v>QSObject:Swap:w1~swap.3549:15153</v>
      </c>
      <c r="F3551" s="6" t="str">
        <f>_xll.QS.TRADE.CREATE("trade.3549",E3551,A3551,"Receive")</f>
        <v>QSObject:SwapTrade:w1~trade.3549:27627</v>
      </c>
      <c r="G3551" s="3">
        <f>_xll.QS.EVALUATE(C3551,F3551)</f>
        <v>49215.992548757924</v>
      </c>
      <c r="H3551" s="5" t="s">
        <v>3489</v>
      </c>
      <c r="I3551" s="7">
        <v>1354900</v>
      </c>
      <c r="J3551" s="8">
        <v>3.9899999999999998E-2</v>
      </c>
    </row>
    <row r="3552" spans="1:10" x14ac:dyDescent="0.25">
      <c r="A3552" s="5" t="s">
        <v>3477</v>
      </c>
      <c r="B3552" s="5" t="s">
        <v>5419</v>
      </c>
      <c r="C3552" s="6" t="str">
        <f>_xll.QS.CONTEXT.CREATE("market.3550",A3552,"USD","SOFR")</f>
        <v>QSObject:PricingContext:w1~market.3550:15152</v>
      </c>
      <c r="D3552" s="6" t="str">
        <f>_xll.QS.CONTEXT.ADD.CURVE(C3552,"SOFR",$K$2:$K$7,$L$2:$L$7,,,"Actual360","LogLinear",TRUE)</f>
        <v>QSObject:ContextInput:w1~input.qs_context_add_curve.2359132437744.3551.3.0:36468</v>
      </c>
      <c r="E3552" s="6" t="str">
        <f>_xll.QS.INSTRUMENT.SWAP("swap.3550",H3552,B3552,"USD","SOFR",I3552,J3552,0,"Actual360","Simple","Annual","Annual","Annual")</f>
        <v>QSObject:Swap:w1~swap.3550:15151</v>
      </c>
      <c r="F3552" s="6" t="str">
        <f>_xll.QS.TRADE.CREATE("trade.3550",E3552,A3552,"Receive")</f>
        <v>QSObject:SwapTrade:w1~trade.3550:24199</v>
      </c>
      <c r="G3552" s="3">
        <f>_xll.QS.EVALUATE(C3552,F3552)</f>
        <v>18686.304265654697</v>
      </c>
      <c r="H3552" s="5" t="s">
        <v>3491</v>
      </c>
      <c r="I3552" s="7">
        <v>1355000</v>
      </c>
      <c r="J3552" s="8">
        <v>3.5000000000000003E-2</v>
      </c>
    </row>
    <row r="3553" spans="1:10" x14ac:dyDescent="0.25">
      <c r="A3553" s="5" t="s">
        <v>3479</v>
      </c>
      <c r="B3553" s="5" t="s">
        <v>5420</v>
      </c>
      <c r="C3553" s="6" t="str">
        <f>_xll.QS.CONTEXT.CREATE("market.3551",A3553,"USD","SOFR")</f>
        <v>QSObject:PricingContext:w1~market.3551:15150</v>
      </c>
      <c r="D3553" s="6" t="str">
        <f>_xll.QS.CONTEXT.ADD.CURVE(C3553,"SOFR",$K$2:$K$7,$L$2:$L$7,,,"Actual360","LogLinear",TRUE)</f>
        <v>QSObject:ContextInput:w1~input.qs_context_add_curve.2359132437744.3552.3.0:36467</v>
      </c>
      <c r="E3553" s="6" t="str">
        <f>_xll.QS.INSTRUMENT.SWAP("swap.3551",H3553,B3553,"USD","SOFR",I3553,J3553,0,"Actual360","Simple","Annual","Annual","Annual")</f>
        <v>QSObject:Swap:w1~swap.3551:15149</v>
      </c>
      <c r="F3553" s="6" t="str">
        <f>_xll.QS.TRADE.CREATE("trade.3551",E3553,A3553,"Receive")</f>
        <v>QSObject:SwapTrade:w1~trade.3551:25700</v>
      </c>
      <c r="G3553" s="3">
        <f>_xll.QS.EVALUATE(C3553,F3553)</f>
        <v>19312.895354181019</v>
      </c>
      <c r="H3553" s="5" t="s">
        <v>3493</v>
      </c>
      <c r="I3553" s="7">
        <v>1355100</v>
      </c>
      <c r="J3553" s="8">
        <v>3.5100000000000013E-2</v>
      </c>
    </row>
    <row r="3554" spans="1:10" x14ac:dyDescent="0.25">
      <c r="A3554" s="5" t="s">
        <v>3481</v>
      </c>
      <c r="B3554" s="5" t="s">
        <v>5421</v>
      </c>
      <c r="C3554" s="6" t="str">
        <f>_xll.QS.CONTEXT.CREATE("market.3552",A3554,"USD","SOFR")</f>
        <v>QSObject:PricingContext:w1~market.3552:15148</v>
      </c>
      <c r="D3554" s="6" t="str">
        <f>_xll.QS.CONTEXT.ADD.CURVE(C3554,"SOFR",$K$2:$K$7,$L$2:$L$7,,,"Actual360","LogLinear",TRUE)</f>
        <v>QSObject:ContextInput:w1~input.qs_context_add_curve.2359132437744.3553.3.0:36466</v>
      </c>
      <c r="E3554" s="6" t="str">
        <f>_xll.QS.INSTRUMENT.SWAP("swap.3552",H3554,B3554,"USD","SOFR",I3554,J3554,0,"Actual360","Simple","Annual","Annual","Annual")</f>
        <v>QSObject:Swap:w1~swap.3552:15147</v>
      </c>
      <c r="F3554" s="6" t="str">
        <f>_xll.QS.TRADE.CREATE("trade.3552",E3554,A3554,"Receive")</f>
        <v>QSObject:SwapTrade:w1~trade.3552:24198</v>
      </c>
      <c r="G3554" s="3">
        <f>_xll.QS.EVALUATE(C3554,F3554)</f>
        <v>19947.418182539623</v>
      </c>
      <c r="H3554" s="5" t="s">
        <v>3495</v>
      </c>
      <c r="I3554" s="7">
        <v>1355200</v>
      </c>
      <c r="J3554" s="8">
        <v>3.5200000000000002E-2</v>
      </c>
    </row>
    <row r="3555" spans="1:10" x14ac:dyDescent="0.25">
      <c r="A3555" s="5" t="s">
        <v>3483</v>
      </c>
      <c r="B3555" s="5" t="s">
        <v>5422</v>
      </c>
      <c r="C3555" s="6" t="str">
        <f>_xll.QS.CONTEXT.CREATE("market.3553",A3555,"USD","SOFR")</f>
        <v>QSObject:PricingContext:w1~market.3553:15146</v>
      </c>
      <c r="D3555" s="6" t="str">
        <f>_xll.QS.CONTEXT.ADD.CURVE(C3555,"SOFR",$K$2:$K$7,$L$2:$L$7,,,"Actual360","LogLinear",TRUE)</f>
        <v>QSObject:ContextInput:w1~input.qs_context_add_curve.2359132437744.3554.3.0:36993</v>
      </c>
      <c r="E3555" s="6" t="str">
        <f>_xll.QS.INSTRUMENT.SWAP("swap.3553",H3555,B3555,"USD","SOFR",I3555,J3555,0,"Actual360","Simple","Annual","Annual","Annual")</f>
        <v>QSObject:Swap:w1~swap.3553:15145</v>
      </c>
      <c r="F3555" s="6" t="str">
        <f>_xll.QS.TRADE.CREATE("trade.3553",E3555,A3555,"Receive")</f>
        <v>QSObject:SwapTrade:w1~trade.3553:25013</v>
      </c>
      <c r="G3555" s="3">
        <f>_xll.QS.EVALUATE(C3555,F3555)</f>
        <v>20574.452304031729</v>
      </c>
      <c r="H3555" s="5" t="s">
        <v>3497</v>
      </c>
      <c r="I3555" s="7">
        <v>1355300</v>
      </c>
      <c r="J3555" s="8">
        <v>3.5299999999999998E-2</v>
      </c>
    </row>
    <row r="3556" spans="1:10" x14ac:dyDescent="0.25">
      <c r="A3556" s="5" t="s">
        <v>3485</v>
      </c>
      <c r="B3556" s="5" t="s">
        <v>5423</v>
      </c>
      <c r="C3556" s="6" t="str">
        <f>_xll.QS.CONTEXT.CREATE("market.3554",A3556,"USD","SOFR")</f>
        <v>QSObject:PricingContext:w1~market.3554:15144</v>
      </c>
      <c r="D3556" s="6" t="str">
        <f>_xll.QS.CONTEXT.ADD.CURVE(C3556,"SOFR",$K$2:$K$7,$L$2:$L$7,,,"Actual360","LogLinear",TRUE)</f>
        <v>QSObject:ContextInput:w1~input.qs_context_add_curve.2359132437744.3555.3.0:34723</v>
      </c>
      <c r="E3556" s="6" t="str">
        <f>_xll.QS.INSTRUMENT.SWAP("swap.3554",H3556,B3556,"USD","SOFR",I3556,J3556,0,"Actual360","Simple","Annual","Annual","Annual")</f>
        <v>QSObject:Swap:w1~swap.3554:15143</v>
      </c>
      <c r="F3556" s="6" t="str">
        <f>_xll.QS.TRADE.CREATE("trade.3554",E3556,A3556,"Receive")</f>
        <v>QSObject:SwapTrade:w1~trade.3554:25699</v>
      </c>
      <c r="G3556" s="3">
        <f>_xll.QS.EVALUATE(C3556,F3556)</f>
        <v>21037.066727430181</v>
      </c>
      <c r="H3556" s="5" t="s">
        <v>3499</v>
      </c>
      <c r="I3556" s="7">
        <v>1355400</v>
      </c>
      <c r="J3556" s="8">
        <v>3.5400000000000001E-2</v>
      </c>
    </row>
    <row r="3557" spans="1:10" x14ac:dyDescent="0.25">
      <c r="A3557" s="5" t="s">
        <v>3487</v>
      </c>
      <c r="B3557" s="5" t="s">
        <v>5424</v>
      </c>
      <c r="C3557" s="6" t="str">
        <f>_xll.QS.CONTEXT.CREATE("market.3555",A3557,"USD","SOFR")</f>
        <v>QSObject:PricingContext:w1~market.3555:15142</v>
      </c>
      <c r="D3557" s="6" t="str">
        <f>_xll.QS.CONTEXT.ADD.CURVE(C3557,"SOFR",$K$2:$K$7,$L$2:$L$7,,,"Actual360","LogLinear",TRUE)</f>
        <v>QSObject:ContextInput:w1~input.qs_context_add_curve.2359132437744.3556.3.0:36992</v>
      </c>
      <c r="E3557" s="6" t="str">
        <f>_xll.QS.INSTRUMENT.SWAP("swap.3555",H3557,B3557,"USD","SOFR",I3557,J3557,0,"Actual360","Simple","Annual","Annual","Annual")</f>
        <v>QSObject:Swap:w1~swap.3555:15141</v>
      </c>
      <c r="F3557" s="6" t="str">
        <f>_xll.QS.TRADE.CREATE("trade.3555",E3557,A3557,"Receive")</f>
        <v>QSObject:SwapTrade:w1~trade.3555:27626</v>
      </c>
      <c r="G3557" s="3">
        <f>_xll.QS.EVALUATE(C3557,F3557)</f>
        <v>21665.514001247793</v>
      </c>
      <c r="H3557" s="5" t="s">
        <v>3501</v>
      </c>
      <c r="I3557" s="7">
        <v>1355500</v>
      </c>
      <c r="J3557" s="8">
        <v>3.5499999999999997E-2</v>
      </c>
    </row>
    <row r="3558" spans="1:10" x14ac:dyDescent="0.25">
      <c r="A3558" s="5" t="s">
        <v>3489</v>
      </c>
      <c r="B3558" s="5" t="s">
        <v>5425</v>
      </c>
      <c r="C3558" s="6" t="str">
        <f>_xll.QS.CONTEXT.CREATE("market.3556",A3558,"USD","SOFR")</f>
        <v>QSObject:PricingContext:w1~market.3556:15140</v>
      </c>
      <c r="D3558" s="6" t="str">
        <f>_xll.QS.CONTEXT.ADD.CURVE(C3558,"SOFR",$K$2:$K$7,$L$2:$L$7,,,"Actual360","LogLinear",TRUE)</f>
        <v>QSObject:ContextInput:w1~input.qs_context_add_curve.2359132437744.3557.3.0:36991</v>
      </c>
      <c r="E3558" s="6" t="str">
        <f>_xll.QS.INSTRUMENT.SWAP("swap.3556",H3558,B3558,"USD","SOFR",I3558,J3558,0,"Actual360","Simple","Annual","Annual","Annual")</f>
        <v>QSObject:Swap:w1~swap.3556:15139</v>
      </c>
      <c r="F3558" s="6" t="str">
        <f>_xll.QS.TRADE.CREATE("trade.3556",E3558,A3558,"Receive")</f>
        <v>QSObject:SwapTrade:w1~trade.3556:25012</v>
      </c>
      <c r="G3558" s="3">
        <f>_xll.QS.EVALUATE(C3558,F3558)</f>
        <v>22347.56260987938</v>
      </c>
      <c r="H3558" s="5" t="s">
        <v>3503</v>
      </c>
      <c r="I3558" s="7">
        <v>1355600</v>
      </c>
      <c r="J3558" s="8">
        <v>3.5600000000000007E-2</v>
      </c>
    </row>
    <row r="3559" spans="1:10" x14ac:dyDescent="0.25">
      <c r="A3559" s="5" t="s">
        <v>3491</v>
      </c>
      <c r="B3559" s="5" t="s">
        <v>5426</v>
      </c>
      <c r="C3559" s="6" t="str">
        <f>_xll.QS.CONTEXT.CREATE("market.3557",A3559,"USD","SOFR")</f>
        <v>QSObject:PricingContext:w1~market.3557:15138</v>
      </c>
      <c r="D3559" s="6" t="str">
        <f>_xll.QS.CONTEXT.ADD.CURVE(C3559,"SOFR",$K$2:$K$7,$L$2:$L$7,,,"Actual360","LogLinear",TRUE)</f>
        <v>QSObject:ContextInput:w1~input.qs_context_add_curve.2359132437744.3558.3.0:36990</v>
      </c>
      <c r="E3559" s="6" t="str">
        <f>_xll.QS.INSTRUMENT.SWAP("swap.3557",H3559,B3559,"USD","SOFR",I3559,J3559,0,"Actual360","Simple","Annual","Annual","Annual")</f>
        <v>QSObject:Swap:w1~swap.3557:15137</v>
      </c>
      <c r="F3559" s="6" t="str">
        <f>_xll.QS.TRADE.CREATE("trade.3557",E3559,A3559,"Receive")</f>
        <v>QSObject:SwapTrade:w1~trade.3557:28275</v>
      </c>
      <c r="G3559" s="3">
        <f>_xll.QS.EVALUATE(C3559,F3559)</f>
        <v>23074.118315857944</v>
      </c>
      <c r="H3559" s="5" t="s">
        <v>3505</v>
      </c>
      <c r="I3559" s="7">
        <v>1355700</v>
      </c>
      <c r="J3559" s="8">
        <v>3.5700000000000003E-2</v>
      </c>
    </row>
    <row r="3560" spans="1:10" x14ac:dyDescent="0.25">
      <c r="A3560" s="5" t="s">
        <v>3493</v>
      </c>
      <c r="B3560" s="5" t="s">
        <v>5427</v>
      </c>
      <c r="C3560" s="6" t="str">
        <f>_xll.QS.CONTEXT.CREATE("market.3558",A3560,"USD","SOFR")</f>
        <v>QSObject:PricingContext:w1~market.3558:15136</v>
      </c>
      <c r="D3560" s="6" t="str">
        <f>_xll.QS.CONTEXT.ADD.CURVE(C3560,"SOFR",$K$2:$K$7,$L$2:$L$7,,,"Actual360","LogLinear",TRUE)</f>
        <v>QSObject:ContextInput:w1~input.qs_context_add_curve.2359132437744.3559.3.0:36989</v>
      </c>
      <c r="E3560" s="6" t="str">
        <f>_xll.QS.INSTRUMENT.SWAP("swap.3558",H3560,B3560,"USD","SOFR",I3560,J3560,0,"Actual360","Simple","Annual","Annual","Annual")</f>
        <v>QSObject:Swap:w1~swap.3558:15135</v>
      </c>
      <c r="F3560" s="6" t="str">
        <f>_xll.QS.TRADE.CREATE("trade.3558",E3560,A3560,"Receive")</f>
        <v>QSObject:SwapTrade:w1~trade.3558:25698</v>
      </c>
      <c r="G3560" s="3">
        <f>_xll.QS.EVALUATE(C3560,F3560)</f>
        <v>23701.231744875207</v>
      </c>
      <c r="H3560" s="5" t="s">
        <v>3507</v>
      </c>
      <c r="I3560" s="7">
        <v>1355800</v>
      </c>
      <c r="J3560" s="8">
        <v>3.5800000000000012E-2</v>
      </c>
    </row>
    <row r="3561" spans="1:10" x14ac:dyDescent="0.25">
      <c r="A3561" s="5" t="s">
        <v>3495</v>
      </c>
      <c r="B3561" s="5" t="s">
        <v>5428</v>
      </c>
      <c r="C3561" s="6" t="str">
        <f>_xll.QS.CONTEXT.CREATE("market.3559",A3561,"USD","SOFR")</f>
        <v>QSObject:PricingContext:w1~market.3559:15134</v>
      </c>
      <c r="D3561" s="6" t="str">
        <f>_xll.QS.CONTEXT.ADD.CURVE(C3561,"SOFR",$K$2:$K$7,$L$2:$L$7,,,"Actual360","LogLinear",TRUE)</f>
        <v>QSObject:ContextInput:w1~input.qs_context_add_curve.2359132437744.3560.3.0:36988</v>
      </c>
      <c r="E3561" s="6" t="str">
        <f>_xll.QS.INSTRUMENT.SWAP("swap.3559",H3561,B3561,"USD","SOFR",I3561,J3561,0,"Actual360","Simple","Annual","Annual","Annual")</f>
        <v>QSObject:Swap:w1~swap.3559:15133</v>
      </c>
      <c r="F3561" s="6" t="str">
        <f>_xll.QS.TRADE.CREATE("trade.3559",E3561,A3561,"Receive")</f>
        <v>QSObject:SwapTrade:w1~trade.3559:27625</v>
      </c>
      <c r="G3561" s="3">
        <f>_xll.QS.EVALUATE(C3561,F3561)</f>
        <v>24335.446007733444</v>
      </c>
      <c r="H3561" s="5" t="s">
        <v>3509</v>
      </c>
      <c r="I3561" s="7">
        <v>1355900</v>
      </c>
      <c r="J3561" s="8">
        <v>3.5900000000000001E-2</v>
      </c>
    </row>
    <row r="3562" spans="1:10" x14ac:dyDescent="0.25">
      <c r="A3562" s="5" t="s">
        <v>3497</v>
      </c>
      <c r="B3562" s="5" t="s">
        <v>5429</v>
      </c>
      <c r="C3562" s="6" t="str">
        <f>_xll.QS.CONTEXT.CREATE("market.3560",A3562,"USD","SOFR")</f>
        <v>QSObject:PricingContext:w1~market.3560:15132</v>
      </c>
      <c r="D3562" s="6" t="str">
        <f>_xll.QS.CONTEXT.ADD.CURVE(C3562,"SOFR",$K$2:$K$7,$L$2:$L$7,,,"Actual360","LogLinear",TRUE)</f>
        <v>QSObject:ContextInput:w1~input.qs_context_add_curve.2359132437744.3561.3.0:36987</v>
      </c>
      <c r="E3562" s="6" t="str">
        <f>_xll.QS.INSTRUMENT.SWAP("swap.3560",H3562,B3562,"USD","SOFR",I3562,J3562,0,"Actual360","Simple","Annual","Annual","Annual")</f>
        <v>QSObject:Swap:w1~swap.3560:15131</v>
      </c>
      <c r="F3562" s="6" t="str">
        <f>_xll.QS.TRADE.CREATE("trade.3560",E3562,A3562,"Receive")</f>
        <v>QSObject:SwapTrade:w1~trade.3560:28274</v>
      </c>
      <c r="G3562" s="3">
        <f>_xll.QS.EVALUATE(C3562,F3562)</f>
        <v>24964.357697632404</v>
      </c>
      <c r="H3562" s="5" t="s">
        <v>3511</v>
      </c>
      <c r="I3562" s="7">
        <v>1356000</v>
      </c>
      <c r="J3562" s="8">
        <v>3.5999999999999997E-2</v>
      </c>
    </row>
    <row r="3563" spans="1:10" x14ac:dyDescent="0.25">
      <c r="A3563" s="5" t="s">
        <v>3499</v>
      </c>
      <c r="B3563" s="5" t="s">
        <v>5430</v>
      </c>
      <c r="C3563" s="6" t="str">
        <f>_xll.QS.CONTEXT.CREATE("market.3561",A3563,"USD","SOFR")</f>
        <v>QSObject:PricingContext:w1~market.3561:15130</v>
      </c>
      <c r="D3563" s="6" t="str">
        <f>_xll.QS.CONTEXT.ADD.CURVE(C3563,"SOFR",$K$2:$K$7,$L$2:$L$7,,,"Actual360","LogLinear",TRUE)</f>
        <v>QSObject:ContextInput:w1~input.qs_context_add_curve.2359132437744.3562.3.0:36986</v>
      </c>
      <c r="E3563" s="6" t="str">
        <f>_xll.QS.INSTRUMENT.SWAP("swap.3561",H3563,B3563,"USD","SOFR",I3563,J3563,0,"Actual360","Simple","Annual","Annual","Annual")</f>
        <v>QSObject:Swap:w1~swap.3561:15129</v>
      </c>
      <c r="F3563" s="6" t="str">
        <f>_xll.QS.TRADE.CREATE("trade.3561",E3563,A3563,"Receive")</f>
        <v>QSObject:SwapTrade:w1~trade.3561:24197</v>
      </c>
      <c r="G3563" s="3">
        <f>_xll.QS.EVALUATE(C3563,F3563)</f>
        <v>25371.159931914357</v>
      </c>
      <c r="H3563" s="5" t="s">
        <v>3513</v>
      </c>
      <c r="I3563" s="7">
        <v>1356100</v>
      </c>
      <c r="J3563" s="8">
        <v>3.61E-2</v>
      </c>
    </row>
    <row r="3564" spans="1:10" x14ac:dyDescent="0.25">
      <c r="A3564" s="5" t="s">
        <v>3501</v>
      </c>
      <c r="B3564" s="5" t="s">
        <v>5431</v>
      </c>
      <c r="C3564" s="6" t="str">
        <f>_xll.QS.CONTEXT.CREATE("market.3562",A3564,"USD","SOFR")</f>
        <v>QSObject:PricingContext:w1~market.3562:15128</v>
      </c>
      <c r="D3564" s="6" t="str">
        <f>_xll.QS.CONTEXT.ADD.CURVE(C3564,"SOFR",$K$2:$K$7,$L$2:$L$7,,,"Actual360","LogLinear",TRUE)</f>
        <v>QSObject:ContextInput:w1~input.qs_context_add_curve.2359132437744.3563.3.0:36985</v>
      </c>
      <c r="E3564" s="6" t="str">
        <f>_xll.QS.INSTRUMENT.SWAP("swap.3562",H3564,B3564,"USD","SOFR",I3564,J3564,0,"Actual360","Simple","Annual","Annual","Annual")</f>
        <v>QSObject:Swap:w1~swap.3562:15127</v>
      </c>
      <c r="F3564" s="6" t="str">
        <f>_xll.QS.TRADE.CREATE("trade.3562",E3564,A3564,"Receive")</f>
        <v>QSObject:SwapTrade:w1~trade.3562:27624</v>
      </c>
      <c r="G3564" s="3">
        <f>_xll.QS.EVALUATE(C3564,F3564)</f>
        <v>26000.504909326541</v>
      </c>
      <c r="H3564" s="5" t="s">
        <v>3515</v>
      </c>
      <c r="I3564" s="7">
        <v>1356200</v>
      </c>
      <c r="J3564" s="8">
        <v>3.6200000000000003E-2</v>
      </c>
    </row>
    <row r="3565" spans="1:10" x14ac:dyDescent="0.25">
      <c r="A3565" s="5" t="s">
        <v>3503</v>
      </c>
      <c r="B3565" s="5" t="s">
        <v>5432</v>
      </c>
      <c r="C3565" s="6" t="str">
        <f>_xll.QS.CONTEXT.CREATE("market.3563",A3565,"USD","SOFR")</f>
        <v>QSObject:PricingContext:w1~market.3563:15126</v>
      </c>
      <c r="D3565" s="6" t="str">
        <f>_xll.QS.CONTEXT.ADD.CURVE(C3565,"SOFR",$K$2:$K$7,$L$2:$L$7,,,"Actual360","LogLinear",TRUE)</f>
        <v>QSObject:ContextInput:w1~input.qs_context_add_curve.2359132437744.3564.3.0:36984</v>
      </c>
      <c r="E3565" s="6" t="str">
        <f>_xll.QS.INSTRUMENT.SWAP("swap.3563",H3565,B3565,"USD","SOFR",I3565,J3565,0,"Actual360","Simple","Annual","Annual","Annual")</f>
        <v>QSObject:Swap:w1~swap.3563:15125</v>
      </c>
      <c r="F3565" s="6" t="str">
        <f>_xll.QS.TRADE.CREATE("trade.3563",E3565,A3565,"Receive")</f>
        <v>QSObject:SwapTrade:w1~trade.3563:28273</v>
      </c>
      <c r="G3565" s="3">
        <f>_xll.QS.EVALUATE(C3565,F3565)</f>
        <v>26684.657225125346</v>
      </c>
      <c r="H3565" s="5" t="s">
        <v>3517</v>
      </c>
      <c r="I3565" s="7">
        <v>1356300</v>
      </c>
      <c r="J3565" s="8">
        <v>3.6300000000000013E-2</v>
      </c>
    </row>
    <row r="3566" spans="1:10" x14ac:dyDescent="0.25">
      <c r="A3566" s="5" t="s">
        <v>3505</v>
      </c>
      <c r="B3566" s="5" t="s">
        <v>5433</v>
      </c>
      <c r="C3566" s="6" t="str">
        <f>_xll.QS.CONTEXT.CREATE("market.3564",A3566,"USD","SOFR")</f>
        <v>QSObject:PricingContext:w1~market.3564:15124</v>
      </c>
      <c r="D3566" s="6" t="str">
        <f>_xll.QS.CONTEXT.ADD.CURVE(C3566,"SOFR",$K$2:$K$7,$L$2:$L$7,,,"Actual360","LogLinear",TRUE)</f>
        <v>QSObject:ContextInput:w1~input.qs_context_add_curve.2359132437744.3565.3.0:36983</v>
      </c>
      <c r="E3566" s="6" t="str">
        <f>_xll.QS.INSTRUMENT.SWAP("swap.3564",H3566,B3566,"USD","SOFR",I3566,J3566,0,"Actual360","Simple","Annual","Annual","Annual")</f>
        <v>QSObject:Swap:w1~swap.3564:15123</v>
      </c>
      <c r="F3566" s="6" t="str">
        <f>_xll.QS.TRADE.CREATE("trade.3564",E3566,A3566,"Receive")</f>
        <v>QSObject:SwapTrade:w1~trade.3564:28272</v>
      </c>
      <c r="G3566" s="3">
        <f>_xll.QS.EVALUATE(C3566,F3566)</f>
        <v>27516.846711869737</v>
      </c>
      <c r="H3566" s="5" t="s">
        <v>3519</v>
      </c>
      <c r="I3566" s="7">
        <v>1356400</v>
      </c>
      <c r="J3566" s="8">
        <v>3.6400000000000002E-2</v>
      </c>
    </row>
    <row r="3567" spans="1:10" x14ac:dyDescent="0.25">
      <c r="A3567" s="5" t="s">
        <v>3507</v>
      </c>
      <c r="B3567" s="5" t="s">
        <v>5434</v>
      </c>
      <c r="C3567" s="6" t="str">
        <f>_xll.QS.CONTEXT.CREATE("market.3565",A3567,"USD","SOFR")</f>
        <v>QSObject:PricingContext:w1~market.3565:15122</v>
      </c>
      <c r="D3567" s="6" t="str">
        <f>_xll.QS.CONTEXT.ADD.CURVE(C3567,"SOFR",$K$2:$K$7,$L$2:$L$7,,,"Actual360","LogLinear",TRUE)</f>
        <v>QSObject:ContextInput:w1~input.qs_context_add_curve.2359132437744.3566.3.0:36982</v>
      </c>
      <c r="E3567" s="6" t="str">
        <f>_xll.QS.INSTRUMENT.SWAP("swap.3565",H3567,B3567,"USD","SOFR",I3567,J3567,0,"Actual360","Simple","Annual","Annual","Annual")</f>
        <v>QSObject:Swap:w1~swap.3565:15121</v>
      </c>
      <c r="F3567" s="6" t="str">
        <f>_xll.QS.TRADE.CREATE("trade.3565",E3567,A3567,"Receive")</f>
        <v>QSObject:SwapTrade:w1~trade.3565:28271</v>
      </c>
      <c r="G3567" s="3">
        <f>_xll.QS.EVALUATE(C3567,F3567)</f>
        <v>28144.56257040138</v>
      </c>
      <c r="H3567" s="5" t="s">
        <v>3521</v>
      </c>
      <c r="I3567" s="7">
        <v>1356500</v>
      </c>
      <c r="J3567" s="8">
        <v>3.6499999999999998E-2</v>
      </c>
    </row>
    <row r="3568" spans="1:10" x14ac:dyDescent="0.25">
      <c r="A3568" s="5" t="s">
        <v>3509</v>
      </c>
      <c r="B3568" s="5" t="s">
        <v>5435</v>
      </c>
      <c r="C3568" s="6" t="str">
        <f>_xll.QS.CONTEXT.CREATE("market.3566",A3568,"USD","SOFR")</f>
        <v>QSObject:PricingContext:w1~market.3566:15120</v>
      </c>
      <c r="D3568" s="6" t="str">
        <f>_xll.QS.CONTEXT.ADD.CURVE(C3568,"SOFR",$K$2:$K$7,$L$2:$L$7,,,"Actual360","LogLinear",TRUE)</f>
        <v>QSObject:ContextInput:w1~input.qs_context_add_curve.2359132437744.3567.3.0:36981</v>
      </c>
      <c r="E3568" s="6" t="str">
        <f>_xll.QS.INSTRUMENT.SWAP("swap.3566",H3568,B3568,"USD","SOFR",I3568,J3568,0,"Actual360","Simple","Annual","Annual","Annual")</f>
        <v>QSObject:Swap:w1~swap.3566:15119</v>
      </c>
      <c r="F3568" s="6" t="str">
        <f>_xll.QS.TRADE.CREATE("trade.3566",E3568,A3568,"Receive")</f>
        <v>QSObject:SwapTrade:w1~trade.3566:28270</v>
      </c>
      <c r="G3568" s="3">
        <f>_xll.QS.EVALUATE(C3568,F3568)</f>
        <v>28784.556413155427</v>
      </c>
      <c r="H3568" s="5" t="s">
        <v>3523</v>
      </c>
      <c r="I3568" s="7">
        <v>1356600</v>
      </c>
      <c r="J3568" s="8">
        <v>3.6600000000000001E-2</v>
      </c>
    </row>
    <row r="3569" spans="1:10" x14ac:dyDescent="0.25">
      <c r="A3569" s="5" t="s">
        <v>3511</v>
      </c>
      <c r="B3569" s="5" t="s">
        <v>5436</v>
      </c>
      <c r="C3569" s="6" t="str">
        <f>_xll.QS.CONTEXT.CREATE("market.3567",A3569,"USD","SOFR")</f>
        <v>QSObject:PricingContext:w1~market.3567:15118</v>
      </c>
      <c r="D3569" s="6" t="str">
        <f>_xll.QS.CONTEXT.ADD.CURVE(C3569,"SOFR",$K$2:$K$7,$L$2:$L$7,,,"Actual360","LogLinear",TRUE)</f>
        <v>QSObject:ContextInput:w1~input.qs_context_add_curve.2359132437744.3568.3.0:36980</v>
      </c>
      <c r="E3569" s="6" t="str">
        <f>_xll.QS.INSTRUMENT.SWAP("swap.3567",H3569,B3569,"USD","SOFR",I3569,J3569,0,"Actual360","Simple","Annual","Annual","Annual")</f>
        <v>QSObject:Swap:w1~swap.3567:15117</v>
      </c>
      <c r="F3569" s="6" t="str">
        <f>_xll.QS.TRADE.CREATE("trade.3567",E3569,A3569,"Receive")</f>
        <v>QSObject:SwapTrade:w1~trade.3567:28269</v>
      </c>
      <c r="G3569" s="3">
        <f>_xll.QS.EVALUATE(C3569,F3569)</f>
        <v>29413.256621814631</v>
      </c>
      <c r="H3569" s="5" t="s">
        <v>3525</v>
      </c>
      <c r="I3569" s="7">
        <v>1356700</v>
      </c>
      <c r="J3569" s="8">
        <v>3.6700000000000003E-2</v>
      </c>
    </row>
    <row r="3570" spans="1:10" x14ac:dyDescent="0.25">
      <c r="A3570" s="5" t="s">
        <v>3513</v>
      </c>
      <c r="B3570" s="5" t="s">
        <v>5437</v>
      </c>
      <c r="C3570" s="6" t="str">
        <f>_xll.QS.CONTEXT.CREATE("market.3568",A3570,"USD","SOFR")</f>
        <v>QSObject:PricingContext:w1~market.3568:15116</v>
      </c>
      <c r="D3570" s="6" t="str">
        <f>_xll.QS.CONTEXT.ADD.CURVE(C3570,"SOFR",$K$2:$K$7,$L$2:$L$7,,,"Actual360","LogLinear",TRUE)</f>
        <v>QSObject:ContextInput:w1~input.qs_context_add_curve.2359132437744.3569.3.0:36979</v>
      </c>
      <c r="E3570" s="6" t="str">
        <f>_xll.QS.INSTRUMENT.SWAP("swap.3568",H3570,B3570,"USD","SOFR",I3570,J3570,0,"Actual360","Simple","Annual","Annual","Annual")</f>
        <v>QSObject:Swap:w1~swap.3568:15115</v>
      </c>
      <c r="F3570" s="6" t="str">
        <f>_xll.QS.TRADE.CREATE("trade.3568",E3570,A3570,"Receive")</f>
        <v>QSObject:SwapTrade:w1~trade.3568:28268</v>
      </c>
      <c r="G3570" s="3">
        <f>_xll.QS.EVALUATE(C3570,F3570)</f>
        <v>29875.236732298159</v>
      </c>
      <c r="H3570" s="5" t="s">
        <v>3527</v>
      </c>
      <c r="I3570" s="7">
        <v>1356800</v>
      </c>
      <c r="J3570" s="8">
        <v>3.6800000000000013E-2</v>
      </c>
    </row>
    <row r="3571" spans="1:10" x14ac:dyDescent="0.25">
      <c r="A3571" s="5" t="s">
        <v>3515</v>
      </c>
      <c r="B3571" s="5" t="s">
        <v>5438</v>
      </c>
      <c r="C3571" s="6" t="str">
        <f>_xll.QS.CONTEXT.CREATE("market.3569",A3571,"USD","SOFR")</f>
        <v>QSObject:PricingContext:w1~market.3569:15114</v>
      </c>
      <c r="D3571" s="6" t="str">
        <f>_xll.QS.CONTEXT.ADD.CURVE(C3571,"SOFR",$K$2:$K$7,$L$2:$L$7,,,"Actual360","LogLinear",TRUE)</f>
        <v>QSObject:ContextInput:w1~input.qs_context_add_curve.2359132437744.3570.3.0:36978</v>
      </c>
      <c r="E3571" s="6" t="str">
        <f>_xll.QS.INSTRUMENT.SWAP("swap.3569",H3571,B3571,"USD","SOFR",I3571,J3571,0,"Actual360","Simple","Annual","Annual","Annual")</f>
        <v>QSObject:Swap:w1~swap.3569:15113</v>
      </c>
      <c r="F3571" s="6" t="str">
        <f>_xll.QS.TRADE.CREATE("trade.3569",E3571,A3571,"Receive")</f>
        <v>QSObject:SwapTrade:w1~trade.3569:28267</v>
      </c>
      <c r="G3571" s="3">
        <f>_xll.QS.EVALUATE(C3571,F3571)</f>
        <v>30505.861165283713</v>
      </c>
      <c r="H3571" s="5" t="s">
        <v>3529</v>
      </c>
      <c r="I3571" s="7">
        <v>1356900</v>
      </c>
      <c r="J3571" s="8">
        <v>3.6900000000000002E-2</v>
      </c>
    </row>
    <row r="3572" spans="1:10" x14ac:dyDescent="0.25">
      <c r="A3572" s="5" t="s">
        <v>3517</v>
      </c>
      <c r="B3572" s="5" t="s">
        <v>5439</v>
      </c>
      <c r="C3572" s="6" t="str">
        <f>_xll.QS.CONTEXT.CREATE("market.3570",A3572,"USD","SOFR")</f>
        <v>QSObject:PricingContext:w1~market.3570:15112</v>
      </c>
      <c r="D3572" s="6" t="str">
        <f>_xll.QS.CONTEXT.ADD.CURVE(C3572,"SOFR",$K$2:$K$7,$L$2:$L$7,,,"Actual360","LogLinear",TRUE)</f>
        <v>QSObject:ContextInput:w1~input.qs_context_add_curve.2359132437744.3571.3.0:36977</v>
      </c>
      <c r="E3572" s="6" t="str">
        <f>_xll.QS.INSTRUMENT.SWAP("swap.3570",H3572,B3572,"USD","SOFR",I3572,J3572,0,"Actual360","Simple","Annual","Annual","Annual")</f>
        <v>QSObject:Swap:w1~swap.3570:15111</v>
      </c>
      <c r="F3572" s="6" t="str">
        <f>_xll.QS.TRADE.CREATE("trade.3570",E3572,A3572,"Receive")</f>
        <v>QSObject:SwapTrade:w1~trade.3570:28266</v>
      </c>
      <c r="G3572" s="3">
        <f>_xll.QS.EVALUATE(C3572,F3572)</f>
        <v>31136.409213751052</v>
      </c>
      <c r="H3572" s="5" t="s">
        <v>3531</v>
      </c>
      <c r="I3572" s="7">
        <v>1357000</v>
      </c>
      <c r="J3572" s="8">
        <v>3.7000000000000012E-2</v>
      </c>
    </row>
    <row r="3573" spans="1:10" x14ac:dyDescent="0.25">
      <c r="A3573" s="5" t="s">
        <v>3519</v>
      </c>
      <c r="B3573" s="5" t="s">
        <v>5440</v>
      </c>
      <c r="C3573" s="6" t="str">
        <f>_xll.QS.CONTEXT.CREATE("market.3571",A3573,"USD","SOFR")</f>
        <v>QSObject:PricingContext:w1~market.3571:15110</v>
      </c>
      <c r="D3573" s="6" t="str">
        <f>_xll.QS.CONTEXT.ADD.CURVE(C3573,"SOFR",$K$2:$K$7,$L$2:$L$7,,,"Actual360","LogLinear",TRUE)</f>
        <v>QSObject:ContextInput:w1~input.qs_context_add_curve.2359132437744.3572.3.0:36976</v>
      </c>
      <c r="E3573" s="6" t="str">
        <f>_xll.QS.INSTRUMENT.SWAP("swap.3571",H3573,B3573,"USD","SOFR",I3573,J3573,0,"Actual360","Simple","Annual","Annual","Annual")</f>
        <v>QSObject:Swap:w1~swap.3571:15109</v>
      </c>
      <c r="F3573" s="6" t="str">
        <f>_xll.QS.TRADE.CREATE("trade.3571",E3573,A3573,"Receive")</f>
        <v>QSObject:SwapTrade:w1~trade.3571:28265</v>
      </c>
      <c r="G3573" s="3">
        <f>_xll.QS.EVALUATE(C3573,F3573)</f>
        <v>31863.907824949332</v>
      </c>
      <c r="H3573" s="5" t="s">
        <v>3533</v>
      </c>
      <c r="I3573" s="7">
        <v>1357100</v>
      </c>
      <c r="J3573" s="8">
        <v>3.7100000000000001E-2</v>
      </c>
    </row>
    <row r="3574" spans="1:10" x14ac:dyDescent="0.25">
      <c r="A3574" s="5" t="s">
        <v>3521</v>
      </c>
      <c r="B3574" s="5" t="s">
        <v>5441</v>
      </c>
      <c r="C3574" s="6" t="str">
        <f>_xll.QS.CONTEXT.CREATE("market.3572",A3574,"USD","SOFR")</f>
        <v>QSObject:PricingContext:w1~market.3572:15108</v>
      </c>
      <c r="D3574" s="6" t="str">
        <f>_xll.QS.CONTEXT.ADD.CURVE(C3574,"SOFR",$K$2:$K$7,$L$2:$L$7,,,"Actual360","LogLinear",TRUE)</f>
        <v>QSObject:ContextInput:w1~input.qs_context_add_curve.2359132437744.3573.3.0:36975</v>
      </c>
      <c r="E3574" s="6" t="str">
        <f>_xll.QS.INSTRUMENT.SWAP("swap.3572",H3574,B3574,"USD","SOFR",I3574,J3574,0,"Actual360","Simple","Annual","Annual","Annual")</f>
        <v>QSObject:Swap:w1~swap.3572:15107</v>
      </c>
      <c r="F3574" s="6" t="str">
        <f>_xll.QS.TRADE.CREATE("trade.3572",E3574,A3574,"Receive")</f>
        <v>QSObject:SwapTrade:w1~trade.3572:28264</v>
      </c>
      <c r="G3574" s="3">
        <f>_xll.QS.EVALUATE(C3574,F3574)</f>
        <v>32492.166740707078</v>
      </c>
      <c r="H3574" s="5" t="s">
        <v>3535</v>
      </c>
      <c r="I3574" s="7">
        <v>1357200</v>
      </c>
      <c r="J3574" s="8">
        <v>3.7199999999999997E-2</v>
      </c>
    </row>
    <row r="3575" spans="1:10" x14ac:dyDescent="0.25">
      <c r="A3575" s="5" t="s">
        <v>3523</v>
      </c>
      <c r="B3575" s="5" t="s">
        <v>5442</v>
      </c>
      <c r="C3575" s="6" t="str">
        <f>_xll.QS.CONTEXT.CREATE("market.3573",A3575,"USD","SOFR")</f>
        <v>QSObject:PricingContext:w1~market.3573:15106</v>
      </c>
      <c r="D3575" s="6" t="str">
        <f>_xll.QS.CONTEXT.ADD.CURVE(C3575,"SOFR",$K$2:$K$7,$L$2:$L$7,,,"Actual360","LogLinear",TRUE)</f>
        <v>QSObject:ContextInput:w1~input.qs_context_add_curve.2359132437744.3574.3.0:36974</v>
      </c>
      <c r="E3575" s="6" t="str">
        <f>_xll.QS.INSTRUMENT.SWAP("swap.3573",H3575,B3575,"USD","SOFR",I3575,J3575,0,"Actual360","Simple","Annual","Annual","Annual")</f>
        <v>QSObject:Swap:w1~swap.3573:15105</v>
      </c>
      <c r="F3575" s="6" t="str">
        <f>_xll.QS.TRADE.CREATE("trade.3573",E3575,A3575,"Receive")</f>
        <v>QSObject:SwapTrade:w1~trade.3573:28263</v>
      </c>
      <c r="G3575" s="3">
        <f>_xll.QS.EVALUATE(C3575,F3575)</f>
        <v>33128.048524612292</v>
      </c>
      <c r="H3575" s="5" t="s">
        <v>3537</v>
      </c>
      <c r="I3575" s="7">
        <v>1357300</v>
      </c>
      <c r="J3575" s="8">
        <v>3.73E-2</v>
      </c>
    </row>
    <row r="3576" spans="1:10" x14ac:dyDescent="0.25">
      <c r="A3576" s="5" t="s">
        <v>3525</v>
      </c>
      <c r="B3576" s="5" t="s">
        <v>5443</v>
      </c>
      <c r="C3576" s="6" t="str">
        <f>_xll.QS.CONTEXT.CREATE("market.3574",A3576,"USD","SOFR")</f>
        <v>QSObject:PricingContext:w1~market.3574:15104</v>
      </c>
      <c r="D3576" s="6" t="str">
        <f>_xll.QS.CONTEXT.ADD.CURVE(C3576,"SOFR",$K$2:$K$7,$L$2:$L$7,,,"Actual360","LogLinear",TRUE)</f>
        <v>QSObject:ContextInput:w1~input.qs_context_add_curve.2359132437744.3575.3.0:36973</v>
      </c>
      <c r="E3576" s="6" t="str">
        <f>_xll.QS.INSTRUMENT.SWAP("swap.3574",H3576,B3576,"USD","SOFR",I3576,J3576,0,"Actual360","Simple","Annual","Annual","Annual")</f>
        <v>QSObject:Swap:w1~swap.3574:15103</v>
      </c>
      <c r="F3576" s="6" t="str">
        <f>_xll.QS.TRADE.CREATE("trade.3574",E3576,A3576,"Receive")</f>
        <v>QSObject:SwapTrade:w1~trade.3574:28262</v>
      </c>
      <c r="G3576" s="3">
        <f>_xll.QS.EVALUATE(C3576,F3576)</f>
        <v>33757.886667181665</v>
      </c>
      <c r="H3576" s="5" t="s">
        <v>3539</v>
      </c>
      <c r="I3576" s="7">
        <v>1357400</v>
      </c>
      <c r="J3576" s="8">
        <v>3.7400000000000003E-2</v>
      </c>
    </row>
    <row r="3577" spans="1:10" x14ac:dyDescent="0.25">
      <c r="A3577" s="5" t="s">
        <v>3527</v>
      </c>
      <c r="B3577" s="5" t="s">
        <v>5444</v>
      </c>
      <c r="C3577" s="6" t="str">
        <f>_xll.QS.CONTEXT.CREATE("market.3575",A3577,"USD","SOFR")</f>
        <v>QSObject:PricingContext:w1~market.3575:15102</v>
      </c>
      <c r="D3577" s="6" t="str">
        <f>_xll.QS.CONTEXT.ADD.CURVE(C3577,"SOFR",$K$2:$K$7,$L$2:$L$7,,,"Actual360","LogLinear",TRUE)</f>
        <v>QSObject:ContextInput:w1~input.qs_context_add_curve.2359132437744.3576.3.0:36972</v>
      </c>
      <c r="E3577" s="6" t="str">
        <f>_xll.QS.INSTRUMENT.SWAP("swap.3575",H3577,B3577,"USD","SOFR",I3577,J3577,0,"Actual360","Simple","Annual","Annual","Annual")</f>
        <v>QSObject:Swap:w1~swap.3575:15101</v>
      </c>
      <c r="F3577" s="6" t="str">
        <f>_xll.QS.TRADE.CREATE("trade.3575",E3577,A3577,"Receive")</f>
        <v>QSObject:SwapTrade:w1~trade.3575:28261</v>
      </c>
      <c r="G3577" s="3">
        <f>_xll.QS.EVALUATE(C3577,F3577)</f>
        <v>34219.538913154742</v>
      </c>
      <c r="H3577" s="5" t="s">
        <v>3541</v>
      </c>
      <c r="I3577" s="7">
        <v>1357500</v>
      </c>
      <c r="J3577" s="8">
        <v>3.7500000000000012E-2</v>
      </c>
    </row>
    <row r="3578" spans="1:10" x14ac:dyDescent="0.25">
      <c r="A3578" s="5" t="s">
        <v>3529</v>
      </c>
      <c r="B3578" s="5" t="s">
        <v>5445</v>
      </c>
      <c r="C3578" s="6" t="str">
        <f>_xll.QS.CONTEXT.CREATE("market.3576",A3578,"USD","SOFR")</f>
        <v>QSObject:PricingContext:w1~market.3576:15100</v>
      </c>
      <c r="D3578" s="6" t="str">
        <f>_xll.QS.CONTEXT.ADD.CURVE(C3578,"SOFR",$K$2:$K$7,$L$2:$L$7,,,"Actual360","LogLinear",TRUE)</f>
        <v>QSObject:ContextInput:w1~input.qs_context_add_curve.2359132437744.3577.3.0:36971</v>
      </c>
      <c r="E3578" s="6" t="str">
        <f>_xll.QS.INSTRUMENT.SWAP("swap.3576",H3578,B3578,"USD","SOFR",I3578,J3578,0,"Actual360","Simple","Annual","Annual","Annual")</f>
        <v>QSObject:Swap:w1~swap.3576:15099</v>
      </c>
      <c r="F3578" s="6" t="str">
        <f>_xll.QS.TRADE.CREATE("trade.3576",E3578,A3578,"Receive")</f>
        <v>QSObject:SwapTrade:w1~trade.3576:28260</v>
      </c>
      <c r="G3578" s="3">
        <f>_xll.QS.EVALUATE(C3578,F3578)</f>
        <v>34851.02901619472</v>
      </c>
      <c r="H3578" s="5" t="s">
        <v>3543</v>
      </c>
      <c r="I3578" s="7">
        <v>1357600</v>
      </c>
      <c r="J3578" s="8">
        <v>3.7600000000000001E-2</v>
      </c>
    </row>
    <row r="3579" spans="1:10" x14ac:dyDescent="0.25">
      <c r="A3579" s="5" t="s">
        <v>3531</v>
      </c>
      <c r="B3579" s="5" t="s">
        <v>5446</v>
      </c>
      <c r="C3579" s="6" t="str">
        <f>_xll.QS.CONTEXT.CREATE("market.3577",A3579,"USD","SOFR")</f>
        <v>QSObject:PricingContext:w1~market.3577:15098</v>
      </c>
      <c r="D3579" s="6" t="str">
        <f>_xll.QS.CONTEXT.ADD.CURVE(C3579,"SOFR",$K$2:$K$7,$L$2:$L$7,,,"Actual360","LogLinear",TRUE)</f>
        <v>QSObject:ContextInput:w1~input.qs_context_add_curve.2359132437744.3578.3.0:36970</v>
      </c>
      <c r="E3579" s="6" t="str">
        <f>_xll.QS.INSTRUMENT.SWAP("swap.3577",H3579,B3579,"USD","SOFR",I3579,J3579,0,"Actual360","Simple","Annual","Annual","Annual")</f>
        <v>QSObject:Swap:w1~swap.3577:15097</v>
      </c>
      <c r="F3579" s="6" t="str">
        <f>_xll.QS.TRADE.CREATE("trade.3577",E3579,A3579,"Receive")</f>
        <v>QSObject:SwapTrade:w1~trade.3577:28259</v>
      </c>
      <c r="G3579" s="3">
        <f>_xll.QS.EVALUATE(C3579,F3579)</f>
        <v>35537.104923688967</v>
      </c>
      <c r="H3579" s="5" t="s">
        <v>3545</v>
      </c>
      <c r="I3579" s="7">
        <v>1357700</v>
      </c>
      <c r="J3579" s="8">
        <v>3.7699999999999997E-2</v>
      </c>
    </row>
    <row r="3580" spans="1:10" x14ac:dyDescent="0.25">
      <c r="A3580" s="5" t="s">
        <v>3533</v>
      </c>
      <c r="B3580" s="5" t="s">
        <v>5447</v>
      </c>
      <c r="C3580" s="6" t="str">
        <f>_xll.QS.CONTEXT.CREATE("market.3578",A3580,"USD","SOFR")</f>
        <v>QSObject:PricingContext:w1~market.3578:15096</v>
      </c>
      <c r="D3580" s="6" t="str">
        <f>_xll.QS.CONTEXT.ADD.CURVE(C3580,"SOFR",$K$2:$K$7,$L$2:$L$7,,,"Actual360","LogLinear",TRUE)</f>
        <v>QSObject:ContextInput:w1~input.qs_context_add_curve.2359132437744.3579.3.0:36969</v>
      </c>
      <c r="E3580" s="6" t="str">
        <f>_xll.QS.INSTRUMENT.SWAP("swap.3578",H3580,B3580,"USD","SOFR",I3580,J3580,0,"Actual360","Simple","Annual","Annual","Annual")</f>
        <v>QSObject:Swap:w1~swap.3578:15095</v>
      </c>
      <c r="F3580" s="6" t="str">
        <f>_xll.QS.TRADE.CREATE("trade.3578",E3580,A3580,"Receive")</f>
        <v>QSObject:SwapTrade:w1~trade.3578:28258</v>
      </c>
      <c r="G3580" s="3">
        <f>_xll.QS.EVALUATE(C3580,F3580)</f>
        <v>36265.410688553005</v>
      </c>
      <c r="H3580" s="5" t="s">
        <v>3547</v>
      </c>
      <c r="I3580" s="7">
        <v>1357800</v>
      </c>
      <c r="J3580" s="8">
        <v>3.78E-2</v>
      </c>
    </row>
    <row r="3581" spans="1:10" x14ac:dyDescent="0.25">
      <c r="A3581" s="5" t="s">
        <v>3535</v>
      </c>
      <c r="B3581" s="5" t="s">
        <v>5448</v>
      </c>
      <c r="C3581" s="6" t="str">
        <f>_xll.QS.CONTEXT.CREATE("market.3579",A3581,"USD","SOFR")</f>
        <v>QSObject:PricingContext:w1~market.3579:15094</v>
      </c>
      <c r="D3581" s="6" t="str">
        <f>_xll.QS.CONTEXT.ADD.CURVE(C3581,"SOFR",$K$2:$K$7,$L$2:$L$7,,,"Actual360","LogLinear",TRUE)</f>
        <v>QSObject:ContextInput:w1~input.qs_context_add_curve.2359132437744.3580.3.0:36968</v>
      </c>
      <c r="E3581" s="6" t="str">
        <f>_xll.QS.INSTRUMENT.SWAP("swap.3579",H3581,B3581,"USD","SOFR",I3581,J3581,0,"Actual360","Simple","Annual","Annual","Annual")</f>
        <v>QSObject:Swap:w1~swap.3579:15093</v>
      </c>
      <c r="F3581" s="6" t="str">
        <f>_xll.QS.TRADE.CREATE("trade.3579",E3581,A3581,"Receive")</f>
        <v>QSObject:SwapTrade:w1~trade.3579:28257</v>
      </c>
      <c r="G3581" s="3">
        <f>_xll.QS.EVALUATE(C3581,F3581)</f>
        <v>36894.362633779747</v>
      </c>
      <c r="H3581" s="5" t="s">
        <v>3549</v>
      </c>
      <c r="I3581" s="7">
        <v>1357900</v>
      </c>
      <c r="J3581" s="8">
        <v>3.7900000000000003E-2</v>
      </c>
    </row>
    <row r="3582" spans="1:10" x14ac:dyDescent="0.25">
      <c r="A3582" s="5" t="s">
        <v>3537</v>
      </c>
      <c r="B3582" s="5" t="s">
        <v>5449</v>
      </c>
      <c r="C3582" s="6" t="str">
        <f>_xll.QS.CONTEXT.CREATE("market.3580",A3582,"USD","SOFR")</f>
        <v>QSObject:PricingContext:w1~market.3580:15092</v>
      </c>
      <c r="D3582" s="6" t="str">
        <f>_xll.QS.CONTEXT.ADD.CURVE(C3582,"SOFR",$K$2:$K$7,$L$2:$L$7,,,"Actual360","LogLinear",TRUE)</f>
        <v>QSObject:ContextInput:w1~input.qs_context_add_curve.2359132437744.3581.3.0:36967</v>
      </c>
      <c r="E3582" s="6" t="str">
        <f>_xll.QS.INSTRUMENT.SWAP("swap.3580",H3582,B3582,"USD","SOFR",I3582,J3582,0,"Actual360","Simple","Annual","Annual","Annual")</f>
        <v>QSObject:Swap:w1~swap.3580:15091</v>
      </c>
      <c r="F3582" s="6" t="str">
        <f>_xll.QS.TRADE.CREATE("trade.3580",E3582,A3582,"Receive")</f>
        <v>QSObject:SwapTrade:w1~trade.3580:28256</v>
      </c>
      <c r="G3582" s="3">
        <f>_xll.QS.EVALUATE(C3582,F3582)</f>
        <v>37530.906313010069</v>
      </c>
      <c r="H3582" s="5" t="s">
        <v>3551</v>
      </c>
      <c r="I3582" s="7">
        <v>1358000</v>
      </c>
      <c r="J3582" s="8">
        <v>3.8000000000000013E-2</v>
      </c>
    </row>
    <row r="3583" spans="1:10" x14ac:dyDescent="0.25">
      <c r="A3583" s="5" t="s">
        <v>3539</v>
      </c>
      <c r="B3583" s="5" t="s">
        <v>5450</v>
      </c>
      <c r="C3583" s="6" t="str">
        <f>_xll.QS.CONTEXT.CREATE("market.3581",A3583,"USD","SOFR")</f>
        <v>QSObject:PricingContext:w1~market.3581:15090</v>
      </c>
      <c r="D3583" s="6" t="str">
        <f>_xll.QS.CONTEXT.ADD.CURVE(C3583,"SOFR",$K$2:$K$7,$L$2:$L$7,,,"Actual360","LogLinear",TRUE)</f>
        <v>QSObject:ContextInput:w1~input.qs_context_add_curve.2359132437744.3582.3.0:36966</v>
      </c>
      <c r="E3583" s="6" t="str">
        <f>_xll.QS.INSTRUMENT.SWAP("swap.3581",H3583,B3583,"USD","SOFR",I3583,J3583,0,"Actual360","Simple","Annual","Annual","Annual")</f>
        <v>QSObject:Swap:w1~swap.3581:15089</v>
      </c>
      <c r="F3583" s="6" t="str">
        <f>_xll.QS.TRADE.CREATE("trade.3581",E3583,A3583,"Receive")</f>
        <v>QSObject:SwapTrade:w1~trade.3581:28255</v>
      </c>
      <c r="G3583" s="3">
        <f>_xll.QS.EVALUATE(C3583,F3583)</f>
        <v>38161.407652895832</v>
      </c>
      <c r="H3583" s="5" t="s">
        <v>3553</v>
      </c>
      <c r="I3583" s="7">
        <v>1358100</v>
      </c>
      <c r="J3583" s="8">
        <v>3.8100000000000002E-2</v>
      </c>
    </row>
    <row r="3584" spans="1:10" x14ac:dyDescent="0.25">
      <c r="A3584" s="5" t="s">
        <v>3541</v>
      </c>
      <c r="B3584" s="5" t="s">
        <v>5451</v>
      </c>
      <c r="C3584" s="6" t="str">
        <f>_xll.QS.CONTEXT.CREATE("market.3582",A3584,"USD","SOFR")</f>
        <v>QSObject:PricingContext:w1~market.3582:15088</v>
      </c>
      <c r="D3584" s="6" t="str">
        <f>_xll.QS.CONTEXT.ADD.CURVE(C3584,"SOFR",$K$2:$K$7,$L$2:$L$7,,,"Actual360","LogLinear",TRUE)</f>
        <v>QSObject:ContextInput:w1~input.qs_context_add_curve.2359132437744.3583.3.0:36965</v>
      </c>
      <c r="E3584" s="6" t="str">
        <f>_xll.QS.INSTRUMENT.SWAP("swap.3582",H3584,B3584,"USD","SOFR",I3584,J3584,0,"Actual360","Simple","Annual","Annual","Annual")</f>
        <v>QSObject:Swap:w1~swap.3582:15087</v>
      </c>
      <c r="F3584" s="6" t="str">
        <f>_xll.QS.TRADE.CREATE("trade.3582",E3584,A3584,"Receive")</f>
        <v>QSObject:SwapTrade:w1~trade.3582:28254</v>
      </c>
      <c r="G3584" s="3">
        <f>_xll.QS.EVALUATE(C3584,F3584)</f>
        <v>38793.817806027968</v>
      </c>
      <c r="H3584" s="5" t="s">
        <v>3555</v>
      </c>
      <c r="I3584" s="7">
        <v>1358200</v>
      </c>
      <c r="J3584" s="8">
        <v>3.8199999999999998E-2</v>
      </c>
    </row>
    <row r="3585" spans="1:10" x14ac:dyDescent="0.25">
      <c r="A3585" s="5" t="s">
        <v>3543</v>
      </c>
      <c r="B3585" s="5" t="s">
        <v>5452</v>
      </c>
      <c r="C3585" s="6" t="str">
        <f>_xll.QS.CONTEXT.CREATE("market.3583",A3585,"USD","SOFR")</f>
        <v>QSObject:PricingContext:w1~market.3583:15086</v>
      </c>
      <c r="D3585" s="6" t="str">
        <f>_xll.QS.CONTEXT.ADD.CURVE(C3585,"SOFR",$K$2:$K$7,$L$2:$L$7,,,"Actual360","LogLinear",TRUE)</f>
        <v>QSObject:ContextInput:w1~input.qs_context_add_curve.2359132437744.3584.3.0:36964</v>
      </c>
      <c r="E3585" s="6" t="str">
        <f>_xll.QS.INSTRUMENT.SWAP("swap.3583",H3585,B3585,"USD","SOFR",I3585,J3585,0,"Actual360","Simple","Annual","Annual","Annual")</f>
        <v>QSObject:Swap:w1~swap.3583:15085</v>
      </c>
      <c r="F3585" s="6" t="str">
        <f>_xll.QS.TRADE.CREATE("trade.3583",E3585,A3585,"Receive")</f>
        <v>QSObject:SwapTrade:w1~trade.3583:28253</v>
      </c>
      <c r="G3585" s="3">
        <f>_xll.QS.EVALUATE(C3585,F3585)</f>
        <v>39426.442768406043</v>
      </c>
      <c r="H3585" s="5" t="s">
        <v>3557</v>
      </c>
      <c r="I3585" s="7">
        <v>1358300</v>
      </c>
      <c r="J3585" s="8">
        <v>3.8300000000000001E-2</v>
      </c>
    </row>
    <row r="3586" spans="1:10" x14ac:dyDescent="0.25">
      <c r="A3586" s="5" t="s">
        <v>3545</v>
      </c>
      <c r="B3586" s="5" t="s">
        <v>5453</v>
      </c>
      <c r="C3586" s="6" t="str">
        <f>_xll.QS.CONTEXT.CREATE("market.3584",A3586,"USD","SOFR")</f>
        <v>QSObject:PricingContext:w1~market.3584:15084</v>
      </c>
      <c r="D3586" s="6" t="str">
        <f>_xll.QS.CONTEXT.ADD.CURVE(C3586,"SOFR",$K$2:$K$7,$L$2:$L$7,,,"Actual360","LogLinear",TRUE)</f>
        <v>QSObject:ContextInput:w1~input.qs_context_add_curve.2359132437744.3585.3.0:36963</v>
      </c>
      <c r="E3586" s="6" t="str">
        <f>_xll.QS.INSTRUMENT.SWAP("swap.3584",H3586,B3586,"USD","SOFR",I3586,J3586,0,"Actual360","Simple","Annual","Annual","Annual")</f>
        <v>QSObject:Swap:w1~swap.3584:15083</v>
      </c>
      <c r="F3586" s="6" t="str">
        <f>_xll.QS.TRADE.CREATE("trade.3584",E3586,A3586,"Receive")</f>
        <v>QSObject:SwapTrade:w1~trade.3584:28252</v>
      </c>
      <c r="G3586" s="3">
        <f>_xll.QS.EVALUATE(C3586,F3586)</f>
        <v>39942.422853612654</v>
      </c>
      <c r="H3586" s="5" t="s">
        <v>3559</v>
      </c>
      <c r="I3586" s="7">
        <v>1358400</v>
      </c>
      <c r="J3586" s="8">
        <v>3.8399999999999997E-2</v>
      </c>
    </row>
    <row r="3587" spans="1:10" x14ac:dyDescent="0.25">
      <c r="A3587" s="5" t="s">
        <v>3547</v>
      </c>
      <c r="B3587" s="5" t="s">
        <v>5454</v>
      </c>
      <c r="C3587" s="6" t="str">
        <f>_xll.QS.CONTEXT.CREATE("market.3585",A3587,"USD","SOFR")</f>
        <v>QSObject:PricingContext:w1~market.3585:15082</v>
      </c>
      <c r="D3587" s="6" t="str">
        <f>_xll.QS.CONTEXT.ADD.CURVE(C3587,"SOFR",$K$2:$K$7,$L$2:$L$7,,,"Actual360","LogLinear",TRUE)</f>
        <v>QSObject:ContextInput:w1~input.qs_context_add_curve.2359132437744.3586.3.0:36962</v>
      </c>
      <c r="E3587" s="6" t="str">
        <f>_xll.QS.INSTRUMENT.SWAP("swap.3585",H3587,B3587,"USD","SOFR",I3587,J3587,0,"Actual360","Simple","Annual","Annual","Annual")</f>
        <v>QSObject:Swap:w1~swap.3585:15081</v>
      </c>
      <c r="F3587" s="6" t="str">
        <f>_xll.QS.TRADE.CREATE("trade.3585",E3587,A3587,"Receive")</f>
        <v>QSObject:SwapTrade:w1~trade.3585:28251</v>
      </c>
      <c r="G3587" s="3">
        <f>_xll.QS.EVALUATE(C3587,F3587)</f>
        <v>40671.490822835054</v>
      </c>
      <c r="H3587" s="5" t="s">
        <v>3561</v>
      </c>
      <c r="I3587" s="7">
        <v>1358500</v>
      </c>
      <c r="J3587" s="8">
        <v>3.8500000000000013E-2</v>
      </c>
    </row>
    <row r="3588" spans="1:10" x14ac:dyDescent="0.25">
      <c r="A3588" s="5" t="s">
        <v>3549</v>
      </c>
      <c r="B3588" s="5" t="s">
        <v>5455</v>
      </c>
      <c r="C3588" s="6" t="str">
        <f>_xll.QS.CONTEXT.CREATE("market.3586",A3588,"USD","SOFR")</f>
        <v>QSObject:PricingContext:w1~market.3586:15080</v>
      </c>
      <c r="D3588" s="6" t="str">
        <f>_xll.QS.CONTEXT.ADD.CURVE(C3588,"SOFR",$K$2:$K$7,$L$2:$L$7,,,"Actual360","LogLinear",TRUE)</f>
        <v>QSObject:ContextInput:w1~input.qs_context_add_curve.2359132437744.3587.3.0:36961</v>
      </c>
      <c r="E3588" s="6" t="str">
        <f>_xll.QS.INSTRUMENT.SWAP("swap.3586",H3588,B3588,"USD","SOFR",I3588,J3588,0,"Actual360","Simple","Annual","Annual","Annual")</f>
        <v>QSObject:Swap:w1~swap.3586:15079</v>
      </c>
      <c r="F3588" s="6" t="str">
        <f>_xll.QS.TRADE.CREATE("trade.3586",E3588,A3588,"Receive")</f>
        <v>QSObject:SwapTrade:w1~trade.3586:28250</v>
      </c>
      <c r="G3588" s="3">
        <f>_xll.QS.EVALUATE(C3588,F3588)</f>
        <v>41301.577987576478</v>
      </c>
      <c r="H3588" s="5" t="s">
        <v>3563</v>
      </c>
      <c r="I3588" s="7">
        <v>1358600</v>
      </c>
      <c r="J3588" s="8">
        <v>3.8600000000000002E-2</v>
      </c>
    </row>
    <row r="3589" spans="1:10" x14ac:dyDescent="0.25">
      <c r="A3589" s="5" t="s">
        <v>3551</v>
      </c>
      <c r="B3589" s="5" t="s">
        <v>5456</v>
      </c>
      <c r="C3589" s="6" t="str">
        <f>_xll.QS.CONTEXT.CREATE("market.3587",A3589,"USD","SOFR")</f>
        <v>QSObject:PricingContext:w1~market.3587:15078</v>
      </c>
      <c r="D3589" s="6" t="str">
        <f>_xll.QS.CONTEXT.ADD.CURVE(C3589,"SOFR",$K$2:$K$7,$L$2:$L$7,,,"Actual360","LogLinear",TRUE)</f>
        <v>QSObject:ContextInput:w1~input.qs_context_add_curve.2359132437744.3588.3.0:36960</v>
      </c>
      <c r="E3589" s="6" t="str">
        <f>_xll.QS.INSTRUMENT.SWAP("swap.3587",H3589,B3589,"USD","SOFR",I3589,J3589,0,"Actual360","Simple","Annual","Annual","Annual")</f>
        <v>QSObject:Swap:w1~swap.3587:15077</v>
      </c>
      <c r="F3589" s="6" t="str">
        <f>_xll.QS.TRADE.CREATE("trade.3587",E3589,A3589,"Receive")</f>
        <v>QSObject:SwapTrade:w1~trade.3587:28249</v>
      </c>
      <c r="G3589" s="3">
        <f>_xll.QS.EVALUATE(C3589,F3589)</f>
        <v>41938.285516529329</v>
      </c>
      <c r="H3589" s="5" t="s">
        <v>3565</v>
      </c>
      <c r="I3589" s="7">
        <v>1358700</v>
      </c>
      <c r="J3589" s="8">
        <v>3.8700000000000012E-2</v>
      </c>
    </row>
    <row r="3590" spans="1:10" x14ac:dyDescent="0.25">
      <c r="A3590" s="5" t="s">
        <v>3553</v>
      </c>
      <c r="B3590" s="5" t="s">
        <v>5457</v>
      </c>
      <c r="C3590" s="6" t="str">
        <f>_xll.QS.CONTEXT.CREATE("market.3588",A3590,"USD","SOFR")</f>
        <v>QSObject:PricingContext:w1~market.3588:15076</v>
      </c>
      <c r="D3590" s="6" t="str">
        <f>_xll.QS.CONTEXT.ADD.CURVE(C3590,"SOFR",$K$2:$K$7,$L$2:$L$7,,,"Actual360","LogLinear",TRUE)</f>
        <v>QSObject:ContextInput:w1~input.qs_context_add_curve.2359132437744.3589.3.0:36959</v>
      </c>
      <c r="E3590" s="6" t="str">
        <f>_xll.QS.INSTRUMENT.SWAP("swap.3588",H3590,B3590,"USD","SOFR",I3590,J3590,0,"Actual360","Simple","Annual","Annual","Annual")</f>
        <v>QSObject:Swap:w1~swap.3588:15075</v>
      </c>
      <c r="F3590" s="6" t="str">
        <f>_xll.QS.TRADE.CREATE("trade.3588",E3590,A3590,"Receive")</f>
        <v>QSObject:SwapTrade:w1~trade.3588:28248</v>
      </c>
      <c r="G3590" s="3">
        <f>_xll.QS.EVALUATE(C3590,F3590)</f>
        <v>42569.450070942279</v>
      </c>
      <c r="H3590" s="5" t="s">
        <v>3567</v>
      </c>
      <c r="I3590" s="7">
        <v>1358800</v>
      </c>
      <c r="J3590" s="8">
        <v>3.8800000000000001E-2</v>
      </c>
    </row>
    <row r="3591" spans="1:10" x14ac:dyDescent="0.25">
      <c r="A3591" s="5" t="s">
        <v>3555</v>
      </c>
      <c r="B3591" s="5" t="s">
        <v>5458</v>
      </c>
      <c r="C3591" s="6" t="str">
        <f>_xll.QS.CONTEXT.CREATE("market.3589",A3591,"USD","SOFR")</f>
        <v>QSObject:PricingContext:w1~market.3589:15074</v>
      </c>
      <c r="D3591" s="6" t="str">
        <f>_xll.QS.CONTEXT.ADD.CURVE(C3591,"SOFR",$K$2:$K$7,$L$2:$L$7,,,"Actual360","LogLinear",TRUE)</f>
        <v>QSObject:ContextInput:w1~input.qs_context_add_curve.2359132437744.3590.3.0:36958</v>
      </c>
      <c r="E3591" s="6" t="str">
        <f>_xll.QS.INSTRUMENT.SWAP("swap.3589",H3591,B3591,"USD","SOFR",I3591,J3591,0,"Actual360","Simple","Annual","Annual","Annual")</f>
        <v>QSObject:Swap:w1~swap.3589:15073</v>
      </c>
      <c r="F3591" s="6" t="str">
        <f>_xll.QS.TRADE.CREATE("trade.3589",E3591,A3591,"Receive")</f>
        <v>QSObject:SwapTrade:w1~trade.3589:28247</v>
      </c>
      <c r="G3591" s="3">
        <f>_xll.QS.EVALUATE(C3591,F3591)</f>
        <v>43030.45631816164</v>
      </c>
      <c r="H3591" s="5" t="s">
        <v>3569</v>
      </c>
      <c r="I3591" s="7">
        <v>1358900</v>
      </c>
      <c r="J3591" s="8">
        <v>3.8899999999999997E-2</v>
      </c>
    </row>
    <row r="3592" spans="1:10" x14ac:dyDescent="0.25">
      <c r="A3592" s="5" t="s">
        <v>3557</v>
      </c>
      <c r="B3592" s="5" t="s">
        <v>5459</v>
      </c>
      <c r="C3592" s="6" t="str">
        <f>_xll.QS.CONTEXT.CREATE("market.3590",A3592,"USD","SOFR")</f>
        <v>QSObject:PricingContext:w1~market.3590:15072</v>
      </c>
      <c r="D3592" s="6" t="str">
        <f>_xll.QS.CONTEXT.ADD.CURVE(C3592,"SOFR",$K$2:$K$7,$L$2:$L$7,,,"Actual360","LogLinear",TRUE)</f>
        <v>QSObject:ContextInput:w1~input.qs_context_add_curve.2359132437744.3591.3.0:36957</v>
      </c>
      <c r="E3592" s="6" t="str">
        <f>_xll.QS.INSTRUMENT.SWAP("swap.3590",H3592,B3592,"USD","SOFR",I3592,J3592,0,"Actual360","Simple","Annual","Annual","Annual")</f>
        <v>QSObject:Swap:w1~swap.3590:15071</v>
      </c>
      <c r="F3592" s="6" t="str">
        <f>_xll.QS.TRADE.CREATE("trade.3590",E3592,A3592,"Receive")</f>
        <v>QSObject:SwapTrade:w1~trade.3590:28246</v>
      </c>
      <c r="G3592" s="3">
        <f>_xll.QS.EVALUATE(C3592,F3592)</f>
        <v>43663.976869647369</v>
      </c>
      <c r="H3592" s="5" t="s">
        <v>3571</v>
      </c>
      <c r="I3592" s="7">
        <v>1359000</v>
      </c>
      <c r="J3592" s="8">
        <v>3.9000000000000007E-2</v>
      </c>
    </row>
    <row r="3593" spans="1:10" x14ac:dyDescent="0.25">
      <c r="A3593" s="5" t="s">
        <v>3559</v>
      </c>
      <c r="B3593" s="5" t="s">
        <v>5460</v>
      </c>
      <c r="C3593" s="6" t="str">
        <f>_xll.QS.CONTEXT.CREATE("market.3591",A3593,"USD","SOFR")</f>
        <v>QSObject:PricingContext:w1~market.3591:15070</v>
      </c>
      <c r="D3593" s="6" t="str">
        <f>_xll.QS.CONTEXT.ADD.CURVE(C3593,"SOFR",$K$2:$K$7,$L$2:$L$7,,,"Actual360","LogLinear",TRUE)</f>
        <v>QSObject:ContextInput:w1~input.qs_context_add_curve.2359132437744.3592.3.0:36956</v>
      </c>
      <c r="E3593" s="6" t="str">
        <f>_xll.QS.INSTRUMENT.SWAP("swap.3591",H3593,B3593,"USD","SOFR",I3593,J3593,0,"Actual360","Simple","Annual","Annual","Annual")</f>
        <v>QSObject:Swap:w1~swap.3591:15069</v>
      </c>
      <c r="F3593" s="6" t="str">
        <f>_xll.QS.TRADE.CREATE("trade.3591",E3593,A3593,"Receive")</f>
        <v>QSObject:SwapTrade:w1~trade.3591:28245</v>
      </c>
      <c r="G3593" s="3">
        <f>_xll.QS.EVALUATE(C3593,F3593)</f>
        <v>44352.26212784004</v>
      </c>
      <c r="H3593" s="5" t="s">
        <v>3573</v>
      </c>
      <c r="I3593" s="7">
        <v>1359100</v>
      </c>
      <c r="J3593" s="8">
        <v>3.9100000000000003E-2</v>
      </c>
    </row>
    <row r="3594" spans="1:10" x14ac:dyDescent="0.25">
      <c r="A3594" s="5" t="s">
        <v>3561</v>
      </c>
      <c r="B3594" s="5" t="s">
        <v>5461</v>
      </c>
      <c r="C3594" s="6" t="str">
        <f>_xll.QS.CONTEXT.CREATE("market.3592",A3594,"USD","SOFR")</f>
        <v>QSObject:PricingContext:w1~market.3592:15068</v>
      </c>
      <c r="D3594" s="6" t="str">
        <f>_xll.QS.CONTEXT.ADD.CURVE(C3594,"SOFR",$K$2:$K$7,$L$2:$L$7,,,"Actual360","LogLinear",TRUE)</f>
        <v>QSObject:ContextInput:w1~input.qs_context_add_curve.2359132437744.3593.3.0:36955</v>
      </c>
      <c r="E3594" s="6" t="str">
        <f>_xll.QS.INSTRUMENT.SWAP("swap.3592",H3594,B3594,"USD","SOFR",I3594,J3594,0,"Actual360","Simple","Annual","Annual","Annual")</f>
        <v>QSObject:Swap:w1~swap.3592:15067</v>
      </c>
      <c r="F3594" s="6" t="str">
        <f>_xll.QS.TRADE.CREATE("trade.3592",E3594,A3594,"Receive")</f>
        <v>QSObject:SwapTrade:w1~trade.3592:28244</v>
      </c>
      <c r="G3594" s="3">
        <f>_xll.QS.EVALUATE(C3594,F3594)</f>
        <v>45081.978157141129</v>
      </c>
      <c r="H3594" s="5" t="s">
        <v>3575</v>
      </c>
      <c r="I3594" s="7">
        <v>1359200</v>
      </c>
      <c r="J3594" s="8">
        <v>3.9200000000000013E-2</v>
      </c>
    </row>
    <row r="3595" spans="1:10" x14ac:dyDescent="0.25">
      <c r="A3595" s="5" t="s">
        <v>3563</v>
      </c>
      <c r="B3595" s="5" t="s">
        <v>5462</v>
      </c>
      <c r="C3595" s="6" t="str">
        <f>_xll.QS.CONTEXT.CREATE("market.3593",A3595,"USD","SOFR")</f>
        <v>QSObject:PricingContext:w1~market.3593:15066</v>
      </c>
      <c r="D3595" s="6" t="str">
        <f>_xll.QS.CONTEXT.ADD.CURVE(C3595,"SOFR",$K$2:$K$7,$L$2:$L$7,,,"Actual360","LogLinear",TRUE)</f>
        <v>QSObject:ContextInput:w1~input.qs_context_add_curve.2359132437744.3594.3.0:36954</v>
      </c>
      <c r="E3595" s="6" t="str">
        <f>_xll.QS.INSTRUMENT.SWAP("swap.3593",H3595,B3595,"USD","SOFR",I3595,J3595,0,"Actual360","Simple","Annual","Annual","Annual")</f>
        <v>QSObject:Swap:w1~swap.3593:15065</v>
      </c>
      <c r="F3595" s="6" t="str">
        <f>_xll.QS.TRADE.CREATE("trade.3593",E3595,A3595,"Receive")</f>
        <v>QSObject:SwapTrade:w1~trade.3593:28243</v>
      </c>
      <c r="G3595" s="3">
        <f>_xll.QS.EVALUATE(C3595,F3595)</f>
        <v>45712.133021930269</v>
      </c>
      <c r="H3595" s="5" t="s">
        <v>3577</v>
      </c>
      <c r="I3595" s="7">
        <v>1359300</v>
      </c>
      <c r="J3595" s="8">
        <v>3.9300000000000002E-2</v>
      </c>
    </row>
    <row r="3596" spans="1:10" x14ac:dyDescent="0.25">
      <c r="A3596" s="5" t="s">
        <v>3565</v>
      </c>
      <c r="B3596" s="5" t="s">
        <v>5463</v>
      </c>
      <c r="C3596" s="6" t="str">
        <f>_xll.QS.CONTEXT.CREATE("market.3594",A3596,"USD","SOFR")</f>
        <v>QSObject:PricingContext:w1~market.3594:15064</v>
      </c>
      <c r="D3596" s="6" t="str">
        <f>_xll.QS.CONTEXT.ADD.CURVE(C3596,"SOFR",$K$2:$K$7,$L$2:$L$7,,,"Actual360","LogLinear",TRUE)</f>
        <v>QSObject:ContextInput:w1~input.qs_context_add_curve.2359132437744.3595.3.0:36953</v>
      </c>
      <c r="E3596" s="6" t="str">
        <f>_xll.QS.INSTRUMENT.SWAP("swap.3594",H3596,B3596,"USD","SOFR",I3596,J3596,0,"Actual360","Simple","Annual","Annual","Annual")</f>
        <v>QSObject:Swap:w1~swap.3594:15063</v>
      </c>
      <c r="F3596" s="6" t="str">
        <f>_xll.QS.TRADE.CREATE("trade.3594",E3596,A3596,"Receive")</f>
        <v>QSObject:SwapTrade:w1~trade.3594:28242</v>
      </c>
      <c r="G3596" s="3">
        <f>_xll.QS.EVALUATE(C3596,F3596)</f>
        <v>46291.978788934488</v>
      </c>
      <c r="H3596" s="5" t="s">
        <v>3579</v>
      </c>
      <c r="I3596" s="7">
        <v>1359400</v>
      </c>
      <c r="J3596" s="8">
        <v>3.9399999999999998E-2</v>
      </c>
    </row>
    <row r="3597" spans="1:10" x14ac:dyDescent="0.25">
      <c r="A3597" s="5" t="s">
        <v>3567</v>
      </c>
      <c r="B3597" s="5" t="s">
        <v>5464</v>
      </c>
      <c r="C3597" s="6" t="str">
        <f>_xll.QS.CONTEXT.CREATE("market.3595",A3597,"USD","SOFR")</f>
        <v>QSObject:PricingContext:w1~market.3595:15062</v>
      </c>
      <c r="D3597" s="6" t="str">
        <f>_xll.QS.CONTEXT.ADD.CURVE(C3597,"SOFR",$K$2:$K$7,$L$2:$L$7,,,"Actual360","LogLinear",TRUE)</f>
        <v>QSObject:ContextInput:w1~input.qs_context_add_curve.2359132437744.3596.3.0:36952</v>
      </c>
      <c r="E3597" s="6" t="str">
        <f>_xll.QS.INSTRUMENT.SWAP("swap.3595",H3597,B3597,"USD","SOFR",I3597,J3597,0,"Actual360","Simple","Annual","Annual","Annual")</f>
        <v>QSObject:Swap:w1~swap.3595:15061</v>
      </c>
      <c r="F3597" s="6" t="str">
        <f>_xll.QS.TRADE.CREATE("trade.3595",E3597,A3597,"Receive")</f>
        <v>QSObject:SwapTrade:w1~trade.3595:28241</v>
      </c>
      <c r="G3597" s="3">
        <f>_xll.QS.EVALUATE(C3597,F3597)</f>
        <v>47031.97511000534</v>
      </c>
      <c r="H3597" s="5" t="s">
        <v>3581</v>
      </c>
      <c r="I3597" s="7">
        <v>1359500</v>
      </c>
      <c r="J3597" s="8">
        <v>3.9500000000000007E-2</v>
      </c>
    </row>
    <row r="3598" spans="1:10" x14ac:dyDescent="0.25">
      <c r="A3598" s="5" t="s">
        <v>3569</v>
      </c>
      <c r="B3598" s="5" t="s">
        <v>5465</v>
      </c>
      <c r="C3598" s="6" t="str">
        <f>_xll.QS.CONTEXT.CREATE("market.3596",A3598,"USD","SOFR")</f>
        <v>QSObject:PricingContext:w1~market.3596:15060</v>
      </c>
      <c r="D3598" s="6" t="str">
        <f>_xll.QS.CONTEXT.ADD.CURVE(C3598,"SOFR",$K$2:$K$7,$L$2:$L$7,,,"Actual360","LogLinear",TRUE)</f>
        <v>QSObject:ContextInput:w1~input.qs_context_add_curve.2359132437744.3597.3.0:36951</v>
      </c>
      <c r="E3598" s="6" t="str">
        <f>_xll.QS.INSTRUMENT.SWAP("swap.3596",H3598,B3598,"USD","SOFR",I3598,J3598,0,"Actual360","Simple","Annual","Annual","Annual")</f>
        <v>QSObject:Swap:w1~swap.3596:15059</v>
      </c>
      <c r="F3598" s="6" t="str">
        <f>_xll.QS.TRADE.CREATE("trade.3596",E3598,A3598,"Receive")</f>
        <v>QSObject:SwapTrade:w1~trade.3596:28240</v>
      </c>
      <c r="G3598" s="3">
        <f>_xll.QS.EVALUATE(C3598,F3598)</f>
        <v>47492.778252245662</v>
      </c>
      <c r="H3598" s="5" t="s">
        <v>3583</v>
      </c>
      <c r="I3598" s="7">
        <v>1359600</v>
      </c>
      <c r="J3598" s="8">
        <v>3.9600000000000003E-2</v>
      </c>
    </row>
    <row r="3599" spans="1:10" x14ac:dyDescent="0.25">
      <c r="A3599" s="5" t="s">
        <v>3571</v>
      </c>
      <c r="B3599" s="5" t="s">
        <v>5466</v>
      </c>
      <c r="C3599" s="6" t="str">
        <f>_xll.QS.CONTEXT.CREATE("market.3597",A3599,"USD","SOFR")</f>
        <v>QSObject:PricingContext:w1~market.3597:15058</v>
      </c>
      <c r="D3599" s="6" t="str">
        <f>_xll.QS.CONTEXT.ADD.CURVE(C3599,"SOFR",$K$2:$K$7,$L$2:$L$7,,,"Actual360","LogLinear",TRUE)</f>
        <v>QSObject:ContextInput:w1~input.qs_context_add_curve.2359132437744.3598.3.0:36950</v>
      </c>
      <c r="E3599" s="6" t="str">
        <f>_xll.QS.INSTRUMENT.SWAP("swap.3597",H3599,B3599,"USD","SOFR",I3599,J3599,0,"Actual360","Simple","Annual","Annual","Annual")</f>
        <v>QSObject:Swap:w1~swap.3597:15057</v>
      </c>
      <c r="F3599" s="6" t="str">
        <f>_xll.QS.TRADE.CREATE("trade.3597",E3599,A3599,"Receive")</f>
        <v>QSObject:SwapTrade:w1~trade.3597:28239</v>
      </c>
      <c r="G3599" s="3">
        <f>_xll.QS.EVALUATE(C3599,F3599)</f>
        <v>48127.175305453718</v>
      </c>
      <c r="H3599" s="5" t="s">
        <v>3585</v>
      </c>
      <c r="I3599" s="7">
        <v>1359700</v>
      </c>
      <c r="J3599" s="8">
        <v>3.9700000000000013E-2</v>
      </c>
    </row>
    <row r="3600" spans="1:10" x14ac:dyDescent="0.25">
      <c r="A3600" s="5" t="s">
        <v>3573</v>
      </c>
      <c r="B3600" s="5" t="s">
        <v>5467</v>
      </c>
      <c r="C3600" s="6" t="str">
        <f>_xll.QS.CONTEXT.CREATE("market.3598",A3600,"USD","SOFR")</f>
        <v>QSObject:PricingContext:w1~market.3598:15056</v>
      </c>
      <c r="D3600" s="6" t="str">
        <f>_xll.QS.CONTEXT.ADD.CURVE(C3600,"SOFR",$K$2:$K$7,$L$2:$L$7,,,"Actual360","LogLinear",TRUE)</f>
        <v>QSObject:ContextInput:w1~input.qs_context_add_curve.2359132437744.3599.3.0:36949</v>
      </c>
      <c r="E3600" s="6" t="str">
        <f>_xll.QS.INSTRUMENT.SWAP("swap.3598",H3600,B3600,"USD","SOFR",I3600,J3600,0,"Actual360","Simple","Annual","Annual","Annual")</f>
        <v>QSObject:Swap:w1~swap.3598:15055</v>
      </c>
      <c r="F3600" s="6" t="str">
        <f>_xll.QS.TRADE.CREATE("trade.3598",E3600,A3600,"Receive")</f>
        <v>QSObject:SwapTrade:w1~trade.3598:28238</v>
      </c>
      <c r="G3600" s="3">
        <f>_xll.QS.EVALUATE(C3600,F3600)</f>
        <v>48917.465901944597</v>
      </c>
      <c r="H3600" s="5" t="s">
        <v>3587</v>
      </c>
      <c r="I3600" s="7">
        <v>1359800</v>
      </c>
      <c r="J3600" s="8">
        <v>3.9800000000000002E-2</v>
      </c>
    </row>
    <row r="3601" spans="1:10" x14ac:dyDescent="0.25">
      <c r="A3601" s="5" t="s">
        <v>3575</v>
      </c>
      <c r="B3601" s="5" t="s">
        <v>5468</v>
      </c>
      <c r="C3601" s="6" t="str">
        <f>_xll.QS.CONTEXT.CREATE("market.3599",A3601,"USD","SOFR")</f>
        <v>QSObject:PricingContext:w1~market.3599:15054</v>
      </c>
      <c r="D3601" s="6" t="str">
        <f>_xll.QS.CONTEXT.ADD.CURVE(C3601,"SOFR",$K$2:$K$7,$L$2:$L$7,,,"Actual360","LogLinear",TRUE)</f>
        <v>QSObject:ContextInput:w1~input.qs_context_add_curve.2359132437744.3600.3.0:36948</v>
      </c>
      <c r="E3601" s="6" t="str">
        <f>_xll.QS.INSTRUMENT.SWAP("swap.3599",H3601,B3601,"USD","SOFR",I3601,J3601,0,"Actual360","Simple","Annual","Annual","Annual")</f>
        <v>QSObject:Swap:w1~swap.3599:15053</v>
      </c>
      <c r="F3601" s="6" t="str">
        <f>_xll.QS.TRADE.CREATE("trade.3599",E3601,A3601,"Receive")</f>
        <v>QSObject:SwapTrade:w1~trade.3599:28237</v>
      </c>
      <c r="G3601" s="3">
        <f>_xll.QS.EVALUATE(C3601,F3601)</f>
        <v>49551.326506443904</v>
      </c>
      <c r="H3601" s="5" t="s">
        <v>3589</v>
      </c>
      <c r="I3601" s="7">
        <v>1359900</v>
      </c>
      <c r="J3601" s="8">
        <v>3.9899999999999998E-2</v>
      </c>
    </row>
    <row r="3602" spans="1:10" x14ac:dyDescent="0.25">
      <c r="A3602" s="5" t="s">
        <v>3577</v>
      </c>
      <c r="B3602" s="5" t="s">
        <v>5469</v>
      </c>
      <c r="C3602" s="6" t="str">
        <f>_xll.QS.CONTEXT.CREATE("market.3600",A3602,"USD","SOFR")</f>
        <v>QSObject:PricingContext:w1~market.3600:15052</v>
      </c>
      <c r="D3602" s="6" t="str">
        <f>_xll.QS.CONTEXT.ADD.CURVE(C3602,"SOFR",$K$2:$K$7,$L$2:$L$7,,,"Actual360","LogLinear",TRUE)</f>
        <v>QSObject:ContextInput:w1~input.qs_context_add_curve.2359132437744.3601.3.0:36947</v>
      </c>
      <c r="E3602" s="6" t="str">
        <f>_xll.QS.INSTRUMENT.SWAP("swap.3600",H3602,B3602,"USD","SOFR",I3602,J3602,0,"Actual360","Simple","Annual","Annual","Annual")</f>
        <v>QSObject:Swap:w1~swap.3600:15051</v>
      </c>
      <c r="F3602" s="6" t="str">
        <f>_xll.QS.TRADE.CREATE("trade.3600",E3602,A3602,"Receive")</f>
        <v>QSObject:SwapTrade:w1~trade.3600:28236</v>
      </c>
      <c r="G3602" s="3">
        <f>_xll.QS.EVALUATE(C3602,F3602)</f>
        <v>18816.199303421447</v>
      </c>
      <c r="H3602" s="5" t="s">
        <v>3591</v>
      </c>
      <c r="I3602" s="7">
        <v>1360000</v>
      </c>
      <c r="J3602" s="8">
        <v>3.5000000000000003E-2</v>
      </c>
    </row>
    <row r="3603" spans="1:10" x14ac:dyDescent="0.25">
      <c r="A3603" s="5" t="s">
        <v>3579</v>
      </c>
      <c r="B3603" s="5" t="s">
        <v>5470</v>
      </c>
      <c r="C3603" s="6" t="str">
        <f>_xll.QS.CONTEXT.CREATE("market.3601",A3603,"USD","SOFR")</f>
        <v>QSObject:PricingContext:w1~market.3601:15050</v>
      </c>
      <c r="D3603" s="6" t="str">
        <f>_xll.QS.CONTEXT.ADD.CURVE(C3603,"SOFR",$K$2:$K$7,$L$2:$L$7,,,"Actual360","LogLinear",TRUE)</f>
        <v>QSObject:ContextInput:w1~input.qs_context_add_curve.2359132437744.3602.3.0:36946</v>
      </c>
      <c r="E3603" s="6" t="str">
        <f>_xll.QS.INSTRUMENT.SWAP("swap.3601",H3603,B3603,"USD","SOFR",I3603,J3603,0,"Actual360","Simple","Annual","Annual","Annual")</f>
        <v>QSObject:Swap:w1~swap.3601:15049</v>
      </c>
      <c r="F3603" s="6" t="str">
        <f>_xll.QS.TRADE.CREATE("trade.3601",E3603,A3603,"Receive")</f>
        <v>QSObject:SwapTrade:w1~trade.3601:28235</v>
      </c>
      <c r="G3603" s="3">
        <f>_xll.QS.EVALUATE(C3603,F3603)</f>
        <v>19391.216807186771</v>
      </c>
      <c r="H3603" s="5" t="s">
        <v>3593</v>
      </c>
      <c r="I3603" s="7">
        <v>1360100</v>
      </c>
      <c r="J3603" s="8">
        <v>3.5100000000000013E-2</v>
      </c>
    </row>
    <row r="3604" spans="1:10" x14ac:dyDescent="0.25">
      <c r="A3604" s="5" t="s">
        <v>3581</v>
      </c>
      <c r="B3604" s="5" t="s">
        <v>5471</v>
      </c>
      <c r="C3604" s="6" t="str">
        <f>_xll.QS.CONTEXT.CREATE("market.3602",A3604,"USD","SOFR")</f>
        <v>QSObject:PricingContext:w1~market.3602:15048</v>
      </c>
      <c r="D3604" s="6" t="str">
        <f>_xll.QS.CONTEXT.ADD.CURVE(C3604,"SOFR",$K$2:$K$7,$L$2:$L$7,,,"Actual360","LogLinear",TRUE)</f>
        <v>QSObject:ContextInput:w1~input.qs_context_add_curve.2359132437744.3603.3.0:36945</v>
      </c>
      <c r="E3604" s="6" t="str">
        <f>_xll.QS.INSTRUMENT.SWAP("swap.3602",H3604,B3604,"USD","SOFR",I3604,J3604,0,"Actual360","Simple","Annual","Annual","Annual")</f>
        <v>QSObject:Swap:w1~swap.3602:15047</v>
      </c>
      <c r="F3604" s="6" t="str">
        <f>_xll.QS.TRADE.CREATE("trade.3602",E3604,A3604,"Receive")</f>
        <v>QSObject:SwapTrade:w1~trade.3602:28234</v>
      </c>
      <c r="G3604" s="3">
        <f>_xll.QS.EVALUATE(C3604,F3604)</f>
        <v>20021.281560464384</v>
      </c>
      <c r="H3604" s="5" t="s">
        <v>3595</v>
      </c>
      <c r="I3604" s="7">
        <v>1360200</v>
      </c>
      <c r="J3604" s="8">
        <v>3.5200000000000002E-2</v>
      </c>
    </row>
    <row r="3605" spans="1:10" x14ac:dyDescent="0.25">
      <c r="A3605" s="5" t="s">
        <v>3583</v>
      </c>
      <c r="B3605" s="5" t="s">
        <v>5472</v>
      </c>
      <c r="C3605" s="6" t="str">
        <f>_xll.QS.CONTEXT.CREATE("market.3603",A3605,"USD","SOFR")</f>
        <v>QSObject:PricingContext:w1~market.3603:15046</v>
      </c>
      <c r="D3605" s="6" t="str">
        <f>_xll.QS.CONTEXT.ADD.CURVE(C3605,"SOFR",$K$2:$K$7,$L$2:$L$7,,,"Actual360","LogLinear",TRUE)</f>
        <v>QSObject:ContextInput:w1~input.qs_context_add_curve.2359132437744.3604.3.0:36944</v>
      </c>
      <c r="E3605" s="6" t="str">
        <f>_xll.QS.INSTRUMENT.SWAP("swap.3603",H3605,B3605,"USD","SOFR",I3605,J3605,0,"Actual360","Simple","Annual","Annual","Annual")</f>
        <v>QSObject:Swap:w1~swap.3603:15045</v>
      </c>
      <c r="F3605" s="6" t="str">
        <f>_xll.QS.TRADE.CREATE("trade.3603",E3605,A3605,"Receive")</f>
        <v>QSObject:SwapTrade:w1~trade.3603:28233</v>
      </c>
      <c r="G3605" s="3">
        <f>_xll.QS.EVALUATE(C3605,F3605)</f>
        <v>20485.643022088523</v>
      </c>
      <c r="H3605" s="5" t="s">
        <v>3597</v>
      </c>
      <c r="I3605" s="7">
        <v>1360300</v>
      </c>
      <c r="J3605" s="8">
        <v>3.5299999999999998E-2</v>
      </c>
    </row>
    <row r="3606" spans="1:10" x14ac:dyDescent="0.25">
      <c r="A3606" s="5" t="s">
        <v>3585</v>
      </c>
      <c r="B3606" s="5" t="s">
        <v>5473</v>
      </c>
      <c r="C3606" s="6" t="str">
        <f>_xll.QS.CONTEXT.CREATE("market.3604",A3606,"USD","SOFR")</f>
        <v>QSObject:PricingContext:w1~market.3604:15044</v>
      </c>
      <c r="D3606" s="6" t="str">
        <f>_xll.QS.CONTEXT.ADD.CURVE(C3606,"SOFR",$K$2:$K$7,$L$2:$L$7,,,"Actual360","LogLinear",TRUE)</f>
        <v>QSObject:ContextInput:w1~input.qs_context_add_curve.2359132437744.3605.3.0:36943</v>
      </c>
      <c r="E3606" s="6" t="str">
        <f>_xll.QS.INSTRUMENT.SWAP("swap.3604",H3606,B3606,"USD","SOFR",I3606,J3606,0,"Actual360","Simple","Annual","Annual","Annual")</f>
        <v>QSObject:Swap:w1~swap.3604:15043</v>
      </c>
      <c r="F3606" s="6" t="str">
        <f>_xll.QS.TRADE.CREATE("trade.3604",E3606,A3606,"Receive")</f>
        <v>QSObject:SwapTrade:w1~trade.3604:28232</v>
      </c>
      <c r="G3606" s="3">
        <f>_xll.QS.EVALUATE(C3606,F3606)</f>
        <v>21116.257704015996</v>
      </c>
      <c r="H3606" s="5" t="s">
        <v>3599</v>
      </c>
      <c r="I3606" s="7">
        <v>1360400</v>
      </c>
      <c r="J3606" s="8">
        <v>3.5400000000000001E-2</v>
      </c>
    </row>
    <row r="3607" spans="1:10" x14ac:dyDescent="0.25">
      <c r="A3607" s="5" t="s">
        <v>3587</v>
      </c>
      <c r="B3607" s="5" t="s">
        <v>5474</v>
      </c>
      <c r="C3607" s="6" t="str">
        <f>_xll.QS.CONTEXT.CREATE("market.3605",A3607,"USD","SOFR")</f>
        <v>QSObject:PricingContext:w1~market.3605:15042</v>
      </c>
      <c r="D3607" s="6" t="str">
        <f>_xll.QS.CONTEXT.ADD.CURVE(C3607,"SOFR",$K$2:$K$7,$L$2:$L$7,,,"Actual360","LogLinear",TRUE)</f>
        <v>QSObject:ContextInput:w1~input.qs_context_add_curve.2359132437744.3606.3.0:36942</v>
      </c>
      <c r="E3607" s="6" t="str">
        <f>_xll.QS.INSTRUMENT.SWAP("swap.3605",H3607,B3607,"USD","SOFR",I3607,J3607,0,"Actual360","Simple","Annual","Annual","Annual")</f>
        <v>QSObject:Swap:w1~swap.3605:15041</v>
      </c>
      <c r="F3607" s="6" t="str">
        <f>_xll.QS.TRADE.CREATE("trade.3605",E3607,A3607,"Receive")</f>
        <v>QSObject:SwapTrade:w1~trade.3605:28231</v>
      </c>
      <c r="G3607" s="3">
        <f>_xll.QS.EVALUATE(C3607,F3607)</f>
        <v>21801.303289525604</v>
      </c>
      <c r="H3607" s="5" t="s">
        <v>3601</v>
      </c>
      <c r="I3607" s="7">
        <v>1360500</v>
      </c>
      <c r="J3607" s="8">
        <v>3.5499999999999997E-2</v>
      </c>
    </row>
    <row r="3608" spans="1:10" x14ac:dyDescent="0.25">
      <c r="A3608" s="5" t="s">
        <v>3589</v>
      </c>
      <c r="B3608" s="5" t="s">
        <v>5475</v>
      </c>
      <c r="C3608" s="6" t="str">
        <f>_xll.QS.CONTEXT.CREATE("market.3606",A3608,"USD","SOFR")</f>
        <v>QSObject:PricingContext:w1~market.3606:15040</v>
      </c>
      <c r="D3608" s="6" t="str">
        <f>_xll.QS.CONTEXT.ADD.CURVE(C3608,"SOFR",$K$2:$K$7,$L$2:$L$7,,,"Actual360","LogLinear",TRUE)</f>
        <v>QSObject:ContextInput:w1~input.qs_context_add_curve.2359132437744.3607.3.0:36941</v>
      </c>
      <c r="E3608" s="6" t="str">
        <f>_xll.QS.INSTRUMENT.SWAP("swap.3606",H3608,B3608,"USD","SOFR",I3608,J3608,0,"Actual360","Simple","Annual","Annual","Annual")</f>
        <v>QSObject:Swap:w1~swap.3606:15039</v>
      </c>
      <c r="F3608" s="6" t="str">
        <f>_xll.QS.TRADE.CREATE("trade.3606",E3608,A3608,"Receive")</f>
        <v>QSObject:SwapTrade:w1~trade.3606:28230</v>
      </c>
      <c r="G3608" s="3">
        <f>_xll.QS.EVALUATE(C3608,F3608)</f>
        <v>22529.865645023201</v>
      </c>
      <c r="H3608" s="5" t="s">
        <v>3603</v>
      </c>
      <c r="I3608" s="7">
        <v>1360600</v>
      </c>
      <c r="J3608" s="8">
        <v>3.5600000000000007E-2</v>
      </c>
    </row>
    <row r="3609" spans="1:10" x14ac:dyDescent="0.25">
      <c r="A3609" s="5" t="s">
        <v>3591</v>
      </c>
      <c r="B3609" s="5" t="s">
        <v>5476</v>
      </c>
      <c r="C3609" s="6" t="str">
        <f>_xll.QS.CONTEXT.CREATE("market.3607",A3609,"USD","SOFR")</f>
        <v>QSObject:PricingContext:w1~market.3607:15038</v>
      </c>
      <c r="D3609" s="6" t="str">
        <f>_xll.QS.CONTEXT.ADD.CURVE(C3609,"SOFR",$K$2:$K$7,$L$2:$L$7,,,"Actual360","LogLinear",TRUE)</f>
        <v>QSObject:ContextInput:w1~input.qs_context_add_curve.2359132437744.3608.3.0:36940</v>
      </c>
      <c r="E3609" s="6" t="str">
        <f>_xll.QS.INSTRUMENT.SWAP("swap.3607",H3609,B3609,"USD","SOFR",I3609,J3609,0,"Actual360","Simple","Annual","Annual","Annual")</f>
        <v>QSObject:Swap:w1~swap.3607:15037</v>
      </c>
      <c r="F3609" s="6" t="str">
        <f>_xll.QS.TRADE.CREATE("trade.3607",E3609,A3609,"Receive")</f>
        <v>QSObject:SwapTrade:w1~trade.3607:28229</v>
      </c>
      <c r="G3609" s="3">
        <f>_xll.QS.EVALUATE(C3609,F3609)</f>
        <v>23159.215330239924</v>
      </c>
      <c r="H3609" s="5" t="s">
        <v>3605</v>
      </c>
      <c r="I3609" s="7">
        <v>1360700</v>
      </c>
      <c r="J3609" s="8">
        <v>3.5700000000000003E-2</v>
      </c>
    </row>
    <row r="3610" spans="1:10" x14ac:dyDescent="0.25">
      <c r="A3610" s="5" t="s">
        <v>3593</v>
      </c>
      <c r="B3610" s="5" t="s">
        <v>5477</v>
      </c>
      <c r="C3610" s="6" t="str">
        <f>_xll.QS.CONTEXT.CREATE("market.3608",A3610,"USD","SOFR")</f>
        <v>QSObject:PricingContext:w1~market.3608:15036</v>
      </c>
      <c r="D3610" s="6" t="str">
        <f>_xll.QS.CONTEXT.ADD.CURVE(C3610,"SOFR",$K$2:$K$7,$L$2:$L$7,,,"Actual360","LogLinear",TRUE)</f>
        <v>QSObject:ContextInput:w1~input.qs_context_add_curve.2359132437744.3609.3.0:36939</v>
      </c>
      <c r="E3610" s="6" t="str">
        <f>_xll.QS.INSTRUMENT.SWAP("swap.3608",H3610,B3610,"USD","SOFR",I3610,J3610,0,"Actual360","Simple","Annual","Annual","Annual")</f>
        <v>QSObject:Swap:w1~swap.3608:15035</v>
      </c>
      <c r="F3610" s="6" t="str">
        <f>_xll.QS.TRADE.CREATE("trade.3608",E3610,A3610,"Receive")</f>
        <v>QSObject:SwapTrade:w1~trade.3608:28228</v>
      </c>
      <c r="G3610" s="3">
        <f>_xll.QS.EVALUATE(C3610,F3610)</f>
        <v>23741.684039894819</v>
      </c>
      <c r="H3610" s="5" t="s">
        <v>3607</v>
      </c>
      <c r="I3610" s="7">
        <v>1360800</v>
      </c>
      <c r="J3610" s="8">
        <v>3.5800000000000012E-2</v>
      </c>
    </row>
    <row r="3611" spans="1:10" x14ac:dyDescent="0.25">
      <c r="A3611" s="5" t="s">
        <v>3595</v>
      </c>
      <c r="B3611" s="5" t="s">
        <v>5478</v>
      </c>
      <c r="C3611" s="6" t="str">
        <f>_xll.QS.CONTEXT.CREATE("market.3609",A3611,"USD","SOFR")</f>
        <v>QSObject:PricingContext:w1~market.3609:15034</v>
      </c>
      <c r="D3611" s="6" t="str">
        <f>_xll.QS.CONTEXT.ADD.CURVE(C3611,"SOFR",$K$2:$K$7,$L$2:$L$7,,,"Actual360","LogLinear",TRUE)</f>
        <v>QSObject:ContextInput:w1~input.qs_context_add_curve.2359132437744.3610.3.0:36938</v>
      </c>
      <c r="E3611" s="6" t="str">
        <f>_xll.QS.INSTRUMENT.SWAP("swap.3609",H3611,B3611,"USD","SOFR",I3611,J3611,0,"Actual360","Simple","Annual","Annual","Annual")</f>
        <v>QSObject:Swap:w1~swap.3609:15033</v>
      </c>
      <c r="F3611" s="6" t="str">
        <f>_xll.QS.TRADE.CREATE("trade.3609",E3611,A3611,"Receive")</f>
        <v>QSObject:SwapTrade:w1~trade.3609:28227</v>
      </c>
      <c r="G3611" s="3">
        <f>_xll.QS.EVALUATE(C3611,F3611)</f>
        <v>24476.670174437153</v>
      </c>
      <c r="H3611" s="5" t="s">
        <v>3609</v>
      </c>
      <c r="I3611" s="7">
        <v>1360900</v>
      </c>
      <c r="J3611" s="8">
        <v>3.5900000000000001E-2</v>
      </c>
    </row>
    <row r="3612" spans="1:10" x14ac:dyDescent="0.25">
      <c r="A3612" s="5" t="s">
        <v>3597</v>
      </c>
      <c r="B3612" s="5" t="s">
        <v>5479</v>
      </c>
      <c r="C3612" s="6" t="str">
        <f>_xll.QS.CONTEXT.CREATE("market.3610",A3612,"USD","SOFR")</f>
        <v>QSObject:PricingContext:w1~market.3610:15032</v>
      </c>
      <c r="D3612" s="6" t="str">
        <f>_xll.QS.CONTEXT.ADD.CURVE(C3612,"SOFR",$K$2:$K$7,$L$2:$L$7,,,"Actual360","LogLinear",TRUE)</f>
        <v>QSObject:ContextInput:w1~input.qs_context_add_curve.2359132437744.3611.3.0:36937</v>
      </c>
      <c r="E3612" s="6" t="str">
        <f>_xll.QS.INSTRUMENT.SWAP("swap.3610",H3612,B3612,"USD","SOFR",I3612,J3612,0,"Actual360","Simple","Annual","Annual","Annual")</f>
        <v>QSObject:Swap:w1~swap.3610:15031</v>
      </c>
      <c r="F3612" s="6" t="str">
        <f>_xll.QS.TRADE.CREATE("trade.3610",E3612,A3612,"Receive")</f>
        <v>QSObject:SwapTrade:w1~trade.3610:28226</v>
      </c>
      <c r="G3612" s="3">
        <f>_xll.QS.EVALUATE(C3612,F3612)</f>
        <v>24940.575453892387</v>
      </c>
      <c r="H3612" s="5" t="s">
        <v>3611</v>
      </c>
      <c r="I3612" s="7">
        <v>1361000</v>
      </c>
      <c r="J3612" s="8">
        <v>3.5999999999999997E-2</v>
      </c>
    </row>
    <row r="3613" spans="1:10" x14ac:dyDescent="0.25">
      <c r="A3613" s="5" t="s">
        <v>3599</v>
      </c>
      <c r="B3613" s="5" t="s">
        <v>5480</v>
      </c>
      <c r="C3613" s="6" t="str">
        <f>_xll.QS.CONTEXT.CREATE("market.3611",A3613,"USD","SOFR")</f>
        <v>QSObject:PricingContext:w1~market.3611:15030</v>
      </c>
      <c r="D3613" s="6" t="str">
        <f>_xll.QS.CONTEXT.ADD.CURVE(C3613,"SOFR",$K$2:$K$7,$L$2:$L$7,,,"Actual360","LogLinear",TRUE)</f>
        <v>QSObject:ContextInput:w1~input.qs_context_add_curve.2359132437744.3612.3.0:36936</v>
      </c>
      <c r="E3613" s="6" t="str">
        <f>_xll.QS.INSTRUMENT.SWAP("swap.3611",H3613,B3613,"USD","SOFR",I3613,J3613,0,"Actual360","Simple","Annual","Annual","Annual")</f>
        <v>QSObject:Swap:w1~swap.3611:15029</v>
      </c>
      <c r="F3613" s="6" t="str">
        <f>_xll.QS.TRADE.CREATE("trade.3611",E3613,A3613,"Receive")</f>
        <v>QSObject:SwapTrade:w1~trade.3611:28225</v>
      </c>
      <c r="G3613" s="3">
        <f>_xll.QS.EVALUATE(C3613,F3613)</f>
        <v>25572.433796364719</v>
      </c>
      <c r="H3613" s="5" t="s">
        <v>3613</v>
      </c>
      <c r="I3613" s="7">
        <v>1361100</v>
      </c>
      <c r="J3613" s="8">
        <v>3.61E-2</v>
      </c>
    </row>
    <row r="3614" spans="1:10" x14ac:dyDescent="0.25">
      <c r="A3614" s="5" t="s">
        <v>3601</v>
      </c>
      <c r="B3614" s="5" t="s">
        <v>5481</v>
      </c>
      <c r="C3614" s="6" t="str">
        <f>_xll.QS.CONTEXT.CREATE("market.3612",A3614,"USD","SOFR")</f>
        <v>QSObject:PricingContext:w1~market.3612:15028</v>
      </c>
      <c r="D3614" s="6" t="str">
        <f>_xll.QS.CONTEXT.ADD.CURVE(C3614,"SOFR",$K$2:$K$7,$L$2:$L$7,,,"Actual360","LogLinear",TRUE)</f>
        <v>QSObject:ContextInput:w1~input.qs_context_add_curve.2359132437744.3613.3.0:36935</v>
      </c>
      <c r="E3614" s="6" t="str">
        <f>_xll.QS.INSTRUMENT.SWAP("swap.3612",H3614,B3614,"USD","SOFR",I3614,J3614,0,"Actual360","Simple","Annual","Annual","Annual")</f>
        <v>QSObject:Swap:w1~swap.3612:15027</v>
      </c>
      <c r="F3614" s="6" t="str">
        <f>_xll.QS.TRADE.CREATE("trade.3612",E3614,A3614,"Receive")</f>
        <v>QSObject:SwapTrade:w1~trade.3612:28224</v>
      </c>
      <c r="G3614" s="3">
        <f>_xll.QS.EVALUATE(C3614,F3614)</f>
        <v>26359.113666954116</v>
      </c>
      <c r="H3614" s="5" t="s">
        <v>3615</v>
      </c>
      <c r="I3614" s="7">
        <v>1361200</v>
      </c>
      <c r="J3614" s="8">
        <v>3.6200000000000003E-2</v>
      </c>
    </row>
    <row r="3615" spans="1:10" x14ac:dyDescent="0.25">
      <c r="A3615" s="5" t="s">
        <v>3603</v>
      </c>
      <c r="B3615" s="5" t="s">
        <v>5482</v>
      </c>
      <c r="C3615" s="6" t="str">
        <f>_xll.QS.CONTEXT.CREATE("market.3613",A3615,"USD","SOFR")</f>
        <v>QSObject:PricingContext:w1~market.3613:15026</v>
      </c>
      <c r="D3615" s="6" t="str">
        <f>_xll.QS.CONTEXT.ADD.CURVE(C3615,"SOFR",$K$2:$K$7,$L$2:$L$7,,,"Actual360","LogLinear",TRUE)</f>
        <v>QSObject:ContextInput:w1~input.qs_context_add_curve.2359132437744.3614.3.0:36934</v>
      </c>
      <c r="E3615" s="6" t="str">
        <f>_xll.QS.INSTRUMENT.SWAP("swap.3613",H3615,B3615,"USD","SOFR",I3615,J3615,0,"Actual360","Simple","Annual","Annual","Annual")</f>
        <v>QSObject:Swap:w1~swap.3613:15025</v>
      </c>
      <c r="F3615" s="6" t="str">
        <f>_xll.QS.TRADE.CREATE("trade.3613",E3615,A3615,"Receive")</f>
        <v>QSObject:SwapTrade:w1~trade.3613:28223</v>
      </c>
      <c r="G3615" s="3">
        <f>_xll.QS.EVALUATE(C3615,F3615)</f>
        <v>26992.199390618276</v>
      </c>
      <c r="H3615" s="5" t="s">
        <v>3617</v>
      </c>
      <c r="I3615" s="7">
        <v>1361300</v>
      </c>
      <c r="J3615" s="8">
        <v>3.6300000000000013E-2</v>
      </c>
    </row>
    <row r="3616" spans="1:10" x14ac:dyDescent="0.25">
      <c r="A3616" s="5" t="s">
        <v>3605</v>
      </c>
      <c r="B3616" s="5" t="s">
        <v>5483</v>
      </c>
      <c r="C3616" s="6" t="str">
        <f>_xll.QS.CONTEXT.CREATE("market.3614",A3616,"USD","SOFR")</f>
        <v>QSObject:PricingContext:w1~market.3614:15024</v>
      </c>
      <c r="D3616" s="6" t="str">
        <f>_xll.QS.CONTEXT.ADD.CURVE(C3616,"SOFR",$K$2:$K$7,$L$2:$L$7,,,"Actual360","LogLinear",TRUE)</f>
        <v>QSObject:ContextInput:w1~input.qs_context_add_curve.2359132437744.3615.3.0:36933</v>
      </c>
      <c r="E3616" s="6" t="str">
        <f>_xll.QS.INSTRUMENT.SWAP("swap.3614",H3616,B3616,"USD","SOFR",I3616,J3616,0,"Actual360","Simple","Annual","Annual","Annual")</f>
        <v>QSObject:Swap:w1~swap.3614:15023</v>
      </c>
      <c r="F3616" s="6" t="str">
        <f>_xll.QS.TRADE.CREATE("trade.3614",E3616,A3616,"Receive")</f>
        <v>QSObject:SwapTrade:w1~trade.3614:28222</v>
      </c>
      <c r="G3616" s="3">
        <f>_xll.QS.EVALUATE(C3616,F3616)</f>
        <v>27629.012838066948</v>
      </c>
      <c r="H3616" s="5" t="s">
        <v>3619</v>
      </c>
      <c r="I3616" s="7">
        <v>1361400</v>
      </c>
      <c r="J3616" s="8">
        <v>3.6400000000000002E-2</v>
      </c>
    </row>
    <row r="3617" spans="1:10" x14ac:dyDescent="0.25">
      <c r="A3617" s="5" t="s">
        <v>3607</v>
      </c>
      <c r="B3617" s="5" t="s">
        <v>5484</v>
      </c>
      <c r="C3617" s="6" t="str">
        <f>_xll.QS.CONTEXT.CREATE("market.3615",A3617,"USD","SOFR")</f>
        <v>QSObject:PricingContext:w1~market.3615:15022</v>
      </c>
      <c r="D3617" s="6" t="str">
        <f>_xll.QS.CONTEXT.ADD.CURVE(C3617,"SOFR",$K$2:$K$7,$L$2:$L$7,,,"Actual360","LogLinear",TRUE)</f>
        <v>QSObject:ContextInput:w1~input.qs_context_add_curve.2359132437744.3616.3.0:36932</v>
      </c>
      <c r="E3617" s="6" t="str">
        <f>_xll.QS.INSTRUMENT.SWAP("swap.3615",H3617,B3617,"USD","SOFR",I3617,J3617,0,"Actual360","Simple","Annual","Annual","Annual")</f>
        <v>QSObject:Swap:w1~swap.3615:15021</v>
      </c>
      <c r="F3617" s="6" t="str">
        <f>_xll.QS.TRADE.CREATE("trade.3615",E3617,A3617,"Receive")</f>
        <v>QSObject:SwapTrade:w1~trade.3615:28221</v>
      </c>
      <c r="G3617" s="3">
        <f>_xll.QS.EVALUATE(C3617,F3617)</f>
        <v>28205.166680877126</v>
      </c>
      <c r="H3617" s="5" t="s">
        <v>3621</v>
      </c>
      <c r="I3617" s="7">
        <v>1361500</v>
      </c>
      <c r="J3617" s="8">
        <v>3.6499999999999998E-2</v>
      </c>
    </row>
    <row r="3618" spans="1:10" x14ac:dyDescent="0.25">
      <c r="A3618" s="5" t="s">
        <v>3609</v>
      </c>
      <c r="B3618" s="5" t="s">
        <v>5485</v>
      </c>
      <c r="C3618" s="6" t="str">
        <f>_xll.QS.CONTEXT.CREATE("market.3616",A3618,"USD","SOFR")</f>
        <v>QSObject:PricingContext:w1~market.3616:15020</v>
      </c>
      <c r="D3618" s="6" t="str">
        <f>_xll.QS.CONTEXT.ADD.CURVE(C3618,"SOFR",$K$2:$K$7,$L$2:$L$7,,,"Actual360","LogLinear",TRUE)</f>
        <v>QSObject:ContextInput:w1~input.qs_context_add_curve.2359132437744.3617.3.0:36931</v>
      </c>
      <c r="E3618" s="6" t="str">
        <f>_xll.QS.INSTRUMENT.SWAP("swap.3616",H3618,B3618,"USD","SOFR",I3618,J3618,0,"Actual360","Simple","Annual","Annual","Annual")</f>
        <v>QSObject:Swap:w1~swap.3616:15019</v>
      </c>
      <c r="F3618" s="6" t="str">
        <f>_xll.QS.TRADE.CREATE("trade.3616",E3618,A3618,"Receive")</f>
        <v>QSObject:SwapTrade:w1~trade.3616:28220</v>
      </c>
      <c r="G3618" s="3">
        <f>_xll.QS.EVALUATE(C3618,F3618)</f>
        <v>28836.416361342985</v>
      </c>
      <c r="H3618" s="5" t="s">
        <v>3623</v>
      </c>
      <c r="I3618" s="7">
        <v>1361600</v>
      </c>
      <c r="J3618" s="8">
        <v>3.6600000000000001E-2</v>
      </c>
    </row>
    <row r="3619" spans="1:10" x14ac:dyDescent="0.25">
      <c r="A3619" s="5" t="s">
        <v>3611</v>
      </c>
      <c r="B3619" s="5" t="s">
        <v>5486</v>
      </c>
      <c r="C3619" s="6" t="str">
        <f>_xll.QS.CONTEXT.CREATE("market.3617",A3619,"USD","SOFR")</f>
        <v>QSObject:PricingContext:w1~market.3617:15018</v>
      </c>
      <c r="D3619" s="6" t="str">
        <f>_xll.QS.CONTEXT.ADD.CURVE(C3619,"SOFR",$K$2:$K$7,$L$2:$L$7,,,"Actual360","LogLinear",TRUE)</f>
        <v>QSObject:ContextInput:w1~input.qs_context_add_curve.2359132437744.3618.3.0:36930</v>
      </c>
      <c r="E3619" s="6" t="str">
        <f>_xll.QS.INSTRUMENT.SWAP("swap.3617",H3619,B3619,"USD","SOFR",I3619,J3619,0,"Actual360","Simple","Annual","Annual","Annual")</f>
        <v>QSObject:Swap:w1~swap.3617:15017</v>
      </c>
      <c r="F3619" s="6" t="str">
        <f>_xll.QS.TRADE.CREATE("trade.3617",E3619,A3619,"Receive")</f>
        <v>QSObject:SwapTrade:w1~trade.3617:28219</v>
      </c>
      <c r="G3619" s="3">
        <f>_xll.QS.EVALUATE(C3619,F3619)</f>
        <v>29300.131817912588</v>
      </c>
      <c r="H3619" s="5" t="s">
        <v>3625</v>
      </c>
      <c r="I3619" s="7">
        <v>1361700</v>
      </c>
      <c r="J3619" s="8">
        <v>3.6700000000000003E-2</v>
      </c>
    </row>
    <row r="3620" spans="1:10" x14ac:dyDescent="0.25">
      <c r="A3620" s="5" t="s">
        <v>3613</v>
      </c>
      <c r="B3620" s="5" t="s">
        <v>5487</v>
      </c>
      <c r="C3620" s="6" t="str">
        <f>_xll.QS.CONTEXT.CREATE("market.3618",A3620,"USD","SOFR")</f>
        <v>QSObject:PricingContext:w1~market.3618:15016</v>
      </c>
      <c r="D3620" s="6" t="str">
        <f>_xll.QS.CONTEXT.ADD.CURVE(C3620,"SOFR",$K$2:$K$7,$L$2:$L$7,,,"Actual360","LogLinear",TRUE)</f>
        <v>QSObject:ContextInput:w1~input.qs_context_add_curve.2359132437744.3619.3.0:36929</v>
      </c>
      <c r="E3620" s="6" t="str">
        <f>_xll.QS.INSTRUMENT.SWAP("swap.3618",H3620,B3620,"USD","SOFR",I3620,J3620,0,"Actual360","Simple","Annual","Annual","Annual")</f>
        <v>QSObject:Swap:w1~swap.3618:15015</v>
      </c>
      <c r="F3620" s="6" t="str">
        <f>_xll.QS.TRADE.CREATE("trade.3618",E3620,A3620,"Receive")</f>
        <v>QSObject:SwapTrade:w1~trade.3618:28218</v>
      </c>
      <c r="G3620" s="3">
        <f>_xll.QS.EVALUATE(C3620,F3620)</f>
        <v>29932.777165369742</v>
      </c>
      <c r="H3620" s="5" t="s">
        <v>3627</v>
      </c>
      <c r="I3620" s="7">
        <v>1361800</v>
      </c>
      <c r="J3620" s="8">
        <v>3.6800000000000013E-2</v>
      </c>
    </row>
    <row r="3621" spans="1:10" x14ac:dyDescent="0.25">
      <c r="A3621" s="5" t="s">
        <v>3615</v>
      </c>
      <c r="B3621" s="5" t="s">
        <v>5488</v>
      </c>
      <c r="C3621" s="6" t="str">
        <f>_xll.QS.CONTEXT.CREATE("market.3619",A3621,"USD","SOFR")</f>
        <v>QSObject:PricingContext:w1~market.3619:15014</v>
      </c>
      <c r="D3621" s="6" t="str">
        <f>_xll.QS.CONTEXT.ADD.CURVE(C3621,"SOFR",$K$2:$K$7,$L$2:$L$7,,,"Actual360","LogLinear",TRUE)</f>
        <v>QSObject:ContextInput:w1~input.qs_context_add_curve.2359132437744.3620.3.0:36928</v>
      </c>
      <c r="E3621" s="6" t="str">
        <f>_xll.QS.INSTRUMENT.SWAP("swap.3619",H3621,B3621,"USD","SOFR",I3621,J3621,0,"Actual360","Simple","Annual","Annual","Annual")</f>
        <v>QSObject:Swap:w1~swap.3619:15013</v>
      </c>
      <c r="F3621" s="6" t="str">
        <f>_xll.QS.TRADE.CREATE("trade.3619",E3621,A3621,"Receive")</f>
        <v>QSObject:SwapTrade:w1~trade.3619:28217</v>
      </c>
      <c r="G3621" s="3">
        <f>_xll.QS.EVALUATE(C3621,F3621)</f>
        <v>30620.410183787528</v>
      </c>
      <c r="H3621" s="5" t="s">
        <v>3629</v>
      </c>
      <c r="I3621" s="7">
        <v>1361900</v>
      </c>
      <c r="J3621" s="8">
        <v>3.6900000000000002E-2</v>
      </c>
    </row>
    <row r="3622" spans="1:10" x14ac:dyDescent="0.25">
      <c r="A3622" s="5" t="s">
        <v>3617</v>
      </c>
      <c r="B3622" s="5" t="s">
        <v>5489</v>
      </c>
      <c r="C3622" s="6" t="str">
        <f>_xll.QS.CONTEXT.CREATE("market.3620",A3622,"USD","SOFR")</f>
        <v>QSObject:PricingContext:w1~market.3620:15012</v>
      </c>
      <c r="D3622" s="6" t="str">
        <f>_xll.QS.CONTEXT.ADD.CURVE(C3622,"SOFR",$K$2:$K$7,$L$2:$L$7,,,"Actual360","LogLinear",TRUE)</f>
        <v>QSObject:ContextInput:w1~input.qs_context_add_curve.2359132437744.3621.3.0:36927</v>
      </c>
      <c r="E3622" s="6" t="str">
        <f>_xll.QS.INSTRUMENT.SWAP("swap.3620",H3622,B3622,"USD","SOFR",I3622,J3622,0,"Actual360","Simple","Annual","Annual","Annual")</f>
        <v>QSObject:Swap:w1~swap.3620:15011</v>
      </c>
      <c r="F3622" s="6" t="str">
        <f>_xll.QS.TRADE.CREATE("trade.3620",E3622,A3622,"Receive")</f>
        <v>QSObject:SwapTrade:w1~trade.3620:28216</v>
      </c>
      <c r="G3622" s="3">
        <f>_xll.QS.EVALUATE(C3622,F3622)</f>
        <v>31350.516960765475</v>
      </c>
      <c r="H3622" s="5" t="s">
        <v>3631</v>
      </c>
      <c r="I3622" s="7">
        <v>1362000</v>
      </c>
      <c r="J3622" s="8">
        <v>3.7000000000000012E-2</v>
      </c>
    </row>
    <row r="3623" spans="1:10" x14ac:dyDescent="0.25">
      <c r="A3623" s="5" t="s">
        <v>3619</v>
      </c>
      <c r="B3623" s="5" t="s">
        <v>5490</v>
      </c>
      <c r="C3623" s="6" t="str">
        <f>_xll.QS.CONTEXT.CREATE("market.3621",A3623,"USD","SOFR")</f>
        <v>QSObject:PricingContext:w1~market.3621:15010</v>
      </c>
      <c r="D3623" s="6" t="str">
        <f>_xll.QS.CONTEXT.ADD.CURVE(C3623,"SOFR",$K$2:$K$7,$L$2:$L$7,,,"Actual360","LogLinear",TRUE)</f>
        <v>QSObject:ContextInput:w1~input.qs_context_add_curve.2359132437744.3622.3.0:36926</v>
      </c>
      <c r="E3623" s="6" t="str">
        <f>_xll.QS.INSTRUMENT.SWAP("swap.3621",H3623,B3623,"USD","SOFR",I3623,J3623,0,"Actual360","Simple","Annual","Annual","Annual")</f>
        <v>QSObject:Swap:w1~swap.3621:15009</v>
      </c>
      <c r="F3623" s="6" t="str">
        <f>_xll.QS.TRADE.CREATE("trade.3621",E3623,A3623,"Receive")</f>
        <v>QSObject:SwapTrade:w1~trade.3621:28215</v>
      </c>
      <c r="G3623" s="3">
        <f>_xll.QS.EVALUATE(C3623,F3623)</f>
        <v>31981.046811795874</v>
      </c>
      <c r="H3623" s="5" t="s">
        <v>3633</v>
      </c>
      <c r="I3623" s="7">
        <v>1362100</v>
      </c>
      <c r="J3623" s="8">
        <v>3.7100000000000001E-2</v>
      </c>
    </row>
    <row r="3624" spans="1:10" x14ac:dyDescent="0.25">
      <c r="A3624" s="5" t="s">
        <v>3621</v>
      </c>
      <c r="B3624" s="5" t="s">
        <v>5491</v>
      </c>
      <c r="C3624" s="6" t="str">
        <f>_xll.QS.CONTEXT.CREATE("market.3622",A3624,"USD","SOFR")</f>
        <v>QSObject:PricingContext:w1~market.3622:15008</v>
      </c>
      <c r="D3624" s="6" t="str">
        <f>_xll.QS.CONTEXT.ADD.CURVE(C3624,"SOFR",$K$2:$K$7,$L$2:$L$7,,,"Actual360","LogLinear",TRUE)</f>
        <v>QSObject:ContextInput:w1~input.qs_context_add_curve.2359132437744.3623.3.0:36925</v>
      </c>
      <c r="E3624" s="6" t="str">
        <f>_xll.QS.INSTRUMENT.SWAP("swap.3622",H3624,B3624,"USD","SOFR",I3624,J3624,0,"Actual360","Simple","Annual","Annual","Annual")</f>
        <v>QSObject:Swap:w1~swap.3622:15007</v>
      </c>
      <c r="F3624" s="6" t="str">
        <f>_xll.QS.TRADE.CREATE("trade.3622",E3624,A3624,"Receive")</f>
        <v>QSObject:SwapTrade:w1~trade.3622:28214</v>
      </c>
      <c r="G3624" s="3">
        <f>_xll.QS.EVALUATE(C3624,F3624)</f>
        <v>32619.16766575777</v>
      </c>
      <c r="H3624" s="5" t="s">
        <v>3635</v>
      </c>
      <c r="I3624" s="7">
        <v>1362200</v>
      </c>
      <c r="J3624" s="8">
        <v>3.7199999999999997E-2</v>
      </c>
    </row>
    <row r="3625" spans="1:10" x14ac:dyDescent="0.25">
      <c r="A3625" s="5" t="s">
        <v>3623</v>
      </c>
      <c r="B3625" s="5" t="s">
        <v>5492</v>
      </c>
      <c r="C3625" s="6" t="str">
        <f>_xll.QS.CONTEXT.CREATE("market.3623",A3625,"USD","SOFR")</f>
        <v>QSObject:PricingContext:w1~market.3623:15006</v>
      </c>
      <c r="D3625" s="6" t="str">
        <f>_xll.QS.CONTEXT.ADD.CURVE(C3625,"SOFR",$K$2:$K$7,$L$2:$L$7,,,"Actual360","LogLinear",TRUE)</f>
        <v>QSObject:ContextInput:w1~input.qs_context_add_curve.2359132437744.3624.3.0:36924</v>
      </c>
      <c r="E3625" s="6" t="str">
        <f>_xll.QS.INSTRUMENT.SWAP("swap.3623",H3625,B3625,"USD","SOFR",I3625,J3625,0,"Actual360","Simple","Annual","Annual","Annual")</f>
        <v>QSObject:Swap:w1~swap.3623:15005</v>
      </c>
      <c r="F3625" s="6" t="str">
        <f>_xll.QS.TRADE.CREATE("trade.3623",E3625,A3625,"Receive")</f>
        <v>QSObject:SwapTrade:w1~trade.3623:28213</v>
      </c>
      <c r="G3625" s="3">
        <f>_xll.QS.EVALUATE(C3625,F3625)</f>
        <v>33251.222084744601</v>
      </c>
      <c r="H3625" s="5" t="s">
        <v>3637</v>
      </c>
      <c r="I3625" s="7">
        <v>1362300</v>
      </c>
      <c r="J3625" s="8">
        <v>3.73E-2</v>
      </c>
    </row>
    <row r="3626" spans="1:10" x14ac:dyDescent="0.25">
      <c r="A3626" s="5" t="s">
        <v>3625</v>
      </c>
      <c r="B3626" s="5" t="s">
        <v>5493</v>
      </c>
      <c r="C3626" s="6" t="str">
        <f>_xll.QS.CONTEXT.CREATE("market.3624",A3626,"USD","SOFR")</f>
        <v>QSObject:PricingContext:w1~market.3624:15004</v>
      </c>
      <c r="D3626" s="6" t="str">
        <f>_xll.QS.CONTEXT.ADD.CURVE(C3626,"SOFR",$K$2:$K$7,$L$2:$L$7,,,"Actual360","LogLinear",TRUE)</f>
        <v>QSObject:ContextInput:w1~input.qs_context_add_curve.2359132437744.3625.3.0:36923</v>
      </c>
      <c r="E3626" s="6" t="str">
        <f>_xll.QS.INSTRUMENT.SWAP("swap.3624",H3626,B3626,"USD","SOFR",I3626,J3626,0,"Actual360","Simple","Annual","Annual","Annual")</f>
        <v>QSObject:Swap:w1~swap.3624:15003</v>
      </c>
      <c r="F3626" s="6" t="str">
        <f>_xll.QS.TRADE.CREATE("trade.3624",E3626,A3626,"Receive")</f>
        <v>QSObject:SwapTrade:w1~trade.3624:28212</v>
      </c>
      <c r="G3626" s="3">
        <f>_xll.QS.EVALUATE(C3626,F3626)</f>
        <v>33714.612014833663</v>
      </c>
      <c r="H3626" s="5" t="s">
        <v>3639</v>
      </c>
      <c r="I3626" s="7">
        <v>1362400</v>
      </c>
      <c r="J3626" s="8">
        <v>3.7400000000000003E-2</v>
      </c>
    </row>
    <row r="3627" spans="1:10" x14ac:dyDescent="0.25">
      <c r="A3627" s="5" t="s">
        <v>3627</v>
      </c>
      <c r="B3627" s="5" t="s">
        <v>5494</v>
      </c>
      <c r="C3627" s="6" t="str">
        <f>_xll.QS.CONTEXT.CREATE("market.3625",A3627,"USD","SOFR")</f>
        <v>QSObject:PricingContext:w1~market.3625:15002</v>
      </c>
      <c r="D3627" s="6" t="str">
        <f>_xll.QS.CONTEXT.ADD.CURVE(C3627,"SOFR",$K$2:$K$7,$L$2:$L$7,,,"Actual360","LogLinear",TRUE)</f>
        <v>QSObject:ContextInput:w1~input.qs_context_add_curve.2359132437744.3626.3.0:36922</v>
      </c>
      <c r="E3627" s="6" t="str">
        <f>_xll.QS.INSTRUMENT.SWAP("swap.3625",H3627,B3627,"USD","SOFR",I3627,J3627,0,"Actual360","Simple","Annual","Annual","Annual")</f>
        <v>QSObject:Swap:w1~swap.3625:15001</v>
      </c>
      <c r="F3627" s="6" t="str">
        <f>_xll.QS.TRADE.CREATE("trade.3625",E3627,A3627,"Receive")</f>
        <v>QSObject:SwapTrade:w1~trade.3625:28211</v>
      </c>
      <c r="G3627" s="3">
        <f>_xll.QS.EVALUATE(C3627,F3627)</f>
        <v>34348.273425567386</v>
      </c>
      <c r="H3627" s="5" t="s">
        <v>3641</v>
      </c>
      <c r="I3627" s="7">
        <v>1362500</v>
      </c>
      <c r="J3627" s="8">
        <v>3.7500000000000012E-2</v>
      </c>
    </row>
    <row r="3628" spans="1:10" x14ac:dyDescent="0.25">
      <c r="A3628" s="5" t="s">
        <v>3629</v>
      </c>
      <c r="B3628" s="5" t="s">
        <v>5495</v>
      </c>
      <c r="C3628" s="6" t="str">
        <f>_xll.QS.CONTEXT.CREATE("market.3626",A3628,"USD","SOFR")</f>
        <v>QSObject:PricingContext:w1~market.3626:15000</v>
      </c>
      <c r="D3628" s="6" t="str">
        <f>_xll.QS.CONTEXT.ADD.CURVE(C3628,"SOFR",$K$2:$K$7,$L$2:$L$7,,,"Actual360","LogLinear",TRUE)</f>
        <v>QSObject:ContextInput:w1~input.qs_context_add_curve.2359132437744.3627.3.0:36921</v>
      </c>
      <c r="E3628" s="6" t="str">
        <f>_xll.QS.INSTRUMENT.SWAP("swap.3626",H3628,B3628,"USD","SOFR",I3628,J3628,0,"Actual360","Simple","Annual","Annual","Annual")</f>
        <v>QSObject:Swap:w1~swap.3626:14999</v>
      </c>
      <c r="F3628" s="6" t="str">
        <f>_xll.QS.TRADE.CREATE("trade.3626",E3628,A3628,"Receive")</f>
        <v>QSObject:SwapTrade:w1~trade.3626:28210</v>
      </c>
      <c r="G3628" s="3">
        <f>_xll.QS.EVALUATE(C3628,F3628)</f>
        <v>35036.708521305482</v>
      </c>
      <c r="H3628" s="5" t="s">
        <v>3643</v>
      </c>
      <c r="I3628" s="7">
        <v>1362600</v>
      </c>
      <c r="J3628" s="8">
        <v>3.7600000000000001E-2</v>
      </c>
    </row>
    <row r="3629" spans="1:10" x14ac:dyDescent="0.25">
      <c r="A3629" s="5" t="s">
        <v>3631</v>
      </c>
      <c r="B3629" s="5" t="s">
        <v>5496</v>
      </c>
      <c r="C3629" s="6" t="str">
        <f>_xll.QS.CONTEXT.CREATE("market.3627",A3629,"USD","SOFR")</f>
        <v>QSObject:PricingContext:w1~market.3627:14998</v>
      </c>
      <c r="D3629" s="6" t="str">
        <f>_xll.QS.CONTEXT.ADD.CURVE(C3629,"SOFR",$K$2:$K$7,$L$2:$L$7,,,"Actual360","LogLinear",TRUE)</f>
        <v>QSObject:ContextInput:w1~input.qs_context_add_curve.2359132437744.3628.3.0:36920</v>
      </c>
      <c r="E3629" s="6" t="str">
        <f>_xll.QS.INSTRUMENT.SWAP("swap.3627",H3629,B3629,"USD","SOFR",I3629,J3629,0,"Actual360","Simple","Annual","Annual","Annual")</f>
        <v>QSObject:Swap:w1~swap.3627:14997</v>
      </c>
      <c r="F3629" s="6" t="str">
        <f>_xll.QS.TRADE.CREATE("trade.3627",E3629,A3629,"Receive")</f>
        <v>QSObject:SwapTrade:w1~trade.3627:28209</v>
      </c>
      <c r="G3629" s="3">
        <f>_xll.QS.EVALUATE(C3629,F3629)</f>
        <v>35767.577665646299</v>
      </c>
      <c r="H3629" s="5" t="s">
        <v>3645</v>
      </c>
      <c r="I3629" s="7">
        <v>1362700</v>
      </c>
      <c r="J3629" s="8">
        <v>3.7699999999999997E-2</v>
      </c>
    </row>
    <row r="3630" spans="1:10" x14ac:dyDescent="0.25">
      <c r="A3630" s="5" t="s">
        <v>3633</v>
      </c>
      <c r="B3630" s="5" t="s">
        <v>5497</v>
      </c>
      <c r="C3630" s="6" t="str">
        <f>_xll.QS.CONTEXT.CREATE("market.3628",A3630,"USD","SOFR")</f>
        <v>QSObject:PricingContext:w1~market.3628:14996</v>
      </c>
      <c r="D3630" s="6" t="str">
        <f>_xll.QS.CONTEXT.ADD.CURVE(C3630,"SOFR",$K$2:$K$7,$L$2:$L$7,,,"Actual360","LogLinear",TRUE)</f>
        <v>QSObject:ContextInput:w1~input.qs_context_add_curve.2359132437744.3629.3.0:36919</v>
      </c>
      <c r="E3630" s="6" t="str">
        <f>_xll.QS.INSTRUMENT.SWAP("swap.3628",H3630,B3630,"USD","SOFR",I3630,J3630,0,"Actual360","Simple","Annual","Annual","Annual")</f>
        <v>QSObject:Swap:w1~swap.3628:14995</v>
      </c>
      <c r="F3630" s="6" t="str">
        <f>_xll.QS.TRADE.CREATE("trade.3628",E3630,A3630,"Receive")</f>
        <v>QSObject:SwapTrade:w1~trade.3628:28208</v>
      </c>
      <c r="G3630" s="3">
        <f>_xll.QS.EVALUATE(C3630,F3630)</f>
        <v>36398.744656344585</v>
      </c>
      <c r="H3630" s="5" t="s">
        <v>3647</v>
      </c>
      <c r="I3630" s="7">
        <v>1362800</v>
      </c>
      <c r="J3630" s="8">
        <v>3.78E-2</v>
      </c>
    </row>
    <row r="3631" spans="1:10" x14ac:dyDescent="0.25">
      <c r="A3631" s="5" t="s">
        <v>3635</v>
      </c>
      <c r="B3631" s="5" t="s">
        <v>5498</v>
      </c>
      <c r="C3631" s="6" t="str">
        <f>_xll.QS.CONTEXT.CREATE("market.3629",A3631,"USD","SOFR")</f>
        <v>QSObject:PricingContext:w1~market.3629:14994</v>
      </c>
      <c r="D3631" s="6" t="str">
        <f>_xll.QS.CONTEXT.ADD.CURVE(C3631,"SOFR",$K$2:$K$7,$L$2:$L$7,,,"Actual360","LogLinear",TRUE)</f>
        <v>QSObject:ContextInput:w1~input.qs_context_add_curve.2359132437744.3630.3.0:36918</v>
      </c>
      <c r="E3631" s="6" t="str">
        <f>_xll.QS.INSTRUMENT.SWAP("swap.3629",H3631,B3631,"USD","SOFR",I3631,J3631,0,"Actual360","Simple","Annual","Annual","Annual")</f>
        <v>QSObject:Swap:w1~swap.3629:14993</v>
      </c>
      <c r="F3631" s="6" t="str">
        <f>_xll.QS.TRADE.CREATE("trade.3629",E3631,A3631,"Receive")</f>
        <v>QSObject:SwapTrade:w1~trade.3629:28207</v>
      </c>
      <c r="G3631" s="3">
        <f>_xll.QS.EVALUATE(C3631,F3631)</f>
        <v>37037.527448858047</v>
      </c>
      <c r="H3631" s="5" t="s">
        <v>3649</v>
      </c>
      <c r="I3631" s="7">
        <v>1362900</v>
      </c>
      <c r="J3631" s="8">
        <v>3.7900000000000003E-2</v>
      </c>
    </row>
    <row r="3632" spans="1:10" x14ac:dyDescent="0.25">
      <c r="A3632" s="5" t="s">
        <v>3637</v>
      </c>
      <c r="B3632" s="5" t="s">
        <v>5499</v>
      </c>
      <c r="C3632" s="6" t="str">
        <f>_xll.QS.CONTEXT.CREATE("market.3630",A3632,"USD","SOFR")</f>
        <v>QSObject:PricingContext:w1~market.3630:14992</v>
      </c>
      <c r="D3632" s="6" t="str">
        <f>_xll.QS.CONTEXT.ADD.CURVE(C3632,"SOFR",$K$2:$K$7,$L$2:$L$7,,,"Actual360","LogLinear",TRUE)</f>
        <v>QSObject:ContextInput:w1~input.qs_context_add_curve.2359132437744.3631.3.0:36917</v>
      </c>
      <c r="E3632" s="6" t="str">
        <f>_xll.QS.INSTRUMENT.SWAP("swap.3630",H3632,B3632,"USD","SOFR",I3632,J3632,0,"Actual360","Simple","Annual","Annual","Annual")</f>
        <v>QSObject:Swap:w1~swap.3630:14991</v>
      </c>
      <c r="F3632" s="6" t="str">
        <f>_xll.QS.TRADE.CREATE("trade.3630",E3632,A3632,"Receive")</f>
        <v>QSObject:SwapTrade:w1~trade.3630:28206</v>
      </c>
      <c r="G3632" s="3">
        <f>_xll.QS.EVALUATE(C3632,F3632)</f>
        <v>37670.245124168956</v>
      </c>
      <c r="H3632" s="5" t="s">
        <v>3651</v>
      </c>
      <c r="I3632" s="7">
        <v>1363000</v>
      </c>
      <c r="J3632" s="8">
        <v>3.8000000000000013E-2</v>
      </c>
    </row>
    <row r="3633" spans="1:10" x14ac:dyDescent="0.25">
      <c r="A3633" s="5" t="s">
        <v>3639</v>
      </c>
      <c r="B3633" s="5" t="s">
        <v>5500</v>
      </c>
      <c r="C3633" s="6" t="str">
        <f>_xll.QS.CONTEXT.CREATE("market.3631",A3633,"USD","SOFR")</f>
        <v>QSObject:PricingContext:w1~market.3631:14990</v>
      </c>
      <c r="D3633" s="6" t="str">
        <f>_xll.QS.CONTEXT.ADD.CURVE(C3633,"SOFR",$K$2:$K$7,$L$2:$L$7,,,"Actual360","LogLinear",TRUE)</f>
        <v>QSObject:ContextInput:w1~input.qs_context_add_curve.2359132437744.3632.3.0:36916</v>
      </c>
      <c r="E3633" s="6" t="str">
        <f>_xll.QS.INSTRUMENT.SWAP("swap.3631",H3633,B3633,"USD","SOFR",I3633,J3633,0,"Actual360","Simple","Annual","Annual","Annual")</f>
        <v>QSObject:Swap:w1~swap.3631:14989</v>
      </c>
      <c r="F3633" s="6" t="str">
        <f>_xll.QS.TRADE.CREATE("trade.3631",E3633,A3633,"Receive")</f>
        <v>QSObject:SwapTrade:w1~trade.3631:28205</v>
      </c>
      <c r="G3633" s="3">
        <f>_xll.QS.EVALUATE(C3633,F3633)</f>
        <v>38133.309391558345</v>
      </c>
      <c r="H3633" s="5" t="s">
        <v>3653</v>
      </c>
      <c r="I3633" s="7">
        <v>1363100</v>
      </c>
      <c r="J3633" s="8">
        <v>3.8100000000000002E-2</v>
      </c>
    </row>
    <row r="3634" spans="1:10" x14ac:dyDescent="0.25">
      <c r="A3634" s="5" t="s">
        <v>3641</v>
      </c>
      <c r="B3634" s="5" t="s">
        <v>5501</v>
      </c>
      <c r="C3634" s="6" t="str">
        <f>_xll.QS.CONTEXT.CREATE("market.3632",A3634,"USD","SOFR")</f>
        <v>QSObject:PricingContext:w1~market.3632:14988</v>
      </c>
      <c r="D3634" s="6" t="str">
        <f>_xll.QS.CONTEXT.ADD.CURVE(C3634,"SOFR",$K$2:$K$7,$L$2:$L$7,,,"Actual360","LogLinear",TRUE)</f>
        <v>QSObject:ContextInput:w1~input.qs_context_add_curve.2359132437744.3633.3.0:36915</v>
      </c>
      <c r="E3634" s="6" t="str">
        <f>_xll.QS.INSTRUMENT.SWAP("swap.3632",H3634,B3634,"USD","SOFR",I3634,J3634,0,"Actual360","Simple","Annual","Annual","Annual")</f>
        <v>QSObject:Swap:w1~swap.3632:14987</v>
      </c>
      <c r="F3634" s="6" t="str">
        <f>_xll.QS.TRADE.CREATE("trade.3632",E3634,A3634,"Receive")</f>
        <v>QSObject:SwapTrade:w1~trade.3632:28204</v>
      </c>
      <c r="G3634" s="3">
        <f>_xll.QS.EVALUATE(C3634,F3634)</f>
        <v>38767.987136812946</v>
      </c>
      <c r="H3634" s="5" t="s">
        <v>3655</v>
      </c>
      <c r="I3634" s="7">
        <v>1363200</v>
      </c>
      <c r="J3634" s="8">
        <v>3.8199999999999998E-2</v>
      </c>
    </row>
    <row r="3635" spans="1:10" x14ac:dyDescent="0.25">
      <c r="A3635" s="5" t="s">
        <v>3643</v>
      </c>
      <c r="B3635" s="5" t="s">
        <v>5502</v>
      </c>
      <c r="C3635" s="6" t="str">
        <f>_xll.QS.CONTEXT.CREATE("market.3633",A3635,"USD","SOFR")</f>
        <v>QSObject:PricingContext:w1~market.3633:14986</v>
      </c>
      <c r="D3635" s="6" t="str">
        <f>_xll.QS.CONTEXT.ADD.CURVE(C3635,"SOFR",$K$2:$K$7,$L$2:$L$7,,,"Actual360","LogLinear",TRUE)</f>
        <v>QSObject:ContextInput:w1~input.qs_context_add_curve.2359132437744.3634.3.0:36914</v>
      </c>
      <c r="E3635" s="6" t="str">
        <f>_xll.QS.INSTRUMENT.SWAP("swap.3633",H3635,B3635,"USD","SOFR",I3635,J3635,0,"Actual360","Simple","Annual","Annual","Annual")</f>
        <v>QSObject:Swap:w1~swap.3633:14985</v>
      </c>
      <c r="F3635" s="6" t="str">
        <f>_xll.QS.TRADE.CREATE("trade.3633",E3635,A3635,"Receive")</f>
        <v>QSObject:SwapTrade:w1~trade.3633:28203</v>
      </c>
      <c r="G3635" s="3">
        <f>_xll.QS.EVALUATE(C3635,F3635)</f>
        <v>39457.52820312688</v>
      </c>
      <c r="H3635" s="5" t="s">
        <v>3657</v>
      </c>
      <c r="I3635" s="7">
        <v>1363300</v>
      </c>
      <c r="J3635" s="8">
        <v>3.8300000000000001E-2</v>
      </c>
    </row>
    <row r="3636" spans="1:10" x14ac:dyDescent="0.25">
      <c r="A3636" s="5" t="s">
        <v>3645</v>
      </c>
      <c r="B3636" s="5" t="s">
        <v>5503</v>
      </c>
      <c r="C3636" s="6" t="str">
        <f>_xll.QS.CONTEXT.CREATE("market.3634",A3636,"USD","SOFR")</f>
        <v>QSObject:PricingContext:w1~market.3634:14984</v>
      </c>
      <c r="D3636" s="6" t="str">
        <f>_xll.QS.CONTEXT.ADD.CURVE(C3636,"SOFR",$K$2:$K$7,$L$2:$L$7,,,"Actual360","LogLinear",TRUE)</f>
        <v>QSObject:ContextInput:w1~input.qs_context_add_curve.2359132437744.3635.3.0:36913</v>
      </c>
      <c r="E3636" s="6" t="str">
        <f>_xll.QS.INSTRUMENT.SWAP("swap.3634",H3636,B3636,"USD","SOFR",I3636,J3636,0,"Actual360","Simple","Annual","Annual","Annual")</f>
        <v>QSObject:Swap:w1~swap.3634:14983</v>
      </c>
      <c r="F3636" s="6" t="str">
        <f>_xll.QS.TRADE.CREATE("trade.3634",E3636,A3636,"Receive")</f>
        <v>QSObject:SwapTrade:w1~trade.3634:28202</v>
      </c>
      <c r="G3636" s="3">
        <f>_xll.QS.EVALUATE(C3636,F3636)</f>
        <v>40189.159781950155</v>
      </c>
      <c r="H3636" s="5" t="s">
        <v>3659</v>
      </c>
      <c r="I3636" s="7">
        <v>1363400</v>
      </c>
      <c r="J3636" s="8">
        <v>3.8399999999999997E-2</v>
      </c>
    </row>
    <row r="3637" spans="1:10" x14ac:dyDescent="0.25">
      <c r="A3637" s="5" t="s">
        <v>3647</v>
      </c>
      <c r="B3637" s="5" t="s">
        <v>5504</v>
      </c>
      <c r="C3637" s="6" t="str">
        <f>_xll.QS.CONTEXT.CREATE("market.3635",A3637,"USD","SOFR")</f>
        <v>QSObject:PricingContext:w1~market.3635:14982</v>
      </c>
      <c r="D3637" s="6" t="str">
        <f>_xll.QS.CONTEXT.ADD.CURVE(C3637,"SOFR",$K$2:$K$7,$L$2:$L$7,,,"Actual360","LogLinear",TRUE)</f>
        <v>QSObject:ContextInput:w1~input.qs_context_add_curve.2359132437744.3636.3.0:36912</v>
      </c>
      <c r="E3637" s="6" t="str">
        <f>_xll.QS.INSTRUMENT.SWAP("swap.3635",H3637,B3637,"USD","SOFR",I3637,J3637,0,"Actual360","Simple","Annual","Annual","Annual")</f>
        <v>QSObject:Swap:w1~swap.3635:14981</v>
      </c>
      <c r="F3637" s="6" t="str">
        <f>_xll.QS.TRADE.CREATE("trade.3635",E3637,A3637,"Receive")</f>
        <v>QSObject:SwapTrade:w1~trade.3635:28201</v>
      </c>
      <c r="G3637" s="3">
        <f>_xll.QS.EVALUATE(C3637,F3637)</f>
        <v>40820.963903407166</v>
      </c>
      <c r="H3637" s="5" t="s">
        <v>3661</v>
      </c>
      <c r="I3637" s="7">
        <v>1363500</v>
      </c>
      <c r="J3637" s="8">
        <v>3.8500000000000013E-2</v>
      </c>
    </row>
    <row r="3638" spans="1:10" x14ac:dyDescent="0.25">
      <c r="A3638" s="5" t="s">
        <v>3649</v>
      </c>
      <c r="B3638" s="5" t="s">
        <v>5505</v>
      </c>
      <c r="C3638" s="6" t="str">
        <f>_xll.QS.CONTEXT.CREATE("market.3636",A3638,"USD","SOFR")</f>
        <v>QSObject:PricingContext:w1~market.3636:14980</v>
      </c>
      <c r="D3638" s="6" t="str">
        <f>_xll.QS.CONTEXT.ADD.CURVE(C3638,"SOFR",$K$2:$K$7,$L$2:$L$7,,,"Actual360","LogLinear",TRUE)</f>
        <v>QSObject:ContextInput:w1~input.qs_context_add_curve.2359132437744.3637.3.0:36911</v>
      </c>
      <c r="E3638" s="6" t="str">
        <f>_xll.QS.INSTRUMENT.SWAP("swap.3636",H3638,B3638,"USD","SOFR",I3638,J3638,0,"Actual360","Simple","Annual","Annual","Annual")</f>
        <v>QSObject:Swap:w1~swap.3636:14979</v>
      </c>
      <c r="F3638" s="6" t="str">
        <f>_xll.QS.TRADE.CREATE("trade.3636",E3638,A3638,"Receive")</f>
        <v>QSObject:SwapTrade:w1~trade.3636:28200</v>
      </c>
      <c r="G3638" s="3">
        <f>_xll.QS.EVALUATE(C3638,F3638)</f>
        <v>41460.26924969058</v>
      </c>
      <c r="H3638" s="5" t="s">
        <v>3663</v>
      </c>
      <c r="I3638" s="7">
        <v>1363600</v>
      </c>
      <c r="J3638" s="8">
        <v>3.8600000000000002E-2</v>
      </c>
    </row>
    <row r="3639" spans="1:10" x14ac:dyDescent="0.25">
      <c r="A3639" s="5" t="s">
        <v>3651</v>
      </c>
      <c r="B3639" s="5" t="s">
        <v>5506</v>
      </c>
      <c r="C3639" s="6" t="str">
        <f>_xll.QS.CONTEXT.CREATE("market.3637",A3639,"USD","SOFR")</f>
        <v>QSObject:PricingContext:w1~market.3637:14978</v>
      </c>
      <c r="D3639" s="6" t="str">
        <f>_xll.QS.CONTEXT.ADD.CURVE(C3639,"SOFR",$K$2:$K$7,$L$2:$L$7,,,"Actual360","LogLinear",TRUE)</f>
        <v>QSObject:ContextInput:w1~input.qs_context_add_curve.2359132437744.3638.3.0:36910</v>
      </c>
      <c r="E3639" s="6" t="str">
        <f>_xll.QS.INSTRUMENT.SWAP("swap.3637",H3639,B3639,"USD","SOFR",I3639,J3639,0,"Actual360","Simple","Annual","Annual","Annual")</f>
        <v>QSObject:Swap:w1~swap.3637:14977</v>
      </c>
      <c r="F3639" s="6" t="str">
        <f>_xll.QS.TRADE.CREATE("trade.3637",E3639,A3639,"Receive")</f>
        <v>QSObject:SwapTrade:w1~trade.3637:28199</v>
      </c>
      <c r="G3639" s="3">
        <f>_xll.QS.EVALUATE(C3639,F3639)</f>
        <v>41921.259428386235</v>
      </c>
      <c r="H3639" s="5" t="s">
        <v>3665</v>
      </c>
      <c r="I3639" s="7">
        <v>1363700</v>
      </c>
      <c r="J3639" s="8">
        <v>3.8700000000000012E-2</v>
      </c>
    </row>
    <row r="3640" spans="1:10" x14ac:dyDescent="0.25">
      <c r="A3640" s="5" t="s">
        <v>3653</v>
      </c>
      <c r="B3640" s="5" t="s">
        <v>5507</v>
      </c>
      <c r="C3640" s="6" t="str">
        <f>_xll.QS.CONTEXT.CREATE("market.3638",A3640,"USD","SOFR")</f>
        <v>QSObject:PricingContext:w1~market.3638:14976</v>
      </c>
      <c r="D3640" s="6" t="str">
        <f>_xll.QS.CONTEXT.ADD.CURVE(C3640,"SOFR",$K$2:$K$7,$L$2:$L$7,,,"Actual360","LogLinear",TRUE)</f>
        <v>QSObject:ContextInput:w1~input.qs_context_add_curve.2359132437744.3639.3.0:36909</v>
      </c>
      <c r="E3640" s="6" t="str">
        <f>_xll.QS.INSTRUMENT.SWAP("swap.3638",H3640,B3640,"USD","SOFR",I3640,J3640,0,"Actual360","Simple","Annual","Annual","Annual")</f>
        <v>QSObject:Swap:w1~swap.3638:14975</v>
      </c>
      <c r="F3640" s="6" t="str">
        <f>_xll.QS.TRADE.CREATE("trade.3638",E3640,A3640,"Receive")</f>
        <v>QSObject:SwapTrade:w1~trade.3638:28198</v>
      </c>
      <c r="G3640" s="3">
        <f>_xll.QS.EVALUATE(C3640,F3640)</f>
        <v>42556.419452486836</v>
      </c>
      <c r="H3640" s="5" t="s">
        <v>3667</v>
      </c>
      <c r="I3640" s="7">
        <v>1363800</v>
      </c>
      <c r="J3640" s="8">
        <v>3.8800000000000001E-2</v>
      </c>
    </row>
    <row r="3641" spans="1:10" x14ac:dyDescent="0.25">
      <c r="A3641" s="5" t="s">
        <v>3655</v>
      </c>
      <c r="B3641" s="5" t="s">
        <v>5508</v>
      </c>
      <c r="C3641" s="6" t="str">
        <f>_xll.QS.CONTEXT.CREATE("market.3639",A3641,"USD","SOFR")</f>
        <v>QSObject:PricingContext:w1~market.3639:14974</v>
      </c>
      <c r="D3641" s="6" t="str">
        <f>_xll.QS.CONTEXT.ADD.CURVE(C3641,"SOFR",$K$2:$K$7,$L$2:$L$7,,,"Actual360","LogLinear",TRUE)</f>
        <v>QSObject:ContextInput:w1~input.qs_context_add_curve.2359132437744.3640.3.0:36908</v>
      </c>
      <c r="E3641" s="6" t="str">
        <f>_xll.QS.INSTRUMENT.SWAP("swap.3639",H3641,B3641,"USD","SOFR",I3641,J3641,0,"Actual360","Simple","Annual","Annual","Annual")</f>
        <v>QSObject:Swap:w1~swap.3639:14973</v>
      </c>
      <c r="F3641" s="6" t="str">
        <f>_xll.QS.TRADE.CREATE("trade.3639",E3641,A3641,"Receive")</f>
        <v>QSObject:SwapTrade:w1~trade.3639:28197</v>
      </c>
      <c r="G3641" s="3">
        <f>_xll.QS.EVALUATE(C3641,F3641)</f>
        <v>43192.337957186581</v>
      </c>
      <c r="H3641" s="5" t="s">
        <v>3669</v>
      </c>
      <c r="I3641" s="7">
        <v>1363900</v>
      </c>
      <c r="J3641" s="8">
        <v>3.8899999999999997E-2</v>
      </c>
    </row>
    <row r="3642" spans="1:10" x14ac:dyDescent="0.25">
      <c r="A3642" s="5" t="s">
        <v>3657</v>
      </c>
      <c r="B3642" s="5" t="s">
        <v>5509</v>
      </c>
      <c r="C3642" s="6" t="str">
        <f>_xll.QS.CONTEXT.CREATE("market.3640",A3642,"USD","SOFR")</f>
        <v>QSObject:PricingContext:w1~market.3640:14972</v>
      </c>
      <c r="D3642" s="6" t="str">
        <f>_xll.QS.CONTEXT.ADD.CURVE(C3642,"SOFR",$K$2:$K$7,$L$2:$L$7,,,"Actual360","LogLinear",TRUE)</f>
        <v>QSObject:ContextInput:w1~input.qs_context_add_curve.2359132437744.3641.3.0:36907</v>
      </c>
      <c r="E3642" s="6" t="str">
        <f>_xll.QS.INSTRUMENT.SWAP("swap.3640",H3642,B3642,"USD","SOFR",I3642,J3642,0,"Actual360","Simple","Annual","Annual","Annual")</f>
        <v>QSObject:Swap:w1~swap.3640:14971</v>
      </c>
      <c r="F3642" s="6" t="str">
        <f>_xll.QS.TRADE.CREATE("trade.3640",E3642,A3642,"Receive")</f>
        <v>QSObject:SwapTrade:w1~trade.3640:28196</v>
      </c>
      <c r="G3642" s="3">
        <f>_xll.QS.EVALUATE(C3642,F3642)</f>
        <v>44034.017347561952</v>
      </c>
      <c r="H3642" s="5" t="s">
        <v>3671</v>
      </c>
      <c r="I3642" s="7">
        <v>1364000</v>
      </c>
      <c r="J3642" s="8">
        <v>3.9000000000000007E-2</v>
      </c>
    </row>
    <row r="3643" spans="1:10" x14ac:dyDescent="0.25">
      <c r="A3643" s="5" t="s">
        <v>3659</v>
      </c>
      <c r="B3643" s="5" t="s">
        <v>5510</v>
      </c>
      <c r="C3643" s="6" t="str">
        <f>_xll.QS.CONTEXT.CREATE("market.3641",A3643,"USD","SOFR")</f>
        <v>QSObject:PricingContext:w1~market.3641:14970</v>
      </c>
      <c r="D3643" s="6" t="str">
        <f>_xll.QS.CONTEXT.ADD.CURVE(C3643,"SOFR",$K$2:$K$7,$L$2:$L$7,,,"Actual360","LogLinear",TRUE)</f>
        <v>QSObject:ContextInput:w1~input.qs_context_add_curve.2359132437744.3642.3.0:36906</v>
      </c>
      <c r="E3643" s="6" t="str">
        <f>_xll.QS.INSTRUMENT.SWAP("swap.3641",H3643,B3643,"USD","SOFR",I3643,J3643,0,"Actual360","Simple","Annual","Annual","Annual")</f>
        <v>QSObject:Swap:w1~swap.3641:14969</v>
      </c>
      <c r="F3643" s="6" t="str">
        <f>_xll.QS.TRADE.CREATE("trade.3641",E3643,A3643,"Receive")</f>
        <v>QSObject:SwapTrade:w1~trade.3641:28195</v>
      </c>
      <c r="G3643" s="3">
        <f>_xll.QS.EVALUATE(C3643,F3643)</f>
        <v>44665.550726577581</v>
      </c>
      <c r="H3643" s="5" t="s">
        <v>3673</v>
      </c>
      <c r="I3643" s="7">
        <v>1364100</v>
      </c>
      <c r="J3643" s="8">
        <v>3.9100000000000003E-2</v>
      </c>
    </row>
    <row r="3644" spans="1:10" x14ac:dyDescent="0.25">
      <c r="A3644" s="5" t="s">
        <v>3661</v>
      </c>
      <c r="B3644" s="5" t="s">
        <v>5511</v>
      </c>
      <c r="C3644" s="6" t="str">
        <f>_xll.QS.CONTEXT.CREATE("market.3642",A3644,"USD","SOFR")</f>
        <v>QSObject:PricingContext:w1~market.3642:14968</v>
      </c>
      <c r="D3644" s="6" t="str">
        <f>_xll.QS.CONTEXT.ADD.CURVE(C3644,"SOFR",$K$2:$K$7,$L$2:$L$7,,,"Actual360","LogLinear",TRUE)</f>
        <v>QSObject:ContextInput:w1~input.qs_context_add_curve.2359132437744.3643.3.0:36905</v>
      </c>
      <c r="E3644" s="6" t="str">
        <f>_xll.QS.INSTRUMENT.SWAP("swap.3642",H3644,B3644,"USD","SOFR",I3644,J3644,0,"Actual360","Simple","Annual","Annual","Annual")</f>
        <v>QSObject:Swap:w1~swap.3642:14967</v>
      </c>
      <c r="F3644" s="6" t="str">
        <f>_xll.QS.TRADE.CREATE("trade.3642",E3644,A3644,"Receive")</f>
        <v>QSObject:SwapTrade:w1~trade.3642:28194</v>
      </c>
      <c r="G3644" s="3">
        <f>_xll.QS.EVALUATE(C3644,F3644)</f>
        <v>45309.383082924898</v>
      </c>
      <c r="H3644" s="5" t="s">
        <v>3675</v>
      </c>
      <c r="I3644" s="7">
        <v>1364200</v>
      </c>
      <c r="J3644" s="8">
        <v>3.9200000000000013E-2</v>
      </c>
    </row>
    <row r="3645" spans="1:10" x14ac:dyDescent="0.25">
      <c r="A3645" s="5" t="s">
        <v>3663</v>
      </c>
      <c r="B3645" s="5" t="s">
        <v>5512</v>
      </c>
      <c r="C3645" s="6" t="str">
        <f>_xll.QS.CONTEXT.CREATE("market.3643",A3645,"USD","SOFR")</f>
        <v>QSObject:PricingContext:w1~market.3643:14966</v>
      </c>
      <c r="D3645" s="6" t="str">
        <f>_xll.QS.CONTEXT.ADD.CURVE(C3645,"SOFR",$K$2:$K$7,$L$2:$L$7,,,"Actual360","LogLinear",TRUE)</f>
        <v>QSObject:ContextInput:w1~input.qs_context_add_curve.2359132437744.3644.3.0:36904</v>
      </c>
      <c r="E3645" s="6" t="str">
        <f>_xll.QS.INSTRUMENT.SWAP("swap.3643",H3645,B3645,"USD","SOFR",I3645,J3645,0,"Actual360","Simple","Annual","Annual","Annual")</f>
        <v>QSObject:Swap:w1~swap.3643:14965</v>
      </c>
      <c r="F3645" s="6" t="str">
        <f>_xll.QS.TRADE.CREATE("trade.3643",E3645,A3645,"Receive")</f>
        <v>QSObject:SwapTrade:w1~trade.3643:28193</v>
      </c>
      <c r="G3645" s="3">
        <f>_xll.QS.EVALUATE(C3645,F3645)</f>
        <v>45942.499107863172</v>
      </c>
      <c r="H3645" s="5" t="s">
        <v>3677</v>
      </c>
      <c r="I3645" s="7">
        <v>1364300</v>
      </c>
      <c r="J3645" s="8">
        <v>3.9300000000000002E-2</v>
      </c>
    </row>
    <row r="3646" spans="1:10" x14ac:dyDescent="0.25">
      <c r="A3646" s="5" t="s">
        <v>3665</v>
      </c>
      <c r="B3646" s="5" t="s">
        <v>5513</v>
      </c>
      <c r="C3646" s="6" t="str">
        <f>_xll.QS.CONTEXT.CREATE("market.3644",A3646,"USD","SOFR")</f>
        <v>QSObject:PricingContext:w1~market.3644:14964</v>
      </c>
      <c r="D3646" s="6" t="str">
        <f>_xll.QS.CONTEXT.ADD.CURVE(C3646,"SOFR",$K$2:$K$7,$L$2:$L$7,,,"Actual360","LogLinear",TRUE)</f>
        <v>QSObject:ContextInput:w1~input.qs_context_add_curve.2359132437744.3645.3.0:36903</v>
      </c>
      <c r="E3646" s="6" t="str">
        <f>_xll.QS.INSTRUMENT.SWAP("swap.3644",H3646,B3646,"USD","SOFR",I3646,J3646,0,"Actual360","Simple","Annual","Annual","Annual")</f>
        <v>QSObject:Swap:w1~swap.3644:14963</v>
      </c>
      <c r="F3646" s="6" t="str">
        <f>_xll.QS.TRADE.CREATE("trade.3644",E3646,A3646,"Receive")</f>
        <v>QSObject:SwapTrade:w1~trade.3644:28192</v>
      </c>
      <c r="G3646" s="3">
        <f>_xll.QS.EVALUATE(C3646,F3646)</f>
        <v>46521.184198408686</v>
      </c>
      <c r="H3646" s="5" t="s">
        <v>3679</v>
      </c>
      <c r="I3646" s="7">
        <v>1364400</v>
      </c>
      <c r="J3646" s="8">
        <v>3.9399999999999998E-2</v>
      </c>
    </row>
    <row r="3647" spans="1:10" x14ac:dyDescent="0.25">
      <c r="A3647" s="5" t="s">
        <v>3667</v>
      </c>
      <c r="B3647" s="5" t="s">
        <v>5514</v>
      </c>
      <c r="C3647" s="6" t="str">
        <f>_xll.QS.CONTEXT.CREATE("market.3645",A3647,"USD","SOFR")</f>
        <v>QSObject:PricingContext:w1~market.3645:14962</v>
      </c>
      <c r="D3647" s="6" t="str">
        <f>_xll.QS.CONTEXT.ADD.CURVE(C3647,"SOFR",$K$2:$K$7,$L$2:$L$7,,,"Actual360","LogLinear",TRUE)</f>
        <v>QSObject:ContextInput:w1~input.qs_context_add_curve.2359132437744.3646.3.0:36902</v>
      </c>
      <c r="E3647" s="6" t="str">
        <f>_xll.QS.INSTRUMENT.SWAP("swap.3645",H3647,B3647,"USD","SOFR",I3647,J3647,0,"Actual360","Simple","Annual","Annual","Annual")</f>
        <v>QSObject:Swap:w1~swap.3645:14961</v>
      </c>
      <c r="F3647" s="6" t="str">
        <f>_xll.QS.TRADE.CREATE("trade.3645",E3647,A3647,"Receive")</f>
        <v>QSObject:SwapTrade:w1~trade.3645:28191</v>
      </c>
      <c r="G3647" s="3">
        <f>_xll.QS.EVALUATE(C3647,F3647)</f>
        <v>46984.153908393659</v>
      </c>
      <c r="H3647" s="5" t="s">
        <v>3681</v>
      </c>
      <c r="I3647" s="7">
        <v>1364500</v>
      </c>
      <c r="J3647" s="8">
        <v>3.9500000000000007E-2</v>
      </c>
    </row>
    <row r="3648" spans="1:10" x14ac:dyDescent="0.25">
      <c r="A3648" s="5" t="s">
        <v>3669</v>
      </c>
      <c r="B3648" s="5" t="s">
        <v>5515</v>
      </c>
      <c r="C3648" s="6" t="str">
        <f>_xll.QS.CONTEXT.CREATE("market.3646",A3648,"USD","SOFR")</f>
        <v>QSObject:PricingContext:w1~market.3646:14960</v>
      </c>
      <c r="D3648" s="6" t="str">
        <f>_xll.QS.CONTEXT.ADD.CURVE(C3648,"SOFR",$K$2:$K$7,$L$2:$L$7,,,"Actual360","LogLinear",TRUE)</f>
        <v>QSObject:ContextInput:w1~input.qs_context_add_curve.2359132437744.3647.3.0:36901</v>
      </c>
      <c r="E3648" s="6" t="str">
        <f>_xll.QS.INSTRUMENT.SWAP("swap.3646",H3648,B3648,"USD","SOFR",I3648,J3648,0,"Actual360","Simple","Annual","Annual","Annual")</f>
        <v>QSObject:Swap:w1~swap.3646:14959</v>
      </c>
      <c r="F3648" s="6" t="str">
        <f>_xll.QS.TRADE.CREATE("trade.3646",E3648,A3648,"Receive")</f>
        <v>QSObject:SwapTrade:w1~trade.3646:28190</v>
      </c>
      <c r="G3648" s="3">
        <f>_xll.QS.EVALUATE(C3648,F3648)</f>
        <v>47621.093664345593</v>
      </c>
      <c r="H3648" s="5" t="s">
        <v>3683</v>
      </c>
      <c r="I3648" s="7">
        <v>1364600</v>
      </c>
      <c r="J3648" s="8">
        <v>3.9600000000000003E-2</v>
      </c>
    </row>
    <row r="3649" spans="1:10" x14ac:dyDescent="0.25">
      <c r="A3649" s="5" t="s">
        <v>3671</v>
      </c>
      <c r="B3649" s="5" t="s">
        <v>5516</v>
      </c>
      <c r="C3649" s="6" t="str">
        <f>_xll.QS.CONTEXT.CREATE("market.3647",A3649,"USD","SOFR")</f>
        <v>QSObject:PricingContext:w1~market.3647:14958</v>
      </c>
      <c r="D3649" s="6" t="str">
        <f>_xll.QS.CONTEXT.ADD.CURVE(C3649,"SOFR",$K$2:$K$7,$L$2:$L$7,,,"Actual360","LogLinear",TRUE)</f>
        <v>QSObject:ContextInput:w1~input.qs_context_add_curve.2359132437744.3648.3.0:36900</v>
      </c>
      <c r="E3649" s="6" t="str">
        <f>_xll.QS.INSTRUMENT.SWAP("swap.3647",H3649,B3649,"USD","SOFR",I3649,J3649,0,"Actual360","Simple","Annual","Annual","Annual")</f>
        <v>QSObject:Swap:w1~swap.3647:14957</v>
      </c>
      <c r="F3649" s="6" t="str">
        <f>_xll.QS.TRADE.CREATE("trade.3647",E3649,A3649,"Receive")</f>
        <v>QSObject:SwapTrade:w1~trade.3647:28189</v>
      </c>
      <c r="G3649" s="3">
        <f>_xll.QS.EVALUATE(C3649,F3649)</f>
        <v>48312.849232580316</v>
      </c>
      <c r="H3649" s="5" t="s">
        <v>3685</v>
      </c>
      <c r="I3649" s="7">
        <v>1364700</v>
      </c>
      <c r="J3649" s="8">
        <v>3.9700000000000013E-2</v>
      </c>
    </row>
    <row r="3650" spans="1:10" x14ac:dyDescent="0.25">
      <c r="A3650" s="5" t="s">
        <v>3673</v>
      </c>
      <c r="B3650" s="5" t="s">
        <v>5517</v>
      </c>
      <c r="C3650" s="6" t="str">
        <f>_xll.QS.CONTEXT.CREATE("market.3648",A3650,"USD","SOFR")</f>
        <v>QSObject:PricingContext:w1~market.3648:14956</v>
      </c>
      <c r="D3650" s="6" t="str">
        <f>_xll.QS.CONTEXT.ADD.CURVE(C3650,"SOFR",$K$2:$K$7,$L$2:$L$7,,,"Actual360","LogLinear",TRUE)</f>
        <v>QSObject:ContextInput:w1~input.qs_context_add_curve.2359132437744.3649.3.0:36899</v>
      </c>
      <c r="E3650" s="6" t="str">
        <f>_xll.QS.INSTRUMENT.SWAP("swap.3648",H3650,B3650,"USD","SOFR",I3650,J3650,0,"Actual360","Simple","Annual","Annual","Annual")</f>
        <v>QSObject:Swap:w1~swap.3648:14955</v>
      </c>
      <c r="F3650" s="6" t="str">
        <f>_xll.QS.TRADE.CREATE("trade.3648",E3650,A3650,"Receive")</f>
        <v>QSObject:SwapTrade:w1~trade.3648:28188</v>
      </c>
      <c r="G3650" s="3">
        <f>_xll.QS.EVALUATE(C3650,F3650)</f>
        <v>49046.490609569599</v>
      </c>
      <c r="H3650" s="5" t="s">
        <v>3687</v>
      </c>
      <c r="I3650" s="7">
        <v>1364800</v>
      </c>
      <c r="J3650" s="8">
        <v>3.9800000000000002E-2</v>
      </c>
    </row>
    <row r="3651" spans="1:10" x14ac:dyDescent="0.25">
      <c r="A3651" s="5" t="s">
        <v>3675</v>
      </c>
      <c r="B3651" s="5" t="s">
        <v>5518</v>
      </c>
      <c r="C3651" s="6" t="str">
        <f>_xll.QS.CONTEXT.CREATE("market.3649",A3651,"USD","SOFR")</f>
        <v>QSObject:PricingContext:w1~market.3649:14954</v>
      </c>
      <c r="D3651" s="6" t="str">
        <f>_xll.QS.CONTEXT.ADD.CURVE(C3651,"SOFR",$K$2:$K$7,$L$2:$L$7,,,"Actual360","LogLinear",TRUE)</f>
        <v>QSObject:ContextInput:w1~input.qs_context_add_curve.2359132437744.3650.3.0:36898</v>
      </c>
      <c r="E3651" s="6" t="str">
        <f>_xll.QS.INSTRUMENT.SWAP("swap.3649",H3651,B3651,"USD","SOFR",I3651,J3651,0,"Actual360","Simple","Annual","Annual","Annual")</f>
        <v>QSObject:Swap:w1~swap.3649:14953</v>
      </c>
      <c r="F3651" s="6" t="str">
        <f>_xll.QS.TRADE.CREATE("trade.3649",E3651,A3651,"Receive")</f>
        <v>QSObject:SwapTrade:w1~trade.3649:28187</v>
      </c>
      <c r="G3651" s="3">
        <f>_xll.QS.EVALUATE(C3651,F3651)</f>
        <v>49679.597642120658</v>
      </c>
      <c r="H3651" s="5" t="s">
        <v>3689</v>
      </c>
      <c r="I3651" s="7">
        <v>1364900</v>
      </c>
      <c r="J3651" s="8">
        <v>3.9899999999999998E-2</v>
      </c>
    </row>
    <row r="3652" spans="1:10" x14ac:dyDescent="0.25">
      <c r="A3652" s="5" t="s">
        <v>3677</v>
      </c>
      <c r="B3652" s="5" t="s">
        <v>5519</v>
      </c>
      <c r="C3652" s="6" t="str">
        <f>_xll.QS.CONTEXT.CREATE("market.3650",A3652,"USD","SOFR")</f>
        <v>QSObject:PricingContext:w1~market.3650:14952</v>
      </c>
      <c r="D3652" s="6" t="str">
        <f>_xll.QS.CONTEXT.ADD.CURVE(C3652,"SOFR",$K$2:$K$7,$L$2:$L$7,,,"Actual360","LogLinear",TRUE)</f>
        <v>QSObject:ContextInput:w1~input.qs_context_add_curve.2359132437744.3651.3.0:36897</v>
      </c>
      <c r="E3652" s="6" t="str">
        <f>_xll.QS.INSTRUMENT.SWAP("swap.3650",H3652,B3652,"USD","SOFR",I3652,J3652,0,"Actual360","Simple","Annual","Annual","Annual")</f>
        <v>QSObject:Swap:w1~swap.3650:14951</v>
      </c>
      <c r="F3652" s="6" t="str">
        <f>_xll.QS.TRADE.CREATE("trade.3650",E3652,A3652,"Receive")</f>
        <v>QSObject:SwapTrade:w1~trade.3650:28186</v>
      </c>
      <c r="G3652" s="3">
        <f>_xll.QS.EVALUATE(C3652,F3652)</f>
        <v>18831.30854910241</v>
      </c>
      <c r="H3652" s="5" t="s">
        <v>3691</v>
      </c>
      <c r="I3652" s="7">
        <v>1365000</v>
      </c>
      <c r="J3652" s="8">
        <v>3.5000000000000003E-2</v>
      </c>
    </row>
    <row r="3653" spans="1:10" x14ac:dyDescent="0.25">
      <c r="A3653" s="5" t="s">
        <v>3679</v>
      </c>
      <c r="B3653" s="5" t="s">
        <v>5520</v>
      </c>
      <c r="C3653" s="6" t="str">
        <f>_xll.QS.CONTEXT.CREATE("market.3651",A3653,"USD","SOFR")</f>
        <v>QSObject:PricingContext:w1~market.3651:14950</v>
      </c>
      <c r="D3653" s="6" t="str">
        <f>_xll.QS.CONTEXT.ADD.CURVE(C3653,"SOFR",$K$2:$K$7,$L$2:$L$7,,,"Actual360","LogLinear",TRUE)</f>
        <v>QSObject:ContextInput:w1~input.qs_context_add_curve.2359132437744.3652.3.0:36896</v>
      </c>
      <c r="E3653" s="6" t="str">
        <f>_xll.QS.INSTRUMENT.SWAP("swap.3651",H3653,B3653,"USD","SOFR",I3653,J3653,0,"Actual360","Simple","Annual","Annual","Annual")</f>
        <v>QSObject:Swap:w1~swap.3651:14949</v>
      </c>
      <c r="F3653" s="6" t="str">
        <f>_xll.QS.TRADE.CREATE("trade.3651",E3653,A3653,"Receive")</f>
        <v>QSObject:SwapTrade:w1~trade.3651:28185</v>
      </c>
      <c r="G3653" s="3">
        <f>_xll.QS.EVALUATE(C3653,F3653)</f>
        <v>19463.589384565021</v>
      </c>
      <c r="H3653" s="5" t="s">
        <v>3693</v>
      </c>
      <c r="I3653" s="7">
        <v>1365100</v>
      </c>
      <c r="J3653" s="8">
        <v>3.5100000000000013E-2</v>
      </c>
    </row>
    <row r="3654" spans="1:10" x14ac:dyDescent="0.25">
      <c r="A3654" s="5" t="s">
        <v>3681</v>
      </c>
      <c r="B3654" s="5" t="s">
        <v>5521</v>
      </c>
      <c r="C3654" s="6" t="str">
        <f>_xll.QS.CONTEXT.CREATE("market.3652",A3654,"USD","SOFR")</f>
        <v>QSObject:PricingContext:w1~market.3652:14948</v>
      </c>
      <c r="D3654" s="6" t="str">
        <f>_xll.QS.CONTEXT.ADD.CURVE(C3654,"SOFR",$K$2:$K$7,$L$2:$L$7,,,"Actual360","LogLinear",TRUE)</f>
        <v>QSObject:ContextInput:w1~input.qs_context_add_curve.2359132437744.3653.3.0:36895</v>
      </c>
      <c r="E3654" s="6" t="str">
        <f>_xll.QS.INSTRUMENT.SWAP("swap.3652",H3654,B3654,"USD","SOFR",I3654,J3654,0,"Actual360","Simple","Annual","Annual","Annual")</f>
        <v>QSObject:Swap:w1~swap.3652:14947</v>
      </c>
      <c r="F3654" s="6" t="str">
        <f>_xll.QS.TRADE.CREATE("trade.3652",E3654,A3654,"Receive")</f>
        <v>QSObject:SwapTrade:w1~trade.3652:28184</v>
      </c>
      <c r="G3654" s="3">
        <f>_xll.QS.EVALUATE(C3654,F3654)</f>
        <v>19929.698793842021</v>
      </c>
      <c r="H3654" s="5" t="s">
        <v>3695</v>
      </c>
      <c r="I3654" s="7">
        <v>1365200</v>
      </c>
      <c r="J3654" s="8">
        <v>3.5200000000000002E-2</v>
      </c>
    </row>
    <row r="3655" spans="1:10" x14ac:dyDescent="0.25">
      <c r="A3655" s="5" t="s">
        <v>3683</v>
      </c>
      <c r="B3655" s="5" t="s">
        <v>5522</v>
      </c>
      <c r="C3655" s="6" t="str">
        <f>_xll.QS.CONTEXT.CREATE("market.3653",A3655,"USD","SOFR")</f>
        <v>QSObject:PricingContext:w1~market.3653:14946</v>
      </c>
      <c r="D3655" s="6" t="str">
        <f>_xll.QS.CONTEXT.ADD.CURVE(C3655,"SOFR",$K$2:$K$7,$L$2:$L$7,,,"Actual360","LogLinear",TRUE)</f>
        <v>QSObject:ContextInput:w1~input.qs_context_add_curve.2359132437744.3654.3.0:36894</v>
      </c>
      <c r="E3655" s="6" t="str">
        <f>_xll.QS.INSTRUMENT.SWAP("swap.3653",H3655,B3655,"USD","SOFR",I3655,J3655,0,"Actual360","Simple","Annual","Annual","Annual")</f>
        <v>QSObject:Swap:w1~swap.3653:14945</v>
      </c>
      <c r="F3655" s="6" t="str">
        <f>_xll.QS.TRADE.CREATE("trade.3653",E3655,A3655,"Receive")</f>
        <v>QSObject:SwapTrade:w1~trade.3653:28183</v>
      </c>
      <c r="G3655" s="3">
        <f>_xll.QS.EVALUATE(C3655,F3655)</f>
        <v>20562.480504753541</v>
      </c>
      <c r="H3655" s="5" t="s">
        <v>3696</v>
      </c>
      <c r="I3655" s="7">
        <v>1365300</v>
      </c>
      <c r="J3655" s="8">
        <v>3.5299999999999998E-2</v>
      </c>
    </row>
    <row r="3656" spans="1:10" x14ac:dyDescent="0.25">
      <c r="A3656" s="5" t="s">
        <v>3685</v>
      </c>
      <c r="B3656" s="5" t="s">
        <v>5523</v>
      </c>
      <c r="C3656" s="6" t="str">
        <f>_xll.QS.CONTEXT.CREATE("market.3654",A3656,"USD","SOFR")</f>
        <v>QSObject:PricingContext:w1~market.3654:14944</v>
      </c>
      <c r="D3656" s="6" t="str">
        <f>_xll.QS.CONTEXT.ADD.CURVE(C3656,"SOFR",$K$2:$K$7,$L$2:$L$7,,,"Actual360","LogLinear",TRUE)</f>
        <v>QSObject:ContextInput:w1~input.qs_context_add_curve.2359132437744.3655.3.0:36893</v>
      </c>
      <c r="E3656" s="6" t="str">
        <f>_xll.QS.INSTRUMENT.SWAP("swap.3654",H3656,B3656,"USD","SOFR",I3656,J3656,0,"Actual360","Simple","Annual","Annual","Annual")</f>
        <v>QSObject:Swap:w1~swap.3654:14943</v>
      </c>
      <c r="F3656" s="6" t="str">
        <f>_xll.QS.TRADE.CREATE("trade.3654",E3656,A3656,"Receive")</f>
        <v>QSObject:SwapTrade:w1~trade.3654:28182</v>
      </c>
      <c r="G3656" s="3">
        <f>_xll.QS.EVALUATE(C3656,F3656)</f>
        <v>21249.954539282757</v>
      </c>
      <c r="H3656" s="5" t="s">
        <v>3697</v>
      </c>
      <c r="I3656" s="7">
        <v>1365400</v>
      </c>
      <c r="J3656" s="8">
        <v>3.5400000000000001E-2</v>
      </c>
    </row>
    <row r="3657" spans="1:10" x14ac:dyDescent="0.25">
      <c r="A3657" s="5" t="s">
        <v>3687</v>
      </c>
      <c r="B3657" s="5" t="s">
        <v>5524</v>
      </c>
      <c r="C3657" s="6" t="str">
        <f>_xll.QS.CONTEXT.CREATE("market.3655",A3657,"USD","SOFR")</f>
        <v>QSObject:PricingContext:w1~market.3655:14942</v>
      </c>
      <c r="D3657" s="6" t="str">
        <f>_xll.QS.CONTEXT.ADD.CURVE(C3657,"SOFR",$K$2:$K$7,$L$2:$L$7,,,"Actual360","LogLinear",TRUE)</f>
        <v>QSObject:ContextInput:w1~input.qs_context_add_curve.2359132437744.3656.3.0:36892</v>
      </c>
      <c r="E3657" s="6" t="str">
        <f>_xll.QS.INSTRUMENT.SWAP("swap.3655",H3657,B3657,"USD","SOFR",I3657,J3657,0,"Actual360","Simple","Annual","Annual","Annual")</f>
        <v>QSObject:Swap:w1~swap.3655:14941</v>
      </c>
      <c r="F3657" s="6" t="str">
        <f>_xll.QS.TRADE.CREATE("trade.3655",E3657,A3657,"Receive")</f>
        <v>QSObject:SwapTrade:w1~trade.3655:28181</v>
      </c>
      <c r="G3657" s="3">
        <f>_xll.QS.EVALUATE(C3657,F3657)</f>
        <v>21981.099404877612</v>
      </c>
      <c r="H3657" s="5" t="s">
        <v>3698</v>
      </c>
      <c r="I3657" s="7">
        <v>1365500</v>
      </c>
      <c r="J3657" s="8">
        <v>3.5499999999999997E-2</v>
      </c>
    </row>
    <row r="3658" spans="1:10" x14ac:dyDescent="0.25">
      <c r="A3658" s="5" t="s">
        <v>3689</v>
      </c>
      <c r="B3658" s="5" t="s">
        <v>5525</v>
      </c>
      <c r="C3658" s="6" t="str">
        <f>_xll.QS.CONTEXT.CREATE("market.3656",A3658,"USD","SOFR")</f>
        <v>QSObject:PricingContext:w1~market.3656:14940</v>
      </c>
      <c r="D3658" s="6" t="str">
        <f>_xll.QS.CONTEXT.ADD.CURVE(C3658,"SOFR",$K$2:$K$7,$L$2:$L$7,,,"Actual360","LogLinear",TRUE)</f>
        <v>QSObject:ContextInput:w1~input.qs_context_add_curve.2359132437744.3657.3.0:36891</v>
      </c>
      <c r="E3658" s="6" t="str">
        <f>_xll.QS.INSTRUMENT.SWAP("swap.3656",H3658,B3658,"USD","SOFR",I3658,J3658,0,"Actual360","Simple","Annual","Annual","Annual")</f>
        <v>QSObject:Swap:w1~swap.3656:14939</v>
      </c>
      <c r="F3658" s="6" t="str">
        <f>_xll.QS.TRADE.CREATE("trade.3656",E3658,A3658,"Receive")</f>
        <v>QSObject:SwapTrade:w1~trade.3656:28180</v>
      </c>
      <c r="G3658" s="3">
        <f>_xll.QS.EVALUATE(C3658,F3658)</f>
        <v>22612.570095862677</v>
      </c>
      <c r="H3658" s="5" t="s">
        <v>3699</v>
      </c>
      <c r="I3658" s="7">
        <v>1365600</v>
      </c>
      <c r="J3658" s="8">
        <v>3.5600000000000007E-2</v>
      </c>
    </row>
    <row r="3659" spans="1:10" x14ac:dyDescent="0.25">
      <c r="A3659" s="5" t="s">
        <v>3691</v>
      </c>
      <c r="B3659" s="5" t="s">
        <v>5526</v>
      </c>
      <c r="C3659" s="6" t="str">
        <f>_xll.QS.CONTEXT.CREATE("market.3657",A3659,"USD","SOFR")</f>
        <v>QSObject:PricingContext:w1~market.3657:14938</v>
      </c>
      <c r="D3659" s="6" t="str">
        <f>_xll.QS.CONTEXT.ADD.CURVE(C3659,"SOFR",$K$2:$K$7,$L$2:$L$7,,,"Actual360","LogLinear",TRUE)</f>
        <v>QSObject:ContextInput:w1~input.qs_context_add_curve.2359132437744.3658.3.0:36890</v>
      </c>
      <c r="E3659" s="6" t="str">
        <f>_xll.QS.INSTRUMENT.SWAP("swap.3657",H3659,B3659,"USD","SOFR",I3659,J3659,0,"Actual360","Simple","Annual","Annual","Annual")</f>
        <v>QSObject:Swap:w1~swap.3657:14937</v>
      </c>
      <c r="F3659" s="6" t="str">
        <f>_xll.QS.TRADE.CREATE("trade.3657",E3659,A3659,"Receive")</f>
        <v>QSObject:SwapTrade:w1~trade.3657:28179</v>
      </c>
      <c r="G3659" s="3">
        <f>_xll.QS.EVALUATE(C3659,F3659)</f>
        <v>23251.476958462932</v>
      </c>
      <c r="H3659" s="5" t="s">
        <v>3700</v>
      </c>
      <c r="I3659" s="7">
        <v>1365700</v>
      </c>
      <c r="J3659" s="8">
        <v>3.5700000000000003E-2</v>
      </c>
    </row>
    <row r="3660" spans="1:10" x14ac:dyDescent="0.25">
      <c r="A3660" s="5" t="s">
        <v>3693</v>
      </c>
      <c r="B3660" s="5" t="s">
        <v>5527</v>
      </c>
      <c r="C3660" s="6" t="str">
        <f>_xll.QS.CONTEXT.CREATE("market.3658",A3660,"USD","SOFR")</f>
        <v>QSObject:PricingContext:w1~market.3658:14936</v>
      </c>
      <c r="D3660" s="6" t="str">
        <f>_xll.QS.CONTEXT.ADD.CURVE(C3660,"SOFR",$K$2:$K$7,$L$2:$L$7,,,"Actual360","LogLinear",TRUE)</f>
        <v>QSObject:ContextInput:w1~input.qs_context_add_curve.2359132437744.3659.3.0:36889</v>
      </c>
      <c r="E3660" s="6" t="str">
        <f>_xll.QS.INSTRUMENT.SWAP("swap.3658",H3660,B3660,"USD","SOFR",I3660,J3660,0,"Actual360","Simple","Annual","Annual","Annual")</f>
        <v>QSObject:Swap:w1~swap.3658:14935</v>
      </c>
      <c r="F3660" s="6" t="str">
        <f>_xll.QS.TRADE.CREATE("trade.3658",E3660,A3660,"Receive")</f>
        <v>QSObject:SwapTrade:w1~trade.3658:28178</v>
      </c>
      <c r="G3660" s="3">
        <f>_xll.QS.EVALUATE(C3660,F3660)</f>
        <v>23884.813974772565</v>
      </c>
      <c r="H3660" s="5" t="s">
        <v>3701</v>
      </c>
      <c r="I3660" s="7">
        <v>1365800</v>
      </c>
      <c r="J3660" s="8">
        <v>3.5800000000000012E-2</v>
      </c>
    </row>
    <row r="3661" spans="1:10" x14ac:dyDescent="0.25">
      <c r="A3661" s="5" t="s">
        <v>3695</v>
      </c>
      <c r="B3661" s="5" t="s">
        <v>5528</v>
      </c>
      <c r="C3661" s="6" t="str">
        <f>_xll.QS.CONTEXT.CREATE("market.3659",A3661,"USD","SOFR")</f>
        <v>QSObject:PricingContext:w1~market.3659:14934</v>
      </c>
      <c r="D3661" s="6" t="str">
        <f>_xll.QS.CONTEXT.ADD.CURVE(C3661,"SOFR",$K$2:$K$7,$L$2:$L$7,,,"Actual360","LogLinear",TRUE)</f>
        <v>QSObject:ContextInput:w1~input.qs_context_add_curve.2359132437744.3660.3.0:36888</v>
      </c>
      <c r="E3661" s="6" t="str">
        <f>_xll.QS.INSTRUMENT.SWAP("swap.3659",H3661,B3661,"USD","SOFR",I3661,J3661,0,"Actual360","Simple","Annual","Annual","Annual")</f>
        <v>QSObject:Swap:w1~swap.3659:14933</v>
      </c>
      <c r="F3661" s="6" t="str">
        <f>_xll.QS.TRADE.CREATE("trade.3659",E3661,A3661,"Receive")</f>
        <v>QSObject:SwapTrade:w1~trade.3659:28177</v>
      </c>
      <c r="G3661" s="3">
        <f>_xll.QS.EVALUATE(C3661,F3661)</f>
        <v>24294.63786104208</v>
      </c>
      <c r="H3661" s="5" t="s">
        <v>3702</v>
      </c>
      <c r="I3661" s="7">
        <v>1365900</v>
      </c>
      <c r="J3661" s="8">
        <v>3.5900000000000001E-2</v>
      </c>
    </row>
    <row r="3662" spans="1:10" x14ac:dyDescent="0.25">
      <c r="A3662" s="5" t="s">
        <v>3696</v>
      </c>
      <c r="B3662" s="5" t="s">
        <v>5529</v>
      </c>
      <c r="C3662" s="6" t="str">
        <f>_xll.QS.CONTEXT.CREATE("market.3660",A3662,"USD","SOFR")</f>
        <v>QSObject:PricingContext:w1~market.3660:14932</v>
      </c>
      <c r="D3662" s="6" t="str">
        <f>_xll.QS.CONTEXT.ADD.CURVE(C3662,"SOFR",$K$2:$K$7,$L$2:$L$7,,,"Actual360","LogLinear",TRUE)</f>
        <v>QSObject:ContextInput:w1~input.qs_context_add_curve.2359132437744.3661.3.0:36887</v>
      </c>
      <c r="E3662" s="6" t="str">
        <f>_xll.QS.INSTRUMENT.SWAP("swap.3660",H3662,B3662,"USD","SOFR",I3662,J3662,0,"Actual360","Simple","Annual","Annual","Annual")</f>
        <v>QSObject:Swap:w1~swap.3660:14931</v>
      </c>
      <c r="F3662" s="6" t="str">
        <f>_xll.QS.TRADE.CREATE("trade.3660",E3662,A3662,"Receive")</f>
        <v>QSObject:SwapTrade:w1~trade.3660:28176</v>
      </c>
      <c r="G3662" s="3">
        <f>_xll.QS.EVALUATE(C3662,F3662)</f>
        <v>24928.453898091037</v>
      </c>
      <c r="H3662" s="5" t="s">
        <v>3703</v>
      </c>
      <c r="I3662" s="7">
        <v>1366000</v>
      </c>
      <c r="J3662" s="8">
        <v>3.5999999999999997E-2</v>
      </c>
    </row>
    <row r="3663" spans="1:10" x14ac:dyDescent="0.25">
      <c r="A3663" s="5" t="s">
        <v>3697</v>
      </c>
      <c r="B3663" s="5" t="s">
        <v>5530</v>
      </c>
      <c r="C3663" s="6" t="str">
        <f>_xll.QS.CONTEXT.CREATE("market.3661",A3663,"USD","SOFR")</f>
        <v>QSObject:PricingContext:w1~market.3661:14930</v>
      </c>
      <c r="D3663" s="6" t="str">
        <f>_xll.QS.CONTEXT.ADD.CURVE(C3663,"SOFR",$K$2:$K$7,$L$2:$L$7,,,"Actual360","LogLinear",TRUE)</f>
        <v>QSObject:ContextInput:w1~input.qs_context_add_curve.2359132437744.3662.3.0:36886</v>
      </c>
      <c r="E3663" s="6" t="str">
        <f>_xll.QS.INSTRUMENT.SWAP("swap.3661",H3663,B3663,"USD","SOFR",I3663,J3663,0,"Actual360","Simple","Annual","Annual","Annual")</f>
        <v>QSObject:Swap:w1~swap.3661:14929</v>
      </c>
      <c r="F3663" s="6" t="str">
        <f>_xll.QS.TRADE.CREATE("trade.3661",E3663,A3663,"Receive")</f>
        <v>QSObject:SwapTrade:w1~trade.3661:28175</v>
      </c>
      <c r="G3663" s="3">
        <f>_xll.QS.EVALUATE(C3663,F3663)</f>
        <v>25616.945171116859</v>
      </c>
      <c r="H3663" s="5" t="s">
        <v>3704</v>
      </c>
      <c r="I3663" s="7">
        <v>1366100</v>
      </c>
      <c r="J3663" s="8">
        <v>3.61E-2</v>
      </c>
    </row>
    <row r="3664" spans="1:10" x14ac:dyDescent="0.25">
      <c r="A3664" s="5" t="s">
        <v>3698</v>
      </c>
      <c r="B3664" s="5" t="s">
        <v>5531</v>
      </c>
      <c r="C3664" s="6" t="str">
        <f>_xll.QS.CONTEXT.CREATE("market.3662",A3664,"USD","SOFR")</f>
        <v>QSObject:PricingContext:w1~market.3662:14928</v>
      </c>
      <c r="D3664" s="6" t="str">
        <f>_xll.QS.CONTEXT.ADD.CURVE(C3664,"SOFR",$K$2:$K$7,$L$2:$L$7,,,"Actual360","LogLinear",TRUE)</f>
        <v>QSObject:ContextInput:w1~input.qs_context_add_curve.2359132437744.3663.3.0:36885</v>
      </c>
      <c r="E3664" s="6" t="str">
        <f>_xll.QS.INSTRUMENT.SWAP("swap.3662",H3664,B3664,"USD","SOFR",I3664,J3664,0,"Actual360","Simple","Annual","Annual","Annual")</f>
        <v>QSObject:Swap:w1~swap.3662:14927</v>
      </c>
      <c r="F3664" s="6" t="str">
        <f>_xll.QS.TRADE.CREATE("trade.3662",E3664,A3664,"Receive")</f>
        <v>QSObject:SwapTrade:w1~trade.3662:28174</v>
      </c>
      <c r="G3664" s="3">
        <f>_xll.QS.EVALUATE(C3664,F3664)</f>
        <v>26454.938090854412</v>
      </c>
      <c r="H3664" s="5" t="s">
        <v>3705</v>
      </c>
      <c r="I3664" s="7">
        <v>1366200</v>
      </c>
      <c r="J3664" s="8">
        <v>3.6200000000000003E-2</v>
      </c>
    </row>
    <row r="3665" spans="1:10" x14ac:dyDescent="0.25">
      <c r="A3665" s="5" t="s">
        <v>3699</v>
      </c>
      <c r="B3665" s="5" t="s">
        <v>5532</v>
      </c>
      <c r="C3665" s="6" t="str">
        <f>_xll.QS.CONTEXT.CREATE("market.3663",A3665,"USD","SOFR")</f>
        <v>QSObject:PricingContext:w1~market.3663:14926</v>
      </c>
      <c r="D3665" s="6" t="str">
        <f>_xll.QS.CONTEXT.ADD.CURVE(C3665,"SOFR",$K$2:$K$7,$L$2:$L$7,,,"Actual360","LogLinear",TRUE)</f>
        <v>QSObject:ContextInput:w1~input.qs_context_add_curve.2359132437744.3664.3.0:36884</v>
      </c>
      <c r="E3665" s="6" t="str">
        <f>_xll.QS.INSTRUMENT.SWAP("swap.3663",H3665,B3665,"USD","SOFR",I3665,J3665,0,"Actual360","Simple","Annual","Annual","Annual")</f>
        <v>QSObject:Swap:w1~swap.3663:14925</v>
      </c>
      <c r="F3665" s="6" t="str">
        <f>_xll.QS.TRADE.CREATE("trade.3663",E3665,A3665,"Receive")</f>
        <v>QSObject:SwapTrade:w1~trade.3663:28173</v>
      </c>
      <c r="G3665" s="3">
        <f>_xll.QS.EVALUATE(C3665,F3665)</f>
        <v>27086.994382414981</v>
      </c>
      <c r="H3665" s="5" t="s">
        <v>3706</v>
      </c>
      <c r="I3665" s="7">
        <v>1366300</v>
      </c>
      <c r="J3665" s="8">
        <v>3.6300000000000013E-2</v>
      </c>
    </row>
    <row r="3666" spans="1:10" x14ac:dyDescent="0.25">
      <c r="A3666" s="5" t="s">
        <v>3700</v>
      </c>
      <c r="B3666" s="5" t="s">
        <v>5533</v>
      </c>
      <c r="C3666" s="6" t="str">
        <f>_xll.QS.CONTEXT.CREATE("market.3664",A3666,"USD","SOFR")</f>
        <v>QSObject:PricingContext:w1~market.3664:14924</v>
      </c>
      <c r="D3666" s="6" t="str">
        <f>_xll.QS.CONTEXT.ADD.CURVE(C3666,"SOFR",$K$2:$K$7,$L$2:$L$7,,,"Actual360","LogLinear",TRUE)</f>
        <v>QSObject:ContextInput:w1~input.qs_context_add_curve.2359132437744.3665.3.0:36883</v>
      </c>
      <c r="E3666" s="6" t="str">
        <f>_xll.QS.INSTRUMENT.SWAP("swap.3664",H3666,B3666,"USD","SOFR",I3666,J3666,0,"Actual360","Simple","Annual","Annual","Annual")</f>
        <v>QSObject:Swap:w1~swap.3664:14923</v>
      </c>
      <c r="F3666" s="6" t="str">
        <f>_xll.QS.TRADE.CREATE("trade.3664",E3666,A3666,"Receive")</f>
        <v>QSObject:SwapTrade:w1~trade.3664:28172</v>
      </c>
      <c r="G3666" s="3">
        <f>_xll.QS.EVALUATE(C3666,F3666)</f>
        <v>27731.317063349859</v>
      </c>
      <c r="H3666" s="5" t="s">
        <v>3707</v>
      </c>
      <c r="I3666" s="7">
        <v>1366400</v>
      </c>
      <c r="J3666" s="8">
        <v>3.6400000000000002E-2</v>
      </c>
    </row>
    <row r="3667" spans="1:10" x14ac:dyDescent="0.25">
      <c r="A3667" s="5" t="s">
        <v>3701</v>
      </c>
      <c r="B3667" s="5" t="s">
        <v>5534</v>
      </c>
      <c r="C3667" s="6" t="str">
        <f>_xll.QS.CONTEXT.CREATE("market.3665",A3667,"USD","SOFR")</f>
        <v>QSObject:PricingContext:w1~market.3665:14922</v>
      </c>
      <c r="D3667" s="6" t="str">
        <f>_xll.QS.CONTEXT.ADD.CURVE(C3667,"SOFR",$K$2:$K$7,$L$2:$L$7,,,"Actual360","LogLinear",TRUE)</f>
        <v>QSObject:ContextInput:w1~input.qs_context_add_curve.2359132437744.3666.3.0:36882</v>
      </c>
      <c r="E3667" s="6" t="str">
        <f>_xll.QS.INSTRUMENT.SWAP("swap.3665",H3667,B3667,"USD","SOFR",I3667,J3667,0,"Actual360","Simple","Annual","Annual","Annual")</f>
        <v>QSObject:Swap:w1~swap.3665:14921</v>
      </c>
      <c r="F3667" s="6" t="str">
        <f>_xll.QS.TRADE.CREATE("trade.3665",E3667,A3667,"Receive")</f>
        <v>QSObject:SwapTrade:w1~trade.3665:28171</v>
      </c>
      <c r="G3667" s="3">
        <f>_xll.QS.EVALUATE(C3667,F3667)</f>
        <v>28364.811157475313</v>
      </c>
      <c r="H3667" s="5" t="s">
        <v>3708</v>
      </c>
      <c r="I3667" s="7">
        <v>1366500</v>
      </c>
      <c r="J3667" s="8">
        <v>3.6499999999999998E-2</v>
      </c>
    </row>
    <row r="3668" spans="1:10" x14ac:dyDescent="0.25">
      <c r="A3668" s="5" t="s">
        <v>3702</v>
      </c>
      <c r="B3668" s="5" t="s">
        <v>5535</v>
      </c>
      <c r="C3668" s="6" t="str">
        <f>_xll.QS.CONTEXT.CREATE("market.3666",A3668,"USD","SOFR")</f>
        <v>QSObject:PricingContext:w1~market.3666:14920</v>
      </c>
      <c r="D3668" s="6" t="str">
        <f>_xll.QS.CONTEXT.ADD.CURVE(C3668,"SOFR",$K$2:$K$7,$L$2:$L$7,,,"Actual360","LogLinear",TRUE)</f>
        <v>QSObject:ContextInput:w1~input.qs_context_add_curve.2359132437744.3667.3.0:36881</v>
      </c>
      <c r="E3668" s="6" t="str">
        <f>_xll.QS.INSTRUMENT.SWAP("swap.3666",H3668,B3668,"USD","SOFR",I3668,J3668,0,"Actual360","Simple","Annual","Annual","Annual")</f>
        <v>QSObject:Swap:w1~swap.3666:14919</v>
      </c>
      <c r="F3668" s="6" t="str">
        <f>_xll.QS.TRADE.CREATE("trade.3666",E3668,A3668,"Receive")</f>
        <v>QSObject:SwapTrade:w1~trade.3666:28170</v>
      </c>
      <c r="G3668" s="3">
        <f>_xll.QS.EVALUATE(C3668,F3668)</f>
        <v>28830.473447481789</v>
      </c>
      <c r="H3668" s="5" t="s">
        <v>3709</v>
      </c>
      <c r="I3668" s="7">
        <v>1366600</v>
      </c>
      <c r="J3668" s="8">
        <v>3.6600000000000001E-2</v>
      </c>
    </row>
    <row r="3669" spans="1:10" x14ac:dyDescent="0.25">
      <c r="A3669" s="5" t="s">
        <v>3703</v>
      </c>
      <c r="B3669" s="5" t="s">
        <v>5536</v>
      </c>
      <c r="C3669" s="6" t="str">
        <f>_xll.QS.CONTEXT.CREATE("market.3667",A3669,"USD","SOFR")</f>
        <v>QSObject:PricingContext:w1~market.3667:14918</v>
      </c>
      <c r="D3669" s="6" t="str">
        <f>_xll.QS.CONTEXT.ADD.CURVE(C3669,"SOFR",$K$2:$K$7,$L$2:$L$7,,,"Actual360","LogLinear",TRUE)</f>
        <v>QSObject:ContextInput:w1~input.qs_context_add_curve.2359132437744.3668.3.0:36880</v>
      </c>
      <c r="E3669" s="6" t="str">
        <f>_xll.QS.INSTRUMENT.SWAP("swap.3667",H3669,B3669,"USD","SOFR",I3669,J3669,0,"Actual360","Simple","Annual","Annual","Annual")</f>
        <v>QSObject:Swap:w1~swap.3667:14917</v>
      </c>
      <c r="F3669" s="6" t="str">
        <f>_xll.QS.TRADE.CREATE("trade.3667",E3669,A3669,"Receive")</f>
        <v>QSObject:SwapTrade:w1~trade.3667:28169</v>
      </c>
      <c r="G3669" s="3">
        <f>_xll.QS.EVALUATE(C3669,F3669)</f>
        <v>29465.439011883616</v>
      </c>
      <c r="H3669" s="5" t="s">
        <v>3710</v>
      </c>
      <c r="I3669" s="7">
        <v>1366700</v>
      </c>
      <c r="J3669" s="8">
        <v>3.6700000000000003E-2</v>
      </c>
    </row>
    <row r="3670" spans="1:10" x14ac:dyDescent="0.25">
      <c r="A3670" s="5" t="s">
        <v>3704</v>
      </c>
      <c r="B3670" s="5" t="s">
        <v>5537</v>
      </c>
      <c r="C3670" s="6" t="str">
        <f>_xll.QS.CONTEXT.CREATE("market.3668",A3670,"USD","SOFR")</f>
        <v>QSObject:PricingContext:w1~market.3668:14916</v>
      </c>
      <c r="D3670" s="6" t="str">
        <f>_xll.QS.CONTEXT.ADD.CURVE(C3670,"SOFR",$K$2:$K$7,$L$2:$L$7,,,"Actual360","LogLinear",TRUE)</f>
        <v>QSObject:ContextInput:w1~input.qs_context_add_curve.2359132437744.3669.3.0:36879</v>
      </c>
      <c r="E3670" s="6" t="str">
        <f>_xll.QS.INSTRUMENT.SWAP("swap.3668",H3670,B3670,"USD","SOFR",I3670,J3670,0,"Actual360","Simple","Annual","Annual","Annual")</f>
        <v>QSObject:Swap:w1~swap.3668:14915</v>
      </c>
      <c r="F3670" s="6" t="str">
        <f>_xll.QS.TRADE.CREATE("trade.3668",E3670,A3670,"Receive")</f>
        <v>QSObject:SwapTrade:w1~trade.3668:28168</v>
      </c>
      <c r="G3670" s="3">
        <f>_xll.QS.EVALUATE(C3670,F3670)</f>
        <v>30100.193824878268</v>
      </c>
      <c r="H3670" s="5" t="s">
        <v>3711</v>
      </c>
      <c r="I3670" s="7">
        <v>1366800</v>
      </c>
      <c r="J3670" s="8">
        <v>3.6800000000000013E-2</v>
      </c>
    </row>
    <row r="3671" spans="1:10" x14ac:dyDescent="0.25">
      <c r="A3671" s="5" t="s">
        <v>3705</v>
      </c>
      <c r="B3671" s="5" t="s">
        <v>5538</v>
      </c>
      <c r="C3671" s="6" t="str">
        <f>_xll.QS.CONTEXT.CREATE("market.3669",A3671,"USD","SOFR")</f>
        <v>QSObject:PricingContext:w1~market.3669:14914</v>
      </c>
      <c r="D3671" s="6" t="str">
        <f>_xll.QS.CONTEXT.ADD.CURVE(C3671,"SOFR",$K$2:$K$7,$L$2:$L$7,,,"Actual360","LogLinear",TRUE)</f>
        <v>QSObject:ContextInput:w1~input.qs_context_add_curve.2359132437744.3670.3.0:36878</v>
      </c>
      <c r="E3671" s="6" t="str">
        <f>_xll.QS.INSTRUMENT.SWAP("swap.3669",H3671,B3671,"USD","SOFR",I3671,J3671,0,"Actual360","Simple","Annual","Annual","Annual")</f>
        <v>QSObject:Swap:w1~swap.3669:14913</v>
      </c>
      <c r="F3671" s="6" t="str">
        <f>_xll.QS.TRADE.CREATE("trade.3669",E3671,A3671,"Receive")</f>
        <v>QSObject:SwapTrade:w1~trade.3669:28167</v>
      </c>
      <c r="G3671" s="3">
        <f>_xll.QS.EVALUATE(C3671,F3671)</f>
        <v>30832.785056456603</v>
      </c>
      <c r="H3671" s="5" t="s">
        <v>3712</v>
      </c>
      <c r="I3671" s="7">
        <v>1366900</v>
      </c>
      <c r="J3671" s="8">
        <v>3.6900000000000002E-2</v>
      </c>
    </row>
    <row r="3672" spans="1:10" x14ac:dyDescent="0.25">
      <c r="A3672" s="5" t="s">
        <v>3706</v>
      </c>
      <c r="B3672" s="5" t="s">
        <v>5539</v>
      </c>
      <c r="C3672" s="6" t="str">
        <f>_xll.QS.CONTEXT.CREATE("market.3670",A3672,"USD","SOFR")</f>
        <v>QSObject:PricingContext:w1~market.3670:14912</v>
      </c>
      <c r="D3672" s="6" t="str">
        <f>_xll.QS.CONTEXT.ADD.CURVE(C3672,"SOFR",$K$2:$K$7,$L$2:$L$7,,,"Actual360","LogLinear",TRUE)</f>
        <v>QSObject:ContextInput:w1~input.qs_context_add_curve.2359132437744.3671.3.0:36877</v>
      </c>
      <c r="E3672" s="6" t="str">
        <f>_xll.QS.INSTRUMENT.SWAP("swap.3670",H3672,B3672,"USD","SOFR",I3672,J3672,0,"Actual360","Simple","Annual","Annual","Annual")</f>
        <v>QSObject:Swap:w1~swap.3670:14911</v>
      </c>
      <c r="F3672" s="6" t="str">
        <f>_xll.QS.TRADE.CREATE("trade.3670",E3672,A3672,"Receive")</f>
        <v>QSObject:SwapTrade:w1~trade.3670:28166</v>
      </c>
      <c r="G3672" s="3">
        <f>_xll.QS.EVALUATE(C3672,F3672)</f>
        <v>31465.474489427339</v>
      </c>
      <c r="H3672" s="5" t="s">
        <v>3713</v>
      </c>
      <c r="I3672" s="7">
        <v>1367000</v>
      </c>
      <c r="J3672" s="8">
        <v>3.7000000000000012E-2</v>
      </c>
    </row>
    <row r="3673" spans="1:10" x14ac:dyDescent="0.25">
      <c r="A3673" s="5" t="s">
        <v>3707</v>
      </c>
      <c r="B3673" s="5" t="s">
        <v>5540</v>
      </c>
      <c r="C3673" s="6" t="str">
        <f>_xll.QS.CONTEXT.CREATE("market.3671",A3673,"USD","SOFR")</f>
        <v>QSObject:PricingContext:w1~market.3671:14910</v>
      </c>
      <c r="D3673" s="6" t="str">
        <f>_xll.QS.CONTEXT.ADD.CURVE(C3673,"SOFR",$K$2:$K$7,$L$2:$L$7,,,"Actual360","LogLinear",TRUE)</f>
        <v>QSObject:ContextInput:w1~input.qs_context_add_curve.2359132437744.3672.3.0:36876</v>
      </c>
      <c r="E3673" s="6" t="str">
        <f>_xll.QS.INSTRUMENT.SWAP("swap.3671",H3673,B3673,"USD","SOFR",I3673,J3673,0,"Actual360","Simple","Annual","Annual","Annual")</f>
        <v>QSObject:Swap:w1~swap.3671:14909</v>
      </c>
      <c r="F3673" s="6" t="str">
        <f>_xll.QS.TRADE.CREATE("trade.3671",E3673,A3673,"Receive")</f>
        <v>QSObject:SwapTrade:w1~trade.3671:28165</v>
      </c>
      <c r="G3673" s="3">
        <f>_xll.QS.EVALUATE(C3673,F3673)</f>
        <v>32105.765391781562</v>
      </c>
      <c r="H3673" s="5" t="s">
        <v>3714</v>
      </c>
      <c r="I3673" s="7">
        <v>1367100</v>
      </c>
      <c r="J3673" s="8">
        <v>3.7100000000000001E-2</v>
      </c>
    </row>
    <row r="3674" spans="1:10" x14ac:dyDescent="0.25">
      <c r="A3674" s="5" t="s">
        <v>3708</v>
      </c>
      <c r="B3674" s="5" t="s">
        <v>5541</v>
      </c>
      <c r="C3674" s="6" t="str">
        <f>_xll.QS.CONTEXT.CREATE("market.3672",A3674,"USD","SOFR")</f>
        <v>QSObject:PricingContext:w1~market.3672:14908</v>
      </c>
      <c r="D3674" s="6" t="str">
        <f>_xll.QS.CONTEXT.ADD.CURVE(C3674,"SOFR",$K$2:$K$7,$L$2:$L$7,,,"Actual360","LogLinear",TRUE)</f>
        <v>QSObject:ContextInput:w1~input.qs_context_add_curve.2359132437744.3673.3.0:36875</v>
      </c>
      <c r="E3674" s="6" t="str">
        <f>_xll.QS.INSTRUMENT.SWAP("swap.3672",H3674,B3674,"USD","SOFR",I3674,J3674,0,"Actual360","Simple","Annual","Annual","Annual")</f>
        <v>QSObject:Swap:w1~swap.3672:14907</v>
      </c>
      <c r="F3674" s="6" t="str">
        <f>_xll.QS.TRADE.CREATE("trade.3672",E3674,A3674,"Receive")</f>
        <v>QSObject:SwapTrade:w1~trade.3672:28164</v>
      </c>
      <c r="G3674" s="3">
        <f>_xll.QS.EVALUATE(C3674,F3674)</f>
        <v>32740.036069975533</v>
      </c>
      <c r="H3674" s="5" t="s">
        <v>3715</v>
      </c>
      <c r="I3674" s="7">
        <v>1367200</v>
      </c>
      <c r="J3674" s="8">
        <v>3.7199999999999997E-2</v>
      </c>
    </row>
    <row r="3675" spans="1:10" x14ac:dyDescent="0.25">
      <c r="A3675" s="5" t="s">
        <v>3709</v>
      </c>
      <c r="B3675" s="5" t="s">
        <v>5542</v>
      </c>
      <c r="C3675" s="6" t="str">
        <f>_xll.QS.CONTEXT.CREATE("market.3673",A3675,"USD","SOFR")</f>
        <v>QSObject:PricingContext:w1~market.3673:14906</v>
      </c>
      <c r="D3675" s="6" t="str">
        <f>_xll.QS.CONTEXT.ADD.CURVE(C3675,"SOFR",$K$2:$K$7,$L$2:$L$7,,,"Actual360","LogLinear",TRUE)</f>
        <v>QSObject:ContextInput:w1~input.qs_context_add_curve.2359132437744.3674.3.0:36874</v>
      </c>
      <c r="E3675" s="6" t="str">
        <f>_xll.QS.INSTRUMENT.SWAP("swap.3673",H3675,B3675,"USD","SOFR",I3675,J3675,0,"Actual360","Simple","Annual","Annual","Annual")</f>
        <v>QSObject:Swap:w1~swap.3673:14905</v>
      </c>
      <c r="F3675" s="6" t="str">
        <f>_xll.QS.TRADE.CREATE("trade.3673",E3675,A3675,"Receive")</f>
        <v>QSObject:SwapTrade:w1~trade.3673:28163</v>
      </c>
      <c r="G3675" s="3">
        <f>_xll.QS.EVALUATE(C3675,F3675)</f>
        <v>33205.164593607791</v>
      </c>
      <c r="H3675" s="5" t="s">
        <v>3716</v>
      </c>
      <c r="I3675" s="7">
        <v>1367300</v>
      </c>
      <c r="J3675" s="8">
        <v>3.73E-2</v>
      </c>
    </row>
    <row r="3676" spans="1:10" x14ac:dyDescent="0.25">
      <c r="A3676" s="5" t="s">
        <v>3710</v>
      </c>
      <c r="B3676" s="5" t="s">
        <v>5543</v>
      </c>
      <c r="C3676" s="6" t="str">
        <f>_xll.QS.CONTEXT.CREATE("market.3674",A3676,"USD","SOFR")</f>
        <v>QSObject:PricingContext:w1~market.3674:14904</v>
      </c>
      <c r="D3676" s="6" t="str">
        <f>_xll.QS.CONTEXT.ADD.CURVE(C3676,"SOFR",$K$2:$K$7,$L$2:$L$7,,,"Actual360","LogLinear",TRUE)</f>
        <v>QSObject:ContextInput:w1~input.qs_context_add_curve.2359132437744.3675.3.0:36873</v>
      </c>
      <c r="E3676" s="6" t="str">
        <f>_xll.QS.INSTRUMENT.SWAP("swap.3674",H3676,B3676,"USD","SOFR",I3676,J3676,0,"Actual360","Simple","Annual","Annual","Annual")</f>
        <v>QSObject:Swap:w1~swap.3674:14903</v>
      </c>
      <c r="F3676" s="6" t="str">
        <f>_xll.QS.TRADE.CREATE("trade.3674",E3676,A3676,"Receive")</f>
        <v>QSObject:SwapTrade:w1~trade.3674:28162</v>
      </c>
      <c r="G3676" s="3">
        <f>_xll.QS.EVALUATE(C3676,F3676)</f>
        <v>33840.996932908936</v>
      </c>
      <c r="H3676" s="5" t="s">
        <v>3717</v>
      </c>
      <c r="I3676" s="7">
        <v>1367400</v>
      </c>
      <c r="J3676" s="8">
        <v>3.7400000000000003E-2</v>
      </c>
    </row>
    <row r="3677" spans="1:10" x14ac:dyDescent="0.25">
      <c r="A3677" s="5" t="s">
        <v>3711</v>
      </c>
      <c r="B3677" s="5" t="s">
        <v>5544</v>
      </c>
      <c r="C3677" s="6" t="str">
        <f>_xll.QS.CONTEXT.CREATE("market.3675",A3677,"USD","SOFR")</f>
        <v>QSObject:PricingContext:w1~market.3675:14902</v>
      </c>
      <c r="D3677" s="6" t="str">
        <f>_xll.QS.CONTEXT.ADD.CURVE(C3677,"SOFR",$K$2:$K$7,$L$2:$L$7,,,"Actual360","LogLinear",TRUE)</f>
        <v>QSObject:ContextInput:w1~input.qs_context_add_curve.2359132437744.3676.3.0:36872</v>
      </c>
      <c r="E3677" s="6" t="str">
        <f>_xll.QS.INSTRUMENT.SWAP("swap.3675",H3677,B3677,"USD","SOFR",I3677,J3677,0,"Actual360","Simple","Annual","Annual","Annual")</f>
        <v>QSObject:Swap:w1~swap.3675:14901</v>
      </c>
      <c r="F3677" s="6" t="str">
        <f>_xll.QS.TRADE.CREATE("trade.3675",E3677,A3677,"Receive")</f>
        <v>QSObject:SwapTrade:w1~trade.3675:28161</v>
      </c>
      <c r="G3677" s="3">
        <f>_xll.QS.EVALUATE(C3677,F3677)</f>
        <v>34531.935297383796</v>
      </c>
      <c r="H3677" s="5" t="s">
        <v>3718</v>
      </c>
      <c r="I3677" s="7">
        <v>1367500</v>
      </c>
      <c r="J3677" s="8">
        <v>3.7500000000000012E-2</v>
      </c>
    </row>
    <row r="3678" spans="1:10" x14ac:dyDescent="0.25">
      <c r="A3678" s="5" t="s">
        <v>3712</v>
      </c>
      <c r="B3678" s="5" t="s">
        <v>5545</v>
      </c>
      <c r="C3678" s="6" t="str">
        <f>_xll.QS.CONTEXT.CREATE("market.3676",A3678,"USD","SOFR")</f>
        <v>QSObject:PricingContext:w1~market.3676:14900</v>
      </c>
      <c r="D3678" s="6" t="str">
        <f>_xll.QS.CONTEXT.ADD.CURVE(C3678,"SOFR",$K$2:$K$7,$L$2:$L$7,,,"Actual360","LogLinear",TRUE)</f>
        <v>QSObject:ContextInput:w1~input.qs_context_add_curve.2359132437744.3677.3.0:36871</v>
      </c>
      <c r="E3678" s="6" t="str">
        <f>_xll.QS.INSTRUMENT.SWAP("swap.3676",H3678,B3678,"USD","SOFR",I3678,J3678,0,"Actual360","Simple","Annual","Annual","Annual")</f>
        <v>QSObject:Swap:w1~swap.3676:14899</v>
      </c>
      <c r="F3678" s="6" t="str">
        <f>_xll.QS.TRADE.CREATE("trade.3676",E3678,A3678,"Receive")</f>
        <v>QSObject:SwapTrade:w1~trade.3676:28160</v>
      </c>
      <c r="G3678" s="3">
        <f>_xll.QS.EVALUATE(C3678,F3678)</f>
        <v>35265.22323131642</v>
      </c>
      <c r="H3678" s="5" t="s">
        <v>3719</v>
      </c>
      <c r="I3678" s="7">
        <v>1367600</v>
      </c>
      <c r="J3678" s="8">
        <v>3.7600000000000001E-2</v>
      </c>
    </row>
    <row r="3679" spans="1:10" x14ac:dyDescent="0.25">
      <c r="A3679" s="5" t="s">
        <v>3713</v>
      </c>
      <c r="B3679" s="5" t="s">
        <v>5546</v>
      </c>
      <c r="C3679" s="6" t="str">
        <f>_xll.QS.CONTEXT.CREATE("market.3677",A3679,"USD","SOFR")</f>
        <v>QSObject:PricingContext:w1~market.3677:14898</v>
      </c>
      <c r="D3679" s="6" t="str">
        <f>_xll.QS.CONTEXT.ADD.CURVE(C3679,"SOFR",$K$2:$K$7,$L$2:$L$7,,,"Actual360","LogLinear",TRUE)</f>
        <v>QSObject:ContextInput:w1~input.qs_context_add_curve.2359132437744.3678.3.0:36870</v>
      </c>
      <c r="E3679" s="6" t="str">
        <f>_xll.QS.INSTRUMENT.SWAP("swap.3677",H3679,B3679,"USD","SOFR",I3679,J3679,0,"Actual360","Simple","Annual","Annual","Annual")</f>
        <v>QSObject:Swap:w1~swap.3677:14897</v>
      </c>
      <c r="F3679" s="6" t="str">
        <f>_xll.QS.TRADE.CREATE("trade.3677",E3679,A3679,"Receive")</f>
        <v>QSObject:SwapTrade:w1~trade.3677:28159</v>
      </c>
      <c r="G3679" s="3">
        <f>_xll.QS.EVALUATE(C3679,F3679)</f>
        <v>35898.605276395429</v>
      </c>
      <c r="H3679" s="5" t="s">
        <v>3720</v>
      </c>
      <c r="I3679" s="7">
        <v>1367700</v>
      </c>
      <c r="J3679" s="8">
        <v>3.7699999999999997E-2</v>
      </c>
    </row>
    <row r="3680" spans="1:10" x14ac:dyDescent="0.25">
      <c r="A3680" s="5" t="s">
        <v>3714</v>
      </c>
      <c r="B3680" s="5" t="s">
        <v>5547</v>
      </c>
      <c r="C3680" s="6" t="str">
        <f>_xll.QS.CONTEXT.CREATE("market.3678",A3680,"USD","SOFR")</f>
        <v>QSObject:PricingContext:w1~market.3678:14896</v>
      </c>
      <c r="D3680" s="6" t="str">
        <f>_xll.QS.CONTEXT.ADD.CURVE(C3680,"SOFR",$K$2:$K$7,$L$2:$L$7,,,"Actual360","LogLinear",TRUE)</f>
        <v>QSObject:ContextInput:w1~input.qs_context_add_curve.2359132437744.3679.3.0:36869</v>
      </c>
      <c r="E3680" s="6" t="str">
        <f>_xll.QS.INSTRUMENT.SWAP("swap.3678",H3680,B3680,"USD","SOFR",I3680,J3680,0,"Actual360","Simple","Annual","Annual","Annual")</f>
        <v>QSObject:Swap:w1~swap.3678:14895</v>
      </c>
      <c r="F3680" s="6" t="str">
        <f>_xll.QS.TRADE.CREATE("trade.3678",E3680,A3680,"Receive")</f>
        <v>QSObject:SwapTrade:w1~trade.3678:28158</v>
      </c>
      <c r="G3680" s="3">
        <f>_xll.QS.EVALUATE(C3680,F3680)</f>
        <v>36539.416213445256</v>
      </c>
      <c r="H3680" s="5" t="s">
        <v>3721</v>
      </c>
      <c r="I3680" s="7">
        <v>1367800</v>
      </c>
      <c r="J3680" s="8">
        <v>3.78E-2</v>
      </c>
    </row>
    <row r="3681" spans="1:10" x14ac:dyDescent="0.25">
      <c r="A3681" s="5" t="s">
        <v>3715</v>
      </c>
      <c r="B3681" s="5" t="s">
        <v>5548</v>
      </c>
      <c r="C3681" s="6" t="str">
        <f>_xll.QS.CONTEXT.CREATE("market.3679",A3681,"USD","SOFR")</f>
        <v>QSObject:PricingContext:w1~market.3679:14894</v>
      </c>
      <c r="D3681" s="6" t="str">
        <f>_xll.QS.CONTEXT.ADD.CURVE(C3681,"SOFR",$K$2:$K$7,$L$2:$L$7,,,"Actual360","LogLinear",TRUE)</f>
        <v>QSObject:ContextInput:w1~input.qs_context_add_curve.2359132437744.3680.3.0:36868</v>
      </c>
      <c r="E3681" s="6" t="str">
        <f>_xll.QS.INSTRUMENT.SWAP("swap.3679",H3681,B3681,"USD","SOFR",I3681,J3681,0,"Actual360","Simple","Annual","Annual","Annual")</f>
        <v>QSObject:Swap:w1~swap.3679:14893</v>
      </c>
      <c r="F3681" s="6" t="str">
        <f>_xll.QS.TRADE.CREATE("trade.3679",E3681,A3681,"Receive")</f>
        <v>QSObject:SwapTrade:w1~trade.3679:28157</v>
      </c>
      <c r="G3681" s="3">
        <f>_xll.QS.EVALUATE(C3681,F3681)</f>
        <v>37174.561163110055</v>
      </c>
      <c r="H3681" s="5" t="s">
        <v>3722</v>
      </c>
      <c r="I3681" s="7">
        <v>1367900</v>
      </c>
      <c r="J3681" s="8">
        <v>3.7900000000000003E-2</v>
      </c>
    </row>
    <row r="3682" spans="1:10" x14ac:dyDescent="0.25">
      <c r="A3682" s="5" t="s">
        <v>3716</v>
      </c>
      <c r="B3682" s="5" t="s">
        <v>5549</v>
      </c>
      <c r="C3682" s="6" t="str">
        <f>_xll.QS.CONTEXT.CREATE("market.3680",A3682,"USD","SOFR")</f>
        <v>QSObject:PricingContext:w1~market.3680:14892</v>
      </c>
      <c r="D3682" s="6" t="str">
        <f>_xll.QS.CONTEXT.ADD.CURVE(C3682,"SOFR",$K$2:$K$7,$L$2:$L$7,,,"Actual360","LogLinear",TRUE)</f>
        <v>QSObject:ContextInput:w1~input.qs_context_add_curve.2359132437744.3681.3.0:36867</v>
      </c>
      <c r="E3682" s="6" t="str">
        <f>_xll.QS.INSTRUMENT.SWAP("swap.3680",H3682,B3682,"USD","SOFR",I3682,J3682,0,"Actual360","Simple","Annual","Annual","Annual")</f>
        <v>QSObject:Swap:w1~swap.3680:14891</v>
      </c>
      <c r="F3682" s="6" t="str">
        <f>_xll.QS.TRADE.CREATE("trade.3680",E3682,A3682,"Receive")</f>
        <v>QSObject:SwapTrade:w1~trade.3680:28156</v>
      </c>
      <c r="G3682" s="3">
        <f>_xll.QS.EVALUATE(C3682,F3682)</f>
        <v>37639.360906005815</v>
      </c>
      <c r="H3682" s="5" t="s">
        <v>3723</v>
      </c>
      <c r="I3682" s="7">
        <v>1368000</v>
      </c>
      <c r="J3682" s="8">
        <v>3.8000000000000013E-2</v>
      </c>
    </row>
    <row r="3683" spans="1:10" x14ac:dyDescent="0.25">
      <c r="A3683" s="5" t="s">
        <v>3717</v>
      </c>
      <c r="B3683" s="5" t="s">
        <v>5550</v>
      </c>
      <c r="C3683" s="6" t="str">
        <f>_xll.QS.CONTEXT.CREATE("market.3681",A3683,"USD","SOFR")</f>
        <v>QSObject:PricingContext:w1~market.3681:14890</v>
      </c>
      <c r="D3683" s="6" t="str">
        <f>_xll.QS.CONTEXT.ADD.CURVE(C3683,"SOFR",$K$2:$K$7,$L$2:$L$7,,,"Actual360","LogLinear",TRUE)</f>
        <v>QSObject:ContextInput:w1~input.qs_context_add_curve.2359132437744.3682.3.0:36866</v>
      </c>
      <c r="E3683" s="6" t="str">
        <f>_xll.QS.INSTRUMENT.SWAP("swap.3681",H3683,B3683,"USD","SOFR",I3683,J3683,0,"Actual360","Simple","Annual","Annual","Annual")</f>
        <v>QSObject:Swap:w1~swap.3681:14889</v>
      </c>
      <c r="F3683" s="6" t="str">
        <f>_xll.QS.TRADE.CREATE("trade.3681",E3683,A3683,"Receive")</f>
        <v>QSObject:SwapTrade:w1~trade.3681:28155</v>
      </c>
      <c r="G3683" s="3">
        <f>_xll.QS.EVALUATE(C3683,F3683)</f>
        <v>38276.210879689475</v>
      </c>
      <c r="H3683" s="5" t="s">
        <v>3724</v>
      </c>
      <c r="I3683" s="7">
        <v>1368100</v>
      </c>
      <c r="J3683" s="8">
        <v>3.8100000000000002E-2</v>
      </c>
    </row>
    <row r="3684" spans="1:10" x14ac:dyDescent="0.25">
      <c r="A3684" s="5" t="s">
        <v>3718</v>
      </c>
      <c r="B3684" s="5" t="s">
        <v>5551</v>
      </c>
      <c r="C3684" s="6" t="str">
        <f>_xll.QS.CONTEXT.CREATE("market.3682",A3684,"USD","SOFR")</f>
        <v>QSObject:PricingContext:w1~market.3682:14888</v>
      </c>
      <c r="D3684" s="6" t="str">
        <f>_xll.QS.CONTEXT.ADD.CURVE(C3684,"SOFR",$K$2:$K$7,$L$2:$L$7,,,"Actual360","LogLinear",TRUE)</f>
        <v>QSObject:ContextInput:w1~input.qs_context_add_curve.2359132437744.3683.3.0:36865</v>
      </c>
      <c r="E3684" s="6" t="str">
        <f>_xll.QS.INSTRUMENT.SWAP("swap.3682",H3684,B3684,"USD","SOFR",I3684,J3684,0,"Actual360","Simple","Annual","Annual","Annual")</f>
        <v>QSObject:Swap:w1~swap.3682:14887</v>
      </c>
      <c r="F3684" s="6" t="str">
        <f>_xll.QS.TRADE.CREATE("trade.3682",E3684,A3684,"Receive")</f>
        <v>QSObject:SwapTrade:w1~trade.3682:28154</v>
      </c>
      <c r="G3684" s="3">
        <f>_xll.QS.EVALUATE(C3684,F3684)</f>
        <v>38968.112208337669</v>
      </c>
      <c r="H3684" s="5" t="s">
        <v>3725</v>
      </c>
      <c r="I3684" s="7">
        <v>1368200</v>
      </c>
      <c r="J3684" s="8">
        <v>3.8199999999999998E-2</v>
      </c>
    </row>
    <row r="3685" spans="1:10" x14ac:dyDescent="0.25">
      <c r="A3685" s="5" t="s">
        <v>3719</v>
      </c>
      <c r="B3685" s="5" t="s">
        <v>5552</v>
      </c>
      <c r="C3685" s="6" t="str">
        <f>_xll.QS.CONTEXT.CREATE("market.3683",A3685,"USD","SOFR")</f>
        <v>QSObject:PricingContext:w1~market.3683:14886</v>
      </c>
      <c r="D3685" s="6" t="str">
        <f>_xll.QS.CONTEXT.ADD.CURVE(C3685,"SOFR",$K$2:$K$7,$L$2:$L$7,,,"Actual360","LogLinear",TRUE)</f>
        <v>QSObject:ContextInput:w1~input.qs_context_add_curve.2359132437744.3684.3.0:36864</v>
      </c>
      <c r="E3685" s="6" t="str">
        <f>_xll.QS.INSTRUMENT.SWAP("swap.3683",H3685,B3685,"USD","SOFR",I3685,J3685,0,"Actual360","Simple","Annual","Annual","Annual")</f>
        <v>QSObject:Swap:w1~swap.3683:14885</v>
      </c>
      <c r="F3685" s="6" t="str">
        <f>_xll.QS.TRADE.CREATE("trade.3683",E3685,A3685,"Receive")</f>
        <v>QSObject:SwapTrade:w1~trade.3683:28153</v>
      </c>
      <c r="G3685" s="3">
        <f>_xll.QS.EVALUATE(C3685,F3685)</f>
        <v>39702.307329642143</v>
      </c>
      <c r="H3685" s="5" t="s">
        <v>3726</v>
      </c>
      <c r="I3685" s="7">
        <v>1368300</v>
      </c>
      <c r="J3685" s="8">
        <v>3.8300000000000001E-2</v>
      </c>
    </row>
    <row r="3686" spans="1:10" x14ac:dyDescent="0.25">
      <c r="A3686" s="5" t="s">
        <v>3720</v>
      </c>
      <c r="B3686" s="5" t="s">
        <v>5553</v>
      </c>
      <c r="C3686" s="6" t="str">
        <f>_xll.QS.CONTEXT.CREATE("market.3684",A3686,"USD","SOFR")</f>
        <v>QSObject:PricingContext:w1~market.3684:14884</v>
      </c>
      <c r="D3686" s="6" t="str">
        <f>_xll.QS.CONTEXT.ADD.CURVE(C3686,"SOFR",$K$2:$K$7,$L$2:$L$7,,,"Actual360","LogLinear",TRUE)</f>
        <v>QSObject:ContextInput:w1~input.qs_context_add_curve.2359132437744.3685.3.0:36863</v>
      </c>
      <c r="E3686" s="6" t="str">
        <f>_xll.QS.INSTRUMENT.SWAP("swap.3684",H3686,B3686,"USD","SOFR",I3686,J3686,0,"Actual360","Simple","Annual","Annual","Annual")</f>
        <v>QSObject:Swap:w1~swap.3684:14883</v>
      </c>
      <c r="F3686" s="6" t="str">
        <f>_xll.QS.TRADE.CREATE("trade.3684",E3686,A3686,"Receive")</f>
        <v>QSObject:SwapTrade:w1~trade.3684:28152</v>
      </c>
      <c r="G3686" s="3">
        <f>_xll.QS.EVALUATE(C3686,F3686)</f>
        <v>40336.326474934052</v>
      </c>
      <c r="H3686" s="5" t="s">
        <v>3727</v>
      </c>
      <c r="I3686" s="7">
        <v>1368400</v>
      </c>
      <c r="J3686" s="8">
        <v>3.8399999999999997E-2</v>
      </c>
    </row>
    <row r="3687" spans="1:10" x14ac:dyDescent="0.25">
      <c r="A3687" s="5" t="s">
        <v>3721</v>
      </c>
      <c r="B3687" s="5" t="s">
        <v>5554</v>
      </c>
      <c r="C3687" s="6" t="str">
        <f>_xll.QS.CONTEXT.CREATE("market.3685",A3687,"USD","SOFR")</f>
        <v>QSObject:PricingContext:w1~market.3685:14882</v>
      </c>
      <c r="D3687" s="6" t="str">
        <f>_xll.QS.CONTEXT.ADD.CURVE(C3687,"SOFR",$K$2:$K$7,$L$2:$L$7,,,"Actual360","LogLinear",TRUE)</f>
        <v>QSObject:ContextInput:w1~input.qs_context_add_curve.2359132437744.3686.3.0:36862</v>
      </c>
      <c r="E3687" s="6" t="str">
        <f>_xll.QS.INSTRUMENT.SWAP("swap.3685",H3687,B3687,"USD","SOFR",I3687,J3687,0,"Actual360","Simple","Annual","Annual","Annual")</f>
        <v>QSObject:Swap:w1~swap.3685:14881</v>
      </c>
      <c r="F3687" s="6" t="str">
        <f>_xll.QS.TRADE.CREATE("trade.3685",E3687,A3687,"Receive")</f>
        <v>QSObject:SwapTrade:w1~trade.3685:28151</v>
      </c>
      <c r="G3687" s="3">
        <f>_xll.QS.EVALUATE(C3687,F3687)</f>
        <v>40978.010362509034</v>
      </c>
      <c r="H3687" s="5" t="s">
        <v>3728</v>
      </c>
      <c r="I3687" s="7">
        <v>1368500</v>
      </c>
      <c r="J3687" s="8">
        <v>3.8500000000000013E-2</v>
      </c>
    </row>
    <row r="3688" spans="1:10" x14ac:dyDescent="0.25">
      <c r="A3688" s="5" t="s">
        <v>3722</v>
      </c>
      <c r="B3688" s="5" t="s">
        <v>5555</v>
      </c>
      <c r="C3688" s="6" t="str">
        <f>_xll.QS.CONTEXT.CREATE("market.3686",A3688,"USD","SOFR")</f>
        <v>QSObject:PricingContext:w1~market.3686:14880</v>
      </c>
      <c r="D3688" s="6" t="str">
        <f>_xll.QS.CONTEXT.ADD.CURVE(C3688,"SOFR",$K$2:$K$7,$L$2:$L$7,,,"Actual360","LogLinear",TRUE)</f>
        <v>QSObject:ContextInput:w1~input.qs_context_add_curve.2359132437744.3687.3.0:36861</v>
      </c>
      <c r="E3688" s="6" t="str">
        <f>_xll.QS.INSTRUMENT.SWAP("swap.3686",H3688,B3688,"USD","SOFR",I3688,J3688,0,"Actual360","Simple","Annual","Annual","Annual")</f>
        <v>QSObject:Swap:w1~swap.3686:14879</v>
      </c>
      <c r="F3688" s="6" t="str">
        <f>_xll.QS.TRADE.CREATE("trade.3686",E3688,A3688,"Receive")</f>
        <v>QSObject:SwapTrade:w1~trade.3686:28150</v>
      </c>
      <c r="G3688" s="3">
        <f>_xll.QS.EVALUATE(C3688,F3688)</f>
        <v>41613.607688576354</v>
      </c>
      <c r="H3688" s="5" t="s">
        <v>3729</v>
      </c>
      <c r="I3688" s="7">
        <v>1368600</v>
      </c>
      <c r="J3688" s="8">
        <v>3.8600000000000002E-2</v>
      </c>
    </row>
    <row r="3689" spans="1:10" x14ac:dyDescent="0.25">
      <c r="A3689" s="5" t="s">
        <v>3723</v>
      </c>
      <c r="B3689" s="5" t="s">
        <v>5556</v>
      </c>
      <c r="C3689" s="6" t="str">
        <f>_xll.QS.CONTEXT.CREATE("market.3687",A3689,"USD","SOFR")</f>
        <v>QSObject:PricingContext:w1~market.3687:14878</v>
      </c>
      <c r="D3689" s="6" t="str">
        <f>_xll.QS.CONTEXT.ADD.CURVE(C3689,"SOFR",$K$2:$K$7,$L$2:$L$7,,,"Actual360","LogLinear",TRUE)</f>
        <v>QSObject:ContextInput:w1~input.qs_context_add_curve.2359132437744.3688.3.0:36860</v>
      </c>
      <c r="E3689" s="6" t="str">
        <f>_xll.QS.INSTRUMENT.SWAP("swap.3687",H3689,B3689,"USD","SOFR",I3689,J3689,0,"Actual360","Simple","Annual","Annual","Annual")</f>
        <v>QSObject:Swap:w1~swap.3687:14877</v>
      </c>
      <c r="F3689" s="6" t="str">
        <f>_xll.QS.TRADE.CREATE("trade.3687",E3689,A3689,"Receive")</f>
        <v>QSObject:SwapTrade:w1~trade.3687:28149</v>
      </c>
      <c r="G3689" s="3">
        <f>_xll.QS.EVALUATE(C3689,F3689)</f>
        <v>42078.077741308953</v>
      </c>
      <c r="H3689" s="5" t="s">
        <v>3730</v>
      </c>
      <c r="I3689" s="7">
        <v>1368700</v>
      </c>
      <c r="J3689" s="8">
        <v>3.8700000000000012E-2</v>
      </c>
    </row>
    <row r="3690" spans="1:10" x14ac:dyDescent="0.25">
      <c r="A3690" s="5" t="s">
        <v>3724</v>
      </c>
      <c r="B3690" s="5" t="s">
        <v>5557</v>
      </c>
      <c r="C3690" s="6" t="str">
        <f>_xll.QS.CONTEXT.CREATE("market.3688",A3690,"USD","SOFR")</f>
        <v>QSObject:PricingContext:w1~market.3688:14876</v>
      </c>
      <c r="D3690" s="6" t="str">
        <f>_xll.QS.CONTEXT.ADD.CURVE(C3690,"SOFR",$K$2:$K$7,$L$2:$L$7,,,"Actual360","LogLinear",TRUE)</f>
        <v>QSObject:ContextInput:w1~input.qs_context_add_curve.2359132437744.3689.3.0:36859</v>
      </c>
      <c r="E3690" s="6" t="str">
        <f>_xll.QS.INSTRUMENT.SWAP("swap.3688",H3690,B3690,"USD","SOFR",I3690,J3690,0,"Actual360","Simple","Annual","Annual","Annual")</f>
        <v>QSObject:Swap:w1~swap.3688:14875</v>
      </c>
      <c r="F3690" s="6" t="str">
        <f>_xll.QS.TRADE.CREATE("trade.3688",E3690,A3690,"Receive")</f>
        <v>QSObject:SwapTrade:w1~trade.3688:28148</v>
      </c>
      <c r="G3690" s="3">
        <f>_xll.QS.EVALUATE(C3690,F3690)</f>
        <v>42715.945728500825</v>
      </c>
      <c r="H3690" s="5" t="s">
        <v>3731</v>
      </c>
      <c r="I3690" s="7">
        <v>1368800</v>
      </c>
      <c r="J3690" s="8">
        <v>3.8800000000000001E-2</v>
      </c>
    </row>
    <row r="3691" spans="1:10" x14ac:dyDescent="0.25">
      <c r="A3691" s="5" t="s">
        <v>3725</v>
      </c>
      <c r="B3691" s="5" t="s">
        <v>5558</v>
      </c>
      <c r="C3691" s="6" t="str">
        <f>_xll.QS.CONTEXT.CREATE("market.3689",A3691,"USD","SOFR")</f>
        <v>QSObject:PricingContext:w1~market.3689:14874</v>
      </c>
      <c r="D3691" s="6" t="str">
        <f>_xll.QS.CONTEXT.ADD.CURVE(C3691,"SOFR",$K$2:$K$7,$L$2:$L$7,,,"Actual360","LogLinear",TRUE)</f>
        <v>QSObject:ContextInput:w1~input.qs_context_add_curve.2359132437744.3690.3.0:36858</v>
      </c>
      <c r="E3691" s="6" t="str">
        <f>_xll.QS.INSTRUMENT.SWAP("swap.3689",H3691,B3691,"USD","SOFR",I3691,J3691,0,"Actual360","Simple","Annual","Annual","Annual")</f>
        <v>QSObject:Swap:w1~swap.3689:14873</v>
      </c>
      <c r="F3691" s="6" t="str">
        <f>_xll.QS.TRADE.CREATE("trade.3689",E3691,A3691,"Receive")</f>
        <v>QSObject:SwapTrade:w1~trade.3689:28147</v>
      </c>
      <c r="G3691" s="3">
        <f>_xll.QS.EVALUATE(C3691,F3691)</f>
        <v>43408.860180002077</v>
      </c>
      <c r="H3691" s="5" t="s">
        <v>3732</v>
      </c>
      <c r="I3691" s="7">
        <v>1368900</v>
      </c>
      <c r="J3691" s="8">
        <v>3.8899999999999997E-2</v>
      </c>
    </row>
    <row r="3692" spans="1:10" x14ac:dyDescent="0.25">
      <c r="A3692" s="5" t="s">
        <v>3726</v>
      </c>
      <c r="B3692" s="5" t="s">
        <v>5559</v>
      </c>
      <c r="C3692" s="6" t="str">
        <f>_xll.QS.CONTEXT.CREATE("market.3690",A3692,"USD","SOFR")</f>
        <v>QSObject:PricingContext:w1~market.3690:14872</v>
      </c>
      <c r="D3692" s="6" t="str">
        <f>_xll.QS.CONTEXT.ADD.CURVE(C3692,"SOFR",$K$2:$K$7,$L$2:$L$7,,,"Actual360","LogLinear",TRUE)</f>
        <v>QSObject:ContextInput:w1~input.qs_context_add_curve.2359132437744.3691.3.0:36857</v>
      </c>
      <c r="E3692" s="6" t="str">
        <f>_xll.QS.INSTRUMENT.SWAP("swap.3690",H3692,B3692,"USD","SOFR",I3692,J3692,0,"Actual360","Simple","Annual","Annual","Annual")</f>
        <v>QSObject:Swap:w1~swap.3690:14871</v>
      </c>
      <c r="F3692" s="6" t="str">
        <f>_xll.QS.TRADE.CREATE("trade.3690",E3692,A3692,"Receive")</f>
        <v>QSObject:SwapTrade:w1~trade.3690:28146</v>
      </c>
      <c r="G3692" s="3">
        <f>_xll.QS.EVALUATE(C3692,F3692)</f>
        <v>44143.749483051157</v>
      </c>
      <c r="H3692" s="5" t="s">
        <v>3733</v>
      </c>
      <c r="I3692" s="7">
        <v>1369000</v>
      </c>
      <c r="J3692" s="8">
        <v>3.9000000000000007E-2</v>
      </c>
    </row>
    <row r="3693" spans="1:10" x14ac:dyDescent="0.25">
      <c r="A3693" s="5" t="s">
        <v>3727</v>
      </c>
      <c r="B3693" s="5" t="s">
        <v>5560</v>
      </c>
      <c r="C3693" s="6" t="str">
        <f>_xll.QS.CONTEXT.CREATE("market.3691",A3693,"USD","SOFR")</f>
        <v>QSObject:PricingContext:w1~market.3691:14870</v>
      </c>
      <c r="D3693" s="6" t="str">
        <f>_xll.QS.CONTEXT.ADD.CURVE(C3693,"SOFR",$K$2:$K$7,$L$2:$L$7,,,"Actual360","LogLinear",TRUE)</f>
        <v>QSObject:ContextInput:w1~input.qs_context_add_curve.2359132437744.3692.3.0:36856</v>
      </c>
      <c r="E3693" s="6" t="str">
        <f>_xll.QS.INSTRUMENT.SWAP("swap.3691",H3693,B3693,"USD","SOFR",I3693,J3693,0,"Actual360","Simple","Annual","Annual","Annual")</f>
        <v>QSObject:Swap:w1~swap.3691:14869</v>
      </c>
      <c r="F3693" s="6" t="str">
        <f>_xll.QS.TRADE.CREATE("trade.3691",E3693,A3693,"Receive")</f>
        <v>QSObject:SwapTrade:w1~trade.3691:28145</v>
      </c>
      <c r="G3693" s="3">
        <f>_xll.QS.EVALUATE(C3693,F3693)</f>
        <v>44778.344454921891</v>
      </c>
      <c r="H3693" s="5" t="s">
        <v>3734</v>
      </c>
      <c r="I3693" s="7">
        <v>1369100</v>
      </c>
      <c r="J3693" s="8">
        <v>3.9100000000000003E-2</v>
      </c>
    </row>
    <row r="3694" spans="1:10" x14ac:dyDescent="0.25">
      <c r="A3694" s="5" t="s">
        <v>3728</v>
      </c>
      <c r="B3694" s="5" t="s">
        <v>5561</v>
      </c>
      <c r="C3694" s="6" t="str">
        <f>_xll.QS.CONTEXT.CREATE("market.3692",A3694,"USD","SOFR")</f>
        <v>QSObject:PricingContext:w1~market.3692:14868</v>
      </c>
      <c r="D3694" s="6" t="str">
        <f>_xll.QS.CONTEXT.ADD.CURVE(C3694,"SOFR",$K$2:$K$7,$L$2:$L$7,,,"Actual360","LogLinear",TRUE)</f>
        <v>QSObject:ContextInput:w1~input.qs_context_add_curve.2359132437744.3693.3.0:36855</v>
      </c>
      <c r="E3694" s="6" t="str">
        <f>_xll.QS.INSTRUMENT.SWAP("swap.3692",H3694,B3694,"USD","SOFR",I3694,J3694,0,"Actual360","Simple","Annual","Annual","Annual")</f>
        <v>QSObject:Swap:w1~swap.3692:14867</v>
      </c>
      <c r="F3694" s="6" t="str">
        <f>_xll.QS.TRADE.CREATE("trade.3692",E3694,A3694,"Receive")</f>
        <v>QSObject:SwapTrade:w1~trade.3692:28144</v>
      </c>
      <c r="G3694" s="3">
        <f>_xll.QS.EVALUATE(C3694,F3694)</f>
        <v>45420.468083722553</v>
      </c>
      <c r="H3694" s="5" t="s">
        <v>3735</v>
      </c>
      <c r="I3694" s="7">
        <v>1369200</v>
      </c>
      <c r="J3694" s="8">
        <v>3.9200000000000013E-2</v>
      </c>
    </row>
    <row r="3695" spans="1:10" x14ac:dyDescent="0.25">
      <c r="A3695" s="5" t="s">
        <v>3729</v>
      </c>
      <c r="B3695" s="5" t="s">
        <v>5562</v>
      </c>
      <c r="C3695" s="6" t="str">
        <f>_xll.QS.CONTEXT.CREATE("market.3693",A3695,"USD","SOFR")</f>
        <v>QSObject:PricingContext:w1~market.3693:14866</v>
      </c>
      <c r="D3695" s="6" t="str">
        <f>_xll.QS.CONTEXT.ADD.CURVE(C3695,"SOFR",$K$2:$K$7,$L$2:$L$7,,,"Actual360","LogLinear",TRUE)</f>
        <v>QSObject:ContextInput:w1~input.qs_context_add_curve.2359132437744.3694.3.0:36854</v>
      </c>
      <c r="E3695" s="6" t="str">
        <f>_xll.QS.INSTRUMENT.SWAP("swap.3693",H3695,B3695,"USD","SOFR",I3695,J3695,0,"Actual360","Simple","Annual","Annual","Annual")</f>
        <v>QSObject:Swap:w1~swap.3693:14865</v>
      </c>
      <c r="F3695" s="6" t="str">
        <f>_xll.QS.TRADE.CREATE("trade.3693",E3695,A3695,"Receive")</f>
        <v>QSObject:SwapTrade:w1~trade.3693:28143</v>
      </c>
      <c r="G3695" s="3">
        <f>_xll.QS.EVALUATE(C3695,F3695)</f>
        <v>46057.265034660362</v>
      </c>
      <c r="H3695" s="5" t="s">
        <v>3736</v>
      </c>
      <c r="I3695" s="7">
        <v>1369300</v>
      </c>
      <c r="J3695" s="8">
        <v>3.9300000000000002E-2</v>
      </c>
    </row>
    <row r="3696" spans="1:10" x14ac:dyDescent="0.25">
      <c r="A3696" s="5" t="s">
        <v>3730</v>
      </c>
      <c r="B3696" s="5" t="s">
        <v>5563</v>
      </c>
      <c r="C3696" s="6" t="str">
        <f>_xll.QS.CONTEXT.CREATE("market.3694",A3696,"USD","SOFR")</f>
        <v>QSObject:PricingContext:w1~market.3694:14864</v>
      </c>
      <c r="D3696" s="6" t="str">
        <f>_xll.QS.CONTEXT.ADD.CURVE(C3696,"SOFR",$K$2:$K$7,$L$2:$L$7,,,"Actual360","LogLinear",TRUE)</f>
        <v>QSObject:ContextInput:w1~input.qs_context_add_curve.2359132437744.3695.3.0:36853</v>
      </c>
      <c r="E3696" s="6" t="str">
        <f>_xll.QS.INSTRUMENT.SWAP("swap.3694",H3696,B3696,"USD","SOFR",I3696,J3696,0,"Actual360","Simple","Annual","Annual","Annual")</f>
        <v>QSObject:Swap:w1~swap.3694:14863</v>
      </c>
      <c r="F3696" s="6" t="str">
        <f>_xll.QS.TRADE.CREATE("trade.3694",E3696,A3696,"Receive")</f>
        <v>QSObject:SwapTrade:w1~trade.3694:28142</v>
      </c>
      <c r="G3696" s="3">
        <f>_xll.QS.EVALUATE(C3696,F3696)</f>
        <v>46463.468736680465</v>
      </c>
      <c r="H3696" s="5" t="s">
        <v>3737</v>
      </c>
      <c r="I3696" s="7">
        <v>1369400</v>
      </c>
      <c r="J3696" s="8">
        <v>3.9399999999999998E-2</v>
      </c>
    </row>
    <row r="3697" spans="1:10" x14ac:dyDescent="0.25">
      <c r="A3697" s="5" t="s">
        <v>3731</v>
      </c>
      <c r="B3697" s="5" t="s">
        <v>5564</v>
      </c>
      <c r="C3697" s="6" t="str">
        <f>_xll.QS.CONTEXT.CREATE("market.3695",A3697,"USD","SOFR")</f>
        <v>QSObject:PricingContext:w1~market.3695:14862</v>
      </c>
      <c r="D3697" s="6" t="str">
        <f>_xll.QS.CONTEXT.ADD.CURVE(C3697,"SOFR",$K$2:$K$7,$L$2:$L$7,,,"Actual360","LogLinear",TRUE)</f>
        <v>QSObject:ContextInput:w1~input.qs_context_add_curve.2359132437744.3696.3.0:36852</v>
      </c>
      <c r="E3697" s="6" t="str">
        <f>_xll.QS.INSTRUMENT.SWAP("swap.3695",H3697,B3697,"USD","SOFR",I3697,J3697,0,"Actual360","Simple","Annual","Annual","Annual")</f>
        <v>QSObject:Swap:w1~swap.3695:14861</v>
      </c>
      <c r="F3697" s="6" t="str">
        <f>_xll.QS.TRADE.CREATE("trade.3695",E3697,A3697,"Receive")</f>
        <v>QSObject:SwapTrade:w1~trade.3695:28141</v>
      </c>
      <c r="G3697" s="3">
        <f>_xll.QS.EVALUATE(C3697,F3697)</f>
        <v>47102.233140873337</v>
      </c>
      <c r="H3697" s="5" t="s">
        <v>3738</v>
      </c>
      <c r="I3697" s="7">
        <v>1369500</v>
      </c>
      <c r="J3697" s="8">
        <v>3.9500000000000007E-2</v>
      </c>
    </row>
    <row r="3698" spans="1:10" x14ac:dyDescent="0.25">
      <c r="A3698" s="5" t="s">
        <v>3732</v>
      </c>
      <c r="B3698" s="5" t="s">
        <v>5565</v>
      </c>
      <c r="C3698" s="6" t="str">
        <f>_xll.QS.CONTEXT.CREATE("market.3696",A3698,"USD","SOFR")</f>
        <v>QSObject:PricingContext:w1~market.3696:14860</v>
      </c>
      <c r="D3698" s="6" t="str">
        <f>_xll.QS.CONTEXT.ADD.CURVE(C3698,"SOFR",$K$2:$K$7,$L$2:$L$7,,,"Actual360","LogLinear",TRUE)</f>
        <v>QSObject:ContextInput:w1~input.qs_context_add_curve.2359132437744.3697.3.0:36851</v>
      </c>
      <c r="E3698" s="6" t="str">
        <f>_xll.QS.INSTRUMENT.SWAP("swap.3696",H3698,B3698,"USD","SOFR",I3698,J3698,0,"Actual360","Simple","Annual","Annual","Annual")</f>
        <v>QSObject:Swap:w1~swap.3696:14859</v>
      </c>
      <c r="F3698" s="6" t="str">
        <f>_xll.QS.TRADE.CREATE("trade.3696",E3698,A3698,"Receive")</f>
        <v>QSObject:SwapTrade:w1~trade.3696:28140</v>
      </c>
      <c r="G3698" s="3">
        <f>_xll.QS.EVALUATE(C3698,F3698)</f>
        <v>47796.627866954361</v>
      </c>
      <c r="H3698" s="5" t="s">
        <v>3739</v>
      </c>
      <c r="I3698" s="7">
        <v>1369600</v>
      </c>
      <c r="J3698" s="8">
        <v>3.9600000000000003E-2</v>
      </c>
    </row>
    <row r="3699" spans="1:10" x14ac:dyDescent="0.25">
      <c r="A3699" s="5" t="s">
        <v>3733</v>
      </c>
      <c r="B3699" s="5" t="s">
        <v>5566</v>
      </c>
      <c r="C3699" s="6" t="str">
        <f>_xll.QS.CONTEXT.CREATE("market.3697",A3699,"USD","SOFR")</f>
        <v>QSObject:PricingContext:w1~market.3697:14858</v>
      </c>
      <c r="D3699" s="6" t="str">
        <f>_xll.QS.CONTEXT.ADD.CURVE(C3699,"SOFR",$K$2:$K$7,$L$2:$L$7,,,"Actual360","LogLinear",TRUE)</f>
        <v>QSObject:ContextInput:w1~input.qs_context_add_curve.2359132437744.3698.3.0:36850</v>
      </c>
      <c r="E3699" s="6" t="str">
        <f>_xll.QS.INSTRUMENT.SWAP("swap.3697",H3699,B3699,"USD","SOFR",I3699,J3699,0,"Actual360","Simple","Annual","Annual","Annual")</f>
        <v>QSObject:Swap:w1~swap.3697:14857</v>
      </c>
      <c r="F3699" s="6" t="str">
        <f>_xll.QS.TRADE.CREATE("trade.3697",E3699,A3699,"Receive")</f>
        <v>QSObject:SwapTrade:w1~trade.3697:28139</v>
      </c>
      <c r="G3699" s="3">
        <f>_xll.QS.EVALUATE(C3699,F3699)</f>
        <v>48640.968985184176</v>
      </c>
      <c r="H3699" s="5" t="s">
        <v>3740</v>
      </c>
      <c r="I3699" s="7">
        <v>1369700</v>
      </c>
      <c r="J3699" s="8">
        <v>3.9700000000000013E-2</v>
      </c>
    </row>
    <row r="3700" spans="1:10" x14ac:dyDescent="0.25">
      <c r="A3700" s="5" t="s">
        <v>3734</v>
      </c>
      <c r="B3700" s="5" t="s">
        <v>5567</v>
      </c>
      <c r="C3700" s="6" t="str">
        <f>_xll.QS.CONTEXT.CREATE("market.3698",A3700,"USD","SOFR")</f>
        <v>QSObject:PricingContext:w1~market.3698:14856</v>
      </c>
      <c r="D3700" s="6" t="str">
        <f>_xll.QS.CONTEXT.ADD.CURVE(C3700,"SOFR",$K$2:$K$7,$L$2:$L$7,,,"Actual360","LogLinear",TRUE)</f>
        <v>QSObject:ContextInput:w1~input.qs_context_add_curve.2359132437744.3699.3.0:36849</v>
      </c>
      <c r="E3700" s="6" t="str">
        <f>_xll.QS.INSTRUMENT.SWAP("swap.3698",H3700,B3700,"USD","SOFR",I3700,J3700,0,"Actual360","Simple","Annual","Annual","Annual")</f>
        <v>QSObject:Swap:w1~swap.3698:14855</v>
      </c>
      <c r="F3700" s="6" t="str">
        <f>_xll.QS.TRADE.CREATE("trade.3698",E3700,A3700,"Receive")</f>
        <v>QSObject:SwapTrade:w1~trade.3698:28138</v>
      </c>
      <c r="G3700" s="3">
        <f>_xll.QS.EVALUATE(C3700,F3700)</f>
        <v>49276.211248002379</v>
      </c>
      <c r="H3700" s="5" t="s">
        <v>3741</v>
      </c>
      <c r="I3700" s="7">
        <v>1369800</v>
      </c>
      <c r="J3700" s="8">
        <v>3.9800000000000002E-2</v>
      </c>
    </row>
    <row r="3701" spans="1:10" x14ac:dyDescent="0.25">
      <c r="A3701" s="5" t="s">
        <v>3735</v>
      </c>
      <c r="B3701" s="5" t="s">
        <v>5568</v>
      </c>
      <c r="C3701" s="6" t="str">
        <f>_xll.QS.CONTEXT.CREATE("market.3699",A3701,"USD","SOFR")</f>
        <v>QSObject:PricingContext:w1~market.3699:14854</v>
      </c>
      <c r="D3701" s="6" t="str">
        <f>_xll.QS.CONTEXT.ADD.CURVE(C3701,"SOFR",$K$2:$K$7,$L$2:$L$7,,,"Actual360","LogLinear",TRUE)</f>
        <v>QSObject:ContextInput:w1~input.qs_context_add_curve.2359132437744.3700.3.0:36848</v>
      </c>
      <c r="E3701" s="6" t="str">
        <f>_xll.QS.INSTRUMENT.SWAP("swap.3699",H3701,B3701,"USD","SOFR",I3701,J3701,0,"Actual360","Simple","Annual","Annual","Annual")</f>
        <v>QSObject:Swap:w1~swap.3699:14853</v>
      </c>
      <c r="F3701" s="6" t="str">
        <f>_xll.QS.TRADE.CREATE("trade.3699",E3701,A3701,"Receive")</f>
        <v>QSObject:SwapTrade:w1~trade.3699:28137</v>
      </c>
      <c r="G3701" s="3">
        <f>_xll.QS.EVALUATE(C3701,F3701)</f>
        <v>49923.942240145101</v>
      </c>
      <c r="H3701" s="5" t="s">
        <v>3742</v>
      </c>
      <c r="I3701" s="7">
        <v>1369900</v>
      </c>
      <c r="J3701" s="8">
        <v>3.9899999999999998E-2</v>
      </c>
    </row>
    <row r="3702" spans="1:10" x14ac:dyDescent="0.25">
      <c r="A3702" s="5" t="s">
        <v>3736</v>
      </c>
      <c r="B3702" s="5" t="s">
        <v>5569</v>
      </c>
      <c r="C3702" s="6" t="str">
        <f>_xll.QS.CONTEXT.CREATE("market.3700",A3702,"USD","SOFR")</f>
        <v>QSObject:PricingContext:w1~market.3700:14852</v>
      </c>
      <c r="D3702" s="6" t="str">
        <f>_xll.QS.CONTEXT.ADD.CURVE(C3702,"SOFR",$K$2:$K$7,$L$2:$L$7,,,"Actual360","LogLinear",TRUE)</f>
        <v>QSObject:ContextInput:w1~input.qs_context_add_curve.2359132437744.3701.3.0:36847</v>
      </c>
      <c r="E3702" s="6" t="str">
        <f>_xll.QS.INSTRUMENT.SWAP("swap.3700",H3702,B3702,"USD","SOFR",I3702,J3702,0,"Actual360","Simple","Annual","Annual","Annual")</f>
        <v>QSObject:Swap:w1~swap.3700:14851</v>
      </c>
      <c r="F3702" s="6" t="str">
        <f>_xll.QS.TRADE.CREATE("trade.3700",E3702,A3702,"Receive")</f>
        <v>QSObject:SwapTrade:w1~trade.3700:28136</v>
      </c>
      <c r="G3702" s="3">
        <f>_xll.QS.EVALUATE(C3702,F3702)</f>
        <v>18956.026851761584</v>
      </c>
      <c r="H3702" s="5" t="s">
        <v>3743</v>
      </c>
      <c r="I3702" s="7">
        <v>1370000</v>
      </c>
      <c r="J3702" s="8">
        <v>3.5000000000000003E-2</v>
      </c>
    </row>
    <row r="3703" spans="1:10" x14ac:dyDescent="0.25">
      <c r="A3703" s="5" t="s">
        <v>3737</v>
      </c>
      <c r="B3703" s="5" t="s">
        <v>5570</v>
      </c>
      <c r="C3703" s="6" t="str">
        <f>_xll.QS.CONTEXT.CREATE("market.3701",A3703,"USD","SOFR")</f>
        <v>QSObject:PricingContext:w1~market.3701:14850</v>
      </c>
      <c r="D3703" s="6" t="str">
        <f>_xll.QS.CONTEXT.ADD.CURVE(C3703,"SOFR",$K$2:$K$7,$L$2:$L$7,,,"Actual360","LogLinear",TRUE)</f>
        <v>QSObject:ContextInput:w1~input.qs_context_add_curve.2359132437744.3702.3.0:36846</v>
      </c>
      <c r="E3703" s="6" t="str">
        <f>_xll.QS.INSTRUMENT.SWAP("swap.3701",H3703,B3703,"USD","SOFR",I3703,J3703,0,"Actual360","Simple","Annual","Annual","Annual")</f>
        <v>QSObject:Swap:w1~swap.3701:14849</v>
      </c>
      <c r="F3703" s="6" t="str">
        <f>_xll.QS.TRADE.CREATE("trade.3701",E3703,A3703,"Receive")</f>
        <v>QSObject:SwapTrade:w1~trade.3701:28135</v>
      </c>
      <c r="G3703" s="3">
        <f>_xll.QS.EVALUATE(C3703,F3703)</f>
        <v>19423.890511368685</v>
      </c>
      <c r="H3703" s="5" t="s">
        <v>3744</v>
      </c>
      <c r="I3703" s="7">
        <v>1370100</v>
      </c>
      <c r="J3703" s="8">
        <v>3.5100000000000013E-2</v>
      </c>
    </row>
    <row r="3704" spans="1:10" x14ac:dyDescent="0.25">
      <c r="A3704" s="5" t="s">
        <v>3738</v>
      </c>
      <c r="B3704" s="5" t="s">
        <v>5571</v>
      </c>
      <c r="C3704" s="6" t="str">
        <f>_xll.QS.CONTEXT.CREATE("market.3702",A3704,"USD","SOFR")</f>
        <v>QSObject:PricingContext:w1~market.3702:14848</v>
      </c>
      <c r="D3704" s="6" t="str">
        <f>_xll.QS.CONTEXT.ADD.CURVE(C3704,"SOFR",$K$2:$K$7,$L$2:$L$7,,,"Actual360","LogLinear",TRUE)</f>
        <v>QSObject:ContextInput:w1~input.qs_context_add_curve.2359132437744.3703.3.0:36845</v>
      </c>
      <c r="E3704" s="6" t="str">
        <f>_xll.QS.INSTRUMENT.SWAP("swap.3702",H3704,B3704,"USD","SOFR",I3704,J3704,0,"Actual360","Simple","Annual","Annual","Annual")</f>
        <v>QSObject:Swap:w1~swap.3702:14847</v>
      </c>
      <c r="F3704" s="6" t="str">
        <f>_xll.QS.TRADE.CREATE("trade.3702",E3704,A3704,"Receive")</f>
        <v>QSObject:SwapTrade:w1~trade.3702:28134</v>
      </c>
      <c r="G3704" s="3">
        <f>_xll.QS.EVALUATE(C3704,F3704)</f>
        <v>20058.983100934172</v>
      </c>
      <c r="H3704" s="5" t="s">
        <v>3745</v>
      </c>
      <c r="I3704" s="7">
        <v>1370200</v>
      </c>
      <c r="J3704" s="8">
        <v>3.5200000000000002E-2</v>
      </c>
    </row>
    <row r="3705" spans="1:10" x14ac:dyDescent="0.25">
      <c r="A3705" s="5" t="s">
        <v>3739</v>
      </c>
      <c r="B3705" s="5" t="s">
        <v>5572</v>
      </c>
      <c r="C3705" s="6" t="str">
        <f>_xll.QS.CONTEXT.CREATE("market.3703",A3705,"USD","SOFR")</f>
        <v>QSObject:PricingContext:w1~market.3703:14846</v>
      </c>
      <c r="D3705" s="6" t="str">
        <f>_xll.QS.CONTEXT.ADD.CURVE(C3705,"SOFR",$K$2:$K$7,$L$2:$L$7,,,"Actual360","LogLinear",TRUE)</f>
        <v>QSObject:ContextInput:w1~input.qs_context_add_curve.2359132437744.3704.3.0:36844</v>
      </c>
      <c r="E3705" s="6" t="str">
        <f>_xll.QS.INSTRUMENT.SWAP("swap.3703",H3705,B3705,"USD","SOFR",I3705,J3705,0,"Actual360","Simple","Annual","Annual","Annual")</f>
        <v>QSObject:Swap:w1~swap.3703:14845</v>
      </c>
      <c r="F3705" s="6" t="str">
        <f>_xll.QS.TRADE.CREATE("trade.3703",E3705,A3705,"Receive")</f>
        <v>QSObject:SwapTrade:w1~trade.3703:28133</v>
      </c>
      <c r="G3705" s="3">
        <f>_xll.QS.EVALUATE(C3705,F3705)</f>
        <v>20694.146515250664</v>
      </c>
      <c r="H3705" s="5" t="s">
        <v>3746</v>
      </c>
      <c r="I3705" s="7">
        <v>1370300</v>
      </c>
      <c r="J3705" s="8">
        <v>3.5299999999999998E-2</v>
      </c>
    </row>
    <row r="3706" spans="1:10" x14ac:dyDescent="0.25">
      <c r="A3706" s="5" t="s">
        <v>3740</v>
      </c>
      <c r="B3706" s="5" t="s">
        <v>5572</v>
      </c>
      <c r="C3706" s="6" t="str">
        <f>_xll.QS.CONTEXT.CREATE("market.3704",A3706,"USD","SOFR")</f>
        <v>QSObject:PricingContext:w1~market.3704:14844</v>
      </c>
      <c r="D3706" s="6" t="str">
        <f>_xll.QS.CONTEXT.ADD.CURVE(C3706,"SOFR",$K$2:$K$7,$L$2:$L$7,,,"Actual360","LogLinear",TRUE)</f>
        <v>QSObject:ContextInput:w1~input.qs_context_add_curve.2359132437744.3705.3.0:36843</v>
      </c>
      <c r="E3706" s="6" t="str">
        <f>_xll.QS.INSTRUMENT.SWAP("swap.3704",H3706,B3706,"USD","SOFR",I3706,J3706,0,"Actual360","Simple","Annual","Annual","Annual")</f>
        <v>QSObject:Swap:w1~swap.3704:14843</v>
      </c>
      <c r="F3706" s="6" t="str">
        <f>_xll.QS.TRADE.CREATE("trade.3704",E3706,A3706,"Receive")</f>
        <v>QSObject:SwapTrade:w1~trade.3704:28132</v>
      </c>
      <c r="G3706" s="3">
        <f>_xll.QS.EVALUATE(C3706,F3706)</f>
        <v>21469.675426574096</v>
      </c>
      <c r="H3706" s="5" t="s">
        <v>5573</v>
      </c>
      <c r="I3706" s="7">
        <v>1370400</v>
      </c>
      <c r="J3706" s="8">
        <v>3.5400000000000001E-2</v>
      </c>
    </row>
    <row r="3707" spans="1:10" x14ac:dyDescent="0.25">
      <c r="A3707" s="5" t="s">
        <v>3741</v>
      </c>
      <c r="B3707" s="5" t="s">
        <v>5574</v>
      </c>
      <c r="C3707" s="6" t="str">
        <f>_xll.QS.CONTEXT.CREATE("market.3705",A3707,"USD","SOFR")</f>
        <v>QSObject:PricingContext:w1~market.3705:14842</v>
      </c>
      <c r="D3707" s="6" t="str">
        <f>_xll.QS.CONTEXT.ADD.CURVE(C3707,"SOFR",$K$2:$K$7,$L$2:$L$7,,,"Actual360","LogLinear",TRUE)</f>
        <v>QSObject:ContextInput:w1~input.qs_context_add_curve.2359132437744.3706.3.0:36842</v>
      </c>
      <c r="E3707" s="6" t="str">
        <f>_xll.QS.INSTRUMENT.SWAP("swap.3705",H3707,B3707,"USD","SOFR",I3707,J3707,0,"Actual360","Simple","Annual","Annual","Annual")</f>
        <v>QSObject:Swap:w1~swap.3705:14841</v>
      </c>
      <c r="F3707" s="6" t="str">
        <f>_xll.QS.TRADE.CREATE("trade.3705",E3707,A3707,"Receive")</f>
        <v>QSObject:SwapTrade:w1~trade.3705:28131</v>
      </c>
      <c r="G3707" s="3">
        <f>_xll.QS.EVALUATE(C3707,F3707)</f>
        <v>22102.833714632558</v>
      </c>
      <c r="H3707" s="5" t="s">
        <v>3747</v>
      </c>
      <c r="I3707" s="7">
        <v>1370500</v>
      </c>
      <c r="J3707" s="8">
        <v>3.5499999999999997E-2</v>
      </c>
    </row>
    <row r="3708" spans="1:10" x14ac:dyDescent="0.25">
      <c r="A3708" s="5" t="s">
        <v>3742</v>
      </c>
      <c r="B3708" s="5" t="s">
        <v>5575</v>
      </c>
      <c r="C3708" s="6" t="str">
        <f>_xll.QS.CONTEXT.CREATE("market.3706",A3708,"USD","SOFR")</f>
        <v>QSObject:PricingContext:w1~market.3706:14840</v>
      </c>
      <c r="D3708" s="6" t="str">
        <f>_xll.QS.CONTEXT.ADD.CURVE(C3708,"SOFR",$K$2:$K$7,$L$2:$L$7,,,"Actual360","LogLinear",TRUE)</f>
        <v>QSObject:ContextInput:w1~input.qs_context_add_curve.2359132437744.3707.3.0:36841</v>
      </c>
      <c r="E3708" s="6" t="str">
        <f>_xll.QS.INSTRUMENT.SWAP("swap.3706",H3708,B3708,"USD","SOFR",I3708,J3708,0,"Actual360","Simple","Annual","Annual","Annual")</f>
        <v>QSObject:Swap:w1~swap.3706:14839</v>
      </c>
      <c r="F3708" s="6" t="str">
        <f>_xll.QS.TRADE.CREATE("trade.3706",E3708,A3708,"Receive")</f>
        <v>QSObject:SwapTrade:w1~trade.3706:28130</v>
      </c>
      <c r="G3708" s="3">
        <f>_xll.QS.EVALUATE(C3708,F3708)</f>
        <v>22743.536981354613</v>
      </c>
      <c r="H3708" s="5" t="s">
        <v>3748</v>
      </c>
      <c r="I3708" s="7">
        <v>1370600</v>
      </c>
      <c r="J3708" s="8">
        <v>3.5600000000000007E-2</v>
      </c>
    </row>
    <row r="3709" spans="1:10" x14ac:dyDescent="0.25">
      <c r="A3709" s="5" t="s">
        <v>3743</v>
      </c>
      <c r="B3709" s="5" t="s">
        <v>5576</v>
      </c>
      <c r="C3709" s="6" t="str">
        <f>_xll.QS.CONTEXT.CREATE("market.3707",A3709,"USD","SOFR")</f>
        <v>QSObject:PricingContext:w1~market.3707:14838</v>
      </c>
      <c r="D3709" s="6" t="str">
        <f>_xll.QS.CONTEXT.ADD.CURVE(C3709,"SOFR",$K$2:$K$7,$L$2:$L$7,,,"Actual360","LogLinear",TRUE)</f>
        <v>QSObject:ContextInput:w1~input.qs_context_add_curve.2359132437744.3708.3.0:36840</v>
      </c>
      <c r="E3709" s="6" t="str">
        <f>_xll.QS.INSTRUMENT.SWAP("swap.3707",H3709,B3709,"USD","SOFR",I3709,J3709,0,"Actual360","Simple","Annual","Annual","Annual")</f>
        <v>QSObject:Swap:w1~swap.3707:14837</v>
      </c>
      <c r="F3709" s="6" t="str">
        <f>_xll.QS.TRADE.CREATE("trade.3707",E3709,A3709,"Receive")</f>
        <v>QSObject:SwapTrade:w1~trade.3707:28129</v>
      </c>
      <c r="G3709" s="3">
        <f>_xll.QS.EVALUATE(C3709,F3709)</f>
        <v>23324.873633666917</v>
      </c>
      <c r="H3709" s="5" t="s">
        <v>3749</v>
      </c>
      <c r="I3709" s="7">
        <v>1370700</v>
      </c>
      <c r="J3709" s="8">
        <v>3.5700000000000003E-2</v>
      </c>
    </row>
    <row r="3710" spans="1:10" x14ac:dyDescent="0.25">
      <c r="A3710" s="5" t="s">
        <v>3744</v>
      </c>
      <c r="B3710" s="5" t="s">
        <v>5577</v>
      </c>
      <c r="C3710" s="6" t="str">
        <f>_xll.QS.CONTEXT.CREATE("market.3708",A3710,"USD","SOFR")</f>
        <v>QSObject:PricingContext:w1~market.3708:14836</v>
      </c>
      <c r="D3710" s="6" t="str">
        <f>_xll.QS.CONTEXT.ADD.CURVE(C3710,"SOFR",$K$2:$K$7,$L$2:$L$7,,,"Actual360","LogLinear",TRUE)</f>
        <v>QSObject:ContextInput:w1~input.qs_context_add_curve.2359132437744.3709.3.0:36839</v>
      </c>
      <c r="E3710" s="6" t="str">
        <f>_xll.QS.INSTRUMENT.SWAP("swap.3708",H3710,B3710,"USD","SOFR",I3710,J3710,0,"Actual360","Simple","Annual","Annual","Annual")</f>
        <v>QSObject:Swap:w1~swap.3708:14835</v>
      </c>
      <c r="F3710" s="6" t="str">
        <f>_xll.QS.TRADE.CREATE("trade.3708",E3710,A3710,"Receive")</f>
        <v>QSObject:SwapTrade:w1~trade.3708:28128</v>
      </c>
      <c r="G3710" s="3">
        <f>_xll.QS.EVALUATE(C3710,F3710)</f>
        <v>23872.671767728985</v>
      </c>
      <c r="H3710" s="5" t="s">
        <v>3750</v>
      </c>
      <c r="I3710" s="7">
        <v>1370800</v>
      </c>
      <c r="J3710" s="8">
        <v>3.5800000000000012E-2</v>
      </c>
    </row>
    <row r="3711" spans="1:10" x14ac:dyDescent="0.25">
      <c r="A3711" s="5" t="s">
        <v>3745</v>
      </c>
      <c r="B3711" s="5" t="s">
        <v>5578</v>
      </c>
      <c r="C3711" s="6" t="str">
        <f>_xll.QS.CONTEXT.CREATE("market.3709",A3711,"USD","SOFR")</f>
        <v>QSObject:PricingContext:w1~market.3709:14834</v>
      </c>
      <c r="D3711" s="6" t="str">
        <f>_xll.QS.CONTEXT.ADD.CURVE(C3711,"SOFR",$K$2:$K$7,$L$2:$L$7,,,"Actual360","LogLinear",TRUE)</f>
        <v>QSObject:ContextInput:w1~input.qs_context_add_curve.2359132437744.3710.3.0:36838</v>
      </c>
      <c r="E3711" s="6" t="str">
        <f>_xll.QS.INSTRUMENT.SWAP("swap.3709",H3711,B3711,"USD","SOFR",I3711,J3711,0,"Actual360","Simple","Annual","Annual","Annual")</f>
        <v>QSObject:Swap:w1~swap.3709:14833</v>
      </c>
      <c r="F3711" s="6" t="str">
        <f>_xll.QS.TRADE.CREATE("trade.3709",E3711,A3711,"Receive")</f>
        <v>QSObject:SwapTrade:w1~trade.3709:28127</v>
      </c>
      <c r="G3711" s="3">
        <f>_xll.QS.EVALUATE(C3711,F3711)</f>
        <v>24388.100703748234</v>
      </c>
      <c r="H3711" s="5" t="s">
        <v>3751</v>
      </c>
      <c r="I3711" s="7">
        <v>1370900</v>
      </c>
      <c r="J3711" s="8">
        <v>3.5900000000000001E-2</v>
      </c>
    </row>
    <row r="3712" spans="1:10" x14ac:dyDescent="0.25">
      <c r="A3712" s="5" t="s">
        <v>3746</v>
      </c>
      <c r="B3712" s="5" t="s">
        <v>5579</v>
      </c>
      <c r="C3712" s="6" t="str">
        <f>_xll.QS.CONTEXT.CREATE("market.3710",A3712,"USD","SOFR")</f>
        <v>QSObject:PricingContext:w1~market.3710:14832</v>
      </c>
      <c r="D3712" s="6" t="str">
        <f>_xll.QS.CONTEXT.ADD.CURVE(C3712,"SOFR",$K$2:$K$7,$L$2:$L$7,,,"Actual360","LogLinear",TRUE)</f>
        <v>QSObject:ContextInput:w1~input.qs_context_add_curve.2359132437744.3711.3.0:36837</v>
      </c>
      <c r="E3712" s="6" t="str">
        <f>_xll.QS.INSTRUMENT.SWAP("swap.3710",H3712,B3712,"USD","SOFR",I3712,J3712,0,"Actual360","Simple","Annual","Annual","Annual")</f>
        <v>QSObject:Swap:w1~swap.3710:14831</v>
      </c>
      <c r="F3712" s="6" t="str">
        <f>_xll.QS.TRADE.CREATE("trade.3710",E3712,A3712,"Receive")</f>
        <v>QSObject:SwapTrade:w1~trade.3710:28126</v>
      </c>
      <c r="G3712" s="3">
        <f>_xll.QS.EVALUATE(C3712,F3712)</f>
        <v>25079.583408443905</v>
      </c>
      <c r="H3712" s="5" t="s">
        <v>3752</v>
      </c>
      <c r="I3712" s="7">
        <v>1371000</v>
      </c>
      <c r="J3712" s="8">
        <v>3.5999999999999997E-2</v>
      </c>
    </row>
    <row r="3713" spans="1:10" x14ac:dyDescent="0.25">
      <c r="A3713" s="5" t="s">
        <v>5573</v>
      </c>
      <c r="B3713" s="5" t="s">
        <v>5580</v>
      </c>
      <c r="C3713" s="6" t="str">
        <f>_xll.QS.CONTEXT.CREATE("market.3711",A3713,"USD","SOFR")</f>
        <v>QSObject:PricingContext:w1~market.3711:14830</v>
      </c>
      <c r="D3713" s="6" t="str">
        <f>_xll.QS.CONTEXT.ADD.CURVE(C3713,"SOFR",$K$2:$K$7,$L$2:$L$7,,,"Actual360","LogLinear",TRUE)</f>
        <v>QSObject:ContextInput:w1~input.qs_context_add_curve.2359132437744.3712.3.0:36836</v>
      </c>
      <c r="E3713" s="6" t="str">
        <f>_xll.QS.INSTRUMENT.SWAP("swap.3711",H3713,B3713,"USD","SOFR",I3713,J3713,0,"Actual360","Simple","Annual","Annual","Annual")</f>
        <v>QSObject:Swap:w1~swap.3711:14829</v>
      </c>
      <c r="F3713" s="6" t="str">
        <f>_xll.QS.TRADE.CREATE("trade.3711",E3713,A3713,"Receive")</f>
        <v>QSObject:SwapTrade:w1~trade.3711:28125</v>
      </c>
      <c r="G3713" s="3">
        <f>_xll.QS.EVALUATE(C3713,F3713)</f>
        <v>25753.872149413008</v>
      </c>
      <c r="H3713" s="5" t="s">
        <v>3753</v>
      </c>
      <c r="I3713" s="7">
        <v>1371100</v>
      </c>
      <c r="J3713" s="8">
        <v>3.61E-2</v>
      </c>
    </row>
    <row r="3714" spans="1:10" x14ac:dyDescent="0.25">
      <c r="A3714" s="5" t="s">
        <v>3747</v>
      </c>
      <c r="B3714" s="5" t="s">
        <v>5581</v>
      </c>
      <c r="C3714" s="6" t="str">
        <f>_xll.QS.CONTEXT.CREATE("market.3712",A3714,"USD","SOFR")</f>
        <v>QSObject:PricingContext:w1~market.3712:14828</v>
      </c>
      <c r="D3714" s="6" t="str">
        <f>_xll.QS.CONTEXT.ADD.CURVE(C3714,"SOFR",$K$2:$K$7,$L$2:$L$7,,,"Actual360","LogLinear",TRUE)</f>
        <v>QSObject:ContextInput:w1~input.qs_context_add_curve.2359132437744.3713.3.0:36835</v>
      </c>
      <c r="E3714" s="6" t="str">
        <f>_xll.QS.INSTRUMENT.SWAP("swap.3712",H3714,B3714,"USD","SOFR",I3714,J3714,0,"Actual360","Simple","Annual","Annual","Annual")</f>
        <v>QSObject:Swap:w1~swap.3712:14827</v>
      </c>
      <c r="F3714" s="6" t="str">
        <f>_xll.QS.TRADE.CREATE("trade.3712",E3714,A3714,"Receive")</f>
        <v>QSObject:SwapTrade:w1~trade.3712:28124</v>
      </c>
      <c r="G3714" s="3">
        <f>_xll.QS.EVALUATE(C3714,F3714)</f>
        <v>26488.102063925216</v>
      </c>
      <c r="H3714" s="5" t="s">
        <v>3754</v>
      </c>
      <c r="I3714" s="7">
        <v>1371200</v>
      </c>
      <c r="J3714" s="8">
        <v>3.6200000000000003E-2</v>
      </c>
    </row>
    <row r="3715" spans="1:10" x14ac:dyDescent="0.25">
      <c r="A3715" s="5" t="s">
        <v>3748</v>
      </c>
      <c r="B3715" s="5" t="s">
        <v>5582</v>
      </c>
      <c r="C3715" s="6" t="str">
        <f>_xll.QS.CONTEXT.CREATE("market.3713",A3715,"USD","SOFR")</f>
        <v>QSObject:PricingContext:w1~market.3713:14826</v>
      </c>
      <c r="D3715" s="6" t="str">
        <f>_xll.QS.CONTEXT.ADD.CURVE(C3715,"SOFR",$K$2:$K$7,$L$2:$L$7,,,"Actual360","LogLinear",TRUE)</f>
        <v>QSObject:ContextInput:w1~input.qs_context_add_curve.2359132437744.3714.3.0:36834</v>
      </c>
      <c r="E3715" s="6" t="str">
        <f>_xll.QS.INSTRUMENT.SWAP("swap.3713",H3715,B3715,"USD","SOFR",I3715,J3715,0,"Actual360","Simple","Annual","Annual","Annual")</f>
        <v>QSObject:Swap:w1~swap.3713:14825</v>
      </c>
      <c r="F3715" s="6" t="str">
        <f>_xll.QS.TRADE.CREATE("trade.3713",E3715,A3715,"Receive")</f>
        <v>QSObject:SwapTrade:w1~trade.3713:28123</v>
      </c>
      <c r="G3715" s="3">
        <f>_xll.QS.EVALUATE(C3715,F3715)</f>
        <v>27182.222496976385</v>
      </c>
      <c r="H3715" s="5" t="s">
        <v>3755</v>
      </c>
      <c r="I3715" s="7">
        <v>1371300</v>
      </c>
      <c r="J3715" s="8">
        <v>3.6300000000000013E-2</v>
      </c>
    </row>
    <row r="3716" spans="1:10" x14ac:dyDescent="0.25">
      <c r="A3716" s="5" t="s">
        <v>3749</v>
      </c>
      <c r="B3716" s="5" t="s">
        <v>5583</v>
      </c>
      <c r="C3716" s="6" t="str">
        <f>_xll.QS.CONTEXT.CREATE("market.3714",A3716,"USD","SOFR")</f>
        <v>QSObject:PricingContext:w1~market.3714:14824</v>
      </c>
      <c r="D3716" s="6" t="str">
        <f>_xll.QS.CONTEXT.ADD.CURVE(C3716,"SOFR",$K$2:$K$7,$L$2:$L$7,,,"Actual360","LogLinear",TRUE)</f>
        <v>QSObject:ContextInput:w1~input.qs_context_add_curve.2359132437744.3715.3.0:36833</v>
      </c>
      <c r="E3716" s="6" t="str">
        <f>_xll.QS.INSTRUMENT.SWAP("swap.3714",H3716,B3716,"USD","SOFR",I3716,J3716,0,"Actual360","Simple","Annual","Annual","Annual")</f>
        <v>QSObject:Swap:w1~swap.3714:14823</v>
      </c>
      <c r="F3716" s="6" t="str">
        <f>_xll.QS.TRADE.CREATE("trade.3714",E3716,A3716,"Receive")</f>
        <v>QSObject:SwapTrade:w1~trade.3714:28122</v>
      </c>
      <c r="G3716" s="3">
        <f>_xll.QS.EVALUATE(C3716,F3716)</f>
        <v>27763.84019425611</v>
      </c>
      <c r="H3716" s="5" t="s">
        <v>3756</v>
      </c>
      <c r="I3716" s="7">
        <v>1371400</v>
      </c>
      <c r="J3716" s="8">
        <v>3.6400000000000002E-2</v>
      </c>
    </row>
    <row r="3717" spans="1:10" x14ac:dyDescent="0.25">
      <c r="A3717" s="5" t="s">
        <v>3750</v>
      </c>
      <c r="B3717" s="5" t="s">
        <v>5584</v>
      </c>
      <c r="C3717" s="6" t="str">
        <f>_xll.QS.CONTEXT.CREATE("market.3715",A3717,"USD","SOFR")</f>
        <v>QSObject:PricingContext:w1~market.3715:14822</v>
      </c>
      <c r="D3717" s="6" t="str">
        <f>_xll.QS.CONTEXT.ADD.CURVE(C3717,"SOFR",$K$2:$K$7,$L$2:$L$7,,,"Actual360","LogLinear",TRUE)</f>
        <v>QSObject:ContextInput:w1~input.qs_context_add_curve.2359132437744.3716.3.0:36832</v>
      </c>
      <c r="E3717" s="6" t="str">
        <f>_xll.QS.INSTRUMENT.SWAP("swap.3715",H3717,B3717,"USD","SOFR",I3717,J3717,0,"Actual360","Simple","Annual","Annual","Annual")</f>
        <v>QSObject:Swap:w1~swap.3715:14821</v>
      </c>
      <c r="F3717" s="6" t="str">
        <f>_xll.QS.TRADE.CREATE("trade.3715",E3717,A3717,"Receive")</f>
        <v>QSObject:SwapTrade:w1~trade.3715:28121</v>
      </c>
      <c r="G3717" s="3">
        <f>_xll.QS.EVALUATE(C3717,F3717)</f>
        <v>28307.074449403939</v>
      </c>
      <c r="H3717" s="5" t="s">
        <v>3757</v>
      </c>
      <c r="I3717" s="7">
        <v>1371500</v>
      </c>
      <c r="J3717" s="8">
        <v>3.6499999999999998E-2</v>
      </c>
    </row>
    <row r="3718" spans="1:10" x14ac:dyDescent="0.25">
      <c r="A3718" s="5" t="s">
        <v>3751</v>
      </c>
      <c r="B3718" s="5" t="s">
        <v>5585</v>
      </c>
      <c r="C3718" s="6" t="str">
        <f>_xll.QS.CONTEXT.CREATE("market.3716",A3718,"USD","SOFR")</f>
        <v>QSObject:PricingContext:w1~market.3716:14820</v>
      </c>
      <c r="D3718" s="6" t="str">
        <f>_xll.QS.CONTEXT.ADD.CURVE(C3718,"SOFR",$K$2:$K$7,$L$2:$L$7,,,"Actual360","LogLinear",TRUE)</f>
        <v>QSObject:ContextInput:w1~input.qs_context_add_curve.2359132437744.3717.3.0:36831</v>
      </c>
      <c r="E3718" s="6" t="str">
        <f>_xll.QS.INSTRUMENT.SWAP("swap.3716",H3718,B3718,"USD","SOFR",I3718,J3718,0,"Actual360","Simple","Annual","Annual","Annual")</f>
        <v>QSObject:Swap:w1~swap.3716:14819</v>
      </c>
      <c r="F3718" s="6" t="str">
        <f>_xll.QS.TRADE.CREATE("trade.3716",E3718,A3718,"Receive")</f>
        <v>QSObject:SwapTrade:w1~trade.3716:28120</v>
      </c>
      <c r="G3718" s="3">
        <f>_xll.QS.EVALUATE(C3718,F3718)</f>
        <v>28830.095805321434</v>
      </c>
      <c r="H3718" s="5" t="s">
        <v>3758</v>
      </c>
      <c r="I3718" s="7">
        <v>1371600</v>
      </c>
      <c r="J3718" s="8">
        <v>3.6600000000000001E-2</v>
      </c>
    </row>
    <row r="3719" spans="1:10" x14ac:dyDescent="0.25">
      <c r="A3719" s="5" t="s">
        <v>3752</v>
      </c>
      <c r="B3719" s="5" t="s">
        <v>5586</v>
      </c>
      <c r="C3719" s="6" t="str">
        <f>_xll.QS.CONTEXT.CREATE("market.3717",A3719,"USD","SOFR")</f>
        <v>QSObject:PricingContext:w1~market.3717:14818</v>
      </c>
      <c r="D3719" s="6" t="str">
        <f>_xll.QS.CONTEXT.ADD.CURVE(C3719,"SOFR",$K$2:$K$7,$L$2:$L$7,,,"Actual360","LogLinear",TRUE)</f>
        <v>QSObject:ContextInput:w1~input.qs_context_add_curve.2359132437744.3718.3.0:36830</v>
      </c>
      <c r="E3719" s="6" t="str">
        <f>_xll.QS.INSTRUMENT.SWAP("swap.3717",H3719,B3719,"USD","SOFR",I3719,J3719,0,"Actual360","Simple","Annual","Annual","Annual")</f>
        <v>QSObject:Swap:w1~swap.3717:14817</v>
      </c>
      <c r="F3719" s="6" t="str">
        <f>_xll.QS.TRADE.CREATE("trade.3717",E3719,A3719,"Receive")</f>
        <v>QSObject:SwapTrade:w1~trade.3717:28119</v>
      </c>
      <c r="G3719" s="3">
        <f>_xll.QS.EVALUATE(C3719,F3719)</f>
        <v>29522.280220256129</v>
      </c>
      <c r="H3719" s="5" t="s">
        <v>3759</v>
      </c>
      <c r="I3719" s="7">
        <v>1371700</v>
      </c>
      <c r="J3719" s="8">
        <v>3.6700000000000003E-2</v>
      </c>
    </row>
    <row r="3720" spans="1:10" x14ac:dyDescent="0.25">
      <c r="A3720" s="5" t="s">
        <v>3753</v>
      </c>
      <c r="B3720" s="5" t="s">
        <v>5587</v>
      </c>
      <c r="C3720" s="6" t="str">
        <f>_xll.QS.CONTEXT.CREATE("market.3718",A3720,"USD","SOFR")</f>
        <v>QSObject:PricingContext:w1~market.3718:14816</v>
      </c>
      <c r="D3720" s="6" t="str">
        <f>_xll.QS.CONTEXT.ADD.CURVE(C3720,"SOFR",$K$2:$K$7,$L$2:$L$7,,,"Actual360","LogLinear",TRUE)</f>
        <v>QSObject:ContextInput:w1~input.qs_context_add_curve.2359132437744.3719.3.0:36829</v>
      </c>
      <c r="E3720" s="6" t="str">
        <f>_xll.QS.INSTRUMENT.SWAP("swap.3718",H3720,B3720,"USD","SOFR",I3720,J3720,0,"Actual360","Simple","Annual","Annual","Annual")</f>
        <v>QSObject:Swap:w1~swap.3718:14815</v>
      </c>
      <c r="F3720" s="6" t="str">
        <f>_xll.QS.TRADE.CREATE("trade.3718",E3720,A3720,"Receive")</f>
        <v>QSObject:SwapTrade:w1~trade.3718:28118</v>
      </c>
      <c r="G3720" s="3">
        <f>_xll.QS.EVALUATE(C3720,F3720)</f>
        <v>30195.087116801908</v>
      </c>
      <c r="H3720" s="5" t="s">
        <v>3760</v>
      </c>
      <c r="I3720" s="7">
        <v>1371800</v>
      </c>
      <c r="J3720" s="8">
        <v>3.6800000000000013E-2</v>
      </c>
    </row>
    <row r="3721" spans="1:10" x14ac:dyDescent="0.25">
      <c r="A3721" s="5" t="s">
        <v>3754</v>
      </c>
      <c r="B3721" s="5" t="s">
        <v>5588</v>
      </c>
      <c r="C3721" s="6" t="str">
        <f>_xll.QS.CONTEXT.CREATE("market.3719",A3721,"USD","SOFR")</f>
        <v>QSObject:PricingContext:w1~market.3719:14814</v>
      </c>
      <c r="D3721" s="6" t="str">
        <f>_xll.QS.CONTEXT.ADD.CURVE(C3721,"SOFR",$K$2:$K$7,$L$2:$L$7,,,"Actual360","LogLinear",TRUE)</f>
        <v>QSObject:ContextInput:w1~input.qs_context_add_curve.2359132437744.3720.3.0:36828</v>
      </c>
      <c r="E3721" s="6" t="str">
        <f>_xll.QS.INSTRUMENT.SWAP("swap.3719",H3721,B3721,"USD","SOFR",I3721,J3721,0,"Actual360","Simple","Annual","Annual","Annual")</f>
        <v>QSObject:Swap:w1~swap.3719:14813</v>
      </c>
      <c r="F3721" s="6" t="str">
        <f>_xll.QS.TRADE.CREATE("trade.3719",E3721,A3721,"Receive")</f>
        <v>QSObject:SwapTrade:w1~trade.3719:28117</v>
      </c>
      <c r="G3721" s="3">
        <f>_xll.QS.EVALUATE(C3721,F3721)</f>
        <v>30930.079399262067</v>
      </c>
      <c r="H3721" s="5" t="s">
        <v>3761</v>
      </c>
      <c r="I3721" s="7">
        <v>1371900</v>
      </c>
      <c r="J3721" s="8">
        <v>3.6900000000000002E-2</v>
      </c>
    </row>
    <row r="3722" spans="1:10" x14ac:dyDescent="0.25">
      <c r="A3722" s="5" t="s">
        <v>3755</v>
      </c>
      <c r="B3722" s="5" t="s">
        <v>5589</v>
      </c>
      <c r="C3722" s="6" t="str">
        <f>_xll.QS.CONTEXT.CREATE("market.3720",A3722,"USD","SOFR")</f>
        <v>QSObject:PricingContext:w1~market.3720:14812</v>
      </c>
      <c r="D3722" s="6" t="str">
        <f>_xll.QS.CONTEXT.ADD.CURVE(C3722,"SOFR",$K$2:$K$7,$L$2:$L$7,,,"Actual360","LogLinear",TRUE)</f>
        <v>QSObject:ContextInput:w1~input.qs_context_add_curve.2359132437744.3721.3.0:36827</v>
      </c>
      <c r="E3722" s="6" t="str">
        <f>_xll.QS.INSTRUMENT.SWAP("swap.3720",H3722,B3722,"USD","SOFR",I3722,J3722,0,"Actual360","Simple","Annual","Annual","Annual")</f>
        <v>QSObject:Swap:w1~swap.3720:14811</v>
      </c>
      <c r="F3722" s="6" t="str">
        <f>_xll.QS.TRADE.CREATE("trade.3720",E3722,A3722,"Receive")</f>
        <v>QSObject:SwapTrade:w1~trade.3720:28116</v>
      </c>
      <c r="G3722" s="3">
        <f>_xll.QS.EVALUATE(C3722,F3722)</f>
        <v>31624.92681755995</v>
      </c>
      <c r="H3722" s="5" t="s">
        <v>3762</v>
      </c>
      <c r="I3722" s="7">
        <v>1372000</v>
      </c>
      <c r="J3722" s="8">
        <v>3.7000000000000012E-2</v>
      </c>
    </row>
    <row r="3723" spans="1:10" x14ac:dyDescent="0.25">
      <c r="A3723" s="5" t="s">
        <v>3756</v>
      </c>
      <c r="B3723" s="5" t="s">
        <v>5590</v>
      </c>
      <c r="C3723" s="6" t="str">
        <f>_xll.QS.CONTEXT.CREATE("market.3721",A3723,"USD","SOFR")</f>
        <v>QSObject:PricingContext:w1~market.3721:14810</v>
      </c>
      <c r="D3723" s="6" t="str">
        <f>_xll.QS.CONTEXT.ADD.CURVE(C3723,"SOFR",$K$2:$K$7,$L$2:$L$7,,,"Actual360","LogLinear",TRUE)</f>
        <v>QSObject:ContextInput:w1~input.qs_context_add_curve.2359132437744.3722.3.0:36826</v>
      </c>
      <c r="E3723" s="6" t="str">
        <f>_xll.QS.INSTRUMENT.SWAP("swap.3721",H3723,B3723,"USD","SOFR",I3723,J3723,0,"Actual360","Simple","Annual","Annual","Annual")</f>
        <v>QSObject:Swap:w1~swap.3721:14809</v>
      </c>
      <c r="F3723" s="6" t="str">
        <f>_xll.QS.TRADE.CREATE("trade.3721",E3723,A3723,"Receive")</f>
        <v>QSObject:SwapTrade:w1~trade.3721:28115</v>
      </c>
      <c r="G3723" s="3">
        <f>_xll.QS.EVALUATE(C3723,F3723)</f>
        <v>32207.115315142706</v>
      </c>
      <c r="H3723" s="5" t="s">
        <v>3763</v>
      </c>
      <c r="I3723" s="7">
        <v>1372100</v>
      </c>
      <c r="J3723" s="8">
        <v>3.7100000000000001E-2</v>
      </c>
    </row>
    <row r="3724" spans="1:10" x14ac:dyDescent="0.25">
      <c r="A3724" s="5" t="s">
        <v>3757</v>
      </c>
      <c r="B3724" s="5" t="s">
        <v>5591</v>
      </c>
      <c r="C3724" s="6" t="str">
        <f>_xll.QS.CONTEXT.CREATE("market.3722",A3724,"USD","SOFR")</f>
        <v>QSObject:PricingContext:w1~market.3722:14808</v>
      </c>
      <c r="D3724" s="6" t="str">
        <f>_xll.QS.CONTEXT.ADD.CURVE(C3724,"SOFR",$K$2:$K$7,$L$2:$L$7,,,"Actual360","LogLinear",TRUE)</f>
        <v>QSObject:ContextInput:w1~input.qs_context_add_curve.2359132437744.3723.3.0:36825</v>
      </c>
      <c r="E3724" s="6" t="str">
        <f>_xll.QS.INSTRUMENT.SWAP("swap.3722",H3724,B3724,"USD","SOFR",I3724,J3724,0,"Actual360","Simple","Annual","Annual","Annual")</f>
        <v>QSObject:Swap:w1~swap.3722:14807</v>
      </c>
      <c r="F3724" s="6" t="str">
        <f>_xll.QS.TRADE.CREATE("trade.3722",E3724,A3724,"Receive")</f>
        <v>QSObject:SwapTrade:w1~trade.3722:28114</v>
      </c>
      <c r="G3724" s="3">
        <f>_xll.QS.EVALUATE(C3724,F3724)</f>
        <v>32745.73247331848</v>
      </c>
      <c r="H3724" s="5" t="s">
        <v>3764</v>
      </c>
      <c r="I3724" s="7">
        <v>1372200</v>
      </c>
      <c r="J3724" s="8">
        <v>3.7199999999999997E-2</v>
      </c>
    </row>
    <row r="3725" spans="1:10" x14ac:dyDescent="0.25">
      <c r="A3725" s="5" t="s">
        <v>3758</v>
      </c>
      <c r="B3725" s="5" t="s">
        <v>5592</v>
      </c>
      <c r="C3725" s="6" t="str">
        <f>_xll.QS.CONTEXT.CREATE("market.3723",A3725,"USD","SOFR")</f>
        <v>QSObject:PricingContext:w1~market.3723:14806</v>
      </c>
      <c r="D3725" s="6" t="str">
        <f>_xll.QS.CONTEXT.ADD.CURVE(C3725,"SOFR",$K$2:$K$7,$L$2:$L$7,,,"Actual360","LogLinear",TRUE)</f>
        <v>QSObject:ContextInput:w1~input.qs_context_add_curve.2359132437744.3724.3.0:36824</v>
      </c>
      <c r="E3725" s="6" t="str">
        <f>_xll.QS.INSTRUMENT.SWAP("swap.3723",H3725,B3725,"USD","SOFR",I3725,J3725,0,"Actual360","Simple","Annual","Annual","Annual")</f>
        <v>QSObject:Swap:w1~swap.3723:14805</v>
      </c>
      <c r="F3725" s="6" t="str">
        <f>_xll.QS.TRADE.CREATE("trade.3723",E3725,A3725,"Receive")</f>
        <v>QSObject:SwapTrade:w1~trade.3723:28113</v>
      </c>
      <c r="G3725" s="3">
        <f>_xll.QS.EVALUATE(C3725,F3725)</f>
        <v>33276.209684725603</v>
      </c>
      <c r="H3725" s="5" t="s">
        <v>3765</v>
      </c>
      <c r="I3725" s="7">
        <v>1372300</v>
      </c>
      <c r="J3725" s="8">
        <v>3.73E-2</v>
      </c>
    </row>
    <row r="3726" spans="1:10" x14ac:dyDescent="0.25">
      <c r="A3726" s="5" t="s">
        <v>3759</v>
      </c>
      <c r="B3726" s="5" t="s">
        <v>5593</v>
      </c>
      <c r="C3726" s="6" t="str">
        <f>_xll.QS.CONTEXT.CREATE("market.3724",A3726,"USD","SOFR")</f>
        <v>QSObject:PricingContext:w1~market.3724:14804</v>
      </c>
      <c r="D3726" s="6" t="str">
        <f>_xll.QS.CONTEXT.ADD.CURVE(C3726,"SOFR",$K$2:$K$7,$L$2:$L$7,,,"Actual360","LogLinear",TRUE)</f>
        <v>QSObject:ContextInput:w1~input.qs_context_add_curve.2359132437744.3725.3.0:36823</v>
      </c>
      <c r="E3726" s="6" t="str">
        <f>_xll.QS.INSTRUMENT.SWAP("swap.3724",H3726,B3726,"USD","SOFR",I3726,J3726,0,"Actual360","Simple","Annual","Annual","Annual")</f>
        <v>QSObject:Swap:w1~swap.3724:14803</v>
      </c>
      <c r="F3726" s="6" t="str">
        <f>_xll.QS.TRADE.CREATE("trade.3724",E3726,A3726,"Receive")</f>
        <v>QSObject:SwapTrade:w1~trade.3724:28112</v>
      </c>
      <c r="G3726" s="3">
        <f>_xll.QS.EVALUATE(C3726,F3726)</f>
        <v>33969.498318415215</v>
      </c>
      <c r="H3726" s="5" t="s">
        <v>3766</v>
      </c>
      <c r="I3726" s="7">
        <v>1372400</v>
      </c>
      <c r="J3726" s="8">
        <v>3.7400000000000003E-2</v>
      </c>
    </row>
    <row r="3727" spans="1:10" x14ac:dyDescent="0.25">
      <c r="A3727" s="5" t="s">
        <v>3760</v>
      </c>
      <c r="B3727" s="5" t="s">
        <v>5594</v>
      </c>
      <c r="C3727" s="6" t="str">
        <f>_xll.QS.CONTEXT.CREATE("market.3725",A3727,"USD","SOFR")</f>
        <v>QSObject:PricingContext:w1~market.3725:14802</v>
      </c>
      <c r="D3727" s="6" t="str">
        <f>_xll.QS.CONTEXT.ADD.CURVE(C3727,"SOFR",$K$2:$K$7,$L$2:$L$7,,,"Actual360","LogLinear",TRUE)</f>
        <v>QSObject:ContextInput:w1~input.qs_context_add_curve.2359132437744.3726.3.0:36822</v>
      </c>
      <c r="E3727" s="6" t="str">
        <f>_xll.QS.INSTRUMENT.SWAP("swap.3725",H3727,B3727,"USD","SOFR",I3727,J3727,0,"Actual360","Simple","Annual","Annual","Annual")</f>
        <v>QSObject:Swap:w1~swap.3725:14801</v>
      </c>
      <c r="F3727" s="6" t="str">
        <f>_xll.QS.TRADE.CREATE("trade.3725",E3727,A3727,"Receive")</f>
        <v>QSObject:SwapTrade:w1~trade.3725:28111</v>
      </c>
      <c r="G3727" s="3">
        <f>_xll.QS.EVALUATE(C3727,F3727)</f>
        <v>34640.821178268649</v>
      </c>
      <c r="H3727" s="5" t="s">
        <v>3767</v>
      </c>
      <c r="I3727" s="7">
        <v>1372500</v>
      </c>
      <c r="J3727" s="8">
        <v>3.7500000000000012E-2</v>
      </c>
    </row>
    <row r="3728" spans="1:10" x14ac:dyDescent="0.25">
      <c r="A3728" s="5" t="s">
        <v>3761</v>
      </c>
      <c r="B3728" s="5" t="s">
        <v>5595</v>
      </c>
      <c r="C3728" s="6" t="str">
        <f>_xll.QS.CONTEXT.CREATE("market.3726",A3728,"USD","SOFR")</f>
        <v>QSObject:PricingContext:w1~market.3726:14800</v>
      </c>
      <c r="D3728" s="6" t="str">
        <f>_xll.QS.CONTEXT.ADD.CURVE(C3728,"SOFR",$K$2:$K$7,$L$2:$L$7,,,"Actual360","LogLinear",TRUE)</f>
        <v>QSObject:ContextInput:w1~input.qs_context_add_curve.2359132437744.3727.3.0:36821</v>
      </c>
      <c r="E3728" s="6" t="str">
        <f>_xll.QS.INSTRUMENT.SWAP("swap.3726",H3728,B3728,"USD","SOFR",I3728,J3728,0,"Actual360","Simple","Annual","Annual","Annual")</f>
        <v>QSObject:Swap:w1~swap.3726:14799</v>
      </c>
      <c r="F3728" s="6" t="str">
        <f>_xll.QS.TRADE.CREATE("trade.3726",E3728,A3728,"Receive")</f>
        <v>QSObject:SwapTrade:w1~trade.3726:28110</v>
      </c>
      <c r="G3728" s="3">
        <f>_xll.QS.EVALUATE(C3728,F3728)</f>
        <v>35376.575895731556</v>
      </c>
      <c r="H3728" s="5" t="s">
        <v>3768</v>
      </c>
      <c r="I3728" s="7">
        <v>1372600</v>
      </c>
      <c r="J3728" s="8">
        <v>3.7600000000000001E-2</v>
      </c>
    </row>
    <row r="3729" spans="1:10" x14ac:dyDescent="0.25">
      <c r="A3729" s="5" t="s">
        <v>3762</v>
      </c>
      <c r="B3729" s="5" t="s">
        <v>5596</v>
      </c>
      <c r="C3729" s="6" t="str">
        <f>_xll.QS.CONTEXT.CREATE("market.3727",A3729,"USD","SOFR")</f>
        <v>QSObject:PricingContext:w1~market.3727:14798</v>
      </c>
      <c r="D3729" s="6" t="str">
        <f>_xll.QS.CONTEXT.ADD.CURVE(C3729,"SOFR",$K$2:$K$7,$L$2:$L$7,,,"Actual360","LogLinear",TRUE)</f>
        <v>QSObject:ContextInput:w1~input.qs_context_add_curve.2359132437744.3728.3.0:36820</v>
      </c>
      <c r="E3729" s="6" t="str">
        <f>_xll.QS.INSTRUMENT.SWAP("swap.3727",H3729,B3729,"USD","SOFR",I3729,J3729,0,"Actual360","Simple","Annual","Annual","Annual")</f>
        <v>QSObject:Swap:w1~swap.3727:14797</v>
      </c>
      <c r="F3729" s="6" t="str">
        <f>_xll.QS.TRADE.CREATE("trade.3727",E3729,A3729,"Receive")</f>
        <v>QSObject:SwapTrade:w1~trade.3727:28109</v>
      </c>
      <c r="G3729" s="3">
        <f>_xll.QS.EVALUATE(C3729,F3729)</f>
        <v>36072.150351164048</v>
      </c>
      <c r="H3729" s="5" t="s">
        <v>3769</v>
      </c>
      <c r="I3729" s="7">
        <v>1372700</v>
      </c>
      <c r="J3729" s="8">
        <v>3.7699999999999997E-2</v>
      </c>
    </row>
    <row r="3730" spans="1:10" x14ac:dyDescent="0.25">
      <c r="A3730" s="5" t="s">
        <v>3763</v>
      </c>
      <c r="B3730" s="5" t="s">
        <v>5597</v>
      </c>
      <c r="C3730" s="6" t="str">
        <f>_xll.QS.CONTEXT.CREATE("market.3728",A3730,"USD","SOFR")</f>
        <v>QSObject:PricingContext:w1~market.3728:14796</v>
      </c>
      <c r="D3730" s="6" t="str">
        <f>_xll.QS.CONTEXT.ADD.CURVE(C3730,"SOFR",$K$2:$K$7,$L$2:$L$7,,,"Actual360","LogLinear",TRUE)</f>
        <v>QSObject:ContextInput:w1~input.qs_context_add_curve.2359132437744.3729.3.0:36819</v>
      </c>
      <c r="E3730" s="6" t="str">
        <f>_xll.QS.INSTRUMENT.SWAP("swap.3728",H3730,B3730,"USD","SOFR",I3730,J3730,0,"Actual360","Simple","Annual","Annual","Annual")</f>
        <v>QSObject:Swap:w1~swap.3728:14795</v>
      </c>
      <c r="F3730" s="6" t="str">
        <f>_xll.QS.TRADE.CREATE("trade.3728",E3730,A3730,"Receive")</f>
        <v>QSObject:SwapTrade:w1~trade.3728:28108</v>
      </c>
      <c r="G3730" s="3">
        <f>_xll.QS.EVALUATE(C3730,F3730)</f>
        <v>36654.911351959265</v>
      </c>
      <c r="H3730" s="5" t="s">
        <v>3770</v>
      </c>
      <c r="I3730" s="7">
        <v>1372800</v>
      </c>
      <c r="J3730" s="8">
        <v>3.78E-2</v>
      </c>
    </row>
    <row r="3731" spans="1:10" x14ac:dyDescent="0.25">
      <c r="A3731" s="5" t="s">
        <v>3764</v>
      </c>
      <c r="B3731" s="5" t="s">
        <v>5598</v>
      </c>
      <c r="C3731" s="6" t="str">
        <f>_xll.QS.CONTEXT.CREATE("market.3729",A3731,"USD","SOFR")</f>
        <v>QSObject:PricingContext:w1~market.3729:14794</v>
      </c>
      <c r="D3731" s="6" t="str">
        <f>_xll.QS.CONTEXT.ADD.CURVE(C3731,"SOFR",$K$2:$K$7,$L$2:$L$7,,,"Actual360","LogLinear",TRUE)</f>
        <v>QSObject:ContextInput:w1~input.qs_context_add_curve.2359132437744.3730.3.0:36818</v>
      </c>
      <c r="E3731" s="6" t="str">
        <f>_xll.QS.INSTRUMENT.SWAP("swap.3729",H3731,B3731,"USD","SOFR",I3731,J3731,0,"Actual360","Simple","Annual","Annual","Annual")</f>
        <v>QSObject:Swap:w1~swap.3729:14793</v>
      </c>
      <c r="F3731" s="6" t="str">
        <f>_xll.QS.TRADE.CREATE("trade.3729",E3731,A3731,"Receive")</f>
        <v>QSObject:SwapTrade:w1~trade.3729:28107</v>
      </c>
      <c r="G3731" s="3">
        <f>_xll.QS.EVALUATE(C3731,F3731)</f>
        <v>37087.766899236958</v>
      </c>
      <c r="H3731" s="5" t="s">
        <v>3771</v>
      </c>
      <c r="I3731" s="7">
        <v>1372900</v>
      </c>
      <c r="J3731" s="8">
        <v>3.7900000000000003E-2</v>
      </c>
    </row>
    <row r="3732" spans="1:10" x14ac:dyDescent="0.25">
      <c r="A3732" s="5" t="s">
        <v>3765</v>
      </c>
      <c r="B3732" s="5" t="s">
        <v>5599</v>
      </c>
      <c r="C3732" s="6" t="str">
        <f>_xll.QS.CONTEXT.CREATE("market.3730",A3732,"USD","SOFR")</f>
        <v>QSObject:PricingContext:w1~market.3730:14792</v>
      </c>
      <c r="D3732" s="6" t="str">
        <f>_xll.QS.CONTEXT.ADD.CURVE(C3732,"SOFR",$K$2:$K$7,$L$2:$L$7,,,"Actual360","LogLinear",TRUE)</f>
        <v>QSObject:ContextInput:w1~input.qs_context_add_curve.2359132437744.3731.3.0:36817</v>
      </c>
      <c r="E3732" s="6" t="str">
        <f>_xll.QS.INSTRUMENT.SWAP("swap.3730",H3732,B3732,"USD","SOFR",I3732,J3732,0,"Actual360","Simple","Annual","Annual","Annual")</f>
        <v>QSObject:Swap:w1~swap.3730:14791</v>
      </c>
      <c r="F3732" s="6" t="str">
        <f>_xll.QS.TRADE.CREATE("trade.3730",E3732,A3732,"Receive")</f>
        <v>QSObject:SwapTrade:w1~trade.3730:28106</v>
      </c>
      <c r="G3732" s="3">
        <f>_xll.QS.EVALUATE(C3732,F3732)</f>
        <v>37726.853173159128</v>
      </c>
      <c r="H3732" s="5" t="s">
        <v>3772</v>
      </c>
      <c r="I3732" s="7">
        <v>1373000</v>
      </c>
      <c r="J3732" s="8">
        <v>3.8000000000000013E-2</v>
      </c>
    </row>
    <row r="3733" spans="1:10" x14ac:dyDescent="0.25">
      <c r="A3733" s="5" t="s">
        <v>3766</v>
      </c>
      <c r="B3733" s="5" t="s">
        <v>5600</v>
      </c>
      <c r="C3733" s="6" t="str">
        <f>_xll.QS.CONTEXT.CREATE("market.3731",A3733,"USD","SOFR")</f>
        <v>QSObject:PricingContext:w1~market.3731:14790</v>
      </c>
      <c r="D3733" s="6" t="str">
        <f>_xll.QS.CONTEXT.ADD.CURVE(C3733,"SOFR",$K$2:$K$7,$L$2:$L$7,,,"Actual360","LogLinear",TRUE)</f>
        <v>QSObject:ContextInput:w1~input.qs_context_add_curve.2359132437744.3732.3.0:36816</v>
      </c>
      <c r="E3733" s="6" t="str">
        <f>_xll.QS.INSTRUMENT.SWAP("swap.3731",H3733,B3733,"USD","SOFR",I3733,J3733,0,"Actual360","Simple","Annual","Annual","Annual")</f>
        <v>QSObject:Swap:w1~swap.3731:14789</v>
      </c>
      <c r="F3733" s="6" t="str">
        <f>_xll.QS.TRADE.CREATE("trade.3731",E3733,A3733,"Receive")</f>
        <v>QSObject:SwapTrade:w1~trade.3731:28105</v>
      </c>
      <c r="G3733" s="3">
        <f>_xll.QS.EVALUATE(C3733,F3733)</f>
        <v>38421.237702921055</v>
      </c>
      <c r="H3733" s="5" t="s">
        <v>3773</v>
      </c>
      <c r="I3733" s="7">
        <v>1373100</v>
      </c>
      <c r="J3733" s="8">
        <v>3.8100000000000002E-2</v>
      </c>
    </row>
    <row r="3734" spans="1:10" x14ac:dyDescent="0.25">
      <c r="A3734" s="5" t="s">
        <v>3767</v>
      </c>
      <c r="B3734" s="5" t="s">
        <v>5601</v>
      </c>
      <c r="C3734" s="6" t="str">
        <f>_xll.QS.CONTEXT.CREATE("market.3732",A3734,"USD","SOFR")</f>
        <v>QSObject:PricingContext:w1~market.3732:14788</v>
      </c>
      <c r="D3734" s="6" t="str">
        <f>_xll.QS.CONTEXT.ADD.CURVE(C3734,"SOFR",$K$2:$K$7,$L$2:$L$7,,,"Actual360","LogLinear",TRUE)</f>
        <v>QSObject:ContextInput:w1~input.qs_context_add_curve.2359132437744.3733.3.0:36815</v>
      </c>
      <c r="E3734" s="6" t="str">
        <f>_xll.QS.INSTRUMENT.SWAP("swap.3732",H3734,B3734,"USD","SOFR",I3734,J3734,0,"Actual360","Simple","Annual","Annual","Annual")</f>
        <v>QSObject:Swap:w1~swap.3732:14787</v>
      </c>
      <c r="F3734" s="6" t="str">
        <f>_xll.QS.TRADE.CREATE("trade.3732",E3734,A3734,"Receive")</f>
        <v>QSObject:SwapTrade:w1~trade.3732:28104</v>
      </c>
      <c r="G3734" s="3">
        <f>_xll.QS.EVALUATE(C3734,F3734)</f>
        <v>39242.956871439448</v>
      </c>
      <c r="H3734" s="5" t="s">
        <v>3774</v>
      </c>
      <c r="I3734" s="7">
        <v>1373200</v>
      </c>
      <c r="J3734" s="8">
        <v>3.8199999999999998E-2</v>
      </c>
    </row>
    <row r="3735" spans="1:10" x14ac:dyDescent="0.25">
      <c r="A3735" s="5" t="s">
        <v>3768</v>
      </c>
      <c r="B3735" s="5" t="s">
        <v>5602</v>
      </c>
      <c r="C3735" s="6" t="str">
        <f>_xll.QS.CONTEXT.CREATE("market.3733",A3735,"USD","SOFR")</f>
        <v>QSObject:PricingContext:w1~market.3733:14786</v>
      </c>
      <c r="D3735" s="6" t="str">
        <f>_xll.QS.CONTEXT.ADD.CURVE(C3735,"SOFR",$K$2:$K$7,$L$2:$L$7,,,"Actual360","LogLinear",TRUE)</f>
        <v>QSObject:ContextInput:w1~input.qs_context_add_curve.2359132437744.3734.3.0:36814</v>
      </c>
      <c r="E3735" s="6" t="str">
        <f>_xll.QS.INSTRUMENT.SWAP("swap.3733",H3735,B3735,"USD","SOFR",I3735,J3735,0,"Actual360","Simple","Annual","Annual","Annual")</f>
        <v>QSObject:Swap:w1~swap.3733:14785</v>
      </c>
      <c r="F3735" s="6" t="str">
        <f>_xll.QS.TRADE.CREATE("trade.3733",E3735,A3735,"Receive")</f>
        <v>QSObject:SwapTrade:w1~trade.3733:28103</v>
      </c>
      <c r="G3735" s="3">
        <f>_xll.QS.EVALUATE(C3735,F3735)</f>
        <v>39878.3293008892</v>
      </c>
      <c r="H3735" s="5" t="s">
        <v>3775</v>
      </c>
      <c r="I3735" s="7">
        <v>1373300</v>
      </c>
      <c r="J3735" s="8">
        <v>3.8300000000000001E-2</v>
      </c>
    </row>
    <row r="3736" spans="1:10" x14ac:dyDescent="0.25">
      <c r="A3736" s="5" t="s">
        <v>3769</v>
      </c>
      <c r="B3736" s="5" t="s">
        <v>5603</v>
      </c>
      <c r="C3736" s="6" t="str">
        <f>_xll.QS.CONTEXT.CREATE("market.3734",A3736,"USD","SOFR")</f>
        <v>QSObject:PricingContext:w1~market.3734:14784</v>
      </c>
      <c r="D3736" s="6" t="str">
        <f>_xll.QS.CONTEXT.ADD.CURVE(C3736,"SOFR",$K$2:$K$7,$L$2:$L$7,,,"Actual360","LogLinear",TRUE)</f>
        <v>QSObject:ContextInput:w1~input.qs_context_add_curve.2359132437744.3735.3.0:36813</v>
      </c>
      <c r="E3736" s="6" t="str">
        <f>_xll.QS.INSTRUMENT.SWAP("swap.3734",H3736,B3736,"USD","SOFR",I3736,J3736,0,"Actual360","Simple","Annual","Annual","Annual")</f>
        <v>QSObject:Swap:w1~swap.3734:14783</v>
      </c>
      <c r="F3736" s="6" t="str">
        <f>_xll.QS.TRADE.CREATE("trade.3734",E3736,A3736,"Receive")</f>
        <v>QSObject:SwapTrade:w1~trade.3734:28102</v>
      </c>
      <c r="G3736" s="3">
        <f>_xll.QS.EVALUATE(C3736,F3736)</f>
        <v>40523.844758921106</v>
      </c>
      <c r="H3736" s="5" t="s">
        <v>3776</v>
      </c>
      <c r="I3736" s="7">
        <v>1373400</v>
      </c>
      <c r="J3736" s="8">
        <v>3.8399999999999997E-2</v>
      </c>
    </row>
    <row r="3737" spans="1:10" x14ac:dyDescent="0.25">
      <c r="A3737" s="5" t="s">
        <v>3770</v>
      </c>
      <c r="B3737" s="5" t="s">
        <v>5604</v>
      </c>
      <c r="C3737" s="6" t="str">
        <f>_xll.QS.CONTEXT.CREATE("market.3735",A3737,"USD","SOFR")</f>
        <v>QSObject:PricingContext:w1~market.3735:14782</v>
      </c>
      <c r="D3737" s="6" t="str">
        <f>_xll.QS.CONTEXT.ADD.CURVE(C3737,"SOFR",$K$2:$K$7,$L$2:$L$7,,,"Actual360","LogLinear",TRUE)</f>
        <v>QSObject:ContextInput:w1~input.qs_context_add_curve.2359132437744.3736.3.0:36812</v>
      </c>
      <c r="E3737" s="6" t="str">
        <f>_xll.QS.INSTRUMENT.SWAP("swap.3735",H3737,B3737,"USD","SOFR",I3737,J3737,0,"Actual360","Simple","Annual","Annual","Annual")</f>
        <v>QSObject:Swap:w1~swap.3735:14781</v>
      </c>
      <c r="F3737" s="6" t="str">
        <f>_xll.QS.TRADE.CREATE("trade.3735",E3737,A3737,"Receive")</f>
        <v>QSObject:SwapTrade:w1~trade.3735:28101</v>
      </c>
      <c r="G3737" s="3">
        <f>_xll.QS.EVALUATE(C3737,F3737)</f>
        <v>41108.108622084954</v>
      </c>
      <c r="H3737" s="5" t="s">
        <v>3777</v>
      </c>
      <c r="I3737" s="7">
        <v>1373500</v>
      </c>
      <c r="J3737" s="8">
        <v>3.8500000000000013E-2</v>
      </c>
    </row>
    <row r="3738" spans="1:10" x14ac:dyDescent="0.25">
      <c r="A3738" s="5" t="s">
        <v>3771</v>
      </c>
      <c r="B3738" s="5" t="s">
        <v>5605</v>
      </c>
      <c r="C3738" s="6" t="str">
        <f>_xll.QS.CONTEXT.CREATE("market.3736",A3738,"USD","SOFR")</f>
        <v>QSObject:PricingContext:w1~market.3736:14780</v>
      </c>
      <c r="D3738" s="6" t="str">
        <f>_xll.QS.CONTEXT.ADD.CURVE(C3738,"SOFR",$K$2:$K$7,$L$2:$L$7,,,"Actual360","LogLinear",TRUE)</f>
        <v>QSObject:ContextInput:w1~input.qs_context_add_curve.2359132437744.3737.3.0:36811</v>
      </c>
      <c r="E3738" s="6" t="str">
        <f>_xll.QS.INSTRUMENT.SWAP("swap.3736",H3738,B3738,"USD","SOFR",I3738,J3738,0,"Actual360","Simple","Annual","Annual","Annual")</f>
        <v>QSObject:Swap:w1~swap.3736:14779</v>
      </c>
      <c r="F3738" s="6" t="str">
        <f>_xll.QS.TRADE.CREATE("trade.3736",E3738,A3738,"Receive")</f>
        <v>QSObject:SwapTrade:w1~trade.3736:28100</v>
      </c>
      <c r="G3738" s="3">
        <f>_xll.QS.EVALUATE(C3738,F3738)</f>
        <v>41636.451276470994</v>
      </c>
      <c r="H3738" s="5" t="s">
        <v>3778</v>
      </c>
      <c r="I3738" s="7">
        <v>1373600</v>
      </c>
      <c r="J3738" s="8">
        <v>3.8600000000000002E-2</v>
      </c>
    </row>
    <row r="3739" spans="1:10" x14ac:dyDescent="0.25">
      <c r="A3739" s="5" t="s">
        <v>3772</v>
      </c>
      <c r="B3739" s="5" t="s">
        <v>5606</v>
      </c>
      <c r="C3739" s="6" t="str">
        <f>_xll.QS.CONTEXT.CREATE("market.3737",A3739,"USD","SOFR")</f>
        <v>QSObject:PricingContext:w1~market.3737:14778</v>
      </c>
      <c r="D3739" s="6" t="str">
        <f>_xll.QS.CONTEXT.ADD.CURVE(C3739,"SOFR",$K$2:$K$7,$L$2:$L$7,,,"Actual360","LogLinear",TRUE)</f>
        <v>QSObject:ContextInput:w1~input.qs_context_add_curve.2359132437744.3738.3.0:36810</v>
      </c>
      <c r="E3739" s="6" t="str">
        <f>_xll.QS.INSTRUMENT.SWAP("swap.3737",H3739,B3739,"USD","SOFR",I3739,J3739,0,"Actual360","Simple","Annual","Annual","Annual")</f>
        <v>QSObject:Swap:w1~swap.3737:14777</v>
      </c>
      <c r="F3739" s="6" t="str">
        <f>_xll.QS.TRADE.CREATE("trade.3737",E3739,A3739,"Receive")</f>
        <v>QSObject:SwapTrade:w1~trade.3737:28099</v>
      </c>
      <c r="G3739" s="3">
        <f>_xll.QS.EVALUATE(C3739,F3739)</f>
        <v>42181.720091165567</v>
      </c>
      <c r="H3739" s="5" t="s">
        <v>3779</v>
      </c>
      <c r="I3739" s="7">
        <v>1373700</v>
      </c>
      <c r="J3739" s="8">
        <v>3.8700000000000012E-2</v>
      </c>
    </row>
    <row r="3740" spans="1:10" x14ac:dyDescent="0.25">
      <c r="A3740" s="5" t="s">
        <v>3773</v>
      </c>
      <c r="B3740" s="5" t="s">
        <v>5607</v>
      </c>
      <c r="C3740" s="6" t="str">
        <f>_xll.QS.CONTEXT.CREATE("market.3738",A3740,"USD","SOFR")</f>
        <v>QSObject:PricingContext:w1~market.3738:14776</v>
      </c>
      <c r="D3740" s="6" t="str">
        <f>_xll.QS.CONTEXT.ADD.CURVE(C3740,"SOFR",$K$2:$K$7,$L$2:$L$7,,,"Actual360","LogLinear",TRUE)</f>
        <v>QSObject:ContextInput:w1~input.qs_context_add_curve.2359132437744.3739.3.0:36809</v>
      </c>
      <c r="E3740" s="6" t="str">
        <f>_xll.QS.INSTRUMENT.SWAP("swap.3738",H3740,B3740,"USD","SOFR",I3740,J3740,0,"Actual360","Simple","Annual","Annual","Annual")</f>
        <v>QSObject:Swap:w1~swap.3738:14775</v>
      </c>
      <c r="F3740" s="6" t="str">
        <f>_xll.QS.TRADE.CREATE("trade.3738",E3740,A3740,"Receive")</f>
        <v>QSObject:SwapTrade:w1~trade.3738:28098</v>
      </c>
      <c r="G3740" s="3">
        <f>_xll.QS.EVALUATE(C3740,F3740)</f>
        <v>42877.166285631225</v>
      </c>
      <c r="H3740" s="5" t="s">
        <v>3780</v>
      </c>
      <c r="I3740" s="7">
        <v>1373800</v>
      </c>
      <c r="J3740" s="8">
        <v>3.8800000000000001E-2</v>
      </c>
    </row>
    <row r="3741" spans="1:10" x14ac:dyDescent="0.25">
      <c r="A3741" s="5" t="s">
        <v>3774</v>
      </c>
      <c r="B3741" s="5" t="s">
        <v>5608</v>
      </c>
      <c r="C3741" s="6" t="str">
        <f>_xll.QS.CONTEXT.CREATE("market.3739",A3741,"USD","SOFR")</f>
        <v>QSObject:PricingContext:w1~market.3739:14774</v>
      </c>
      <c r="D3741" s="6" t="str">
        <f>_xll.QS.CONTEXT.ADD.CURVE(C3741,"SOFR",$K$2:$K$7,$L$2:$L$7,,,"Actual360","LogLinear",TRUE)</f>
        <v>QSObject:ContextInput:w1~input.qs_context_add_curve.2359132437744.3740.3.0:36808</v>
      </c>
      <c r="E3741" s="6" t="str">
        <f>_xll.QS.INSTRUMENT.SWAP("swap.3739",H3741,B3741,"USD","SOFR",I3741,J3741,0,"Actual360","Simple","Annual","Annual","Annual")</f>
        <v>QSObject:Swap:w1~swap.3739:14773</v>
      </c>
      <c r="F3741" s="6" t="str">
        <f>_xll.QS.TRADE.CREATE("trade.3739",E3741,A3741,"Receive")</f>
        <v>QSObject:SwapTrade:w1~trade.3739:28097</v>
      </c>
      <c r="G3741" s="3">
        <f>_xll.QS.EVALUATE(C3741,F3741)</f>
        <v>43544.718942595769</v>
      </c>
      <c r="H3741" s="5" t="s">
        <v>3781</v>
      </c>
      <c r="I3741" s="7">
        <v>1373900</v>
      </c>
      <c r="J3741" s="8">
        <v>3.8899999999999997E-2</v>
      </c>
    </row>
    <row r="3742" spans="1:10" x14ac:dyDescent="0.25">
      <c r="A3742" s="5" t="s">
        <v>3775</v>
      </c>
      <c r="B3742" s="5" t="s">
        <v>5609</v>
      </c>
      <c r="C3742" s="6" t="str">
        <f>_xll.QS.CONTEXT.CREATE("market.3740",A3742,"USD","SOFR")</f>
        <v>QSObject:PricingContext:w1~market.3740:14772</v>
      </c>
      <c r="D3742" s="6" t="str">
        <f>_xll.QS.CONTEXT.ADD.CURVE(C3742,"SOFR",$K$2:$K$7,$L$2:$L$7,,,"Actual360","LogLinear",TRUE)</f>
        <v>QSObject:ContextInput:w1~input.qs_context_add_curve.2359132437744.3741.3.0:36807</v>
      </c>
      <c r="E3742" s="6" t="str">
        <f>_xll.QS.INSTRUMENT.SWAP("swap.3740",H3742,B3742,"USD","SOFR",I3742,J3742,0,"Actual360","Simple","Annual","Annual","Annual")</f>
        <v>QSObject:Swap:w1~swap.3740:14771</v>
      </c>
      <c r="F3742" s="6" t="str">
        <f>_xll.QS.TRADE.CREATE("trade.3740",E3742,A3742,"Receive")</f>
        <v>QSObject:SwapTrade:w1~trade.3740:28096</v>
      </c>
      <c r="G3742" s="3">
        <f>_xll.QS.EVALUATE(C3742,F3742)</f>
        <v>44282.545003895226</v>
      </c>
      <c r="H3742" s="5" t="s">
        <v>3782</v>
      </c>
      <c r="I3742" s="7">
        <v>1374000</v>
      </c>
      <c r="J3742" s="8">
        <v>3.9000000000000007E-2</v>
      </c>
    </row>
    <row r="3743" spans="1:10" x14ac:dyDescent="0.25">
      <c r="A3743" s="5" t="s">
        <v>3776</v>
      </c>
      <c r="B3743" s="5" t="s">
        <v>5610</v>
      </c>
      <c r="C3743" s="6" t="str">
        <f>_xll.QS.CONTEXT.CREATE("market.3741",A3743,"USD","SOFR")</f>
        <v>QSObject:PricingContext:w1~market.3741:14770</v>
      </c>
      <c r="D3743" s="6" t="str">
        <f>_xll.QS.CONTEXT.ADD.CURVE(C3743,"SOFR",$K$2:$K$7,$L$2:$L$7,,,"Actual360","LogLinear",TRUE)</f>
        <v>QSObject:ContextInput:w1~input.qs_context_add_curve.2359132437744.3742.3.0:36806</v>
      </c>
      <c r="E3743" s="6" t="str">
        <f>_xll.QS.INSTRUMENT.SWAP("swap.3741",H3743,B3743,"USD","SOFR",I3743,J3743,0,"Actual360","Simple","Annual","Annual","Annual")</f>
        <v>QSObject:Swap:w1~swap.3741:14769</v>
      </c>
      <c r="F3743" s="6" t="str">
        <f>_xll.QS.TRADE.CREATE("trade.3741",E3743,A3743,"Receive")</f>
        <v>QSObject:SwapTrade:w1~trade.3741:28095</v>
      </c>
      <c r="G3743" s="3">
        <f>_xll.QS.EVALUATE(C3743,F3743)</f>
        <v>44980.155057434968</v>
      </c>
      <c r="H3743" s="5" t="s">
        <v>3783</v>
      </c>
      <c r="I3743" s="7">
        <v>1374100</v>
      </c>
      <c r="J3743" s="8">
        <v>3.9100000000000003E-2</v>
      </c>
    </row>
    <row r="3744" spans="1:10" x14ac:dyDescent="0.25">
      <c r="A3744" s="5" t="s">
        <v>3777</v>
      </c>
      <c r="B3744" s="5" t="s">
        <v>5611</v>
      </c>
      <c r="C3744" s="6" t="str">
        <f>_xll.QS.CONTEXT.CREATE("market.3742",A3744,"USD","SOFR")</f>
        <v>QSObject:PricingContext:w1~market.3742:14768</v>
      </c>
      <c r="D3744" s="6" t="str">
        <f>_xll.QS.CONTEXT.ADD.CURVE(C3744,"SOFR",$K$2:$K$7,$L$2:$L$7,,,"Actual360","LogLinear",TRUE)</f>
        <v>QSObject:ContextInput:w1~input.qs_context_add_curve.2359132437744.3743.3.0:36805</v>
      </c>
      <c r="E3744" s="6" t="str">
        <f>_xll.QS.INSTRUMENT.SWAP("swap.3742",H3744,B3744,"USD","SOFR",I3744,J3744,0,"Actual360","Simple","Annual","Annual","Annual")</f>
        <v>QSObject:Swap:w1~swap.3742:14767</v>
      </c>
      <c r="F3744" s="6" t="str">
        <f>_xll.QS.TRADE.CREATE("trade.3742",E3744,A3744,"Receive")</f>
        <v>QSObject:SwapTrade:w1~trade.3742:28094</v>
      </c>
      <c r="G3744" s="3">
        <f>_xll.QS.EVALUATE(C3744,F3744)</f>
        <v>45564.053358839417</v>
      </c>
      <c r="H3744" s="5" t="s">
        <v>3784</v>
      </c>
      <c r="I3744" s="7">
        <v>1374200</v>
      </c>
      <c r="J3744" s="8">
        <v>3.9200000000000013E-2</v>
      </c>
    </row>
    <row r="3745" spans="1:10" x14ac:dyDescent="0.25">
      <c r="A3745" s="5" t="s">
        <v>3778</v>
      </c>
      <c r="B3745" s="5" t="s">
        <v>5612</v>
      </c>
      <c r="C3745" s="6" t="str">
        <f>_xll.QS.CONTEXT.CREATE("market.3743",A3745,"USD","SOFR")</f>
        <v>QSObject:PricingContext:w1~market.3743:14766</v>
      </c>
      <c r="D3745" s="6" t="str">
        <f>_xll.QS.CONTEXT.ADD.CURVE(C3745,"SOFR",$K$2:$K$7,$L$2:$L$7,,,"Actual360","LogLinear",TRUE)</f>
        <v>QSObject:ContextInput:w1~input.qs_context_add_curve.2359132437744.3744.3.0:36804</v>
      </c>
      <c r="E3745" s="6" t="str">
        <f>_xll.QS.INSTRUMENT.SWAP("swap.3743",H3745,B3745,"USD","SOFR",I3745,J3745,0,"Actual360","Simple","Annual","Annual","Annual")</f>
        <v>QSObject:Swap:w1~swap.3743:14765</v>
      </c>
      <c r="F3745" s="6" t="str">
        <f>_xll.QS.TRADE.CREATE("trade.3743",E3745,A3745,"Receive")</f>
        <v>QSObject:SwapTrade:w1~trade.3743:28093</v>
      </c>
      <c r="G3745" s="3">
        <f>_xll.QS.EVALUATE(C3745,F3745)</f>
        <v>46088.784990656735</v>
      </c>
      <c r="H3745" s="5" t="s">
        <v>3785</v>
      </c>
      <c r="I3745" s="7">
        <v>1374300</v>
      </c>
      <c r="J3745" s="8">
        <v>3.9300000000000002E-2</v>
      </c>
    </row>
    <row r="3746" spans="1:10" x14ac:dyDescent="0.25">
      <c r="A3746" s="5" t="s">
        <v>3779</v>
      </c>
      <c r="B3746" s="5" t="s">
        <v>5613</v>
      </c>
      <c r="C3746" s="6" t="str">
        <f>_xll.QS.CONTEXT.CREATE("market.3744",A3746,"USD","SOFR")</f>
        <v>QSObject:PricingContext:w1~market.3744:14764</v>
      </c>
      <c r="D3746" s="6" t="str">
        <f>_xll.QS.CONTEXT.ADD.CURVE(C3746,"SOFR",$K$2:$K$7,$L$2:$L$7,,,"Actual360","LogLinear",TRUE)</f>
        <v>QSObject:ContextInput:w1~input.qs_context_add_curve.2359132437744.3745.3.0:36803</v>
      </c>
      <c r="E3746" s="6" t="str">
        <f>_xll.QS.INSTRUMENT.SWAP("swap.3744",H3746,B3746,"USD","SOFR",I3746,J3746,0,"Actual360","Simple","Annual","Annual","Annual")</f>
        <v>QSObject:Swap:w1~swap.3744:14763</v>
      </c>
      <c r="F3746" s="6" t="str">
        <f>_xll.QS.TRADE.CREATE("trade.3744",E3746,A3746,"Receive")</f>
        <v>QSObject:SwapTrade:w1~trade.3744:28092</v>
      </c>
      <c r="G3746" s="3">
        <f>_xll.QS.EVALUATE(C3746,F3746)</f>
        <v>46641.4749179914</v>
      </c>
      <c r="H3746" s="5" t="s">
        <v>3786</v>
      </c>
      <c r="I3746" s="7">
        <v>1374400</v>
      </c>
      <c r="J3746" s="8">
        <v>3.9399999999999998E-2</v>
      </c>
    </row>
    <row r="3747" spans="1:10" x14ac:dyDescent="0.25">
      <c r="A3747" s="5" t="s">
        <v>3780</v>
      </c>
      <c r="B3747" s="5" t="s">
        <v>5614</v>
      </c>
      <c r="C3747" s="6" t="str">
        <f>_xll.QS.CONTEXT.CREATE("market.3745",A3747,"USD","SOFR")</f>
        <v>QSObject:PricingContext:w1~market.3745:14762</v>
      </c>
      <c r="D3747" s="6" t="str">
        <f>_xll.QS.CONTEXT.ADD.CURVE(C3747,"SOFR",$K$2:$K$7,$L$2:$L$7,,,"Actual360","LogLinear",TRUE)</f>
        <v>QSObject:ContextInput:w1~input.qs_context_add_curve.2359132437744.3746.3.0:36802</v>
      </c>
      <c r="E3747" s="6" t="str">
        <f>_xll.QS.INSTRUMENT.SWAP("swap.3745",H3747,B3747,"USD","SOFR",I3747,J3747,0,"Actual360","Simple","Annual","Annual","Annual")</f>
        <v>QSObject:Swap:w1~swap.3745:14761</v>
      </c>
      <c r="F3747" s="6" t="str">
        <f>_xll.QS.TRADE.CREATE("trade.3745",E3747,A3747,"Receive")</f>
        <v>QSObject:SwapTrade:w1~trade.3745:28091</v>
      </c>
      <c r="G3747" s="3">
        <f>_xll.QS.EVALUATE(C3747,F3747)</f>
        <v>47338.277255376619</v>
      </c>
      <c r="H3747" s="5" t="s">
        <v>3787</v>
      </c>
      <c r="I3747" s="7">
        <v>1374500</v>
      </c>
      <c r="J3747" s="8">
        <v>3.9500000000000007E-2</v>
      </c>
    </row>
    <row r="3748" spans="1:10" x14ac:dyDescent="0.25">
      <c r="A3748" s="5" t="s">
        <v>3781</v>
      </c>
      <c r="B3748" s="5" t="s">
        <v>5615</v>
      </c>
      <c r="C3748" s="6" t="str">
        <f>_xll.QS.CONTEXT.CREATE("market.3746",A3748,"USD","SOFR")</f>
        <v>QSObject:PricingContext:w1~market.3746:14760</v>
      </c>
      <c r="D3748" s="6" t="str">
        <f>_xll.QS.CONTEXT.ADD.CURVE(C3748,"SOFR",$K$2:$K$7,$L$2:$L$7,,,"Actual360","LogLinear",TRUE)</f>
        <v>QSObject:ContextInput:w1~input.qs_context_add_curve.2359132437744.3747.3.0:36801</v>
      </c>
      <c r="E3748" s="6" t="str">
        <f>_xll.QS.INSTRUMENT.SWAP("swap.3746",H3748,B3748,"USD","SOFR",I3748,J3748,0,"Actual360","Simple","Annual","Annual","Annual")</f>
        <v>QSObject:Swap:w1~swap.3746:14759</v>
      </c>
      <c r="F3748" s="6" t="str">
        <f>_xll.QS.TRADE.CREATE("trade.3746",E3748,A3748,"Receive")</f>
        <v>QSObject:SwapTrade:w1~trade.3746:28090</v>
      </c>
      <c r="G3748" s="3">
        <f>_xll.QS.EVALUATE(C3748,F3748)</f>
        <v>48005.143359164438</v>
      </c>
      <c r="H3748" s="5" t="s">
        <v>3788</v>
      </c>
      <c r="I3748" s="7">
        <v>1374600</v>
      </c>
      <c r="J3748" s="8">
        <v>3.9600000000000003E-2</v>
      </c>
    </row>
    <row r="3749" spans="1:10" x14ac:dyDescent="0.25">
      <c r="A3749" s="5" t="s">
        <v>3782</v>
      </c>
      <c r="B3749" s="5" t="s">
        <v>5616</v>
      </c>
      <c r="C3749" s="6" t="str">
        <f>_xll.QS.CONTEXT.CREATE("market.3747",A3749,"USD","SOFR")</f>
        <v>QSObject:PricingContext:w1~market.3747:14758</v>
      </c>
      <c r="D3749" s="6" t="str">
        <f>_xll.QS.CONTEXT.ADD.CURVE(C3749,"SOFR",$K$2:$K$7,$L$2:$L$7,,,"Actual360","LogLinear",TRUE)</f>
        <v>QSObject:ContextInput:w1~input.qs_context_add_curve.2359132437744.3748.3.0:36800</v>
      </c>
      <c r="E3749" s="6" t="str">
        <f>_xll.QS.INSTRUMENT.SWAP("swap.3747",H3749,B3749,"USD","SOFR",I3749,J3749,0,"Actual360","Simple","Annual","Annual","Annual")</f>
        <v>QSObject:Swap:w1~swap.3747:14757</v>
      </c>
      <c r="F3749" s="6" t="str">
        <f>_xll.QS.TRADE.CREATE("trade.3747",E3749,A3749,"Receive")</f>
        <v>QSObject:SwapTrade:w1~trade.3747:28089</v>
      </c>
      <c r="G3749" s="3">
        <f>_xll.QS.EVALUATE(C3749,F3749)</f>
        <v>48743.181988480152</v>
      </c>
      <c r="H3749" s="5" t="s">
        <v>3789</v>
      </c>
      <c r="I3749" s="7">
        <v>1374700</v>
      </c>
      <c r="J3749" s="8">
        <v>3.9700000000000013E-2</v>
      </c>
    </row>
    <row r="3750" spans="1:10" x14ac:dyDescent="0.25">
      <c r="A3750" s="5" t="s">
        <v>3783</v>
      </c>
      <c r="B3750" s="5" t="s">
        <v>5617</v>
      </c>
      <c r="C3750" s="6" t="str">
        <f>_xll.QS.CONTEXT.CREATE("market.3748",A3750,"USD","SOFR")</f>
        <v>QSObject:PricingContext:w1~market.3748:14756</v>
      </c>
      <c r="D3750" s="6" t="str">
        <f>_xll.QS.CONTEXT.ADD.CURVE(C3750,"SOFR",$K$2:$K$7,$L$2:$L$7,,,"Actual360","LogLinear",TRUE)</f>
        <v>QSObject:ContextInput:w1~input.qs_context_add_curve.2359132437744.3749.3.0:36799</v>
      </c>
      <c r="E3750" s="6" t="str">
        <f>_xll.QS.INSTRUMENT.SWAP("swap.3748",H3750,B3750,"USD","SOFR",I3750,J3750,0,"Actual360","Simple","Annual","Annual","Annual")</f>
        <v>QSObject:Swap:w1~swap.3748:14755</v>
      </c>
      <c r="F3750" s="6" t="str">
        <f>_xll.QS.TRADE.CREATE("trade.3748",E3750,A3750,"Receive")</f>
        <v>QSObject:SwapTrade:w1~trade.3748:28088</v>
      </c>
      <c r="G3750" s="3">
        <f>_xll.QS.EVALUATE(C3750,F3750)</f>
        <v>49440.654827963139</v>
      </c>
      <c r="H3750" s="5" t="s">
        <v>3790</v>
      </c>
      <c r="I3750" s="7">
        <v>1374800</v>
      </c>
      <c r="J3750" s="8">
        <v>3.9800000000000002E-2</v>
      </c>
    </row>
    <row r="3751" spans="1:10" x14ac:dyDescent="0.25">
      <c r="A3751" s="5" t="s">
        <v>3784</v>
      </c>
      <c r="B3751" s="5" t="s">
        <v>5618</v>
      </c>
      <c r="C3751" s="6" t="str">
        <f>_xll.QS.CONTEXT.CREATE("market.3749",A3751,"USD","SOFR")</f>
        <v>QSObject:PricingContext:w1~market.3749:14754</v>
      </c>
      <c r="D3751" s="6" t="str">
        <f>_xll.QS.CONTEXT.ADD.CURVE(C3751,"SOFR",$K$2:$K$7,$L$2:$L$7,,,"Actual360","LogLinear",TRUE)</f>
        <v>QSObject:ContextInput:w1~input.qs_context_add_curve.2359132437744.3750.3.0:36798</v>
      </c>
      <c r="E3751" s="6" t="str">
        <f>_xll.QS.INSTRUMENT.SWAP("swap.3749",H3751,B3751,"USD","SOFR",I3751,J3751,0,"Actual360","Simple","Annual","Annual","Annual")</f>
        <v>QSObject:Swap:w1~swap.3749:14753</v>
      </c>
      <c r="F3751" s="6" t="str">
        <f>_xll.QS.TRADE.CREATE("trade.3749",E3751,A3751,"Receive")</f>
        <v>QSObject:SwapTrade:w1~trade.3749:28087</v>
      </c>
      <c r="G3751" s="3">
        <f>_xll.QS.EVALUATE(C3751,F3751)</f>
        <v>50026.646020357213</v>
      </c>
      <c r="H3751" s="5" t="s">
        <v>3791</v>
      </c>
      <c r="I3751" s="7">
        <v>1374900</v>
      </c>
      <c r="J3751" s="8">
        <v>3.9899999999999998E-2</v>
      </c>
    </row>
    <row r="3752" spans="1:10" x14ac:dyDescent="0.25">
      <c r="A3752" s="5" t="s">
        <v>3785</v>
      </c>
      <c r="B3752" s="5" t="s">
        <v>5619</v>
      </c>
      <c r="C3752" s="6" t="str">
        <f>_xll.QS.CONTEXT.CREATE("market.3750",A3752,"USD","SOFR")</f>
        <v>QSObject:PricingContext:w1~market.3750:7976</v>
      </c>
      <c r="D3752" s="6" t="str">
        <f>_xll.QS.CONTEXT.ADD.CURVE(C3752,"SOFR",$K$2:$K$7,$L$2:$L$7,,,"Actual360","LogLinear",TRUE)</f>
        <v>QSObject:ContextInput:w1~input.qs_context_add_curve.2359132437744.3751.3.0:14323</v>
      </c>
      <c r="E3752" s="6" t="str">
        <f>_xll.QS.INSTRUMENT.SWAP("swap.3750",H3752,B3752,"USD","SOFR",I3752,J3752,0,"Actual360","Simple","Annual","Annual","Annual")</f>
        <v>QSObject:Swap:w1~swap.3750:9574</v>
      </c>
      <c r="F3752" s="6" t="str">
        <f>_xll.QS.TRADE.CREATE("trade.3750",E3752,A3752,"Receive")</f>
        <v>QSObject:SwapTrade:w1~trade.3750:11205</v>
      </c>
      <c r="G3752" s="3">
        <f>_xll.QS.EVALUATE(C3752,F3752)</f>
        <v>18880.636793259364</v>
      </c>
      <c r="H3752" s="5" t="s">
        <v>3792</v>
      </c>
      <c r="I3752" s="7">
        <v>1375000</v>
      </c>
      <c r="J3752" s="8">
        <v>3.5000000000000003E-2</v>
      </c>
    </row>
    <row r="3753" spans="1:10" x14ac:dyDescent="0.25">
      <c r="A3753" s="5" t="s">
        <v>3786</v>
      </c>
      <c r="B3753" s="5" t="s">
        <v>5620</v>
      </c>
      <c r="C3753" s="6" t="str">
        <f>_xll.QS.CONTEXT.CREATE("market.3751",A3753,"USD","SOFR")</f>
        <v>QSObject:PricingContext:w1~market.3751:4810</v>
      </c>
      <c r="D3753" s="6" t="str">
        <f>_xll.QS.CONTEXT.ADD.CURVE(C3753,"SOFR",$K$2:$K$7,$L$2:$L$7,,,"Actual360","LogLinear",TRUE)</f>
        <v>QSObject:ContextInput:w1~input.qs_context_add_curve.2359132437744.3752.3.0:12698</v>
      </c>
      <c r="E3753" s="6" t="str">
        <f>_xll.QS.INSTRUMENT.SWAP("swap.3751",H3753,B3753,"USD","SOFR",I3753,J3753,0,"Actual360","Simple","Annual","Annual","Annual")</f>
        <v>QSObject:Swap:w1~swap.3751:1727</v>
      </c>
      <c r="F3753" s="6" t="str">
        <f>_xll.QS.TRADE.CREATE("trade.3751",E3753,A3753,"Receive")</f>
        <v>QSObject:SwapTrade:w1~trade.3751:6388</v>
      </c>
      <c r="G3753" s="3">
        <f>_xll.QS.EVALUATE(C3753,F3753)</f>
        <v>19389.557437726275</v>
      </c>
      <c r="H3753" s="5" t="s">
        <v>3793</v>
      </c>
      <c r="I3753" s="7">
        <v>1375100</v>
      </c>
      <c r="J3753" s="8">
        <v>3.5100000000000013E-2</v>
      </c>
    </row>
    <row r="3754" spans="1:10" x14ac:dyDescent="0.25">
      <c r="A3754" s="5" t="s">
        <v>3787</v>
      </c>
      <c r="B3754" s="5" t="s">
        <v>5621</v>
      </c>
      <c r="C3754" s="6" t="str">
        <f>_xll.QS.CONTEXT.CREATE("market.3752",A3754,"USD","SOFR")</f>
        <v>QSObject:PricingContext:w1~market.3752:14322</v>
      </c>
      <c r="D3754" s="6" t="str">
        <f>_xll.QS.CONTEXT.ADD.CURVE(C3754,"SOFR",$K$2:$K$7,$L$2:$L$7,,,"Actual360","LogLinear",TRUE)</f>
        <v>QSObject:ContextInput:w1~input.qs_context_add_curve.2359132437744.3753.3.0:36797</v>
      </c>
      <c r="E3754" s="6" t="str">
        <f>_xll.QS.INSTRUMENT.SWAP("swap.3752",H3754,B3754,"USD","SOFR",I3754,J3754,0,"Actual360","Simple","Annual","Annual","Annual")</f>
        <v>QSObject:Swap:w1~swap.3752:7975</v>
      </c>
      <c r="F3754" s="6" t="str">
        <f>_xll.QS.TRADE.CREATE("trade.3752",E3754,A3754,"Receive")</f>
        <v>QSObject:SwapTrade:w1~trade.3752:11204</v>
      </c>
      <c r="G3754" s="3">
        <f>_xll.QS.EVALUATE(C3754,F3754)</f>
        <v>20081.130766617069</v>
      </c>
      <c r="H3754" s="5" t="s">
        <v>3794</v>
      </c>
      <c r="I3754" s="7">
        <v>1375200</v>
      </c>
      <c r="J3754" s="8">
        <v>3.5200000000000002E-2</v>
      </c>
    </row>
    <row r="3755" spans="1:10" x14ac:dyDescent="0.25">
      <c r="A3755" s="5" t="s">
        <v>3788</v>
      </c>
      <c r="B3755" s="5" t="s">
        <v>5622</v>
      </c>
      <c r="C3755" s="6" t="str">
        <f>_xll.QS.CONTEXT.CREATE("market.3753",A3755,"USD","SOFR")</f>
        <v>QSObject:PricingContext:w1~market.3753:12697</v>
      </c>
      <c r="D3755" s="6" t="str">
        <f>_xll.QS.CONTEXT.ADD.CURVE(C3755,"SOFR",$K$2:$K$7,$L$2:$L$7,,,"Actual360","LogLinear",TRUE)</f>
        <v>QSObject:ContextInput:w1~input.qs_context_add_curve.2359132437744.3754.3.0:36796</v>
      </c>
      <c r="E3755" s="6" t="str">
        <f>_xll.QS.INSTRUMENT.SWAP("swap.3753",H3755,B3755,"USD","SOFR",I3755,J3755,0,"Actual360","Simple","Annual","Annual","Annual")</f>
        <v>QSObject:Swap:w1~swap.3753:4809</v>
      </c>
      <c r="F3755" s="6" t="str">
        <f>_xll.QS.TRADE.CREATE("trade.3753",E3755,A3755,"Receive")</f>
        <v>QSObject:SwapTrade:w1~trade.3753:6387</v>
      </c>
      <c r="G3755" s="3">
        <f>_xll.QS.EVALUATE(C3755,F3755)</f>
        <v>20758.454011539186</v>
      </c>
      <c r="H3755" s="5" t="s">
        <v>3795</v>
      </c>
      <c r="I3755" s="7">
        <v>1375300</v>
      </c>
      <c r="J3755" s="8">
        <v>3.5299999999999998E-2</v>
      </c>
    </row>
    <row r="3756" spans="1:10" x14ac:dyDescent="0.25">
      <c r="A3756" s="5" t="s">
        <v>3789</v>
      </c>
      <c r="B3756" s="5" t="s">
        <v>5623</v>
      </c>
      <c r="C3756" s="6" t="str">
        <f>_xll.QS.CONTEXT.CREATE("market.3754",A3756,"USD","SOFR")</f>
        <v>QSObject:PricingContext:w1~market.3754:3255</v>
      </c>
      <c r="D3756" s="6" t="str">
        <f>_xll.QS.CONTEXT.ADD.CURVE(C3756,"SOFR",$K$2:$K$7,$L$2:$L$7,,,"Actual360","LogLinear",TRUE)</f>
        <v>QSObject:ContextInput:w1~input.qs_context_add_curve.2359132437744.3755.3.0:14321</v>
      </c>
      <c r="E3756" s="6" t="str">
        <f>_xll.QS.INSTRUMENT.SWAP("swap.3754",H3756,B3756,"USD","SOFR",I3756,J3756,0,"Actual360","Simple","Annual","Annual","Annual")</f>
        <v>QSObject:Swap:w1~swap.3754:1726</v>
      </c>
      <c r="F3756" s="6" t="str">
        <f>_xll.QS.TRADE.CREATE("trade.3754",E3756,A3756,"Receive")</f>
        <v>QSObject:SwapTrade:w1~trade.3754:7974</v>
      </c>
      <c r="G3756" s="3">
        <f>_xll.QS.EVALUATE(C3756,F3756)</f>
        <v>21495.233818130626</v>
      </c>
      <c r="H3756" s="5" t="s">
        <v>3796</v>
      </c>
      <c r="I3756" s="7">
        <v>1375400</v>
      </c>
      <c r="J3756" s="8">
        <v>3.5400000000000001E-2</v>
      </c>
    </row>
    <row r="3757" spans="1:10" x14ac:dyDescent="0.25">
      <c r="A3757" s="5" t="s">
        <v>3790</v>
      </c>
      <c r="B3757" s="5" t="s">
        <v>5624</v>
      </c>
      <c r="C3757" s="6" t="str">
        <f>_xll.QS.CONTEXT.CREATE("market.3755",A3757,"USD","SOFR")</f>
        <v>QSObject:PricingContext:w1~market.3755:12696</v>
      </c>
      <c r="D3757" s="6" t="str">
        <f>_xll.QS.CONTEXT.ADD.CURVE(C3757,"SOFR",$K$2:$K$7,$L$2:$L$7,,,"Actual360","LogLinear",TRUE)</f>
        <v>QSObject:ContextInput:w1~input.qs_context_add_curve.2359132437744.3756.3.0:36795</v>
      </c>
      <c r="E3757" s="6" t="str">
        <f>_xll.QS.INSTRUMENT.SWAP("swap.3755",H3757,B3757,"USD","SOFR",I3757,J3757,0,"Actual360","Simple","Annual","Annual","Annual")</f>
        <v>QSObject:Swap:w1~swap.3755:11203</v>
      </c>
      <c r="F3757" s="6" t="str">
        <f>_xll.QS.TRADE.CREATE("trade.3755",E3757,A3757,"Receive")</f>
        <v>QSObject:SwapTrade:w1~trade.3755:28086</v>
      </c>
      <c r="G3757" s="3">
        <f>_xll.QS.EVALUATE(C3757,F3757)</f>
        <v>22191.044924622467</v>
      </c>
      <c r="H3757" s="5" t="s">
        <v>3797</v>
      </c>
      <c r="I3757" s="7">
        <v>1375500</v>
      </c>
      <c r="J3757" s="8">
        <v>3.5499999999999997E-2</v>
      </c>
    </row>
    <row r="3758" spans="1:10" x14ac:dyDescent="0.25">
      <c r="A3758" s="5" t="s">
        <v>3791</v>
      </c>
      <c r="B3758" s="5" t="s">
        <v>5625</v>
      </c>
      <c r="C3758" s="6" t="str">
        <f>_xll.QS.CONTEXT.CREATE("market.3756",A3758,"USD","SOFR")</f>
        <v>QSObject:PricingContext:w1~market.3756:14320</v>
      </c>
      <c r="D3758" s="6" t="str">
        <f>_xll.QS.CONTEXT.ADD.CURVE(C3758,"SOFR",$K$2:$K$7,$L$2:$L$7,,,"Actual360","LogLinear",TRUE)</f>
        <v>QSObject:ContextInput:w1~input.qs_context_add_curve.2359132437744.3757.3.0:36794</v>
      </c>
      <c r="E3758" s="6" t="str">
        <f>_xll.QS.INSTRUMENT.SWAP("swap.3756",H3758,B3758,"USD","SOFR",I3758,J3758,0,"Actual360","Simple","Annual","Annual","Annual")</f>
        <v>QSObject:Swap:w1~swap.3756:3254</v>
      </c>
      <c r="F3758" s="6" t="str">
        <f>_xll.QS.TRADE.CREATE("trade.3756",E3758,A3758,"Receive")</f>
        <v>QSObject:SwapTrade:w1~trade.3756:7973</v>
      </c>
      <c r="G3758" s="3">
        <f>_xll.QS.EVALUATE(C3758,F3758)</f>
        <v>22728.614319532004</v>
      </c>
      <c r="H3758" s="5" t="s">
        <v>3798</v>
      </c>
      <c r="I3758" s="7">
        <v>1375600</v>
      </c>
      <c r="J3758" s="8">
        <v>3.5600000000000007E-2</v>
      </c>
    </row>
    <row r="3759" spans="1:10" x14ac:dyDescent="0.25">
      <c r="A3759" s="5" t="s">
        <v>3792</v>
      </c>
      <c r="B3759" s="5" t="s">
        <v>5626</v>
      </c>
      <c r="C3759" s="6" t="str">
        <f>_xll.QS.CONTEXT.CREATE("market.3757",A3759,"USD","SOFR")</f>
        <v>QSObject:PricingContext:w1~market.3757:9573</v>
      </c>
      <c r="D3759" s="6" t="str">
        <f>_xll.QS.CONTEXT.ADD.CURVE(C3759,"SOFR",$K$2:$K$7,$L$2:$L$7,,,"Actual360","LogLinear",TRUE)</f>
        <v>QSObject:ContextInput:w1~input.qs_context_add_curve.2359132437744.3758.3.0:28085</v>
      </c>
      <c r="E3759" s="6" t="str">
        <f>_xll.QS.INSTRUMENT.SWAP("swap.3757",H3759,B3759,"USD","SOFR",I3759,J3759,0,"Actual360","Simple","Annual","Annual","Annual")</f>
        <v>QSObject:Swap:w1~swap.3757:12695</v>
      </c>
      <c r="F3759" s="6" t="str">
        <f>_xll.QS.TRADE.CREATE("trade.3757",E3759,A3759,"Receive")</f>
        <v>QSObject:SwapTrade:w1~trade.3757:28084</v>
      </c>
      <c r="G3759" s="3">
        <f>_xll.QS.EVALUATE(C3759,F3759)</f>
        <v>23324.822230634083</v>
      </c>
      <c r="H3759" s="5" t="s">
        <v>3799</v>
      </c>
      <c r="I3759" s="7">
        <v>1375700</v>
      </c>
      <c r="J3759" s="8">
        <v>3.5700000000000003E-2</v>
      </c>
    </row>
    <row r="3760" spans="1:10" x14ac:dyDescent="0.25">
      <c r="A3760" s="5" t="s">
        <v>3793</v>
      </c>
      <c r="B3760" s="5" t="s">
        <v>5627</v>
      </c>
      <c r="C3760" s="6" t="str">
        <f>_xll.QS.CONTEXT.CREATE("market.3758",A3760,"USD","SOFR")</f>
        <v>QSObject:PricingContext:w1~market.3758:14319</v>
      </c>
      <c r="D3760" s="6" t="str">
        <f>_xll.QS.CONTEXT.ADD.CURVE(C3760,"SOFR",$K$2:$K$7,$L$2:$L$7,,,"Actual360","LogLinear",TRUE)</f>
        <v>QSObject:ContextInput:w1~input.qs_context_add_curve.2359132437744.3759.3.0:36793</v>
      </c>
      <c r="E3760" s="6" t="str">
        <f>_xll.QS.INSTRUMENT.SWAP("swap.3758",H3760,B3760,"USD","SOFR",I3760,J3760,0,"Actual360","Simple","Annual","Annual","Annual")</f>
        <v>QSObject:Swap:w1~swap.3758:6386</v>
      </c>
      <c r="F3760" s="6" t="str">
        <f>_xll.QS.TRADE.CREATE("trade.3758",E3760,A3760,"Receive")</f>
        <v>QSObject:SwapTrade:w1~trade.3758:28083</v>
      </c>
      <c r="G3760" s="3">
        <f>_xll.QS.EVALUATE(C3760,F3760)</f>
        <v>23841.198850931105</v>
      </c>
      <c r="H3760" s="5" t="s">
        <v>3800</v>
      </c>
      <c r="I3760" s="7">
        <v>1375800</v>
      </c>
      <c r="J3760" s="8">
        <v>3.5800000000000012E-2</v>
      </c>
    </row>
    <row r="3761" spans="1:10" x14ac:dyDescent="0.25">
      <c r="A3761" s="5" t="s">
        <v>3794</v>
      </c>
      <c r="B3761" s="5" t="s">
        <v>5628</v>
      </c>
      <c r="C3761" s="6" t="str">
        <f>_xll.QS.CONTEXT.CREATE("market.3759",A3761,"USD","SOFR")</f>
        <v>QSObject:PricingContext:w1~market.3759:1725</v>
      </c>
      <c r="D3761" s="6" t="str">
        <f>_xll.QS.CONTEXT.ADD.CURVE(C3761,"SOFR",$K$2:$K$7,$L$2:$L$7,,,"Actual360","LogLinear",TRUE)</f>
        <v>QSObject:ContextInput:w1~input.qs_context_add_curve.2359132437744.3760.3.0:9572</v>
      </c>
      <c r="E3761" s="6" t="str">
        <f>_xll.QS.INSTRUMENT.SWAP("swap.3759",H3761,B3761,"USD","SOFR",I3761,J3761,0,"Actual360","Simple","Annual","Annual","Annual")</f>
        <v>QSObject:Swap:w1~swap.3759:7972</v>
      </c>
      <c r="F3761" s="6" t="str">
        <f>_xll.QS.TRADE.CREATE("trade.3759",E3761,A3761,"Receive")</f>
        <v>QSObject:SwapTrade:w1~trade.3759:11202</v>
      </c>
      <c r="G3761" s="3">
        <f>_xll.QS.EVALUATE(C3761,F3761)</f>
        <v>24534.439305032123</v>
      </c>
      <c r="H3761" s="5" t="s">
        <v>3801</v>
      </c>
      <c r="I3761" s="7">
        <v>1375900</v>
      </c>
      <c r="J3761" s="8">
        <v>3.5900000000000001E-2</v>
      </c>
    </row>
    <row r="3762" spans="1:10" x14ac:dyDescent="0.25">
      <c r="A3762" s="5" t="s">
        <v>3795</v>
      </c>
      <c r="B3762" s="5" t="s">
        <v>5629</v>
      </c>
      <c r="C3762" s="6" t="str">
        <f>_xll.QS.CONTEXT.CREATE("market.3760",A3762,"USD","SOFR")</f>
        <v>QSObject:PricingContext:w1~market.3760:12694</v>
      </c>
      <c r="D3762" s="6" t="str">
        <f>_xll.QS.CONTEXT.ADD.CURVE(C3762,"SOFR",$K$2:$K$7,$L$2:$L$7,,,"Actual360","LogLinear",TRUE)</f>
        <v>QSObject:ContextInput:w1~input.qs_context_add_curve.2359132437744.3761.3.0:14318</v>
      </c>
      <c r="E3762" s="6" t="str">
        <f>_xll.QS.INSTRUMENT.SWAP("swap.3760",H3762,B3762,"USD","SOFR",I3762,J3762,0,"Actual360","Simple","Annual","Annual","Annual")</f>
        <v>QSObject:Swap:w1~swap.3760:4808</v>
      </c>
      <c r="F3762" s="6" t="str">
        <f>_xll.QS.TRADE.CREATE("trade.3760",E3762,A3762,"Receive")</f>
        <v>QSObject:SwapTrade:w1~trade.3760:28082</v>
      </c>
      <c r="G3762" s="3">
        <f>_xll.QS.EVALUATE(C3762,F3762)</f>
        <v>25211.392940203608</v>
      </c>
      <c r="H3762" s="5" t="s">
        <v>3802</v>
      </c>
      <c r="I3762" s="7">
        <v>1376000</v>
      </c>
      <c r="J3762" s="8">
        <v>3.5999999999999997E-2</v>
      </c>
    </row>
    <row r="3763" spans="1:10" x14ac:dyDescent="0.25">
      <c r="A3763" s="5" t="s">
        <v>3796</v>
      </c>
      <c r="B3763" s="5" t="s">
        <v>5630</v>
      </c>
      <c r="C3763" s="6" t="str">
        <f>_xll.QS.CONTEXT.CREATE("market.3761",A3763,"USD","SOFR")</f>
        <v>QSObject:PricingContext:w1~market.3761:1724</v>
      </c>
      <c r="D3763" s="6" t="str">
        <f>_xll.QS.CONTEXT.ADD.CURVE(C3763,"SOFR",$K$2:$K$7,$L$2:$L$7,,,"Actual360","LogLinear",TRUE)</f>
        <v>QSObject:ContextInput:w1~input.qs_context_add_curve.2359132437744.3762.3.0:9571</v>
      </c>
      <c r="E3763" s="6" t="str">
        <f>_xll.QS.INSTRUMENT.SWAP("swap.3761",H3763,B3763,"USD","SOFR",I3763,J3763,0,"Actual360","Simple","Annual","Annual","Annual")</f>
        <v>QSObject:Swap:w1~swap.3761:6385</v>
      </c>
      <c r="F3763" s="6" t="str">
        <f>_xll.QS.TRADE.CREATE("trade.3761",E3763,A3763,"Receive")</f>
        <v>QSObject:SwapTrade:w1~trade.3761:11201</v>
      </c>
      <c r="G3763" s="3">
        <f>_xll.QS.EVALUATE(C3763,F3763)</f>
        <v>26012.174781160509</v>
      </c>
      <c r="H3763" s="5" t="s">
        <v>3803</v>
      </c>
      <c r="I3763" s="7">
        <v>1376100</v>
      </c>
      <c r="J3763" s="8">
        <v>3.61E-2</v>
      </c>
    </row>
    <row r="3764" spans="1:10" x14ac:dyDescent="0.25">
      <c r="A3764" s="5" t="s">
        <v>3797</v>
      </c>
      <c r="B3764" s="5" t="s">
        <v>5631</v>
      </c>
      <c r="C3764" s="6" t="str">
        <f>_xll.QS.CONTEXT.CREATE("market.3762",A3764,"USD","SOFR")</f>
        <v>QSObject:PricingContext:w1~market.3762:14317</v>
      </c>
      <c r="D3764" s="6" t="str">
        <f>_xll.QS.CONTEXT.ADD.CURVE(C3764,"SOFR",$K$2:$K$7,$L$2:$L$7,,,"Actual360","LogLinear",TRUE)</f>
        <v>QSObject:ContextInput:w1~input.qs_context_add_curve.2359132437744.3763.3.0:36792</v>
      </c>
      <c r="E3764" s="6" t="str">
        <f>_xll.QS.INSTRUMENT.SWAP("swap.3762",H3764,B3764,"USD","SOFR",I3764,J3764,0,"Actual360","Simple","Annual","Annual","Annual")</f>
        <v>QSObject:Swap:w1~swap.3762:7971</v>
      </c>
      <c r="F3764" s="6" t="str">
        <f>_xll.QS.TRADE.CREATE("trade.3762",E3764,A3764,"Receive")</f>
        <v>QSObject:SwapTrade:w1~trade.3762:28081</v>
      </c>
      <c r="G3764" s="3">
        <f>_xll.QS.EVALUATE(C3764,F3764)</f>
        <v>26646.337211861559</v>
      </c>
      <c r="H3764" s="5" t="s">
        <v>3804</v>
      </c>
      <c r="I3764" s="7">
        <v>1376200</v>
      </c>
      <c r="J3764" s="8">
        <v>3.6200000000000003E-2</v>
      </c>
    </row>
    <row r="3765" spans="1:10" x14ac:dyDescent="0.25">
      <c r="A3765" s="5" t="s">
        <v>3798</v>
      </c>
      <c r="B3765" s="5" t="s">
        <v>5632</v>
      </c>
      <c r="C3765" s="6" t="str">
        <f>_xll.QS.CONTEXT.CREATE("market.3763",A3765,"USD","SOFR")</f>
        <v>QSObject:PricingContext:w1~market.3763:4807</v>
      </c>
      <c r="D3765" s="6" t="str">
        <f>_xll.QS.CONTEXT.ADD.CURVE(C3765,"SOFR",$K$2:$K$7,$L$2:$L$7,,,"Actual360","LogLinear",TRUE)</f>
        <v>QSObject:ContextInput:w1~input.qs_context_add_curve.2359132437744.3764.3.0:28080</v>
      </c>
      <c r="E3765" s="6" t="str">
        <f>_xll.QS.INSTRUMENT.SWAP("swap.3763",H3765,B3765,"USD","SOFR",I3765,J3765,0,"Actual360","Simple","Annual","Annual","Annual")</f>
        <v>QSObject:Swap:w1~swap.3763:9570</v>
      </c>
      <c r="F3765" s="6" t="str">
        <f>_xll.QS.TRADE.CREATE("trade.3763",E3765,A3765,"Receive")</f>
        <v>QSObject:SwapTrade:w1~trade.3763:14316</v>
      </c>
      <c r="G3765" s="3">
        <f>_xll.QS.EVALUATE(C3765,F3765)</f>
        <v>27228.374263791637</v>
      </c>
      <c r="H3765" s="5" t="s">
        <v>3805</v>
      </c>
      <c r="I3765" s="7">
        <v>1376300</v>
      </c>
      <c r="J3765" s="8">
        <v>3.6300000000000013E-2</v>
      </c>
    </row>
    <row r="3766" spans="1:10" x14ac:dyDescent="0.25">
      <c r="A3766" s="5" t="s">
        <v>3799</v>
      </c>
      <c r="B3766" s="5" t="s">
        <v>5633</v>
      </c>
      <c r="C3766" s="6" t="str">
        <f>_xll.QS.CONTEXT.CREATE("market.3764",A3766,"USD","SOFR")</f>
        <v>QSObject:PricingContext:w1~market.3764:12693</v>
      </c>
      <c r="D3766" s="6" t="str">
        <f>_xll.QS.CONTEXT.ADD.CURVE(C3766,"SOFR",$K$2:$K$7,$L$2:$L$7,,,"Actual360","LogLinear",TRUE)</f>
        <v>QSObject:ContextInput:w1~input.qs_context_add_curve.2359132437744.3765.3.0:36791</v>
      </c>
      <c r="E3766" s="6" t="str">
        <f>_xll.QS.INSTRUMENT.SWAP("swap.3764",H3766,B3766,"USD","SOFR",I3766,J3766,0,"Actual360","Simple","Annual","Annual","Annual")</f>
        <v>QSObject:Swap:w1~swap.3764:11200</v>
      </c>
      <c r="F3766" s="6" t="str">
        <f>_xll.QS.TRADE.CREATE("trade.3764",E3766,A3766,"Receive")</f>
        <v>QSObject:SwapTrade:w1~trade.3764:28079</v>
      </c>
      <c r="G3766" s="3">
        <f>_xll.QS.EVALUATE(C3766,F3766)</f>
        <v>27828.873713171095</v>
      </c>
      <c r="H3766" s="5" t="s">
        <v>3806</v>
      </c>
      <c r="I3766" s="7">
        <v>1376400</v>
      </c>
      <c r="J3766" s="8">
        <v>3.6400000000000002E-2</v>
      </c>
    </row>
    <row r="3767" spans="1:10" x14ac:dyDescent="0.25">
      <c r="A3767" s="5" t="s">
        <v>3800</v>
      </c>
      <c r="B3767" s="5" t="s">
        <v>5634</v>
      </c>
      <c r="C3767" s="6" t="str">
        <f>_xll.QS.CONTEXT.CREATE("market.3765",A3767,"USD","SOFR")</f>
        <v>QSObject:PricingContext:w1~market.3765:4806</v>
      </c>
      <c r="D3767" s="6" t="str">
        <f>_xll.QS.CONTEXT.ADD.CURVE(C3767,"SOFR",$K$2:$K$7,$L$2:$L$7,,,"Actual360","LogLinear",TRUE)</f>
        <v>QSObject:ContextInput:w1~input.qs_context_add_curve.2359132437744.3766.3.0:28078</v>
      </c>
      <c r="E3767" s="6" t="str">
        <f>_xll.QS.INSTRUMENT.SWAP("swap.3765",H3767,B3767,"USD","SOFR",I3767,J3767,0,"Actual360","Simple","Annual","Annual","Annual")</f>
        <v>QSObject:Swap:w1~swap.3765:1723</v>
      </c>
      <c r="F3767" s="6" t="str">
        <f>_xll.QS.TRADE.CREATE("trade.3765",E3767,A3767,"Receive")</f>
        <v>QSObject:SwapTrade:w1~trade.3765:12692</v>
      </c>
      <c r="G3767" s="3">
        <f>_xll.QS.EVALUATE(C3767,F3767)</f>
        <v>28468.249816150594</v>
      </c>
      <c r="H3767" s="5" t="s">
        <v>3807</v>
      </c>
      <c r="I3767" s="7">
        <v>1376500</v>
      </c>
      <c r="J3767" s="8">
        <v>3.6499999999999998E-2</v>
      </c>
    </row>
    <row r="3768" spans="1:10" x14ac:dyDescent="0.25">
      <c r="A3768" s="5" t="s">
        <v>3801</v>
      </c>
      <c r="B3768" s="5" t="s">
        <v>5635</v>
      </c>
      <c r="C3768" s="6" t="str">
        <f>_xll.QS.CONTEXT.CREATE("market.3766",A3768,"USD","SOFR")</f>
        <v>QSObject:PricingContext:w1~market.3766:14315</v>
      </c>
      <c r="D3768" s="6" t="str">
        <f>_xll.QS.CONTEXT.ADD.CURVE(C3768,"SOFR",$K$2:$K$7,$L$2:$L$7,,,"Actual360","LogLinear",TRUE)</f>
        <v>QSObject:ContextInput:w1~input.qs_context_add_curve.2359132437744.3767.3.0:36790</v>
      </c>
      <c r="E3768" s="6" t="str">
        <f>_xll.QS.INSTRUMENT.SWAP("swap.3766",H3768,B3768,"USD","SOFR",I3768,J3768,0,"Actual360","Simple","Annual","Annual","Annual")</f>
        <v>QSObject:Swap:w1~swap.3766:6384</v>
      </c>
      <c r="F3768" s="6" t="str">
        <f>_xll.QS.TRADE.CREATE("trade.3766",E3768,A3768,"Receive")</f>
        <v>QSObject:SwapTrade:w1~trade.3766:7970</v>
      </c>
      <c r="G3768" s="3">
        <f>_xll.QS.EVALUATE(C3768,F3768)</f>
        <v>28992.637670033517</v>
      </c>
      <c r="H3768" s="5" t="s">
        <v>3808</v>
      </c>
      <c r="I3768" s="7">
        <v>1376600</v>
      </c>
      <c r="J3768" s="8">
        <v>3.6600000000000001E-2</v>
      </c>
    </row>
    <row r="3769" spans="1:10" x14ac:dyDescent="0.25">
      <c r="A3769" s="5" t="s">
        <v>3802</v>
      </c>
      <c r="B3769" s="5" t="s">
        <v>5636</v>
      </c>
      <c r="C3769" s="6" t="str">
        <f>_xll.QS.CONTEXT.CREATE("market.3767",A3769,"USD","SOFR")</f>
        <v>QSObject:PricingContext:w1~market.3767:11199</v>
      </c>
      <c r="D3769" s="6" t="str">
        <f>_xll.QS.CONTEXT.ADD.CURVE(C3769,"SOFR",$K$2:$K$7,$L$2:$L$7,,,"Actual360","LogLinear",TRUE)</f>
        <v>QSObject:ContextInput:w1~input.qs_context_add_curve.2359132437744.3768.3.0:36789</v>
      </c>
      <c r="E3769" s="6" t="str">
        <f>_xll.QS.INSTRUMENT.SWAP("swap.3767",H3769,B3769,"USD","SOFR",I3769,J3769,0,"Actual360","Simple","Annual","Annual","Annual")</f>
        <v>QSObject:Swap:w1~swap.3767:3253</v>
      </c>
      <c r="F3769" s="6" t="str">
        <f>_xll.QS.TRADE.CREATE("trade.3767",E3769,A3769,"Receive")</f>
        <v>QSObject:SwapTrade:w1~trade.3767:28077</v>
      </c>
      <c r="G3769" s="3">
        <f>_xll.QS.EVALUATE(C3769,F3769)</f>
        <v>29668.101944431604</v>
      </c>
      <c r="H3769" s="5" t="s">
        <v>3809</v>
      </c>
      <c r="I3769" s="7">
        <v>1376700</v>
      </c>
      <c r="J3769" s="8">
        <v>3.6700000000000003E-2</v>
      </c>
    </row>
    <row r="3770" spans="1:10" x14ac:dyDescent="0.25">
      <c r="A3770" s="5" t="s">
        <v>3803</v>
      </c>
      <c r="B3770" s="5" t="s">
        <v>5637</v>
      </c>
      <c r="C3770" s="6" t="str">
        <f>_xll.QS.CONTEXT.CREATE("market.3768",A3770,"USD","SOFR")</f>
        <v>QSObject:PricingContext:w1~market.3768:9569</v>
      </c>
      <c r="D3770" s="6" t="str">
        <f>_xll.QS.CONTEXT.ADD.CURVE(C3770,"SOFR",$K$2:$K$7,$L$2:$L$7,,,"Actual360","LogLinear",TRUE)</f>
        <v>QSObject:ContextInput:w1~input.qs_context_add_curve.2359132437744.3769.3.0:14314</v>
      </c>
      <c r="E3770" s="6" t="str">
        <f>_xll.QS.INSTRUMENT.SWAP("swap.3768",H3770,B3770,"USD","SOFR",I3770,J3770,0,"Actual360","Simple","Annual","Annual","Annual")</f>
        <v>QSObject:Swap:w1~swap.3768:12691</v>
      </c>
      <c r="F3770" s="6" t="str">
        <f>_xll.QS.TRADE.CREATE("trade.3768",E3770,A3770,"Receive")</f>
        <v>QSObject:SwapTrade:w1~trade.3768:28076</v>
      </c>
      <c r="G3770" s="3">
        <f>_xll.QS.EVALUATE(C3770,F3770)</f>
        <v>30458.390291261101</v>
      </c>
      <c r="H3770" s="5" t="s">
        <v>3810</v>
      </c>
      <c r="I3770" s="7">
        <v>1376800</v>
      </c>
      <c r="J3770" s="8">
        <v>3.6800000000000013E-2</v>
      </c>
    </row>
    <row r="3771" spans="1:10" x14ac:dyDescent="0.25">
      <c r="A3771" s="5" t="s">
        <v>3804</v>
      </c>
      <c r="B3771" s="5" t="s">
        <v>5638</v>
      </c>
      <c r="C3771" s="6" t="str">
        <f>_xll.QS.CONTEXT.CREATE("market.3769",A3771,"USD","SOFR")</f>
        <v>QSObject:PricingContext:w1~market.3769:4805</v>
      </c>
      <c r="D3771" s="6" t="str">
        <f>_xll.QS.CONTEXT.ADD.CURVE(C3771,"SOFR",$K$2:$K$7,$L$2:$L$7,,,"Actual360","LogLinear",TRUE)</f>
        <v>QSObject:ContextInput:w1~input.qs_context_add_curve.2359132437744.3770.3.0:11198</v>
      </c>
      <c r="E3771" s="6" t="str">
        <f>_xll.QS.INSTRUMENT.SWAP("swap.3769",H3771,B3771,"USD","SOFR",I3771,J3771,0,"Actual360","Simple","Annual","Annual","Annual")</f>
        <v>QSObject:Swap:w1~swap.3769:6383</v>
      </c>
      <c r="F3771" s="6" t="str">
        <f>_xll.QS.TRADE.CREATE("trade.3769",E3771,A3771,"Receive")</f>
        <v>QSObject:SwapTrade:w1~trade.3769:28075</v>
      </c>
      <c r="G3771" s="3">
        <f>_xll.QS.EVALUATE(C3771,F3771)</f>
        <v>31102.923555347923</v>
      </c>
      <c r="H3771" s="5" t="s">
        <v>3811</v>
      </c>
      <c r="I3771" s="7">
        <v>1376900</v>
      </c>
      <c r="J3771" s="8">
        <v>3.6900000000000002E-2</v>
      </c>
    </row>
    <row r="3772" spans="1:10" x14ac:dyDescent="0.25">
      <c r="A3772" s="5" t="s">
        <v>3805</v>
      </c>
      <c r="B3772" s="5" t="s">
        <v>5639</v>
      </c>
      <c r="C3772" s="6" t="str">
        <f>_xll.QS.CONTEXT.CREATE("market.3770",A3772,"USD","SOFR")</f>
        <v>QSObject:PricingContext:w1~market.3770:9568</v>
      </c>
      <c r="D3772" s="6" t="str">
        <f>_xll.QS.CONTEXT.ADD.CURVE(C3772,"SOFR",$K$2:$K$7,$L$2:$L$7,,,"Actual360","LogLinear",TRUE)</f>
        <v>QSObject:ContextInput:w1~input.qs_context_add_curve.2359132437744.3771.3.0:28074</v>
      </c>
      <c r="E3772" s="6" t="str">
        <f>_xll.QS.INSTRUMENT.SWAP("swap.3770",H3772,B3772,"USD","SOFR",I3772,J3772,0,"Actual360","Simple","Annual","Annual","Annual")</f>
        <v>QSObject:Swap:w1~swap.3770:14313</v>
      </c>
      <c r="F3772" s="6" t="str">
        <f>_xll.QS.TRADE.CREATE("trade.3770",E3772,A3772,"Receive")</f>
        <v>QSObject:SwapTrade:w1~trade.3770:28073</v>
      </c>
      <c r="G3772" s="3">
        <f>_xll.QS.EVALUATE(C3772,F3772)</f>
        <v>31687.143661884264</v>
      </c>
      <c r="H3772" s="5" t="s">
        <v>3812</v>
      </c>
      <c r="I3772" s="7">
        <v>1377000</v>
      </c>
      <c r="J3772" s="8">
        <v>3.7000000000000012E-2</v>
      </c>
    </row>
    <row r="3773" spans="1:10" x14ac:dyDescent="0.25">
      <c r="A3773" s="5" t="s">
        <v>3806</v>
      </c>
      <c r="B3773" s="5" t="s">
        <v>5640</v>
      </c>
      <c r="C3773" s="6" t="str">
        <f>_xll.QS.CONTEXT.CREATE("market.3771",A3773,"USD","SOFR")</f>
        <v>QSObject:PricingContext:w1~market.3771:4804</v>
      </c>
      <c r="D3773" s="6" t="str">
        <f>_xll.QS.CONTEXT.ADD.CURVE(C3773,"SOFR",$K$2:$K$7,$L$2:$L$7,,,"Actual360","LogLinear",TRUE)</f>
        <v>QSObject:ContextInput:w1~input.qs_context_add_curve.2359132437744.3772.3.0:7969</v>
      </c>
      <c r="E3773" s="6" t="str">
        <f>_xll.QS.INSTRUMENT.SWAP("swap.3771",H3773,B3773,"USD","SOFR",I3773,J3773,0,"Actual360","Simple","Annual","Annual","Annual")</f>
        <v>QSObject:Swap:w1~swap.3771:14312</v>
      </c>
      <c r="F3773" s="6" t="str">
        <f>_xll.QS.TRADE.CREATE("trade.3771",E3773,A3773,"Receive")</f>
        <v>QSObject:SwapTrade:w1~trade.3771:28072</v>
      </c>
      <c r="G3773" s="3">
        <f>_xll.QS.EVALUATE(C3773,F3773)</f>
        <v>32228.377497789996</v>
      </c>
      <c r="H3773" s="5" t="s">
        <v>3813</v>
      </c>
      <c r="I3773" s="7">
        <v>1377100</v>
      </c>
      <c r="J3773" s="8">
        <v>3.7100000000000001E-2</v>
      </c>
    </row>
    <row r="3774" spans="1:10" x14ac:dyDescent="0.25">
      <c r="A3774" s="5" t="s">
        <v>3807</v>
      </c>
      <c r="B3774" s="5" t="s">
        <v>5641</v>
      </c>
      <c r="C3774" s="6" t="str">
        <f>_xll.QS.CONTEXT.CREATE("market.3772",A3774,"USD","SOFR")</f>
        <v>QSObject:PricingContext:w1~market.3772:14311</v>
      </c>
      <c r="D3774" s="6" t="str">
        <f>_xll.QS.CONTEXT.ADD.CURVE(C3774,"SOFR",$K$2:$K$7,$L$2:$L$7,,,"Actual360","LogLinear",TRUE)</f>
        <v>QSObject:ContextInput:w1~input.qs_context_add_curve.2359132437744.3773.3.0:36788</v>
      </c>
      <c r="E3774" s="6" t="str">
        <f>_xll.QS.INSTRUMENT.SWAP("swap.3772",H3774,B3774,"USD","SOFR",I3774,J3774,0,"Actual360","Simple","Annual","Annual","Annual")</f>
        <v>QSObject:Swap:w1~swap.3772:14310</v>
      </c>
      <c r="F3774" s="6" t="str">
        <f>_xll.QS.TRADE.CREATE("trade.3772",E3774,A3774,"Receive")</f>
        <v>QSObject:SwapTrade:w1~trade.3772:28071</v>
      </c>
      <c r="G3774" s="3">
        <f>_xll.QS.EVALUATE(C3774,F3774)</f>
        <v>32759.709692039534</v>
      </c>
      <c r="H3774" s="5" t="s">
        <v>3814</v>
      </c>
      <c r="I3774" s="7">
        <v>1377200</v>
      </c>
      <c r="J3774" s="8">
        <v>3.7199999999999997E-2</v>
      </c>
    </row>
    <row r="3775" spans="1:10" x14ac:dyDescent="0.25">
      <c r="A3775" s="5" t="s">
        <v>3808</v>
      </c>
      <c r="B3775" s="5" t="s">
        <v>5642</v>
      </c>
      <c r="C3775" s="6" t="str">
        <f>_xll.QS.CONTEXT.CREATE("market.3773",A3775,"USD","SOFR")</f>
        <v>QSObject:PricingContext:w1~market.3773:14309</v>
      </c>
      <c r="D3775" s="6" t="str">
        <f>_xll.QS.CONTEXT.ADD.CURVE(C3775,"SOFR",$K$2:$K$7,$L$2:$L$7,,,"Actual360","LogLinear",TRUE)</f>
        <v>QSObject:ContextInput:w1~input.qs_context_add_curve.2359132437744.3774.3.0:36787</v>
      </c>
      <c r="E3775" s="6" t="str">
        <f>_xll.QS.INSTRUMENT.SWAP("swap.3773",H3775,B3775,"USD","SOFR",I3775,J3775,0,"Actual360","Simple","Annual","Annual","Annual")</f>
        <v>QSObject:Swap:w1~swap.3773:14308</v>
      </c>
      <c r="F3775" s="6" t="str">
        <f>_xll.QS.TRADE.CREATE("trade.3773",E3775,A3775,"Receive")</f>
        <v>QSObject:SwapTrade:w1~trade.3773:28070</v>
      </c>
      <c r="G3775" s="3">
        <f>_xll.QS.EVALUATE(C3775,F3775)</f>
        <v>33455.357321381882</v>
      </c>
      <c r="H3775" s="5" t="s">
        <v>3815</v>
      </c>
      <c r="I3775" s="7">
        <v>1377300</v>
      </c>
      <c r="J3775" s="8">
        <v>3.73E-2</v>
      </c>
    </row>
    <row r="3776" spans="1:10" x14ac:dyDescent="0.25">
      <c r="A3776" s="5" t="s">
        <v>3809</v>
      </c>
      <c r="B3776" s="5" t="s">
        <v>5643</v>
      </c>
      <c r="C3776" s="6" t="str">
        <f>_xll.QS.CONTEXT.CREATE("market.3774",A3776,"USD","SOFR")</f>
        <v>QSObject:PricingContext:w1~market.3774:14307</v>
      </c>
      <c r="D3776" s="6" t="str">
        <f>_xll.QS.CONTEXT.ADD.CURVE(C3776,"SOFR",$K$2:$K$7,$L$2:$L$7,,,"Actual360","LogLinear",TRUE)</f>
        <v>QSObject:ContextInput:w1~input.qs_context_add_curve.2359132437744.3775.3.0:36786</v>
      </c>
      <c r="E3776" s="6" t="str">
        <f>_xll.QS.INSTRUMENT.SWAP("swap.3774",H3776,B3776,"USD","SOFR",I3776,J3776,0,"Actual360","Simple","Annual","Annual","Annual")</f>
        <v>QSObject:Swap:w1~swap.3774:14306</v>
      </c>
      <c r="F3776" s="6" t="str">
        <f>_xll.QS.TRADE.CREATE("trade.3774",E3776,A3776,"Receive")</f>
        <v>QSObject:SwapTrade:w1~trade.3774:28069</v>
      </c>
      <c r="G3776" s="3">
        <f>_xll.QS.EVALUATE(C3776,F3776)</f>
        <v>34129.330042737689</v>
      </c>
      <c r="H3776" s="5" t="s">
        <v>3816</v>
      </c>
      <c r="I3776" s="7">
        <v>1377400</v>
      </c>
      <c r="J3776" s="8">
        <v>3.7400000000000003E-2</v>
      </c>
    </row>
    <row r="3777" spans="1:10" x14ac:dyDescent="0.25">
      <c r="A3777" s="5" t="s">
        <v>3810</v>
      </c>
      <c r="B3777" s="5" t="s">
        <v>5644</v>
      </c>
      <c r="C3777" s="6" t="str">
        <f>_xll.QS.CONTEXT.CREATE("market.3775",A3777,"USD","SOFR")</f>
        <v>QSObject:PricingContext:w1~market.3775:14305</v>
      </c>
      <c r="D3777" s="6" t="str">
        <f>_xll.QS.CONTEXT.ADD.CURVE(C3777,"SOFR",$K$2:$K$7,$L$2:$L$7,,,"Actual360","LogLinear",TRUE)</f>
        <v>QSObject:ContextInput:w1~input.qs_context_add_curve.2359132437744.3776.3.0:36785</v>
      </c>
      <c r="E3777" s="6" t="str">
        <f>_xll.QS.INSTRUMENT.SWAP("swap.3775",H3777,B3777,"USD","SOFR",I3777,J3777,0,"Actual360","Simple","Annual","Annual","Annual")</f>
        <v>QSObject:Swap:w1~swap.3775:14304</v>
      </c>
      <c r="F3777" s="6" t="str">
        <f>_xll.QS.TRADE.CREATE("trade.3775",E3777,A3777,"Receive")</f>
        <v>QSObject:SwapTrade:w1~trade.3775:28068</v>
      </c>
      <c r="G3777" s="3">
        <f>_xll.QS.EVALUATE(C3777,F3777)</f>
        <v>34867.646758433788</v>
      </c>
      <c r="H3777" s="5" t="s">
        <v>3817</v>
      </c>
      <c r="I3777" s="7">
        <v>1377500</v>
      </c>
      <c r="J3777" s="8">
        <v>3.7500000000000012E-2</v>
      </c>
    </row>
    <row r="3778" spans="1:10" x14ac:dyDescent="0.25">
      <c r="A3778" s="5" t="s">
        <v>3811</v>
      </c>
      <c r="B3778" s="5" t="s">
        <v>5645</v>
      </c>
      <c r="C3778" s="6" t="str">
        <f>_xll.QS.CONTEXT.CREATE("market.3776",A3778,"USD","SOFR")</f>
        <v>QSObject:PricingContext:w1~market.3776:14303</v>
      </c>
      <c r="D3778" s="6" t="str">
        <f>_xll.QS.CONTEXT.ADD.CURVE(C3778,"SOFR",$K$2:$K$7,$L$2:$L$7,,,"Actual360","LogLinear",TRUE)</f>
        <v>QSObject:ContextInput:w1~input.qs_context_add_curve.2359132437744.3777.3.0:36784</v>
      </c>
      <c r="E3778" s="6" t="str">
        <f>_xll.QS.INSTRUMENT.SWAP("swap.3776",H3778,B3778,"USD","SOFR",I3778,J3778,0,"Actual360","Simple","Annual","Annual","Annual")</f>
        <v>QSObject:Swap:w1~swap.3776:14302</v>
      </c>
      <c r="F3778" s="6" t="str">
        <f>_xll.QS.TRADE.CREATE("trade.3776",E3778,A3778,"Receive")</f>
        <v>QSObject:SwapTrade:w1~trade.3776:28067</v>
      </c>
      <c r="G3778" s="3">
        <f>_xll.QS.EVALUATE(C3778,F3778)</f>
        <v>35565.641533594753</v>
      </c>
      <c r="H3778" s="5" t="s">
        <v>3818</v>
      </c>
      <c r="I3778" s="7">
        <v>1377600</v>
      </c>
      <c r="J3778" s="8">
        <v>3.7600000000000001E-2</v>
      </c>
    </row>
    <row r="3779" spans="1:10" x14ac:dyDescent="0.25">
      <c r="A3779" s="5" t="s">
        <v>3812</v>
      </c>
      <c r="B3779" s="5" t="s">
        <v>5646</v>
      </c>
      <c r="C3779" s="6" t="str">
        <f>_xll.QS.CONTEXT.CREATE("market.3777",A3779,"USD","SOFR")</f>
        <v>QSObject:PricingContext:w1~market.3777:14301</v>
      </c>
      <c r="D3779" s="6" t="str">
        <f>_xll.QS.CONTEXT.ADD.CURVE(C3779,"SOFR",$K$2:$K$7,$L$2:$L$7,,,"Actual360","LogLinear",TRUE)</f>
        <v>QSObject:ContextInput:w1~input.qs_context_add_curve.2359132437744.3778.3.0:36783</v>
      </c>
      <c r="E3779" s="6" t="str">
        <f>_xll.QS.INSTRUMENT.SWAP("swap.3777",H3779,B3779,"USD","SOFR",I3779,J3779,0,"Actual360","Simple","Annual","Annual","Annual")</f>
        <v>QSObject:Swap:w1~swap.3777:14300</v>
      </c>
      <c r="F3779" s="6" t="str">
        <f>_xll.QS.TRADE.CREATE("trade.3777",E3779,A3779,"Receive")</f>
        <v>QSObject:SwapTrade:w1~trade.3777:28066</v>
      </c>
      <c r="G3779" s="3">
        <f>_xll.QS.EVALUATE(C3779,F3779)</f>
        <v>36150.432224161967</v>
      </c>
      <c r="H3779" s="5" t="s">
        <v>3819</v>
      </c>
      <c r="I3779" s="7">
        <v>1377700</v>
      </c>
      <c r="J3779" s="8">
        <v>3.7699999999999997E-2</v>
      </c>
    </row>
    <row r="3780" spans="1:10" x14ac:dyDescent="0.25">
      <c r="A3780" s="5" t="s">
        <v>3813</v>
      </c>
      <c r="B3780" s="5" t="s">
        <v>5647</v>
      </c>
      <c r="C3780" s="6" t="str">
        <f>_xll.QS.CONTEXT.CREATE("market.3778",A3780,"USD","SOFR")</f>
        <v>QSObject:PricingContext:w1~market.3778:14299</v>
      </c>
      <c r="D3780" s="6" t="str">
        <f>_xll.QS.CONTEXT.ADD.CURVE(C3780,"SOFR",$K$2:$K$7,$L$2:$L$7,,,"Actual360","LogLinear",TRUE)</f>
        <v>QSObject:ContextInput:w1~input.qs_context_add_curve.2359132437744.3779.3.0:36782</v>
      </c>
      <c r="E3780" s="6" t="str">
        <f>_xll.QS.INSTRUMENT.SWAP("swap.3778",H3780,B3780,"USD","SOFR",I3780,J3780,0,"Actual360","Simple","Annual","Annual","Annual")</f>
        <v>QSObject:Swap:w1~swap.3778:14298</v>
      </c>
      <c r="F3780" s="6" t="str">
        <f>_xll.QS.TRADE.CREATE("trade.3778",E3780,A3780,"Receive")</f>
        <v>QSObject:SwapTrade:w1~trade.3778:28065</v>
      </c>
      <c r="G3780" s="3">
        <f>_xll.QS.EVALUATE(C3780,F3780)</f>
        <v>36687.025395132434</v>
      </c>
      <c r="H3780" s="5" t="s">
        <v>3820</v>
      </c>
      <c r="I3780" s="7">
        <v>1377800</v>
      </c>
      <c r="J3780" s="8">
        <v>3.78E-2</v>
      </c>
    </row>
    <row r="3781" spans="1:10" x14ac:dyDescent="0.25">
      <c r="A3781" s="5" t="s">
        <v>3814</v>
      </c>
      <c r="B3781" s="5" t="s">
        <v>5648</v>
      </c>
      <c r="C3781" s="6" t="str">
        <f>_xll.QS.CONTEXT.CREATE("market.3779",A3781,"USD","SOFR")</f>
        <v>QSObject:PricingContext:w1~market.3779:14297</v>
      </c>
      <c r="D3781" s="6" t="str">
        <f>_xll.QS.CONTEXT.ADD.CURVE(C3781,"SOFR",$K$2:$K$7,$L$2:$L$7,,,"Actual360","LogLinear",TRUE)</f>
        <v>QSObject:ContextInput:w1~input.qs_context_add_curve.2359132437744.3780.3.0:36781</v>
      </c>
      <c r="E3781" s="6" t="str">
        <f>_xll.QS.INSTRUMENT.SWAP("swap.3779",H3781,B3781,"USD","SOFR",I3781,J3781,0,"Actual360","Simple","Annual","Annual","Annual")</f>
        <v>QSObject:Swap:w1~swap.3779:14296</v>
      </c>
      <c r="F3781" s="6" t="str">
        <f>_xll.QS.TRADE.CREATE("trade.3779",E3781,A3781,"Receive")</f>
        <v>QSObject:SwapTrade:w1~trade.3779:28064</v>
      </c>
      <c r="G3781" s="3">
        <f>_xll.QS.EVALUATE(C3781,F3781)</f>
        <v>37225.844472277837</v>
      </c>
      <c r="H3781" s="5" t="s">
        <v>3821</v>
      </c>
      <c r="I3781" s="7">
        <v>1377900</v>
      </c>
      <c r="J3781" s="8">
        <v>3.7900000000000003E-2</v>
      </c>
    </row>
    <row r="3782" spans="1:10" x14ac:dyDescent="0.25">
      <c r="A3782" s="5" t="s">
        <v>3815</v>
      </c>
      <c r="B3782" s="5" t="s">
        <v>5649</v>
      </c>
      <c r="C3782" s="6" t="str">
        <f>_xll.QS.CONTEXT.CREATE("market.3780",A3782,"USD","SOFR")</f>
        <v>QSObject:PricingContext:w1~market.3780:14295</v>
      </c>
      <c r="D3782" s="6" t="str">
        <f>_xll.QS.CONTEXT.ADD.CURVE(C3782,"SOFR",$K$2:$K$7,$L$2:$L$7,,,"Actual360","LogLinear",TRUE)</f>
        <v>QSObject:ContextInput:w1~input.qs_context_add_curve.2359132437744.3781.3.0:36780</v>
      </c>
      <c r="E3782" s="6" t="str">
        <f>_xll.QS.INSTRUMENT.SWAP("swap.3780",H3782,B3782,"USD","SOFR",I3782,J3782,0,"Actual360","Simple","Annual","Annual","Annual")</f>
        <v>QSObject:Swap:w1~swap.3780:14294</v>
      </c>
      <c r="F3782" s="6" t="str">
        <f>_xll.QS.TRADE.CREATE("trade.3780",E3782,A3782,"Receive")</f>
        <v>QSObject:SwapTrade:w1~trade.3780:28063</v>
      </c>
      <c r="G3782" s="3">
        <f>_xll.QS.EVALUATE(C3782,F3782)</f>
        <v>37922.598259077196</v>
      </c>
      <c r="H3782" s="5" t="s">
        <v>3822</v>
      </c>
      <c r="I3782" s="7">
        <v>1378000</v>
      </c>
      <c r="J3782" s="8">
        <v>3.8000000000000013E-2</v>
      </c>
    </row>
    <row r="3783" spans="1:10" x14ac:dyDescent="0.25">
      <c r="A3783" s="5" t="s">
        <v>3816</v>
      </c>
      <c r="B3783" s="5" t="s">
        <v>5650</v>
      </c>
      <c r="C3783" s="6" t="str">
        <f>_xll.QS.CONTEXT.CREATE("market.3781",A3783,"USD","SOFR")</f>
        <v>QSObject:PricingContext:w1~market.3781:14293</v>
      </c>
      <c r="D3783" s="6" t="str">
        <f>_xll.QS.CONTEXT.ADD.CURVE(C3783,"SOFR",$K$2:$K$7,$L$2:$L$7,,,"Actual360","LogLinear",TRUE)</f>
        <v>QSObject:ContextInput:w1~input.qs_context_add_curve.2359132437744.3782.3.0:36779</v>
      </c>
      <c r="E3783" s="6" t="str">
        <f>_xll.QS.INSTRUMENT.SWAP("swap.3781",H3783,B3783,"USD","SOFR",I3783,J3783,0,"Actual360","Simple","Annual","Annual","Annual")</f>
        <v>QSObject:Swap:w1~swap.3781:14292</v>
      </c>
      <c r="F3783" s="6" t="str">
        <f>_xll.QS.TRADE.CREATE("trade.3781",E3783,A3783,"Receive")</f>
        <v>QSObject:SwapTrade:w1~trade.3781:28062</v>
      </c>
      <c r="G3783" s="3">
        <f>_xll.QS.EVALUATE(C3783,F3783)</f>
        <v>38595.07723512192</v>
      </c>
      <c r="H3783" s="5" t="s">
        <v>3823</v>
      </c>
      <c r="I3783" s="7">
        <v>1378100</v>
      </c>
      <c r="J3783" s="8">
        <v>3.8100000000000002E-2</v>
      </c>
    </row>
    <row r="3784" spans="1:10" x14ac:dyDescent="0.25">
      <c r="A3784" s="5" t="s">
        <v>3817</v>
      </c>
      <c r="B3784" s="5" t="s">
        <v>5651</v>
      </c>
      <c r="C3784" s="6" t="str">
        <f>_xll.QS.CONTEXT.CREATE("market.3782",A3784,"USD","SOFR")</f>
        <v>QSObject:PricingContext:w1~market.3782:14291</v>
      </c>
      <c r="D3784" s="6" t="str">
        <f>_xll.QS.CONTEXT.ADD.CURVE(C3784,"SOFR",$K$2:$K$7,$L$2:$L$7,,,"Actual360","LogLinear",TRUE)</f>
        <v>QSObject:ContextInput:w1~input.qs_context_add_curve.2359132437744.3783.3.0:36778</v>
      </c>
      <c r="E3784" s="6" t="str">
        <f>_xll.QS.INSTRUMENT.SWAP("swap.3782",H3784,B3784,"USD","SOFR",I3784,J3784,0,"Actual360","Simple","Annual","Annual","Annual")</f>
        <v>QSObject:Swap:w1~swap.3782:14290</v>
      </c>
      <c r="F3784" s="6" t="str">
        <f>_xll.QS.TRADE.CREATE("trade.3782",E3784,A3784,"Receive")</f>
        <v>QSObject:SwapTrade:w1~trade.3782:28061</v>
      </c>
      <c r="G3784" s="3">
        <f>_xll.QS.EVALUATE(C3784,F3784)</f>
        <v>39334.156682776884</v>
      </c>
      <c r="H3784" s="5" t="s">
        <v>3824</v>
      </c>
      <c r="I3784" s="7">
        <v>1378200</v>
      </c>
      <c r="J3784" s="8">
        <v>3.8199999999999998E-2</v>
      </c>
    </row>
    <row r="3785" spans="1:10" x14ac:dyDescent="0.25">
      <c r="A3785" s="5" t="s">
        <v>3818</v>
      </c>
      <c r="B3785" s="5" t="s">
        <v>5652</v>
      </c>
      <c r="C3785" s="6" t="str">
        <f>_xll.QS.CONTEXT.CREATE("market.3783",A3785,"USD","SOFR")</f>
        <v>QSObject:PricingContext:w1~market.3783:14289</v>
      </c>
      <c r="D3785" s="6" t="str">
        <f>_xll.QS.CONTEXT.ADD.CURVE(C3785,"SOFR",$K$2:$K$7,$L$2:$L$7,,,"Actual360","LogLinear",TRUE)</f>
        <v>QSObject:ContextInput:w1~input.qs_context_add_curve.2359132437744.3784.3.0:36777</v>
      </c>
      <c r="E3785" s="6" t="str">
        <f>_xll.QS.INSTRUMENT.SWAP("swap.3783",H3785,B3785,"USD","SOFR",I3785,J3785,0,"Actual360","Simple","Annual","Annual","Annual")</f>
        <v>QSObject:Swap:w1~swap.3783:14288</v>
      </c>
      <c r="F3785" s="6" t="str">
        <f>_xll.QS.TRADE.CREATE("trade.3783",E3785,A3785,"Receive")</f>
        <v>QSObject:SwapTrade:w1~trade.3783:28060</v>
      </c>
      <c r="G3785" s="3">
        <f>_xll.QS.EVALUATE(C3785,F3785)</f>
        <v>40032.878724862363</v>
      </c>
      <c r="H3785" s="5" t="s">
        <v>3825</v>
      </c>
      <c r="I3785" s="7">
        <v>1378300</v>
      </c>
      <c r="J3785" s="8">
        <v>3.8300000000000001E-2</v>
      </c>
    </row>
    <row r="3786" spans="1:10" x14ac:dyDescent="0.25">
      <c r="A3786" s="5" t="s">
        <v>3819</v>
      </c>
      <c r="B3786" s="5" t="s">
        <v>5653</v>
      </c>
      <c r="C3786" s="6" t="str">
        <f>_xll.QS.CONTEXT.CREATE("market.3784",A3786,"USD","SOFR")</f>
        <v>QSObject:PricingContext:w1~market.3784:14287</v>
      </c>
      <c r="D3786" s="6" t="str">
        <f>_xll.QS.CONTEXT.ADD.CURVE(C3786,"SOFR",$K$2:$K$7,$L$2:$L$7,,,"Actual360","LogLinear",TRUE)</f>
        <v>QSObject:ContextInput:w1~input.qs_context_add_curve.2359132437744.3785.3.0:36776</v>
      </c>
      <c r="E3786" s="6" t="str">
        <f>_xll.QS.INSTRUMENT.SWAP("swap.3784",H3786,B3786,"USD","SOFR",I3786,J3786,0,"Actual360","Simple","Annual","Annual","Annual")</f>
        <v>QSObject:Swap:w1~swap.3784:14286</v>
      </c>
      <c r="F3786" s="6" t="str">
        <f>_xll.QS.TRADE.CREATE("trade.3784",E3786,A3786,"Receive")</f>
        <v>QSObject:SwapTrade:w1~trade.3784:28059</v>
      </c>
      <c r="G3786" s="3">
        <f>_xll.QS.EVALUATE(C3786,F3786)</f>
        <v>40618.239950624651</v>
      </c>
      <c r="H3786" s="5" t="s">
        <v>3826</v>
      </c>
      <c r="I3786" s="7">
        <v>1378400</v>
      </c>
      <c r="J3786" s="8">
        <v>3.8399999999999997E-2</v>
      </c>
    </row>
    <row r="3787" spans="1:10" x14ac:dyDescent="0.25">
      <c r="A3787" s="5" t="s">
        <v>3820</v>
      </c>
      <c r="B3787" s="5" t="s">
        <v>5654</v>
      </c>
      <c r="C3787" s="6" t="str">
        <f>_xll.QS.CONTEXT.CREATE("market.3785",A3787,"USD","SOFR")</f>
        <v>QSObject:PricingContext:w1~market.3785:14285</v>
      </c>
      <c r="D3787" s="6" t="str">
        <f>_xll.QS.CONTEXT.ADD.CURVE(C3787,"SOFR",$K$2:$K$7,$L$2:$L$7,,,"Actual360","LogLinear",TRUE)</f>
        <v>QSObject:ContextInput:w1~input.qs_context_add_curve.2359132437744.3786.3.0:36775</v>
      </c>
      <c r="E3787" s="6" t="str">
        <f>_xll.QS.INSTRUMENT.SWAP("swap.3785",H3787,B3787,"USD","SOFR",I3787,J3787,0,"Actual360","Simple","Annual","Annual","Annual")</f>
        <v>QSObject:Swap:w1~swap.3785:14284</v>
      </c>
      <c r="F3787" s="6" t="str">
        <f>_xll.QS.TRADE.CREATE("trade.3785",E3787,A3787,"Receive")</f>
        <v>QSObject:SwapTrade:w1~trade.3785:28058</v>
      </c>
      <c r="G3787" s="3">
        <f>_xll.QS.EVALUATE(C3787,F3787)</f>
        <v>41150.187134861793</v>
      </c>
      <c r="H3787" s="5" t="s">
        <v>3827</v>
      </c>
      <c r="I3787" s="7">
        <v>1378500</v>
      </c>
      <c r="J3787" s="8">
        <v>3.8500000000000013E-2</v>
      </c>
    </row>
    <row r="3788" spans="1:10" x14ac:dyDescent="0.25">
      <c r="A3788" s="5" t="s">
        <v>3821</v>
      </c>
      <c r="B3788" s="5" t="s">
        <v>5655</v>
      </c>
      <c r="C3788" s="6" t="str">
        <f>_xll.QS.CONTEXT.CREATE("market.3786",A3788,"USD","SOFR")</f>
        <v>QSObject:PricingContext:w1~market.3786:14283</v>
      </c>
      <c r="D3788" s="6" t="str">
        <f>_xll.QS.CONTEXT.ADD.CURVE(C3788,"SOFR",$K$2:$K$7,$L$2:$L$7,,,"Actual360","LogLinear",TRUE)</f>
        <v>QSObject:ContextInput:w1~input.qs_context_add_curve.2359132437744.3787.3.0:36774</v>
      </c>
      <c r="E3788" s="6" t="str">
        <f>_xll.QS.INSTRUMENT.SWAP("swap.3786",H3788,B3788,"USD","SOFR",I3788,J3788,0,"Actual360","Simple","Annual","Annual","Annual")</f>
        <v>QSObject:Swap:w1~swap.3786:14282</v>
      </c>
      <c r="F3788" s="6" t="str">
        <f>_xll.QS.TRADE.CREATE("trade.3786",E3788,A3788,"Receive")</f>
        <v>QSObject:SwapTrade:w1~trade.3786:28057</v>
      </c>
      <c r="G3788" s="3">
        <f>_xll.QS.EVALUATE(C3788,F3788)</f>
        <v>41696.500101091682</v>
      </c>
      <c r="H3788" s="5" t="s">
        <v>3828</v>
      </c>
      <c r="I3788" s="7">
        <v>1378600</v>
      </c>
      <c r="J3788" s="8">
        <v>3.8600000000000002E-2</v>
      </c>
    </row>
    <row r="3789" spans="1:10" x14ac:dyDescent="0.25">
      <c r="A3789" s="5" t="s">
        <v>3822</v>
      </c>
      <c r="B3789" s="5" t="s">
        <v>5656</v>
      </c>
      <c r="C3789" s="6" t="str">
        <f>_xll.QS.CONTEXT.CREATE("market.3787",A3789,"USD","SOFR")</f>
        <v>QSObject:PricingContext:w1~market.3787:14281</v>
      </c>
      <c r="D3789" s="6" t="str">
        <f>_xll.QS.CONTEXT.ADD.CURVE(C3789,"SOFR",$K$2:$K$7,$L$2:$L$7,,,"Actual360","LogLinear",TRUE)</f>
        <v>QSObject:ContextInput:w1~input.qs_context_add_curve.2359132437744.3788.3.0:36773</v>
      </c>
      <c r="E3789" s="6" t="str">
        <f>_xll.QS.INSTRUMENT.SWAP("swap.3787",H3789,B3789,"USD","SOFR",I3789,J3789,0,"Actual360","Simple","Annual","Annual","Annual")</f>
        <v>QSObject:Swap:w1~swap.3787:14280</v>
      </c>
      <c r="F3789" s="6" t="str">
        <f>_xll.QS.TRADE.CREATE("trade.3787",E3789,A3789,"Receive")</f>
        <v>QSObject:SwapTrade:w1~trade.3787:28056</v>
      </c>
      <c r="G3789" s="3">
        <f>_xll.QS.EVALUATE(C3789,F3789)</f>
        <v>42394.36048311925</v>
      </c>
      <c r="H3789" s="5" t="s">
        <v>3829</v>
      </c>
      <c r="I3789" s="7">
        <v>1378700</v>
      </c>
      <c r="J3789" s="8">
        <v>3.8700000000000012E-2</v>
      </c>
    </row>
    <row r="3790" spans="1:10" x14ac:dyDescent="0.25">
      <c r="A3790" s="5" t="s">
        <v>3823</v>
      </c>
      <c r="B3790" s="5" t="s">
        <v>5657</v>
      </c>
      <c r="C3790" s="6" t="str">
        <f>_xll.QS.CONTEXT.CREATE("market.3788",A3790,"USD","SOFR")</f>
        <v>QSObject:PricingContext:w1~market.3788:14279</v>
      </c>
      <c r="D3790" s="6" t="str">
        <f>_xll.QS.CONTEXT.ADD.CURVE(C3790,"SOFR",$K$2:$K$7,$L$2:$L$7,,,"Actual360","LogLinear",TRUE)</f>
        <v>QSObject:ContextInput:w1~input.qs_context_add_curve.2359132437744.3789.3.0:36772</v>
      </c>
      <c r="E3790" s="6" t="str">
        <f>_xll.QS.INSTRUMENT.SWAP("swap.3788",H3790,B3790,"USD","SOFR",I3790,J3790,0,"Actual360","Simple","Annual","Annual","Annual")</f>
        <v>QSObject:Swap:w1~swap.3788:14278</v>
      </c>
      <c r="F3790" s="6" t="str">
        <f>_xll.QS.TRADE.CREATE("trade.3788",E3790,A3790,"Receive")</f>
        <v>QSObject:SwapTrade:w1~trade.3788:28055</v>
      </c>
      <c r="G3790" s="3">
        <f>_xll.QS.EVALUATE(C3790,F3790)</f>
        <v>43065.343521584444</v>
      </c>
      <c r="H3790" s="5" t="s">
        <v>3830</v>
      </c>
      <c r="I3790" s="7">
        <v>1378800</v>
      </c>
      <c r="J3790" s="8">
        <v>3.8800000000000001E-2</v>
      </c>
    </row>
    <row r="3791" spans="1:10" x14ac:dyDescent="0.25">
      <c r="A3791" s="5" t="s">
        <v>3824</v>
      </c>
      <c r="B3791" s="5" t="s">
        <v>5658</v>
      </c>
      <c r="C3791" s="6" t="str">
        <f>_xll.QS.CONTEXT.CREATE("market.3789",A3791,"USD","SOFR")</f>
        <v>QSObject:PricingContext:w1~market.3789:14277</v>
      </c>
      <c r="D3791" s="6" t="str">
        <f>_xll.QS.CONTEXT.ADD.CURVE(C3791,"SOFR",$K$2:$K$7,$L$2:$L$7,,,"Actual360","LogLinear",TRUE)</f>
        <v>QSObject:ContextInput:w1~input.qs_context_add_curve.2359132437744.3790.3.0:36771</v>
      </c>
      <c r="E3791" s="6" t="str">
        <f>_xll.QS.INSTRUMENT.SWAP("swap.3789",H3791,B3791,"USD","SOFR",I3791,J3791,0,"Actual360","Simple","Annual","Annual","Annual")</f>
        <v>QSObject:Swap:w1~swap.3789:14276</v>
      </c>
      <c r="F3791" s="6" t="str">
        <f>_xll.QS.TRADE.CREATE("trade.3789",E3791,A3791,"Receive")</f>
        <v>QSObject:SwapTrade:w1~trade.3789:28054</v>
      </c>
      <c r="G3791" s="3">
        <f>_xll.QS.EVALUATE(C3791,F3791)</f>
        <v>43805.070778362773</v>
      </c>
      <c r="H3791" s="5" t="s">
        <v>3831</v>
      </c>
      <c r="I3791" s="7">
        <v>1378900</v>
      </c>
      <c r="J3791" s="8">
        <v>3.8899999999999997E-2</v>
      </c>
    </row>
    <row r="3792" spans="1:10" x14ac:dyDescent="0.25">
      <c r="A3792" s="5" t="s">
        <v>3825</v>
      </c>
      <c r="B3792" s="5" t="s">
        <v>5659</v>
      </c>
      <c r="C3792" s="6" t="str">
        <f>_xll.QS.CONTEXT.CREATE("market.3790",A3792,"USD","SOFR")</f>
        <v>QSObject:PricingContext:w1~market.3790:14275</v>
      </c>
      <c r="D3792" s="6" t="str">
        <f>_xll.QS.CONTEXT.ADD.CURVE(C3792,"SOFR",$K$2:$K$7,$L$2:$L$7,,,"Actual360","LogLinear",TRUE)</f>
        <v>QSObject:ContextInput:w1~input.qs_context_add_curve.2359132437744.3791.3.0:36770</v>
      </c>
      <c r="E3792" s="6" t="str">
        <f>_xll.QS.INSTRUMENT.SWAP("swap.3790",H3792,B3792,"USD","SOFR",I3792,J3792,0,"Actual360","Simple","Annual","Annual","Annual")</f>
        <v>QSObject:Swap:w1~swap.3790:14274</v>
      </c>
      <c r="F3792" s="6" t="str">
        <f>_xll.QS.TRADE.CREATE("trade.3790",E3792,A3792,"Receive")</f>
        <v>QSObject:SwapTrade:w1~trade.3790:28053</v>
      </c>
      <c r="G3792" s="3">
        <f>_xll.QS.EVALUATE(C3792,F3792)</f>
        <v>44504.459435195327</v>
      </c>
      <c r="H3792" s="5" t="s">
        <v>3832</v>
      </c>
      <c r="I3792" s="7">
        <v>1379000</v>
      </c>
      <c r="J3792" s="8">
        <v>3.9000000000000007E-2</v>
      </c>
    </row>
    <row r="3793" spans="1:10" x14ac:dyDescent="0.25">
      <c r="A3793" s="5" t="s">
        <v>3826</v>
      </c>
      <c r="B3793" s="5" t="s">
        <v>5660</v>
      </c>
      <c r="C3793" s="6" t="str">
        <f>_xll.QS.CONTEXT.CREATE("market.3791",A3793,"USD","SOFR")</f>
        <v>QSObject:PricingContext:w1~market.3791:14273</v>
      </c>
      <c r="D3793" s="6" t="str">
        <f>_xll.QS.CONTEXT.ADD.CURVE(C3793,"SOFR",$K$2:$K$7,$L$2:$L$7,,,"Actual360","LogLinear",TRUE)</f>
        <v>QSObject:ContextInput:w1~input.qs_context_add_curve.2359132437744.3792.3.0:36769</v>
      </c>
      <c r="E3793" s="6" t="str">
        <f>_xll.QS.INSTRUMENT.SWAP("swap.3791",H3793,B3793,"USD","SOFR",I3793,J3793,0,"Actual360","Simple","Annual","Annual","Annual")</f>
        <v>QSObject:Swap:w1~swap.3791:14272</v>
      </c>
      <c r="F3793" s="6" t="str">
        <f>_xll.QS.TRADE.CREATE("trade.3791",E3793,A3793,"Receive")</f>
        <v>QSObject:SwapTrade:w1~trade.3791:28052</v>
      </c>
      <c r="G3793" s="3">
        <f>_xll.QS.EVALUATE(C3793,F3793)</f>
        <v>45090.035079953108</v>
      </c>
      <c r="H3793" s="5" t="s">
        <v>3833</v>
      </c>
      <c r="I3793" s="7">
        <v>1379100</v>
      </c>
      <c r="J3793" s="8">
        <v>3.9100000000000003E-2</v>
      </c>
    </row>
    <row r="3794" spans="1:10" x14ac:dyDescent="0.25">
      <c r="A3794" s="5" t="s">
        <v>3827</v>
      </c>
      <c r="B3794" s="5" t="s">
        <v>5661</v>
      </c>
      <c r="C3794" s="6" t="str">
        <f>_xll.QS.CONTEXT.CREATE("market.3792",A3794,"USD","SOFR")</f>
        <v>QSObject:PricingContext:w1~market.3792:14271</v>
      </c>
      <c r="D3794" s="6" t="str">
        <f>_xll.QS.CONTEXT.ADD.CURVE(C3794,"SOFR",$K$2:$K$7,$L$2:$L$7,,,"Actual360","LogLinear",TRUE)</f>
        <v>QSObject:ContextInput:w1~input.qs_context_add_curve.2359132437744.3793.3.0:36768</v>
      </c>
      <c r="E3794" s="6" t="str">
        <f>_xll.QS.INSTRUMENT.SWAP("swap.3792",H3794,B3794,"USD","SOFR",I3794,J3794,0,"Actual360","Simple","Annual","Annual","Annual")</f>
        <v>QSObject:Swap:w1~swap.3792:14270</v>
      </c>
      <c r="F3794" s="6" t="str">
        <f>_xll.QS.TRADE.CREATE("trade.3792",E3794,A3794,"Receive")</f>
        <v>QSObject:SwapTrade:w1~trade.3792:28051</v>
      </c>
      <c r="G3794" s="3">
        <f>_xll.QS.EVALUATE(C3794,F3794)</f>
        <v>45588.779533322595</v>
      </c>
      <c r="H3794" s="5" t="s">
        <v>3834</v>
      </c>
      <c r="I3794" s="7">
        <v>1379200</v>
      </c>
      <c r="J3794" s="8">
        <v>3.9200000000000013E-2</v>
      </c>
    </row>
    <row r="3795" spans="1:10" x14ac:dyDescent="0.25">
      <c r="A3795" s="5" t="s">
        <v>3828</v>
      </c>
      <c r="B3795" s="5" t="s">
        <v>5662</v>
      </c>
      <c r="C3795" s="6" t="str">
        <f>_xll.QS.CONTEXT.CREATE("market.3793",A3795,"USD","SOFR")</f>
        <v>QSObject:PricingContext:w1~market.3793:14269</v>
      </c>
      <c r="D3795" s="6" t="str">
        <f>_xll.QS.CONTEXT.ADD.CURVE(C3795,"SOFR",$K$2:$K$7,$L$2:$L$7,,,"Actual360","LogLinear",TRUE)</f>
        <v>QSObject:ContextInput:w1~input.qs_context_add_curve.2359132437744.3794.3.0:36767</v>
      </c>
      <c r="E3795" s="6" t="str">
        <f>_xll.QS.INSTRUMENT.SWAP("swap.3793",H3795,B3795,"USD","SOFR",I3795,J3795,0,"Actual360","Simple","Annual","Annual","Annual")</f>
        <v>QSObject:Swap:w1~swap.3793:14268</v>
      </c>
      <c r="F3795" s="6" t="str">
        <f>_xll.QS.TRADE.CREATE("trade.3793",E3795,A3795,"Receive")</f>
        <v>QSObject:SwapTrade:w1~trade.3793:28050</v>
      </c>
      <c r="G3795" s="3">
        <f>_xll.QS.EVALUATE(C3795,F3795)</f>
        <v>46112.756846718214</v>
      </c>
      <c r="H3795" s="5" t="s">
        <v>3835</v>
      </c>
      <c r="I3795" s="7">
        <v>1379300</v>
      </c>
      <c r="J3795" s="8">
        <v>3.9300000000000002E-2</v>
      </c>
    </row>
    <row r="3796" spans="1:10" x14ac:dyDescent="0.25">
      <c r="A3796" s="5" t="s">
        <v>3829</v>
      </c>
      <c r="B3796" s="5" t="s">
        <v>5663</v>
      </c>
      <c r="C3796" s="6" t="str">
        <f>_xll.QS.CONTEXT.CREATE("market.3794",A3796,"USD","SOFR")</f>
        <v>QSObject:PricingContext:w1~market.3794:14267</v>
      </c>
      <c r="D3796" s="6" t="str">
        <f>_xll.QS.CONTEXT.ADD.CURVE(C3796,"SOFR",$K$2:$K$7,$L$2:$L$7,,,"Actual360","LogLinear",TRUE)</f>
        <v>QSObject:ContextInput:w1~input.qs_context_add_curve.2359132437744.3795.3.0:36766</v>
      </c>
      <c r="E3796" s="6" t="str">
        <f>_xll.QS.INSTRUMENT.SWAP("swap.3794",H3796,B3796,"USD","SOFR",I3796,J3796,0,"Actual360","Simple","Annual","Annual","Annual")</f>
        <v>QSObject:Swap:w1~swap.3794:14266</v>
      </c>
      <c r="F3796" s="6" t="str">
        <f>_xll.QS.TRADE.CREATE("trade.3794",E3796,A3796,"Receive")</f>
        <v>QSObject:SwapTrade:w1~trade.3794:28049</v>
      </c>
      <c r="G3796" s="3">
        <f>_xll.QS.EVALUATE(C3796,F3796)</f>
        <v>46812.388855295379</v>
      </c>
      <c r="H3796" s="5" t="s">
        <v>3836</v>
      </c>
      <c r="I3796" s="7">
        <v>1379400</v>
      </c>
      <c r="J3796" s="8">
        <v>3.9399999999999998E-2</v>
      </c>
    </row>
    <row r="3797" spans="1:10" x14ac:dyDescent="0.25">
      <c r="A3797" s="5" t="s">
        <v>3830</v>
      </c>
      <c r="B3797" s="5" t="s">
        <v>5664</v>
      </c>
      <c r="C3797" s="6" t="str">
        <f>_xll.QS.CONTEXT.CREATE("market.3795",A3797,"USD","SOFR")</f>
        <v>QSObject:PricingContext:w1~market.3795:14265</v>
      </c>
      <c r="D3797" s="6" t="str">
        <f>_xll.QS.CONTEXT.ADD.CURVE(C3797,"SOFR",$K$2:$K$7,$L$2:$L$7,,,"Actual360","LogLinear",TRUE)</f>
        <v>QSObject:ContextInput:w1~input.qs_context_add_curve.2359132437744.3796.3.0:36765</v>
      </c>
      <c r="E3797" s="6" t="str">
        <f>_xll.QS.INSTRUMENT.SWAP("swap.3795",H3797,B3797,"USD","SOFR",I3797,J3797,0,"Actual360","Simple","Annual","Annual","Annual")</f>
        <v>QSObject:Swap:w1~swap.3795:14264</v>
      </c>
      <c r="F3797" s="6" t="str">
        <f>_xll.QS.TRADE.CREATE("trade.3795",E3797,A3797,"Receive")</f>
        <v>QSObject:SwapTrade:w1~trade.3795:28048</v>
      </c>
      <c r="G3797" s="3">
        <f>_xll.QS.EVALUATE(C3797,F3797)</f>
        <v>47511.917725936095</v>
      </c>
      <c r="H3797" s="5" t="s">
        <v>3837</v>
      </c>
      <c r="I3797" s="7">
        <v>1379500</v>
      </c>
      <c r="J3797" s="8">
        <v>3.9500000000000007E-2</v>
      </c>
    </row>
    <row r="3798" spans="1:10" x14ac:dyDescent="0.25">
      <c r="A3798" s="5" t="s">
        <v>3831</v>
      </c>
      <c r="B3798" s="5" t="s">
        <v>5665</v>
      </c>
      <c r="C3798" s="6" t="str">
        <f>_xll.QS.CONTEXT.CREATE("market.3796",A3798,"USD","SOFR")</f>
        <v>QSObject:PricingContext:w1~market.3796:14263</v>
      </c>
      <c r="D3798" s="6" t="str">
        <f>_xll.QS.CONTEXT.ADD.CURVE(C3798,"SOFR",$K$2:$K$7,$L$2:$L$7,,,"Actual360","LogLinear",TRUE)</f>
        <v>QSObject:ContextInput:w1~input.qs_context_add_curve.2359132437744.3797.3.0:36764</v>
      </c>
      <c r="E3798" s="6" t="str">
        <f>_xll.QS.INSTRUMENT.SWAP("swap.3796",H3798,B3798,"USD","SOFR",I3798,J3798,0,"Actual360","Simple","Annual","Annual","Annual")</f>
        <v>QSObject:Swap:w1~swap.3796:14262</v>
      </c>
      <c r="F3798" s="6" t="str">
        <f>_xll.QS.TRADE.CREATE("trade.3796",E3798,A3798,"Receive")</f>
        <v>QSObject:SwapTrade:w1~trade.3796:28047</v>
      </c>
      <c r="G3798" s="3">
        <f>_xll.QS.EVALUATE(C3798,F3798)</f>
        <v>48332.36971865128</v>
      </c>
      <c r="H3798" s="5" t="s">
        <v>3838</v>
      </c>
      <c r="I3798" s="7">
        <v>1379600</v>
      </c>
      <c r="J3798" s="8">
        <v>3.9600000000000003E-2</v>
      </c>
    </row>
    <row r="3799" spans="1:10" x14ac:dyDescent="0.25">
      <c r="A3799" s="5" t="s">
        <v>3832</v>
      </c>
      <c r="B3799" s="5" t="s">
        <v>5666</v>
      </c>
      <c r="C3799" s="6" t="str">
        <f>_xll.QS.CONTEXT.CREATE("market.3797",A3799,"USD","SOFR")</f>
        <v>QSObject:PricingContext:w1~market.3797:14261</v>
      </c>
      <c r="D3799" s="6" t="str">
        <f>_xll.QS.CONTEXT.ADD.CURVE(C3799,"SOFR",$K$2:$K$7,$L$2:$L$7,,,"Actual360","LogLinear",TRUE)</f>
        <v>QSObject:ContextInput:w1~input.qs_context_add_curve.2359132437744.3798.3.0:36763</v>
      </c>
      <c r="E3799" s="6" t="str">
        <f>_xll.QS.INSTRUMENT.SWAP("swap.3797",H3799,B3799,"USD","SOFR",I3799,J3799,0,"Actual360","Simple","Annual","Annual","Annual")</f>
        <v>QSObject:Swap:w1~swap.3797:14260</v>
      </c>
      <c r="F3799" s="6" t="str">
        <f>_xll.QS.TRADE.CREATE("trade.3797",E3799,A3799,"Receive")</f>
        <v>QSObject:SwapTrade:w1~trade.3797:28046</v>
      </c>
      <c r="G3799" s="3">
        <f>_xll.QS.EVALUATE(C3799,F3799)</f>
        <v>48984.083861816216</v>
      </c>
      <c r="H3799" s="5" t="s">
        <v>3839</v>
      </c>
      <c r="I3799" s="7">
        <v>1379700</v>
      </c>
      <c r="J3799" s="8">
        <v>3.9700000000000013E-2</v>
      </c>
    </row>
    <row r="3800" spans="1:10" x14ac:dyDescent="0.25">
      <c r="A3800" s="5" t="s">
        <v>3833</v>
      </c>
      <c r="B3800" s="5" t="s">
        <v>5667</v>
      </c>
      <c r="C3800" s="6" t="str">
        <f>_xll.QS.CONTEXT.CREATE("market.3798",A3800,"USD","SOFR")</f>
        <v>QSObject:PricingContext:w1~market.3798:14259</v>
      </c>
      <c r="D3800" s="6" t="str">
        <f>_xll.QS.CONTEXT.ADD.CURVE(C3800,"SOFR",$K$2:$K$7,$L$2:$L$7,,,"Actual360","LogLinear",TRUE)</f>
        <v>QSObject:ContextInput:w1~input.qs_context_add_curve.2359132437744.3799.3.0:36762</v>
      </c>
      <c r="E3800" s="6" t="str">
        <f>_xll.QS.INSTRUMENT.SWAP("swap.3798",H3800,B3800,"USD","SOFR",I3800,J3800,0,"Actual360","Simple","Annual","Annual","Annual")</f>
        <v>QSObject:Swap:w1~swap.3798:14258</v>
      </c>
      <c r="F3800" s="6" t="str">
        <f>_xll.QS.TRADE.CREATE("trade.3798",E3800,A3800,"Receive")</f>
        <v>QSObject:SwapTrade:w1~trade.3798:28045</v>
      </c>
      <c r="G3800" s="3">
        <f>_xll.QS.EVALUATE(C3800,F3800)</f>
        <v>49623.069693308775</v>
      </c>
      <c r="H3800" s="5" t="s">
        <v>3840</v>
      </c>
      <c r="I3800" s="7">
        <v>1379800</v>
      </c>
      <c r="J3800" s="8">
        <v>3.9800000000000002E-2</v>
      </c>
    </row>
    <row r="3801" spans="1:10" x14ac:dyDescent="0.25">
      <c r="A3801" s="5" t="s">
        <v>3834</v>
      </c>
      <c r="B3801" s="5" t="s">
        <v>5668</v>
      </c>
      <c r="C3801" s="6" t="str">
        <f>_xll.QS.CONTEXT.CREATE("market.3799",A3801,"USD","SOFR")</f>
        <v>QSObject:PricingContext:w1~market.3799:14257</v>
      </c>
      <c r="D3801" s="6" t="str">
        <f>_xll.QS.CONTEXT.ADD.CURVE(C3801,"SOFR",$K$2:$K$7,$L$2:$L$7,,,"Actual360","LogLinear",TRUE)</f>
        <v>QSObject:ContextInput:w1~input.qs_context_add_curve.2359132437744.3800.3.0:36761</v>
      </c>
      <c r="E3801" s="6" t="str">
        <f>_xll.QS.INSTRUMENT.SWAP("swap.3799",H3801,B3801,"USD","SOFR",I3801,J3801,0,"Actual360","Simple","Annual","Annual","Annual")</f>
        <v>QSObject:Swap:w1~swap.3799:14256</v>
      </c>
      <c r="F3801" s="6" t="str">
        <f>_xll.QS.TRADE.CREATE("trade.3799",E3801,A3801,"Receive")</f>
        <v>QSObject:SwapTrade:w1~trade.3799:28044</v>
      </c>
      <c r="G3801" s="3">
        <f>_xll.QS.EVALUATE(C3801,F3801)</f>
        <v>50145.647941433737</v>
      </c>
      <c r="H3801" s="5" t="s">
        <v>3841</v>
      </c>
      <c r="I3801" s="7">
        <v>1379900</v>
      </c>
      <c r="J3801" s="8">
        <v>3.9899999999999998E-2</v>
      </c>
    </row>
    <row r="3802" spans="1:10" x14ac:dyDescent="0.25">
      <c r="A3802" s="5" t="s">
        <v>3835</v>
      </c>
      <c r="B3802" s="5" t="s">
        <v>5669</v>
      </c>
      <c r="C3802" s="6" t="str">
        <f>_xll.QS.CONTEXT.CREATE("market.3800",A3802,"USD","SOFR")</f>
        <v>QSObject:PricingContext:w1~market.3800:14255</v>
      </c>
      <c r="D3802" s="6" t="str">
        <f>_xll.QS.CONTEXT.ADD.CURVE(C3802,"SOFR",$K$2:$K$7,$L$2:$L$7,,,"Actual360","LogLinear",TRUE)</f>
        <v>QSObject:ContextInput:w1~input.qs_context_add_curve.2359132437744.3801.3.0:36760</v>
      </c>
      <c r="E3802" s="6" t="str">
        <f>_xll.QS.INSTRUMENT.SWAP("swap.3800",H3802,B3802,"USD","SOFR",I3802,J3802,0,"Actual360","Simple","Annual","Annual","Annual")</f>
        <v>QSObject:Swap:w1~swap.3800:14254</v>
      </c>
      <c r="F3802" s="6" t="str">
        <f>_xll.QS.TRADE.CREATE("trade.3800",E3802,A3802,"Receive")</f>
        <v>QSObject:SwapTrade:w1~trade.3800:28043</v>
      </c>
      <c r="G3802" s="3">
        <f>_xll.QS.EVALUATE(C3802,F3802)</f>
        <v>18875.742992167136</v>
      </c>
      <c r="H3802" s="5" t="s">
        <v>3842</v>
      </c>
      <c r="I3802" s="7">
        <v>1380000</v>
      </c>
      <c r="J3802" s="8">
        <v>3.5000000000000003E-2</v>
      </c>
    </row>
    <row r="3803" spans="1:10" x14ac:dyDescent="0.25">
      <c r="A3803" s="5" t="s">
        <v>3836</v>
      </c>
      <c r="B3803" s="5" t="s">
        <v>5670</v>
      </c>
      <c r="C3803" s="6" t="str">
        <f>_xll.QS.CONTEXT.CREATE("market.3801",A3803,"USD","SOFR")</f>
        <v>QSObject:PricingContext:w1~market.3801:14253</v>
      </c>
      <c r="D3803" s="6" t="str">
        <f>_xll.QS.CONTEXT.ADD.CURVE(C3803,"SOFR",$K$2:$K$7,$L$2:$L$7,,,"Actual360","LogLinear",TRUE)</f>
        <v>QSObject:ContextInput:w1~input.qs_context_add_curve.2359132437744.3802.3.0:36759</v>
      </c>
      <c r="E3803" s="6" t="str">
        <f>_xll.QS.INSTRUMENT.SWAP("swap.3801",H3803,B3803,"USD","SOFR",I3803,J3803,0,"Actual360","Simple","Annual","Annual","Annual")</f>
        <v>QSObject:Swap:w1~swap.3801:14252</v>
      </c>
      <c r="F3803" s="6" t="str">
        <f>_xll.QS.TRADE.CREATE("trade.3801",E3803,A3803,"Receive")</f>
        <v>QSObject:SwapTrade:w1~trade.3801:28042</v>
      </c>
      <c r="G3803" s="3">
        <f>_xll.QS.EVALUATE(C3803,F3803)</f>
        <v>19515.091748125516</v>
      </c>
      <c r="H3803" s="5" t="s">
        <v>3843</v>
      </c>
      <c r="I3803" s="7">
        <v>1380100</v>
      </c>
      <c r="J3803" s="8">
        <v>3.5100000000000013E-2</v>
      </c>
    </row>
    <row r="3804" spans="1:10" x14ac:dyDescent="0.25">
      <c r="A3804" s="5" t="s">
        <v>3837</v>
      </c>
      <c r="B3804" s="5" t="s">
        <v>5671</v>
      </c>
      <c r="C3804" s="6" t="str">
        <f>_xll.QS.CONTEXT.CREATE("market.3802",A3804,"USD","SOFR")</f>
        <v>QSObject:PricingContext:w1~market.3802:14251</v>
      </c>
      <c r="D3804" s="6" t="str">
        <f>_xll.QS.CONTEXT.ADD.CURVE(C3804,"SOFR",$K$2:$K$7,$L$2:$L$7,,,"Actual360","LogLinear",TRUE)</f>
        <v>QSObject:ContextInput:w1~input.qs_context_add_curve.2359132437744.3803.3.0:36758</v>
      </c>
      <c r="E3804" s="6" t="str">
        <f>_xll.QS.INSTRUMENT.SWAP("swap.3802",H3804,B3804,"USD","SOFR",I3804,J3804,0,"Actual360","Simple","Annual","Annual","Annual")</f>
        <v>QSObject:Swap:w1~swap.3802:14250</v>
      </c>
      <c r="F3804" s="6" t="str">
        <f>_xll.QS.TRADE.CREATE("trade.3802",E3804,A3804,"Receive")</f>
        <v>QSObject:SwapTrade:w1~trade.3802:28041</v>
      </c>
      <c r="G3804" s="3">
        <f>_xll.QS.EVALUATE(C3804,F3804)</f>
        <v>20196.710689926884</v>
      </c>
      <c r="H3804" s="5" t="s">
        <v>3844</v>
      </c>
      <c r="I3804" s="7">
        <v>1380200</v>
      </c>
      <c r="J3804" s="8">
        <v>3.5200000000000002E-2</v>
      </c>
    </row>
    <row r="3805" spans="1:10" x14ac:dyDescent="0.25">
      <c r="A3805" s="5" t="s">
        <v>3838</v>
      </c>
      <c r="B3805" s="5" t="s">
        <v>5672</v>
      </c>
      <c r="C3805" s="6" t="str">
        <f>_xll.QS.CONTEXT.CREATE("market.3803",A3805,"USD","SOFR")</f>
        <v>QSObject:PricingContext:w1~market.3803:14249</v>
      </c>
      <c r="D3805" s="6" t="str">
        <f>_xll.QS.CONTEXT.ADD.CURVE(C3805,"SOFR",$K$2:$K$7,$L$2:$L$7,,,"Actual360","LogLinear",TRUE)</f>
        <v>QSObject:ContextInput:w1~input.qs_context_add_curve.2359132437744.3804.3.0:36757</v>
      </c>
      <c r="E3805" s="6" t="str">
        <f>_xll.QS.INSTRUMENT.SWAP("swap.3803",H3805,B3805,"USD","SOFR",I3805,J3805,0,"Actual360","Simple","Annual","Annual","Annual")</f>
        <v>QSObject:Swap:w1~swap.3803:14248</v>
      </c>
      <c r="F3805" s="6" t="str">
        <f>_xll.QS.TRADE.CREATE("trade.3803",E3805,A3805,"Receive")</f>
        <v>QSObject:SwapTrade:w1~trade.3803:28040</v>
      </c>
      <c r="G3805" s="3">
        <f>_xll.QS.EVALUATE(C3805,F3805)</f>
        <v>20935.300853547269</v>
      </c>
      <c r="H3805" s="5" t="s">
        <v>3845</v>
      </c>
      <c r="I3805" s="7">
        <v>1380300</v>
      </c>
      <c r="J3805" s="8">
        <v>3.5299999999999998E-2</v>
      </c>
    </row>
    <row r="3806" spans="1:10" x14ac:dyDescent="0.25">
      <c r="A3806" s="5" t="s">
        <v>3839</v>
      </c>
      <c r="B3806" s="5" t="s">
        <v>5673</v>
      </c>
      <c r="C3806" s="6" t="str">
        <f>_xll.QS.CONTEXT.CREATE("market.3804",A3806,"USD","SOFR")</f>
        <v>QSObject:PricingContext:w1~market.3804:14247</v>
      </c>
      <c r="D3806" s="6" t="str">
        <f>_xll.QS.CONTEXT.ADD.CURVE(C3806,"SOFR",$K$2:$K$7,$L$2:$L$7,,,"Actual360","LogLinear",TRUE)</f>
        <v>QSObject:ContextInput:w1~input.qs_context_add_curve.2359132437744.3805.3.0:36756</v>
      </c>
      <c r="E3806" s="6" t="str">
        <f>_xll.QS.INSTRUMENT.SWAP("swap.3804",H3806,B3806,"USD","SOFR",I3806,J3806,0,"Actual360","Simple","Annual","Annual","Annual")</f>
        <v>QSObject:Swap:w1~swap.3804:14246</v>
      </c>
      <c r="F3806" s="6" t="str">
        <f>_xll.QS.TRADE.CREATE("trade.3804",E3806,A3806,"Receive")</f>
        <v>QSObject:SwapTrade:w1~trade.3804:28039</v>
      </c>
      <c r="G3806" s="3">
        <f>_xll.QS.EVALUATE(C3806,F3806)</f>
        <v>21633.533873398286</v>
      </c>
      <c r="H3806" s="5" t="s">
        <v>3846</v>
      </c>
      <c r="I3806" s="7">
        <v>1380400</v>
      </c>
      <c r="J3806" s="8">
        <v>3.5400000000000001E-2</v>
      </c>
    </row>
    <row r="3807" spans="1:10" x14ac:dyDescent="0.25">
      <c r="A3807" s="5" t="s">
        <v>3840</v>
      </c>
      <c r="B3807" s="5" t="s">
        <v>5674</v>
      </c>
      <c r="C3807" s="6" t="str">
        <f>_xll.QS.CONTEXT.CREATE("market.3805",A3807,"USD","SOFR")</f>
        <v>QSObject:PricingContext:w1~market.3805:14245</v>
      </c>
      <c r="D3807" s="6" t="str">
        <f>_xll.QS.CONTEXT.ADD.CURVE(C3807,"SOFR",$K$2:$K$7,$L$2:$L$7,,,"Actual360","LogLinear",TRUE)</f>
        <v>QSObject:ContextInput:w1~input.qs_context_add_curve.2359132437744.3806.3.0:36755</v>
      </c>
      <c r="E3807" s="6" t="str">
        <f>_xll.QS.INSTRUMENT.SWAP("swap.3805",H3807,B3807,"USD","SOFR",I3807,J3807,0,"Actual360","Simple","Annual","Annual","Annual")</f>
        <v>QSObject:Swap:w1~swap.3805:14244</v>
      </c>
      <c r="F3807" s="6" t="str">
        <f>_xll.QS.TRADE.CREATE("trade.3805",E3807,A3807,"Receive")</f>
        <v>QSObject:SwapTrade:w1~trade.3805:28038</v>
      </c>
      <c r="G3807" s="3">
        <f>_xll.QS.EVALUATE(C3807,F3807)</f>
        <v>22218.644658027828</v>
      </c>
      <c r="H3807" s="5" t="s">
        <v>3847</v>
      </c>
      <c r="I3807" s="7">
        <v>1380500</v>
      </c>
      <c r="J3807" s="8">
        <v>3.5499999999999997E-2</v>
      </c>
    </row>
    <row r="3808" spans="1:10" x14ac:dyDescent="0.25">
      <c r="A3808" s="5" t="s">
        <v>3841</v>
      </c>
      <c r="B3808" s="5" t="s">
        <v>5675</v>
      </c>
      <c r="C3808" s="6" t="str">
        <f>_xll.QS.CONTEXT.CREATE("market.3806",A3808,"USD","SOFR")</f>
        <v>QSObject:PricingContext:w1~market.3806:14243</v>
      </c>
      <c r="D3808" s="6" t="str">
        <f>_xll.QS.CONTEXT.ADD.CURVE(C3808,"SOFR",$K$2:$K$7,$L$2:$L$7,,,"Actual360","LogLinear",TRUE)</f>
        <v>QSObject:ContextInput:w1~input.qs_context_add_curve.2359132437744.3807.3.0:36754</v>
      </c>
      <c r="E3808" s="6" t="str">
        <f>_xll.QS.INSTRUMENT.SWAP("swap.3806",H3808,B3808,"USD","SOFR",I3808,J3808,0,"Actual360","Simple","Annual","Annual","Annual")</f>
        <v>QSObject:Swap:w1~swap.3806:14242</v>
      </c>
      <c r="F3808" s="6" t="str">
        <f>_xll.QS.TRADE.CREATE("trade.3806",E3808,A3808,"Receive")</f>
        <v>QSObject:SwapTrade:w1~trade.3806:28037</v>
      </c>
      <c r="G3808" s="3">
        <f>_xll.QS.EVALUATE(C3808,F3808)</f>
        <v>22771.802350268794</v>
      </c>
      <c r="H3808" s="5" t="s">
        <v>3848</v>
      </c>
      <c r="I3808" s="7">
        <v>1380600</v>
      </c>
      <c r="J3808" s="8">
        <v>3.5600000000000007E-2</v>
      </c>
    </row>
    <row r="3809" spans="1:10" x14ac:dyDescent="0.25">
      <c r="A3809" s="5" t="s">
        <v>3842</v>
      </c>
      <c r="B3809" s="5" t="s">
        <v>5676</v>
      </c>
      <c r="C3809" s="6" t="str">
        <f>_xll.QS.CONTEXT.CREATE("market.3807",A3809,"USD","SOFR")</f>
        <v>QSObject:PricingContext:w1~market.3807:14241</v>
      </c>
      <c r="D3809" s="6" t="str">
        <f>_xll.QS.CONTEXT.ADD.CURVE(C3809,"SOFR",$K$2:$K$7,$L$2:$L$7,,,"Actual360","LogLinear",TRUE)</f>
        <v>QSObject:ContextInput:w1~input.qs_context_add_curve.2359132437744.3808.3.0:36753</v>
      </c>
      <c r="E3809" s="6" t="str">
        <f>_xll.QS.INSTRUMENT.SWAP("swap.3807",H3809,B3809,"USD","SOFR",I3809,J3809,0,"Actual360","Simple","Annual","Annual","Annual")</f>
        <v>QSObject:Swap:w1~swap.3807:14240</v>
      </c>
      <c r="F3809" s="6" t="str">
        <f>_xll.QS.TRADE.CREATE("trade.3807",E3809,A3809,"Receive")</f>
        <v>QSObject:SwapTrade:w1~trade.3807:28036</v>
      </c>
      <c r="G3809" s="3">
        <f>_xll.QS.EVALUATE(C3809,F3809)</f>
        <v>23288.808805657383</v>
      </c>
      <c r="H3809" s="5" t="s">
        <v>3849</v>
      </c>
      <c r="I3809" s="7">
        <v>1380700</v>
      </c>
      <c r="J3809" s="8">
        <v>3.5700000000000003E-2</v>
      </c>
    </row>
    <row r="3810" spans="1:10" x14ac:dyDescent="0.25">
      <c r="A3810" s="5" t="s">
        <v>3843</v>
      </c>
      <c r="B3810" s="5" t="s">
        <v>5677</v>
      </c>
      <c r="C3810" s="6" t="str">
        <f>_xll.QS.CONTEXT.CREATE("market.3808",A3810,"USD","SOFR")</f>
        <v>QSObject:PricingContext:w1~market.3808:14239</v>
      </c>
      <c r="D3810" s="6" t="str">
        <f>_xll.QS.CONTEXT.ADD.CURVE(C3810,"SOFR",$K$2:$K$7,$L$2:$L$7,,,"Actual360","LogLinear",TRUE)</f>
        <v>QSObject:ContextInput:w1~input.qs_context_add_curve.2359132437744.3809.3.0:36752</v>
      </c>
      <c r="E3810" s="6" t="str">
        <f>_xll.QS.INSTRUMENT.SWAP("swap.3808",H3810,B3810,"USD","SOFR",I3810,J3810,0,"Actual360","Simple","Annual","Annual","Annual")</f>
        <v>QSObject:Swap:w1~swap.3808:14238</v>
      </c>
      <c r="F3810" s="6" t="str">
        <f>_xll.QS.TRADE.CREATE("trade.3808",E3810,A3810,"Receive")</f>
        <v>QSObject:SwapTrade:w1~trade.3808:28035</v>
      </c>
      <c r="G3810" s="3">
        <f>_xll.QS.EVALUATE(C3810,F3810)</f>
        <v>23984.773915273356</v>
      </c>
      <c r="H3810" s="5" t="s">
        <v>3850</v>
      </c>
      <c r="I3810" s="7">
        <v>1380800</v>
      </c>
      <c r="J3810" s="8">
        <v>3.5800000000000012E-2</v>
      </c>
    </row>
    <row r="3811" spans="1:10" x14ac:dyDescent="0.25">
      <c r="A3811" s="5" t="s">
        <v>3844</v>
      </c>
      <c r="B3811" s="5" t="s">
        <v>5678</v>
      </c>
      <c r="C3811" s="6" t="str">
        <f>_xll.QS.CONTEXT.CREATE("market.3809",A3811,"USD","SOFR")</f>
        <v>QSObject:PricingContext:w1~market.3809:14237</v>
      </c>
      <c r="D3811" s="6" t="str">
        <f>_xll.QS.CONTEXT.ADD.CURVE(C3811,"SOFR",$K$2:$K$7,$L$2:$L$7,,,"Actual360","LogLinear",TRUE)</f>
        <v>QSObject:ContextInput:w1~input.qs_context_add_curve.2359132437744.3810.3.0:36751</v>
      </c>
      <c r="E3811" s="6" t="str">
        <f>_xll.QS.INSTRUMENT.SWAP("swap.3809",H3811,B3811,"USD","SOFR",I3811,J3811,0,"Actual360","Simple","Annual","Annual","Annual")</f>
        <v>QSObject:Swap:w1~swap.3809:14236</v>
      </c>
      <c r="F3811" s="6" t="str">
        <f>_xll.QS.TRADE.CREATE("trade.3809",E3811,A3811,"Receive")</f>
        <v>QSObject:SwapTrade:w1~trade.3809:28034</v>
      </c>
      <c r="G3811" s="3">
        <f>_xll.QS.EVALUATE(C3811,F3811)</f>
        <v>24664.394636916099</v>
      </c>
      <c r="H3811" s="5" t="s">
        <v>3851</v>
      </c>
      <c r="I3811" s="7">
        <v>1380900</v>
      </c>
      <c r="J3811" s="8">
        <v>3.5900000000000001E-2</v>
      </c>
    </row>
    <row r="3812" spans="1:10" x14ac:dyDescent="0.25">
      <c r="A3812" s="5" t="s">
        <v>3845</v>
      </c>
      <c r="B3812" s="5" t="s">
        <v>5679</v>
      </c>
      <c r="C3812" s="6" t="str">
        <f>_xll.QS.CONTEXT.CREATE("market.3810",A3812,"USD","SOFR")</f>
        <v>QSObject:PricingContext:w1~market.3810:14235</v>
      </c>
      <c r="D3812" s="6" t="str">
        <f>_xll.QS.CONTEXT.ADD.CURVE(C3812,"SOFR",$K$2:$K$7,$L$2:$L$7,,,"Actual360","LogLinear",TRUE)</f>
        <v>QSObject:ContextInput:w1~input.qs_context_add_curve.2359132437744.3811.3.0:36750</v>
      </c>
      <c r="E3812" s="6" t="str">
        <f>_xll.QS.INSTRUMENT.SWAP("swap.3810",H3812,B3812,"USD","SOFR",I3812,J3812,0,"Actual360","Simple","Annual","Annual","Annual")</f>
        <v>QSObject:Swap:w1~swap.3810:14234</v>
      </c>
      <c r="F3812" s="6" t="str">
        <f>_xll.QS.TRADE.CREATE("trade.3810",E3812,A3812,"Receive")</f>
        <v>QSObject:SwapTrade:w1~trade.3810:28033</v>
      </c>
      <c r="G3812" s="3">
        <f>_xll.QS.EVALUATE(C3812,F3812)</f>
        <v>25403.749198687045</v>
      </c>
      <c r="H3812" s="5" t="s">
        <v>3852</v>
      </c>
      <c r="I3812" s="7">
        <v>1381000</v>
      </c>
      <c r="J3812" s="8">
        <v>3.5999999999999997E-2</v>
      </c>
    </row>
    <row r="3813" spans="1:10" x14ac:dyDescent="0.25">
      <c r="A3813" s="5" t="s">
        <v>3846</v>
      </c>
      <c r="B3813" s="5" t="s">
        <v>5680</v>
      </c>
      <c r="C3813" s="6" t="str">
        <f>_xll.QS.CONTEXT.CREATE("market.3811",A3813,"USD","SOFR")</f>
        <v>QSObject:PricingContext:w1~market.3811:14233</v>
      </c>
      <c r="D3813" s="6" t="str">
        <f>_xll.QS.CONTEXT.ADD.CURVE(C3813,"SOFR",$K$2:$K$7,$L$2:$L$7,,,"Actual360","LogLinear",TRUE)</f>
        <v>QSObject:ContextInput:w1~input.qs_context_add_curve.2359132437744.3812.3.0:36749</v>
      </c>
      <c r="E3813" s="6" t="str">
        <f>_xll.QS.INSTRUMENT.SWAP("swap.3811",H3813,B3813,"USD","SOFR",I3813,J3813,0,"Actual360","Simple","Annual","Annual","Annual")</f>
        <v>QSObject:Swap:w1~swap.3811:14232</v>
      </c>
      <c r="F3813" s="6" t="str">
        <f>_xll.QS.TRADE.CREATE("trade.3811",E3813,A3813,"Receive")</f>
        <v>QSObject:SwapTrade:w1~trade.3811:28032</v>
      </c>
      <c r="G3813" s="3">
        <f>_xll.QS.EVALUATE(C3813,F3813)</f>
        <v>26102.707870246406</v>
      </c>
      <c r="H3813" s="5" t="s">
        <v>3853</v>
      </c>
      <c r="I3813" s="7">
        <v>1381100</v>
      </c>
      <c r="J3813" s="8">
        <v>3.61E-2</v>
      </c>
    </row>
    <row r="3814" spans="1:10" x14ac:dyDescent="0.25">
      <c r="A3814" s="5" t="s">
        <v>3847</v>
      </c>
      <c r="B3814" s="5" t="s">
        <v>5681</v>
      </c>
      <c r="C3814" s="6" t="str">
        <f>_xll.QS.CONTEXT.CREATE("market.3812",A3814,"USD","SOFR")</f>
        <v>QSObject:PricingContext:w1~market.3812:14231</v>
      </c>
      <c r="D3814" s="6" t="str">
        <f>_xll.QS.CONTEXT.ADD.CURVE(C3814,"SOFR",$K$2:$K$7,$L$2:$L$7,,,"Actual360","LogLinear",TRUE)</f>
        <v>QSObject:ContextInput:w1~input.qs_context_add_curve.2359132437744.3813.3.0:36748</v>
      </c>
      <c r="E3814" s="6" t="str">
        <f>_xll.QS.INSTRUMENT.SWAP("swap.3812",H3814,B3814,"USD","SOFR",I3814,J3814,0,"Actual360","Simple","Annual","Annual","Annual")</f>
        <v>QSObject:Swap:w1~swap.3812:14230</v>
      </c>
      <c r="F3814" s="6" t="str">
        <f>_xll.QS.TRADE.CREATE("trade.3812",E3814,A3814,"Receive")</f>
        <v>QSObject:SwapTrade:w1~trade.3812:28031</v>
      </c>
      <c r="G3814" s="3">
        <f>_xll.QS.EVALUATE(C3814,F3814)</f>
        <v>26688.389169141672</v>
      </c>
      <c r="H3814" s="5" t="s">
        <v>3854</v>
      </c>
      <c r="I3814" s="7">
        <v>1381200</v>
      </c>
      <c r="J3814" s="8">
        <v>3.6200000000000003E-2</v>
      </c>
    </row>
    <row r="3815" spans="1:10" x14ac:dyDescent="0.25">
      <c r="A3815" s="5" t="s">
        <v>3848</v>
      </c>
      <c r="B3815" s="5" t="s">
        <v>5682</v>
      </c>
      <c r="C3815" s="6" t="str">
        <f>_xll.QS.CONTEXT.CREATE("market.3813",A3815,"USD","SOFR")</f>
        <v>QSObject:PricingContext:w1~market.3813:14229</v>
      </c>
      <c r="D3815" s="6" t="str">
        <f>_xll.QS.CONTEXT.ADD.CURVE(C3815,"SOFR",$K$2:$K$7,$L$2:$L$7,,,"Actual360","LogLinear",TRUE)</f>
        <v>QSObject:ContextInput:w1~input.qs_context_add_curve.2359132437744.3814.3.0:36747</v>
      </c>
      <c r="E3815" s="6" t="str">
        <f>_xll.QS.INSTRUMENT.SWAP("swap.3813",H3815,B3815,"USD","SOFR",I3815,J3815,0,"Actual360","Simple","Annual","Annual","Annual")</f>
        <v>QSObject:Swap:w1~swap.3813:14228</v>
      </c>
      <c r="F3815" s="6" t="str">
        <f>_xll.QS.TRADE.CREATE("trade.3813",E3815,A3815,"Receive")</f>
        <v>QSObject:SwapTrade:w1~trade.3813:28030</v>
      </c>
      <c r="G3815" s="3">
        <f>_xll.QS.EVALUATE(C3815,F3815)</f>
        <v>27236.898593878221</v>
      </c>
      <c r="H3815" s="5" t="s">
        <v>3855</v>
      </c>
      <c r="I3815" s="7">
        <v>1381300</v>
      </c>
      <c r="J3815" s="8">
        <v>3.6300000000000013E-2</v>
      </c>
    </row>
    <row r="3816" spans="1:10" x14ac:dyDescent="0.25">
      <c r="A3816" s="5" t="s">
        <v>3849</v>
      </c>
      <c r="B3816" s="5" t="s">
        <v>5683</v>
      </c>
      <c r="C3816" s="6" t="str">
        <f>_xll.QS.CONTEXT.CREATE("market.3814",A3816,"USD","SOFR")</f>
        <v>QSObject:PricingContext:w1~market.3814:14227</v>
      </c>
      <c r="D3816" s="6" t="str">
        <f>_xll.QS.CONTEXT.ADD.CURVE(C3816,"SOFR",$K$2:$K$7,$L$2:$L$7,,,"Actual360","LogLinear",TRUE)</f>
        <v>QSObject:ContextInput:w1~input.qs_context_add_curve.2359132437744.3815.3.0:36746</v>
      </c>
      <c r="E3816" s="6" t="str">
        <f>_xll.QS.INSTRUMENT.SWAP("swap.3814",H3816,B3816,"USD","SOFR",I3816,J3816,0,"Actual360","Simple","Annual","Annual","Annual")</f>
        <v>QSObject:Swap:w1~swap.3814:14226</v>
      </c>
      <c r="F3816" s="6" t="str">
        <f>_xll.QS.TRADE.CREATE("trade.3814",E3816,A3816,"Receive")</f>
        <v>QSObject:SwapTrade:w1~trade.3814:28029</v>
      </c>
      <c r="G3816" s="3">
        <f>_xll.QS.EVALUATE(C3816,F3816)</f>
        <v>27761.574866856485</v>
      </c>
      <c r="H3816" s="5" t="s">
        <v>3856</v>
      </c>
      <c r="I3816" s="7">
        <v>1381400</v>
      </c>
      <c r="J3816" s="8">
        <v>3.6400000000000002E-2</v>
      </c>
    </row>
    <row r="3817" spans="1:10" x14ac:dyDescent="0.25">
      <c r="A3817" s="5" t="s">
        <v>3850</v>
      </c>
      <c r="B3817" s="5" t="s">
        <v>5684</v>
      </c>
      <c r="C3817" s="6" t="str">
        <f>_xll.QS.CONTEXT.CREATE("market.3815",A3817,"USD","SOFR")</f>
        <v>QSObject:PricingContext:w1~market.3815:14225</v>
      </c>
      <c r="D3817" s="6" t="str">
        <f>_xll.QS.CONTEXT.ADD.CURVE(C3817,"SOFR",$K$2:$K$7,$L$2:$L$7,,,"Actual360","LogLinear",TRUE)</f>
        <v>QSObject:ContextInput:w1~input.qs_context_add_curve.2359132437744.3816.3.0:36745</v>
      </c>
      <c r="E3817" s="6" t="str">
        <f>_xll.QS.INSTRUMENT.SWAP("swap.3815",H3817,B3817,"USD","SOFR",I3817,J3817,0,"Actual360","Simple","Annual","Annual","Annual")</f>
        <v>QSObject:Swap:w1~swap.3815:14224</v>
      </c>
      <c r="F3817" s="6" t="str">
        <f>_xll.QS.TRADE.CREATE("trade.3815",E3817,A3817,"Receive")</f>
        <v>QSObject:SwapTrade:w1~trade.3815:28028</v>
      </c>
      <c r="G3817" s="3">
        <f>_xll.QS.EVALUATE(C3817,F3817)</f>
        <v>28458.473833464021</v>
      </c>
      <c r="H3817" s="5" t="s">
        <v>3857</v>
      </c>
      <c r="I3817" s="7">
        <v>1381500</v>
      </c>
      <c r="J3817" s="8">
        <v>3.6499999999999998E-2</v>
      </c>
    </row>
    <row r="3818" spans="1:10" x14ac:dyDescent="0.25">
      <c r="A3818" s="5" t="s">
        <v>3851</v>
      </c>
      <c r="B3818" s="5" t="s">
        <v>5685</v>
      </c>
      <c r="C3818" s="6" t="str">
        <f>_xll.QS.CONTEXT.CREATE("market.3816",A3818,"USD","SOFR")</f>
        <v>QSObject:PricingContext:w1~market.3816:14223</v>
      </c>
      <c r="D3818" s="6" t="str">
        <f>_xll.QS.CONTEXT.ADD.CURVE(C3818,"SOFR",$K$2:$K$7,$L$2:$L$7,,,"Actual360","LogLinear",TRUE)</f>
        <v>QSObject:ContextInput:w1~input.qs_context_add_curve.2359132437744.3817.3.0:36744</v>
      </c>
      <c r="E3818" s="6" t="str">
        <f>_xll.QS.INSTRUMENT.SWAP("swap.3816",H3818,B3818,"USD","SOFR",I3818,J3818,0,"Actual360","Simple","Annual","Annual","Annual")</f>
        <v>QSObject:Swap:w1~swap.3816:14222</v>
      </c>
      <c r="F3818" s="6" t="str">
        <f>_xll.QS.TRADE.CREATE("trade.3816",E3818,A3818,"Receive")</f>
        <v>QSObject:SwapTrade:w1~trade.3816:28027</v>
      </c>
      <c r="G3818" s="3">
        <f>_xll.QS.EVALUATE(C3818,F3818)</f>
        <v>29136.597677983467</v>
      </c>
      <c r="H3818" s="5" t="s">
        <v>3858</v>
      </c>
      <c r="I3818" s="7">
        <v>1381600</v>
      </c>
      <c r="J3818" s="8">
        <v>3.6600000000000001E-2</v>
      </c>
    </row>
    <row r="3819" spans="1:10" x14ac:dyDescent="0.25">
      <c r="A3819" s="5" t="s">
        <v>3852</v>
      </c>
      <c r="B3819" s="5" t="s">
        <v>5686</v>
      </c>
      <c r="C3819" s="6" t="str">
        <f>_xll.QS.CONTEXT.CREATE("market.3817",A3819,"USD","SOFR")</f>
        <v>QSObject:PricingContext:w1~market.3817:14221</v>
      </c>
      <c r="D3819" s="6" t="str">
        <f>_xll.QS.CONTEXT.ADD.CURVE(C3819,"SOFR",$K$2:$K$7,$L$2:$L$7,,,"Actual360","LogLinear",TRUE)</f>
        <v>QSObject:ContextInput:w1~input.qs_context_add_curve.2359132437744.3818.3.0:36743</v>
      </c>
      <c r="E3819" s="6" t="str">
        <f>_xll.QS.INSTRUMENT.SWAP("swap.3817",H3819,B3819,"USD","SOFR",I3819,J3819,0,"Actual360","Simple","Annual","Annual","Annual")</f>
        <v>QSObject:Swap:w1~swap.3817:14220</v>
      </c>
      <c r="F3819" s="6" t="str">
        <f>_xll.QS.TRADE.CREATE("trade.3817",E3819,A3819,"Receive")</f>
        <v>QSObject:SwapTrade:w1~trade.3817:28026</v>
      </c>
      <c r="G3819" s="3">
        <f>_xll.QS.EVALUATE(C3819,F3819)</f>
        <v>29876.713430051561</v>
      </c>
      <c r="H3819" s="5" t="s">
        <v>3859</v>
      </c>
      <c r="I3819" s="7">
        <v>1381700</v>
      </c>
      <c r="J3819" s="8">
        <v>3.6700000000000003E-2</v>
      </c>
    </row>
    <row r="3820" spans="1:10" x14ac:dyDescent="0.25">
      <c r="A3820" s="5" t="s">
        <v>3853</v>
      </c>
      <c r="B3820" s="5" t="s">
        <v>5687</v>
      </c>
      <c r="C3820" s="6" t="str">
        <f>_xll.QS.CONTEXT.CREATE("market.3818",A3820,"USD","SOFR")</f>
        <v>QSObject:PricingContext:w1~market.3818:14219</v>
      </c>
      <c r="D3820" s="6" t="str">
        <f>_xll.QS.CONTEXT.ADD.CURVE(C3820,"SOFR",$K$2:$K$7,$L$2:$L$7,,,"Actual360","LogLinear",TRUE)</f>
        <v>QSObject:ContextInput:w1~input.qs_context_add_curve.2359132437744.3819.3.0:36742</v>
      </c>
      <c r="E3820" s="6" t="str">
        <f>_xll.QS.INSTRUMENT.SWAP("swap.3818",H3820,B3820,"USD","SOFR",I3820,J3820,0,"Actual360","Simple","Annual","Annual","Annual")</f>
        <v>QSObject:Swap:w1~swap.3818:14218</v>
      </c>
      <c r="F3820" s="6" t="str">
        <f>_xll.QS.TRADE.CREATE("trade.3818",E3820,A3820,"Receive")</f>
        <v>QSObject:SwapTrade:w1~trade.3818:28025</v>
      </c>
      <c r="G3820" s="3">
        <f>_xll.QS.EVALUATE(C3820,F3820)</f>
        <v>30576.401080115116</v>
      </c>
      <c r="H3820" s="5" t="s">
        <v>3860</v>
      </c>
      <c r="I3820" s="7">
        <v>1381800</v>
      </c>
      <c r="J3820" s="8">
        <v>3.6800000000000013E-2</v>
      </c>
    </row>
    <row r="3821" spans="1:10" x14ac:dyDescent="0.25">
      <c r="A3821" s="5" t="s">
        <v>3854</v>
      </c>
      <c r="B3821" s="5" t="s">
        <v>5688</v>
      </c>
      <c r="C3821" s="6" t="str">
        <f>_xll.QS.CONTEXT.CREATE("market.3819",A3821,"USD","SOFR")</f>
        <v>QSObject:PricingContext:w1~market.3819:14217</v>
      </c>
      <c r="D3821" s="6" t="str">
        <f>_xll.QS.CONTEXT.ADD.CURVE(C3821,"SOFR",$K$2:$K$7,$L$2:$L$7,,,"Actual360","LogLinear",TRUE)</f>
        <v>QSObject:ContextInput:w1~input.qs_context_add_curve.2359132437744.3820.3.0:36741</v>
      </c>
      <c r="E3821" s="6" t="str">
        <f>_xll.QS.INSTRUMENT.SWAP("swap.3819",H3821,B3821,"USD","SOFR",I3821,J3821,0,"Actual360","Simple","Annual","Annual","Annual")</f>
        <v>QSObject:Swap:w1~swap.3819:14216</v>
      </c>
      <c r="F3821" s="6" t="str">
        <f>_xll.QS.TRADE.CREATE("trade.3819",E3821,A3821,"Receive")</f>
        <v>QSObject:SwapTrade:w1~trade.3819:28024</v>
      </c>
      <c r="G3821" s="3">
        <f>_xll.QS.EVALUATE(C3821,F3821)</f>
        <v>31162.65284444057</v>
      </c>
      <c r="H3821" s="5" t="s">
        <v>3861</v>
      </c>
      <c r="I3821" s="7">
        <v>1381900</v>
      </c>
      <c r="J3821" s="8">
        <v>3.6900000000000002E-2</v>
      </c>
    </row>
    <row r="3822" spans="1:10" x14ac:dyDescent="0.25">
      <c r="A3822" s="5" t="s">
        <v>3855</v>
      </c>
      <c r="B3822" s="5" t="s">
        <v>5689</v>
      </c>
      <c r="C3822" s="6" t="str">
        <f>_xll.QS.CONTEXT.CREATE("market.3820",A3822,"USD","SOFR")</f>
        <v>QSObject:PricingContext:w1~market.3820:14215</v>
      </c>
      <c r="D3822" s="6" t="str">
        <f>_xll.QS.CONTEXT.ADD.CURVE(C3822,"SOFR",$K$2:$K$7,$L$2:$L$7,,,"Actual360","LogLinear",TRUE)</f>
        <v>QSObject:ContextInput:w1~input.qs_context_add_curve.2359132437744.3821.3.0:36740</v>
      </c>
      <c r="E3822" s="6" t="str">
        <f>_xll.QS.INSTRUMENT.SWAP("swap.3820",H3822,B3822,"USD","SOFR",I3822,J3822,0,"Actual360","Simple","Annual","Annual","Annual")</f>
        <v>QSObject:Swap:w1~swap.3820:14214</v>
      </c>
      <c r="F3822" s="6" t="str">
        <f>_xll.QS.TRADE.CREATE("trade.3820",E3822,A3822,"Receive")</f>
        <v>QSObject:SwapTrade:w1~trade.3820:28023</v>
      </c>
      <c r="G3822" s="3">
        <f>_xll.QS.EVALUATE(C3822,F3822)</f>
        <v>31706.508679874583</v>
      </c>
      <c r="H3822" s="5" t="s">
        <v>3862</v>
      </c>
      <c r="I3822" s="7">
        <v>1382000</v>
      </c>
      <c r="J3822" s="8">
        <v>3.7000000000000012E-2</v>
      </c>
    </row>
    <row r="3823" spans="1:10" x14ac:dyDescent="0.25">
      <c r="A3823" s="5" t="s">
        <v>3856</v>
      </c>
      <c r="B3823" s="5" t="s">
        <v>5690</v>
      </c>
      <c r="C3823" s="6" t="str">
        <f>_xll.QS.CONTEXT.CREATE("market.3821",A3823,"USD","SOFR")</f>
        <v>QSObject:PricingContext:w1~market.3821:14213</v>
      </c>
      <c r="D3823" s="6" t="str">
        <f>_xll.QS.CONTEXT.ADD.CURVE(C3823,"SOFR",$K$2:$K$7,$L$2:$L$7,,,"Actual360","LogLinear",TRUE)</f>
        <v>QSObject:ContextInput:w1~input.qs_context_add_curve.2359132437744.3822.3.0:36739</v>
      </c>
      <c r="E3823" s="6" t="str">
        <f>_xll.QS.INSTRUMENT.SWAP("swap.3821",H3823,B3823,"USD","SOFR",I3823,J3823,0,"Actual360","Simple","Annual","Annual","Annual")</f>
        <v>QSObject:Swap:w1~swap.3821:14212</v>
      </c>
      <c r="F3823" s="6" t="str">
        <f>_xll.QS.TRADE.CREATE("trade.3821",E3823,A3823,"Receive")</f>
        <v>QSObject:SwapTrade:w1~trade.3821:28022</v>
      </c>
      <c r="G3823" s="3">
        <f>_xll.QS.EVALUATE(C3823,F3823)</f>
        <v>32238.68885077814</v>
      </c>
      <c r="H3823" s="5" t="s">
        <v>3863</v>
      </c>
      <c r="I3823" s="7">
        <v>1382100</v>
      </c>
      <c r="J3823" s="8">
        <v>3.7100000000000001E-2</v>
      </c>
    </row>
    <row r="3824" spans="1:10" x14ac:dyDescent="0.25">
      <c r="A3824" s="5" t="s">
        <v>3857</v>
      </c>
      <c r="B3824" s="5" t="s">
        <v>5691</v>
      </c>
      <c r="C3824" s="6" t="str">
        <f>_xll.QS.CONTEXT.CREATE("market.3822",A3824,"USD","SOFR")</f>
        <v>QSObject:PricingContext:w1~market.3822:14211</v>
      </c>
      <c r="D3824" s="6" t="str">
        <f>_xll.QS.CONTEXT.ADD.CURVE(C3824,"SOFR",$K$2:$K$7,$L$2:$L$7,,,"Actual360","LogLinear",TRUE)</f>
        <v>QSObject:ContextInput:w1~input.qs_context_add_curve.2359132437744.3823.3.0:36738</v>
      </c>
      <c r="E3824" s="6" t="str">
        <f>_xll.QS.INSTRUMENT.SWAP("swap.3822",H3824,B3824,"USD","SOFR",I3824,J3824,0,"Actual360","Simple","Annual","Annual","Annual")</f>
        <v>QSObject:Swap:w1~swap.3822:14210</v>
      </c>
      <c r="F3824" s="6" t="str">
        <f>_xll.QS.TRADE.CREATE("trade.3822",E3824,A3824,"Receive")</f>
        <v>QSObject:SwapTrade:w1~trade.3822:28021</v>
      </c>
      <c r="G3824" s="3">
        <f>_xll.QS.EVALUATE(C3824,F3824)</f>
        <v>32936.695038001861</v>
      </c>
      <c r="H3824" s="5" t="s">
        <v>3864</v>
      </c>
      <c r="I3824" s="7">
        <v>1382200</v>
      </c>
      <c r="J3824" s="8">
        <v>3.7199999999999997E-2</v>
      </c>
    </row>
    <row r="3825" spans="1:10" x14ac:dyDescent="0.25">
      <c r="A3825" s="5" t="s">
        <v>3858</v>
      </c>
      <c r="B3825" s="5" t="s">
        <v>5692</v>
      </c>
      <c r="C3825" s="6" t="str">
        <f>_xll.QS.CONTEXT.CREATE("market.3823",A3825,"USD","SOFR")</f>
        <v>QSObject:PricingContext:w1~market.3823:14209</v>
      </c>
      <c r="D3825" s="6" t="str">
        <f>_xll.QS.CONTEXT.ADD.CURVE(C3825,"SOFR",$K$2:$K$7,$L$2:$L$7,,,"Actual360","LogLinear",TRUE)</f>
        <v>QSObject:ContextInput:w1~input.qs_context_add_curve.2359132437744.3824.3.0:36737</v>
      </c>
      <c r="E3825" s="6" t="str">
        <f>_xll.QS.INSTRUMENT.SWAP("swap.3823",H3825,B3825,"USD","SOFR",I3825,J3825,0,"Actual360","Simple","Annual","Annual","Annual")</f>
        <v>QSObject:Swap:w1~swap.3823:14208</v>
      </c>
      <c r="F3825" s="6" t="str">
        <f>_xll.QS.TRADE.CREATE("trade.3823",E3825,A3825,"Receive")</f>
        <v>QSObject:SwapTrade:w1~trade.3823:28020</v>
      </c>
      <c r="G3825" s="3">
        <f>_xll.QS.EVALUATE(C3825,F3825)</f>
        <v>33613.31981312867</v>
      </c>
      <c r="H3825" s="5" t="s">
        <v>3865</v>
      </c>
      <c r="I3825" s="7">
        <v>1382300</v>
      </c>
      <c r="J3825" s="8">
        <v>3.73E-2</v>
      </c>
    </row>
    <row r="3826" spans="1:10" x14ac:dyDescent="0.25">
      <c r="A3826" s="5" t="s">
        <v>3859</v>
      </c>
      <c r="B3826" s="5" t="s">
        <v>5693</v>
      </c>
      <c r="C3826" s="6" t="str">
        <f>_xll.QS.CONTEXT.CREATE("market.3824",A3826,"USD","SOFR")</f>
        <v>QSObject:PricingContext:w1~market.3824:14207</v>
      </c>
      <c r="D3826" s="6" t="str">
        <f>_xll.QS.CONTEXT.ADD.CURVE(C3826,"SOFR",$K$2:$K$7,$L$2:$L$7,,,"Actual360","LogLinear",TRUE)</f>
        <v>QSObject:ContextInput:w1~input.qs_context_add_curve.2359132437744.3825.3.0:36736</v>
      </c>
      <c r="E3826" s="6" t="str">
        <f>_xll.QS.INSTRUMENT.SWAP("swap.3824",H3826,B3826,"USD","SOFR",I3826,J3826,0,"Actual360","Simple","Annual","Annual","Annual")</f>
        <v>QSObject:Swap:w1~swap.3824:14206</v>
      </c>
      <c r="F3826" s="6" t="str">
        <f>_xll.QS.TRADE.CREATE("trade.3824",E3826,A3826,"Receive")</f>
        <v>QSObject:SwapTrade:w1~trade.3824:28019</v>
      </c>
      <c r="G3826" s="3">
        <f>_xll.QS.EVALUATE(C3826,F3826)</f>
        <v>34354.198460002917</v>
      </c>
      <c r="H3826" s="5" t="s">
        <v>3866</v>
      </c>
      <c r="I3826" s="7">
        <v>1382400</v>
      </c>
      <c r="J3826" s="8">
        <v>3.7400000000000003E-2</v>
      </c>
    </row>
    <row r="3827" spans="1:10" x14ac:dyDescent="0.25">
      <c r="A3827" s="5" t="s">
        <v>3860</v>
      </c>
      <c r="B3827" s="5" t="s">
        <v>5694</v>
      </c>
      <c r="C3827" s="6" t="str">
        <f>_xll.QS.CONTEXT.CREATE("market.3825",A3827,"USD","SOFR")</f>
        <v>QSObject:PricingContext:w1~market.3825:14205</v>
      </c>
      <c r="D3827" s="6" t="str">
        <f>_xll.QS.CONTEXT.ADD.CURVE(C3827,"SOFR",$K$2:$K$7,$L$2:$L$7,,,"Actual360","LogLinear",TRUE)</f>
        <v>QSObject:ContextInput:w1~input.qs_context_add_curve.2359132437744.3826.3.0:36735</v>
      </c>
      <c r="E3827" s="6" t="str">
        <f>_xll.QS.INSTRUMENT.SWAP("swap.3825",H3827,B3827,"USD","SOFR",I3827,J3827,0,"Actual360","Simple","Annual","Annual","Annual")</f>
        <v>QSObject:Swap:w1~swap.3825:14204</v>
      </c>
      <c r="F3827" s="6" t="str">
        <f>_xll.QS.TRADE.CREATE("trade.3825",E3827,A3827,"Receive")</f>
        <v>QSObject:SwapTrade:w1~trade.3825:28018</v>
      </c>
      <c r="G3827" s="3">
        <f>_xll.QS.EVALUATE(C3827,F3827)</f>
        <v>35054.818298251979</v>
      </c>
      <c r="H3827" s="5" t="s">
        <v>3867</v>
      </c>
      <c r="I3827" s="7">
        <v>1382500</v>
      </c>
      <c r="J3827" s="8">
        <v>3.7500000000000012E-2</v>
      </c>
    </row>
    <row r="3828" spans="1:10" x14ac:dyDescent="0.25">
      <c r="A3828" s="5" t="s">
        <v>3861</v>
      </c>
      <c r="B3828" s="5" t="s">
        <v>5695</v>
      </c>
      <c r="C3828" s="6" t="str">
        <f>_xll.QS.CONTEXT.CREATE("market.3826",A3828,"USD","SOFR")</f>
        <v>QSObject:PricingContext:w1~market.3826:14203</v>
      </c>
      <c r="D3828" s="6" t="str">
        <f>_xll.QS.CONTEXT.ADD.CURVE(C3828,"SOFR",$K$2:$K$7,$L$2:$L$7,,,"Actual360","LogLinear",TRUE)</f>
        <v>QSObject:ContextInput:w1~input.qs_context_add_curve.2359132437744.3827.3.0:36734</v>
      </c>
      <c r="E3828" s="6" t="str">
        <f>_xll.QS.INSTRUMENT.SWAP("swap.3826",H3828,B3828,"USD","SOFR",I3828,J3828,0,"Actual360","Simple","Annual","Annual","Annual")</f>
        <v>QSObject:Swap:w1~swap.3826:14202</v>
      </c>
      <c r="F3828" s="6" t="str">
        <f>_xll.QS.TRADE.CREATE("trade.3826",E3828,A3828,"Receive")</f>
        <v>QSObject:SwapTrade:w1~trade.3826:28017</v>
      </c>
      <c r="G3828" s="3">
        <f>_xll.QS.EVALUATE(C3828,F3828)</f>
        <v>35642.284341013299</v>
      </c>
      <c r="H3828" s="5" t="s">
        <v>3868</v>
      </c>
      <c r="I3828" s="7">
        <v>1382600</v>
      </c>
      <c r="J3828" s="8">
        <v>3.7600000000000001E-2</v>
      </c>
    </row>
    <row r="3829" spans="1:10" x14ac:dyDescent="0.25">
      <c r="A3829" s="5" t="s">
        <v>3862</v>
      </c>
      <c r="B3829" s="5" t="s">
        <v>5696</v>
      </c>
      <c r="C3829" s="6" t="str">
        <f>_xll.QS.CONTEXT.CREATE("market.3827",A3829,"USD","SOFR")</f>
        <v>QSObject:PricingContext:w1~market.3827:14201</v>
      </c>
      <c r="D3829" s="6" t="str">
        <f>_xll.QS.CONTEXT.ADD.CURVE(C3829,"SOFR",$K$2:$K$7,$L$2:$L$7,,,"Actual360","LogLinear",TRUE)</f>
        <v>QSObject:ContextInput:w1~input.qs_context_add_curve.2359132437744.3828.3.0:36733</v>
      </c>
      <c r="E3829" s="6" t="str">
        <f>_xll.QS.INSTRUMENT.SWAP("swap.3827",H3829,B3829,"USD","SOFR",I3829,J3829,0,"Actual360","Simple","Annual","Annual","Annual")</f>
        <v>QSObject:Swap:w1~swap.3827:14200</v>
      </c>
      <c r="F3829" s="6" t="str">
        <f>_xll.QS.TRADE.CREATE("trade.3827",E3829,A3829,"Receive")</f>
        <v>QSObject:SwapTrade:w1~trade.3827:28016</v>
      </c>
      <c r="G3829" s="3">
        <f>_xll.QS.EVALUATE(C3829,F3829)</f>
        <v>36180.632608257591</v>
      </c>
      <c r="H3829" s="5" t="s">
        <v>3869</v>
      </c>
      <c r="I3829" s="7">
        <v>1382700</v>
      </c>
      <c r="J3829" s="8">
        <v>3.7699999999999997E-2</v>
      </c>
    </row>
    <row r="3830" spans="1:10" x14ac:dyDescent="0.25">
      <c r="A3830" s="5" t="s">
        <v>3863</v>
      </c>
      <c r="B3830" s="5" t="s">
        <v>5697</v>
      </c>
      <c r="C3830" s="6" t="str">
        <f>_xll.QS.CONTEXT.CREATE("market.3828",A3830,"USD","SOFR")</f>
        <v>QSObject:PricingContext:w1~market.3828:14199</v>
      </c>
      <c r="D3830" s="6" t="str">
        <f>_xll.QS.CONTEXT.ADD.CURVE(C3830,"SOFR",$K$2:$K$7,$L$2:$L$7,,,"Actual360","LogLinear",TRUE)</f>
        <v>QSObject:ContextInput:w1~input.qs_context_add_curve.2359132437744.3829.3.0:36732</v>
      </c>
      <c r="E3830" s="6" t="str">
        <f>_xll.QS.INSTRUMENT.SWAP("swap.3828",H3830,B3830,"USD","SOFR",I3830,J3830,0,"Actual360","Simple","Annual","Annual","Annual")</f>
        <v>QSObject:Swap:w1~swap.3828:14198</v>
      </c>
      <c r="F3830" s="6" t="str">
        <f>_xll.QS.TRADE.CREATE("trade.3828",E3830,A3830,"Receive")</f>
        <v>QSObject:SwapTrade:w1~trade.3828:28015</v>
      </c>
      <c r="G3830" s="3">
        <f>_xll.QS.EVALUATE(C3830,F3830)</f>
        <v>36686.043514935525</v>
      </c>
      <c r="H3830" s="5" t="s">
        <v>3870</v>
      </c>
      <c r="I3830" s="7">
        <v>1382800</v>
      </c>
      <c r="J3830" s="8">
        <v>3.78E-2</v>
      </c>
    </row>
    <row r="3831" spans="1:10" x14ac:dyDescent="0.25">
      <c r="A3831" s="5" t="s">
        <v>3864</v>
      </c>
      <c r="B3831" s="5" t="s">
        <v>5698</v>
      </c>
      <c r="C3831" s="6" t="str">
        <f>_xll.QS.CONTEXT.CREATE("market.3829",A3831,"USD","SOFR")</f>
        <v>QSObject:PricingContext:w1~market.3829:14197</v>
      </c>
      <c r="D3831" s="6" t="str">
        <f>_xll.QS.CONTEXT.ADD.CURVE(C3831,"SOFR",$K$2:$K$7,$L$2:$L$7,,,"Actual360","LogLinear",TRUE)</f>
        <v>QSObject:ContextInput:w1~input.qs_context_add_curve.2359132437744.3830.3.0:36731</v>
      </c>
      <c r="E3831" s="6" t="str">
        <f>_xll.QS.INSTRUMENT.SWAP("swap.3829",H3831,B3831,"USD","SOFR",I3831,J3831,0,"Actual360","Simple","Annual","Annual","Annual")</f>
        <v>QSObject:Swap:w1~swap.3829:14196</v>
      </c>
      <c r="F3831" s="6" t="str">
        <f>_xll.QS.TRADE.CREATE("trade.3829",E3831,A3831,"Receive")</f>
        <v>QSObject:SwapTrade:w1~trade.3829:28014</v>
      </c>
      <c r="G3831" s="3">
        <f>_xll.QS.EVALUATE(C3831,F3831)</f>
        <v>37385.411417011623</v>
      </c>
      <c r="H3831" s="5" t="s">
        <v>3871</v>
      </c>
      <c r="I3831" s="7">
        <v>1382900</v>
      </c>
      <c r="J3831" s="8">
        <v>3.7900000000000003E-2</v>
      </c>
    </row>
    <row r="3832" spans="1:10" x14ac:dyDescent="0.25">
      <c r="A3832" s="5" t="s">
        <v>3865</v>
      </c>
      <c r="B3832" s="5" t="s">
        <v>5699</v>
      </c>
      <c r="C3832" s="6" t="str">
        <f>_xll.QS.CONTEXT.CREATE("market.3830",A3832,"USD","SOFR")</f>
        <v>QSObject:PricingContext:w1~market.3830:14195</v>
      </c>
      <c r="D3832" s="6" t="str">
        <f>_xll.QS.CONTEXT.ADD.CURVE(C3832,"SOFR",$K$2:$K$7,$L$2:$L$7,,,"Actual360","LogLinear",TRUE)</f>
        <v>QSObject:ContextInput:w1~input.qs_context_add_curve.2359132437744.3831.3.0:36730</v>
      </c>
      <c r="E3832" s="6" t="str">
        <f>_xll.QS.INSTRUMENT.SWAP("swap.3830",H3832,B3832,"USD","SOFR",I3832,J3832,0,"Actual360","Simple","Annual","Annual","Annual")</f>
        <v>QSObject:Swap:w1~swap.3830:14194</v>
      </c>
      <c r="F3832" s="6" t="str">
        <f>_xll.QS.TRADE.CREATE("trade.3830",E3832,A3832,"Receive")</f>
        <v>QSObject:SwapTrade:w1~trade.3830:28013</v>
      </c>
      <c r="G3832" s="3">
        <f>_xll.QS.EVALUATE(C3832,F3832)</f>
        <v>38035.47887361404</v>
      </c>
      <c r="H3832" s="5" t="s">
        <v>3872</v>
      </c>
      <c r="I3832" s="7">
        <v>1383000</v>
      </c>
      <c r="J3832" s="8">
        <v>3.8000000000000013E-2</v>
      </c>
    </row>
    <row r="3833" spans="1:10" x14ac:dyDescent="0.25">
      <c r="A3833" s="5" t="s">
        <v>3866</v>
      </c>
      <c r="B3833" s="5" t="s">
        <v>5700</v>
      </c>
      <c r="C3833" s="6" t="str">
        <f>_xll.QS.CONTEXT.CREATE("market.3831",A3833,"USD","SOFR")</f>
        <v>QSObject:PricingContext:w1~market.3831:14193</v>
      </c>
      <c r="D3833" s="6" t="str">
        <f>_xll.QS.CONTEXT.ADD.CURVE(C3833,"SOFR",$K$2:$K$7,$L$2:$L$7,,,"Actual360","LogLinear",TRUE)</f>
        <v>QSObject:ContextInput:w1~input.qs_context_add_curve.2359132437744.3832.3.0:36729</v>
      </c>
      <c r="E3833" s="6" t="str">
        <f>_xll.QS.INSTRUMENT.SWAP("swap.3831",H3833,B3833,"USD","SOFR",I3833,J3833,0,"Actual360","Simple","Annual","Annual","Annual")</f>
        <v>QSObject:Swap:w1~swap.3831:14192</v>
      </c>
      <c r="F3833" s="6" t="str">
        <f>_xll.QS.TRADE.CREATE("trade.3831",E3833,A3833,"Receive")</f>
        <v>QSObject:SwapTrade:w1~trade.3831:28012</v>
      </c>
      <c r="G3833" s="3">
        <f>_xll.QS.EVALUATE(C3833,F3833)</f>
        <v>38886.970221590906</v>
      </c>
      <c r="H3833" s="5" t="s">
        <v>3873</v>
      </c>
      <c r="I3833" s="7">
        <v>1383100</v>
      </c>
      <c r="J3833" s="8">
        <v>3.8100000000000002E-2</v>
      </c>
    </row>
    <row r="3834" spans="1:10" x14ac:dyDescent="0.25">
      <c r="A3834" s="5" t="s">
        <v>3867</v>
      </c>
      <c r="B3834" s="5" t="s">
        <v>5701</v>
      </c>
      <c r="C3834" s="6" t="str">
        <f>_xll.QS.CONTEXT.CREATE("market.3832",A3834,"USD","SOFR")</f>
        <v>QSObject:PricingContext:w1~market.3832:14191</v>
      </c>
      <c r="D3834" s="6" t="str">
        <f>_xll.QS.CONTEXT.ADD.CURVE(C3834,"SOFR",$K$2:$K$7,$L$2:$L$7,,,"Actual360","LogLinear",TRUE)</f>
        <v>QSObject:ContextInput:w1~input.qs_context_add_curve.2359132437744.3833.3.0:36728</v>
      </c>
      <c r="E3834" s="6" t="str">
        <f>_xll.QS.INSTRUMENT.SWAP("swap.3832",H3834,B3834,"USD","SOFR",I3834,J3834,0,"Actual360","Simple","Annual","Annual","Annual")</f>
        <v>QSObject:Swap:w1~swap.3832:14190</v>
      </c>
      <c r="F3834" s="6" t="str">
        <f>_xll.QS.TRADE.CREATE("trade.3832",E3834,A3834,"Receive")</f>
        <v>QSObject:SwapTrade:w1~trade.3832:28011</v>
      </c>
      <c r="G3834" s="3">
        <f>_xll.QS.EVALUATE(C3834,F3834)</f>
        <v>39538.671380880995</v>
      </c>
      <c r="H3834" s="5" t="s">
        <v>3874</v>
      </c>
      <c r="I3834" s="7">
        <v>1383200</v>
      </c>
      <c r="J3834" s="8">
        <v>3.8199999999999998E-2</v>
      </c>
    </row>
    <row r="3835" spans="1:10" x14ac:dyDescent="0.25">
      <c r="A3835" s="5" t="s">
        <v>3868</v>
      </c>
      <c r="B3835" s="5" t="s">
        <v>5702</v>
      </c>
      <c r="C3835" s="6" t="str">
        <f>_xll.QS.CONTEXT.CREATE("market.3833",A3835,"USD","SOFR")</f>
        <v>QSObject:PricingContext:w1~market.3833:14189</v>
      </c>
      <c r="D3835" s="6" t="str">
        <f>_xll.QS.CONTEXT.ADD.CURVE(C3835,"SOFR",$K$2:$K$7,$L$2:$L$7,,,"Actual360","LogLinear",TRUE)</f>
        <v>QSObject:ContextInput:w1~input.qs_context_add_curve.2359132437744.3834.3.0:36727</v>
      </c>
      <c r="E3835" s="6" t="str">
        <f>_xll.QS.INSTRUMENT.SWAP("swap.3833",H3835,B3835,"USD","SOFR",I3835,J3835,0,"Actual360","Simple","Annual","Annual","Annual")</f>
        <v>QSObject:Swap:w1~swap.3833:14188</v>
      </c>
      <c r="F3835" s="6" t="str">
        <f>_xll.QS.TRADE.CREATE("trade.3833",E3835,A3835,"Receive")</f>
        <v>QSObject:SwapTrade:w1~trade.3833:28010</v>
      </c>
      <c r="G3835" s="3">
        <f>_xll.QS.EVALUATE(C3835,F3835)</f>
        <v>40180.766057355992</v>
      </c>
      <c r="H3835" s="5" t="s">
        <v>3875</v>
      </c>
      <c r="I3835" s="7">
        <v>1383300</v>
      </c>
      <c r="J3835" s="8">
        <v>3.8300000000000001E-2</v>
      </c>
    </row>
    <row r="3836" spans="1:10" x14ac:dyDescent="0.25">
      <c r="A3836" s="5" t="s">
        <v>3869</v>
      </c>
      <c r="B3836" s="5" t="s">
        <v>5703</v>
      </c>
      <c r="C3836" s="6" t="str">
        <f>_xll.QS.CONTEXT.CREATE("market.3834",A3836,"USD","SOFR")</f>
        <v>QSObject:PricingContext:w1~market.3834:14187</v>
      </c>
      <c r="D3836" s="6" t="str">
        <f>_xll.QS.CONTEXT.ADD.CURVE(C3836,"SOFR",$K$2:$K$7,$L$2:$L$7,,,"Actual360","LogLinear",TRUE)</f>
        <v>QSObject:ContextInput:w1~input.qs_context_add_curve.2359132437744.3835.3.0:36726</v>
      </c>
      <c r="E3836" s="6" t="str">
        <f>_xll.QS.INSTRUMENT.SWAP("swap.3834",H3836,B3836,"USD","SOFR",I3836,J3836,0,"Actual360","Simple","Annual","Annual","Annual")</f>
        <v>QSObject:Swap:w1~swap.3834:14186</v>
      </c>
      <c r="F3836" s="6" t="str">
        <f>_xll.QS.TRADE.CREATE("trade.3834",E3836,A3836,"Receive")</f>
        <v>QSObject:SwapTrade:w1~trade.3834:28009</v>
      </c>
      <c r="G3836" s="3">
        <f>_xll.QS.EVALUATE(C3836,F3836)</f>
        <v>40715.302906052748</v>
      </c>
      <c r="H3836" s="5" t="s">
        <v>3876</v>
      </c>
      <c r="I3836" s="7">
        <v>1383400</v>
      </c>
      <c r="J3836" s="8">
        <v>3.8399999999999997E-2</v>
      </c>
    </row>
    <row r="3837" spans="1:10" x14ac:dyDescent="0.25">
      <c r="A3837" s="5" t="s">
        <v>3870</v>
      </c>
      <c r="B3837" s="5" t="s">
        <v>5704</v>
      </c>
      <c r="C3837" s="6" t="str">
        <f>_xll.QS.CONTEXT.CREATE("market.3835",A3837,"USD","SOFR")</f>
        <v>QSObject:PricingContext:w1~market.3835:14185</v>
      </c>
      <c r="D3837" s="6" t="str">
        <f>_xll.QS.CONTEXT.ADD.CURVE(C3837,"SOFR",$K$2:$K$7,$L$2:$L$7,,,"Actual360","LogLinear",TRUE)</f>
        <v>QSObject:ContextInput:w1~input.qs_context_add_curve.2359132437744.3836.3.0:36725</v>
      </c>
      <c r="E3837" s="6" t="str">
        <f>_xll.QS.INSTRUMENT.SWAP("swap.3835",H3837,B3837,"USD","SOFR",I3837,J3837,0,"Actual360","Simple","Annual","Annual","Annual")</f>
        <v>QSObject:Swap:w1~swap.3835:14184</v>
      </c>
      <c r="F3837" s="6" t="str">
        <f>_xll.QS.TRADE.CREATE("trade.3835",E3837,A3837,"Receive")</f>
        <v>QSObject:SwapTrade:w1~trade.3835:28008</v>
      </c>
      <c r="G3837" s="3">
        <f>_xll.QS.EVALUATE(C3837,F3837)</f>
        <v>41262.376405604395</v>
      </c>
      <c r="H3837" s="5" t="s">
        <v>3877</v>
      </c>
      <c r="I3837" s="7">
        <v>1383500</v>
      </c>
      <c r="J3837" s="8">
        <v>3.8500000000000013E-2</v>
      </c>
    </row>
    <row r="3838" spans="1:10" x14ac:dyDescent="0.25">
      <c r="A3838" s="5" t="s">
        <v>3871</v>
      </c>
      <c r="B3838" s="5" t="s">
        <v>5705</v>
      </c>
      <c r="C3838" s="6" t="str">
        <f>_xll.QS.CONTEXT.CREATE("market.3836",A3838,"USD","SOFR")</f>
        <v>QSObject:PricingContext:w1~market.3836:14183</v>
      </c>
      <c r="D3838" s="6" t="str">
        <f>_xll.QS.CONTEXT.ADD.CURVE(C3838,"SOFR",$K$2:$K$7,$L$2:$L$7,,,"Actual360","LogLinear",TRUE)</f>
        <v>QSObject:ContextInput:w1~input.qs_context_add_curve.2359132437744.3837.3.0:36724</v>
      </c>
      <c r="E3838" s="6" t="str">
        <f>_xll.QS.INSTRUMENT.SWAP("swap.3836",H3838,B3838,"USD","SOFR",I3838,J3838,0,"Actual360","Simple","Annual","Annual","Annual")</f>
        <v>QSObject:Swap:w1~swap.3836:14182</v>
      </c>
      <c r="F3838" s="6" t="str">
        <f>_xll.QS.TRADE.CREATE("trade.3836",E3838,A3838,"Receive")</f>
        <v>QSObject:SwapTrade:w1~trade.3836:28007</v>
      </c>
      <c r="G3838" s="3">
        <f>_xll.QS.EVALUATE(C3838,F3838)</f>
        <v>41962.358448081046</v>
      </c>
      <c r="H3838" s="5" t="s">
        <v>3878</v>
      </c>
      <c r="I3838" s="7">
        <v>1383600</v>
      </c>
      <c r="J3838" s="8">
        <v>3.8600000000000002E-2</v>
      </c>
    </row>
    <row r="3839" spans="1:10" x14ac:dyDescent="0.25">
      <c r="A3839" s="5" t="s">
        <v>3872</v>
      </c>
      <c r="B3839" s="5" t="s">
        <v>5706</v>
      </c>
      <c r="C3839" s="6" t="str">
        <f>_xll.QS.CONTEXT.CREATE("market.3837",A3839,"USD","SOFR")</f>
        <v>QSObject:PricingContext:w1~market.3837:14181</v>
      </c>
      <c r="D3839" s="6" t="str">
        <f>_xll.QS.CONTEXT.ADD.CURVE(C3839,"SOFR",$K$2:$K$7,$L$2:$L$7,,,"Actual360","LogLinear",TRUE)</f>
        <v>QSObject:ContextInput:w1~input.qs_context_add_curve.2359132437744.3838.3.0:36723</v>
      </c>
      <c r="E3839" s="6" t="str">
        <f>_xll.QS.INSTRUMENT.SWAP("swap.3837",H3839,B3839,"USD","SOFR",I3839,J3839,0,"Actual360","Simple","Annual","Annual","Annual")</f>
        <v>QSObject:Swap:w1~swap.3837:14180</v>
      </c>
      <c r="F3839" s="6" t="str">
        <f>_xll.QS.TRADE.CREATE("trade.3837",E3839,A3839,"Receive")</f>
        <v>QSObject:SwapTrade:w1~trade.3837:28006</v>
      </c>
      <c r="G3839" s="3">
        <f>_xll.QS.EVALUATE(C3839,F3839)</f>
        <v>42580.321365654127</v>
      </c>
      <c r="H3839" s="5" t="s">
        <v>3879</v>
      </c>
      <c r="I3839" s="7">
        <v>1383700</v>
      </c>
      <c r="J3839" s="8">
        <v>3.8700000000000012E-2</v>
      </c>
    </row>
    <row r="3840" spans="1:10" x14ac:dyDescent="0.25">
      <c r="A3840" s="5" t="s">
        <v>3873</v>
      </c>
      <c r="B3840" s="5" t="s">
        <v>5707</v>
      </c>
      <c r="C3840" s="6" t="str">
        <f>_xll.QS.CONTEXT.CREATE("market.3838",A3840,"USD","SOFR")</f>
        <v>QSObject:PricingContext:w1~market.3838:14179</v>
      </c>
      <c r="D3840" s="6" t="str">
        <f>_xll.QS.CONTEXT.ADD.CURVE(C3840,"SOFR",$K$2:$K$7,$L$2:$L$7,,,"Actual360","LogLinear",TRUE)</f>
        <v>QSObject:ContextInput:w1~input.qs_context_add_curve.2359132437744.3839.3.0:36722</v>
      </c>
      <c r="E3840" s="6" t="str">
        <f>_xll.QS.INSTRUMENT.SWAP("swap.3838",H3840,B3840,"USD","SOFR",I3840,J3840,0,"Actual360","Simple","Annual","Annual","Annual")</f>
        <v>QSObject:Swap:w1~swap.3838:14178</v>
      </c>
      <c r="F3840" s="6" t="str">
        <f>_xll.QS.TRADE.CREATE("trade.3838",E3840,A3840,"Receive")</f>
        <v>QSObject:SwapTrade:w1~trade.3838:28005</v>
      </c>
      <c r="G3840" s="3">
        <f>_xll.QS.EVALUATE(C3840,F3840)</f>
        <v>43322.726003303709</v>
      </c>
      <c r="H3840" s="5" t="s">
        <v>3880</v>
      </c>
      <c r="I3840" s="7">
        <v>1383800</v>
      </c>
      <c r="J3840" s="8">
        <v>3.8800000000000001E-2</v>
      </c>
    </row>
    <row r="3841" spans="1:10" x14ac:dyDescent="0.25">
      <c r="A3841" s="5" t="s">
        <v>3874</v>
      </c>
      <c r="B3841" s="5" t="s">
        <v>5708</v>
      </c>
      <c r="C3841" s="6" t="str">
        <f>_xll.QS.CONTEXT.CREATE("market.3839",A3841,"USD","SOFR")</f>
        <v>QSObject:PricingContext:w1~market.3839:14177</v>
      </c>
      <c r="D3841" s="6" t="str">
        <f>_xll.QS.CONTEXT.ADD.CURVE(C3841,"SOFR",$K$2:$K$7,$L$2:$L$7,,,"Actual360","LogLinear",TRUE)</f>
        <v>QSObject:ContextInput:w1~input.qs_context_add_curve.2359132437744.3840.3.0:36721</v>
      </c>
      <c r="E3841" s="6" t="str">
        <f>_xll.QS.INSTRUMENT.SWAP("swap.3839",H3841,B3841,"USD","SOFR",I3841,J3841,0,"Actual360","Simple","Annual","Annual","Annual")</f>
        <v>QSObject:Swap:w1~swap.3839:14176</v>
      </c>
      <c r="F3841" s="6" t="str">
        <f>_xll.QS.TRADE.CREATE("trade.3839",E3841,A3841,"Receive")</f>
        <v>QSObject:SwapTrade:w1~trade.3839:28004</v>
      </c>
      <c r="G3841" s="3">
        <f>_xll.QS.EVALUATE(C3841,F3841)</f>
        <v>44024.595987845991</v>
      </c>
      <c r="H3841" s="5" t="s">
        <v>3881</v>
      </c>
      <c r="I3841" s="7">
        <v>1383900</v>
      </c>
      <c r="J3841" s="8">
        <v>3.8899999999999997E-2</v>
      </c>
    </row>
    <row r="3842" spans="1:10" x14ac:dyDescent="0.25">
      <c r="A3842" s="5" t="s">
        <v>3875</v>
      </c>
      <c r="B3842" s="5" t="s">
        <v>5709</v>
      </c>
      <c r="C3842" s="6" t="str">
        <f>_xll.QS.CONTEXT.CREATE("market.3840",A3842,"USD","SOFR")</f>
        <v>QSObject:PricingContext:w1~market.3840:14175</v>
      </c>
      <c r="D3842" s="6" t="str">
        <f>_xll.QS.CONTEXT.ADD.CURVE(C3842,"SOFR",$K$2:$K$7,$L$2:$L$7,,,"Actual360","LogLinear",TRUE)</f>
        <v>QSObject:ContextInput:w1~input.qs_context_add_curve.2359132437744.3841.3.0:36720</v>
      </c>
      <c r="E3842" s="6" t="str">
        <f>_xll.QS.INSTRUMENT.SWAP("swap.3840",H3842,B3842,"USD","SOFR",I3842,J3842,0,"Actual360","Simple","Annual","Annual","Annual")</f>
        <v>QSObject:Swap:w1~swap.3840:14174</v>
      </c>
      <c r="F3842" s="6" t="str">
        <f>_xll.QS.TRADE.CREATE("trade.3840",E3842,A3842,"Receive")</f>
        <v>QSObject:SwapTrade:w1~trade.3840:28003</v>
      </c>
      <c r="G3842" s="3">
        <f>_xll.QS.EVALUATE(C3842,F3842)</f>
        <v>44612.558855447656</v>
      </c>
      <c r="H3842" s="5" t="s">
        <v>3882</v>
      </c>
      <c r="I3842" s="7">
        <v>1384000</v>
      </c>
      <c r="J3842" s="8">
        <v>3.9000000000000007E-2</v>
      </c>
    </row>
    <row r="3843" spans="1:10" x14ac:dyDescent="0.25">
      <c r="A3843" s="5" t="s">
        <v>3876</v>
      </c>
      <c r="B3843" s="5" t="s">
        <v>5710</v>
      </c>
      <c r="C3843" s="6" t="str">
        <f>_xll.QS.CONTEXT.CREATE("market.3841",A3843,"USD","SOFR")</f>
        <v>QSObject:PricingContext:w1~market.3841:14173</v>
      </c>
      <c r="D3843" s="6" t="str">
        <f>_xll.QS.CONTEXT.ADD.CURVE(C3843,"SOFR",$K$2:$K$7,$L$2:$L$7,,,"Actual360","LogLinear",TRUE)</f>
        <v>QSObject:ContextInput:w1~input.qs_context_add_curve.2359132437744.3842.3.0:36719</v>
      </c>
      <c r="E3843" s="6" t="str">
        <f>_xll.QS.INSTRUMENT.SWAP("swap.3841",H3843,B3843,"USD","SOFR",I3843,J3843,0,"Actual360","Simple","Annual","Annual","Annual")</f>
        <v>QSObject:Swap:w1~swap.3841:14172</v>
      </c>
      <c r="F3843" s="6" t="str">
        <f>_xll.QS.TRADE.CREATE("trade.3841",E3843,A3843,"Receive")</f>
        <v>QSObject:SwapTrade:w1~trade.3841:28002</v>
      </c>
      <c r="G3843" s="3">
        <f>_xll.QS.EVALUATE(C3843,F3843)</f>
        <v>45142.421992185162</v>
      </c>
      <c r="H3843" s="5" t="s">
        <v>3883</v>
      </c>
      <c r="I3843" s="7">
        <v>1384100</v>
      </c>
      <c r="J3843" s="8">
        <v>3.9100000000000003E-2</v>
      </c>
    </row>
    <row r="3844" spans="1:10" x14ac:dyDescent="0.25">
      <c r="A3844" s="5" t="s">
        <v>3877</v>
      </c>
      <c r="B3844" s="5" t="s">
        <v>5711</v>
      </c>
      <c r="C3844" s="6" t="str">
        <f>_xll.QS.CONTEXT.CREATE("market.3842",A3844,"USD","SOFR")</f>
        <v>QSObject:PricingContext:w1~market.3842:14171</v>
      </c>
      <c r="D3844" s="6" t="str">
        <f>_xll.QS.CONTEXT.ADD.CURVE(C3844,"SOFR",$K$2:$K$7,$L$2:$L$7,,,"Actual360","LogLinear",TRUE)</f>
        <v>QSObject:ContextInput:w1~input.qs_context_add_curve.2359132437744.3843.3.0:36718</v>
      </c>
      <c r="E3844" s="6" t="str">
        <f>_xll.QS.INSTRUMENT.SWAP("swap.3842",H3844,B3844,"USD","SOFR",I3844,J3844,0,"Actual360","Simple","Annual","Annual","Annual")</f>
        <v>QSObject:Swap:w1~swap.3842:14170</v>
      </c>
      <c r="F3844" s="6" t="str">
        <f>_xll.QS.TRADE.CREATE("trade.3842",E3844,A3844,"Receive")</f>
        <v>QSObject:SwapTrade:w1~trade.3842:28001</v>
      </c>
      <c r="G3844" s="3">
        <f>_xll.QS.EVALUATE(C3844,F3844)</f>
        <v>45697.155893995179</v>
      </c>
      <c r="H3844" s="5" t="s">
        <v>3884</v>
      </c>
      <c r="I3844" s="7">
        <v>1384200</v>
      </c>
      <c r="J3844" s="8">
        <v>3.9200000000000013E-2</v>
      </c>
    </row>
    <row r="3845" spans="1:10" x14ac:dyDescent="0.25">
      <c r="A3845" s="5" t="s">
        <v>3878</v>
      </c>
      <c r="B3845" s="5" t="s">
        <v>5712</v>
      </c>
      <c r="C3845" s="6" t="str">
        <f>_xll.QS.CONTEXT.CREATE("market.3843",A3845,"USD","SOFR")</f>
        <v>QSObject:PricingContext:w1~market.3843:14169</v>
      </c>
      <c r="D3845" s="6" t="str">
        <f>_xll.QS.CONTEXT.ADD.CURVE(C3845,"SOFR",$K$2:$K$7,$L$2:$L$7,,,"Actual360","LogLinear",TRUE)</f>
        <v>QSObject:ContextInput:w1~input.qs_context_add_curve.2359132437744.3844.3.0:36717</v>
      </c>
      <c r="E3845" s="6" t="str">
        <f>_xll.QS.INSTRUMENT.SWAP("swap.3843",H3845,B3845,"USD","SOFR",I3845,J3845,0,"Actual360","Simple","Annual","Annual","Annual")</f>
        <v>QSObject:Swap:w1~swap.3843:14168</v>
      </c>
      <c r="F3845" s="6" t="str">
        <f>_xll.QS.TRADE.CREATE("trade.3843",E3845,A3845,"Receive")</f>
        <v>QSObject:SwapTrade:w1~trade.3843:28000</v>
      </c>
      <c r="G3845" s="3">
        <f>_xll.QS.EVALUATE(C3845,F3845)</f>
        <v>46398.48636969614</v>
      </c>
      <c r="H3845" s="5" t="s">
        <v>3885</v>
      </c>
      <c r="I3845" s="7">
        <v>1384300</v>
      </c>
      <c r="J3845" s="8">
        <v>3.9300000000000002E-2</v>
      </c>
    </row>
    <row r="3846" spans="1:10" x14ac:dyDescent="0.25">
      <c r="A3846" s="5" t="s">
        <v>3879</v>
      </c>
      <c r="B3846" s="5" t="s">
        <v>5713</v>
      </c>
      <c r="C3846" s="6" t="str">
        <f>_xll.QS.CONTEXT.CREATE("market.3844",A3846,"USD","SOFR")</f>
        <v>QSObject:PricingContext:w1~market.3844:14167</v>
      </c>
      <c r="D3846" s="6" t="str">
        <f>_xll.QS.CONTEXT.ADD.CURVE(C3846,"SOFR",$K$2:$K$7,$L$2:$L$7,,,"Actual360","LogLinear",TRUE)</f>
        <v>QSObject:ContextInput:w1~input.qs_context_add_curve.2359132437744.3845.3.0:36716</v>
      </c>
      <c r="E3846" s="6" t="str">
        <f>_xll.QS.INSTRUMENT.SWAP("swap.3844",H3846,B3846,"USD","SOFR",I3846,J3846,0,"Actual360","Simple","Annual","Annual","Annual")</f>
        <v>QSObject:Swap:w1~swap.3844:14166</v>
      </c>
      <c r="F3846" s="6" t="str">
        <f>_xll.QS.TRADE.CREATE("trade.3844",E3846,A3846,"Receive")</f>
        <v>QSObject:SwapTrade:w1~trade.3844:27999</v>
      </c>
      <c r="G3846" s="3">
        <f>_xll.QS.EVALUATE(C3846,F3846)</f>
        <v>47070.600783033617</v>
      </c>
      <c r="H3846" s="5" t="s">
        <v>3886</v>
      </c>
      <c r="I3846" s="7">
        <v>1384400</v>
      </c>
      <c r="J3846" s="8">
        <v>3.9399999999999998E-2</v>
      </c>
    </row>
    <row r="3847" spans="1:10" x14ac:dyDescent="0.25">
      <c r="A3847" s="5" t="s">
        <v>3880</v>
      </c>
      <c r="B3847" s="5" t="s">
        <v>5714</v>
      </c>
      <c r="C3847" s="6" t="str">
        <f>_xll.QS.CONTEXT.CREATE("market.3845",A3847,"USD","SOFR")</f>
        <v>QSObject:PricingContext:w1~market.3845:14165</v>
      </c>
      <c r="D3847" s="6" t="str">
        <f>_xll.QS.CONTEXT.ADD.CURVE(C3847,"SOFR",$K$2:$K$7,$L$2:$L$7,,,"Actual360","LogLinear",TRUE)</f>
        <v>QSObject:ContextInput:w1~input.qs_context_add_curve.2359132437744.3846.3.0:36715</v>
      </c>
      <c r="E3847" s="6" t="str">
        <f>_xll.QS.INSTRUMENT.SWAP("swap.3845",H3847,B3847,"USD","SOFR",I3847,J3847,0,"Actual360","Simple","Annual","Annual","Annual")</f>
        <v>QSObject:Swap:w1~swap.3845:14164</v>
      </c>
      <c r="F3847" s="6" t="str">
        <f>_xll.QS.TRADE.CREATE("trade.3845",E3847,A3847,"Receive")</f>
        <v>QSObject:SwapTrade:w1~trade.3845:27998</v>
      </c>
      <c r="G3847" s="3">
        <f>_xll.QS.EVALUATE(C3847,F3847)</f>
        <v>47813.768516653268</v>
      </c>
      <c r="H3847" s="5" t="s">
        <v>3887</v>
      </c>
      <c r="I3847" s="7">
        <v>1384500</v>
      </c>
      <c r="J3847" s="8">
        <v>3.9500000000000007E-2</v>
      </c>
    </row>
    <row r="3848" spans="1:10" x14ac:dyDescent="0.25">
      <c r="A3848" s="5" t="s">
        <v>3881</v>
      </c>
      <c r="B3848" s="5" t="s">
        <v>5715</v>
      </c>
      <c r="C3848" s="6" t="str">
        <f>_xll.QS.CONTEXT.CREATE("market.3846",A3848,"USD","SOFR")</f>
        <v>QSObject:PricingContext:w1~market.3846:14163</v>
      </c>
      <c r="D3848" s="6" t="str">
        <f>_xll.QS.CONTEXT.ADD.CURVE(C3848,"SOFR",$K$2:$K$7,$L$2:$L$7,,,"Actual360","LogLinear",TRUE)</f>
        <v>QSObject:ContextInput:w1~input.qs_context_add_curve.2359132437744.3847.3.0:36714</v>
      </c>
      <c r="E3848" s="6" t="str">
        <f>_xll.QS.INSTRUMENT.SWAP("swap.3846",H3848,B3848,"USD","SOFR",I3848,J3848,0,"Actual360","Simple","Annual","Annual","Annual")</f>
        <v>QSObject:Swap:w1~swap.3846:14162</v>
      </c>
      <c r="F3848" s="6" t="str">
        <f>_xll.QS.TRADE.CREATE("trade.3846",E3848,A3848,"Receive")</f>
        <v>QSObject:SwapTrade:w1~trade.3846:27997</v>
      </c>
      <c r="G3848" s="3">
        <f>_xll.QS.EVALUATE(C3848,F3848)</f>
        <v>48516.366049797645</v>
      </c>
      <c r="H3848" s="5" t="s">
        <v>3888</v>
      </c>
      <c r="I3848" s="7">
        <v>1384600</v>
      </c>
      <c r="J3848" s="8">
        <v>3.9600000000000003E-2</v>
      </c>
    </row>
    <row r="3849" spans="1:10" x14ac:dyDescent="0.25">
      <c r="A3849" s="5" t="s">
        <v>3882</v>
      </c>
      <c r="B3849" s="5" t="s">
        <v>5716</v>
      </c>
      <c r="C3849" s="6" t="str">
        <f>_xll.QS.CONTEXT.CREATE("market.3847",A3849,"USD","SOFR")</f>
        <v>QSObject:PricingContext:w1~market.3847:14161</v>
      </c>
      <c r="D3849" s="6" t="str">
        <f>_xll.QS.CONTEXT.ADD.CURVE(C3849,"SOFR",$K$2:$K$7,$L$2:$L$7,,,"Actual360","LogLinear",TRUE)</f>
        <v>QSObject:ContextInput:w1~input.qs_context_add_curve.2359132437744.3848.3.0:36713</v>
      </c>
      <c r="E3849" s="6" t="str">
        <f>_xll.QS.INSTRUMENT.SWAP("swap.3847",H3849,B3849,"USD","SOFR",I3849,J3849,0,"Actual360","Simple","Annual","Annual","Annual")</f>
        <v>QSObject:Swap:w1~swap.3847:14160</v>
      </c>
      <c r="F3849" s="6" t="str">
        <f>_xll.QS.TRADE.CREATE("trade.3847",E3849,A3849,"Receive")</f>
        <v>QSObject:SwapTrade:w1~trade.3847:27996</v>
      </c>
      <c r="G3849" s="3">
        <f>_xll.QS.EVALUATE(C3849,F3849)</f>
        <v>49104.899187487128</v>
      </c>
      <c r="H3849" s="5" t="s">
        <v>3889</v>
      </c>
      <c r="I3849" s="7">
        <v>1384700</v>
      </c>
      <c r="J3849" s="8">
        <v>3.9700000000000013E-2</v>
      </c>
    </row>
    <row r="3850" spans="1:10" x14ac:dyDescent="0.25">
      <c r="A3850" s="5" t="s">
        <v>3883</v>
      </c>
      <c r="B3850" s="5" t="s">
        <v>5717</v>
      </c>
      <c r="C3850" s="6" t="str">
        <f>_xll.QS.CONTEXT.CREATE("market.3848",A3850,"USD","SOFR")</f>
        <v>QSObject:PricingContext:w1~market.3848:14159</v>
      </c>
      <c r="D3850" s="6" t="str">
        <f>_xll.QS.CONTEXT.ADD.CURVE(C3850,"SOFR",$K$2:$K$7,$L$2:$L$7,,,"Actual360","LogLinear",TRUE)</f>
        <v>QSObject:ContextInput:w1~input.qs_context_add_curve.2359132437744.3849.3.0:36712</v>
      </c>
      <c r="E3850" s="6" t="str">
        <f>_xll.QS.INSTRUMENT.SWAP("swap.3848",H3850,B3850,"USD","SOFR",I3850,J3850,0,"Actual360","Simple","Annual","Annual","Annual")</f>
        <v>QSObject:Swap:w1~swap.3848:14158</v>
      </c>
      <c r="F3850" s="6" t="str">
        <f>_xll.QS.TRADE.CREATE("trade.3848",E3850,A3850,"Receive")</f>
        <v>QSObject:SwapTrade:w1~trade.3848:27995</v>
      </c>
      <c r="G3850" s="3">
        <f>_xll.QS.EVALUATE(C3850,F3850)</f>
        <v>49630.087447729093</v>
      </c>
      <c r="H3850" s="5" t="s">
        <v>3890</v>
      </c>
      <c r="I3850" s="7">
        <v>1384800</v>
      </c>
      <c r="J3850" s="8">
        <v>3.9800000000000002E-2</v>
      </c>
    </row>
    <row r="3851" spans="1:10" x14ac:dyDescent="0.25">
      <c r="A3851" s="5" t="s">
        <v>3884</v>
      </c>
      <c r="B3851" s="5" t="s">
        <v>5718</v>
      </c>
      <c r="C3851" s="6" t="str">
        <f>_xll.QS.CONTEXT.CREATE("market.3849",A3851,"USD","SOFR")</f>
        <v>QSObject:PricingContext:w1~market.3849:14157</v>
      </c>
      <c r="D3851" s="6" t="str">
        <f>_xll.QS.CONTEXT.ADD.CURVE(C3851,"SOFR",$K$2:$K$7,$L$2:$L$7,,,"Actual360","LogLinear",TRUE)</f>
        <v>QSObject:ContextInput:w1~input.qs_context_add_curve.2359132437744.3850.3.0:36711</v>
      </c>
      <c r="E3851" s="6" t="str">
        <f>_xll.QS.INSTRUMENT.SWAP("swap.3849",H3851,B3851,"USD","SOFR",I3851,J3851,0,"Actual360","Simple","Annual","Annual","Annual")</f>
        <v>QSObject:Swap:w1~swap.3849:14156</v>
      </c>
      <c r="F3851" s="6" t="str">
        <f>_xll.QS.TRADE.CREATE("trade.3849",E3851,A3851,"Receive")</f>
        <v>QSObject:SwapTrade:w1~trade.3849:27994</v>
      </c>
      <c r="G3851" s="3">
        <f>_xll.QS.EVALUATE(C3851,F3851)</f>
        <v>50192.353272218425</v>
      </c>
      <c r="H3851" s="5" t="s">
        <v>3891</v>
      </c>
      <c r="I3851" s="7">
        <v>1384900</v>
      </c>
      <c r="J3851" s="8">
        <v>3.9899999999999998E-2</v>
      </c>
    </row>
    <row r="3852" spans="1:10" x14ac:dyDescent="0.25">
      <c r="A3852" s="5" t="s">
        <v>3885</v>
      </c>
      <c r="B3852" s="5" t="s">
        <v>5719</v>
      </c>
      <c r="C3852" s="6" t="str">
        <f>_xll.QS.CONTEXT.CREATE("market.3850",A3852,"USD","SOFR")</f>
        <v>QSObject:PricingContext:w1~market.3850:14155</v>
      </c>
      <c r="D3852" s="6" t="str">
        <f>_xll.QS.CONTEXT.ADD.CURVE(C3852,"SOFR",$K$2:$K$7,$L$2:$L$7,,,"Actual360","LogLinear",TRUE)</f>
        <v>QSObject:ContextInput:w1~input.qs_context_add_curve.2359132437744.3851.3.0:36710</v>
      </c>
      <c r="E3852" s="6" t="str">
        <f>_xll.QS.INSTRUMENT.SWAP("swap.3850",H3852,B3852,"USD","SOFR",I3852,J3852,0,"Actual360","Simple","Annual","Annual","Annual")</f>
        <v>QSObject:Swap:w1~swap.3850:14154</v>
      </c>
      <c r="F3852" s="6" t="str">
        <f>_xll.QS.TRADE.CREATE("trade.3850",E3852,A3852,"Receive")</f>
        <v>QSObject:SwapTrade:w1~trade.3850:27993</v>
      </c>
      <c r="G3852" s="3">
        <f>_xll.QS.EVALUATE(C3852,F3852)</f>
        <v>18945.907054134492</v>
      </c>
      <c r="H3852" s="5" t="s">
        <v>3892</v>
      </c>
      <c r="I3852" s="7">
        <v>1385000</v>
      </c>
      <c r="J3852" s="8">
        <v>3.5000000000000003E-2</v>
      </c>
    </row>
    <row r="3853" spans="1:10" x14ac:dyDescent="0.25">
      <c r="A3853" s="5" t="s">
        <v>3886</v>
      </c>
      <c r="B3853" s="5" t="s">
        <v>5720</v>
      </c>
      <c r="C3853" s="6" t="str">
        <f>_xll.QS.CONTEXT.CREATE("market.3851",A3853,"USD","SOFR")</f>
        <v>QSObject:PricingContext:w1~market.3851:14153</v>
      </c>
      <c r="D3853" s="6" t="str">
        <f>_xll.QS.CONTEXT.ADD.CURVE(C3853,"SOFR",$K$2:$K$7,$L$2:$L$7,,,"Actual360","LogLinear",TRUE)</f>
        <v>QSObject:ContextInput:w1~input.qs_context_add_curve.2359132437744.3852.3.0:36709</v>
      </c>
      <c r="E3853" s="6" t="str">
        <f>_xll.QS.INSTRUMENT.SWAP("swap.3851",H3853,B3853,"USD","SOFR",I3853,J3853,0,"Actual360","Simple","Annual","Annual","Annual")</f>
        <v>QSObject:Swap:w1~swap.3851:14152</v>
      </c>
      <c r="F3853" s="6" t="str">
        <f>_xll.QS.TRADE.CREATE("trade.3851",E3853,A3853,"Receive")</f>
        <v>QSObject:SwapTrade:w1~trade.3851:27992</v>
      </c>
      <c r="G3853" s="3">
        <f>_xll.QS.EVALUATE(C3853,F3853)</f>
        <v>19629.699255722189</v>
      </c>
      <c r="H3853" s="5" t="s">
        <v>3893</v>
      </c>
      <c r="I3853" s="7">
        <v>1385100</v>
      </c>
      <c r="J3853" s="8">
        <v>3.5100000000000013E-2</v>
      </c>
    </row>
    <row r="3854" spans="1:10" x14ac:dyDescent="0.25">
      <c r="A3854" s="5" t="s">
        <v>3887</v>
      </c>
      <c r="B3854" s="5" t="s">
        <v>5721</v>
      </c>
      <c r="C3854" s="6" t="str">
        <f>_xll.QS.CONTEXT.CREATE("market.3852",A3854,"USD","SOFR")</f>
        <v>QSObject:PricingContext:w1~market.3852:14151</v>
      </c>
      <c r="D3854" s="6" t="str">
        <f>_xll.QS.CONTEXT.ADD.CURVE(C3854,"SOFR",$K$2:$K$7,$L$2:$L$7,,,"Actual360","LogLinear",TRUE)</f>
        <v>QSObject:ContextInput:w1~input.qs_context_add_curve.2359132437744.3853.3.0:36708</v>
      </c>
      <c r="E3854" s="6" t="str">
        <f>_xll.QS.INSTRUMENT.SWAP("swap.3852",H3854,B3854,"USD","SOFR",I3854,J3854,0,"Actual360","Simple","Annual","Annual","Annual")</f>
        <v>QSObject:Swap:w1~swap.3852:14150</v>
      </c>
      <c r="F3854" s="6" t="str">
        <f>_xll.QS.TRADE.CREATE("trade.3852",E3854,A3854,"Receive")</f>
        <v>QSObject:SwapTrade:w1~trade.3852:27991</v>
      </c>
      <c r="G3854" s="3">
        <f>_xll.QS.EVALUATE(C3854,F3854)</f>
        <v>20370.850593761119</v>
      </c>
      <c r="H3854" s="5" t="s">
        <v>3894</v>
      </c>
      <c r="I3854" s="7">
        <v>1385200</v>
      </c>
      <c r="J3854" s="8">
        <v>3.5200000000000002E-2</v>
      </c>
    </row>
    <row r="3855" spans="1:10" x14ac:dyDescent="0.25">
      <c r="A3855" s="5" t="s">
        <v>3888</v>
      </c>
      <c r="B3855" s="5" t="s">
        <v>5722</v>
      </c>
      <c r="C3855" s="6" t="str">
        <f>_xll.QS.CONTEXT.CREATE("market.3853",A3855,"USD","SOFR")</f>
        <v>QSObject:PricingContext:w1~market.3853:14149</v>
      </c>
      <c r="D3855" s="6" t="str">
        <f>_xll.QS.CONTEXT.ADD.CURVE(C3855,"SOFR",$K$2:$K$7,$L$2:$L$7,,,"Actual360","LogLinear",TRUE)</f>
        <v>QSObject:ContextInput:w1~input.qs_context_add_curve.2359132437744.3854.3.0:36707</v>
      </c>
      <c r="E3855" s="6" t="str">
        <f>_xll.QS.INSTRUMENT.SWAP("swap.3853",H3855,B3855,"USD","SOFR",I3855,J3855,0,"Actual360","Simple","Annual","Annual","Annual")</f>
        <v>QSObject:Swap:w1~swap.3853:14148</v>
      </c>
      <c r="F3855" s="6" t="str">
        <f>_xll.QS.TRADE.CREATE("trade.3853",E3855,A3855,"Receive")</f>
        <v>QSObject:SwapTrade:w1~trade.3853:27990</v>
      </c>
      <c r="G3855" s="3">
        <f>_xll.QS.EVALUATE(C3855,F3855)</f>
        <v>21071.503295859533</v>
      </c>
      <c r="H3855" s="5" t="s">
        <v>3895</v>
      </c>
      <c r="I3855" s="7">
        <v>1385300</v>
      </c>
      <c r="J3855" s="8">
        <v>3.5299999999999998E-2</v>
      </c>
    </row>
    <row r="3856" spans="1:10" x14ac:dyDescent="0.25">
      <c r="A3856" s="5" t="s">
        <v>3889</v>
      </c>
      <c r="B3856" s="5" t="s">
        <v>5723</v>
      </c>
      <c r="C3856" s="6" t="str">
        <f>_xll.QS.CONTEXT.CREATE("market.3854",A3856,"USD","SOFR")</f>
        <v>QSObject:PricingContext:w1~market.3854:14147</v>
      </c>
      <c r="D3856" s="6" t="str">
        <f>_xll.QS.CONTEXT.ADD.CURVE(C3856,"SOFR",$K$2:$K$7,$L$2:$L$7,,,"Actual360","LogLinear",TRUE)</f>
        <v>QSObject:ContextInput:w1~input.qs_context_add_curve.2359132437744.3855.3.0:36706</v>
      </c>
      <c r="E3856" s="6" t="str">
        <f>_xll.QS.INSTRUMENT.SWAP("swap.3854",H3856,B3856,"USD","SOFR",I3856,J3856,0,"Actual360","Simple","Annual","Annual","Annual")</f>
        <v>QSObject:Swap:w1~swap.3854:14146</v>
      </c>
      <c r="F3856" s="6" t="str">
        <f>_xll.QS.TRADE.CREATE("trade.3854",E3856,A3856,"Receive")</f>
        <v>QSObject:SwapTrade:w1~trade.3854:27989</v>
      </c>
      <c r="G3856" s="3">
        <f>_xll.QS.EVALUATE(C3856,F3856)</f>
        <v>21658.646121986829</v>
      </c>
      <c r="H3856" s="5" t="s">
        <v>3896</v>
      </c>
      <c r="I3856" s="7">
        <v>1385400</v>
      </c>
      <c r="J3856" s="8">
        <v>3.5400000000000001E-2</v>
      </c>
    </row>
    <row r="3857" spans="1:10" x14ac:dyDescent="0.25">
      <c r="A3857" s="5" t="s">
        <v>3890</v>
      </c>
      <c r="B3857" s="5" t="s">
        <v>5724</v>
      </c>
      <c r="C3857" s="6" t="str">
        <f>_xll.QS.CONTEXT.CREATE("market.3855",A3857,"USD","SOFR")</f>
        <v>QSObject:PricingContext:w1~market.3855:14145</v>
      </c>
      <c r="D3857" s="6" t="str">
        <f>_xll.QS.CONTEXT.ADD.CURVE(C3857,"SOFR",$K$2:$K$7,$L$2:$L$7,,,"Actual360","LogLinear",TRUE)</f>
        <v>QSObject:ContextInput:w1~input.qs_context_add_curve.2359132437744.3856.3.0:36705</v>
      </c>
      <c r="E3857" s="6" t="str">
        <f>_xll.QS.INSTRUMENT.SWAP("swap.3855",H3857,B3857,"USD","SOFR",I3857,J3857,0,"Actual360","Simple","Annual","Annual","Annual")</f>
        <v>QSObject:Swap:w1~swap.3855:14144</v>
      </c>
      <c r="F3857" s="6" t="str">
        <f>_xll.QS.TRADE.CREATE("trade.3855",E3857,A3857,"Receive")</f>
        <v>QSObject:SwapTrade:w1~trade.3855:27988</v>
      </c>
      <c r="G3857" s="3">
        <f>_xll.QS.EVALUATE(C3857,F3857)</f>
        <v>22214.467627884253</v>
      </c>
      <c r="H3857" s="5" t="s">
        <v>3897</v>
      </c>
      <c r="I3857" s="7">
        <v>1385500</v>
      </c>
      <c r="J3857" s="8">
        <v>3.5499999999999997E-2</v>
      </c>
    </row>
    <row r="3858" spans="1:10" x14ac:dyDescent="0.25">
      <c r="A3858" s="5" t="s">
        <v>3891</v>
      </c>
      <c r="B3858" s="5" t="s">
        <v>5725</v>
      </c>
      <c r="C3858" s="6" t="str">
        <f>_xll.QS.CONTEXT.CREATE("market.3856",A3858,"USD","SOFR")</f>
        <v>QSObject:PricingContext:w1~market.3856:14143</v>
      </c>
      <c r="D3858" s="6" t="str">
        <f>_xll.QS.CONTEXT.ADD.CURVE(C3858,"SOFR",$K$2:$K$7,$L$2:$L$7,,,"Actual360","LogLinear",TRUE)</f>
        <v>QSObject:ContextInput:w1~input.qs_context_add_curve.2359132437744.3857.3.0:36704</v>
      </c>
      <c r="E3858" s="6" t="str">
        <f>_xll.QS.INSTRUMENT.SWAP("swap.3856",H3858,B3858,"USD","SOFR",I3858,J3858,0,"Actual360","Simple","Annual","Annual","Annual")</f>
        <v>QSObject:Swap:w1~swap.3856:14142</v>
      </c>
      <c r="F3858" s="6" t="str">
        <f>_xll.QS.TRADE.CREATE("trade.3856",E3858,A3858,"Receive")</f>
        <v>QSObject:SwapTrade:w1~trade.3856:27987</v>
      </c>
      <c r="G3858" s="3">
        <f>_xll.QS.EVALUATE(C3858,F3858)</f>
        <v>22856.032781220449</v>
      </c>
      <c r="H3858" s="5" t="s">
        <v>3898</v>
      </c>
      <c r="I3858" s="7">
        <v>1385600</v>
      </c>
      <c r="J3858" s="8">
        <v>3.5600000000000007E-2</v>
      </c>
    </row>
    <row r="3859" spans="1:10" x14ac:dyDescent="0.25">
      <c r="A3859" s="5" t="s">
        <v>3892</v>
      </c>
      <c r="B3859" s="5" t="s">
        <v>5726</v>
      </c>
      <c r="C3859" s="6" t="str">
        <f>_xll.QS.CONTEXT.CREATE("market.3857",A3859,"USD","SOFR")</f>
        <v>QSObject:PricingContext:w1~market.3857:14141</v>
      </c>
      <c r="D3859" s="6" t="str">
        <f>_xll.QS.CONTEXT.ADD.CURVE(C3859,"SOFR",$K$2:$K$7,$L$2:$L$7,,,"Actual360","LogLinear",TRUE)</f>
        <v>QSObject:ContextInput:w1~input.qs_context_add_curve.2359132437744.3858.3.0:36703</v>
      </c>
      <c r="E3859" s="6" t="str">
        <f>_xll.QS.INSTRUMENT.SWAP("swap.3857",H3859,B3859,"USD","SOFR",I3859,J3859,0,"Actual360","Simple","Annual","Annual","Annual")</f>
        <v>QSObject:Swap:w1~swap.3857:14140</v>
      </c>
      <c r="F3859" s="6" t="str">
        <f>_xll.QS.TRADE.CREATE("trade.3857",E3859,A3859,"Receive")</f>
        <v>QSObject:SwapTrade:w1~trade.3857:27986</v>
      </c>
      <c r="G3859" s="3">
        <f>_xll.QS.EVALUATE(C3859,F3859)</f>
        <v>23553.470303138485</v>
      </c>
      <c r="H3859" s="5" t="s">
        <v>3899</v>
      </c>
      <c r="I3859" s="7">
        <v>1385700</v>
      </c>
      <c r="J3859" s="8">
        <v>3.5700000000000003E-2</v>
      </c>
    </row>
    <row r="3860" spans="1:10" x14ac:dyDescent="0.25">
      <c r="A3860" s="5" t="s">
        <v>3893</v>
      </c>
      <c r="B3860" s="5" t="s">
        <v>5727</v>
      </c>
      <c r="C3860" s="6" t="str">
        <f>_xll.QS.CONTEXT.CREATE("market.3858",A3860,"USD","SOFR")</f>
        <v>QSObject:PricingContext:w1~market.3858:14139</v>
      </c>
      <c r="D3860" s="6" t="str">
        <f>_xll.QS.CONTEXT.ADD.CURVE(C3860,"SOFR",$K$2:$K$7,$L$2:$L$7,,,"Actual360","LogLinear",TRUE)</f>
        <v>QSObject:ContextInput:w1~input.qs_context_add_curve.2359132437744.3859.3.0:36702</v>
      </c>
      <c r="E3860" s="6" t="str">
        <f>_xll.QS.INSTRUMENT.SWAP("swap.3858",H3860,B3860,"USD","SOFR",I3860,J3860,0,"Actual360","Simple","Annual","Annual","Annual")</f>
        <v>QSObject:Swap:w1~swap.3858:14138</v>
      </c>
      <c r="F3860" s="6" t="str">
        <f>_xll.QS.TRADE.CREATE("trade.3858",E3860,A3860,"Receive")</f>
        <v>QSObject:SwapTrade:w1~trade.3858:27985</v>
      </c>
      <c r="G3860" s="3">
        <f>_xll.QS.EVALUATE(C3860,F3860)</f>
        <v>24112.877239550529</v>
      </c>
      <c r="H3860" s="5" t="s">
        <v>3900</v>
      </c>
      <c r="I3860" s="7">
        <v>1385800</v>
      </c>
      <c r="J3860" s="8">
        <v>3.5800000000000012E-2</v>
      </c>
    </row>
    <row r="3861" spans="1:10" x14ac:dyDescent="0.25">
      <c r="A3861" s="5" t="s">
        <v>3894</v>
      </c>
      <c r="B3861" s="5" t="s">
        <v>5728</v>
      </c>
      <c r="C3861" s="6" t="str">
        <f>_xll.QS.CONTEXT.CREATE("market.3859",A3861,"USD","SOFR")</f>
        <v>QSObject:PricingContext:w1~market.3859:14137</v>
      </c>
      <c r="D3861" s="6" t="str">
        <f>_xll.QS.CONTEXT.ADD.CURVE(C3861,"SOFR",$K$2:$K$7,$L$2:$L$7,,,"Actual360","LogLinear",TRUE)</f>
        <v>QSObject:ContextInput:w1~input.qs_context_add_curve.2359132437744.3860.3.0:36701</v>
      </c>
      <c r="E3861" s="6" t="str">
        <f>_xll.QS.INSTRUMENT.SWAP("swap.3859",H3861,B3861,"USD","SOFR",I3861,J3861,0,"Actual360","Simple","Annual","Annual","Annual")</f>
        <v>QSObject:Swap:w1~swap.3859:14136</v>
      </c>
      <c r="F3861" s="6" t="str">
        <f>_xll.QS.TRADE.CREATE("trade.3859",E3861,A3861,"Receive")</f>
        <v>QSObject:SwapTrade:w1~trade.3859:27984</v>
      </c>
      <c r="G3861" s="3">
        <f>_xll.QS.EVALUATE(C3861,F3861)</f>
        <v>24854.791568187778</v>
      </c>
      <c r="H3861" s="5" t="s">
        <v>3901</v>
      </c>
      <c r="I3861" s="7">
        <v>1385900</v>
      </c>
      <c r="J3861" s="8">
        <v>3.5900000000000001E-2</v>
      </c>
    </row>
    <row r="3862" spans="1:10" x14ac:dyDescent="0.25">
      <c r="A3862" s="5" t="s">
        <v>3895</v>
      </c>
      <c r="B3862" s="5" t="s">
        <v>5729</v>
      </c>
      <c r="C3862" s="6" t="str">
        <f>_xll.QS.CONTEXT.CREATE("market.3860",A3862,"USD","SOFR")</f>
        <v>QSObject:PricingContext:w1~market.3860:14135</v>
      </c>
      <c r="D3862" s="6" t="str">
        <f>_xll.QS.CONTEXT.ADD.CURVE(C3862,"SOFR",$K$2:$K$7,$L$2:$L$7,,,"Actual360","LogLinear",TRUE)</f>
        <v>QSObject:ContextInput:w1~input.qs_context_add_curve.2359132437744.3861.3.0:36700</v>
      </c>
      <c r="E3862" s="6" t="str">
        <f>_xll.QS.INSTRUMENT.SWAP("swap.3860",H3862,B3862,"USD","SOFR",I3862,J3862,0,"Actual360","Simple","Annual","Annual","Annual")</f>
        <v>QSObject:Swap:w1~swap.3860:14134</v>
      </c>
      <c r="F3862" s="6" t="str">
        <f>_xll.QS.TRADE.CREATE("trade.3860",E3862,A3862,"Receive")</f>
        <v>QSObject:SwapTrade:w1~trade.3860:27983</v>
      </c>
      <c r="G3862" s="3">
        <f>_xll.QS.EVALUATE(C3862,F3862)</f>
        <v>25499.868834090419</v>
      </c>
      <c r="H3862" s="5" t="s">
        <v>3902</v>
      </c>
      <c r="I3862" s="7">
        <v>1386000</v>
      </c>
      <c r="J3862" s="8">
        <v>3.5999999999999997E-2</v>
      </c>
    </row>
    <row r="3863" spans="1:10" x14ac:dyDescent="0.25">
      <c r="A3863" s="5" t="s">
        <v>3896</v>
      </c>
      <c r="B3863" s="5" t="s">
        <v>5730</v>
      </c>
      <c r="C3863" s="6" t="str">
        <f>_xll.QS.CONTEXT.CREATE("market.3861",A3863,"USD","SOFR")</f>
        <v>QSObject:PricingContext:w1~market.3861:14133</v>
      </c>
      <c r="D3863" s="6" t="str">
        <f>_xll.QS.CONTEXT.ADD.CURVE(C3863,"SOFR",$K$2:$K$7,$L$2:$L$7,,,"Actual360","LogLinear",TRUE)</f>
        <v>QSObject:ContextInput:w1~input.qs_context_add_curve.2359132437744.3862.3.0:36699</v>
      </c>
      <c r="E3863" s="6" t="str">
        <f>_xll.QS.INSTRUMENT.SWAP("swap.3861",H3863,B3863,"USD","SOFR",I3863,J3863,0,"Actual360","Simple","Annual","Annual","Annual")</f>
        <v>QSObject:Swap:w1~swap.3861:14132</v>
      </c>
      <c r="F3863" s="6" t="str">
        <f>_xll.QS.TRADE.CREATE("trade.3861",E3863,A3863,"Receive")</f>
        <v>QSObject:SwapTrade:w1~trade.3861:27982</v>
      </c>
      <c r="G3863" s="3">
        <f>_xll.QS.EVALUATE(C3863,F3863)</f>
        <v>26143.884910306697</v>
      </c>
      <c r="H3863" s="5" t="s">
        <v>3903</v>
      </c>
      <c r="I3863" s="7">
        <v>1386100</v>
      </c>
      <c r="J3863" s="8">
        <v>3.61E-2</v>
      </c>
    </row>
    <row r="3864" spans="1:10" x14ac:dyDescent="0.25">
      <c r="A3864" s="5" t="s">
        <v>3897</v>
      </c>
      <c r="B3864" s="5" t="s">
        <v>5731</v>
      </c>
      <c r="C3864" s="6" t="str">
        <f>_xll.QS.CONTEXT.CREATE("market.3862",A3864,"USD","SOFR")</f>
        <v>QSObject:PricingContext:w1~market.3862:14131</v>
      </c>
      <c r="D3864" s="6" t="str">
        <f>_xll.QS.CONTEXT.ADD.CURVE(C3864,"SOFR",$K$2:$K$7,$L$2:$L$7,,,"Actual360","LogLinear",TRUE)</f>
        <v>QSObject:ContextInput:w1~input.qs_context_add_curve.2359132437744.3863.3.0:36698</v>
      </c>
      <c r="E3864" s="6" t="str">
        <f>_xll.QS.INSTRUMENT.SWAP("swap.3862",H3864,B3864,"USD","SOFR",I3864,J3864,0,"Actual360","Simple","Annual","Annual","Annual")</f>
        <v>QSObject:Swap:w1~swap.3862:14130</v>
      </c>
      <c r="F3864" s="6" t="str">
        <f>_xll.QS.TRADE.CREATE("trade.3862",E3864,A3864,"Receive")</f>
        <v>QSObject:SwapTrade:w1~trade.3862:27981</v>
      </c>
      <c r="G3864" s="3">
        <f>_xll.QS.EVALUATE(C3864,F3864)</f>
        <v>26695.0399025347</v>
      </c>
      <c r="H3864" s="5" t="s">
        <v>3904</v>
      </c>
      <c r="I3864" s="7">
        <v>1386200</v>
      </c>
      <c r="J3864" s="8">
        <v>3.6200000000000003E-2</v>
      </c>
    </row>
    <row r="3865" spans="1:10" x14ac:dyDescent="0.25">
      <c r="A3865" s="5" t="s">
        <v>3898</v>
      </c>
      <c r="B3865" s="5" t="s">
        <v>5732</v>
      </c>
      <c r="C3865" s="6" t="str">
        <f>_xll.QS.CONTEXT.CREATE("market.3863",A3865,"USD","SOFR")</f>
        <v>QSObject:PricingContext:w1~market.3863:14129</v>
      </c>
      <c r="D3865" s="6" t="str">
        <f>_xll.QS.CONTEXT.ADD.CURVE(C3865,"SOFR",$K$2:$K$7,$L$2:$L$7,,,"Actual360","LogLinear",TRUE)</f>
        <v>QSObject:ContextInput:w1~input.qs_context_add_curve.2359132437744.3864.3.0:36697</v>
      </c>
      <c r="E3865" s="6" t="str">
        <f>_xll.QS.INSTRUMENT.SWAP("swap.3863",H3865,B3865,"USD","SOFR",I3865,J3865,0,"Actual360","Simple","Annual","Annual","Annual")</f>
        <v>QSObject:Swap:w1~swap.3863:14128</v>
      </c>
      <c r="F3865" s="6" t="str">
        <f>_xll.QS.TRADE.CREATE("trade.3863",E3865,A3865,"Receive")</f>
        <v>QSObject:SwapTrade:w1~trade.3863:27980</v>
      </c>
      <c r="G3865" s="3">
        <f>_xll.QS.EVALUATE(C3865,F3865)</f>
        <v>27220.533124761212</v>
      </c>
      <c r="H3865" s="5" t="s">
        <v>3905</v>
      </c>
      <c r="I3865" s="7">
        <v>1386300</v>
      </c>
      <c r="J3865" s="8">
        <v>3.6300000000000013E-2</v>
      </c>
    </row>
    <row r="3866" spans="1:10" x14ac:dyDescent="0.25">
      <c r="A3866" s="5" t="s">
        <v>3899</v>
      </c>
      <c r="B3866" s="5" t="s">
        <v>5733</v>
      </c>
      <c r="C3866" s="6" t="str">
        <f>_xll.QS.CONTEXT.CREATE("market.3864",A3866,"USD","SOFR")</f>
        <v>QSObject:PricingContext:w1~market.3864:14127</v>
      </c>
      <c r="D3866" s="6" t="str">
        <f>_xll.QS.CONTEXT.ADD.CURVE(C3866,"SOFR",$K$2:$K$7,$L$2:$L$7,,,"Actual360","LogLinear",TRUE)</f>
        <v>QSObject:ContextInput:w1~input.qs_context_add_curve.2359132437744.3865.3.0:36696</v>
      </c>
      <c r="E3866" s="6" t="str">
        <f>_xll.QS.INSTRUMENT.SWAP("swap.3864",H3866,B3866,"USD","SOFR",I3866,J3866,0,"Actual360","Simple","Annual","Annual","Annual")</f>
        <v>QSObject:Swap:w1~swap.3864:14126</v>
      </c>
      <c r="F3866" s="6" t="str">
        <f>_xll.QS.TRADE.CREATE("trade.3864",E3866,A3866,"Receive")</f>
        <v>QSObject:SwapTrade:w1~trade.3864:27979</v>
      </c>
      <c r="G3866" s="3">
        <f>_xll.QS.EVALUATE(C3866,F3866)</f>
        <v>27919.788710547808</v>
      </c>
      <c r="H3866" s="5" t="s">
        <v>3906</v>
      </c>
      <c r="I3866" s="7">
        <v>1386400</v>
      </c>
      <c r="J3866" s="8">
        <v>3.6400000000000002E-2</v>
      </c>
    </row>
    <row r="3867" spans="1:10" x14ac:dyDescent="0.25">
      <c r="A3867" s="5" t="s">
        <v>3900</v>
      </c>
      <c r="B3867" s="5" t="s">
        <v>5734</v>
      </c>
      <c r="C3867" s="6" t="str">
        <f>_xll.QS.CONTEXT.CREATE("market.3865",A3867,"USD","SOFR")</f>
        <v>QSObject:PricingContext:w1~market.3865:14125</v>
      </c>
      <c r="D3867" s="6" t="str">
        <f>_xll.QS.CONTEXT.ADD.CURVE(C3867,"SOFR",$K$2:$K$7,$L$2:$L$7,,,"Actual360","LogLinear",TRUE)</f>
        <v>QSObject:ContextInput:w1~input.qs_context_add_curve.2359132437744.3866.3.0:36695</v>
      </c>
      <c r="E3867" s="6" t="str">
        <f>_xll.QS.INSTRUMENT.SWAP("swap.3865",H3867,B3867,"USD","SOFR",I3867,J3867,0,"Actual360","Simple","Annual","Annual","Annual")</f>
        <v>QSObject:Swap:w1~swap.3865:14124</v>
      </c>
      <c r="F3867" s="6" t="str">
        <f>_xll.QS.TRADE.CREATE("trade.3865",E3867,A3867,"Receive")</f>
        <v>QSObject:SwapTrade:w1~trade.3865:27978</v>
      </c>
      <c r="G3867" s="3">
        <f>_xll.QS.EVALUATE(C3867,F3867)</f>
        <v>28600.574317456972</v>
      </c>
      <c r="H3867" s="5" t="s">
        <v>3907</v>
      </c>
      <c r="I3867" s="7">
        <v>1386500</v>
      </c>
      <c r="J3867" s="8">
        <v>3.6499999999999998E-2</v>
      </c>
    </row>
    <row r="3868" spans="1:10" x14ac:dyDescent="0.25">
      <c r="A3868" s="5" t="s">
        <v>3901</v>
      </c>
      <c r="B3868" s="5" t="s">
        <v>5735</v>
      </c>
      <c r="C3868" s="6" t="str">
        <f>_xll.QS.CONTEXT.CREATE("market.3866",A3868,"USD","SOFR")</f>
        <v>QSObject:PricingContext:w1~market.3866:14123</v>
      </c>
      <c r="D3868" s="6" t="str">
        <f>_xll.QS.CONTEXT.ADD.CURVE(C3868,"SOFR",$K$2:$K$7,$L$2:$L$7,,,"Actual360","LogLinear",TRUE)</f>
        <v>QSObject:ContextInput:w1~input.qs_context_add_curve.2359132437744.3867.3.0:36694</v>
      </c>
      <c r="E3868" s="6" t="str">
        <f>_xll.QS.INSTRUMENT.SWAP("swap.3866",H3868,B3868,"USD","SOFR",I3868,J3868,0,"Actual360","Simple","Annual","Annual","Annual")</f>
        <v>QSObject:Swap:w1~swap.3866:14122</v>
      </c>
      <c r="F3868" s="6" t="str">
        <f>_xll.QS.TRADE.CREATE("trade.3866",E3868,A3868,"Receive")</f>
        <v>QSObject:SwapTrade:w1~trade.3866:27977</v>
      </c>
      <c r="G3868" s="3">
        <f>_xll.QS.EVALUATE(C3868,F3868)</f>
        <v>29343.251703747352</v>
      </c>
      <c r="H3868" s="5" t="s">
        <v>3908</v>
      </c>
      <c r="I3868" s="7">
        <v>1386600</v>
      </c>
      <c r="J3868" s="8">
        <v>3.6600000000000001E-2</v>
      </c>
    </row>
    <row r="3869" spans="1:10" x14ac:dyDescent="0.25">
      <c r="A3869" s="5" t="s">
        <v>3902</v>
      </c>
      <c r="B3869" s="5" t="s">
        <v>5736</v>
      </c>
      <c r="C3869" s="6" t="str">
        <f>_xll.QS.CONTEXT.CREATE("market.3867",A3869,"USD","SOFR")</f>
        <v>QSObject:PricingContext:w1~market.3867:14121</v>
      </c>
      <c r="D3869" s="6" t="str">
        <f>_xll.QS.CONTEXT.ADD.CURVE(C3869,"SOFR",$K$2:$K$7,$L$2:$L$7,,,"Actual360","LogLinear",TRUE)</f>
        <v>QSObject:ContextInput:w1~input.qs_context_add_curve.2359132437744.3868.3.0:36693</v>
      </c>
      <c r="E3869" s="6" t="str">
        <f>_xll.QS.INSTRUMENT.SWAP("swap.3867",H3869,B3869,"USD","SOFR",I3869,J3869,0,"Actual360","Simple","Annual","Annual","Annual")</f>
        <v>QSObject:Swap:w1~swap.3867:14120</v>
      </c>
      <c r="F3869" s="6" t="str">
        <f>_xll.QS.TRADE.CREATE("trade.3867",E3869,A3869,"Receive")</f>
        <v>QSObject:SwapTrade:w1~trade.3867:27976</v>
      </c>
      <c r="G3869" s="3">
        <f>_xll.QS.EVALUATE(C3869,F3869)</f>
        <v>30045.359391861464</v>
      </c>
      <c r="H3869" s="5" t="s">
        <v>3909</v>
      </c>
      <c r="I3869" s="7">
        <v>1386700</v>
      </c>
      <c r="J3869" s="8">
        <v>3.6700000000000003E-2</v>
      </c>
    </row>
    <row r="3870" spans="1:10" x14ac:dyDescent="0.25">
      <c r="A3870" s="5" t="s">
        <v>3903</v>
      </c>
      <c r="B3870" s="5" t="s">
        <v>5737</v>
      </c>
      <c r="C3870" s="6" t="str">
        <f>_xll.QS.CONTEXT.CREATE("market.3868",A3870,"USD","SOFR")</f>
        <v>QSObject:PricingContext:w1~market.3868:14119</v>
      </c>
      <c r="D3870" s="6" t="str">
        <f>_xll.QS.CONTEXT.ADD.CURVE(C3870,"SOFR",$K$2:$K$7,$L$2:$L$7,,,"Actual360","LogLinear",TRUE)</f>
        <v>QSObject:ContextInput:w1~input.qs_context_add_curve.2359132437744.3869.3.0:36692</v>
      </c>
      <c r="E3870" s="6" t="str">
        <f>_xll.QS.INSTRUMENT.SWAP("swap.3868",H3870,B3870,"USD","SOFR",I3870,J3870,0,"Actual360","Simple","Annual","Annual","Annual")</f>
        <v>QSObject:Swap:w1~swap.3868:14118</v>
      </c>
      <c r="F3870" s="6" t="str">
        <f>_xll.QS.TRADE.CREATE("trade.3868",E3870,A3870,"Receive")</f>
        <v>QSObject:SwapTrade:w1~trade.3868:27975</v>
      </c>
      <c r="G3870" s="3">
        <f>_xll.QS.EVALUATE(C3870,F3870)</f>
        <v>30633.642862811808</v>
      </c>
      <c r="H3870" s="5" t="s">
        <v>3910</v>
      </c>
      <c r="I3870" s="7">
        <v>1386800</v>
      </c>
      <c r="J3870" s="8">
        <v>3.6800000000000013E-2</v>
      </c>
    </row>
    <row r="3871" spans="1:10" x14ac:dyDescent="0.25">
      <c r="A3871" s="5" t="s">
        <v>3904</v>
      </c>
      <c r="B3871" s="5" t="s">
        <v>5738</v>
      </c>
      <c r="C3871" s="6" t="str">
        <f>_xll.QS.CONTEXT.CREATE("market.3869",A3871,"USD","SOFR")</f>
        <v>QSObject:PricingContext:w1~market.3869:14117</v>
      </c>
      <c r="D3871" s="6" t="str">
        <f>_xll.QS.CONTEXT.ADD.CURVE(C3871,"SOFR",$K$2:$K$7,$L$2:$L$7,,,"Actual360","LogLinear",TRUE)</f>
        <v>QSObject:ContextInput:w1~input.qs_context_add_curve.2359132437744.3870.3.0:36691</v>
      </c>
      <c r="E3871" s="6" t="str">
        <f>_xll.QS.INSTRUMENT.SWAP("swap.3869",H3871,B3871,"USD","SOFR",I3871,J3871,0,"Actual360","Simple","Annual","Annual","Annual")</f>
        <v>QSObject:Swap:w1~swap.3869:14116</v>
      </c>
      <c r="F3871" s="6" t="str">
        <f>_xll.QS.TRADE.CREATE("trade.3869",E3871,A3871,"Receive")</f>
        <v>QSObject:SwapTrade:w1~trade.3869:27974</v>
      </c>
      <c r="G3871" s="3">
        <f>_xll.QS.EVALUATE(C3871,F3871)</f>
        <v>31180.126019572032</v>
      </c>
      <c r="H3871" s="5" t="s">
        <v>3911</v>
      </c>
      <c r="I3871" s="7">
        <v>1386900</v>
      </c>
      <c r="J3871" s="8">
        <v>3.6900000000000002E-2</v>
      </c>
    </row>
    <row r="3872" spans="1:10" x14ac:dyDescent="0.25">
      <c r="A3872" s="5" t="s">
        <v>3905</v>
      </c>
      <c r="B3872" s="5" t="s">
        <v>5739</v>
      </c>
      <c r="C3872" s="6" t="str">
        <f>_xll.QS.CONTEXT.CREATE("market.3870",A3872,"USD","SOFR")</f>
        <v>QSObject:PricingContext:w1~market.3870:14115</v>
      </c>
      <c r="D3872" s="6" t="str">
        <f>_xll.QS.CONTEXT.ADD.CURVE(C3872,"SOFR",$K$2:$K$7,$L$2:$L$7,,,"Actual360","LogLinear",TRUE)</f>
        <v>QSObject:ContextInput:w1~input.qs_context_add_curve.2359132437744.3871.3.0:36690</v>
      </c>
      <c r="E3872" s="6" t="str">
        <f>_xll.QS.INSTRUMENT.SWAP("swap.3870",H3872,B3872,"USD","SOFR",I3872,J3872,0,"Actual360","Simple","Annual","Annual","Annual")</f>
        <v>QSObject:Swap:w1~swap.3870:14114</v>
      </c>
      <c r="F3872" s="6" t="str">
        <f>_xll.QS.TRADE.CREATE("trade.3870",E3872,A3872,"Receive")</f>
        <v>QSObject:SwapTrade:w1~trade.3870:27973</v>
      </c>
      <c r="G3872" s="3">
        <f>_xll.QS.EVALUATE(C3872,F3872)</f>
        <v>31713.14716094124</v>
      </c>
      <c r="H3872" s="5" t="s">
        <v>3912</v>
      </c>
      <c r="I3872" s="7">
        <v>1387000</v>
      </c>
      <c r="J3872" s="8">
        <v>3.7000000000000012E-2</v>
      </c>
    </row>
    <row r="3873" spans="1:10" x14ac:dyDescent="0.25">
      <c r="A3873" s="5" t="s">
        <v>3906</v>
      </c>
      <c r="B3873" s="5" t="s">
        <v>5740</v>
      </c>
      <c r="C3873" s="6" t="str">
        <f>_xll.QS.CONTEXT.CREATE("market.3871",A3873,"USD","SOFR")</f>
        <v>QSObject:PricingContext:w1~market.3871:14113</v>
      </c>
      <c r="D3873" s="6" t="str">
        <f>_xll.QS.CONTEXT.ADD.CURVE(C3873,"SOFR",$K$2:$K$7,$L$2:$L$7,,,"Actual360","LogLinear",TRUE)</f>
        <v>QSObject:ContextInput:w1~input.qs_context_add_curve.2359132437744.3872.3.0:36689</v>
      </c>
      <c r="E3873" s="6" t="str">
        <f>_xll.QS.INSTRUMENT.SWAP("swap.3871",H3873,B3873,"USD","SOFR",I3873,J3873,0,"Actual360","Simple","Annual","Annual","Annual")</f>
        <v>QSObject:Swap:w1~swap.3871:14112</v>
      </c>
      <c r="F3873" s="6" t="str">
        <f>_xll.QS.TRADE.CREATE("trade.3871",E3873,A3873,"Receive")</f>
        <v>QSObject:SwapTrade:w1~trade.3871:27972</v>
      </c>
      <c r="G3873" s="3">
        <f>_xll.QS.EVALUATE(C3873,F3873)</f>
        <v>32413.51146827489</v>
      </c>
      <c r="H3873" s="5" t="s">
        <v>3913</v>
      </c>
      <c r="I3873" s="7">
        <v>1387100</v>
      </c>
      <c r="J3873" s="8">
        <v>3.7100000000000001E-2</v>
      </c>
    </row>
    <row r="3874" spans="1:10" x14ac:dyDescent="0.25">
      <c r="A3874" s="5" t="s">
        <v>3907</v>
      </c>
      <c r="B3874" s="5" t="s">
        <v>5741</v>
      </c>
      <c r="C3874" s="6" t="str">
        <f>_xll.QS.CONTEXT.CREATE("market.3872",A3874,"USD","SOFR")</f>
        <v>QSObject:PricingContext:w1~market.3872:14111</v>
      </c>
      <c r="D3874" s="6" t="str">
        <f>_xll.QS.CONTEXT.ADD.CURVE(C3874,"SOFR",$K$2:$K$7,$L$2:$L$7,,,"Actual360","LogLinear",TRUE)</f>
        <v>QSObject:ContextInput:w1~input.qs_context_add_curve.2359132437744.3873.3.0:36688</v>
      </c>
      <c r="E3874" s="6" t="str">
        <f>_xll.QS.INSTRUMENT.SWAP("swap.3872",H3874,B3874,"USD","SOFR",I3874,J3874,0,"Actual360","Simple","Annual","Annual","Annual")</f>
        <v>QSObject:Swap:w1~swap.3872:14110</v>
      </c>
      <c r="F3874" s="6" t="str">
        <f>_xll.QS.TRADE.CREATE("trade.3872",E3874,A3874,"Receive")</f>
        <v>QSObject:SwapTrade:w1~trade.3872:27971</v>
      </c>
      <c r="G3874" s="3">
        <f>_xll.QS.EVALUATE(C3874,F3874)</f>
        <v>33092.790489441759</v>
      </c>
      <c r="H3874" s="5" t="s">
        <v>3914</v>
      </c>
      <c r="I3874" s="7">
        <v>1387200</v>
      </c>
      <c r="J3874" s="8">
        <v>3.7199999999999997E-2</v>
      </c>
    </row>
    <row r="3875" spans="1:10" x14ac:dyDescent="0.25">
      <c r="A3875" s="5" t="s">
        <v>3908</v>
      </c>
      <c r="B3875" s="5" t="s">
        <v>5742</v>
      </c>
      <c r="C3875" s="6" t="str">
        <f>_xll.QS.CONTEXT.CREATE("market.3873",A3875,"USD","SOFR")</f>
        <v>QSObject:PricingContext:w1~market.3873:14109</v>
      </c>
      <c r="D3875" s="6" t="str">
        <f>_xll.QS.CONTEXT.ADD.CURVE(C3875,"SOFR",$K$2:$K$7,$L$2:$L$7,,,"Actual360","LogLinear",TRUE)</f>
        <v>QSObject:ContextInput:w1~input.qs_context_add_curve.2359132437744.3874.3.0:36687</v>
      </c>
      <c r="E3875" s="6" t="str">
        <f>_xll.QS.INSTRUMENT.SWAP("swap.3873",H3875,B3875,"USD","SOFR",I3875,J3875,0,"Actual360","Simple","Annual","Annual","Annual")</f>
        <v>QSObject:Swap:w1~swap.3873:14108</v>
      </c>
      <c r="F3875" s="6" t="str">
        <f>_xll.QS.TRADE.CREATE("trade.3873",E3875,A3875,"Receive")</f>
        <v>QSObject:SwapTrade:w1~trade.3873:27970</v>
      </c>
      <c r="G3875" s="3">
        <f>_xll.QS.EVALUATE(C3875,F3875)</f>
        <v>33836.231000439249</v>
      </c>
      <c r="H3875" s="5" t="s">
        <v>3915</v>
      </c>
      <c r="I3875" s="7">
        <v>1387300</v>
      </c>
      <c r="J3875" s="8">
        <v>3.73E-2</v>
      </c>
    </row>
    <row r="3876" spans="1:10" x14ac:dyDescent="0.25">
      <c r="A3876" s="5" t="s">
        <v>3909</v>
      </c>
      <c r="B3876" s="5" t="s">
        <v>5743</v>
      </c>
      <c r="C3876" s="6" t="str">
        <f>_xll.QS.CONTEXT.CREATE("market.3874",A3876,"USD","SOFR")</f>
        <v>QSObject:PricingContext:w1~market.3874:14107</v>
      </c>
      <c r="D3876" s="6" t="str">
        <f>_xll.QS.CONTEXT.ADD.CURVE(C3876,"SOFR",$K$2:$K$7,$L$2:$L$7,,,"Actual360","LogLinear",TRUE)</f>
        <v>QSObject:ContextInput:w1~input.qs_context_add_curve.2359132437744.3875.3.0:36686</v>
      </c>
      <c r="E3876" s="6" t="str">
        <f>_xll.QS.INSTRUMENT.SWAP("swap.3874",H3876,B3876,"USD","SOFR",I3876,J3876,0,"Actual360","Simple","Annual","Annual","Annual")</f>
        <v>QSObject:Swap:w1~swap.3874:14106</v>
      </c>
      <c r="F3876" s="6" t="str">
        <f>_xll.QS.TRADE.CREATE("trade.3874",E3876,A3876,"Receive")</f>
        <v>QSObject:SwapTrade:w1~trade.3874:27969</v>
      </c>
      <c r="G3876" s="3">
        <f>_xll.QS.EVALUATE(C3876,F3876)</f>
        <v>34539.06625939365</v>
      </c>
      <c r="H3876" s="5" t="s">
        <v>3916</v>
      </c>
      <c r="I3876" s="7">
        <v>1387400</v>
      </c>
      <c r="J3876" s="8">
        <v>3.7400000000000003E-2</v>
      </c>
    </row>
    <row r="3877" spans="1:10" x14ac:dyDescent="0.25">
      <c r="A3877" s="5" t="s">
        <v>3910</v>
      </c>
      <c r="B3877" s="5" t="s">
        <v>5744</v>
      </c>
      <c r="C3877" s="6" t="str">
        <f>_xll.QS.CONTEXT.CREATE("market.3875",A3877,"USD","SOFR")</f>
        <v>QSObject:PricingContext:w1~market.3875:14105</v>
      </c>
      <c r="D3877" s="6" t="str">
        <f>_xll.QS.CONTEXT.ADD.CURVE(C3877,"SOFR",$K$2:$K$7,$L$2:$L$7,,,"Actual360","LogLinear",TRUE)</f>
        <v>QSObject:ContextInput:w1~input.qs_context_add_curve.2359132437744.3876.3.0:36685</v>
      </c>
      <c r="E3877" s="6" t="str">
        <f>_xll.QS.INSTRUMENT.SWAP("swap.3875",H3877,B3877,"USD","SOFR",I3877,J3877,0,"Actual360","Simple","Annual","Annual","Annual")</f>
        <v>QSObject:Swap:w1~swap.3875:14104</v>
      </c>
      <c r="F3877" s="6" t="str">
        <f>_xll.QS.TRADE.CREATE("trade.3875",E3877,A3877,"Receive")</f>
        <v>QSObject:SwapTrade:w1~trade.3875:27968</v>
      </c>
      <c r="G3877" s="3">
        <f>_xll.QS.EVALUATE(C3877,F3877)</f>
        <v>35127.919979501981</v>
      </c>
      <c r="H3877" s="5" t="s">
        <v>3917</v>
      </c>
      <c r="I3877" s="7">
        <v>1387500</v>
      </c>
      <c r="J3877" s="8">
        <v>3.7500000000000012E-2</v>
      </c>
    </row>
    <row r="3878" spans="1:10" x14ac:dyDescent="0.25">
      <c r="A3878" s="5" t="s">
        <v>3911</v>
      </c>
      <c r="B3878" s="5" t="s">
        <v>5745</v>
      </c>
      <c r="C3878" s="6" t="str">
        <f>_xll.QS.CONTEXT.CREATE("market.3876",A3878,"USD","SOFR")</f>
        <v>QSObject:PricingContext:w1~market.3876:14103</v>
      </c>
      <c r="D3878" s="6" t="str">
        <f>_xll.QS.CONTEXT.ADD.CURVE(C3878,"SOFR",$K$2:$K$7,$L$2:$L$7,,,"Actual360","LogLinear",TRUE)</f>
        <v>QSObject:ContextInput:w1~input.qs_context_add_curve.2359132437744.3877.3.0:36684</v>
      </c>
      <c r="E3878" s="6" t="str">
        <f>_xll.QS.INSTRUMENT.SWAP("swap.3876",H3878,B3878,"USD","SOFR",I3878,J3878,0,"Actual360","Simple","Annual","Annual","Annual")</f>
        <v>QSObject:Swap:w1~swap.3876:14102</v>
      </c>
      <c r="F3878" s="6" t="str">
        <f>_xll.QS.TRADE.CREATE("trade.3876",E3878,A3878,"Receive")</f>
        <v>QSObject:SwapTrade:w1~trade.3876:27967</v>
      </c>
      <c r="G3878" s="3">
        <f>_xll.QS.EVALUATE(C3878,F3878)</f>
        <v>35669.725978996044</v>
      </c>
      <c r="H3878" s="5" t="s">
        <v>3918</v>
      </c>
      <c r="I3878" s="7">
        <v>1387600</v>
      </c>
      <c r="J3878" s="8">
        <v>3.7600000000000001E-2</v>
      </c>
    </row>
    <row r="3879" spans="1:10" x14ac:dyDescent="0.25">
      <c r="A3879" s="5" t="s">
        <v>3912</v>
      </c>
      <c r="B3879" s="5" t="s">
        <v>5746</v>
      </c>
      <c r="C3879" s="6" t="str">
        <f>_xll.QS.CONTEXT.CREATE("market.3877",A3879,"USD","SOFR")</f>
        <v>QSObject:PricingContext:w1~market.3877:14101</v>
      </c>
      <c r="D3879" s="6" t="str">
        <f>_xll.QS.CONTEXT.ADD.CURVE(C3879,"SOFR",$K$2:$K$7,$L$2:$L$7,,,"Actual360","LogLinear",TRUE)</f>
        <v>QSObject:ContextInput:w1~input.qs_context_add_curve.2359132437744.3878.3.0:36683</v>
      </c>
      <c r="E3879" s="6" t="str">
        <f>_xll.QS.INSTRUMENT.SWAP("swap.3877",H3879,B3879,"USD","SOFR",I3879,J3879,0,"Actual360","Simple","Annual","Annual","Annual")</f>
        <v>QSObject:Swap:w1~swap.3877:14100</v>
      </c>
      <c r="F3879" s="6" t="str">
        <f>_xll.QS.TRADE.CREATE("trade.3877",E3879,A3879,"Receive")</f>
        <v>QSObject:SwapTrade:w1~trade.3877:27966</v>
      </c>
      <c r="G3879" s="3">
        <f>_xll.QS.EVALUATE(C3879,F3879)</f>
        <v>36210.282045696818</v>
      </c>
      <c r="H3879" s="5" t="s">
        <v>3919</v>
      </c>
      <c r="I3879" s="7">
        <v>1387700</v>
      </c>
      <c r="J3879" s="8">
        <v>3.7699999999999997E-2</v>
      </c>
    </row>
    <row r="3880" spans="1:10" x14ac:dyDescent="0.25">
      <c r="A3880" s="5" t="s">
        <v>3913</v>
      </c>
      <c r="B3880" s="5" t="s">
        <v>5747</v>
      </c>
      <c r="C3880" s="6" t="str">
        <f>_xll.QS.CONTEXT.CREATE("market.3878",A3880,"USD","SOFR")</f>
        <v>QSObject:PricingContext:w1~market.3878:14099</v>
      </c>
      <c r="D3880" s="6" t="str">
        <f>_xll.QS.CONTEXT.ADD.CURVE(C3880,"SOFR",$K$2:$K$7,$L$2:$L$7,,,"Actual360","LogLinear",TRUE)</f>
        <v>QSObject:ContextInput:w1~input.qs_context_add_curve.2359132437744.3879.3.0:36682</v>
      </c>
      <c r="E3880" s="6" t="str">
        <f>_xll.QS.INSTRUMENT.SWAP("swap.3878",H3880,B3880,"USD","SOFR",I3880,J3880,0,"Actual360","Simple","Annual","Annual","Annual")</f>
        <v>QSObject:Swap:w1~swap.3878:14098</v>
      </c>
      <c r="F3880" s="6" t="str">
        <f>_xll.QS.TRADE.CREATE("trade.3878",E3880,A3880,"Receive")</f>
        <v>QSObject:SwapTrade:w1~trade.3878:27965</v>
      </c>
      <c r="G3880" s="3">
        <f>_xll.QS.EVALUATE(C3880,F3880)</f>
        <v>36911.755512348682</v>
      </c>
      <c r="H3880" s="5" t="s">
        <v>3920</v>
      </c>
      <c r="I3880" s="7">
        <v>1387800</v>
      </c>
      <c r="J3880" s="8">
        <v>3.78E-2</v>
      </c>
    </row>
    <row r="3881" spans="1:10" x14ac:dyDescent="0.25">
      <c r="A3881" s="5" t="s">
        <v>3914</v>
      </c>
      <c r="B3881" s="5" t="s">
        <v>5748</v>
      </c>
      <c r="C3881" s="6" t="str">
        <f>_xll.QS.CONTEXT.CREATE("market.3879",A3881,"USD","SOFR")</f>
        <v>QSObject:PricingContext:w1~market.3879:14097</v>
      </c>
      <c r="D3881" s="6" t="str">
        <f>_xll.QS.CONTEXT.ADD.CURVE(C3881,"SOFR",$K$2:$K$7,$L$2:$L$7,,,"Actual360","LogLinear",TRUE)</f>
        <v>QSObject:ContextInput:w1~input.qs_context_add_curve.2359132437744.3880.3.0:36681</v>
      </c>
      <c r="E3881" s="6" t="str">
        <f>_xll.QS.INSTRUMENT.SWAP("swap.3879",H3881,B3881,"USD","SOFR",I3881,J3881,0,"Actual360","Simple","Annual","Annual","Annual")</f>
        <v>QSObject:Swap:w1~swap.3879:14096</v>
      </c>
      <c r="F3881" s="6" t="str">
        <f>_xll.QS.TRADE.CREATE("trade.3879",E3881,A3881,"Receive")</f>
        <v>QSObject:SwapTrade:w1~trade.3879:27964</v>
      </c>
      <c r="G3881" s="3">
        <f>_xll.QS.EVALUATE(C3881,F3881)</f>
        <v>37589.525755504386</v>
      </c>
      <c r="H3881" s="5" t="s">
        <v>3921</v>
      </c>
      <c r="I3881" s="7">
        <v>1387900</v>
      </c>
      <c r="J3881" s="8">
        <v>3.7900000000000003E-2</v>
      </c>
    </row>
    <row r="3882" spans="1:10" x14ac:dyDescent="0.25">
      <c r="A3882" s="5" t="s">
        <v>3915</v>
      </c>
      <c r="B3882" s="5" t="s">
        <v>5749</v>
      </c>
      <c r="C3882" s="6" t="str">
        <f>_xll.QS.CONTEXT.CREATE("market.3880",A3882,"USD","SOFR")</f>
        <v>QSObject:PricingContext:w1~market.3880:14095</v>
      </c>
      <c r="D3882" s="6" t="str">
        <f>_xll.QS.CONTEXT.ADD.CURVE(C3882,"SOFR",$K$2:$K$7,$L$2:$L$7,,,"Actual360","LogLinear",TRUE)</f>
        <v>QSObject:ContextInput:w1~input.qs_context_add_curve.2359132437744.3881.3.0:36680</v>
      </c>
      <c r="E3882" s="6" t="str">
        <f>_xll.QS.INSTRUMENT.SWAP("swap.3880",H3882,B3882,"USD","SOFR",I3882,J3882,0,"Actual360","Simple","Annual","Annual","Annual")</f>
        <v>QSObject:Swap:w1~swap.3880:14094</v>
      </c>
      <c r="F3882" s="6" t="str">
        <f>_xll.QS.TRADE.CREATE("trade.3880",E3882,A3882,"Receive")</f>
        <v>QSObject:SwapTrade:w1~trade.3880:27963</v>
      </c>
      <c r="G3882" s="3">
        <f>_xll.QS.EVALUATE(C3882,F3882)</f>
        <v>38333.729458264264</v>
      </c>
      <c r="H3882" s="5" t="s">
        <v>3922</v>
      </c>
      <c r="I3882" s="7">
        <v>1388000</v>
      </c>
      <c r="J3882" s="8">
        <v>3.8000000000000013E-2</v>
      </c>
    </row>
    <row r="3883" spans="1:10" x14ac:dyDescent="0.25">
      <c r="A3883" s="5" t="s">
        <v>3916</v>
      </c>
      <c r="B3883" s="5" t="s">
        <v>5750</v>
      </c>
      <c r="C3883" s="6" t="str">
        <f>_xll.QS.CONTEXT.CREATE("market.3881",A3883,"USD","SOFR")</f>
        <v>QSObject:PricingContext:w1~market.3881:14093</v>
      </c>
      <c r="D3883" s="6" t="str">
        <f>_xll.QS.CONTEXT.ADD.CURVE(C3883,"SOFR",$K$2:$K$7,$L$2:$L$7,,,"Actual360","LogLinear",TRUE)</f>
        <v>QSObject:ContextInput:w1~input.qs_context_add_curve.2359132437744.3882.3.0:36679</v>
      </c>
      <c r="E3883" s="6" t="str">
        <f>_xll.QS.INSTRUMENT.SWAP("swap.3881",H3883,B3883,"USD","SOFR",I3883,J3883,0,"Actual360","Simple","Annual","Annual","Annual")</f>
        <v>QSObject:Swap:w1~swap.3881:14092</v>
      </c>
      <c r="F3883" s="6" t="str">
        <f>_xll.QS.TRADE.CREATE("trade.3881",E3883,A3883,"Receive")</f>
        <v>QSObject:SwapTrade:w1~trade.3881:27962</v>
      </c>
      <c r="G3883" s="3">
        <f>_xll.QS.EVALUATE(C3883,F3883)</f>
        <v>39037.292339946631</v>
      </c>
      <c r="H3883" s="5" t="s">
        <v>3923</v>
      </c>
      <c r="I3883" s="7">
        <v>1388100</v>
      </c>
      <c r="J3883" s="8">
        <v>3.8100000000000002E-2</v>
      </c>
    </row>
    <row r="3884" spans="1:10" x14ac:dyDescent="0.25">
      <c r="A3884" s="5" t="s">
        <v>3917</v>
      </c>
      <c r="B3884" s="5" t="s">
        <v>5751</v>
      </c>
      <c r="C3884" s="6" t="str">
        <f>_xll.QS.CONTEXT.CREATE("market.3882",A3884,"USD","SOFR")</f>
        <v>QSObject:PricingContext:w1~market.3882:14091</v>
      </c>
      <c r="D3884" s="6" t="str">
        <f>_xll.QS.CONTEXT.ADD.CURVE(C3884,"SOFR",$K$2:$K$7,$L$2:$L$7,,,"Actual360","LogLinear",TRUE)</f>
        <v>QSObject:ContextInput:w1~input.qs_context_add_curve.2359132437744.3883.3.0:36678</v>
      </c>
      <c r="E3884" s="6" t="str">
        <f>_xll.QS.INSTRUMENT.SWAP("swap.3882",H3884,B3884,"USD","SOFR",I3884,J3884,0,"Actual360","Simple","Annual","Annual","Annual")</f>
        <v>QSObject:Swap:w1~swap.3882:14090</v>
      </c>
      <c r="F3884" s="6" t="str">
        <f>_xll.QS.TRADE.CREATE("trade.3882",E3884,A3884,"Receive")</f>
        <v>QSObject:SwapTrade:w1~trade.3882:27961</v>
      </c>
      <c r="G3884" s="3">
        <f>_xll.QS.EVALUATE(C3884,F3884)</f>
        <v>39626.716260377158</v>
      </c>
      <c r="H3884" s="5" t="s">
        <v>3924</v>
      </c>
      <c r="I3884" s="7">
        <v>1388200</v>
      </c>
      <c r="J3884" s="8">
        <v>3.8199999999999998E-2</v>
      </c>
    </row>
    <row r="3885" spans="1:10" x14ac:dyDescent="0.25">
      <c r="A3885" s="5" t="s">
        <v>3918</v>
      </c>
      <c r="B3885" s="5" t="s">
        <v>5752</v>
      </c>
      <c r="C3885" s="6" t="str">
        <f>_xll.QS.CONTEXT.CREATE("market.3883",A3885,"USD","SOFR")</f>
        <v>QSObject:PricingContext:w1~market.3883:14089</v>
      </c>
      <c r="D3885" s="6" t="str">
        <f>_xll.QS.CONTEXT.ADD.CURVE(C3885,"SOFR",$K$2:$K$7,$L$2:$L$7,,,"Actual360","LogLinear",TRUE)</f>
        <v>QSObject:ContextInput:w1~input.qs_context_add_curve.2359132437744.3884.3.0:36677</v>
      </c>
      <c r="E3885" s="6" t="str">
        <f>_xll.QS.INSTRUMENT.SWAP("swap.3883",H3885,B3885,"USD","SOFR",I3885,J3885,0,"Actual360","Simple","Annual","Annual","Annual")</f>
        <v>QSObject:Swap:w1~swap.3883:14088</v>
      </c>
      <c r="F3885" s="6" t="str">
        <f>_xll.QS.TRADE.CREATE("trade.3883",E3885,A3885,"Receive")</f>
        <v>QSObject:SwapTrade:w1~trade.3883:27960</v>
      </c>
      <c r="G3885" s="3">
        <f>_xll.QS.EVALUATE(C3885,F3885)</f>
        <v>40163.839780807219</v>
      </c>
      <c r="H3885" s="5" t="s">
        <v>3925</v>
      </c>
      <c r="I3885" s="7">
        <v>1388300</v>
      </c>
      <c r="J3885" s="8">
        <v>3.8300000000000001E-2</v>
      </c>
    </row>
    <row r="3886" spans="1:10" x14ac:dyDescent="0.25">
      <c r="A3886" s="5" t="s">
        <v>3919</v>
      </c>
      <c r="B3886" s="5" t="s">
        <v>5753</v>
      </c>
      <c r="C3886" s="6" t="str">
        <f>_xll.QS.CONTEXT.CREATE("market.3884",A3886,"USD","SOFR")</f>
        <v>QSObject:PricingContext:w1~market.3884:14087</v>
      </c>
      <c r="D3886" s="6" t="str">
        <f>_xll.QS.CONTEXT.ADD.CURVE(C3886,"SOFR",$K$2:$K$7,$L$2:$L$7,,,"Actual360","LogLinear",TRUE)</f>
        <v>QSObject:ContextInput:w1~input.qs_context_add_curve.2359132437744.3885.3.0:36676</v>
      </c>
      <c r="E3886" s="6" t="str">
        <f>_xll.QS.INSTRUMENT.SWAP("swap.3884",H3886,B3886,"USD","SOFR",I3886,J3886,0,"Actual360","Simple","Annual","Annual","Annual")</f>
        <v>QSObject:Swap:w1~swap.3884:14086</v>
      </c>
      <c r="F3886" s="6" t="str">
        <f>_xll.QS.TRADE.CREATE("trade.3884",E3886,A3886,"Receive")</f>
        <v>QSObject:SwapTrade:w1~trade.3884:27959</v>
      </c>
      <c r="G3886" s="3">
        <f>_xll.QS.EVALUATE(C3886,F3886)</f>
        <v>40711.937779027816</v>
      </c>
      <c r="H3886" s="5" t="s">
        <v>3926</v>
      </c>
      <c r="I3886" s="7">
        <v>1388400</v>
      </c>
      <c r="J3886" s="8">
        <v>3.8399999999999997E-2</v>
      </c>
    </row>
    <row r="3887" spans="1:10" x14ac:dyDescent="0.25">
      <c r="A3887" s="5" t="s">
        <v>3920</v>
      </c>
      <c r="B3887" s="5" t="s">
        <v>5754</v>
      </c>
      <c r="C3887" s="6" t="str">
        <f>_xll.QS.CONTEXT.CREATE("market.3885",A3887,"USD","SOFR")</f>
        <v>QSObject:PricingContext:w1~market.3885:14085</v>
      </c>
      <c r="D3887" s="6" t="str">
        <f>_xll.QS.CONTEXT.ADD.CURVE(C3887,"SOFR",$K$2:$K$7,$L$2:$L$7,,,"Actual360","LogLinear",TRUE)</f>
        <v>QSObject:ContextInput:w1~input.qs_context_add_curve.2359132437744.3886.3.0:36675</v>
      </c>
      <c r="E3887" s="6" t="str">
        <f>_xll.QS.INSTRUMENT.SWAP("swap.3885",H3887,B3887,"USD","SOFR",I3887,J3887,0,"Actual360","Simple","Annual","Annual","Annual")</f>
        <v>QSObject:Swap:w1~swap.3885:14084</v>
      </c>
      <c r="F3887" s="6" t="str">
        <f>_xll.QS.TRADE.CREATE("trade.3885",E3887,A3887,"Receive")</f>
        <v>QSObject:SwapTrade:w1~trade.3885:27958</v>
      </c>
      <c r="G3887" s="3">
        <f>_xll.QS.EVALUATE(C3887,F3887)</f>
        <v>41414.520842769401</v>
      </c>
      <c r="H3887" s="5" t="s">
        <v>3927</v>
      </c>
      <c r="I3887" s="7">
        <v>1388500</v>
      </c>
      <c r="J3887" s="8">
        <v>3.8500000000000013E-2</v>
      </c>
    </row>
    <row r="3888" spans="1:10" x14ac:dyDescent="0.25">
      <c r="A3888" s="5" t="s">
        <v>3921</v>
      </c>
      <c r="B3888" s="5" t="s">
        <v>5755</v>
      </c>
      <c r="C3888" s="6" t="str">
        <f>_xll.QS.CONTEXT.CREATE("market.3886",A3888,"USD","SOFR")</f>
        <v>QSObject:PricingContext:w1~market.3886:14083</v>
      </c>
      <c r="D3888" s="6" t="str">
        <f>_xll.QS.CONTEXT.ADD.CURVE(C3888,"SOFR",$K$2:$K$7,$L$2:$L$7,,,"Actual360","LogLinear",TRUE)</f>
        <v>QSObject:ContextInput:w1~input.qs_context_add_curve.2359132437744.3887.3.0:36674</v>
      </c>
      <c r="E3888" s="6" t="str">
        <f>_xll.QS.INSTRUMENT.SWAP("swap.3886",H3888,B3888,"USD","SOFR",I3888,J3888,0,"Actual360","Simple","Annual","Annual","Annual")</f>
        <v>QSObject:Swap:w1~swap.3886:14082</v>
      </c>
      <c r="F3888" s="6" t="str">
        <f>_xll.QS.TRADE.CREATE("trade.3886",E3888,A3888,"Receive")</f>
        <v>QSObject:SwapTrade:w1~trade.3886:27957</v>
      </c>
      <c r="G3888" s="3">
        <f>_xll.QS.EVALUATE(C3888,F3888)</f>
        <v>42090.780115645386</v>
      </c>
      <c r="H3888" s="5" t="s">
        <v>3928</v>
      </c>
      <c r="I3888" s="7">
        <v>1388600</v>
      </c>
      <c r="J3888" s="8">
        <v>3.8600000000000002E-2</v>
      </c>
    </row>
    <row r="3889" spans="1:10" x14ac:dyDescent="0.25">
      <c r="A3889" s="5" t="s">
        <v>3922</v>
      </c>
      <c r="B3889" s="5" t="s">
        <v>5756</v>
      </c>
      <c r="C3889" s="6" t="str">
        <f>_xll.QS.CONTEXT.CREATE("market.3887",A3889,"USD","SOFR")</f>
        <v>QSObject:PricingContext:w1~market.3887:14081</v>
      </c>
      <c r="D3889" s="6" t="str">
        <f>_xll.QS.CONTEXT.ADD.CURVE(C3889,"SOFR",$K$2:$K$7,$L$2:$L$7,,,"Actual360","LogLinear",TRUE)</f>
        <v>QSObject:ContextInput:w1~input.qs_context_add_curve.2359132437744.3888.3.0:36673</v>
      </c>
      <c r="E3889" s="6" t="str">
        <f>_xll.QS.INSTRUMENT.SWAP("swap.3887",H3889,B3889,"USD","SOFR",I3889,J3889,0,"Actual360","Simple","Annual","Annual","Annual")</f>
        <v>QSObject:Swap:w1~swap.3887:14080</v>
      </c>
      <c r="F3889" s="6" t="str">
        <f>_xll.QS.TRADE.CREATE("trade.3887",E3889,A3889,"Receive")</f>
        <v>QSObject:SwapTrade:w1~trade.3887:27956</v>
      </c>
      <c r="G3889" s="3">
        <f>_xll.QS.EVALUATE(C3889,F3889)</f>
        <v>42835.952713863138</v>
      </c>
      <c r="H3889" s="5" t="s">
        <v>3929</v>
      </c>
      <c r="I3889" s="7">
        <v>1388700</v>
      </c>
      <c r="J3889" s="8">
        <v>3.8700000000000012E-2</v>
      </c>
    </row>
    <row r="3890" spans="1:10" x14ac:dyDescent="0.25">
      <c r="A3890" s="5" t="s">
        <v>3923</v>
      </c>
      <c r="B3890" s="5" t="s">
        <v>5757</v>
      </c>
      <c r="C3890" s="6" t="str">
        <f>_xll.QS.CONTEXT.CREATE("market.3888",A3890,"USD","SOFR")</f>
        <v>QSObject:PricingContext:w1~market.3888:14079</v>
      </c>
      <c r="D3890" s="6" t="str">
        <f>_xll.QS.CONTEXT.ADD.CURVE(C3890,"SOFR",$K$2:$K$7,$L$2:$L$7,,,"Actual360","LogLinear",TRUE)</f>
        <v>QSObject:ContextInput:w1~input.qs_context_add_curve.2359132437744.3889.3.0:36672</v>
      </c>
      <c r="E3890" s="6" t="str">
        <f>_xll.QS.INSTRUMENT.SWAP("swap.3888",H3890,B3890,"USD","SOFR",I3890,J3890,0,"Actual360","Simple","Annual","Annual","Annual")</f>
        <v>QSObject:Swap:w1~swap.3888:14078</v>
      </c>
      <c r="F3890" s="6" t="str">
        <f>_xll.QS.TRADE.CREATE("trade.3888",E3890,A3890,"Receive")</f>
        <v>QSObject:SwapTrade:w1~trade.3888:27955</v>
      </c>
      <c r="G3890" s="3">
        <f>_xll.QS.EVALUATE(C3890,F3890)</f>
        <v>43540.421820464762</v>
      </c>
      <c r="H3890" s="5" t="s">
        <v>3930</v>
      </c>
      <c r="I3890" s="7">
        <v>1388800</v>
      </c>
      <c r="J3890" s="8">
        <v>3.8800000000000001E-2</v>
      </c>
    </row>
    <row r="3891" spans="1:10" x14ac:dyDescent="0.25">
      <c r="A3891" s="5" t="s">
        <v>3924</v>
      </c>
      <c r="B3891" s="5" t="s">
        <v>5758</v>
      </c>
      <c r="C3891" s="6" t="str">
        <f>_xll.QS.CONTEXT.CREATE("market.3889",A3891,"USD","SOFR")</f>
        <v>QSObject:PricingContext:w1~market.3889:14077</v>
      </c>
      <c r="D3891" s="6" t="str">
        <f>_xll.QS.CONTEXT.ADD.CURVE(C3891,"SOFR",$K$2:$K$7,$L$2:$L$7,,,"Actual360","LogLinear",TRUE)</f>
        <v>QSObject:ContextInput:w1~input.qs_context_add_curve.2359132437744.3890.3.0:36671</v>
      </c>
      <c r="E3891" s="6" t="str">
        <f>_xll.QS.INSTRUMENT.SWAP("swap.3889",H3891,B3891,"USD","SOFR",I3891,J3891,0,"Actual360","Simple","Annual","Annual","Annual")</f>
        <v>QSObject:Swap:w1~swap.3889:14076</v>
      </c>
      <c r="F3891" s="6" t="str">
        <f>_xll.QS.TRADE.CREATE("trade.3889",E3891,A3891,"Receive")</f>
        <v>QSObject:SwapTrade:w1~trade.3889:27954</v>
      </c>
      <c r="G3891" s="3">
        <f>_xll.QS.EVALUATE(C3891,F3891)</f>
        <v>44129.498820174471</v>
      </c>
      <c r="H3891" s="5" t="s">
        <v>3931</v>
      </c>
      <c r="I3891" s="7">
        <v>1388900</v>
      </c>
      <c r="J3891" s="8">
        <v>3.8899999999999997E-2</v>
      </c>
    </row>
    <row r="3892" spans="1:10" x14ac:dyDescent="0.25">
      <c r="A3892" s="5" t="s">
        <v>3925</v>
      </c>
      <c r="B3892" s="5" t="s">
        <v>5759</v>
      </c>
      <c r="C3892" s="6" t="str">
        <f>_xll.QS.CONTEXT.CREATE("market.3890",A3892,"USD","SOFR")</f>
        <v>QSObject:PricingContext:w1~market.3890:14075</v>
      </c>
      <c r="D3892" s="6" t="str">
        <f>_xll.QS.CONTEXT.ADD.CURVE(C3892,"SOFR",$K$2:$K$7,$L$2:$L$7,,,"Actual360","LogLinear",TRUE)</f>
        <v>QSObject:ContextInput:w1~input.qs_context_add_curve.2359132437744.3891.3.0:36670</v>
      </c>
      <c r="E3892" s="6" t="str">
        <f>_xll.QS.INSTRUMENT.SWAP("swap.3890",H3892,B3892,"USD","SOFR",I3892,J3892,0,"Actual360","Simple","Annual","Annual","Annual")</f>
        <v>QSObject:Swap:w1~swap.3890:14074</v>
      </c>
      <c r="F3892" s="6" t="str">
        <f>_xll.QS.TRADE.CREATE("trade.3890",E3892,A3892,"Receive")</f>
        <v>QSObject:SwapTrade:w1~trade.3890:27953</v>
      </c>
      <c r="G3892" s="3">
        <f>_xll.QS.EVALUATE(C3892,F3892)</f>
        <v>44633.927204402185</v>
      </c>
      <c r="H3892" s="5" t="s">
        <v>3932</v>
      </c>
      <c r="I3892" s="7">
        <v>1389000</v>
      </c>
      <c r="J3892" s="8">
        <v>3.9000000000000007E-2</v>
      </c>
    </row>
    <row r="3893" spans="1:10" x14ac:dyDescent="0.25">
      <c r="A3893" s="5" t="s">
        <v>3926</v>
      </c>
      <c r="B3893" s="5" t="s">
        <v>5760</v>
      </c>
      <c r="C3893" s="6" t="str">
        <f>_xll.QS.CONTEXT.CREATE("market.3891",A3893,"USD","SOFR")</f>
        <v>QSObject:PricingContext:w1~market.3891:14073</v>
      </c>
      <c r="D3893" s="6" t="str">
        <f>_xll.QS.CONTEXT.ADD.CURVE(C3893,"SOFR",$K$2:$K$7,$L$2:$L$7,,,"Actual360","LogLinear",TRUE)</f>
        <v>QSObject:ContextInput:w1~input.qs_context_add_curve.2359132437744.3892.3.0:36669</v>
      </c>
      <c r="E3893" s="6" t="str">
        <f>_xll.QS.INSTRUMENT.SWAP("swap.3891",H3893,B3893,"USD","SOFR",I3893,J3893,0,"Actual360","Simple","Annual","Annual","Annual")</f>
        <v>QSObject:Swap:w1~swap.3891:14072</v>
      </c>
      <c r="F3893" s="6" t="str">
        <f>_xll.QS.TRADE.CREATE("trade.3891",E3893,A3893,"Receive")</f>
        <v>QSObject:SwapTrade:w1~trade.3891:27952</v>
      </c>
      <c r="G3893" s="3">
        <f>_xll.QS.EVALUATE(C3893,F3893)</f>
        <v>45158.899037610085</v>
      </c>
      <c r="H3893" s="5" t="s">
        <v>3933</v>
      </c>
      <c r="I3893" s="7">
        <v>1389100</v>
      </c>
      <c r="J3893" s="8">
        <v>3.9100000000000003E-2</v>
      </c>
    </row>
    <row r="3894" spans="1:10" x14ac:dyDescent="0.25">
      <c r="A3894" s="5" t="s">
        <v>3927</v>
      </c>
      <c r="B3894" s="5" t="s">
        <v>5761</v>
      </c>
      <c r="C3894" s="6" t="str">
        <f>_xll.QS.CONTEXT.CREATE("market.3892",A3894,"USD","SOFR")</f>
        <v>QSObject:PricingContext:w1~market.3892:14071</v>
      </c>
      <c r="D3894" s="6" t="str">
        <f>_xll.QS.CONTEXT.ADD.CURVE(C3894,"SOFR",$K$2:$K$7,$L$2:$L$7,,,"Actual360","LogLinear",TRUE)</f>
        <v>QSObject:ContextInput:w1~input.qs_context_add_curve.2359132437744.3893.3.0:36668</v>
      </c>
      <c r="E3894" s="6" t="str">
        <f>_xll.QS.INSTRUMENT.SWAP("swap.3892",H3894,B3894,"USD","SOFR",I3894,J3894,0,"Actual360","Simple","Annual","Annual","Annual")</f>
        <v>QSObject:Swap:w1~swap.3892:14070</v>
      </c>
      <c r="F3894" s="6" t="str">
        <f>_xll.QS.TRADE.CREATE("trade.3892",E3894,A3894,"Receive")</f>
        <v>QSObject:SwapTrade:w1~trade.3892:27951</v>
      </c>
      <c r="G3894" s="3">
        <f>_xll.QS.EVALUATE(C3894,F3894)</f>
        <v>45862.772078040485</v>
      </c>
      <c r="H3894" s="5" t="s">
        <v>3934</v>
      </c>
      <c r="I3894" s="7">
        <v>1389200</v>
      </c>
      <c r="J3894" s="8">
        <v>3.9200000000000013E-2</v>
      </c>
    </row>
    <row r="3895" spans="1:10" x14ac:dyDescent="0.25">
      <c r="A3895" s="5" t="s">
        <v>3928</v>
      </c>
      <c r="B3895" s="5" t="s">
        <v>5762</v>
      </c>
      <c r="C3895" s="6" t="str">
        <f>_xll.QS.CONTEXT.CREATE("market.3893",A3895,"USD","SOFR")</f>
        <v>QSObject:PricingContext:w1~market.3893:14069</v>
      </c>
      <c r="D3895" s="6" t="str">
        <f>_xll.QS.CONTEXT.ADD.CURVE(C3895,"SOFR",$K$2:$K$7,$L$2:$L$7,,,"Actual360","LogLinear",TRUE)</f>
        <v>QSObject:ContextInput:w1~input.qs_context_add_curve.2359132437744.3894.3.0:36667</v>
      </c>
      <c r="E3895" s="6" t="str">
        <f>_xll.QS.INSTRUMENT.SWAP("swap.3893",H3895,B3895,"USD","SOFR",I3895,J3895,0,"Actual360","Simple","Annual","Annual","Annual")</f>
        <v>QSObject:Swap:w1~swap.3893:14068</v>
      </c>
      <c r="F3895" s="6" t="str">
        <f>_xll.QS.TRADE.CREATE("trade.3893",E3895,A3895,"Receive")</f>
        <v>QSObject:SwapTrade:w1~trade.3893:27950</v>
      </c>
      <c r="G3895" s="3">
        <f>_xll.QS.EVALUATE(C3895,F3895)</f>
        <v>46565.896064125031</v>
      </c>
      <c r="H3895" s="5" t="s">
        <v>3935</v>
      </c>
      <c r="I3895" s="7">
        <v>1389300</v>
      </c>
      <c r="J3895" s="8">
        <v>3.9300000000000002E-2</v>
      </c>
    </row>
    <row r="3896" spans="1:10" x14ac:dyDescent="0.25">
      <c r="A3896" s="5" t="s">
        <v>3929</v>
      </c>
      <c r="B3896" s="5" t="s">
        <v>5763</v>
      </c>
      <c r="C3896" s="6" t="str">
        <f>_xll.QS.CONTEXT.CREATE("market.3894",A3896,"USD","SOFR")</f>
        <v>QSObject:PricingContext:w1~market.3894:14067</v>
      </c>
      <c r="D3896" s="6" t="str">
        <f>_xll.QS.CONTEXT.ADD.CURVE(C3896,"SOFR",$K$2:$K$7,$L$2:$L$7,,,"Actual360","LogLinear",TRUE)</f>
        <v>QSObject:ContextInput:w1~input.qs_context_add_curve.2359132437744.3895.3.0:36666</v>
      </c>
      <c r="E3896" s="6" t="str">
        <f>_xll.QS.INSTRUMENT.SWAP("swap.3894",H3896,B3896,"USD","SOFR",I3896,J3896,0,"Actual360","Simple","Annual","Annual","Annual")</f>
        <v>QSObject:Swap:w1~swap.3894:14066</v>
      </c>
      <c r="F3896" s="6" t="str">
        <f>_xll.QS.TRADE.CREATE("trade.3894",E3896,A3896,"Receive")</f>
        <v>QSObject:SwapTrade:w1~trade.3894:27949</v>
      </c>
      <c r="G3896" s="3">
        <f>_xll.QS.EVALUATE(C3896,F3896)</f>
        <v>47393.826369518327</v>
      </c>
      <c r="H3896" s="5" t="s">
        <v>3936</v>
      </c>
      <c r="I3896" s="7">
        <v>1389400</v>
      </c>
      <c r="J3896" s="8">
        <v>3.9399999999999998E-2</v>
      </c>
    </row>
    <row r="3897" spans="1:10" x14ac:dyDescent="0.25">
      <c r="A3897" s="5" t="s">
        <v>3930</v>
      </c>
      <c r="B3897" s="5" t="s">
        <v>5764</v>
      </c>
      <c r="C3897" s="6" t="str">
        <f>_xll.QS.CONTEXT.CREATE("market.3895",A3897,"USD","SOFR")</f>
        <v>QSObject:PricingContext:w1~market.3895:14065</v>
      </c>
      <c r="D3897" s="6" t="str">
        <f>_xll.QS.CONTEXT.ADD.CURVE(C3897,"SOFR",$K$2:$K$7,$L$2:$L$7,,,"Actual360","LogLinear",TRUE)</f>
        <v>QSObject:ContextInput:w1~input.qs_context_add_curve.2359132437744.3896.3.0:36665</v>
      </c>
      <c r="E3897" s="6" t="str">
        <f>_xll.QS.INSTRUMENT.SWAP("swap.3895",H3897,B3897,"USD","SOFR",I3897,J3897,0,"Actual360","Simple","Annual","Annual","Annual")</f>
        <v>QSObject:Swap:w1~swap.3895:14064</v>
      </c>
      <c r="F3897" s="6" t="str">
        <f>_xll.QS.TRADE.CREATE("trade.3895",E3897,A3897,"Receive")</f>
        <v>QSObject:SwapTrade:w1~trade.3895:27948</v>
      </c>
      <c r="G3897" s="3">
        <f>_xll.QS.EVALUATE(C3897,F3897)</f>
        <v>48050.718321463886</v>
      </c>
      <c r="H3897" s="5" t="s">
        <v>3937</v>
      </c>
      <c r="I3897" s="7">
        <v>1389500</v>
      </c>
      <c r="J3897" s="8">
        <v>3.9500000000000007E-2</v>
      </c>
    </row>
    <row r="3898" spans="1:10" x14ac:dyDescent="0.25">
      <c r="A3898" s="5" t="s">
        <v>3931</v>
      </c>
      <c r="B3898" s="5" t="s">
        <v>5765</v>
      </c>
      <c r="C3898" s="6" t="str">
        <f>_xll.QS.CONTEXT.CREATE("market.3896",A3898,"USD","SOFR")</f>
        <v>QSObject:PricingContext:w1~market.3896:14063</v>
      </c>
      <c r="D3898" s="6" t="str">
        <f>_xll.QS.CONTEXT.ADD.CURVE(C3898,"SOFR",$K$2:$K$7,$L$2:$L$7,,,"Actual360","LogLinear",TRUE)</f>
        <v>QSObject:ContextInput:w1~input.qs_context_add_curve.2359132437744.3897.3.0:36664</v>
      </c>
      <c r="E3898" s="6" t="str">
        <f>_xll.QS.INSTRUMENT.SWAP("swap.3896",H3898,B3898,"USD","SOFR",I3898,J3898,0,"Actual360","Simple","Annual","Annual","Annual")</f>
        <v>QSObject:Swap:w1~swap.3896:14062</v>
      </c>
      <c r="F3898" s="6" t="str">
        <f>_xll.QS.TRADE.CREATE("trade.3896",E3898,A3898,"Receive")</f>
        <v>QSObject:SwapTrade:w1~trade.3896:27947</v>
      </c>
      <c r="G3898" s="3">
        <f>_xll.QS.EVALUATE(C3898,F3898)</f>
        <v>48694.267764354365</v>
      </c>
      <c r="H3898" s="5" t="s">
        <v>3938</v>
      </c>
      <c r="I3898" s="7">
        <v>1389600</v>
      </c>
      <c r="J3898" s="8">
        <v>3.9600000000000003E-2</v>
      </c>
    </row>
    <row r="3899" spans="1:10" x14ac:dyDescent="0.25">
      <c r="A3899" s="5" t="s">
        <v>3932</v>
      </c>
      <c r="B3899" s="5" t="s">
        <v>5766</v>
      </c>
      <c r="C3899" s="6" t="str">
        <f>_xll.QS.CONTEXT.CREATE("market.3897",A3899,"USD","SOFR")</f>
        <v>QSObject:PricingContext:w1~market.3897:14061</v>
      </c>
      <c r="D3899" s="6" t="str">
        <f>_xll.QS.CONTEXT.ADD.CURVE(C3899,"SOFR",$K$2:$K$7,$L$2:$L$7,,,"Actual360","LogLinear",TRUE)</f>
        <v>QSObject:ContextInput:w1~input.qs_context_add_curve.2359132437744.3898.3.0:36663</v>
      </c>
      <c r="E3899" s="6" t="str">
        <f>_xll.QS.INSTRUMENT.SWAP("swap.3897",H3899,B3899,"USD","SOFR",I3899,J3899,0,"Actual360","Simple","Annual","Annual","Annual")</f>
        <v>QSObject:Swap:w1~swap.3897:14060</v>
      </c>
      <c r="F3899" s="6" t="str">
        <f>_xll.QS.TRADE.CREATE("trade.3897",E3899,A3899,"Receive")</f>
        <v>QSObject:SwapTrade:w1~trade.3897:27946</v>
      </c>
      <c r="G3899" s="3">
        <f>_xll.QS.EVALUATE(C3899,F3899)</f>
        <v>49222.014374654274</v>
      </c>
      <c r="H3899" s="5" t="s">
        <v>3939</v>
      </c>
      <c r="I3899" s="7">
        <v>1389700</v>
      </c>
      <c r="J3899" s="8">
        <v>3.9700000000000013E-2</v>
      </c>
    </row>
    <row r="3900" spans="1:10" x14ac:dyDescent="0.25">
      <c r="A3900" s="5" t="s">
        <v>3933</v>
      </c>
      <c r="B3900" s="5" t="s">
        <v>5767</v>
      </c>
      <c r="C3900" s="6" t="str">
        <f>_xll.QS.CONTEXT.CREATE("market.3898",A3900,"USD","SOFR")</f>
        <v>QSObject:PricingContext:w1~market.3898:14059</v>
      </c>
      <c r="D3900" s="6" t="str">
        <f>_xll.QS.CONTEXT.ADD.CURVE(C3900,"SOFR",$K$2:$K$7,$L$2:$L$7,,,"Actual360","LogLinear",TRUE)</f>
        <v>QSObject:ContextInput:w1~input.qs_context_add_curve.2359132437744.3899.3.0:36662</v>
      </c>
      <c r="E3900" s="6" t="str">
        <f>_xll.QS.INSTRUMENT.SWAP("swap.3898",H3900,B3900,"USD","SOFR",I3900,J3900,0,"Actual360","Simple","Annual","Annual","Annual")</f>
        <v>QSObject:Swap:w1~swap.3898:14058</v>
      </c>
      <c r="F3900" s="6" t="str">
        <f>_xll.QS.TRADE.CREATE("trade.3898",E3900,A3900,"Receive")</f>
        <v>QSObject:SwapTrade:w1~trade.3898:27945</v>
      </c>
      <c r="G3900" s="3">
        <f>_xll.QS.EVALUATE(C3900,F3900)</f>
        <v>49785.076856566397</v>
      </c>
      <c r="H3900" s="5" t="s">
        <v>3940</v>
      </c>
      <c r="I3900" s="7">
        <v>1389800</v>
      </c>
      <c r="J3900" s="8">
        <v>3.9800000000000002E-2</v>
      </c>
    </row>
    <row r="3901" spans="1:10" x14ac:dyDescent="0.25">
      <c r="A3901" s="5" t="s">
        <v>3934</v>
      </c>
      <c r="B3901" s="5" t="s">
        <v>5768</v>
      </c>
      <c r="C3901" s="6" t="str">
        <f>_xll.QS.CONTEXT.CREATE("market.3899",A3901,"USD","SOFR")</f>
        <v>QSObject:PricingContext:w1~market.3899:14057</v>
      </c>
      <c r="D3901" s="6" t="str">
        <f>_xll.QS.CONTEXT.ADD.CURVE(C3901,"SOFR",$K$2:$K$7,$L$2:$L$7,,,"Actual360","LogLinear",TRUE)</f>
        <v>QSObject:ContextInput:w1~input.qs_context_add_curve.2359132437744.3900.3.0:36661</v>
      </c>
      <c r="E3901" s="6" t="str">
        <f>_xll.QS.INSTRUMENT.SWAP("swap.3899",H3901,B3901,"USD","SOFR",I3901,J3901,0,"Actual360","Simple","Annual","Annual","Annual")</f>
        <v>QSObject:Swap:w1~swap.3899:14056</v>
      </c>
      <c r="F3901" s="6" t="str">
        <f>_xll.QS.TRADE.CREATE("trade.3899",E3901,A3901,"Receive")</f>
        <v>QSObject:SwapTrade:w1~trade.3899:27944</v>
      </c>
      <c r="G3901" s="3">
        <f>_xll.QS.EVALUATE(C3901,F3901)</f>
        <v>50433.733362933417</v>
      </c>
      <c r="H3901" s="5" t="s">
        <v>3941</v>
      </c>
      <c r="I3901" s="7">
        <v>1389900</v>
      </c>
      <c r="J3901" s="8">
        <v>3.9899999999999998E-2</v>
      </c>
    </row>
    <row r="3902" spans="1:10" x14ac:dyDescent="0.25">
      <c r="A3902" s="5" t="s">
        <v>3935</v>
      </c>
      <c r="B3902" s="5" t="s">
        <v>5769</v>
      </c>
      <c r="C3902" s="6" t="str">
        <f>_xll.QS.CONTEXT.CREATE("market.3900",A3902,"USD","SOFR")</f>
        <v>QSObject:PricingContext:w1~market.3900:14055</v>
      </c>
      <c r="D3902" s="6" t="str">
        <f>_xll.QS.CONTEXT.ADD.CURVE(C3902,"SOFR",$K$2:$K$7,$L$2:$L$7,,,"Actual360","LogLinear",TRUE)</f>
        <v>QSObject:ContextInput:w1~input.qs_context_add_curve.2359132437744.3901.3.0:36660</v>
      </c>
      <c r="E3902" s="6" t="str">
        <f>_xll.QS.INSTRUMENT.SWAP("swap.3900",H3902,B3902,"USD","SOFR",I3902,J3902,0,"Actual360","Simple","Annual","Annual","Annual")</f>
        <v>QSObject:Swap:w1~swap.3900:14054</v>
      </c>
      <c r="F3902" s="6" t="str">
        <f>_xll.QS.TRADE.CREATE("trade.3900",E3902,A3902,"Receive")</f>
        <v>QSObject:SwapTrade:w1~trade.3900:27943</v>
      </c>
      <c r="G3902" s="3">
        <f>_xll.QS.EVALUATE(C3902,F3902)</f>
        <v>19058.168949160055</v>
      </c>
      <c r="H3902" s="5" t="s">
        <v>3942</v>
      </c>
      <c r="I3902" s="7">
        <v>1390000</v>
      </c>
      <c r="J3902" s="8">
        <v>3.5000000000000003E-2</v>
      </c>
    </row>
    <row r="3903" spans="1:10" x14ac:dyDescent="0.25">
      <c r="A3903" s="5" t="s">
        <v>3936</v>
      </c>
      <c r="B3903" s="5" t="s">
        <v>5770</v>
      </c>
      <c r="C3903" s="6" t="str">
        <f>_xll.QS.CONTEXT.CREATE("market.3901",A3903,"USD","SOFR")</f>
        <v>QSObject:PricingContext:w1~market.3901:14053</v>
      </c>
      <c r="D3903" s="6" t="str">
        <f>_xll.QS.CONTEXT.ADD.CURVE(C3903,"SOFR",$K$2:$K$7,$L$2:$L$7,,,"Actual360","LogLinear",TRUE)</f>
        <v>QSObject:ContextInput:w1~input.qs_context_add_curve.2359132437744.3902.3.0:36659</v>
      </c>
      <c r="E3903" s="6" t="str">
        <f>_xll.QS.INSTRUMENT.SWAP("swap.3901",H3903,B3903,"USD","SOFR",I3903,J3903,0,"Actual360","Simple","Annual","Annual","Annual")</f>
        <v>QSObject:Swap:w1~swap.3901:14052</v>
      </c>
      <c r="F3903" s="6" t="str">
        <f>_xll.QS.TRADE.CREATE("trade.3901",E3903,A3903,"Receive")</f>
        <v>QSObject:SwapTrade:w1~trade.3901:27942</v>
      </c>
      <c r="G3903" s="3">
        <f>_xll.QS.EVALUATE(C3903,F3903)</f>
        <v>19801.881172842339</v>
      </c>
      <c r="H3903" s="5" t="s">
        <v>3943</v>
      </c>
      <c r="I3903" s="7">
        <v>1390100</v>
      </c>
      <c r="J3903" s="8">
        <v>3.5100000000000013E-2</v>
      </c>
    </row>
    <row r="3904" spans="1:10" x14ac:dyDescent="0.25">
      <c r="A3904" s="5" t="s">
        <v>3937</v>
      </c>
      <c r="B3904" s="5" t="s">
        <v>5771</v>
      </c>
      <c r="C3904" s="6" t="str">
        <f>_xll.QS.CONTEXT.CREATE("market.3902",A3904,"USD","SOFR")</f>
        <v>QSObject:PricingContext:w1~market.3902:14051</v>
      </c>
      <c r="D3904" s="6" t="str">
        <f>_xll.QS.CONTEXT.ADD.CURVE(C3904,"SOFR",$K$2:$K$7,$L$2:$L$7,,,"Actual360","LogLinear",TRUE)</f>
        <v>QSObject:ContextInput:w1~input.qs_context_add_curve.2359132437744.3903.3.0:36658</v>
      </c>
      <c r="E3904" s="6" t="str">
        <f>_xll.QS.INSTRUMENT.SWAP("swap.3902",H3904,B3904,"USD","SOFR",I3904,J3904,0,"Actual360","Simple","Annual","Annual","Annual")</f>
        <v>QSObject:Swap:w1~swap.3902:14050</v>
      </c>
      <c r="F3904" s="6" t="str">
        <f>_xll.QS.TRADE.CREATE("trade.3902",E3904,A3904,"Receive")</f>
        <v>QSObject:SwapTrade:w1~trade.3902:27941</v>
      </c>
      <c r="G3904" s="3">
        <f>_xll.QS.EVALUATE(C3904,F3904)</f>
        <v>20504.953505299993</v>
      </c>
      <c r="H3904" s="5" t="s">
        <v>3944</v>
      </c>
      <c r="I3904" s="7">
        <v>1390200</v>
      </c>
      <c r="J3904" s="8">
        <v>3.5200000000000002E-2</v>
      </c>
    </row>
    <row r="3905" spans="1:10" x14ac:dyDescent="0.25">
      <c r="A3905" s="5" t="s">
        <v>3938</v>
      </c>
      <c r="B3905" s="5" t="s">
        <v>5772</v>
      </c>
      <c r="C3905" s="6" t="str">
        <f>_xll.QS.CONTEXT.CREATE("market.3903",A3905,"USD","SOFR")</f>
        <v>QSObject:PricingContext:w1~market.3903:14049</v>
      </c>
      <c r="D3905" s="6" t="str">
        <f>_xll.QS.CONTEXT.ADD.CURVE(C3905,"SOFR",$K$2:$K$7,$L$2:$L$7,,,"Actual360","LogLinear",TRUE)</f>
        <v>QSObject:ContextInput:w1~input.qs_context_add_curve.2359132437744.3904.3.0:36657</v>
      </c>
      <c r="E3905" s="6" t="str">
        <f>_xll.QS.INSTRUMENT.SWAP("swap.3903",H3905,B3905,"USD","SOFR",I3905,J3905,0,"Actual360","Simple","Annual","Annual","Annual")</f>
        <v>QSObject:Swap:w1~swap.3903:14048</v>
      </c>
      <c r="F3905" s="6" t="str">
        <f>_xll.QS.TRADE.CREATE("trade.3903",E3905,A3905,"Receive")</f>
        <v>QSObject:SwapTrade:w1~trade.3903:27940</v>
      </c>
      <c r="G3905" s="3">
        <f>_xll.QS.EVALUATE(C3905,F3905)</f>
        <v>21094.128421760572</v>
      </c>
      <c r="H3905" s="5" t="s">
        <v>3945</v>
      </c>
      <c r="I3905" s="7">
        <v>1390300</v>
      </c>
      <c r="J3905" s="8">
        <v>3.5299999999999998E-2</v>
      </c>
    </row>
    <row r="3906" spans="1:10" x14ac:dyDescent="0.25">
      <c r="A3906" s="5" t="s">
        <v>3939</v>
      </c>
      <c r="B3906" s="5" t="s">
        <v>5773</v>
      </c>
      <c r="C3906" s="6" t="str">
        <f>_xll.QS.CONTEXT.CREATE("market.3904",A3906,"USD","SOFR")</f>
        <v>QSObject:PricingContext:w1~market.3904:14047</v>
      </c>
      <c r="D3906" s="6" t="str">
        <f>_xll.QS.CONTEXT.ADD.CURVE(C3906,"SOFR",$K$2:$K$7,$L$2:$L$7,,,"Actual360","LogLinear",TRUE)</f>
        <v>QSObject:ContextInput:w1~input.qs_context_add_curve.2359132437744.3905.3.0:36656</v>
      </c>
      <c r="E3906" s="6" t="str">
        <f>_xll.QS.INSTRUMENT.SWAP("swap.3904",H3906,B3906,"USD","SOFR",I3906,J3906,0,"Actual360","Simple","Annual","Annual","Annual")</f>
        <v>QSObject:Swap:w1~swap.3904:14046</v>
      </c>
      <c r="F3906" s="6" t="str">
        <f>_xll.QS.TRADE.CREATE("trade.3904",E3906,A3906,"Receive")</f>
        <v>QSObject:SwapTrade:w1~trade.3904:27939</v>
      </c>
      <c r="G3906" s="3">
        <f>_xll.QS.EVALUATE(C3906,F3906)</f>
        <v>21652.619063113299</v>
      </c>
      <c r="H3906" s="5" t="s">
        <v>3946</v>
      </c>
      <c r="I3906" s="7">
        <v>1390400</v>
      </c>
      <c r="J3906" s="8">
        <v>3.5400000000000001E-2</v>
      </c>
    </row>
    <row r="3907" spans="1:10" x14ac:dyDescent="0.25">
      <c r="A3907" s="5" t="s">
        <v>3940</v>
      </c>
      <c r="B3907" s="5" t="s">
        <v>5774</v>
      </c>
      <c r="C3907" s="6" t="str">
        <f>_xll.QS.CONTEXT.CREATE("market.3905",A3907,"USD","SOFR")</f>
        <v>QSObject:PricingContext:w1~market.3905:14045</v>
      </c>
      <c r="D3907" s="6" t="str">
        <f>_xll.QS.CONTEXT.ADD.CURVE(C3907,"SOFR",$K$2:$K$7,$L$2:$L$7,,,"Actual360","LogLinear",TRUE)</f>
        <v>QSObject:ContextInput:w1~input.qs_context_add_curve.2359132437744.3906.3.0:36655</v>
      </c>
      <c r="E3907" s="6" t="str">
        <f>_xll.QS.INSTRUMENT.SWAP("swap.3905",H3907,B3907,"USD","SOFR",I3907,J3907,0,"Actual360","Simple","Annual","Annual","Annual")</f>
        <v>QSObject:Swap:w1~swap.3905:14044</v>
      </c>
      <c r="F3907" s="6" t="str">
        <f>_xll.QS.TRADE.CREATE("trade.3905",E3907,A3907,"Receive")</f>
        <v>QSObject:SwapTrade:w1~trade.3905:27938</v>
      </c>
      <c r="G3907" s="3">
        <f>_xll.QS.EVALUATE(C3907,F3907)</f>
        <v>22171.377294226644</v>
      </c>
      <c r="H3907" s="5" t="s">
        <v>3947</v>
      </c>
      <c r="I3907" s="7">
        <v>1390500</v>
      </c>
      <c r="J3907" s="8">
        <v>3.5499999999999997E-2</v>
      </c>
    </row>
    <row r="3908" spans="1:10" x14ac:dyDescent="0.25">
      <c r="A3908" s="5" t="s">
        <v>3941</v>
      </c>
      <c r="B3908" s="5" t="s">
        <v>5775</v>
      </c>
      <c r="C3908" s="6" t="str">
        <f>_xll.QS.CONTEXT.CREATE("market.3906",A3908,"USD","SOFR")</f>
        <v>QSObject:PricingContext:w1~market.3906:14043</v>
      </c>
      <c r="D3908" s="6" t="str">
        <f>_xll.QS.CONTEXT.ADD.CURVE(C3908,"SOFR",$K$2:$K$7,$L$2:$L$7,,,"Actual360","LogLinear",TRUE)</f>
        <v>QSObject:ContextInput:w1~input.qs_context_add_curve.2359132437744.3907.3.0:36654</v>
      </c>
      <c r="E3908" s="6" t="str">
        <f>_xll.QS.INSTRUMENT.SWAP("swap.3906",H3908,B3908,"USD","SOFR",I3908,J3908,0,"Actual360","Simple","Annual","Annual","Annual")</f>
        <v>QSObject:Swap:w1~swap.3906:14042</v>
      </c>
      <c r="F3908" s="6" t="str">
        <f>_xll.QS.TRADE.CREATE("trade.3906",E3908,A3908,"Receive")</f>
        <v>QSObject:SwapTrade:w1~trade.3906:27937</v>
      </c>
      <c r="G3908" s="3">
        <f>_xll.QS.EVALUATE(C3908,F3908)</f>
        <v>22871.879276715277</v>
      </c>
      <c r="H3908" s="5" t="s">
        <v>3948</v>
      </c>
      <c r="I3908" s="7">
        <v>1390600</v>
      </c>
      <c r="J3908" s="8">
        <v>3.5600000000000007E-2</v>
      </c>
    </row>
    <row r="3909" spans="1:10" x14ac:dyDescent="0.25">
      <c r="A3909" s="5" t="s">
        <v>3942</v>
      </c>
      <c r="B3909" s="5" t="s">
        <v>5776</v>
      </c>
      <c r="C3909" s="6" t="str">
        <f>_xll.QS.CONTEXT.CREATE("market.3907",A3909,"USD","SOFR")</f>
        <v>QSObject:PricingContext:w1~market.3907:14041</v>
      </c>
      <c r="D3909" s="6" t="str">
        <f>_xll.QS.CONTEXT.ADD.CURVE(C3909,"SOFR",$K$2:$K$7,$L$2:$L$7,,,"Actual360","LogLinear",TRUE)</f>
        <v>QSObject:ContextInput:w1~input.qs_context_add_curve.2359132437744.3908.3.0:36653</v>
      </c>
      <c r="E3909" s="6" t="str">
        <f>_xll.QS.INSTRUMENT.SWAP("swap.3907",H3909,B3909,"USD","SOFR",I3909,J3909,0,"Actual360","Simple","Annual","Annual","Annual")</f>
        <v>QSObject:Swap:w1~swap.3907:14040</v>
      </c>
      <c r="F3909" s="6" t="str">
        <f>_xll.QS.TRADE.CREATE("trade.3907",E3909,A3909,"Receive")</f>
        <v>QSObject:SwapTrade:w1~trade.3907:27936</v>
      </c>
      <c r="G3909" s="3">
        <f>_xll.QS.EVALUATE(C3909,F3909)</f>
        <v>23556.840748106792</v>
      </c>
      <c r="H3909" s="5" t="s">
        <v>3949</v>
      </c>
      <c r="I3909" s="7">
        <v>1390700</v>
      </c>
      <c r="J3909" s="8">
        <v>3.5700000000000003E-2</v>
      </c>
    </row>
    <row r="3910" spans="1:10" x14ac:dyDescent="0.25">
      <c r="A3910" s="5" t="s">
        <v>3943</v>
      </c>
      <c r="B3910" s="5" t="s">
        <v>5777</v>
      </c>
      <c r="C3910" s="6" t="str">
        <f>_xll.QS.CONTEXT.CREATE("market.3908",A3910,"USD","SOFR")</f>
        <v>QSObject:PricingContext:w1~market.3908:14039</v>
      </c>
      <c r="D3910" s="6" t="str">
        <f>_xll.QS.CONTEXT.ADD.CURVE(C3910,"SOFR",$K$2:$K$7,$L$2:$L$7,,,"Actual360","LogLinear",TRUE)</f>
        <v>QSObject:ContextInput:w1~input.qs_context_add_curve.2359132437744.3909.3.0:36652</v>
      </c>
      <c r="E3910" s="6" t="str">
        <f>_xll.QS.INSTRUMENT.SWAP("swap.3908",H3910,B3910,"USD","SOFR",I3910,J3910,0,"Actual360","Simple","Annual","Annual","Annual")</f>
        <v>QSObject:Swap:w1~swap.3908:14038</v>
      </c>
      <c r="F3910" s="6" t="str">
        <f>_xll.QS.TRADE.CREATE("trade.3908",E3910,A3910,"Receive")</f>
        <v>QSObject:SwapTrade:w1~trade.3908:27935</v>
      </c>
      <c r="G3910" s="3">
        <f>_xll.QS.EVALUATE(C3910,F3910)</f>
        <v>24301.316414009998</v>
      </c>
      <c r="H3910" s="5" t="s">
        <v>3950</v>
      </c>
      <c r="I3910" s="7">
        <v>1390800</v>
      </c>
      <c r="J3910" s="8">
        <v>3.5800000000000012E-2</v>
      </c>
    </row>
    <row r="3911" spans="1:10" x14ac:dyDescent="0.25">
      <c r="A3911" s="5" t="s">
        <v>3944</v>
      </c>
      <c r="B3911" s="5" t="s">
        <v>5778</v>
      </c>
      <c r="C3911" s="6" t="str">
        <f>_xll.QS.CONTEXT.CREATE("market.3909",A3911,"USD","SOFR")</f>
        <v>QSObject:PricingContext:w1~market.3909:14037</v>
      </c>
      <c r="D3911" s="6" t="str">
        <f>_xll.QS.CONTEXT.ADD.CURVE(C3911,"SOFR",$K$2:$K$7,$L$2:$L$7,,,"Actual360","LogLinear",TRUE)</f>
        <v>QSObject:ContextInput:w1~input.qs_context_add_curve.2359132437744.3910.3.0:36651</v>
      </c>
      <c r="E3911" s="6" t="str">
        <f>_xll.QS.INSTRUMENT.SWAP("swap.3909",H3911,B3911,"USD","SOFR",I3911,J3911,0,"Actual360","Simple","Annual","Annual","Annual")</f>
        <v>QSObject:Swap:w1~swap.3909:14036</v>
      </c>
      <c r="F3911" s="6" t="str">
        <f>_xll.QS.TRADE.CREATE("trade.3909",E3911,A3911,"Receive")</f>
        <v>QSObject:SwapTrade:w1~trade.3909:27934</v>
      </c>
      <c r="G3911" s="3">
        <f>_xll.QS.EVALUATE(C3911,F3911)</f>
        <v>25005.116391433243</v>
      </c>
      <c r="H3911" s="5" t="s">
        <v>3951</v>
      </c>
      <c r="I3911" s="7">
        <v>1390900</v>
      </c>
      <c r="J3911" s="8">
        <v>3.5900000000000001E-2</v>
      </c>
    </row>
    <row r="3912" spans="1:10" x14ac:dyDescent="0.25">
      <c r="A3912" s="5" t="s">
        <v>3945</v>
      </c>
      <c r="B3912" s="5" t="s">
        <v>5779</v>
      </c>
      <c r="C3912" s="6" t="str">
        <f>_xll.QS.CONTEXT.CREATE("market.3910",A3912,"USD","SOFR")</f>
        <v>QSObject:PricingContext:w1~market.3910:14035</v>
      </c>
      <c r="D3912" s="6" t="str">
        <f>_xll.QS.CONTEXT.ADD.CURVE(C3912,"SOFR",$K$2:$K$7,$L$2:$L$7,,,"Actual360","LogLinear",TRUE)</f>
        <v>QSObject:ContextInput:w1~input.qs_context_add_curve.2359132437744.3911.3.0:36650</v>
      </c>
      <c r="E3912" s="6" t="str">
        <f>_xll.QS.INSTRUMENT.SWAP("swap.3910",H3912,B3912,"USD","SOFR",I3912,J3912,0,"Actual360","Simple","Annual","Annual","Annual")</f>
        <v>QSObject:Swap:w1~swap.3910:14034</v>
      </c>
      <c r="F3912" s="6" t="str">
        <f>_xll.QS.TRADE.CREATE("trade.3910",E3912,A3912,"Receive")</f>
        <v>QSObject:SwapTrade:w1~trade.3910:27933</v>
      </c>
      <c r="G3912" s="3">
        <f>_xll.QS.EVALUATE(C3912,F3912)</f>
        <v>25594.86148728642</v>
      </c>
      <c r="H3912" s="5" t="s">
        <v>3952</v>
      </c>
      <c r="I3912" s="7">
        <v>1391000</v>
      </c>
      <c r="J3912" s="8">
        <v>3.5999999999999997E-2</v>
      </c>
    </row>
    <row r="3913" spans="1:10" x14ac:dyDescent="0.25">
      <c r="A3913" s="5" t="s">
        <v>3946</v>
      </c>
      <c r="B3913" s="5" t="s">
        <v>5780</v>
      </c>
      <c r="C3913" s="6" t="str">
        <f>_xll.QS.CONTEXT.CREATE("market.3911",A3913,"USD","SOFR")</f>
        <v>QSObject:PricingContext:w1~market.3911:14033</v>
      </c>
      <c r="D3913" s="6" t="str">
        <f>_xll.QS.CONTEXT.ADD.CURVE(C3913,"SOFR",$K$2:$K$7,$L$2:$L$7,,,"Actual360","LogLinear",TRUE)</f>
        <v>QSObject:ContextInput:w1~input.qs_context_add_curve.2359132437744.3912.3.0:36649</v>
      </c>
      <c r="E3913" s="6" t="str">
        <f>_xll.QS.INSTRUMENT.SWAP("swap.3911",H3913,B3913,"USD","SOFR",I3913,J3913,0,"Actual360","Simple","Annual","Annual","Annual")</f>
        <v>QSObject:Swap:w1~swap.3911:14032</v>
      </c>
      <c r="F3913" s="6" t="str">
        <f>_xll.QS.TRADE.CREATE("trade.3911",E3913,A3913,"Receive")</f>
        <v>QSObject:SwapTrade:w1~trade.3911:27932</v>
      </c>
      <c r="G3913" s="3">
        <f>_xll.QS.EVALUATE(C3913,F3913)</f>
        <v>26148.667368804301</v>
      </c>
      <c r="H3913" s="5" t="s">
        <v>3953</v>
      </c>
      <c r="I3913" s="7">
        <v>1391100</v>
      </c>
      <c r="J3913" s="8">
        <v>3.61E-2</v>
      </c>
    </row>
    <row r="3914" spans="1:10" x14ac:dyDescent="0.25">
      <c r="A3914" s="5" t="s">
        <v>3947</v>
      </c>
      <c r="B3914" s="5" t="s">
        <v>5781</v>
      </c>
      <c r="C3914" s="6" t="str">
        <f>_xll.QS.CONTEXT.CREATE("market.3912",A3914,"USD","SOFR")</f>
        <v>QSObject:PricingContext:w1~market.3912:14031</v>
      </c>
      <c r="D3914" s="6" t="str">
        <f>_xll.QS.CONTEXT.ADD.CURVE(C3914,"SOFR",$K$2:$K$7,$L$2:$L$7,,,"Actual360","LogLinear",TRUE)</f>
        <v>QSObject:ContextInput:w1~input.qs_context_add_curve.2359132437744.3913.3.0:36648</v>
      </c>
      <c r="E3914" s="6" t="str">
        <f>_xll.QS.INSTRUMENT.SWAP("swap.3912",H3914,B3914,"USD","SOFR",I3914,J3914,0,"Actual360","Simple","Annual","Annual","Annual")</f>
        <v>QSObject:Swap:w1~swap.3912:14030</v>
      </c>
      <c r="F3914" s="6" t="str">
        <f>_xll.QS.TRADE.CREATE("trade.3912",E3914,A3914,"Receive")</f>
        <v>QSObject:SwapTrade:w1~trade.3912:27931</v>
      </c>
      <c r="G3914" s="3">
        <f>_xll.QS.EVALUATE(C3914,F3914)</f>
        <v>26674.970534089982</v>
      </c>
      <c r="H3914" s="5" t="s">
        <v>3954</v>
      </c>
      <c r="I3914" s="7">
        <v>1391200</v>
      </c>
      <c r="J3914" s="8">
        <v>3.6200000000000003E-2</v>
      </c>
    </row>
    <row r="3915" spans="1:10" x14ac:dyDescent="0.25">
      <c r="A3915" s="5" t="s">
        <v>3948</v>
      </c>
      <c r="B3915" s="5" t="s">
        <v>5782</v>
      </c>
      <c r="C3915" s="6" t="str">
        <f>_xll.QS.CONTEXT.CREATE("market.3913",A3915,"USD","SOFR")</f>
        <v>QSObject:PricingContext:w1~market.3913:14029</v>
      </c>
      <c r="D3915" s="6" t="str">
        <f>_xll.QS.CONTEXT.ADD.CURVE(C3915,"SOFR",$K$2:$K$7,$L$2:$L$7,,,"Actual360","LogLinear",TRUE)</f>
        <v>QSObject:ContextInput:w1~input.qs_context_add_curve.2359132437744.3914.3.0:36647</v>
      </c>
      <c r="E3915" s="6" t="str">
        <f>_xll.QS.INSTRUMENT.SWAP("swap.3913",H3915,B3915,"USD","SOFR",I3915,J3915,0,"Actual360","Simple","Annual","Annual","Annual")</f>
        <v>QSObject:Swap:w1~swap.3913:14028</v>
      </c>
      <c r="F3915" s="6" t="str">
        <f>_xll.QS.TRADE.CREATE("trade.3913",E3915,A3915,"Receive")</f>
        <v>QSObject:SwapTrade:w1~trade.3913:27930</v>
      </c>
      <c r="G3915" s="3">
        <f>_xll.QS.EVALUATE(C3915,F3915)</f>
        <v>27376.582301284609</v>
      </c>
      <c r="H3915" s="5" t="s">
        <v>3955</v>
      </c>
      <c r="I3915" s="7">
        <v>1391300</v>
      </c>
      <c r="J3915" s="8">
        <v>3.6300000000000013E-2</v>
      </c>
    </row>
    <row r="3916" spans="1:10" x14ac:dyDescent="0.25">
      <c r="A3916" s="5" t="s">
        <v>3949</v>
      </c>
      <c r="B3916" s="5" t="s">
        <v>5783</v>
      </c>
      <c r="C3916" s="6" t="str">
        <f>_xll.QS.CONTEXT.CREATE("market.3914",A3916,"USD","SOFR")</f>
        <v>QSObject:PricingContext:w1~market.3914:14027</v>
      </c>
      <c r="D3916" s="6" t="str">
        <f>_xll.QS.CONTEXT.ADD.CURVE(C3916,"SOFR",$K$2:$K$7,$L$2:$L$7,,,"Actual360","LogLinear",TRUE)</f>
        <v>QSObject:ContextInput:w1~input.qs_context_add_curve.2359132437744.3915.3.0:36646</v>
      </c>
      <c r="E3916" s="6" t="str">
        <f>_xll.QS.INSTRUMENT.SWAP("swap.3914",H3916,B3916,"USD","SOFR",I3916,J3916,0,"Actual360","Simple","Annual","Annual","Annual")</f>
        <v>QSObject:Swap:w1~swap.3914:14026</v>
      </c>
      <c r="F3916" s="6" t="str">
        <f>_xll.QS.TRADE.CREATE("trade.3914",E3916,A3916,"Receive")</f>
        <v>QSObject:SwapTrade:w1~trade.3914:27929</v>
      </c>
      <c r="G3916" s="3">
        <f>_xll.QS.EVALUATE(C3916,F3916)</f>
        <v>28060.031862852607</v>
      </c>
      <c r="H3916" s="5" t="s">
        <v>3956</v>
      </c>
      <c r="I3916" s="7">
        <v>1391400</v>
      </c>
      <c r="J3916" s="8">
        <v>3.6400000000000002E-2</v>
      </c>
    </row>
    <row r="3917" spans="1:10" x14ac:dyDescent="0.25">
      <c r="A3917" s="5" t="s">
        <v>3950</v>
      </c>
      <c r="B3917" s="5" t="s">
        <v>5784</v>
      </c>
      <c r="C3917" s="6" t="str">
        <f>_xll.QS.CONTEXT.CREATE("market.3915",A3917,"USD","SOFR")</f>
        <v>QSObject:PricingContext:w1~market.3915:14025</v>
      </c>
      <c r="D3917" s="6" t="str">
        <f>_xll.QS.CONTEXT.ADD.CURVE(C3917,"SOFR",$K$2:$K$7,$L$2:$L$7,,,"Actual360","LogLinear",TRUE)</f>
        <v>QSObject:ContextInput:w1~input.qs_context_add_curve.2359132437744.3916.3.0:36645</v>
      </c>
      <c r="E3917" s="6" t="str">
        <f>_xll.QS.INSTRUMENT.SWAP("swap.3915",H3917,B3917,"USD","SOFR",I3917,J3917,0,"Actual360","Simple","Annual","Annual","Annual")</f>
        <v>QSObject:Swap:w1~swap.3915:14024</v>
      </c>
      <c r="F3917" s="6" t="str">
        <f>_xll.QS.TRADE.CREATE("trade.3915",E3917,A3917,"Receive")</f>
        <v>QSObject:SwapTrade:w1~trade.3915:27928</v>
      </c>
      <c r="G3917" s="3">
        <f>_xll.QS.EVALUATE(C3917,F3917)</f>
        <v>28805.270816310018</v>
      </c>
      <c r="H3917" s="5" t="s">
        <v>3957</v>
      </c>
      <c r="I3917" s="7">
        <v>1391500</v>
      </c>
      <c r="J3917" s="8">
        <v>3.6499999999999998E-2</v>
      </c>
    </row>
    <row r="3918" spans="1:10" x14ac:dyDescent="0.25">
      <c r="A3918" s="5" t="s">
        <v>3951</v>
      </c>
      <c r="B3918" s="5" t="s">
        <v>5785</v>
      </c>
      <c r="C3918" s="6" t="str">
        <f>_xll.QS.CONTEXT.CREATE("market.3916",A3918,"USD","SOFR")</f>
        <v>QSObject:PricingContext:w1~market.3916:14023</v>
      </c>
      <c r="D3918" s="6" t="str">
        <f>_xll.QS.CONTEXT.ADD.CURVE(C3918,"SOFR",$K$2:$K$7,$L$2:$L$7,,,"Actual360","LogLinear",TRUE)</f>
        <v>QSObject:ContextInput:w1~input.qs_context_add_curve.2359132437744.3917.3.0:36644</v>
      </c>
      <c r="E3918" s="6" t="str">
        <f>_xll.QS.INSTRUMENT.SWAP("swap.3916",H3918,B3918,"USD","SOFR",I3918,J3918,0,"Actual360","Simple","Annual","Annual","Annual")</f>
        <v>QSObject:Swap:w1~swap.3916:14022</v>
      </c>
      <c r="F3918" s="6" t="str">
        <f>_xll.QS.TRADE.CREATE("trade.3916",E3918,A3918,"Receive")</f>
        <v>QSObject:SwapTrade:w1~trade.3916:27927</v>
      </c>
      <c r="G3918" s="3">
        <f>_xll.QS.EVALUATE(C3918,F3918)</f>
        <v>29509.798490587295</v>
      </c>
      <c r="H3918" s="5" t="s">
        <v>3958</v>
      </c>
      <c r="I3918" s="7">
        <v>1391600</v>
      </c>
      <c r="J3918" s="8">
        <v>3.6600000000000001E-2</v>
      </c>
    </row>
    <row r="3919" spans="1:10" x14ac:dyDescent="0.25">
      <c r="A3919" s="5" t="s">
        <v>3952</v>
      </c>
      <c r="B3919" s="5" t="s">
        <v>5786</v>
      </c>
      <c r="C3919" s="6" t="str">
        <f>_xll.QS.CONTEXT.CREATE("market.3917",A3919,"USD","SOFR")</f>
        <v>QSObject:PricingContext:w1~market.3917:14021</v>
      </c>
      <c r="D3919" s="6" t="str">
        <f>_xll.QS.CONTEXT.ADD.CURVE(C3919,"SOFR",$K$2:$K$7,$L$2:$L$7,,,"Actual360","LogLinear",TRUE)</f>
        <v>QSObject:ContextInput:w1~input.qs_context_add_curve.2359132437744.3918.3.0:36643</v>
      </c>
      <c r="E3919" s="6" t="str">
        <f>_xll.QS.INSTRUMENT.SWAP("swap.3917",H3919,B3919,"USD","SOFR",I3919,J3919,0,"Actual360","Simple","Annual","Annual","Annual")</f>
        <v>QSObject:Swap:w1~swap.3917:14020</v>
      </c>
      <c r="F3919" s="6" t="str">
        <f>_xll.QS.TRADE.CREATE("trade.3917",E3919,A3919,"Receive")</f>
        <v>QSObject:SwapTrade:w1~trade.3917:27926</v>
      </c>
      <c r="G3919" s="3">
        <f>_xll.QS.EVALUATE(C3919,F3919)</f>
        <v>30100.335810941724</v>
      </c>
      <c r="H3919" s="5" t="s">
        <v>3959</v>
      </c>
      <c r="I3919" s="7">
        <v>1391700</v>
      </c>
      <c r="J3919" s="8">
        <v>3.6700000000000003E-2</v>
      </c>
    </row>
    <row r="3920" spans="1:10" x14ac:dyDescent="0.25">
      <c r="A3920" s="5" t="s">
        <v>3953</v>
      </c>
      <c r="B3920" s="5" t="s">
        <v>5787</v>
      </c>
      <c r="C3920" s="6" t="str">
        <f>_xll.QS.CONTEXT.CREATE("market.3918",A3920,"USD","SOFR")</f>
        <v>QSObject:PricingContext:w1~market.3918:14019</v>
      </c>
      <c r="D3920" s="6" t="str">
        <f>_xll.QS.CONTEXT.ADD.CURVE(C3920,"SOFR",$K$2:$K$7,$L$2:$L$7,,,"Actual360","LogLinear",TRUE)</f>
        <v>QSObject:ContextInput:w1~input.qs_context_add_curve.2359132437744.3919.3.0:36642</v>
      </c>
      <c r="E3920" s="6" t="str">
        <f>_xll.QS.INSTRUMENT.SWAP("swap.3918",H3920,B3920,"USD","SOFR",I3920,J3920,0,"Actual360","Simple","Annual","Annual","Annual")</f>
        <v>QSObject:Swap:w1~swap.3918:14018</v>
      </c>
      <c r="F3920" s="6" t="str">
        <f>_xll.QS.TRADE.CREATE("trade.3918",E3920,A3920,"Receive")</f>
        <v>QSObject:SwapTrade:w1~trade.3918:27925</v>
      </c>
      <c r="G3920" s="3">
        <f>_xll.QS.EVALUATE(C3920,F3920)</f>
        <v>30709.188594091138</v>
      </c>
      <c r="H3920" s="5" t="s">
        <v>3960</v>
      </c>
      <c r="I3920" s="7">
        <v>1391800</v>
      </c>
      <c r="J3920" s="8">
        <v>3.6800000000000013E-2</v>
      </c>
    </row>
    <row r="3921" spans="1:10" x14ac:dyDescent="0.25">
      <c r="A3921" s="5" t="s">
        <v>3954</v>
      </c>
      <c r="B3921" s="5" t="s">
        <v>5788</v>
      </c>
      <c r="C3921" s="6" t="str">
        <f>_xll.QS.CONTEXT.CREATE("market.3919",A3921,"USD","SOFR")</f>
        <v>QSObject:PricingContext:w1~market.3919:14017</v>
      </c>
      <c r="D3921" s="6" t="str">
        <f>_xll.QS.CONTEXT.ADD.CURVE(C3921,"SOFR",$K$2:$K$7,$L$2:$L$7,,,"Actual360","LogLinear",TRUE)</f>
        <v>QSObject:ContextInput:w1~input.qs_context_add_curve.2359132437744.3920.3.0:36641</v>
      </c>
      <c r="E3921" s="6" t="str">
        <f>_xll.QS.INSTRUMENT.SWAP("swap.3919",H3921,B3921,"USD","SOFR",I3921,J3921,0,"Actual360","Simple","Annual","Annual","Annual")</f>
        <v>QSObject:Swap:w1~swap.3919:14016</v>
      </c>
      <c r="F3921" s="6" t="str">
        <f>_xll.QS.TRADE.CREATE("trade.3919",E3921,A3921,"Receive")</f>
        <v>QSObject:SwapTrade:w1~trade.3919:27924</v>
      </c>
      <c r="G3921" s="3">
        <f>_xll.QS.EVALUATE(C3921,F3921)</f>
        <v>31183.084622528862</v>
      </c>
      <c r="H3921" s="5" t="s">
        <v>3961</v>
      </c>
      <c r="I3921" s="7">
        <v>1391900</v>
      </c>
      <c r="J3921" s="8">
        <v>3.6900000000000002E-2</v>
      </c>
    </row>
    <row r="3922" spans="1:10" x14ac:dyDescent="0.25">
      <c r="A3922" s="5" t="s">
        <v>3955</v>
      </c>
      <c r="B3922" s="5" t="s">
        <v>5789</v>
      </c>
      <c r="C3922" s="6" t="str">
        <f>_xll.QS.CONTEXT.CREATE("market.3920",A3922,"USD","SOFR")</f>
        <v>QSObject:PricingContext:w1~market.3920:14015</v>
      </c>
      <c r="D3922" s="6" t="str">
        <f>_xll.QS.CONTEXT.ADD.CURVE(C3922,"SOFR",$K$2:$K$7,$L$2:$L$7,,,"Actual360","LogLinear",TRUE)</f>
        <v>QSObject:ContextInput:w1~input.qs_context_add_curve.2359132437744.3921.3.0:36640</v>
      </c>
      <c r="E3922" s="6" t="str">
        <f>_xll.QS.INSTRUMENT.SWAP("swap.3920",H3922,B3922,"USD","SOFR",I3922,J3922,0,"Actual360","Simple","Annual","Annual","Annual")</f>
        <v>QSObject:Swap:w1~swap.3920:14014</v>
      </c>
      <c r="F3922" s="6" t="str">
        <f>_xll.QS.TRADE.CREATE("trade.3920",E3922,A3922,"Receive")</f>
        <v>QSObject:SwapTrade:w1~trade.3920:27923</v>
      </c>
      <c r="G3922" s="3">
        <f>_xll.QS.EVALUATE(C3922,F3922)</f>
        <v>31885.806612200948</v>
      </c>
      <c r="H3922" s="5" t="s">
        <v>3962</v>
      </c>
      <c r="I3922" s="7">
        <v>1392000</v>
      </c>
      <c r="J3922" s="8">
        <v>3.7000000000000012E-2</v>
      </c>
    </row>
    <row r="3923" spans="1:10" x14ac:dyDescent="0.25">
      <c r="A3923" s="5" t="s">
        <v>3956</v>
      </c>
      <c r="B3923" s="5" t="s">
        <v>5790</v>
      </c>
      <c r="C3923" s="6" t="str">
        <f>_xll.QS.CONTEXT.CREATE("market.3921",A3923,"USD","SOFR")</f>
        <v>QSObject:PricingContext:w1~market.3921:14013</v>
      </c>
      <c r="D3923" s="6" t="str">
        <f>_xll.QS.CONTEXT.ADD.CURVE(C3923,"SOFR",$K$2:$K$7,$L$2:$L$7,,,"Actual360","LogLinear",TRUE)</f>
        <v>QSObject:ContextInput:w1~input.qs_context_add_curve.2359132437744.3922.3.0:36639</v>
      </c>
      <c r="E3923" s="6" t="str">
        <f>_xll.QS.INSTRUMENT.SWAP("swap.3921",H3923,B3923,"USD","SOFR",I3923,J3923,0,"Actual360","Simple","Annual","Annual","Annual")</f>
        <v>QSObject:Swap:w1~swap.3921:14012</v>
      </c>
      <c r="F3923" s="6" t="str">
        <f>_xll.QS.TRADE.CREATE("trade.3921",E3923,A3923,"Receive")</f>
        <v>QSObject:SwapTrade:w1~trade.3921:27922</v>
      </c>
      <c r="G3923" s="3">
        <f>_xll.QS.EVALUATE(C3923,F3923)</f>
        <v>32567.742071676497</v>
      </c>
      <c r="H3923" s="5" t="s">
        <v>3963</v>
      </c>
      <c r="I3923" s="7">
        <v>1392100</v>
      </c>
      <c r="J3923" s="8">
        <v>3.7100000000000001E-2</v>
      </c>
    </row>
    <row r="3924" spans="1:10" x14ac:dyDescent="0.25">
      <c r="A3924" s="5" t="s">
        <v>3957</v>
      </c>
      <c r="B3924" s="5" t="s">
        <v>5791</v>
      </c>
      <c r="C3924" s="6" t="str">
        <f>_xll.QS.CONTEXT.CREATE("market.3922",A3924,"USD","SOFR")</f>
        <v>QSObject:PricingContext:w1~market.3922:14011</v>
      </c>
      <c r="D3924" s="6" t="str">
        <f>_xll.QS.CONTEXT.ADD.CURVE(C3924,"SOFR",$K$2:$K$7,$L$2:$L$7,,,"Actual360","LogLinear",TRUE)</f>
        <v>QSObject:ContextInput:w1~input.qs_context_add_curve.2359132437744.3923.3.0:36638</v>
      </c>
      <c r="E3924" s="6" t="str">
        <f>_xll.QS.INSTRUMENT.SWAP("swap.3922",H3924,B3924,"USD","SOFR",I3924,J3924,0,"Actual360","Simple","Annual","Annual","Annual")</f>
        <v>QSObject:Swap:w1~swap.3922:14010</v>
      </c>
      <c r="F3924" s="6" t="str">
        <f>_xll.QS.TRADE.CREATE("trade.3922",E3924,A3924,"Receive")</f>
        <v>QSObject:SwapTrade:w1~trade.3922:27921</v>
      </c>
      <c r="G3924" s="3">
        <f>_xll.QS.EVALUATE(C3924,F3924)</f>
        <v>33367.452323097881</v>
      </c>
      <c r="H3924" s="5" t="s">
        <v>3964</v>
      </c>
      <c r="I3924" s="7">
        <v>1392200</v>
      </c>
      <c r="J3924" s="8">
        <v>3.7199999999999997E-2</v>
      </c>
    </row>
    <row r="3925" spans="1:10" x14ac:dyDescent="0.25">
      <c r="A3925" s="5" t="s">
        <v>3958</v>
      </c>
      <c r="B3925" s="5" t="s">
        <v>5792</v>
      </c>
      <c r="C3925" s="6" t="str">
        <f>_xll.QS.CONTEXT.CREATE("market.3923",A3925,"USD","SOFR")</f>
        <v>QSObject:PricingContext:w1~market.3923:14009</v>
      </c>
      <c r="D3925" s="6" t="str">
        <f>_xll.QS.CONTEXT.ADD.CURVE(C3925,"SOFR",$K$2:$K$7,$L$2:$L$7,,,"Actual360","LogLinear",TRUE)</f>
        <v>QSObject:ContextInput:w1~input.qs_context_add_curve.2359132437744.3924.3.0:36637</v>
      </c>
      <c r="E3925" s="6" t="str">
        <f>_xll.QS.INSTRUMENT.SWAP("swap.3923",H3925,B3925,"USD","SOFR",I3925,J3925,0,"Actual360","Simple","Annual","Annual","Annual")</f>
        <v>QSObject:Swap:w1~swap.3923:14008</v>
      </c>
      <c r="F3925" s="6" t="str">
        <f>_xll.QS.TRADE.CREATE("trade.3923",E3925,A3925,"Receive")</f>
        <v>QSObject:SwapTrade:w1~trade.3923:27920</v>
      </c>
      <c r="G3925" s="3">
        <f>_xll.QS.EVALUATE(C3925,F3925)</f>
        <v>34018.999802762162</v>
      </c>
      <c r="H3925" s="5" t="s">
        <v>3965</v>
      </c>
      <c r="I3925" s="7">
        <v>1392300</v>
      </c>
      <c r="J3925" s="8">
        <v>3.73E-2</v>
      </c>
    </row>
    <row r="3926" spans="1:10" x14ac:dyDescent="0.25">
      <c r="A3926" s="5" t="s">
        <v>3959</v>
      </c>
      <c r="B3926" s="5" t="s">
        <v>5793</v>
      </c>
      <c r="C3926" s="6" t="str">
        <f>_xll.QS.CONTEXT.CREATE("market.3924",A3926,"USD","SOFR")</f>
        <v>QSObject:PricingContext:w1~market.3924:14007</v>
      </c>
      <c r="D3926" s="6" t="str">
        <f>_xll.QS.CONTEXT.ADD.CURVE(C3926,"SOFR",$K$2:$K$7,$L$2:$L$7,,,"Actual360","LogLinear",TRUE)</f>
        <v>QSObject:ContextInput:w1~input.qs_context_add_curve.2359132437744.3925.3.0:36636</v>
      </c>
      <c r="E3926" s="6" t="str">
        <f>_xll.QS.INSTRUMENT.SWAP("swap.3924",H3926,B3926,"USD","SOFR",I3926,J3926,0,"Actual360","Simple","Annual","Annual","Annual")</f>
        <v>QSObject:Swap:w1~swap.3924:14006</v>
      </c>
      <c r="F3926" s="6" t="str">
        <f>_xll.QS.TRADE.CREATE("trade.3924",E3926,A3926,"Receive")</f>
        <v>QSObject:SwapTrade:w1~trade.3924:27919</v>
      </c>
      <c r="G3926" s="3">
        <f>_xll.QS.EVALUATE(C3926,F3926)</f>
        <v>34609.759853040428</v>
      </c>
      <c r="H3926" s="5" t="s">
        <v>3966</v>
      </c>
      <c r="I3926" s="7">
        <v>1392400</v>
      </c>
      <c r="J3926" s="8">
        <v>3.7400000000000003E-2</v>
      </c>
    </row>
    <row r="3927" spans="1:10" x14ac:dyDescent="0.25">
      <c r="A3927" s="5" t="s">
        <v>3960</v>
      </c>
      <c r="B3927" s="5" t="s">
        <v>5794</v>
      </c>
      <c r="C3927" s="6" t="str">
        <f>_xll.QS.CONTEXT.CREATE("market.3925",A3927,"USD","SOFR")</f>
        <v>QSObject:PricingContext:w1~market.3925:14005</v>
      </c>
      <c r="D3927" s="6" t="str">
        <f>_xll.QS.CONTEXT.ADD.CURVE(C3927,"SOFR",$K$2:$K$7,$L$2:$L$7,,,"Actual360","LogLinear",TRUE)</f>
        <v>QSObject:ContextInput:w1~input.qs_context_add_curve.2359132437744.3926.3.0:36635</v>
      </c>
      <c r="E3927" s="6" t="str">
        <f>_xll.QS.INSTRUMENT.SWAP("swap.3925",H3927,B3927,"USD","SOFR",I3927,J3927,0,"Actual360","Simple","Annual","Annual","Annual")</f>
        <v>QSObject:Swap:w1~swap.3925:14004</v>
      </c>
      <c r="F3927" s="6" t="str">
        <f>_xll.QS.TRADE.CREATE("trade.3925",E3927,A3927,"Receive")</f>
        <v>QSObject:SwapTrade:w1~trade.3925:27918</v>
      </c>
      <c r="G3927" s="3">
        <f>_xll.QS.EVALUATE(C3927,F3927)</f>
        <v>35131.665204711288</v>
      </c>
      <c r="H3927" s="5" t="s">
        <v>3967</v>
      </c>
      <c r="I3927" s="7">
        <v>1392500</v>
      </c>
      <c r="J3927" s="8">
        <v>3.7500000000000012E-2</v>
      </c>
    </row>
    <row r="3928" spans="1:10" x14ac:dyDescent="0.25">
      <c r="A3928" s="5" t="s">
        <v>3961</v>
      </c>
      <c r="B3928" s="5" t="s">
        <v>5795</v>
      </c>
      <c r="C3928" s="6" t="str">
        <f>_xll.QS.CONTEXT.CREATE("market.3926",A3928,"USD","SOFR")</f>
        <v>QSObject:PricingContext:w1~market.3926:14003</v>
      </c>
      <c r="D3928" s="6" t="str">
        <f>_xll.QS.CONTEXT.ADD.CURVE(C3928,"SOFR",$K$2:$K$7,$L$2:$L$7,,,"Actual360","LogLinear",TRUE)</f>
        <v>QSObject:ContextInput:w1~input.qs_context_add_curve.2359132437744.3927.3.0:36634</v>
      </c>
      <c r="E3928" s="6" t="str">
        <f>_xll.QS.INSTRUMENT.SWAP("swap.3926",H3928,B3928,"USD","SOFR",I3928,J3928,0,"Actual360","Simple","Annual","Annual","Annual")</f>
        <v>QSObject:Swap:w1~swap.3926:14002</v>
      </c>
      <c r="F3928" s="6" t="str">
        <f>_xll.QS.TRADE.CREATE("trade.3926",E3928,A3928,"Receive")</f>
        <v>QSObject:SwapTrade:w1~trade.3926:27917</v>
      </c>
      <c r="G3928" s="3">
        <f>_xll.QS.EVALUATE(C3928,F3928)</f>
        <v>35637.562033460723</v>
      </c>
      <c r="H3928" s="5" t="s">
        <v>3968</v>
      </c>
      <c r="I3928" s="7">
        <v>1392600</v>
      </c>
      <c r="J3928" s="8">
        <v>3.7600000000000001E-2</v>
      </c>
    </row>
    <row r="3929" spans="1:10" x14ac:dyDescent="0.25">
      <c r="A3929" s="5" t="s">
        <v>3962</v>
      </c>
      <c r="B3929" s="5" t="s">
        <v>5796</v>
      </c>
      <c r="C3929" s="6" t="str">
        <f>_xll.QS.CONTEXT.CREATE("market.3927",A3929,"USD","SOFR")</f>
        <v>QSObject:PricingContext:w1~market.3927:14001</v>
      </c>
      <c r="D3929" s="6" t="str">
        <f>_xll.QS.CONTEXT.ADD.CURVE(C3929,"SOFR",$K$2:$K$7,$L$2:$L$7,,,"Actual360","LogLinear",TRUE)</f>
        <v>QSObject:ContextInput:w1~input.qs_context_add_curve.2359132437744.3928.3.0:36633</v>
      </c>
      <c r="E3929" s="6" t="str">
        <f>_xll.QS.INSTRUMENT.SWAP("swap.3927",H3929,B3929,"USD","SOFR",I3929,J3929,0,"Actual360","Simple","Annual","Annual","Annual")</f>
        <v>QSObject:Swap:w1~swap.3927:14000</v>
      </c>
      <c r="F3929" s="6" t="str">
        <f>_xll.QS.TRADE.CREATE("trade.3927",E3929,A3929,"Receive")</f>
        <v>QSObject:SwapTrade:w1~trade.3927:27916</v>
      </c>
      <c r="G3929" s="3">
        <f>_xll.QS.EVALUATE(C3929,F3929)</f>
        <v>36341.74410493554</v>
      </c>
      <c r="H3929" s="5" t="s">
        <v>3969</v>
      </c>
      <c r="I3929" s="7">
        <v>1392700</v>
      </c>
      <c r="J3929" s="8">
        <v>3.7699999999999997E-2</v>
      </c>
    </row>
    <row r="3930" spans="1:10" x14ac:dyDescent="0.25">
      <c r="A3930" s="5" t="s">
        <v>3963</v>
      </c>
      <c r="B3930" s="5" t="s">
        <v>5797</v>
      </c>
      <c r="C3930" s="6" t="str">
        <f>_xll.QS.CONTEXT.CREATE("market.3928",A3930,"USD","SOFR")</f>
        <v>QSObject:PricingContext:w1~market.3928:13999</v>
      </c>
      <c r="D3930" s="6" t="str">
        <f>_xll.QS.CONTEXT.ADD.CURVE(C3930,"SOFR",$K$2:$K$7,$L$2:$L$7,,,"Actual360","LogLinear",TRUE)</f>
        <v>QSObject:ContextInput:w1~input.qs_context_add_curve.2359132437744.3929.3.0:36632</v>
      </c>
      <c r="E3930" s="6" t="str">
        <f>_xll.QS.INSTRUMENT.SWAP("swap.3928",H3930,B3930,"USD","SOFR",I3930,J3930,0,"Actual360","Simple","Annual","Annual","Annual")</f>
        <v>QSObject:Swap:w1~swap.3928:13998</v>
      </c>
      <c r="F3930" s="6" t="str">
        <f>_xll.QS.TRADE.CREATE("trade.3928",E3930,A3930,"Receive")</f>
        <v>QSObject:SwapTrade:w1~trade.3928:27915</v>
      </c>
      <c r="G3930" s="3">
        <f>_xll.QS.EVALUATE(C3930,F3930)</f>
        <v>37045.784052912859</v>
      </c>
      <c r="H3930" s="5" t="s">
        <v>3970</v>
      </c>
      <c r="I3930" s="7">
        <v>1392800</v>
      </c>
      <c r="J3930" s="8">
        <v>3.78E-2</v>
      </c>
    </row>
    <row r="3931" spans="1:10" x14ac:dyDescent="0.25">
      <c r="A3931" s="5" t="s">
        <v>3964</v>
      </c>
      <c r="B3931" s="5" t="s">
        <v>5798</v>
      </c>
      <c r="C3931" s="6" t="str">
        <f>_xll.QS.CONTEXT.CREATE("market.3929",A3931,"USD","SOFR")</f>
        <v>QSObject:PricingContext:w1~market.3929:13997</v>
      </c>
      <c r="D3931" s="6" t="str">
        <f>_xll.QS.CONTEXT.ADD.CURVE(C3931,"SOFR",$K$2:$K$7,$L$2:$L$7,,,"Actual360","LogLinear",TRUE)</f>
        <v>QSObject:ContextInput:w1~input.qs_context_add_curve.2359132437744.3930.3.0:36631</v>
      </c>
      <c r="E3931" s="6" t="str">
        <f>_xll.QS.INSTRUMENT.SWAP("swap.3929",H3931,B3931,"USD","SOFR",I3931,J3931,0,"Actual360","Simple","Annual","Annual","Annual")</f>
        <v>QSObject:Swap:w1~swap.3929:13996</v>
      </c>
      <c r="F3931" s="6" t="str">
        <f>_xll.QS.TRADE.CREATE("trade.3929",E3931,A3931,"Receive")</f>
        <v>QSObject:SwapTrade:w1~trade.3929:27914</v>
      </c>
      <c r="G3931" s="3">
        <f>_xll.QS.EVALUATE(C3931,F3931)</f>
        <v>37878.108363871739</v>
      </c>
      <c r="H3931" s="5" t="s">
        <v>3971</v>
      </c>
      <c r="I3931" s="7">
        <v>1392900</v>
      </c>
      <c r="J3931" s="8">
        <v>3.7900000000000003E-2</v>
      </c>
    </row>
    <row r="3932" spans="1:10" x14ac:dyDescent="0.25">
      <c r="A3932" s="5" t="s">
        <v>3965</v>
      </c>
      <c r="B3932" s="5" t="s">
        <v>5799</v>
      </c>
      <c r="C3932" s="6" t="str">
        <f>_xll.QS.CONTEXT.CREATE("market.3930",A3932,"USD","SOFR")</f>
        <v>QSObject:PricingContext:w1~market.3930:13995</v>
      </c>
      <c r="D3932" s="6" t="str">
        <f>_xll.QS.CONTEXT.ADD.CURVE(C3932,"SOFR",$K$2:$K$7,$L$2:$L$7,,,"Actual360","LogLinear",TRUE)</f>
        <v>QSObject:ContextInput:w1~input.qs_context_add_curve.2359132437744.3931.3.0:36630</v>
      </c>
      <c r="E3932" s="6" t="str">
        <f>_xll.QS.INSTRUMENT.SWAP("swap.3930",H3932,B3932,"USD","SOFR",I3932,J3932,0,"Actual360","Simple","Annual","Annual","Annual")</f>
        <v>QSObject:Swap:w1~swap.3930:13994</v>
      </c>
      <c r="F3932" s="6" t="str">
        <f>_xll.QS.TRADE.CREATE("trade.3930",E3932,A3932,"Receive")</f>
        <v>QSObject:SwapTrade:w1~trade.3930:27913</v>
      </c>
      <c r="G3932" s="3">
        <f>_xll.QS.EVALUATE(C3932,F3932)</f>
        <v>38535.676791500904</v>
      </c>
      <c r="H3932" s="5" t="s">
        <v>3972</v>
      </c>
      <c r="I3932" s="7">
        <v>1393000</v>
      </c>
      <c r="J3932" s="8">
        <v>3.8000000000000013E-2</v>
      </c>
    </row>
    <row r="3933" spans="1:10" x14ac:dyDescent="0.25">
      <c r="A3933" s="5" t="s">
        <v>3966</v>
      </c>
      <c r="B3933" s="5" t="s">
        <v>5800</v>
      </c>
      <c r="C3933" s="6" t="str">
        <f>_xll.QS.CONTEXT.CREATE("market.3931",A3933,"USD","SOFR")</f>
        <v>QSObject:PricingContext:w1~market.3931:13993</v>
      </c>
      <c r="D3933" s="6" t="str">
        <f>_xll.QS.CONTEXT.ADD.CURVE(C3933,"SOFR",$K$2:$K$7,$L$2:$L$7,,,"Actual360","LogLinear",TRUE)</f>
        <v>QSObject:ContextInput:w1~input.qs_context_add_curve.2359132437744.3932.3.0:36629</v>
      </c>
      <c r="E3933" s="6" t="str">
        <f>_xll.QS.INSTRUMENT.SWAP("swap.3931",H3933,B3933,"USD","SOFR",I3933,J3933,0,"Actual360","Simple","Annual","Annual","Annual")</f>
        <v>QSObject:Swap:w1~swap.3931:13992</v>
      </c>
      <c r="F3933" s="6" t="str">
        <f>_xll.QS.TRADE.CREATE("trade.3931",E3933,A3933,"Receive")</f>
        <v>QSObject:SwapTrade:w1~trade.3931:27912</v>
      </c>
      <c r="G3933" s="3">
        <f>_xll.QS.EVALUATE(C3933,F3933)</f>
        <v>39180.26139820645</v>
      </c>
      <c r="H3933" s="5" t="s">
        <v>3973</v>
      </c>
      <c r="I3933" s="7">
        <v>1393100</v>
      </c>
      <c r="J3933" s="8">
        <v>3.8100000000000002E-2</v>
      </c>
    </row>
    <row r="3934" spans="1:10" x14ac:dyDescent="0.25">
      <c r="A3934" s="5" t="s">
        <v>3967</v>
      </c>
      <c r="B3934" s="5" t="s">
        <v>5801</v>
      </c>
      <c r="C3934" s="6" t="str">
        <f>_xll.QS.CONTEXT.CREATE("market.3932",A3934,"USD","SOFR")</f>
        <v>QSObject:PricingContext:w1~market.3932:13991</v>
      </c>
      <c r="D3934" s="6" t="str">
        <f>_xll.QS.CONTEXT.ADD.CURVE(C3934,"SOFR",$K$2:$K$7,$L$2:$L$7,,,"Actual360","LogLinear",TRUE)</f>
        <v>QSObject:ContextInput:w1~input.qs_context_add_curve.2359132437744.3933.3.0:36628</v>
      </c>
      <c r="E3934" s="6" t="str">
        <f>_xll.QS.INSTRUMENT.SWAP("swap.3932",H3934,B3934,"USD","SOFR",I3934,J3934,0,"Actual360","Simple","Annual","Annual","Annual")</f>
        <v>QSObject:Swap:w1~swap.3932:13990</v>
      </c>
      <c r="F3934" s="6" t="str">
        <f>_xll.QS.TRADE.CREATE("trade.3932",E3934,A3934,"Receive")</f>
        <v>QSObject:SwapTrade:w1~trade.3932:27911</v>
      </c>
      <c r="G3934" s="3">
        <f>_xll.QS.EVALUATE(C3934,F3934)</f>
        <v>39720.041023343525</v>
      </c>
      <c r="H3934" s="5" t="s">
        <v>3974</v>
      </c>
      <c r="I3934" s="7">
        <v>1393200</v>
      </c>
      <c r="J3934" s="8">
        <v>3.8199999999999998E-2</v>
      </c>
    </row>
    <row r="3935" spans="1:10" x14ac:dyDescent="0.25">
      <c r="A3935" s="5" t="s">
        <v>3968</v>
      </c>
      <c r="B3935" s="5" t="s">
        <v>5802</v>
      </c>
      <c r="C3935" s="6" t="str">
        <f>_xll.QS.CONTEXT.CREATE("market.3933",A3935,"USD","SOFR")</f>
        <v>QSObject:PricingContext:w1~market.3933:13989</v>
      </c>
      <c r="D3935" s="6" t="str">
        <f>_xll.QS.CONTEXT.ADD.CURVE(C3935,"SOFR",$K$2:$K$7,$L$2:$L$7,,,"Actual360","LogLinear",TRUE)</f>
        <v>QSObject:ContextInput:w1~input.qs_context_add_curve.2359132437744.3934.3.0:36627</v>
      </c>
      <c r="E3935" s="6" t="str">
        <f>_xll.QS.INSTRUMENT.SWAP("swap.3933",H3935,B3935,"USD","SOFR",I3935,J3935,0,"Actual360","Simple","Annual","Annual","Annual")</f>
        <v>QSObject:Swap:w1~swap.3933:13988</v>
      </c>
      <c r="F3935" s="6" t="str">
        <f>_xll.QS.TRADE.CREATE("trade.3933",E3935,A3935,"Receive")</f>
        <v>QSObject:SwapTrade:w1~trade.3933:27910</v>
      </c>
      <c r="G3935" s="3">
        <f>_xll.QS.EVALUATE(C3935,F3935)</f>
        <v>40269.100701554074</v>
      </c>
      <c r="H3935" s="5" t="s">
        <v>3975</v>
      </c>
      <c r="I3935" s="7">
        <v>1393300</v>
      </c>
      <c r="J3935" s="8">
        <v>3.8300000000000001E-2</v>
      </c>
    </row>
    <row r="3936" spans="1:10" x14ac:dyDescent="0.25">
      <c r="A3936" s="5" t="s">
        <v>3969</v>
      </c>
      <c r="B3936" s="5" t="s">
        <v>5803</v>
      </c>
      <c r="C3936" s="6" t="str">
        <f>_xll.QS.CONTEXT.CREATE("market.3934",A3936,"USD","SOFR")</f>
        <v>QSObject:PricingContext:w1~market.3934:13987</v>
      </c>
      <c r="D3936" s="6" t="str">
        <f>_xll.QS.CONTEXT.ADD.CURVE(C3936,"SOFR",$K$2:$K$7,$L$2:$L$7,,,"Actual360","LogLinear",TRUE)</f>
        <v>QSObject:ContextInput:w1~input.qs_context_add_curve.2359132437744.3935.3.0:36626</v>
      </c>
      <c r="E3936" s="6" t="str">
        <f>_xll.QS.INSTRUMENT.SWAP("swap.3934",H3936,B3936,"USD","SOFR",I3936,J3936,0,"Actual360","Simple","Annual","Annual","Annual")</f>
        <v>QSObject:Swap:w1~swap.3934:13986</v>
      </c>
      <c r="F3936" s="6" t="str">
        <f>_xll.QS.TRADE.CREATE("trade.3934",E3936,A3936,"Receive")</f>
        <v>QSObject:SwapTrade:w1~trade.3934:27909</v>
      </c>
      <c r="G3936" s="3">
        <f>_xll.QS.EVALUATE(C3936,F3936)</f>
        <v>40917.741495410803</v>
      </c>
      <c r="H3936" s="5" t="s">
        <v>3976</v>
      </c>
      <c r="I3936" s="7">
        <v>1393400</v>
      </c>
      <c r="J3936" s="8">
        <v>3.8399999999999997E-2</v>
      </c>
    </row>
    <row r="3937" spans="1:10" x14ac:dyDescent="0.25">
      <c r="A3937" s="5" t="s">
        <v>3970</v>
      </c>
      <c r="B3937" s="5" t="s">
        <v>5804</v>
      </c>
      <c r="C3937" s="6" t="str">
        <f>_xll.QS.CONTEXT.CREATE("market.3935",A3937,"USD","SOFR")</f>
        <v>QSObject:PricingContext:w1~market.3935:13985</v>
      </c>
      <c r="D3937" s="6" t="str">
        <f>_xll.QS.CONTEXT.ADD.CURVE(C3937,"SOFR",$K$2:$K$7,$L$2:$L$7,,,"Actual360","LogLinear",TRUE)</f>
        <v>QSObject:ContextInput:w1~input.qs_context_add_curve.2359132437744.3936.3.0:36625</v>
      </c>
      <c r="E3937" s="6" t="str">
        <f>_xll.QS.INSTRUMENT.SWAP("swap.3935",H3937,B3937,"USD","SOFR",I3937,J3937,0,"Actual360","Simple","Annual","Annual","Annual")</f>
        <v>QSObject:Swap:w1~swap.3935:13984</v>
      </c>
      <c r="F3937" s="6" t="str">
        <f>_xll.QS.TRADE.CREATE("trade.3935",E3937,A3937,"Receive")</f>
        <v>QSObject:SwapTrade:w1~trade.3935:27908</v>
      </c>
      <c r="G3937" s="3">
        <f>_xll.QS.EVALUATE(C3937,F3937)</f>
        <v>41596.887155565884</v>
      </c>
      <c r="H3937" s="5" t="s">
        <v>3977</v>
      </c>
      <c r="I3937" s="7">
        <v>1393500</v>
      </c>
      <c r="J3937" s="8">
        <v>3.8500000000000013E-2</v>
      </c>
    </row>
    <row r="3938" spans="1:10" x14ac:dyDescent="0.25">
      <c r="A3938" s="5" t="s">
        <v>3971</v>
      </c>
      <c r="B3938" s="5" t="s">
        <v>5805</v>
      </c>
      <c r="C3938" s="6" t="str">
        <f>_xll.QS.CONTEXT.CREATE("market.3936",A3938,"USD","SOFR")</f>
        <v>QSObject:PricingContext:w1~market.3936:13983</v>
      </c>
      <c r="D3938" s="6" t="str">
        <f>_xll.QS.CONTEXT.ADD.CURVE(C3938,"SOFR",$K$2:$K$7,$L$2:$L$7,,,"Actual360","LogLinear",TRUE)</f>
        <v>QSObject:ContextInput:w1~input.qs_context_add_curve.2359132437744.3937.3.0:36624</v>
      </c>
      <c r="E3938" s="6" t="str">
        <f>_xll.QS.INSTRUMENT.SWAP("swap.3936",H3938,B3938,"USD","SOFR",I3938,J3938,0,"Actual360","Simple","Annual","Annual","Annual")</f>
        <v>QSObject:Swap:w1~swap.3936:13982</v>
      </c>
      <c r="F3938" s="6" t="str">
        <f>_xll.QS.TRADE.CREATE("trade.3936",E3938,A3938,"Receive")</f>
        <v>QSObject:SwapTrade:w1~trade.3936:27907</v>
      </c>
      <c r="G3938" s="3">
        <f>_xll.QS.EVALUATE(C3938,F3938)</f>
        <v>42344.372405916132</v>
      </c>
      <c r="H3938" s="5" t="s">
        <v>3978</v>
      </c>
      <c r="I3938" s="7">
        <v>1393600</v>
      </c>
      <c r="J3938" s="8">
        <v>3.8600000000000002E-2</v>
      </c>
    </row>
    <row r="3939" spans="1:10" x14ac:dyDescent="0.25">
      <c r="A3939" s="5" t="s">
        <v>3972</v>
      </c>
      <c r="B3939" s="5" t="s">
        <v>5806</v>
      </c>
      <c r="C3939" s="6" t="str">
        <f>_xll.QS.CONTEXT.CREATE("market.3937",A3939,"USD","SOFR")</f>
        <v>QSObject:PricingContext:w1~market.3937:13981</v>
      </c>
      <c r="D3939" s="6" t="str">
        <f>_xll.QS.CONTEXT.ADD.CURVE(C3939,"SOFR",$K$2:$K$7,$L$2:$L$7,,,"Actual360","LogLinear",TRUE)</f>
        <v>QSObject:ContextInput:w1~input.qs_context_add_curve.2359132437744.3938.3.0:36623</v>
      </c>
      <c r="E3939" s="6" t="str">
        <f>_xll.QS.INSTRUMENT.SWAP("swap.3937",H3939,B3939,"USD","SOFR",I3939,J3939,0,"Actual360","Simple","Annual","Annual","Annual")</f>
        <v>QSObject:Swap:w1~swap.3937:13980</v>
      </c>
      <c r="F3939" s="6" t="str">
        <f>_xll.QS.TRADE.CREATE("trade.3937",E3939,A3939,"Receive")</f>
        <v>QSObject:SwapTrade:w1~trade.3937:27906</v>
      </c>
      <c r="G3939" s="3">
        <f>_xll.QS.EVALUATE(C3939,F3939)</f>
        <v>43050.960066174091</v>
      </c>
      <c r="H3939" s="5" t="s">
        <v>3979</v>
      </c>
      <c r="I3939" s="7">
        <v>1393700</v>
      </c>
      <c r="J3939" s="8">
        <v>3.8700000000000012E-2</v>
      </c>
    </row>
    <row r="3940" spans="1:10" x14ac:dyDescent="0.25">
      <c r="A3940" s="5" t="s">
        <v>3973</v>
      </c>
      <c r="B3940" s="5" t="s">
        <v>5807</v>
      </c>
      <c r="C3940" s="6" t="str">
        <f>_xll.QS.CONTEXT.CREATE("market.3938",A3940,"USD","SOFR")</f>
        <v>QSObject:PricingContext:w1~market.3938:13979</v>
      </c>
      <c r="D3940" s="6" t="str">
        <f>_xll.QS.CONTEXT.ADD.CURVE(C3940,"SOFR",$K$2:$K$7,$L$2:$L$7,,,"Actual360","LogLinear",TRUE)</f>
        <v>QSObject:ContextInput:w1~input.qs_context_add_curve.2359132437744.3939.3.0:36622</v>
      </c>
      <c r="E3940" s="6" t="str">
        <f>_xll.QS.INSTRUMENT.SWAP("swap.3938",H3940,B3940,"USD","SOFR",I3940,J3940,0,"Actual360","Simple","Annual","Annual","Annual")</f>
        <v>QSObject:Swap:w1~swap.3938:13978</v>
      </c>
      <c r="F3940" s="6" t="str">
        <f>_xll.QS.TRADE.CREATE("trade.3938",E3940,A3940,"Receive")</f>
        <v>QSObject:SwapTrade:w1~trade.3938:27905</v>
      </c>
      <c r="G3940" s="3">
        <f>_xll.QS.EVALUATE(C3940,F3940)</f>
        <v>43642.985391242117</v>
      </c>
      <c r="H3940" s="5" t="s">
        <v>3980</v>
      </c>
      <c r="I3940" s="7">
        <v>1393800</v>
      </c>
      <c r="J3940" s="8">
        <v>3.8800000000000001E-2</v>
      </c>
    </row>
    <row r="3941" spans="1:10" x14ac:dyDescent="0.25">
      <c r="A3941" s="5" t="s">
        <v>3974</v>
      </c>
      <c r="B3941" s="5" t="s">
        <v>5808</v>
      </c>
      <c r="C3941" s="6" t="str">
        <f>_xll.QS.CONTEXT.CREATE("market.3939",A3941,"USD","SOFR")</f>
        <v>QSObject:PricingContext:w1~market.3939:13977</v>
      </c>
      <c r="D3941" s="6" t="str">
        <f>_xll.QS.CONTEXT.ADD.CURVE(C3941,"SOFR",$K$2:$K$7,$L$2:$L$7,,,"Actual360","LogLinear",TRUE)</f>
        <v>QSObject:ContextInput:w1~input.qs_context_add_curve.2359132437744.3940.3.0:36621</v>
      </c>
      <c r="E3941" s="6" t="str">
        <f>_xll.QS.INSTRUMENT.SWAP("swap.3939",H3941,B3941,"USD","SOFR",I3941,J3941,0,"Actual360","Simple","Annual","Annual","Annual")</f>
        <v>QSObject:Swap:w1~swap.3939:13976</v>
      </c>
      <c r="F3941" s="6" t="str">
        <f>_xll.QS.TRADE.CREATE("trade.3939",E3941,A3941,"Receive")</f>
        <v>QSObject:SwapTrade:w1~trade.3939:27904</v>
      </c>
      <c r="G3941" s="3">
        <f>_xll.QS.EVALUATE(C3941,F3941)</f>
        <v>44177.999015438356</v>
      </c>
      <c r="H3941" s="5" t="s">
        <v>3981</v>
      </c>
      <c r="I3941" s="7">
        <v>1393900</v>
      </c>
      <c r="J3941" s="8">
        <v>3.8899999999999997E-2</v>
      </c>
    </row>
    <row r="3942" spans="1:10" x14ac:dyDescent="0.25">
      <c r="A3942" s="5" t="s">
        <v>3975</v>
      </c>
      <c r="B3942" s="5" t="s">
        <v>5809</v>
      </c>
      <c r="C3942" s="6" t="str">
        <f>_xll.QS.CONTEXT.CREATE("market.3940",A3942,"USD","SOFR")</f>
        <v>QSObject:PricingContext:w1~market.3940:13975</v>
      </c>
      <c r="D3942" s="6" t="str">
        <f>_xll.QS.CONTEXT.ADD.CURVE(C3942,"SOFR",$K$2:$K$7,$L$2:$L$7,,,"Actual360","LogLinear",TRUE)</f>
        <v>QSObject:ContextInput:w1~input.qs_context_add_curve.2359132437744.3941.3.0:36620</v>
      </c>
      <c r="E3942" s="6" t="str">
        <f>_xll.QS.INSTRUMENT.SWAP("swap.3940",H3942,B3942,"USD","SOFR",I3942,J3942,0,"Actual360","Simple","Annual","Annual","Annual")</f>
        <v>QSObject:Swap:w1~swap.3940:13974</v>
      </c>
      <c r="F3942" s="6" t="str">
        <f>_xll.QS.TRADE.CREATE("trade.3940",E3942,A3942,"Receive")</f>
        <v>QSObject:SwapTrade:w1~trade.3940:27903</v>
      </c>
      <c r="G3942" s="3">
        <f>_xll.QS.EVALUATE(C3942,F3942)</f>
        <v>44734.551979297779</v>
      </c>
      <c r="H3942" s="5" t="s">
        <v>3982</v>
      </c>
      <c r="I3942" s="7">
        <v>1394000</v>
      </c>
      <c r="J3942" s="8">
        <v>3.9000000000000007E-2</v>
      </c>
    </row>
    <row r="3943" spans="1:10" x14ac:dyDescent="0.25">
      <c r="A3943" s="5" t="s">
        <v>3976</v>
      </c>
      <c r="B3943" s="5" t="s">
        <v>5810</v>
      </c>
      <c r="C3943" s="6" t="str">
        <f>_xll.QS.CONTEXT.CREATE("market.3941",A3943,"USD","SOFR")</f>
        <v>QSObject:PricingContext:w1~market.3941:13973</v>
      </c>
      <c r="D3943" s="6" t="str">
        <f>_xll.QS.CONTEXT.ADD.CURVE(C3943,"SOFR",$K$2:$K$7,$L$2:$L$7,,,"Actual360","LogLinear",TRUE)</f>
        <v>QSObject:ContextInput:w1~input.qs_context_add_curve.2359132437744.3942.3.0:36619</v>
      </c>
      <c r="E3943" s="6" t="str">
        <f>_xll.QS.INSTRUMENT.SWAP("swap.3941",H3943,B3943,"USD","SOFR",I3943,J3943,0,"Actual360","Simple","Annual","Annual","Annual")</f>
        <v>QSObject:Swap:w1~swap.3941:13972</v>
      </c>
      <c r="F3943" s="6" t="str">
        <f>_xll.QS.TRADE.CREATE("trade.3941",E3943,A3943,"Receive")</f>
        <v>QSObject:SwapTrade:w1~trade.3941:27902</v>
      </c>
      <c r="G3943" s="3">
        <f>_xll.QS.EVALUATE(C3943,F3943)</f>
        <v>45440.607263031132</v>
      </c>
      <c r="H3943" s="5" t="s">
        <v>3983</v>
      </c>
      <c r="I3943" s="7">
        <v>1394100</v>
      </c>
      <c r="J3943" s="8">
        <v>3.9100000000000003E-2</v>
      </c>
    </row>
    <row r="3944" spans="1:10" x14ac:dyDescent="0.25">
      <c r="A3944" s="5" t="s">
        <v>3977</v>
      </c>
      <c r="B3944" s="5" t="s">
        <v>5811</v>
      </c>
      <c r="C3944" s="6" t="str">
        <f>_xll.QS.CONTEXT.CREATE("market.3942",A3944,"USD","SOFR")</f>
        <v>QSObject:PricingContext:w1~market.3942:13971</v>
      </c>
      <c r="D3944" s="6" t="str">
        <f>_xll.QS.CONTEXT.ADD.CURVE(C3944,"SOFR",$K$2:$K$7,$L$2:$L$7,,,"Actual360","LogLinear",TRUE)</f>
        <v>QSObject:ContextInput:w1~input.qs_context_add_curve.2359132437744.3943.3.0:36618</v>
      </c>
      <c r="E3944" s="6" t="str">
        <f>_xll.QS.INSTRUMENT.SWAP("swap.3942",H3944,B3944,"USD","SOFR",I3944,J3944,0,"Actual360","Simple","Annual","Annual","Annual")</f>
        <v>QSObject:Swap:w1~swap.3942:13970</v>
      </c>
      <c r="F3944" s="6" t="str">
        <f>_xll.QS.TRADE.CREATE("trade.3942",E3944,A3944,"Receive")</f>
        <v>QSObject:SwapTrade:w1~trade.3942:27901</v>
      </c>
      <c r="G3944" s="3">
        <f>_xll.QS.EVALUATE(C3944,F3944)</f>
        <v>46117.987262617018</v>
      </c>
      <c r="H3944" s="5" t="s">
        <v>3984</v>
      </c>
      <c r="I3944" s="7">
        <v>1394200</v>
      </c>
      <c r="J3944" s="8">
        <v>3.9200000000000013E-2</v>
      </c>
    </row>
    <row r="3945" spans="1:10" x14ac:dyDescent="0.25">
      <c r="A3945" s="5" t="s">
        <v>3978</v>
      </c>
      <c r="B3945" s="5" t="s">
        <v>5812</v>
      </c>
      <c r="C3945" s="6" t="str">
        <f>_xll.QS.CONTEXT.CREATE("market.3943",A3945,"USD","SOFR")</f>
        <v>QSObject:PricingContext:w1~market.3943:13969</v>
      </c>
      <c r="D3945" s="6" t="str">
        <f>_xll.QS.CONTEXT.ADD.CURVE(C3945,"SOFR",$K$2:$K$7,$L$2:$L$7,,,"Actual360","LogLinear",TRUE)</f>
        <v>QSObject:ContextInput:w1~input.qs_context_add_curve.2359132437744.3944.3.0:36617</v>
      </c>
      <c r="E3945" s="6" t="str">
        <f>_xll.QS.INSTRUMENT.SWAP("swap.3943",H3945,B3945,"USD","SOFR",I3945,J3945,0,"Actual360","Simple","Annual","Annual","Annual")</f>
        <v>QSObject:Swap:w1~swap.3943:13968</v>
      </c>
      <c r="F3945" s="6" t="str">
        <f>_xll.QS.TRADE.CREATE("trade.3943",E3945,A3945,"Receive")</f>
        <v>QSObject:SwapTrade:w1~trade.3943:27900</v>
      </c>
      <c r="G3945" s="3">
        <f>_xll.QS.EVALUATE(C3945,F3945)</f>
        <v>46866.28003683866</v>
      </c>
      <c r="H3945" s="5" t="s">
        <v>3985</v>
      </c>
      <c r="I3945" s="7">
        <v>1394300</v>
      </c>
      <c r="J3945" s="8">
        <v>3.9300000000000002E-2</v>
      </c>
    </row>
    <row r="3946" spans="1:10" x14ac:dyDescent="0.25">
      <c r="A3946" s="5" t="s">
        <v>3979</v>
      </c>
      <c r="B3946" s="5" t="s">
        <v>5813</v>
      </c>
      <c r="C3946" s="6" t="str">
        <f>_xll.QS.CONTEXT.CREATE("market.3944",A3946,"USD","SOFR")</f>
        <v>QSObject:PricingContext:w1~market.3944:13967</v>
      </c>
      <c r="D3946" s="6" t="str">
        <f>_xll.QS.CONTEXT.ADD.CURVE(C3946,"SOFR",$K$2:$K$7,$L$2:$L$7,,,"Actual360","LogLinear",TRUE)</f>
        <v>QSObject:ContextInput:w1~input.qs_context_add_curve.2359132437744.3945.3.0:36616</v>
      </c>
      <c r="E3946" s="6" t="str">
        <f>_xll.QS.INSTRUMENT.SWAP("swap.3944",H3946,B3946,"USD","SOFR",I3946,J3946,0,"Actual360","Simple","Annual","Annual","Annual")</f>
        <v>QSObject:Swap:w1~swap.3944:13966</v>
      </c>
      <c r="F3946" s="6" t="str">
        <f>_xll.QS.TRADE.CREATE("trade.3944",E3946,A3946,"Receive")</f>
        <v>QSObject:SwapTrade:w1~trade.3944:27899</v>
      </c>
      <c r="G3946" s="3">
        <f>_xll.QS.EVALUATE(C3946,F3946)</f>
        <v>47573.719017410869</v>
      </c>
      <c r="H3946" s="5" t="s">
        <v>3986</v>
      </c>
      <c r="I3946" s="7">
        <v>1394400</v>
      </c>
      <c r="J3946" s="8">
        <v>3.9399999999999998E-2</v>
      </c>
    </row>
    <row r="3947" spans="1:10" x14ac:dyDescent="0.25">
      <c r="A3947" s="5" t="s">
        <v>3980</v>
      </c>
      <c r="B3947" s="5" t="s">
        <v>5814</v>
      </c>
      <c r="C3947" s="6" t="str">
        <f>_xll.QS.CONTEXT.CREATE("market.3945",A3947,"USD","SOFR")</f>
        <v>QSObject:PricingContext:w1~market.3945:13965</v>
      </c>
      <c r="D3947" s="6" t="str">
        <f>_xll.QS.CONTEXT.ADD.CURVE(C3947,"SOFR",$K$2:$K$7,$L$2:$L$7,,,"Actual360","LogLinear",TRUE)</f>
        <v>QSObject:ContextInput:w1~input.qs_context_add_curve.2359132437744.3946.3.0:36615</v>
      </c>
      <c r="E3947" s="6" t="str">
        <f>_xll.QS.INSTRUMENT.SWAP("swap.3945",H3947,B3947,"USD","SOFR",I3947,J3947,0,"Actual360","Simple","Annual","Annual","Annual")</f>
        <v>QSObject:Swap:w1~swap.3945:13964</v>
      </c>
      <c r="F3947" s="6" t="str">
        <f>_xll.QS.TRADE.CREATE("trade.3945",E3947,A3947,"Receive")</f>
        <v>QSObject:SwapTrade:w1~trade.3945:27898</v>
      </c>
      <c r="G3947" s="3">
        <f>_xll.QS.EVALUATE(C3947,F3947)</f>
        <v>48166.314277694146</v>
      </c>
      <c r="H3947" s="5" t="s">
        <v>3987</v>
      </c>
      <c r="I3947" s="7">
        <v>1394500</v>
      </c>
      <c r="J3947" s="8">
        <v>3.9500000000000007E-2</v>
      </c>
    </row>
    <row r="3948" spans="1:10" x14ac:dyDescent="0.25">
      <c r="A3948" s="5" t="s">
        <v>3981</v>
      </c>
      <c r="B3948" s="5" t="s">
        <v>5815</v>
      </c>
      <c r="C3948" s="6" t="str">
        <f>_xll.QS.CONTEXT.CREATE("market.3946",A3948,"USD","SOFR")</f>
        <v>QSObject:PricingContext:w1~market.3946:13963</v>
      </c>
      <c r="D3948" s="6" t="str">
        <f>_xll.QS.CONTEXT.ADD.CURVE(C3948,"SOFR",$K$2:$K$7,$L$2:$L$7,,,"Actual360","LogLinear",TRUE)</f>
        <v>QSObject:ContextInput:w1~input.qs_context_add_curve.2359132437744.3947.3.0:36614</v>
      </c>
      <c r="E3948" s="6" t="str">
        <f>_xll.QS.INSTRUMENT.SWAP("swap.3946",H3948,B3948,"USD","SOFR",I3948,J3948,0,"Actual360","Simple","Annual","Annual","Annual")</f>
        <v>QSObject:Swap:w1~swap.3946:13962</v>
      </c>
      <c r="F3948" s="6" t="str">
        <f>_xll.QS.TRADE.CREATE("trade.3946",E3948,A3948,"Receive")</f>
        <v>QSObject:SwapTrade:w1~trade.3946:27897</v>
      </c>
      <c r="G3948" s="3">
        <f>_xll.QS.EVALUATE(C3948,F3948)</f>
        <v>48696.616533064291</v>
      </c>
      <c r="H3948" s="5" t="s">
        <v>3988</v>
      </c>
      <c r="I3948" s="7">
        <v>1394600</v>
      </c>
      <c r="J3948" s="8">
        <v>3.9600000000000003E-2</v>
      </c>
    </row>
    <row r="3949" spans="1:10" x14ac:dyDescent="0.25">
      <c r="A3949" s="5" t="s">
        <v>3982</v>
      </c>
      <c r="B3949" s="5" t="s">
        <v>5816</v>
      </c>
      <c r="C3949" s="6" t="str">
        <f>_xll.QS.CONTEXT.CREATE("market.3947",A3949,"USD","SOFR")</f>
        <v>QSObject:PricingContext:w1~market.3947:13961</v>
      </c>
      <c r="D3949" s="6" t="str">
        <f>_xll.QS.CONTEXT.ADD.CURVE(C3949,"SOFR",$K$2:$K$7,$L$2:$L$7,,,"Actual360","LogLinear",TRUE)</f>
        <v>QSObject:ContextInput:w1~input.qs_context_add_curve.2359132437744.3948.3.0:36613</v>
      </c>
      <c r="E3949" s="6" t="str">
        <f>_xll.QS.INSTRUMENT.SWAP("swap.3947",H3949,B3949,"USD","SOFR",I3949,J3949,0,"Actual360","Simple","Annual","Annual","Annual")</f>
        <v>QSObject:Swap:w1~swap.3947:13960</v>
      </c>
      <c r="F3949" s="6" t="str">
        <f>_xll.QS.TRADE.CREATE("trade.3947",E3949,A3949,"Receive")</f>
        <v>QSObject:SwapTrade:w1~trade.3947:27896</v>
      </c>
      <c r="G3949" s="3">
        <f>_xll.QS.EVALUATE(C3949,F3949)</f>
        <v>49260.749462038482</v>
      </c>
      <c r="H3949" s="5" t="s">
        <v>3989</v>
      </c>
      <c r="I3949" s="7">
        <v>1394700</v>
      </c>
      <c r="J3949" s="8">
        <v>3.9700000000000013E-2</v>
      </c>
    </row>
    <row r="3950" spans="1:10" x14ac:dyDescent="0.25">
      <c r="A3950" s="5" t="s">
        <v>3983</v>
      </c>
      <c r="B3950" s="5" t="s">
        <v>5817</v>
      </c>
      <c r="C3950" s="6" t="str">
        <f>_xll.QS.CONTEXT.CREATE("market.3948",A3950,"USD","SOFR")</f>
        <v>QSObject:PricingContext:w1~market.3948:13959</v>
      </c>
      <c r="D3950" s="6" t="str">
        <f>_xll.QS.CONTEXT.ADD.CURVE(C3950,"SOFR",$K$2:$K$7,$L$2:$L$7,,,"Actual360","LogLinear",TRUE)</f>
        <v>QSObject:ContextInput:w1~input.qs_context_add_curve.2359132437744.3949.3.0:36612</v>
      </c>
      <c r="E3950" s="6" t="str">
        <f>_xll.QS.INSTRUMENT.SWAP("swap.3948",H3950,B3950,"USD","SOFR",I3950,J3950,0,"Actual360","Simple","Annual","Annual","Annual")</f>
        <v>QSObject:Swap:w1~swap.3948:13958</v>
      </c>
      <c r="F3950" s="6" t="str">
        <f>_xll.QS.TRADE.CREATE("trade.3948",E3950,A3950,"Receive")</f>
        <v>QSObject:SwapTrade:w1~trade.3948:27895</v>
      </c>
      <c r="G3950" s="3">
        <f>_xll.QS.EVALUATE(C3950,F3950)</f>
        <v>49968.092301636403</v>
      </c>
      <c r="H3950" s="5" t="s">
        <v>3990</v>
      </c>
      <c r="I3950" s="7">
        <v>1394800</v>
      </c>
      <c r="J3950" s="8">
        <v>3.9800000000000002E-2</v>
      </c>
    </row>
    <row r="3951" spans="1:10" x14ac:dyDescent="0.25">
      <c r="A3951" s="5" t="s">
        <v>3984</v>
      </c>
      <c r="B3951" s="5" t="s">
        <v>5818</v>
      </c>
      <c r="C3951" s="6" t="str">
        <f>_xll.QS.CONTEXT.CREATE("market.3949",A3951,"USD","SOFR")</f>
        <v>QSObject:PricingContext:w1~market.3949:13957</v>
      </c>
      <c r="D3951" s="6" t="str">
        <f>_xll.QS.CONTEXT.ADD.CURVE(C3951,"SOFR",$K$2:$K$7,$L$2:$L$7,,,"Actual360","LogLinear",TRUE)</f>
        <v>QSObject:ContextInput:w1~input.qs_context_add_curve.2359132437744.3950.3.0:36611</v>
      </c>
      <c r="E3951" s="6" t="str">
        <f>_xll.QS.INSTRUMENT.SWAP("swap.3949",H3951,B3951,"USD","SOFR",I3951,J3951,0,"Actual360","Simple","Annual","Annual","Annual")</f>
        <v>QSObject:Swap:w1~swap.3949:13956</v>
      </c>
      <c r="F3951" s="6" t="str">
        <f>_xll.QS.TRADE.CREATE("trade.3949",E3951,A3951,"Receive")</f>
        <v>QSObject:SwapTrade:w1~trade.3949:27894</v>
      </c>
      <c r="G3951" s="3">
        <f>_xll.QS.EVALUATE(C3951,F3951)</f>
        <v>50643.930730641165</v>
      </c>
      <c r="H3951" s="5" t="s">
        <v>3991</v>
      </c>
      <c r="I3951" s="7">
        <v>1394900</v>
      </c>
      <c r="J3951" s="8">
        <v>3.9899999999999998E-2</v>
      </c>
    </row>
    <row r="3952" spans="1:10" x14ac:dyDescent="0.25">
      <c r="A3952" s="5" t="s">
        <v>3985</v>
      </c>
      <c r="B3952" s="5" t="s">
        <v>5819</v>
      </c>
      <c r="C3952" s="6" t="str">
        <f>_xll.QS.CONTEXT.CREATE("market.3950",A3952,"USD","SOFR")</f>
        <v>QSObject:PricingContext:w1~market.3950:13955</v>
      </c>
      <c r="D3952" s="6" t="str">
        <f>_xll.QS.CONTEXT.ADD.CURVE(C3952,"SOFR",$K$2:$K$7,$L$2:$L$7,,,"Actual360","LogLinear",TRUE)</f>
        <v>QSObject:ContextInput:w1~input.qs_context_add_curve.2359132437744.3951.3.0:36610</v>
      </c>
      <c r="E3952" s="6" t="str">
        <f>_xll.QS.INSTRUMENT.SWAP("swap.3950",H3952,B3952,"USD","SOFR",I3952,J3952,0,"Actual360","Simple","Annual","Annual","Annual")</f>
        <v>QSObject:Swap:w1~swap.3950:13954</v>
      </c>
      <c r="F3952" s="6" t="str">
        <f>_xll.QS.TRADE.CREATE("trade.3950",E3952,A3952,"Receive")</f>
        <v>QSObject:SwapTrade:w1~trade.3950:27893</v>
      </c>
      <c r="G3952" s="3">
        <f>_xll.QS.EVALUATE(C3952,F3952)</f>
        <v>19228.392590790892</v>
      </c>
      <c r="H3952" s="5" t="s">
        <v>3992</v>
      </c>
      <c r="I3952" s="7">
        <v>1395000</v>
      </c>
      <c r="J3952" s="8">
        <v>3.5000000000000003E-2</v>
      </c>
    </row>
    <row r="3953" spans="1:10" x14ac:dyDescent="0.25">
      <c r="A3953" s="5" t="s">
        <v>3986</v>
      </c>
      <c r="B3953" s="5" t="s">
        <v>5820</v>
      </c>
      <c r="C3953" s="6" t="str">
        <f>_xll.QS.CONTEXT.CREATE("market.3951",A3953,"USD","SOFR")</f>
        <v>QSObject:PricingContext:w1~market.3951:13953</v>
      </c>
      <c r="D3953" s="6" t="str">
        <f>_xll.QS.CONTEXT.ADD.CURVE(C3953,"SOFR",$K$2:$K$7,$L$2:$L$7,,,"Actual360","LogLinear",TRUE)</f>
        <v>QSObject:ContextInput:w1~input.qs_context_add_curve.2359132437744.3952.3.0:36609</v>
      </c>
      <c r="E3953" s="6" t="str">
        <f>_xll.QS.INSTRUMENT.SWAP("swap.3951",H3953,B3953,"USD","SOFR",I3953,J3953,0,"Actual360","Simple","Annual","Annual","Annual")</f>
        <v>QSObject:Swap:w1~swap.3951:13952</v>
      </c>
      <c r="F3953" s="6" t="str">
        <f>_xll.QS.TRADE.CREATE("trade.3951",E3953,A3953,"Receive")</f>
        <v>QSObject:SwapTrade:w1~trade.3951:27892</v>
      </c>
      <c r="G3953" s="3">
        <f>_xll.QS.EVALUATE(C3953,F3953)</f>
        <v>19933.689518951054</v>
      </c>
      <c r="H3953" s="5" t="s">
        <v>3993</v>
      </c>
      <c r="I3953" s="7">
        <v>1395100</v>
      </c>
      <c r="J3953" s="8">
        <v>3.5100000000000013E-2</v>
      </c>
    </row>
    <row r="3954" spans="1:10" x14ac:dyDescent="0.25">
      <c r="A3954" s="5" t="s">
        <v>3987</v>
      </c>
      <c r="B3954" s="5" t="s">
        <v>5821</v>
      </c>
      <c r="C3954" s="6" t="str">
        <f>_xll.QS.CONTEXT.CREATE("market.3952",A3954,"USD","SOFR")</f>
        <v>QSObject:PricingContext:w1~market.3952:13951</v>
      </c>
      <c r="D3954" s="6" t="str">
        <f>_xll.QS.CONTEXT.ADD.CURVE(C3954,"SOFR",$K$2:$K$7,$L$2:$L$7,,,"Actual360","LogLinear",TRUE)</f>
        <v>QSObject:ContextInput:w1~input.qs_context_add_curve.2359132437744.3953.3.0:36608</v>
      </c>
      <c r="E3954" s="6" t="str">
        <f>_xll.QS.INSTRUMENT.SWAP("swap.3952",H3954,B3954,"USD","SOFR",I3954,J3954,0,"Actual360","Simple","Annual","Annual","Annual")</f>
        <v>QSObject:Swap:w1~swap.3952:13950</v>
      </c>
      <c r="F3954" s="6" t="str">
        <f>_xll.QS.TRADE.CREATE("trade.3952",E3954,A3954,"Receive")</f>
        <v>QSObject:SwapTrade:w1~trade.3952:27891</v>
      </c>
      <c r="G3954" s="3">
        <f>_xll.QS.EVALUATE(C3954,F3954)</f>
        <v>20524.87737282327</v>
      </c>
      <c r="H3954" s="5" t="s">
        <v>3994</v>
      </c>
      <c r="I3954" s="7">
        <v>1395200</v>
      </c>
      <c r="J3954" s="8">
        <v>3.5200000000000002E-2</v>
      </c>
    </row>
    <row r="3955" spans="1:10" x14ac:dyDescent="0.25">
      <c r="A3955" s="5" t="s">
        <v>3988</v>
      </c>
      <c r="B3955" s="5" t="s">
        <v>5822</v>
      </c>
      <c r="C3955" s="6" t="str">
        <f>_xll.QS.CONTEXT.CREATE("market.3953",A3955,"USD","SOFR")</f>
        <v>QSObject:PricingContext:w1~market.3953:13949</v>
      </c>
      <c r="D3955" s="6" t="str">
        <f>_xll.QS.CONTEXT.ADD.CURVE(C3955,"SOFR",$K$2:$K$7,$L$2:$L$7,,,"Actual360","LogLinear",TRUE)</f>
        <v>QSObject:ContextInput:w1~input.qs_context_add_curve.2359132437744.3954.3.0:36607</v>
      </c>
      <c r="E3955" s="6" t="str">
        <f>_xll.QS.INSTRUMENT.SWAP("swap.3953",H3955,B3955,"USD","SOFR",I3955,J3955,0,"Actual360","Simple","Annual","Annual","Annual")</f>
        <v>QSObject:Swap:w1~swap.3953:13948</v>
      </c>
      <c r="F3955" s="6" t="str">
        <f>_xll.QS.TRADE.CREATE("trade.3953",E3955,A3955,"Receive")</f>
        <v>QSObject:SwapTrade:w1~trade.3953:27890</v>
      </c>
      <c r="G3955" s="3">
        <f>_xll.QS.EVALUATE(C3955,F3955)</f>
        <v>21085.993743459941</v>
      </c>
      <c r="H3955" s="5" t="s">
        <v>3995</v>
      </c>
      <c r="I3955" s="7">
        <v>1395300</v>
      </c>
      <c r="J3955" s="8">
        <v>3.5299999999999998E-2</v>
      </c>
    </row>
    <row r="3956" spans="1:10" x14ac:dyDescent="0.25">
      <c r="A3956" s="5" t="s">
        <v>3989</v>
      </c>
      <c r="B3956" s="5" t="s">
        <v>5823</v>
      </c>
      <c r="C3956" s="6" t="str">
        <f>_xll.QS.CONTEXT.CREATE("market.3954",A3956,"USD","SOFR")</f>
        <v>QSObject:PricingContext:w1~market.3954:13947</v>
      </c>
      <c r="D3956" s="6" t="str">
        <f>_xll.QS.CONTEXT.ADD.CURVE(C3956,"SOFR",$K$2:$K$7,$L$2:$L$7,,,"Actual360","LogLinear",TRUE)</f>
        <v>QSObject:ContextInput:w1~input.qs_context_add_curve.2359132437744.3955.3.0:36606</v>
      </c>
      <c r="E3956" s="6" t="str">
        <f>_xll.QS.INSTRUMENT.SWAP("swap.3954",H3956,B3956,"USD","SOFR",I3956,J3956,0,"Actual360","Simple","Annual","Annual","Annual")</f>
        <v>QSObject:Swap:w1~swap.3954:13946</v>
      </c>
      <c r="F3956" s="6" t="str">
        <f>_xll.QS.TRADE.CREATE("trade.3954",E3956,A3956,"Receive")</f>
        <v>QSObject:SwapTrade:w1~trade.3954:27889</v>
      </c>
      <c r="G3956" s="3">
        <f>_xll.QS.EVALUATE(C3956,F3956)</f>
        <v>21605.384826878806</v>
      </c>
      <c r="H3956" s="5" t="s">
        <v>3996</v>
      </c>
      <c r="I3956" s="7">
        <v>1395400</v>
      </c>
      <c r="J3956" s="8">
        <v>3.5400000000000001E-2</v>
      </c>
    </row>
    <row r="3957" spans="1:10" x14ac:dyDescent="0.25">
      <c r="A3957" s="5" t="s">
        <v>3990</v>
      </c>
      <c r="B3957" s="5" t="s">
        <v>5824</v>
      </c>
      <c r="C3957" s="6" t="str">
        <f>_xll.QS.CONTEXT.CREATE("market.3955",A3957,"USD","SOFR")</f>
        <v>QSObject:PricingContext:w1~market.3955:13945</v>
      </c>
      <c r="D3957" s="6" t="str">
        <f>_xll.QS.CONTEXT.ADD.CURVE(C3957,"SOFR",$K$2:$K$7,$L$2:$L$7,,,"Actual360","LogLinear",TRUE)</f>
        <v>QSObject:ContextInput:w1~input.qs_context_add_curve.2359132437744.3956.3.0:36605</v>
      </c>
      <c r="E3957" s="6" t="str">
        <f>_xll.QS.INSTRUMENT.SWAP("swap.3955",H3957,B3957,"USD","SOFR",I3957,J3957,0,"Actual360","Simple","Annual","Annual","Annual")</f>
        <v>QSObject:Swap:w1~swap.3955:13944</v>
      </c>
      <c r="F3957" s="6" t="str">
        <f>_xll.QS.TRADE.CREATE("trade.3955",E3957,A3957,"Receive")</f>
        <v>QSObject:SwapTrade:w1~trade.3955:27888</v>
      </c>
      <c r="G3957" s="3">
        <f>_xll.QS.EVALUATE(C3957,F3957)</f>
        <v>22308.650027915668</v>
      </c>
      <c r="H3957" s="5" t="s">
        <v>3997</v>
      </c>
      <c r="I3957" s="7">
        <v>1395500</v>
      </c>
      <c r="J3957" s="8">
        <v>3.5499999999999997E-2</v>
      </c>
    </row>
    <row r="3958" spans="1:10" x14ac:dyDescent="0.25">
      <c r="A3958" s="5" t="s">
        <v>3991</v>
      </c>
      <c r="B3958" s="5" t="s">
        <v>5825</v>
      </c>
      <c r="C3958" s="6" t="str">
        <f>_xll.QS.CONTEXT.CREATE("market.3956",A3958,"USD","SOFR")</f>
        <v>QSObject:PricingContext:w1~market.3956:13943</v>
      </c>
      <c r="D3958" s="6" t="str">
        <f>_xll.QS.CONTEXT.ADD.CURVE(C3958,"SOFR",$K$2:$K$7,$L$2:$L$7,,,"Actual360","LogLinear",TRUE)</f>
        <v>QSObject:ContextInput:w1~input.qs_context_add_curve.2359132437744.3957.3.0:36604</v>
      </c>
      <c r="E3958" s="6" t="str">
        <f>_xll.QS.INSTRUMENT.SWAP("swap.3956",H3958,B3958,"USD","SOFR",I3958,J3958,0,"Actual360","Simple","Annual","Annual","Annual")</f>
        <v>QSObject:Swap:w1~swap.3956:13942</v>
      </c>
      <c r="F3958" s="6" t="str">
        <f>_xll.QS.TRADE.CREATE("trade.3956",E3958,A3958,"Receive")</f>
        <v>QSObject:SwapTrade:w1~trade.3956:27887</v>
      </c>
      <c r="G3958" s="3">
        <f>_xll.QS.EVALUATE(C3958,F3958)</f>
        <v>22996.285162585023</v>
      </c>
      <c r="H3958" s="5" t="s">
        <v>3998</v>
      </c>
      <c r="I3958" s="7">
        <v>1395600</v>
      </c>
      <c r="J3958" s="8">
        <v>3.5600000000000007E-2</v>
      </c>
    </row>
    <row r="3959" spans="1:10" x14ac:dyDescent="0.25">
      <c r="A3959" s="5" t="s">
        <v>3992</v>
      </c>
      <c r="B3959" s="5" t="s">
        <v>5826</v>
      </c>
      <c r="C3959" s="6" t="str">
        <f>_xll.QS.CONTEXT.CREATE("market.3957",A3959,"USD","SOFR")</f>
        <v>QSObject:PricingContext:w1~market.3957:13941</v>
      </c>
      <c r="D3959" s="6" t="str">
        <f>_xll.QS.CONTEXT.ADD.CURVE(C3959,"SOFR",$K$2:$K$7,$L$2:$L$7,,,"Actual360","LogLinear",TRUE)</f>
        <v>QSObject:ContextInput:w1~input.qs_context_add_curve.2359132437744.3958.3.0:36603</v>
      </c>
      <c r="E3959" s="6" t="str">
        <f>_xll.QS.INSTRUMENT.SWAP("swap.3957",H3959,B3959,"USD","SOFR",I3959,J3959,0,"Actual360","Simple","Annual","Annual","Annual")</f>
        <v>QSObject:Swap:w1~swap.3957:13940</v>
      </c>
      <c r="F3959" s="6" t="str">
        <f>_xll.QS.TRADE.CREATE("trade.3957",E3959,A3959,"Receive")</f>
        <v>QSObject:SwapTrade:w1~trade.3957:27886</v>
      </c>
      <c r="G3959" s="3">
        <f>_xll.QS.EVALUATE(C3959,F3959)</f>
        <v>23743.322098699304</v>
      </c>
      <c r="H3959" s="5" t="s">
        <v>3999</v>
      </c>
      <c r="I3959" s="7">
        <v>1395700</v>
      </c>
      <c r="J3959" s="8">
        <v>3.5700000000000003E-2</v>
      </c>
    </row>
    <row r="3960" spans="1:10" x14ac:dyDescent="0.25">
      <c r="A3960" s="5" t="s">
        <v>3993</v>
      </c>
      <c r="B3960" s="5" t="s">
        <v>5827</v>
      </c>
      <c r="C3960" s="6" t="str">
        <f>_xll.QS.CONTEXT.CREATE("market.3958",A3960,"USD","SOFR")</f>
        <v>QSObject:PricingContext:w1~market.3958:13939</v>
      </c>
      <c r="D3960" s="6" t="str">
        <f>_xll.QS.CONTEXT.ADD.CURVE(C3960,"SOFR",$K$2:$K$7,$L$2:$L$7,,,"Actual360","LogLinear",TRUE)</f>
        <v>QSObject:ContextInput:w1~input.qs_context_add_curve.2359132437744.3959.3.0:36602</v>
      </c>
      <c r="E3960" s="6" t="str">
        <f>_xll.QS.INSTRUMENT.SWAP("swap.3958",H3960,B3960,"USD","SOFR",I3960,J3960,0,"Actual360","Simple","Annual","Annual","Annual")</f>
        <v>QSObject:Swap:w1~swap.3958:13938</v>
      </c>
      <c r="F3960" s="6" t="str">
        <f>_xll.QS.TRADE.CREATE("trade.3958",E3960,A3960,"Receive")</f>
        <v>QSObject:SwapTrade:w1~trade.3958:27885</v>
      </c>
      <c r="G3960" s="3">
        <f>_xll.QS.EVALUATE(C3960,F3960)</f>
        <v>24449.431238622565</v>
      </c>
      <c r="H3960" s="5" t="s">
        <v>4000</v>
      </c>
      <c r="I3960" s="7">
        <v>1395800</v>
      </c>
      <c r="J3960" s="8">
        <v>3.5800000000000012E-2</v>
      </c>
    </row>
    <row r="3961" spans="1:10" x14ac:dyDescent="0.25">
      <c r="A3961" s="5" t="s">
        <v>3994</v>
      </c>
      <c r="B3961" s="5" t="s">
        <v>5828</v>
      </c>
      <c r="C3961" s="6" t="str">
        <f>_xll.QS.CONTEXT.CREATE("market.3959",A3961,"USD","SOFR")</f>
        <v>QSObject:PricingContext:w1~market.3959:13937</v>
      </c>
      <c r="D3961" s="6" t="str">
        <f>_xll.QS.CONTEXT.ADD.CURVE(C3961,"SOFR",$K$2:$K$7,$L$2:$L$7,,,"Actual360","LogLinear",TRUE)</f>
        <v>QSObject:ContextInput:w1~input.qs_context_add_curve.2359132437744.3960.3.0:36601</v>
      </c>
      <c r="E3961" s="6" t="str">
        <f>_xll.QS.INSTRUMENT.SWAP("swap.3959",H3961,B3961,"USD","SOFR",I3961,J3961,0,"Actual360","Simple","Annual","Annual","Annual")</f>
        <v>QSObject:Swap:w1~swap.3959:13936</v>
      </c>
      <c r="F3961" s="6" t="str">
        <f>_xll.QS.TRADE.CREATE("trade.3959",E3961,A3961,"Receive")</f>
        <v>QSObject:SwapTrade:w1~trade.3959:27884</v>
      </c>
      <c r="G3961" s="3">
        <f>_xll.QS.EVALUATE(C3961,F3961)</f>
        <v>25040.866072256365</v>
      </c>
      <c r="H3961" s="5" t="s">
        <v>4001</v>
      </c>
      <c r="I3961" s="7">
        <v>1395900</v>
      </c>
      <c r="J3961" s="8">
        <v>3.5900000000000001E-2</v>
      </c>
    </row>
    <row r="3962" spans="1:10" x14ac:dyDescent="0.25">
      <c r="A3962" s="5" t="s">
        <v>3995</v>
      </c>
      <c r="B3962" s="5" t="s">
        <v>5829</v>
      </c>
      <c r="C3962" s="6" t="str">
        <f>_xll.QS.CONTEXT.CREATE("market.3960",A3962,"USD","SOFR")</f>
        <v>QSObject:PricingContext:w1~market.3960:13935</v>
      </c>
      <c r="D3962" s="6" t="str">
        <f>_xll.QS.CONTEXT.ADD.CURVE(C3962,"SOFR",$K$2:$K$7,$L$2:$L$7,,,"Actual360","LogLinear",TRUE)</f>
        <v>QSObject:ContextInput:w1~input.qs_context_add_curve.2359132437744.3961.3.0:36600</v>
      </c>
      <c r="E3962" s="6" t="str">
        <f>_xll.QS.INSTRUMENT.SWAP("swap.3960",H3962,B3962,"USD","SOFR",I3962,J3962,0,"Actual360","Simple","Annual","Annual","Annual")</f>
        <v>QSObject:Swap:w1~swap.3960:13934</v>
      </c>
      <c r="F3962" s="6" t="str">
        <f>_xll.QS.TRADE.CREATE("trade.3960",E3962,A3962,"Receive")</f>
        <v>QSObject:SwapTrade:w1~trade.3960:27883</v>
      </c>
      <c r="G3962" s="3">
        <f>_xll.QS.EVALUATE(C3962,F3962)</f>
        <v>25476.523144200793</v>
      </c>
      <c r="H3962" s="5" t="s">
        <v>4002</v>
      </c>
      <c r="I3962" s="7">
        <v>1396000</v>
      </c>
      <c r="J3962" s="8">
        <v>3.5999999999999997E-2</v>
      </c>
    </row>
    <row r="3963" spans="1:10" x14ac:dyDescent="0.25">
      <c r="A3963" s="5" t="s">
        <v>3996</v>
      </c>
      <c r="B3963" s="5" t="s">
        <v>5830</v>
      </c>
      <c r="C3963" s="6" t="str">
        <f>_xll.QS.CONTEXT.CREATE("market.3961",A3963,"USD","SOFR")</f>
        <v>QSObject:PricingContext:w1~market.3961:13933</v>
      </c>
      <c r="D3963" s="6" t="str">
        <f>_xll.QS.CONTEXT.ADD.CURVE(C3963,"SOFR",$K$2:$K$7,$L$2:$L$7,,,"Actual360","LogLinear",TRUE)</f>
        <v>QSObject:ContextInput:w1~input.qs_context_add_curve.2359132437744.3962.3.0:36599</v>
      </c>
      <c r="E3963" s="6" t="str">
        <f>_xll.QS.INSTRUMENT.SWAP("swap.3961",H3963,B3963,"USD","SOFR",I3963,J3963,0,"Actual360","Simple","Annual","Annual","Annual")</f>
        <v>QSObject:Swap:w1~swap.3961:13932</v>
      </c>
      <c r="F3963" s="6" t="str">
        <f>_xll.QS.TRADE.CREATE("trade.3961",E3963,A3963,"Receive")</f>
        <v>QSObject:SwapTrade:w1~trade.3961:27882</v>
      </c>
      <c r="G3963" s="3">
        <f>_xll.QS.EVALUATE(C3963,F3963)</f>
        <v>26124.543837571466</v>
      </c>
      <c r="H3963" s="5" t="s">
        <v>4003</v>
      </c>
      <c r="I3963" s="7">
        <v>1396100</v>
      </c>
      <c r="J3963" s="8">
        <v>3.61E-2</v>
      </c>
    </row>
    <row r="3964" spans="1:10" x14ac:dyDescent="0.25">
      <c r="A3964" s="5" t="s">
        <v>3997</v>
      </c>
      <c r="B3964" s="5" t="s">
        <v>5831</v>
      </c>
      <c r="C3964" s="6" t="str">
        <f>_xll.QS.CONTEXT.CREATE("market.3962",A3964,"USD","SOFR")</f>
        <v>QSObject:PricingContext:w1~market.3962:13931</v>
      </c>
      <c r="D3964" s="6" t="str">
        <f>_xll.QS.CONTEXT.ADD.CURVE(C3964,"SOFR",$K$2:$K$7,$L$2:$L$7,,,"Actual360","LogLinear",TRUE)</f>
        <v>QSObject:ContextInput:w1~input.qs_context_add_curve.2359132437744.3963.3.0:36598</v>
      </c>
      <c r="E3964" s="6" t="str">
        <f>_xll.QS.INSTRUMENT.SWAP("swap.3962",H3964,B3964,"USD","SOFR",I3964,J3964,0,"Actual360","Simple","Annual","Annual","Annual")</f>
        <v>QSObject:Swap:w1~swap.3962:13930</v>
      </c>
      <c r="F3964" s="6" t="str">
        <f>_xll.QS.TRADE.CREATE("trade.3962",E3964,A3964,"Receive")</f>
        <v>QSObject:SwapTrade:w1~trade.3962:27881</v>
      </c>
      <c r="G3964" s="3">
        <f>_xll.QS.EVALUATE(C3964,F3964)</f>
        <v>26828.970093837597</v>
      </c>
      <c r="H3964" s="5" t="s">
        <v>4004</v>
      </c>
      <c r="I3964" s="7">
        <v>1396200</v>
      </c>
      <c r="J3964" s="8">
        <v>3.6200000000000003E-2</v>
      </c>
    </row>
    <row r="3965" spans="1:10" x14ac:dyDescent="0.25">
      <c r="A3965" s="5" t="s">
        <v>3998</v>
      </c>
      <c r="B3965" s="5" t="s">
        <v>5832</v>
      </c>
      <c r="C3965" s="6" t="str">
        <f>_xll.QS.CONTEXT.CREATE("market.3963",A3965,"USD","SOFR")</f>
        <v>QSObject:PricingContext:w1~market.3963:13929</v>
      </c>
      <c r="D3965" s="6" t="str">
        <f>_xll.QS.CONTEXT.ADD.CURVE(C3965,"SOFR",$K$2:$K$7,$L$2:$L$7,,,"Actual360","LogLinear",TRUE)</f>
        <v>QSObject:ContextInput:w1~input.qs_context_add_curve.2359132437744.3964.3.0:36597</v>
      </c>
      <c r="E3965" s="6" t="str">
        <f>_xll.QS.INSTRUMENT.SWAP("swap.3963",H3965,B3965,"USD","SOFR",I3965,J3965,0,"Actual360","Simple","Annual","Annual","Annual")</f>
        <v>QSObject:Swap:w1~swap.3963:13928</v>
      </c>
      <c r="F3965" s="6" t="str">
        <f>_xll.QS.TRADE.CREATE("trade.3963",E3965,A3965,"Receive")</f>
        <v>QSObject:SwapTrade:w1~trade.3963:27880</v>
      </c>
      <c r="G3965" s="3">
        <f>_xll.QS.EVALUATE(C3965,F3965)</f>
        <v>27669.619021963532</v>
      </c>
      <c r="H3965" s="5" t="s">
        <v>4005</v>
      </c>
      <c r="I3965" s="7">
        <v>1396300</v>
      </c>
      <c r="J3965" s="8">
        <v>3.6300000000000013E-2</v>
      </c>
    </row>
    <row r="3966" spans="1:10" x14ac:dyDescent="0.25">
      <c r="A3966" s="5" t="s">
        <v>3999</v>
      </c>
      <c r="B3966" s="5" t="s">
        <v>5833</v>
      </c>
      <c r="C3966" s="6" t="str">
        <f>_xll.QS.CONTEXT.CREATE("market.3964",A3966,"USD","SOFR")</f>
        <v>QSObject:PricingContext:w1~market.3964:13927</v>
      </c>
      <c r="D3966" s="6" t="str">
        <f>_xll.QS.CONTEXT.ADD.CURVE(C3966,"SOFR",$K$2:$K$7,$L$2:$L$7,,,"Actual360","LogLinear",TRUE)</f>
        <v>QSObject:ContextInput:w1~input.qs_context_add_curve.2359132437744.3965.3.0:36596</v>
      </c>
      <c r="E3966" s="6" t="str">
        <f>_xll.QS.INSTRUMENT.SWAP("swap.3964",H3966,B3966,"USD","SOFR",I3966,J3966,0,"Actual360","Simple","Annual","Annual","Annual")</f>
        <v>QSObject:Swap:w1~swap.3964:13926</v>
      </c>
      <c r="F3966" s="6" t="str">
        <f>_xll.QS.TRADE.CREATE("trade.3964",E3966,A3966,"Receive")</f>
        <v>QSObject:SwapTrade:w1~trade.3964:27879</v>
      </c>
      <c r="G3966" s="3">
        <f>_xll.QS.EVALUATE(C3966,F3966)</f>
        <v>28314.415225656237</v>
      </c>
      <c r="H3966" s="5" t="s">
        <v>4006</v>
      </c>
      <c r="I3966" s="7">
        <v>1396400</v>
      </c>
      <c r="J3966" s="8">
        <v>3.6400000000000002E-2</v>
      </c>
    </row>
    <row r="3967" spans="1:10" x14ac:dyDescent="0.25">
      <c r="A3967" s="5" t="s">
        <v>4000</v>
      </c>
      <c r="B3967" s="5" t="s">
        <v>5834</v>
      </c>
      <c r="C3967" s="6" t="str">
        <f>_xll.QS.CONTEXT.CREATE("market.3965",A3967,"USD","SOFR")</f>
        <v>QSObject:PricingContext:w1~market.3965:13925</v>
      </c>
      <c r="D3967" s="6" t="str">
        <f>_xll.QS.CONTEXT.ADD.CURVE(C3967,"SOFR",$K$2:$K$7,$L$2:$L$7,,,"Actual360","LogLinear",TRUE)</f>
        <v>QSObject:ContextInput:w1~input.qs_context_add_curve.2359132437744.3966.3.0:36595</v>
      </c>
      <c r="E3967" s="6" t="str">
        <f>_xll.QS.INSTRUMENT.SWAP("swap.3965",H3967,B3967,"USD","SOFR",I3967,J3967,0,"Actual360","Simple","Annual","Annual","Annual")</f>
        <v>QSObject:Swap:w1~swap.3965:13924</v>
      </c>
      <c r="F3967" s="6" t="str">
        <f>_xll.QS.TRADE.CREATE("trade.3965",E3967,A3967,"Receive")</f>
        <v>QSObject:SwapTrade:w1~trade.3965:27878</v>
      </c>
      <c r="G3967" s="3">
        <f>_xll.QS.EVALUATE(C3967,F3967)</f>
        <v>28969.718376292323</v>
      </c>
      <c r="H3967" s="5" t="s">
        <v>4007</v>
      </c>
      <c r="I3967" s="7">
        <v>1396500</v>
      </c>
      <c r="J3967" s="8">
        <v>3.6499999999999998E-2</v>
      </c>
    </row>
    <row r="3968" spans="1:10" x14ac:dyDescent="0.25">
      <c r="A3968" s="5" t="s">
        <v>4001</v>
      </c>
      <c r="B3968" s="5" t="s">
        <v>5835</v>
      </c>
      <c r="C3968" s="6" t="str">
        <f>_xll.QS.CONTEXT.CREATE("market.3966",A3968,"USD","SOFR")</f>
        <v>QSObject:PricingContext:w1~market.3966:13923</v>
      </c>
      <c r="D3968" s="6" t="str">
        <f>_xll.QS.CONTEXT.ADD.CURVE(C3968,"SOFR",$K$2:$K$7,$L$2:$L$7,,,"Actual360","LogLinear",TRUE)</f>
        <v>QSObject:ContextInput:w1~input.qs_context_add_curve.2359132437744.3967.3.0:36594</v>
      </c>
      <c r="E3968" s="6" t="str">
        <f>_xll.QS.INSTRUMENT.SWAP("swap.3966",H3968,B3968,"USD","SOFR",I3968,J3968,0,"Actual360","Simple","Annual","Annual","Annual")</f>
        <v>QSObject:Swap:w1~swap.3966:13922</v>
      </c>
      <c r="F3968" s="6" t="str">
        <f>_xll.QS.TRADE.CREATE("trade.3966",E3968,A3968,"Receive")</f>
        <v>QSObject:SwapTrade:w1~trade.3966:27877</v>
      </c>
      <c r="G3968" s="3">
        <f>_xll.QS.EVALUATE(C3968,F3968)</f>
        <v>29562.065406998743</v>
      </c>
      <c r="H3968" s="5" t="s">
        <v>4008</v>
      </c>
      <c r="I3968" s="7">
        <v>1396600</v>
      </c>
      <c r="J3968" s="8">
        <v>3.6600000000000001E-2</v>
      </c>
    </row>
    <row r="3969" spans="1:10" x14ac:dyDescent="0.25">
      <c r="A3969" s="5" t="s">
        <v>4002</v>
      </c>
      <c r="B3969" s="5" t="s">
        <v>5836</v>
      </c>
      <c r="C3969" s="6" t="str">
        <f>_xll.QS.CONTEXT.CREATE("market.3967",A3969,"USD","SOFR")</f>
        <v>QSObject:PricingContext:w1~market.3967:13921</v>
      </c>
      <c r="D3969" s="6" t="str">
        <f>_xll.QS.CONTEXT.ADD.CURVE(C3969,"SOFR",$K$2:$K$7,$L$2:$L$7,,,"Actual360","LogLinear",TRUE)</f>
        <v>QSObject:ContextInput:w1~input.qs_context_add_curve.2359132437744.3968.3.0:36593</v>
      </c>
      <c r="E3969" s="6" t="str">
        <f>_xll.QS.INSTRUMENT.SWAP("swap.3967",H3969,B3969,"USD","SOFR",I3969,J3969,0,"Actual360","Simple","Annual","Annual","Annual")</f>
        <v>QSObject:Swap:w1~swap.3967:13920</v>
      </c>
      <c r="F3969" s="6" t="str">
        <f>_xll.QS.TRADE.CREATE("trade.3967",E3969,A3969,"Receive")</f>
        <v>QSObject:SwapTrade:w1~trade.3967:27876</v>
      </c>
      <c r="G3969" s="3">
        <f>_xll.QS.EVALUATE(C3969,F3969)</f>
        <v>30113.819171806099</v>
      </c>
      <c r="H3969" s="5" t="s">
        <v>4009</v>
      </c>
      <c r="I3969" s="7">
        <v>1396700</v>
      </c>
      <c r="J3969" s="8">
        <v>3.6700000000000003E-2</v>
      </c>
    </row>
    <row r="3970" spans="1:10" x14ac:dyDescent="0.25">
      <c r="A3970" s="5" t="s">
        <v>4003</v>
      </c>
      <c r="B3970" s="5" t="s">
        <v>5837</v>
      </c>
      <c r="C3970" s="6" t="str">
        <f>_xll.QS.CONTEXT.CREATE("market.3968",A3970,"USD","SOFR")</f>
        <v>QSObject:PricingContext:w1~market.3968:13919</v>
      </c>
      <c r="D3970" s="6" t="str">
        <f>_xll.QS.CONTEXT.ADD.CURVE(C3970,"SOFR",$K$2:$K$7,$L$2:$L$7,,,"Actual360","LogLinear",TRUE)</f>
        <v>QSObject:ContextInput:w1~input.qs_context_add_curve.2359132437744.3969.3.0:36592</v>
      </c>
      <c r="E3970" s="6" t="str">
        <f>_xll.QS.INSTRUMENT.SWAP("swap.3968",H3970,B3970,"USD","SOFR",I3970,J3970,0,"Actual360","Simple","Annual","Annual","Annual")</f>
        <v>QSObject:Swap:w1~swap.3968:13918</v>
      </c>
      <c r="F3970" s="6" t="str">
        <f>_xll.QS.TRADE.CREATE("trade.3968",E3970,A3970,"Receive")</f>
        <v>QSObject:SwapTrade:w1~trade.3968:27875</v>
      </c>
      <c r="G3970" s="3">
        <f>_xll.QS.EVALUATE(C3970,F3970)</f>
        <v>30648.501235541138</v>
      </c>
      <c r="H3970" s="5" t="s">
        <v>4010</v>
      </c>
      <c r="I3970" s="7">
        <v>1396800</v>
      </c>
      <c r="J3970" s="8">
        <v>3.6800000000000013E-2</v>
      </c>
    </row>
    <row r="3971" spans="1:10" x14ac:dyDescent="0.25">
      <c r="A3971" s="5" t="s">
        <v>4004</v>
      </c>
      <c r="B3971" s="5" t="s">
        <v>5838</v>
      </c>
      <c r="C3971" s="6" t="str">
        <f>_xll.QS.CONTEXT.CREATE("market.3969",A3971,"USD","SOFR")</f>
        <v>QSObject:PricingContext:w1~market.3969:13917</v>
      </c>
      <c r="D3971" s="6" t="str">
        <f>_xll.QS.CONTEXT.ADD.CURVE(C3971,"SOFR",$K$2:$K$7,$L$2:$L$7,,,"Actual360","LogLinear",TRUE)</f>
        <v>QSObject:ContextInput:w1~input.qs_context_add_curve.2359132437744.3970.3.0:36591</v>
      </c>
      <c r="E3971" s="6" t="str">
        <f>_xll.QS.INSTRUMENT.SWAP("swap.3969",H3971,B3971,"USD","SOFR",I3971,J3971,0,"Actual360","Simple","Annual","Annual","Annual")</f>
        <v>QSObject:Swap:w1~swap.3969:13916</v>
      </c>
      <c r="F3971" s="6" t="str">
        <f>_xll.QS.TRADE.CREATE("trade.3969",E3971,A3971,"Receive")</f>
        <v>QSObject:SwapTrade:w1~trade.3969:27874</v>
      </c>
      <c r="G3971" s="3">
        <f>_xll.QS.EVALUATE(C3971,F3971)</f>
        <v>31353.580469780078</v>
      </c>
      <c r="H3971" s="5" t="s">
        <v>4011</v>
      </c>
      <c r="I3971" s="7">
        <v>1396900</v>
      </c>
      <c r="J3971" s="8">
        <v>3.6900000000000002E-2</v>
      </c>
    </row>
    <row r="3972" spans="1:10" x14ac:dyDescent="0.25">
      <c r="A3972" s="5" t="s">
        <v>4005</v>
      </c>
      <c r="B3972" s="5" t="s">
        <v>5839</v>
      </c>
      <c r="C3972" s="6" t="str">
        <f>_xll.QS.CONTEXT.CREATE("market.3970",A3972,"USD","SOFR")</f>
        <v>QSObject:PricingContext:w1~market.3970:13915</v>
      </c>
      <c r="D3972" s="6" t="str">
        <f>_xll.QS.CONTEXT.ADD.CURVE(C3972,"SOFR",$K$2:$K$7,$L$2:$L$7,,,"Actual360","LogLinear",TRUE)</f>
        <v>QSObject:ContextInput:w1~input.qs_context_add_curve.2359132437744.3971.3.0:36590</v>
      </c>
      <c r="E3972" s="6" t="str">
        <f>_xll.QS.INSTRUMENT.SWAP("swap.3970",H3972,B3972,"USD","SOFR",I3972,J3972,0,"Actual360","Simple","Annual","Annual","Annual")</f>
        <v>QSObject:Swap:w1~swap.3970:13914</v>
      </c>
      <c r="F3972" s="6" t="str">
        <f>_xll.QS.TRADE.CREATE("trade.3970",E3972,A3972,"Receive")</f>
        <v>QSObject:SwapTrade:w1~trade.3970:27873</v>
      </c>
      <c r="G3972" s="3">
        <f>_xll.QS.EVALUATE(C3972,F3972)</f>
        <v>32038.17455983314</v>
      </c>
      <c r="H3972" s="5" t="s">
        <v>4012</v>
      </c>
      <c r="I3972" s="7">
        <v>1397000</v>
      </c>
      <c r="J3972" s="8">
        <v>3.7000000000000012E-2</v>
      </c>
    </row>
    <row r="3973" spans="1:10" x14ac:dyDescent="0.25">
      <c r="A3973" s="5" t="s">
        <v>4006</v>
      </c>
      <c r="B3973" s="5" t="s">
        <v>5840</v>
      </c>
      <c r="C3973" s="6" t="str">
        <f>_xll.QS.CONTEXT.CREATE("market.3971",A3973,"USD","SOFR")</f>
        <v>QSObject:PricingContext:w1~market.3971:13913</v>
      </c>
      <c r="D3973" s="6" t="str">
        <f>_xll.QS.CONTEXT.ADD.CURVE(C3973,"SOFR",$K$2:$K$7,$L$2:$L$7,,,"Actual360","LogLinear",TRUE)</f>
        <v>QSObject:ContextInput:w1~input.qs_context_add_curve.2359132437744.3972.3.0:36589</v>
      </c>
      <c r="E3973" s="6" t="str">
        <f>_xll.QS.INSTRUMENT.SWAP("swap.3971",H3973,B3973,"USD","SOFR",I3973,J3973,0,"Actual360","Simple","Annual","Annual","Annual")</f>
        <v>QSObject:Swap:w1~swap.3971:13912</v>
      </c>
      <c r="F3973" s="6" t="str">
        <f>_xll.QS.TRADE.CREATE("trade.3971",E3973,A3973,"Receive")</f>
        <v>QSObject:SwapTrade:w1~trade.3971:27872</v>
      </c>
      <c r="G3973" s="3">
        <f>_xll.QS.EVALUATE(C3973,F3973)</f>
        <v>32786.650466656312</v>
      </c>
      <c r="H3973" s="5" t="s">
        <v>4013</v>
      </c>
      <c r="I3973" s="7">
        <v>1397100</v>
      </c>
      <c r="J3973" s="8">
        <v>3.7100000000000001E-2</v>
      </c>
    </row>
    <row r="3974" spans="1:10" x14ac:dyDescent="0.25">
      <c r="A3974" s="5" t="s">
        <v>4007</v>
      </c>
      <c r="B3974" s="5" t="s">
        <v>5841</v>
      </c>
      <c r="C3974" s="6" t="str">
        <f>_xll.QS.CONTEXT.CREATE("market.3972",A3974,"USD","SOFR")</f>
        <v>QSObject:PricingContext:w1~market.3972:13911</v>
      </c>
      <c r="D3974" s="6" t="str">
        <f>_xll.QS.CONTEXT.ADD.CURVE(C3974,"SOFR",$K$2:$K$7,$L$2:$L$7,,,"Actual360","LogLinear",TRUE)</f>
        <v>QSObject:ContextInput:w1~input.qs_context_add_curve.2359132437744.3973.3.0:36588</v>
      </c>
      <c r="E3974" s="6" t="str">
        <f>_xll.QS.INSTRUMENT.SWAP("swap.3972",H3974,B3974,"USD","SOFR",I3974,J3974,0,"Actual360","Simple","Annual","Annual","Annual")</f>
        <v>QSObject:Swap:w1~swap.3972:13910</v>
      </c>
      <c r="F3974" s="6" t="str">
        <f>_xll.QS.TRADE.CREATE("trade.3972",E3974,A3974,"Receive")</f>
        <v>QSObject:SwapTrade:w1~trade.3972:27871</v>
      </c>
      <c r="G3974" s="3">
        <f>_xll.QS.EVALUATE(C3974,F3974)</f>
        <v>33473.30440950553</v>
      </c>
      <c r="H3974" s="5" t="s">
        <v>4014</v>
      </c>
      <c r="I3974" s="7">
        <v>1397200</v>
      </c>
      <c r="J3974" s="8">
        <v>3.7199999999999997E-2</v>
      </c>
    </row>
    <row r="3975" spans="1:10" x14ac:dyDescent="0.25">
      <c r="A3975" s="5" t="s">
        <v>4008</v>
      </c>
      <c r="B3975" s="5" t="s">
        <v>5842</v>
      </c>
      <c r="C3975" s="6" t="str">
        <f>_xll.QS.CONTEXT.CREATE("market.3973",A3975,"USD","SOFR")</f>
        <v>QSObject:PricingContext:w1~market.3973:13909</v>
      </c>
      <c r="D3975" s="6" t="str">
        <f>_xll.QS.CONTEXT.ADD.CURVE(C3975,"SOFR",$K$2:$K$7,$L$2:$L$7,,,"Actual360","LogLinear",TRUE)</f>
        <v>QSObject:ContextInput:w1~input.qs_context_add_curve.2359132437744.3974.3.0:36587</v>
      </c>
      <c r="E3975" s="6" t="str">
        <f>_xll.QS.INSTRUMENT.SWAP("swap.3973",H3975,B3975,"USD","SOFR",I3975,J3975,0,"Actual360","Simple","Annual","Annual","Annual")</f>
        <v>QSObject:Swap:w1~swap.3973:13908</v>
      </c>
      <c r="F3975" s="6" t="str">
        <f>_xll.QS.TRADE.CREATE("trade.3973",E3975,A3975,"Receive")</f>
        <v>QSObject:SwapTrade:w1~trade.3973:27870</v>
      </c>
      <c r="G3975" s="3">
        <f>_xll.QS.EVALUATE(C3975,F3975)</f>
        <v>34052.32932729293</v>
      </c>
      <c r="H3975" s="5" t="s">
        <v>4015</v>
      </c>
      <c r="I3975" s="7">
        <v>1397300</v>
      </c>
      <c r="J3975" s="8">
        <v>3.73E-2</v>
      </c>
    </row>
    <row r="3976" spans="1:10" x14ac:dyDescent="0.25">
      <c r="A3976" s="5" t="s">
        <v>4009</v>
      </c>
      <c r="B3976" s="5" t="s">
        <v>5843</v>
      </c>
      <c r="C3976" s="6" t="str">
        <f>_xll.QS.CONTEXT.CREATE("market.3974",A3976,"USD","SOFR")</f>
        <v>QSObject:PricingContext:w1~market.3974:13907</v>
      </c>
      <c r="D3976" s="6" t="str">
        <f>_xll.QS.CONTEXT.ADD.CURVE(C3976,"SOFR",$K$2:$K$7,$L$2:$L$7,,,"Actual360","LogLinear",TRUE)</f>
        <v>QSObject:ContextInput:w1~input.qs_context_add_curve.2359132437744.3975.3.0:36586</v>
      </c>
      <c r="E3976" s="6" t="str">
        <f>_xll.QS.INSTRUMENT.SWAP("swap.3974",H3976,B3976,"USD","SOFR",I3976,J3976,0,"Actual360","Simple","Annual","Annual","Annual")</f>
        <v>QSObject:Swap:w1~swap.3974:13906</v>
      </c>
      <c r="F3976" s="6" t="str">
        <f>_xll.QS.TRADE.CREATE("trade.3974",E3976,A3976,"Receive")</f>
        <v>QSObject:SwapTrade:w1~trade.3974:27869</v>
      </c>
      <c r="G3976" s="3">
        <f>_xll.QS.EVALUATE(C3976,F3976)</f>
        <v>34635.483132286034</v>
      </c>
      <c r="H3976" s="5" t="s">
        <v>4016</v>
      </c>
      <c r="I3976" s="7">
        <v>1397400</v>
      </c>
      <c r="J3976" s="8">
        <v>3.7400000000000003E-2</v>
      </c>
    </row>
    <row r="3977" spans="1:10" x14ac:dyDescent="0.25">
      <c r="A3977" s="5" t="s">
        <v>4010</v>
      </c>
      <c r="B3977" s="5" t="s">
        <v>5844</v>
      </c>
      <c r="C3977" s="6" t="str">
        <f>_xll.QS.CONTEXT.CREATE("market.3975",A3977,"USD","SOFR")</f>
        <v>QSObject:PricingContext:w1~market.3975:13905</v>
      </c>
      <c r="D3977" s="6" t="str">
        <f>_xll.QS.CONTEXT.ADD.CURVE(C3977,"SOFR",$K$2:$K$7,$L$2:$L$7,,,"Actual360","LogLinear",TRUE)</f>
        <v>QSObject:ContextInput:w1~input.qs_context_add_curve.2359132437744.3976.3.0:36585</v>
      </c>
      <c r="E3977" s="6" t="str">
        <f>_xll.QS.INSTRUMENT.SWAP("swap.3975",H3977,B3977,"USD","SOFR",I3977,J3977,0,"Actual360","Simple","Annual","Annual","Annual")</f>
        <v>QSObject:Swap:w1~swap.3975:13904</v>
      </c>
      <c r="F3977" s="6" t="str">
        <f>_xll.QS.TRADE.CREATE("trade.3975",E3977,A3977,"Receive")</f>
        <v>QSObject:SwapTrade:w1~trade.3975:27868</v>
      </c>
      <c r="G3977" s="3">
        <f>_xll.QS.EVALUATE(C3977,F3977)</f>
        <v>35177.822146703358</v>
      </c>
      <c r="H3977" s="5" t="s">
        <v>4017</v>
      </c>
      <c r="I3977" s="7">
        <v>1397500</v>
      </c>
      <c r="J3977" s="8">
        <v>3.7500000000000012E-2</v>
      </c>
    </row>
    <row r="3978" spans="1:10" x14ac:dyDescent="0.25">
      <c r="A3978" s="5" t="s">
        <v>4011</v>
      </c>
      <c r="B3978" s="5" t="s">
        <v>5845</v>
      </c>
      <c r="C3978" s="6" t="str">
        <f>_xll.QS.CONTEXT.CREATE("market.3976",A3978,"USD","SOFR")</f>
        <v>QSObject:PricingContext:w1~market.3976:13903</v>
      </c>
      <c r="D3978" s="6" t="str">
        <f>_xll.QS.CONTEXT.ADD.CURVE(C3978,"SOFR",$K$2:$K$7,$L$2:$L$7,,,"Actual360","LogLinear",TRUE)</f>
        <v>QSObject:ContextInput:w1~input.qs_context_add_curve.2359132437744.3977.3.0:36584</v>
      </c>
      <c r="E3978" s="6" t="str">
        <f>_xll.QS.INSTRUMENT.SWAP("swap.3976",H3978,B3978,"USD","SOFR",I3978,J3978,0,"Actual360","Simple","Annual","Annual","Annual")</f>
        <v>QSObject:Swap:w1~swap.3976:13902</v>
      </c>
      <c r="F3978" s="6" t="str">
        <f>_xll.QS.TRADE.CREATE("trade.3976",E3978,A3978,"Receive")</f>
        <v>QSObject:SwapTrade:w1~trade.3976:27867</v>
      </c>
      <c r="G3978" s="3">
        <f>_xll.QS.EVALUATE(C3978,F3978)</f>
        <v>35934.277998109421</v>
      </c>
      <c r="H3978" s="5" t="s">
        <v>4018</v>
      </c>
      <c r="I3978" s="7">
        <v>1397600</v>
      </c>
      <c r="J3978" s="8">
        <v>3.7600000000000001E-2</v>
      </c>
    </row>
    <row r="3979" spans="1:10" x14ac:dyDescent="0.25">
      <c r="A3979" s="5" t="s">
        <v>4012</v>
      </c>
      <c r="B3979" s="5" t="s">
        <v>5846</v>
      </c>
      <c r="C3979" s="6" t="str">
        <f>_xll.QS.CONTEXT.CREATE("market.3977",A3979,"USD","SOFR")</f>
        <v>QSObject:PricingContext:w1~market.3977:13901</v>
      </c>
      <c r="D3979" s="6" t="str">
        <f>_xll.QS.CONTEXT.ADD.CURVE(C3979,"SOFR",$K$2:$K$7,$L$2:$L$7,,,"Actual360","LogLinear",TRUE)</f>
        <v>QSObject:ContextInput:w1~input.qs_context_add_curve.2359132437744.3978.3.0:36583</v>
      </c>
      <c r="E3979" s="6" t="str">
        <f>_xll.QS.INSTRUMENT.SWAP("swap.3977",H3979,B3979,"USD","SOFR",I3979,J3979,0,"Actual360","Simple","Annual","Annual","Annual")</f>
        <v>QSObject:Swap:w1~swap.3977:13900</v>
      </c>
      <c r="F3979" s="6" t="str">
        <f>_xll.QS.TRADE.CREATE("trade.3977",E3979,A3979,"Receive")</f>
        <v>QSObject:SwapTrade:w1~trade.3977:27866</v>
      </c>
      <c r="G3979" s="3">
        <f>_xll.QS.EVALUATE(C3979,F3979)</f>
        <v>36725.314541286083</v>
      </c>
      <c r="H3979" s="5" t="s">
        <v>4019</v>
      </c>
      <c r="I3979" s="7">
        <v>1397700</v>
      </c>
      <c r="J3979" s="8">
        <v>3.7699999999999997E-2</v>
      </c>
    </row>
    <row r="3980" spans="1:10" x14ac:dyDescent="0.25">
      <c r="A3980" s="5" t="s">
        <v>4013</v>
      </c>
      <c r="B3980" s="5" t="s">
        <v>5847</v>
      </c>
      <c r="C3980" s="6" t="str">
        <f>_xll.QS.CONTEXT.CREATE("market.3978",A3980,"USD","SOFR")</f>
        <v>QSObject:PricingContext:w1~market.3978:13899</v>
      </c>
      <c r="D3980" s="6" t="str">
        <f>_xll.QS.CONTEXT.ADD.CURVE(C3980,"SOFR",$K$2:$K$7,$L$2:$L$7,,,"Actual360","LogLinear",TRUE)</f>
        <v>QSObject:ContextInput:w1~input.qs_context_add_curve.2359132437744.3979.3.0:36582</v>
      </c>
      <c r="E3980" s="6" t="str">
        <f>_xll.QS.INSTRUMENT.SWAP("swap.3978",H3980,B3980,"USD","SOFR",I3980,J3980,0,"Actual360","Simple","Annual","Annual","Annual")</f>
        <v>QSObject:Swap:w1~swap.3978:13898</v>
      </c>
      <c r="F3980" s="6" t="str">
        <f>_xll.QS.TRADE.CREATE("trade.3978",E3980,A3980,"Receive")</f>
        <v>QSObject:SwapTrade:w1~trade.3978:27865</v>
      </c>
      <c r="G3980" s="3">
        <f>_xll.QS.EVALUATE(C3980,F3980)</f>
        <v>37380.201318315245</v>
      </c>
      <c r="H3980" s="5" t="s">
        <v>4020</v>
      </c>
      <c r="I3980" s="7">
        <v>1397800</v>
      </c>
      <c r="J3980" s="8">
        <v>3.78E-2</v>
      </c>
    </row>
    <row r="3981" spans="1:10" x14ac:dyDescent="0.25">
      <c r="A3981" s="5" t="s">
        <v>4014</v>
      </c>
      <c r="B3981" s="5" t="s">
        <v>5848</v>
      </c>
      <c r="C3981" s="6" t="str">
        <f>_xll.QS.CONTEXT.CREATE("market.3979",A3981,"USD","SOFR")</f>
        <v>QSObject:PricingContext:w1~market.3979:13897</v>
      </c>
      <c r="D3981" s="6" t="str">
        <f>_xll.QS.CONTEXT.ADD.CURVE(C3981,"SOFR",$K$2:$K$7,$L$2:$L$7,,,"Actual360","LogLinear",TRUE)</f>
        <v>QSObject:ContextInput:w1~input.qs_context_add_curve.2359132437744.3980.3.0:36581</v>
      </c>
      <c r="E3981" s="6" t="str">
        <f>_xll.QS.INSTRUMENT.SWAP("swap.3979",H3981,B3981,"USD","SOFR",I3981,J3981,0,"Actual360","Simple","Annual","Annual","Annual")</f>
        <v>QSObject:Swap:w1~swap.3979:13896</v>
      </c>
      <c r="F3981" s="6" t="str">
        <f>_xll.QS.TRADE.CREATE("trade.3979",E3981,A3981,"Receive")</f>
        <v>QSObject:SwapTrade:w1~trade.3979:27864</v>
      </c>
      <c r="G3981" s="3">
        <f>_xll.QS.EVALUATE(C3981,F3981)</f>
        <v>38023.624915692373</v>
      </c>
      <c r="H3981" s="5" t="s">
        <v>4021</v>
      </c>
      <c r="I3981" s="7">
        <v>1397900</v>
      </c>
      <c r="J3981" s="8">
        <v>3.7900000000000003E-2</v>
      </c>
    </row>
    <row r="3982" spans="1:10" x14ac:dyDescent="0.25">
      <c r="A3982" s="5" t="s">
        <v>4015</v>
      </c>
      <c r="B3982" s="5" t="s">
        <v>5849</v>
      </c>
      <c r="C3982" s="6" t="str">
        <f>_xll.QS.CONTEXT.CREATE("market.3980",A3982,"USD","SOFR")</f>
        <v>QSObject:PricingContext:w1~market.3980:13895</v>
      </c>
      <c r="D3982" s="6" t="str">
        <f>_xll.QS.CONTEXT.ADD.CURVE(C3982,"SOFR",$K$2:$K$7,$L$2:$L$7,,,"Actual360","LogLinear",TRUE)</f>
        <v>QSObject:ContextInput:w1~input.qs_context_add_curve.2359132437744.3981.3.0:36580</v>
      </c>
      <c r="E3982" s="6" t="str">
        <f>_xll.QS.INSTRUMENT.SWAP("swap.3980",H3982,B3982,"USD","SOFR",I3982,J3982,0,"Actual360","Simple","Annual","Annual","Annual")</f>
        <v>QSObject:Swap:w1~swap.3980:13894</v>
      </c>
      <c r="F3982" s="6" t="str">
        <f>_xll.QS.TRADE.CREATE("trade.3980",E3982,A3982,"Receive")</f>
        <v>QSObject:SwapTrade:w1~trade.3980:27863</v>
      </c>
      <c r="G3982" s="3">
        <f>_xll.QS.EVALUATE(C3982,F3982)</f>
        <v>38617.346561026498</v>
      </c>
      <c r="H3982" s="5" t="s">
        <v>4022</v>
      </c>
      <c r="I3982" s="7">
        <v>1398000</v>
      </c>
      <c r="J3982" s="8">
        <v>3.8000000000000013E-2</v>
      </c>
    </row>
    <row r="3983" spans="1:10" x14ac:dyDescent="0.25">
      <c r="A3983" s="5" t="s">
        <v>4016</v>
      </c>
      <c r="B3983" s="5" t="s">
        <v>5850</v>
      </c>
      <c r="C3983" s="6" t="str">
        <f>_xll.QS.CONTEXT.CREATE("market.3981",A3983,"USD","SOFR")</f>
        <v>QSObject:PricingContext:w1~market.3981:13893</v>
      </c>
      <c r="D3983" s="6" t="str">
        <f>_xll.QS.CONTEXT.ADD.CURVE(C3983,"SOFR",$K$2:$K$7,$L$2:$L$7,,,"Actual360","LogLinear",TRUE)</f>
        <v>QSObject:ContextInput:w1~input.qs_context_add_curve.2359132437744.3982.3.0:36579</v>
      </c>
      <c r="E3983" s="6" t="str">
        <f>_xll.QS.INSTRUMENT.SWAP("swap.3981",H3983,B3983,"USD","SOFR",I3983,J3983,0,"Actual360","Simple","Annual","Annual","Annual")</f>
        <v>QSObject:Swap:w1~swap.3981:13892</v>
      </c>
      <c r="F3983" s="6" t="str">
        <f>_xll.QS.TRADE.CREATE("trade.3981",E3983,A3983,"Receive")</f>
        <v>QSObject:SwapTrade:w1~trade.3981:27862</v>
      </c>
      <c r="G3983" s="3">
        <f>_xll.QS.EVALUATE(C3983,F3983)</f>
        <v>39159.668453540893</v>
      </c>
      <c r="H3983" s="5" t="s">
        <v>4023</v>
      </c>
      <c r="I3983" s="7">
        <v>1398100</v>
      </c>
      <c r="J3983" s="8">
        <v>3.8100000000000002E-2</v>
      </c>
    </row>
    <row r="3984" spans="1:10" x14ac:dyDescent="0.25">
      <c r="A3984" s="5" t="s">
        <v>4017</v>
      </c>
      <c r="B3984" s="5" t="s">
        <v>5851</v>
      </c>
      <c r="C3984" s="6" t="str">
        <f>_xll.QS.CONTEXT.CREATE("market.3982",A3984,"USD","SOFR")</f>
        <v>QSObject:PricingContext:w1~market.3982:13891</v>
      </c>
      <c r="D3984" s="6" t="str">
        <f>_xll.QS.CONTEXT.ADD.CURVE(C3984,"SOFR",$K$2:$K$7,$L$2:$L$7,,,"Actual360","LogLinear",TRUE)</f>
        <v>QSObject:ContextInput:w1~input.qs_context_add_curve.2359132437744.3983.3.0:36578</v>
      </c>
      <c r="E3984" s="6" t="str">
        <f>_xll.QS.INSTRUMENT.SWAP("swap.3982",H3984,B3984,"USD","SOFR",I3984,J3984,0,"Actual360","Simple","Annual","Annual","Annual")</f>
        <v>QSObject:Swap:w1~swap.3982:13890</v>
      </c>
      <c r="F3984" s="6" t="str">
        <f>_xll.QS.TRADE.CREATE("trade.3982",E3984,A3984,"Receive")</f>
        <v>QSObject:SwapTrade:w1~trade.3982:27861</v>
      </c>
      <c r="G3984" s="3">
        <f>_xll.QS.EVALUATE(C3984,F3984)</f>
        <v>39709.381979304701</v>
      </c>
      <c r="H3984" s="5" t="s">
        <v>4024</v>
      </c>
      <c r="I3984" s="7">
        <v>1398200</v>
      </c>
      <c r="J3984" s="8">
        <v>3.8199999999999998E-2</v>
      </c>
    </row>
    <row r="3985" spans="1:10" x14ac:dyDescent="0.25">
      <c r="A3985" s="5" t="s">
        <v>4018</v>
      </c>
      <c r="B3985" s="5" t="s">
        <v>5852</v>
      </c>
      <c r="C3985" s="6" t="str">
        <f>_xll.QS.CONTEXT.CREATE("market.3983",A3985,"USD","SOFR")</f>
        <v>QSObject:PricingContext:w1~market.3983:13889</v>
      </c>
      <c r="D3985" s="6" t="str">
        <f>_xll.QS.CONTEXT.ADD.CURVE(C3985,"SOFR",$K$2:$K$7,$L$2:$L$7,,,"Actual360","LogLinear",TRUE)</f>
        <v>QSObject:ContextInput:w1~input.qs_context_add_curve.2359132437744.3984.3.0:36577</v>
      </c>
      <c r="E3985" s="6" t="str">
        <f>_xll.QS.INSTRUMENT.SWAP("swap.3983",H3985,B3985,"USD","SOFR",I3985,J3985,0,"Actual360","Simple","Annual","Annual","Annual")</f>
        <v>QSObject:Swap:w1~swap.3983:13888</v>
      </c>
      <c r="F3985" s="6" t="str">
        <f>_xll.QS.TRADE.CREATE("trade.3983",E3985,A3985,"Receive")</f>
        <v>QSObject:SwapTrade:w1~trade.3983:27860</v>
      </c>
      <c r="G3985" s="3">
        <f>_xll.QS.EVALUATE(C3985,F3985)</f>
        <v>40416.418014981035</v>
      </c>
      <c r="H3985" s="5" t="s">
        <v>4025</v>
      </c>
      <c r="I3985" s="7">
        <v>1398300</v>
      </c>
      <c r="J3985" s="8">
        <v>3.8300000000000001E-2</v>
      </c>
    </row>
    <row r="3986" spans="1:10" x14ac:dyDescent="0.25">
      <c r="A3986" s="5" t="s">
        <v>4019</v>
      </c>
      <c r="B3986" s="5" t="s">
        <v>5853</v>
      </c>
      <c r="C3986" s="6" t="str">
        <f>_xll.QS.CONTEXT.CREATE("market.3984",A3986,"USD","SOFR")</f>
        <v>QSObject:PricingContext:w1~market.3984:13887</v>
      </c>
      <c r="D3986" s="6" t="str">
        <f>_xll.QS.CONTEXT.ADD.CURVE(C3986,"SOFR",$K$2:$K$7,$L$2:$L$7,,,"Actual360","LogLinear",TRUE)</f>
        <v>QSObject:ContextInput:w1~input.qs_context_add_curve.2359132437744.3985.3.0:36576</v>
      </c>
      <c r="E3986" s="6" t="str">
        <f>_xll.QS.INSTRUMENT.SWAP("swap.3984",H3986,B3986,"USD","SOFR",I3986,J3986,0,"Actual360","Simple","Annual","Annual","Annual")</f>
        <v>QSObject:Swap:w1~swap.3984:13886</v>
      </c>
      <c r="F3986" s="6" t="str">
        <f>_xll.QS.TRADE.CREATE("trade.3984",E3986,A3986,"Receive")</f>
        <v>QSObject:SwapTrade:w1~trade.3984:27859</v>
      </c>
      <c r="G3986" s="3">
        <f>_xll.QS.EVALUATE(C3986,F3986)</f>
        <v>41097.18712468494</v>
      </c>
      <c r="H3986" s="5" t="s">
        <v>4026</v>
      </c>
      <c r="I3986" s="7">
        <v>1398400</v>
      </c>
      <c r="J3986" s="8">
        <v>3.8399999999999997E-2</v>
      </c>
    </row>
    <row r="3987" spans="1:10" x14ac:dyDescent="0.25">
      <c r="A3987" s="5" t="s">
        <v>4020</v>
      </c>
      <c r="B3987" s="5" t="s">
        <v>5854</v>
      </c>
      <c r="C3987" s="6" t="str">
        <f>_xll.QS.CONTEXT.CREATE("market.3985",A3987,"USD","SOFR")</f>
        <v>QSObject:PricingContext:w1~market.3985:13885</v>
      </c>
      <c r="D3987" s="6" t="str">
        <f>_xll.QS.CONTEXT.ADD.CURVE(C3987,"SOFR",$K$2:$K$7,$L$2:$L$7,,,"Actual360","LogLinear",TRUE)</f>
        <v>QSObject:ContextInput:w1~input.qs_context_add_curve.2359132437744.3986.3.0:36575</v>
      </c>
      <c r="E3987" s="6" t="str">
        <f>_xll.QS.INSTRUMENT.SWAP("swap.3985",H3987,B3987,"USD","SOFR",I3987,J3987,0,"Actual360","Simple","Annual","Annual","Annual")</f>
        <v>QSObject:Swap:w1~swap.3985:13884</v>
      </c>
      <c r="F3987" s="6" t="str">
        <f>_xll.QS.TRADE.CREATE("trade.3985",E3987,A3987,"Receive")</f>
        <v>QSObject:SwapTrade:w1~trade.3985:27858</v>
      </c>
      <c r="G3987" s="3">
        <f>_xll.QS.EVALUATE(C3987,F3987)</f>
        <v>41848.231741660136</v>
      </c>
      <c r="H3987" s="5" t="s">
        <v>4027</v>
      </c>
      <c r="I3987" s="7">
        <v>1398500</v>
      </c>
      <c r="J3987" s="8">
        <v>3.8500000000000013E-2</v>
      </c>
    </row>
    <row r="3988" spans="1:10" x14ac:dyDescent="0.25">
      <c r="A3988" s="5" t="s">
        <v>4021</v>
      </c>
      <c r="B3988" s="5" t="s">
        <v>5855</v>
      </c>
      <c r="C3988" s="6" t="str">
        <f>_xll.QS.CONTEXT.CREATE("market.3986",A3988,"USD","SOFR")</f>
        <v>QSObject:PricingContext:w1~market.3986:13883</v>
      </c>
      <c r="D3988" s="6" t="str">
        <f>_xll.QS.CONTEXT.ADD.CURVE(C3988,"SOFR",$K$2:$K$7,$L$2:$L$7,,,"Actual360","LogLinear",TRUE)</f>
        <v>QSObject:ContextInput:w1~input.qs_context_add_curve.2359132437744.3987.3.0:36574</v>
      </c>
      <c r="E3988" s="6" t="str">
        <f>_xll.QS.INSTRUMENT.SWAP("swap.3986",H3988,B3988,"USD","SOFR",I3988,J3988,0,"Actual360","Simple","Annual","Annual","Annual")</f>
        <v>QSObject:Swap:w1~swap.3986:13882</v>
      </c>
      <c r="F3988" s="6" t="str">
        <f>_xll.QS.TRADE.CREATE("trade.3986",E3988,A3988,"Receive")</f>
        <v>QSObject:SwapTrade:w1~trade.3986:27857</v>
      </c>
      <c r="G3988" s="3">
        <f>_xll.QS.EVALUATE(C3988,F3988)</f>
        <v>42557.363285806605</v>
      </c>
      <c r="H3988" s="5" t="s">
        <v>4028</v>
      </c>
      <c r="I3988" s="7">
        <v>1398600</v>
      </c>
      <c r="J3988" s="8">
        <v>3.8600000000000002E-2</v>
      </c>
    </row>
    <row r="3989" spans="1:10" x14ac:dyDescent="0.25">
      <c r="A3989" s="5" t="s">
        <v>4022</v>
      </c>
      <c r="B3989" s="5" t="s">
        <v>5856</v>
      </c>
      <c r="C3989" s="6" t="str">
        <f>_xll.QS.CONTEXT.CREATE("market.3987",A3989,"USD","SOFR")</f>
        <v>QSObject:PricingContext:w1~market.3987:13881</v>
      </c>
      <c r="D3989" s="6" t="str">
        <f>_xll.QS.CONTEXT.ADD.CURVE(C3989,"SOFR",$K$2:$K$7,$L$2:$L$7,,,"Actual360","LogLinear",TRUE)</f>
        <v>QSObject:ContextInput:w1~input.qs_context_add_curve.2359132437744.3988.3.0:36573</v>
      </c>
      <c r="E3989" s="6" t="str">
        <f>_xll.QS.INSTRUMENT.SWAP("swap.3987",H3989,B3989,"USD","SOFR",I3989,J3989,0,"Actual360","Simple","Annual","Annual","Annual")</f>
        <v>QSObject:Swap:w1~swap.3987:13880</v>
      </c>
      <c r="F3989" s="6" t="str">
        <f>_xll.QS.TRADE.CREATE("trade.3987",E3989,A3989,"Receive")</f>
        <v>QSObject:SwapTrade:w1~trade.3987:27856</v>
      </c>
      <c r="G3989" s="3">
        <f>_xll.QS.EVALUATE(C3989,F3989)</f>
        <v>43151.419912861835</v>
      </c>
      <c r="H3989" s="5" t="s">
        <v>4029</v>
      </c>
      <c r="I3989" s="7">
        <v>1398700</v>
      </c>
      <c r="J3989" s="8">
        <v>3.8700000000000012E-2</v>
      </c>
    </row>
    <row r="3990" spans="1:10" x14ac:dyDescent="0.25">
      <c r="A3990" s="5" t="s">
        <v>4023</v>
      </c>
      <c r="B3990" s="5" t="s">
        <v>5857</v>
      </c>
      <c r="C3990" s="6" t="str">
        <f>_xll.QS.CONTEXT.CREATE("market.3988",A3990,"USD","SOFR")</f>
        <v>QSObject:PricingContext:w1~market.3988:13879</v>
      </c>
      <c r="D3990" s="6" t="str">
        <f>_xll.QS.CONTEXT.ADD.CURVE(C3990,"SOFR",$K$2:$K$7,$L$2:$L$7,,,"Actual360","LogLinear",TRUE)</f>
        <v>QSObject:ContextInput:w1~input.qs_context_add_curve.2359132437744.3989.3.0:36572</v>
      </c>
      <c r="E3990" s="6" t="str">
        <f>_xll.QS.INSTRUMENT.SWAP("swap.3988",H3990,B3990,"USD","SOFR",I3990,J3990,0,"Actual360","Simple","Annual","Annual","Annual")</f>
        <v>QSObject:Swap:w1~swap.3988:13878</v>
      </c>
      <c r="F3990" s="6" t="str">
        <f>_xll.QS.TRADE.CREATE("trade.3988",E3990,A3990,"Receive")</f>
        <v>QSObject:SwapTrade:w1~trade.3988:27855</v>
      </c>
      <c r="G3990" s="3">
        <f>_xll.QS.EVALUATE(C3990,F3990)</f>
        <v>43689.016763484782</v>
      </c>
      <c r="H3990" s="5" t="s">
        <v>4030</v>
      </c>
      <c r="I3990" s="7">
        <v>1398800</v>
      </c>
      <c r="J3990" s="8">
        <v>3.8800000000000001E-2</v>
      </c>
    </row>
    <row r="3991" spans="1:10" x14ac:dyDescent="0.25">
      <c r="A3991" s="5" t="s">
        <v>4024</v>
      </c>
      <c r="B3991" s="5" t="s">
        <v>5858</v>
      </c>
      <c r="C3991" s="6" t="str">
        <f>_xll.QS.CONTEXT.CREATE("market.3989",A3991,"USD","SOFR")</f>
        <v>QSObject:PricingContext:w1~market.3989:13877</v>
      </c>
      <c r="D3991" s="6" t="str">
        <f>_xll.QS.CONTEXT.ADD.CURVE(C3991,"SOFR",$K$2:$K$7,$L$2:$L$7,,,"Actual360","LogLinear",TRUE)</f>
        <v>QSObject:ContextInput:w1~input.qs_context_add_curve.2359132437744.3990.3.0:36571</v>
      </c>
      <c r="E3991" s="6" t="str">
        <f>_xll.QS.INSTRUMENT.SWAP("swap.3989",H3991,B3991,"USD","SOFR",I3991,J3991,0,"Actual360","Simple","Annual","Annual","Annual")</f>
        <v>QSObject:Swap:w1~swap.3989:13876</v>
      </c>
      <c r="F3991" s="6" t="str">
        <f>_xll.QS.TRADE.CREATE("trade.3989",E3991,A3991,"Receive")</f>
        <v>QSObject:SwapTrade:w1~trade.3989:27854</v>
      </c>
      <c r="G3991" s="3">
        <f>_xll.QS.EVALUATE(C3991,F3991)</f>
        <v>44246.468749085907</v>
      </c>
      <c r="H3991" s="5" t="s">
        <v>4031</v>
      </c>
      <c r="I3991" s="7">
        <v>1398900</v>
      </c>
      <c r="J3991" s="8">
        <v>3.8899999999999997E-2</v>
      </c>
    </row>
    <row r="3992" spans="1:10" x14ac:dyDescent="0.25">
      <c r="A3992" s="5" t="s">
        <v>4025</v>
      </c>
      <c r="B3992" s="5" t="s">
        <v>5859</v>
      </c>
      <c r="C3992" s="6" t="str">
        <f>_xll.QS.CONTEXT.CREATE("market.3990",A3992,"USD","SOFR")</f>
        <v>QSObject:PricingContext:w1~market.3990:13875</v>
      </c>
      <c r="D3992" s="6" t="str">
        <f>_xll.QS.CONTEXT.ADD.CURVE(C3992,"SOFR",$K$2:$K$7,$L$2:$L$7,,,"Actual360","LogLinear",TRUE)</f>
        <v>QSObject:ContextInput:w1~input.qs_context_add_curve.2359132437744.3991.3.0:36570</v>
      </c>
      <c r="E3992" s="6" t="str">
        <f>_xll.QS.INSTRUMENT.SWAP("swap.3990",H3992,B3992,"USD","SOFR",I3992,J3992,0,"Actual360","Simple","Annual","Annual","Annual")</f>
        <v>QSObject:Swap:w1~swap.3990:13874</v>
      </c>
      <c r="F3992" s="6" t="str">
        <f>_xll.QS.TRADE.CREATE("trade.3990",E3992,A3992,"Receive")</f>
        <v>QSObject:SwapTrade:w1~trade.3990:27853</v>
      </c>
      <c r="G3992" s="3">
        <f>_xll.QS.EVALUATE(C3992,F3992)</f>
        <v>44954.885780178454</v>
      </c>
      <c r="H3992" s="5" t="s">
        <v>4032</v>
      </c>
      <c r="I3992" s="7">
        <v>1399000</v>
      </c>
      <c r="J3992" s="8">
        <v>3.9000000000000007E-2</v>
      </c>
    </row>
    <row r="3993" spans="1:10" x14ac:dyDescent="0.25">
      <c r="A3993" s="5" t="s">
        <v>4026</v>
      </c>
      <c r="B3993" s="5" t="s">
        <v>5860</v>
      </c>
      <c r="C3993" s="6" t="str">
        <f>_xll.QS.CONTEXT.CREATE("market.3991",A3993,"USD","SOFR")</f>
        <v>QSObject:PricingContext:w1~market.3991:13873</v>
      </c>
      <c r="D3993" s="6" t="str">
        <f>_xll.QS.CONTEXT.ADD.CURVE(C3993,"SOFR",$K$2:$K$7,$L$2:$L$7,,,"Actual360","LogLinear",TRUE)</f>
        <v>QSObject:ContextInput:w1~input.qs_context_add_curve.2359132437744.3992.3.0:36569</v>
      </c>
      <c r="E3993" s="6" t="str">
        <f>_xll.QS.INSTRUMENT.SWAP("swap.3991",H3993,B3993,"USD","SOFR",I3993,J3993,0,"Actual360","Simple","Annual","Annual","Annual")</f>
        <v>QSObject:Swap:w1~swap.3991:13872</v>
      </c>
      <c r="F3993" s="6" t="str">
        <f>_xll.QS.TRADE.CREATE("trade.3991",E3993,A3993,"Receive")</f>
        <v>QSObject:SwapTrade:w1~trade.3991:27852</v>
      </c>
      <c r="G3993" s="3">
        <f>_xll.QS.EVALUATE(C3993,F3993)</f>
        <v>45634.90186129124</v>
      </c>
      <c r="H3993" s="5" t="s">
        <v>4033</v>
      </c>
      <c r="I3993" s="7">
        <v>1399100</v>
      </c>
      <c r="J3993" s="8">
        <v>3.9100000000000003E-2</v>
      </c>
    </row>
    <row r="3994" spans="1:10" x14ac:dyDescent="0.25">
      <c r="A3994" s="5" t="s">
        <v>4027</v>
      </c>
      <c r="B3994" s="5" t="s">
        <v>5861</v>
      </c>
      <c r="C3994" s="6" t="str">
        <f>_xll.QS.CONTEXT.CREATE("market.3992",A3994,"USD","SOFR")</f>
        <v>QSObject:PricingContext:w1~market.3992:13871</v>
      </c>
      <c r="D3994" s="6" t="str">
        <f>_xll.QS.CONTEXT.ADD.CURVE(C3994,"SOFR",$K$2:$K$7,$L$2:$L$7,,,"Actual360","LogLinear",TRUE)</f>
        <v>QSObject:ContextInput:w1~input.qs_context_add_curve.2359132437744.3993.3.0:36568</v>
      </c>
      <c r="E3994" s="6" t="str">
        <f>_xll.QS.INSTRUMENT.SWAP("swap.3992",H3994,B3994,"USD","SOFR",I3994,J3994,0,"Actual360","Simple","Annual","Annual","Annual")</f>
        <v>QSObject:Swap:w1~swap.3992:13870</v>
      </c>
      <c r="F3994" s="6" t="str">
        <f>_xll.QS.TRADE.CREATE("trade.3992",E3994,A3994,"Receive")</f>
        <v>QSObject:SwapTrade:w1~trade.3992:27851</v>
      </c>
      <c r="G3994" s="3">
        <f>_xll.QS.EVALUATE(C3994,F3994)</f>
        <v>46385.75705523217</v>
      </c>
      <c r="H3994" s="5" t="s">
        <v>4034</v>
      </c>
      <c r="I3994" s="7">
        <v>1399200</v>
      </c>
      <c r="J3994" s="8">
        <v>3.9200000000000013E-2</v>
      </c>
    </row>
    <row r="3995" spans="1:10" x14ac:dyDescent="0.25">
      <c r="A3995" s="5" t="s">
        <v>4028</v>
      </c>
      <c r="B3995" s="5" t="s">
        <v>5862</v>
      </c>
      <c r="C3995" s="6" t="str">
        <f>_xll.QS.CONTEXT.CREATE("market.3993",A3995,"USD","SOFR")</f>
        <v>QSObject:PricingContext:w1~market.3993:13869</v>
      </c>
      <c r="D3995" s="6" t="str">
        <f>_xll.QS.CONTEXT.ADD.CURVE(C3995,"SOFR",$K$2:$K$7,$L$2:$L$7,,,"Actual360","LogLinear",TRUE)</f>
        <v>QSObject:ContextInput:w1~input.qs_context_add_curve.2359132437744.3994.3.0:36567</v>
      </c>
      <c r="E3995" s="6" t="str">
        <f>_xll.QS.INSTRUMENT.SWAP("swap.3993",H3995,B3995,"USD","SOFR",I3995,J3995,0,"Actual360","Simple","Annual","Annual","Annual")</f>
        <v>QSObject:Swap:w1~swap.3993:13868</v>
      </c>
      <c r="F3995" s="6" t="str">
        <f>_xll.QS.TRADE.CREATE("trade.3993",E3995,A3995,"Receive")</f>
        <v>QSObject:SwapTrade:w1~trade.3993:27850</v>
      </c>
      <c r="G3995" s="3">
        <f>_xll.QS.EVALUATE(C3995,F3995)</f>
        <v>47095.616681686326</v>
      </c>
      <c r="H3995" s="5" t="s">
        <v>4035</v>
      </c>
      <c r="I3995" s="7">
        <v>1399300</v>
      </c>
      <c r="J3995" s="8">
        <v>3.9300000000000002E-2</v>
      </c>
    </row>
    <row r="3996" spans="1:10" x14ac:dyDescent="0.25">
      <c r="A3996" s="5" t="s">
        <v>4029</v>
      </c>
      <c r="B3996" s="5" t="s">
        <v>5863</v>
      </c>
      <c r="C3996" s="6" t="str">
        <f>_xll.QS.CONTEXT.CREATE("market.3994",A3996,"USD","SOFR")</f>
        <v>QSObject:PricingContext:w1~market.3994:13867</v>
      </c>
      <c r="D3996" s="6" t="str">
        <f>_xll.QS.CONTEXT.ADD.CURVE(C3996,"SOFR",$K$2:$K$7,$L$2:$L$7,,,"Actual360","LogLinear",TRUE)</f>
        <v>QSObject:ContextInput:w1~input.qs_context_add_curve.2359132437744.3995.3.0:36566</v>
      </c>
      <c r="E3996" s="6" t="str">
        <f>_xll.QS.INSTRUMENT.SWAP("swap.3994",H3996,B3996,"USD","SOFR",I3996,J3996,0,"Actual360","Simple","Annual","Annual","Annual")</f>
        <v>QSObject:Swap:w1~swap.3994:13866</v>
      </c>
      <c r="F3996" s="6" t="str">
        <f>_xll.QS.TRADE.CREATE("trade.3994",E3996,A3996,"Receive")</f>
        <v>QSObject:SwapTrade:w1~trade.3994:27849</v>
      </c>
      <c r="G3996" s="3">
        <f>_xll.QS.EVALUATE(C3996,F3996)</f>
        <v>47690.243076519866</v>
      </c>
      <c r="H3996" s="5" t="s">
        <v>4036</v>
      </c>
      <c r="I3996" s="7">
        <v>1399400</v>
      </c>
      <c r="J3996" s="8">
        <v>3.9399999999999998E-2</v>
      </c>
    </row>
    <row r="3997" spans="1:10" x14ac:dyDescent="0.25">
      <c r="A3997" s="5" t="s">
        <v>4030</v>
      </c>
      <c r="B3997" s="5" t="s">
        <v>5864</v>
      </c>
      <c r="C3997" s="6" t="str">
        <f>_xll.QS.CONTEXT.CREATE("market.3995",A3997,"USD","SOFR")</f>
        <v>QSObject:PricingContext:w1~market.3995:13865</v>
      </c>
      <c r="D3997" s="6" t="str">
        <f>_xll.QS.CONTEXT.ADD.CURVE(C3997,"SOFR",$K$2:$K$7,$L$2:$L$7,,,"Actual360","LogLinear",TRUE)</f>
        <v>QSObject:ContextInput:w1~input.qs_context_add_curve.2359132437744.3996.3.0:36565</v>
      </c>
      <c r="E3997" s="6" t="str">
        <f>_xll.QS.INSTRUMENT.SWAP("swap.3995",H3997,B3997,"USD","SOFR",I3997,J3997,0,"Actual360","Simple","Annual","Annual","Annual")</f>
        <v>QSObject:Swap:w1~swap.3995:13864</v>
      </c>
      <c r="F3997" s="6" t="str">
        <f>_xll.QS.TRADE.CREATE("trade.3995",E3997,A3997,"Receive")</f>
        <v>QSObject:SwapTrade:w1~trade.3995:27848</v>
      </c>
      <c r="G3997" s="3">
        <f>_xll.QS.EVALUATE(C3997,F3997)</f>
        <v>48223.110312151497</v>
      </c>
      <c r="H3997" s="5" t="s">
        <v>4037</v>
      </c>
      <c r="I3997" s="7">
        <v>1399500</v>
      </c>
      <c r="J3997" s="8">
        <v>3.9500000000000007E-2</v>
      </c>
    </row>
    <row r="3998" spans="1:10" x14ac:dyDescent="0.25">
      <c r="A3998" s="5" t="s">
        <v>4031</v>
      </c>
      <c r="B3998" s="5" t="s">
        <v>5865</v>
      </c>
      <c r="C3998" s="6" t="str">
        <f>_xll.QS.CONTEXT.CREATE("market.3996",A3998,"USD","SOFR")</f>
        <v>QSObject:PricingContext:w1~market.3996:13863</v>
      </c>
      <c r="D3998" s="6" t="str">
        <f>_xll.QS.CONTEXT.ADD.CURVE(C3998,"SOFR",$K$2:$K$7,$L$2:$L$7,,,"Actual360","LogLinear",TRUE)</f>
        <v>QSObject:ContextInput:w1~input.qs_context_add_curve.2359132437744.3997.3.0:36564</v>
      </c>
      <c r="E3998" s="6" t="str">
        <f>_xll.QS.INSTRUMENT.SWAP("swap.3996",H3998,B3998,"USD","SOFR",I3998,J3998,0,"Actual360","Simple","Annual","Annual","Annual")</f>
        <v>QSObject:Swap:w1~swap.3996:13862</v>
      </c>
      <c r="F3998" s="6" t="str">
        <f>_xll.QS.TRADE.CREATE("trade.3996",E3998,A3998,"Receive")</f>
        <v>QSObject:SwapTrade:w1~trade.3996:27847</v>
      </c>
      <c r="G3998" s="3">
        <f>_xll.QS.EVALUATE(C3998,F3998)</f>
        <v>48788.166284085186</v>
      </c>
      <c r="H3998" s="5" t="s">
        <v>4038</v>
      </c>
      <c r="I3998" s="7">
        <v>1399600</v>
      </c>
      <c r="J3998" s="8">
        <v>3.9600000000000003E-2</v>
      </c>
    </row>
    <row r="3999" spans="1:10" x14ac:dyDescent="0.25">
      <c r="A3999" s="5" t="s">
        <v>4032</v>
      </c>
      <c r="B3999" s="5" t="s">
        <v>5866</v>
      </c>
      <c r="C3999" s="6" t="str">
        <f>_xll.QS.CONTEXT.CREATE("market.3997",A3999,"USD","SOFR")</f>
        <v>QSObject:PricingContext:w1~market.3997:13861</v>
      </c>
      <c r="D3999" s="6" t="str">
        <f>_xll.QS.CONTEXT.ADD.CURVE(C3999,"SOFR",$K$2:$K$7,$L$2:$L$7,,,"Actual360","LogLinear",TRUE)</f>
        <v>QSObject:ContextInput:w1~input.qs_context_add_curve.2359132437744.3998.3.0:36563</v>
      </c>
      <c r="E3999" s="6" t="str">
        <f>_xll.QS.INSTRUMENT.SWAP("swap.3997",H3999,B3999,"USD","SOFR",I3999,J3999,0,"Actual360","Simple","Annual","Annual","Annual")</f>
        <v>QSObject:Swap:w1~swap.3997:13860</v>
      </c>
      <c r="F3999" s="6" t="str">
        <f>_xll.QS.TRADE.CREATE("trade.3997",E3999,A3999,"Receive")</f>
        <v>QSObject:SwapTrade:w1~trade.3997:27846</v>
      </c>
      <c r="G3999" s="3">
        <f>_xll.QS.EVALUATE(C3999,F3999)</f>
        <v>49497.696789671587</v>
      </c>
      <c r="H3999" s="5" t="s">
        <v>4039</v>
      </c>
      <c r="I3999" s="7">
        <v>1399700</v>
      </c>
      <c r="J3999" s="8">
        <v>3.9700000000000013E-2</v>
      </c>
    </row>
    <row r="4000" spans="1:10" x14ac:dyDescent="0.25">
      <c r="A4000" s="5" t="s">
        <v>4033</v>
      </c>
      <c r="B4000" s="5" t="s">
        <v>5867</v>
      </c>
      <c r="C4000" s="6" t="str">
        <f>_xll.QS.CONTEXT.CREATE("market.3998",A4000,"USD","SOFR")</f>
        <v>QSObject:PricingContext:w1~market.3998:13859</v>
      </c>
      <c r="D4000" s="6" t="str">
        <f>_xll.QS.CONTEXT.ADD.CURVE(C4000,"SOFR",$K$2:$K$7,$L$2:$L$7,,,"Actual360","LogLinear",TRUE)</f>
        <v>QSObject:ContextInput:w1~input.qs_context_add_curve.2359132437744.3999.3.0:36562</v>
      </c>
      <c r="E4000" s="6" t="str">
        <f>_xll.QS.INSTRUMENT.SWAP("swap.3998",H4000,B4000,"USD","SOFR",I4000,J4000,0,"Actual360","Simple","Annual","Annual","Annual")</f>
        <v>QSObject:Swap:w1~swap.3998:13858</v>
      </c>
      <c r="F4000" s="6" t="str">
        <f>_xll.QS.TRADE.CREATE("trade.3998",E4000,A4000,"Receive")</f>
        <v>QSObject:SwapTrade:w1~trade.3998:27845</v>
      </c>
      <c r="G4000" s="3">
        <f>_xll.QS.EVALUATE(C4000,F4000)</f>
        <v>50176.182483266886</v>
      </c>
      <c r="H4000" s="5" t="s">
        <v>4040</v>
      </c>
      <c r="I4000" s="7">
        <v>1399800</v>
      </c>
      <c r="J4000" s="8">
        <v>3.9800000000000002E-2</v>
      </c>
    </row>
    <row r="4001" spans="1:10" x14ac:dyDescent="0.25">
      <c r="A4001" s="5" t="s">
        <v>4034</v>
      </c>
      <c r="B4001" s="5" t="s">
        <v>5868</v>
      </c>
      <c r="C4001" s="6" t="str">
        <f>_xll.QS.CONTEXT.CREATE("market.3999",A4001,"USD","SOFR")</f>
        <v>QSObject:PricingContext:w1~market.3999:13857</v>
      </c>
      <c r="D4001" s="6" t="str">
        <f>_xll.QS.CONTEXT.ADD.CURVE(C4001,"SOFR",$K$2:$K$7,$L$2:$L$7,,,"Actual360","LogLinear",TRUE)</f>
        <v>QSObject:ContextInput:w1~input.qs_context_add_curve.2359132437744.4000.3.0:36561</v>
      </c>
      <c r="E4001" s="6" t="str">
        <f>_xll.QS.INSTRUMENT.SWAP("swap.3999",H4001,B4001,"USD","SOFR",I4001,J4001,0,"Actual360","Simple","Annual","Annual","Annual")</f>
        <v>QSObject:Swap:w1~swap.3999:13856</v>
      </c>
      <c r="F4001" s="6" t="str">
        <f>_xll.QS.TRADE.CREATE("trade.3999",E4001,A4001,"Receive")</f>
        <v>QSObject:SwapTrade:w1~trade.3999:27844</v>
      </c>
      <c r="G4001" s="3">
        <f>_xll.QS.EVALUATE(C4001,F4001)</f>
        <v>50927.801529937038</v>
      </c>
      <c r="H4001" s="5" t="s">
        <v>4041</v>
      </c>
      <c r="I4001" s="7">
        <v>1399900</v>
      </c>
      <c r="J4001" s="8">
        <v>3.9899999999999998E-2</v>
      </c>
    </row>
    <row r="4002" spans="1:10" x14ac:dyDescent="0.25">
      <c r="A4002" s="5" t="s">
        <v>4035</v>
      </c>
      <c r="B4002" s="5" t="s">
        <v>5869</v>
      </c>
      <c r="C4002" s="6" t="str">
        <f>_xll.QS.CONTEXT.CREATE("market.4000",A4002,"USD","SOFR")</f>
        <v>QSObject:PricingContext:w1~market.4000:13855</v>
      </c>
      <c r="D4002" s="6" t="str">
        <f>_xll.QS.CONTEXT.ADD.CURVE(C4002,"SOFR",$K$2:$K$7,$L$2:$L$7,,,"Actual360","LogLinear",TRUE)</f>
        <v>QSObject:ContextInput:w1~input.qs_context_add_curve.2359132437744.4001.3.0:36560</v>
      </c>
      <c r="E4002" s="6" t="str">
        <f>_xll.QS.INSTRUMENT.SWAP("swap.4000",H4002,B4002,"USD","SOFR",I4002,J4002,0,"Actual360","Simple","Annual","Annual","Annual")</f>
        <v>QSObject:Swap:w1~swap.4000:13854</v>
      </c>
      <c r="F4002" s="6" t="str">
        <f>_xll.QS.TRADE.CREATE("trade.4000",E4002,A4002,"Receive")</f>
        <v>QSObject:SwapTrade:w1~trade.4000:27843</v>
      </c>
      <c r="G4002" s="3">
        <f>_xll.QS.EVALUATE(C4002,F4002)</f>
        <v>19358.29628511874</v>
      </c>
      <c r="H4002" s="5" t="s">
        <v>4042</v>
      </c>
      <c r="I4002" s="7">
        <v>1400000</v>
      </c>
      <c r="J4002" s="8">
        <v>3.5000000000000003E-2</v>
      </c>
    </row>
    <row r="4003" spans="1:10" x14ac:dyDescent="0.25">
      <c r="A4003" s="5" t="s">
        <v>4036</v>
      </c>
      <c r="B4003" s="5" t="s">
        <v>5870</v>
      </c>
      <c r="C4003" s="6" t="str">
        <f>_xll.QS.CONTEXT.CREATE("market.4001",A4003,"USD","SOFR")</f>
        <v>QSObject:PricingContext:w1~market.4001:13853</v>
      </c>
      <c r="D4003" s="6" t="str">
        <f>_xll.QS.CONTEXT.ADD.CURVE(C4003,"SOFR",$K$2:$K$7,$L$2:$L$7,,,"Actual360","LogLinear",TRUE)</f>
        <v>QSObject:ContextInput:w1~input.qs_context_add_curve.2359132437744.4002.3.0:36559</v>
      </c>
      <c r="E4003" s="6" t="str">
        <f>_xll.QS.INSTRUMENT.SWAP("swap.4001",H4003,B4003,"USD","SOFR",I4003,J4003,0,"Actual360","Simple","Annual","Annual","Annual")</f>
        <v>QSObject:Swap:w1~swap.4001:13852</v>
      </c>
      <c r="F4003" s="6" t="str">
        <f>_xll.QS.TRADE.CREATE("trade.4001",E4003,A4003,"Receive")</f>
        <v>QSObject:SwapTrade:w1~trade.4001:27842</v>
      </c>
      <c r="G4003" s="3">
        <f>_xll.QS.EVALUATE(C4003,F4003)</f>
        <v>19951.535528752393</v>
      </c>
      <c r="H4003" s="5" t="s">
        <v>4043</v>
      </c>
      <c r="I4003" s="7">
        <v>1400100</v>
      </c>
      <c r="J4003" s="8">
        <v>3.5100000000000013E-2</v>
      </c>
    </row>
    <row r="4004" spans="1:10" x14ac:dyDescent="0.25">
      <c r="A4004" s="5" t="s">
        <v>4037</v>
      </c>
      <c r="B4004" s="5" t="s">
        <v>5871</v>
      </c>
      <c r="C4004" s="6" t="str">
        <f>_xll.QS.CONTEXT.CREATE("market.4002",A4004,"USD","SOFR")</f>
        <v>QSObject:PricingContext:w1~market.4002:13851</v>
      </c>
      <c r="D4004" s="6" t="str">
        <f>_xll.QS.CONTEXT.ADD.CURVE(C4004,"SOFR",$K$2:$K$7,$L$2:$L$7,,,"Actual360","LogLinear",TRUE)</f>
        <v>QSObject:ContextInput:w1~input.qs_context_add_curve.2359132437744.4003.3.0:36558</v>
      </c>
      <c r="E4004" s="6" t="str">
        <f>_xll.QS.INSTRUMENT.SWAP("swap.4002",H4004,B4004,"USD","SOFR",I4004,J4004,0,"Actual360","Simple","Annual","Annual","Annual")</f>
        <v>QSObject:Swap:w1~swap.4002:13850</v>
      </c>
      <c r="F4004" s="6" t="str">
        <f>_xll.QS.TRADE.CREATE("trade.4002",E4004,A4004,"Receive")</f>
        <v>QSObject:SwapTrade:w1~trade.4002:27841</v>
      </c>
      <c r="G4004" s="3">
        <f>_xll.QS.EVALUATE(C4004,F4004)</f>
        <v>20501.357284199446</v>
      </c>
      <c r="H4004" s="5" t="s">
        <v>4044</v>
      </c>
      <c r="I4004" s="7">
        <v>1400200</v>
      </c>
      <c r="J4004" s="8">
        <v>3.5200000000000002E-2</v>
      </c>
    </row>
    <row r="4005" spans="1:10" x14ac:dyDescent="0.25">
      <c r="A4005" s="5" t="s">
        <v>4038</v>
      </c>
      <c r="B4005" s="5" t="s">
        <v>5872</v>
      </c>
      <c r="C4005" s="6" t="str">
        <f>_xll.QS.CONTEXT.CREATE("market.4003",A4005,"USD","SOFR")</f>
        <v>QSObject:PricingContext:w1~market.4003:13849</v>
      </c>
      <c r="D4005" s="6" t="str">
        <f>_xll.QS.CONTEXT.ADD.CURVE(C4005,"SOFR",$K$2:$K$7,$L$2:$L$7,,,"Actual360","LogLinear",TRUE)</f>
        <v>QSObject:ContextInput:w1~input.qs_context_add_curve.2359132437744.4004.3.0:36557</v>
      </c>
      <c r="E4005" s="6" t="str">
        <f>_xll.QS.INSTRUMENT.SWAP("swap.4003",H4005,B4005,"USD","SOFR",I4005,J4005,0,"Actual360","Simple","Annual","Annual","Annual")</f>
        <v>QSObject:Swap:w1~swap.4003:13848</v>
      </c>
      <c r="F4005" s="6" t="str">
        <f>_xll.QS.TRADE.CREATE("trade.4003",E4005,A4005,"Receive")</f>
        <v>QSObject:SwapTrade:w1~trade.4003:27840</v>
      </c>
      <c r="G4005" s="3">
        <f>_xll.QS.EVALUATE(C4005,F4005)</f>
        <v>20978.558334271147</v>
      </c>
      <c r="H4005" s="5" t="s">
        <v>4045</v>
      </c>
      <c r="I4005" s="7">
        <v>1400300</v>
      </c>
      <c r="J4005" s="8">
        <v>3.5299999999999998E-2</v>
      </c>
    </row>
    <row r="4006" spans="1:10" x14ac:dyDescent="0.25">
      <c r="A4006" s="5" t="s">
        <v>4039</v>
      </c>
      <c r="B4006" s="5" t="s">
        <v>5873</v>
      </c>
      <c r="C4006" s="6" t="str">
        <f>_xll.QS.CONTEXT.CREATE("market.4004",A4006,"USD","SOFR")</f>
        <v>QSObject:PricingContext:w1~market.4004:13847</v>
      </c>
      <c r="D4006" s="6" t="str">
        <f>_xll.QS.CONTEXT.ADD.CURVE(C4006,"SOFR",$K$2:$K$7,$L$2:$L$7,,,"Actual360","LogLinear",TRUE)</f>
        <v>QSObject:ContextInput:w1~input.qs_context_add_curve.2359132437744.4005.3.0:36556</v>
      </c>
      <c r="E4006" s="6" t="str">
        <f>_xll.QS.INSTRUMENT.SWAP("swap.4004",H4006,B4006,"USD","SOFR",I4006,J4006,0,"Actual360","Simple","Annual","Annual","Annual")</f>
        <v>QSObject:Swap:w1~swap.4004:13846</v>
      </c>
      <c r="F4006" s="6" t="str">
        <f>_xll.QS.TRADE.CREATE("trade.4004",E4006,A4006,"Receive")</f>
        <v>QSObject:SwapTrade:w1~trade.4004:27839</v>
      </c>
      <c r="G4006" s="3">
        <f>_xll.QS.EVALUATE(C4006,F4006)</f>
        <v>21683.69616583638</v>
      </c>
      <c r="H4006" s="5" t="s">
        <v>4046</v>
      </c>
      <c r="I4006" s="7">
        <v>1400400</v>
      </c>
      <c r="J4006" s="8">
        <v>3.5400000000000001E-2</v>
      </c>
    </row>
    <row r="4007" spans="1:10" x14ac:dyDescent="0.25">
      <c r="A4007" s="5" t="s">
        <v>4040</v>
      </c>
      <c r="B4007" s="5" t="s">
        <v>5874</v>
      </c>
      <c r="C4007" s="6" t="str">
        <f>_xll.QS.CONTEXT.CREATE("market.4005",A4007,"USD","SOFR")</f>
        <v>QSObject:PricingContext:w1~market.4005:13845</v>
      </c>
      <c r="D4007" s="6" t="str">
        <f>_xll.QS.CONTEXT.ADD.CURVE(C4007,"SOFR",$K$2:$K$7,$L$2:$L$7,,,"Actual360","LogLinear",TRUE)</f>
        <v>QSObject:ContextInput:w1~input.qs_context_add_curve.2359132437744.4006.3.0:36555</v>
      </c>
      <c r="E4007" s="6" t="str">
        <f>_xll.QS.INSTRUMENT.SWAP("swap.4005",H4007,B4007,"USD","SOFR",I4007,J4007,0,"Actual360","Simple","Annual","Annual","Annual")</f>
        <v>QSObject:Swap:w1~swap.4005:13844</v>
      </c>
      <c r="F4007" s="6" t="str">
        <f>_xll.QS.TRADE.CREATE("trade.4005",E4007,A4007,"Receive")</f>
        <v>QSObject:SwapTrade:w1~trade.4005:27838</v>
      </c>
      <c r="G4007" s="3">
        <f>_xll.QS.EVALUATE(C4007,F4007)</f>
        <v>22389.37012885321</v>
      </c>
      <c r="H4007" s="5" t="s">
        <v>4047</v>
      </c>
      <c r="I4007" s="7">
        <v>1400500</v>
      </c>
      <c r="J4007" s="8">
        <v>3.5499999999999997E-2</v>
      </c>
    </row>
    <row r="4008" spans="1:10" x14ac:dyDescent="0.25">
      <c r="A4008" s="5" t="s">
        <v>4041</v>
      </c>
      <c r="B4008" s="5" t="s">
        <v>5875</v>
      </c>
      <c r="C4008" s="6" t="str">
        <f>_xll.QS.CONTEXT.CREATE("market.4006",A4008,"USD","SOFR")</f>
        <v>QSObject:PricingContext:w1~market.4006:13843</v>
      </c>
      <c r="D4008" s="6" t="str">
        <f>_xll.QS.CONTEXT.ADD.CURVE(C4008,"SOFR",$K$2:$K$7,$L$2:$L$7,,,"Actual360","LogLinear",TRUE)</f>
        <v>QSObject:ContextInput:w1~input.qs_context_add_curve.2359132437744.4007.3.0:36554</v>
      </c>
      <c r="E4008" s="6" t="str">
        <f>_xll.QS.INSTRUMENT.SWAP("swap.4006",H4008,B4008,"USD","SOFR",I4008,J4008,0,"Actual360","Simple","Annual","Annual","Annual")</f>
        <v>QSObject:Swap:w1~swap.4006:13842</v>
      </c>
      <c r="F4008" s="6" t="str">
        <f>_xll.QS.TRADE.CREATE("trade.4006",E4008,A4008,"Receive")</f>
        <v>QSObject:SwapTrade:w1~trade.4006:27837</v>
      </c>
      <c r="G4008" s="3">
        <f>_xll.QS.EVALUATE(C4008,F4008)</f>
        <v>23232.516798978606</v>
      </c>
      <c r="H4008" s="5" t="s">
        <v>4048</v>
      </c>
      <c r="I4008" s="7">
        <v>1400600</v>
      </c>
      <c r="J4008" s="8">
        <v>3.5600000000000007E-2</v>
      </c>
    </row>
    <row r="4009" spans="1:10" x14ac:dyDescent="0.25">
      <c r="A4009" s="5" t="s">
        <v>4042</v>
      </c>
      <c r="B4009" s="5" t="s">
        <v>5876</v>
      </c>
      <c r="C4009" s="6" t="str">
        <f>_xll.QS.CONTEXT.CREATE("market.4007",A4009,"USD","SOFR")</f>
        <v>QSObject:PricingContext:w1~market.4007:13841</v>
      </c>
      <c r="D4009" s="6" t="str">
        <f>_xll.QS.CONTEXT.ADD.CURVE(C4009,"SOFR",$K$2:$K$7,$L$2:$L$7,,,"Actual360","LogLinear",TRUE)</f>
        <v>QSObject:ContextInput:w1~input.qs_context_add_curve.2359132437744.4008.3.0:36553</v>
      </c>
      <c r="E4009" s="6" t="str">
        <f>_xll.QS.INSTRUMENT.SWAP("swap.4007",H4009,B4009,"USD","SOFR",I4009,J4009,0,"Actual360","Simple","Annual","Annual","Annual")</f>
        <v>QSObject:Swap:w1~swap.4007:13840</v>
      </c>
      <c r="F4009" s="6" t="str">
        <f>_xll.QS.TRADE.CREATE("trade.4007",E4009,A4009,"Receive")</f>
        <v>QSObject:SwapTrade:w1~trade.4007:27836</v>
      </c>
      <c r="G4009" s="3">
        <f>_xll.QS.EVALUATE(C4009,F4009)</f>
        <v>23892.784465468518</v>
      </c>
      <c r="H4009" s="5" t="s">
        <v>4049</v>
      </c>
      <c r="I4009" s="7">
        <v>1400700</v>
      </c>
      <c r="J4009" s="8">
        <v>3.5700000000000003E-2</v>
      </c>
    </row>
    <row r="4010" spans="1:10" x14ac:dyDescent="0.25">
      <c r="A4010" s="5" t="s">
        <v>4043</v>
      </c>
      <c r="B4010" s="5" t="s">
        <v>5877</v>
      </c>
      <c r="C4010" s="6" t="str">
        <f>_xll.QS.CONTEXT.CREATE("market.4008",A4010,"USD","SOFR")</f>
        <v>QSObject:PricingContext:w1~market.4008:13839</v>
      </c>
      <c r="D4010" s="6" t="str">
        <f>_xll.QS.CONTEXT.ADD.CURVE(C4010,"SOFR",$K$2:$K$7,$L$2:$L$7,,,"Actual360","LogLinear",TRUE)</f>
        <v>QSObject:ContextInput:w1~input.qs_context_add_curve.2359132437744.4009.3.0:36552</v>
      </c>
      <c r="E4010" s="6" t="str">
        <f>_xll.QS.INSTRUMENT.SWAP("swap.4008",H4010,B4010,"USD","SOFR",I4010,J4010,0,"Actual360","Simple","Annual","Annual","Annual")</f>
        <v>QSObject:Swap:w1~swap.4008:13838</v>
      </c>
      <c r="F4010" s="6" t="str">
        <f>_xll.QS.TRADE.CREATE("trade.4008",E4010,A4010,"Receive")</f>
        <v>QSObject:SwapTrade:w1~trade.4008:27835</v>
      </c>
      <c r="G4010" s="3">
        <f>_xll.QS.EVALUATE(C4010,F4010)</f>
        <v>24539.710181527509</v>
      </c>
      <c r="H4010" s="5" t="s">
        <v>4050</v>
      </c>
      <c r="I4010" s="7">
        <v>1400800</v>
      </c>
      <c r="J4010" s="8">
        <v>3.5800000000000012E-2</v>
      </c>
    </row>
    <row r="4011" spans="1:10" x14ac:dyDescent="0.25">
      <c r="A4011" s="5" t="s">
        <v>4044</v>
      </c>
      <c r="B4011" s="5" t="s">
        <v>5878</v>
      </c>
      <c r="C4011" s="6" t="str">
        <f>_xll.QS.CONTEXT.CREATE("market.4009",A4011,"USD","SOFR")</f>
        <v>QSObject:PricingContext:w1~market.4009:13837</v>
      </c>
      <c r="D4011" s="6" t="str">
        <f>_xll.QS.CONTEXT.ADD.CURVE(C4011,"SOFR",$K$2:$K$7,$L$2:$L$7,,,"Actual360","LogLinear",TRUE)</f>
        <v>QSObject:ContextInput:w1~input.qs_context_add_curve.2359132437744.4010.3.0:36551</v>
      </c>
      <c r="E4011" s="6" t="str">
        <f>_xll.QS.INSTRUMENT.SWAP("swap.4009",H4011,B4011,"USD","SOFR",I4011,J4011,0,"Actual360","Simple","Annual","Annual","Annual")</f>
        <v>QSObject:Swap:w1~swap.4009:13836</v>
      </c>
      <c r="F4011" s="6" t="str">
        <f>_xll.QS.TRADE.CREATE("trade.4009",E4011,A4011,"Receive")</f>
        <v>QSObject:SwapTrade:w1~trade.4009:27834</v>
      </c>
      <c r="G4011" s="3">
        <f>_xll.QS.EVALUATE(C4011,F4011)</f>
        <v>25148.776887962966</v>
      </c>
      <c r="H4011" s="5" t="s">
        <v>4051</v>
      </c>
      <c r="I4011" s="7">
        <v>1400900</v>
      </c>
      <c r="J4011" s="8">
        <v>3.5900000000000001E-2</v>
      </c>
    </row>
    <row r="4012" spans="1:10" x14ac:dyDescent="0.25">
      <c r="A4012" s="5" t="s">
        <v>4045</v>
      </c>
      <c r="B4012" s="5" t="s">
        <v>5879</v>
      </c>
      <c r="C4012" s="6" t="str">
        <f>_xll.QS.CONTEXT.CREATE("market.4010",A4012,"USD","SOFR")</f>
        <v>QSObject:PricingContext:w1~market.4010:13835</v>
      </c>
      <c r="D4012" s="6" t="str">
        <f>_xll.QS.CONTEXT.ADD.CURVE(C4012,"SOFR",$K$2:$K$7,$L$2:$L$7,,,"Actual360","LogLinear",TRUE)</f>
        <v>QSObject:ContextInput:w1~input.qs_context_add_curve.2359132437744.4011.3.0:36550</v>
      </c>
      <c r="E4012" s="6" t="str">
        <f>_xll.QS.INSTRUMENT.SWAP("swap.4010",H4012,B4012,"USD","SOFR",I4012,J4012,0,"Actual360","Simple","Annual","Annual","Annual")</f>
        <v>QSObject:Swap:w1~swap.4010:13834</v>
      </c>
      <c r="F4012" s="6" t="str">
        <f>_xll.QS.TRADE.CREATE("trade.4010",E4012,A4012,"Receive")</f>
        <v>QSObject:SwapTrade:w1~trade.4010:27833</v>
      </c>
      <c r="G4012" s="3">
        <f>_xll.QS.EVALUATE(C4012,F4012)</f>
        <v>25798.871498151973</v>
      </c>
      <c r="H4012" s="5" t="s">
        <v>4052</v>
      </c>
      <c r="I4012" s="7">
        <v>1401000</v>
      </c>
      <c r="J4012" s="8">
        <v>3.5999999999999997E-2</v>
      </c>
    </row>
    <row r="4013" spans="1:10" x14ac:dyDescent="0.25">
      <c r="A4013" s="5" t="s">
        <v>4046</v>
      </c>
      <c r="B4013" s="5" t="s">
        <v>5880</v>
      </c>
      <c r="C4013" s="6" t="str">
        <f>_xll.QS.CONTEXT.CREATE("market.4011",A4013,"USD","SOFR")</f>
        <v>QSObject:PricingContext:w1~market.4011:13833</v>
      </c>
      <c r="D4013" s="6" t="str">
        <f>_xll.QS.CONTEXT.ADD.CURVE(C4013,"SOFR",$K$2:$K$7,$L$2:$L$7,,,"Actual360","LogLinear",TRUE)</f>
        <v>QSObject:ContextInput:w1~input.qs_context_add_curve.2359132437744.4012.3.0:36549</v>
      </c>
      <c r="E4013" s="6" t="str">
        <f>_xll.QS.INSTRUMENT.SWAP("swap.4011",H4013,B4013,"USD","SOFR",I4013,J4013,0,"Actual360","Simple","Annual","Annual","Annual")</f>
        <v>QSObject:Swap:w1~swap.4011:13832</v>
      </c>
      <c r="F4013" s="6" t="str">
        <f>_xll.QS.TRADE.CREATE("trade.4011",E4013,A4013,"Receive")</f>
        <v>QSObject:SwapTrade:w1~trade.4011:27832</v>
      </c>
      <c r="G4013" s="3">
        <f>_xll.QS.EVALUATE(C4013,F4013)</f>
        <v>26218.941360724719</v>
      </c>
      <c r="H4013" s="5" t="s">
        <v>4053</v>
      </c>
      <c r="I4013" s="7">
        <v>1401100</v>
      </c>
      <c r="J4013" s="8">
        <v>3.61E-2</v>
      </c>
    </row>
    <row r="4014" spans="1:10" x14ac:dyDescent="0.25">
      <c r="A4014" s="5" t="s">
        <v>4047</v>
      </c>
      <c r="B4014" s="5" t="s">
        <v>5881</v>
      </c>
      <c r="C4014" s="6" t="str">
        <f>_xll.QS.CONTEXT.CREATE("market.4012",A4014,"USD","SOFR")</f>
        <v>QSObject:PricingContext:w1~market.4012:13831</v>
      </c>
      <c r="D4014" s="6" t="str">
        <f>_xll.QS.CONTEXT.ADD.CURVE(C4014,"SOFR",$K$2:$K$7,$L$2:$L$7,,,"Actual360","LogLinear",TRUE)</f>
        <v>QSObject:ContextInput:w1~input.qs_context_add_curve.2359132437744.4013.3.0:36548</v>
      </c>
      <c r="E4014" s="6" t="str">
        <f>_xll.QS.INSTRUMENT.SWAP("swap.4012",H4014,B4014,"USD","SOFR",I4014,J4014,0,"Actual360","Simple","Annual","Annual","Annual")</f>
        <v>QSObject:Swap:w1~swap.4012:13830</v>
      </c>
      <c r="F4014" s="6" t="str">
        <f>_xll.QS.TRADE.CREATE("trade.4012",E4014,A4014,"Receive")</f>
        <v>QSObject:SwapTrade:w1~trade.4012:27831</v>
      </c>
      <c r="G4014" s="3">
        <f>_xll.QS.EVALUATE(C4014,F4014)</f>
        <v>26925.739812748296</v>
      </c>
      <c r="H4014" s="5" t="s">
        <v>4054</v>
      </c>
      <c r="I4014" s="7">
        <v>1401200</v>
      </c>
      <c r="J4014" s="8">
        <v>3.6200000000000003E-2</v>
      </c>
    </row>
    <row r="4015" spans="1:10" x14ac:dyDescent="0.25">
      <c r="A4015" s="5" t="s">
        <v>4048</v>
      </c>
      <c r="B4015" s="5" t="s">
        <v>5882</v>
      </c>
      <c r="C4015" s="6" t="str">
        <f>_xll.QS.CONTEXT.CREATE("market.4013",A4015,"USD","SOFR")</f>
        <v>QSObject:PricingContext:w1~market.4013:13829</v>
      </c>
      <c r="D4015" s="6" t="str">
        <f>_xll.QS.CONTEXT.ADD.CURVE(C4015,"SOFR",$K$2:$K$7,$L$2:$L$7,,,"Actual360","LogLinear",TRUE)</f>
        <v>QSObject:ContextInput:w1~input.qs_context_add_curve.2359132437744.4014.3.0:36547</v>
      </c>
      <c r="E4015" s="6" t="str">
        <f>_xll.QS.INSTRUMENT.SWAP("swap.4013",H4015,B4015,"USD","SOFR",I4015,J4015,0,"Actual360","Simple","Annual","Annual","Annual")</f>
        <v>QSObject:Swap:w1~swap.4013:13828</v>
      </c>
      <c r="F4015" s="6" t="str">
        <f>_xll.QS.TRADE.CREATE("trade.4013",E4015,A4015,"Receive")</f>
        <v>QSObject:SwapTrade:w1~trade.4013:27830</v>
      </c>
      <c r="G4015" s="3">
        <f>_xll.QS.EVALUATE(C4015,F4015)</f>
        <v>27769.522843943181</v>
      </c>
      <c r="H4015" s="5" t="s">
        <v>4055</v>
      </c>
      <c r="I4015" s="7">
        <v>1401300</v>
      </c>
      <c r="J4015" s="8">
        <v>3.6300000000000013E-2</v>
      </c>
    </row>
    <row r="4016" spans="1:10" x14ac:dyDescent="0.25">
      <c r="A4016" s="5" t="s">
        <v>4049</v>
      </c>
      <c r="B4016" s="5" t="s">
        <v>5883</v>
      </c>
      <c r="C4016" s="6" t="str">
        <f>_xll.QS.CONTEXT.CREATE("market.4014",A4016,"USD","SOFR")</f>
        <v>QSObject:PricingContext:w1~market.4014:13827</v>
      </c>
      <c r="D4016" s="6" t="str">
        <f>_xll.QS.CONTEXT.ADD.CURVE(C4016,"SOFR",$K$2:$K$7,$L$2:$L$7,,,"Actual360","LogLinear",TRUE)</f>
        <v>QSObject:ContextInput:w1~input.qs_context_add_curve.2359132437744.4015.3.0:36546</v>
      </c>
      <c r="E4016" s="6" t="str">
        <f>_xll.QS.INSTRUMENT.SWAP("swap.4014",H4016,B4016,"USD","SOFR",I4016,J4016,0,"Actual360","Simple","Annual","Annual","Annual")</f>
        <v>QSObject:Swap:w1~swap.4014:13826</v>
      </c>
      <c r="F4016" s="6" t="str">
        <f>_xll.QS.TRADE.CREATE("trade.4014",E4016,A4016,"Receive")</f>
        <v>QSObject:SwapTrade:w1~trade.4014:27829</v>
      </c>
      <c r="G4016" s="3">
        <f>_xll.QS.EVALUATE(C4016,F4016)</f>
        <v>28428.461217653901</v>
      </c>
      <c r="H4016" s="5" t="s">
        <v>4056</v>
      </c>
      <c r="I4016" s="7">
        <v>1401400</v>
      </c>
      <c r="J4016" s="8">
        <v>3.6400000000000002E-2</v>
      </c>
    </row>
    <row r="4017" spans="1:10" x14ac:dyDescent="0.25">
      <c r="A4017" s="5" t="s">
        <v>4050</v>
      </c>
      <c r="B4017" s="5" t="s">
        <v>5884</v>
      </c>
      <c r="C4017" s="6" t="str">
        <f>_xll.QS.CONTEXT.CREATE("market.4015",A4017,"USD","SOFR")</f>
        <v>QSObject:PricingContext:w1~market.4015:13825</v>
      </c>
      <c r="D4017" s="6" t="str">
        <f>_xll.QS.CONTEXT.ADD.CURVE(C4017,"SOFR",$K$2:$K$7,$L$2:$L$7,,,"Actual360","LogLinear",TRUE)</f>
        <v>QSObject:ContextInput:w1~input.qs_context_add_curve.2359132437744.4016.3.0:36545</v>
      </c>
      <c r="E4017" s="6" t="str">
        <f>_xll.QS.INSTRUMENT.SWAP("swap.4015",H4017,B4017,"USD","SOFR",I4017,J4017,0,"Actual360","Simple","Annual","Annual","Annual")</f>
        <v>QSObject:Swap:w1~swap.4015:13824</v>
      </c>
      <c r="F4017" s="6" t="str">
        <f>_xll.QS.TRADE.CREATE("trade.4015",E4017,A4017,"Receive")</f>
        <v>QSObject:SwapTrade:w1~trade.4015:27828</v>
      </c>
      <c r="G4017" s="3">
        <f>_xll.QS.EVALUATE(C4017,F4017)</f>
        <v>29076.043133850711</v>
      </c>
      <c r="H4017" s="5" t="s">
        <v>4057</v>
      </c>
      <c r="I4017" s="7">
        <v>1401500</v>
      </c>
      <c r="J4017" s="8">
        <v>3.6499999999999998E-2</v>
      </c>
    </row>
    <row r="4018" spans="1:10" x14ac:dyDescent="0.25">
      <c r="A4018" s="5" t="s">
        <v>4051</v>
      </c>
      <c r="B4018" s="5" t="s">
        <v>5885</v>
      </c>
      <c r="C4018" s="6" t="str">
        <f>_xll.QS.CONTEXT.CREATE("market.4016",A4018,"USD","SOFR")</f>
        <v>QSObject:PricingContext:w1~market.4016:13823</v>
      </c>
      <c r="D4018" s="6" t="str">
        <f>_xll.QS.CONTEXT.ADD.CURVE(C4018,"SOFR",$K$2:$K$7,$L$2:$L$7,,,"Actual360","LogLinear",TRUE)</f>
        <v>QSObject:ContextInput:w1~input.qs_context_add_curve.2359132437744.4017.3.0:36544</v>
      </c>
      <c r="E4018" s="6" t="str">
        <f>_xll.QS.INSTRUMENT.SWAP("swap.4016",H4018,B4018,"USD","SOFR",I4018,J4018,0,"Actual360","Simple","Annual","Annual","Annual")</f>
        <v>QSObject:Swap:w1~swap.4016:13822</v>
      </c>
      <c r="F4018" s="6" t="str">
        <f>_xll.QS.TRADE.CREATE("trade.4016",E4018,A4018,"Receive")</f>
        <v>QSObject:SwapTrade:w1~trade.4016:27827</v>
      </c>
      <c r="G4018" s="3">
        <f>_xll.QS.EVALUATE(C4018,F4018)</f>
        <v>29630.429016017864</v>
      </c>
      <c r="H4018" s="5" t="s">
        <v>4058</v>
      </c>
      <c r="I4018" s="7">
        <v>1401600</v>
      </c>
      <c r="J4018" s="8">
        <v>3.6600000000000001E-2</v>
      </c>
    </row>
    <row r="4019" spans="1:10" x14ac:dyDescent="0.25">
      <c r="A4019" s="5" t="s">
        <v>4052</v>
      </c>
      <c r="B4019" s="5" t="s">
        <v>5886</v>
      </c>
      <c r="C4019" s="6" t="str">
        <f>_xll.QS.CONTEXT.CREATE("market.4017",A4019,"USD","SOFR")</f>
        <v>QSObject:PricingContext:w1~market.4017:13821</v>
      </c>
      <c r="D4019" s="6" t="str">
        <f>_xll.QS.CONTEXT.ADD.CURVE(C4019,"SOFR",$K$2:$K$7,$L$2:$L$7,,,"Actual360","LogLinear",TRUE)</f>
        <v>QSObject:ContextInput:w1~input.qs_context_add_curve.2359132437744.4018.3.0:36543</v>
      </c>
      <c r="E4019" s="6" t="str">
        <f>_xll.QS.INSTRUMENT.SWAP("swap.4017",H4019,B4019,"USD","SOFR",I4019,J4019,0,"Actual360","Simple","Annual","Annual","Annual")</f>
        <v>QSObject:Swap:w1~swap.4017:13820</v>
      </c>
      <c r="F4019" s="6" t="str">
        <f>_xll.QS.TRADE.CREATE("trade.4017",E4019,A4019,"Receive")</f>
        <v>QSObject:SwapTrade:w1~trade.4017:27826</v>
      </c>
      <c r="G4019" s="3">
        <f>_xll.QS.EVALUATE(C4019,F4019)</f>
        <v>30165.753130529833</v>
      </c>
      <c r="H4019" s="5" t="s">
        <v>4059</v>
      </c>
      <c r="I4019" s="7">
        <v>1401700</v>
      </c>
      <c r="J4019" s="8">
        <v>3.6700000000000003E-2</v>
      </c>
    </row>
    <row r="4020" spans="1:10" x14ac:dyDescent="0.25">
      <c r="A4020" s="5" t="s">
        <v>4053</v>
      </c>
      <c r="B4020" s="5" t="s">
        <v>5887</v>
      </c>
      <c r="C4020" s="6" t="str">
        <f>_xll.QS.CONTEXT.CREATE("market.4018",A4020,"USD","SOFR")</f>
        <v>QSObject:PricingContext:w1~market.4018:13819</v>
      </c>
      <c r="D4020" s="6" t="str">
        <f>_xll.QS.CONTEXT.ADD.CURVE(C4020,"SOFR",$K$2:$K$7,$L$2:$L$7,,,"Actual360","LogLinear",TRUE)</f>
        <v>QSObject:ContextInput:w1~input.qs_context_add_curve.2359132437744.4019.3.0:36542</v>
      </c>
      <c r="E4020" s="6" t="str">
        <f>_xll.QS.INSTRUMENT.SWAP("swap.4018",H4020,B4020,"USD","SOFR",I4020,J4020,0,"Actual360","Simple","Annual","Annual","Annual")</f>
        <v>QSObject:Swap:w1~swap.4018:13818</v>
      </c>
      <c r="F4020" s="6" t="str">
        <f>_xll.QS.TRADE.CREATE("trade.4018",E4020,A4020,"Receive")</f>
        <v>QSObject:SwapTrade:w1~trade.4018:27825</v>
      </c>
      <c r="G4020" s="3">
        <f>_xll.QS.EVALUATE(C4020,F4020)</f>
        <v>30816.833041012513</v>
      </c>
      <c r="H4020" s="5" t="s">
        <v>4060</v>
      </c>
      <c r="I4020" s="7">
        <v>1401800</v>
      </c>
      <c r="J4020" s="8">
        <v>3.6800000000000013E-2</v>
      </c>
    </row>
    <row r="4021" spans="1:10" x14ac:dyDescent="0.25">
      <c r="A4021" s="5" t="s">
        <v>4054</v>
      </c>
      <c r="B4021" s="5" t="s">
        <v>5888</v>
      </c>
      <c r="C4021" s="6" t="str">
        <f>_xll.QS.CONTEXT.CREATE("market.4019",A4021,"USD","SOFR")</f>
        <v>QSObject:PricingContext:w1~market.4019:13817</v>
      </c>
      <c r="D4021" s="6" t="str">
        <f>_xll.QS.CONTEXT.ADD.CURVE(C4021,"SOFR",$K$2:$K$7,$L$2:$L$7,,,"Actual360","LogLinear",TRUE)</f>
        <v>QSObject:ContextInput:w1~input.qs_context_add_curve.2359132437744.4020.3.0:36541</v>
      </c>
      <c r="E4021" s="6" t="str">
        <f>_xll.QS.INSTRUMENT.SWAP("swap.4019",H4021,B4021,"USD","SOFR",I4021,J4021,0,"Actual360","Simple","Annual","Annual","Annual")</f>
        <v>QSObject:Swap:w1~swap.4019:13816</v>
      </c>
      <c r="F4021" s="6" t="str">
        <f>_xll.QS.TRADE.CREATE("trade.4019",E4021,A4021,"Receive")</f>
        <v>QSObject:SwapTrade:w1~trade.4019:27824</v>
      </c>
      <c r="G4021" s="3">
        <f>_xll.QS.EVALUATE(C4021,F4021)</f>
        <v>31504.087953911723</v>
      </c>
      <c r="H4021" s="5" t="s">
        <v>4061</v>
      </c>
      <c r="I4021" s="7">
        <v>1401900</v>
      </c>
      <c r="J4021" s="8">
        <v>3.6900000000000002E-2</v>
      </c>
    </row>
    <row r="4022" spans="1:10" x14ac:dyDescent="0.25">
      <c r="A4022" s="5" t="s">
        <v>4055</v>
      </c>
      <c r="B4022" s="5" t="s">
        <v>5889</v>
      </c>
      <c r="C4022" s="6" t="str">
        <f>_xll.QS.CONTEXT.CREATE("market.4020",A4022,"USD","SOFR")</f>
        <v>QSObject:PricingContext:w1~market.4020:13815</v>
      </c>
      <c r="D4022" s="6" t="str">
        <f>_xll.QS.CONTEXT.ADD.CURVE(C4022,"SOFR",$K$2:$K$7,$L$2:$L$7,,,"Actual360","LogLinear",TRUE)</f>
        <v>QSObject:ContextInput:w1~input.qs_context_add_curve.2359132437744.4021.3.0:36540</v>
      </c>
      <c r="E4022" s="6" t="str">
        <f>_xll.QS.INSTRUMENT.SWAP("swap.4020",H4022,B4022,"USD","SOFR",I4022,J4022,0,"Actual360","Simple","Annual","Annual","Annual")</f>
        <v>QSObject:Swap:w1~swap.4020:13814</v>
      </c>
      <c r="F4022" s="6" t="str">
        <f>_xll.QS.TRADE.CREATE("trade.4020",E4022,A4022,"Receive")</f>
        <v>QSObject:SwapTrade:w1~trade.4020:27823</v>
      </c>
      <c r="G4022" s="3">
        <f>_xll.QS.EVALUATE(C4022,F4022)</f>
        <v>32255.213654952437</v>
      </c>
      <c r="H4022" s="5" t="s">
        <v>4062</v>
      </c>
      <c r="I4022" s="7">
        <v>1402000</v>
      </c>
      <c r="J4022" s="8">
        <v>3.7000000000000012E-2</v>
      </c>
    </row>
    <row r="4023" spans="1:10" x14ac:dyDescent="0.25">
      <c r="A4023" s="5" t="s">
        <v>4056</v>
      </c>
      <c r="B4023" s="5" t="s">
        <v>5890</v>
      </c>
      <c r="C4023" s="6" t="str">
        <f>_xll.QS.CONTEXT.CREATE("market.4021",A4023,"USD","SOFR")</f>
        <v>QSObject:PricingContext:w1~market.4021:13813</v>
      </c>
      <c r="D4023" s="6" t="str">
        <f>_xll.QS.CONTEXT.ADD.CURVE(C4023,"SOFR",$K$2:$K$7,$L$2:$L$7,,,"Actual360","LogLinear",TRUE)</f>
        <v>QSObject:ContextInput:w1~input.qs_context_add_curve.2359132437744.4022.3.0:36539</v>
      </c>
      <c r="E4023" s="6" t="str">
        <f>_xll.QS.INSTRUMENT.SWAP("swap.4021",H4023,B4023,"USD","SOFR",I4023,J4023,0,"Actual360","Simple","Annual","Annual","Annual")</f>
        <v>QSObject:Swap:w1~swap.4021:13812</v>
      </c>
      <c r="F4023" s="6" t="str">
        <f>_xll.QS.TRADE.CREATE("trade.4021",E4023,A4023,"Receive")</f>
        <v>QSObject:SwapTrade:w1~trade.4021:27822</v>
      </c>
      <c r="G4023" s="3">
        <f>_xll.QS.EVALUATE(C4023,F4023)</f>
        <v>32965.309250436505</v>
      </c>
      <c r="H4023" s="5" t="s">
        <v>4063</v>
      </c>
      <c r="I4023" s="7">
        <v>1402100</v>
      </c>
      <c r="J4023" s="8">
        <v>3.7100000000000001E-2</v>
      </c>
    </row>
    <row r="4024" spans="1:10" x14ac:dyDescent="0.25">
      <c r="A4024" s="5" t="s">
        <v>4057</v>
      </c>
      <c r="B4024" s="5" t="s">
        <v>5891</v>
      </c>
      <c r="C4024" s="6" t="str">
        <f>_xll.QS.CONTEXT.CREATE("market.4022",A4024,"USD","SOFR")</f>
        <v>QSObject:PricingContext:w1~market.4022:13811</v>
      </c>
      <c r="D4024" s="6" t="str">
        <f>_xll.QS.CONTEXT.ADD.CURVE(C4024,"SOFR",$K$2:$K$7,$L$2:$L$7,,,"Actual360","LogLinear",TRUE)</f>
        <v>QSObject:ContextInput:w1~input.qs_context_add_curve.2359132437744.4023.3.0:36538</v>
      </c>
      <c r="E4024" s="6" t="str">
        <f>_xll.QS.INSTRUMENT.SWAP("swap.4022",H4024,B4024,"USD","SOFR",I4024,J4024,0,"Actual360","Simple","Annual","Annual","Annual")</f>
        <v>QSObject:Swap:w1~swap.4022:13810</v>
      </c>
      <c r="F4024" s="6" t="str">
        <f>_xll.QS.TRADE.CREATE("trade.4022",E4024,A4024,"Receive")</f>
        <v>QSObject:SwapTrade:w1~trade.4022:27821</v>
      </c>
      <c r="G4024" s="3">
        <f>_xll.QS.EVALUATE(C4024,F4024)</f>
        <v>33560.257881123085</v>
      </c>
      <c r="H4024" s="5" t="s">
        <v>4064</v>
      </c>
      <c r="I4024" s="7">
        <v>1402200</v>
      </c>
      <c r="J4024" s="8">
        <v>3.7199999999999997E-2</v>
      </c>
    </row>
    <row r="4025" spans="1:10" x14ac:dyDescent="0.25">
      <c r="A4025" s="5" t="s">
        <v>4058</v>
      </c>
      <c r="B4025" s="5" t="s">
        <v>5892</v>
      </c>
      <c r="C4025" s="6" t="str">
        <f>_xll.QS.CONTEXT.CREATE("market.4023",A4025,"USD","SOFR")</f>
        <v>QSObject:PricingContext:w1~market.4023:13809</v>
      </c>
      <c r="D4025" s="6" t="str">
        <f>_xll.QS.CONTEXT.ADD.CURVE(C4025,"SOFR",$K$2:$K$7,$L$2:$L$7,,,"Actual360","LogLinear",TRUE)</f>
        <v>QSObject:ContextInput:w1~input.qs_context_add_curve.2359132437744.4024.3.0:36537</v>
      </c>
      <c r="E4025" s="6" t="str">
        <f>_xll.QS.INSTRUMENT.SWAP("swap.4023",H4025,B4025,"USD","SOFR",I4025,J4025,0,"Actual360","Simple","Annual","Annual","Annual")</f>
        <v>QSObject:Swap:w1~swap.4023:13808</v>
      </c>
      <c r="F4025" s="6" t="str">
        <f>_xll.QS.TRADE.CREATE("trade.4023",E4025,A4025,"Receive")</f>
        <v>QSObject:SwapTrade:w1~trade.4023:27820</v>
      </c>
      <c r="G4025" s="3">
        <f>_xll.QS.EVALUATE(C4025,F4025)</f>
        <v>34087.953577341505</v>
      </c>
      <c r="H4025" s="5" t="s">
        <v>4065</v>
      </c>
      <c r="I4025" s="7">
        <v>1402300</v>
      </c>
      <c r="J4025" s="8">
        <v>3.73E-2</v>
      </c>
    </row>
    <row r="4026" spans="1:10" x14ac:dyDescent="0.25">
      <c r="A4026" s="5" t="s">
        <v>4059</v>
      </c>
      <c r="B4026" s="5" t="s">
        <v>5893</v>
      </c>
      <c r="C4026" s="6" t="str">
        <f>_xll.QS.CONTEXT.CREATE("market.4024",A4026,"USD","SOFR")</f>
        <v>QSObject:PricingContext:w1~market.4024:13807</v>
      </c>
      <c r="D4026" s="6" t="str">
        <f>_xll.QS.CONTEXT.ADD.CURVE(C4026,"SOFR",$K$2:$K$7,$L$2:$L$7,,,"Actual360","LogLinear",TRUE)</f>
        <v>QSObject:ContextInput:w1~input.qs_context_add_curve.2359132437744.4025.3.0:36536</v>
      </c>
      <c r="E4026" s="6" t="str">
        <f>_xll.QS.INSTRUMENT.SWAP("swap.4024",H4026,B4026,"USD","SOFR",I4026,J4026,0,"Actual360","Simple","Annual","Annual","Annual")</f>
        <v>QSObject:Swap:w1~swap.4024:13806</v>
      </c>
      <c r="F4026" s="6" t="str">
        <f>_xll.QS.TRADE.CREATE("trade.4024",E4026,A4026,"Receive")</f>
        <v>QSObject:SwapTrade:w1~trade.4024:27819</v>
      </c>
      <c r="G4026" s="3">
        <f>_xll.QS.EVALUATE(C4026,F4026)</f>
        <v>34594.65185715352</v>
      </c>
      <c r="H4026" s="5" t="s">
        <v>4066</v>
      </c>
      <c r="I4026" s="7">
        <v>1402400</v>
      </c>
      <c r="J4026" s="8">
        <v>3.7400000000000003E-2</v>
      </c>
    </row>
    <row r="4027" spans="1:10" x14ac:dyDescent="0.25">
      <c r="A4027" s="5" t="s">
        <v>4060</v>
      </c>
      <c r="B4027" s="5" t="s">
        <v>5894</v>
      </c>
      <c r="C4027" s="6" t="str">
        <f>_xll.QS.CONTEXT.CREATE("market.4025",A4027,"USD","SOFR")</f>
        <v>QSObject:PricingContext:w1~market.4025:13805</v>
      </c>
      <c r="D4027" s="6" t="str">
        <f>_xll.QS.CONTEXT.ADD.CURVE(C4027,"SOFR",$K$2:$K$7,$L$2:$L$7,,,"Actual360","LogLinear",TRUE)</f>
        <v>QSObject:ContextInput:w1~input.qs_context_add_curve.2359132437744.4026.3.0:36535</v>
      </c>
      <c r="E4027" s="6" t="str">
        <f>_xll.QS.INSTRUMENT.SWAP("swap.4025",H4027,B4027,"USD","SOFR",I4027,J4027,0,"Actual360","Simple","Annual","Annual","Annual")</f>
        <v>QSObject:Swap:w1~swap.4025:13804</v>
      </c>
      <c r="F4027" s="6" t="str">
        <f>_xll.QS.TRADE.CREATE("trade.4025",E4027,A4027,"Receive")</f>
        <v>QSObject:SwapTrade:w1~trade.4025:27818</v>
      </c>
      <c r="G4027" s="3">
        <f>_xll.QS.EVALUATE(C4027,F4027)</f>
        <v>35303.088829679677</v>
      </c>
      <c r="H4027" s="5" t="s">
        <v>4067</v>
      </c>
      <c r="I4027" s="7">
        <v>1402500</v>
      </c>
      <c r="J4027" s="8">
        <v>3.7500000000000012E-2</v>
      </c>
    </row>
    <row r="4028" spans="1:10" x14ac:dyDescent="0.25">
      <c r="A4028" s="5" t="s">
        <v>4061</v>
      </c>
      <c r="B4028" s="5" t="s">
        <v>5895</v>
      </c>
      <c r="C4028" s="6" t="str">
        <f>_xll.QS.CONTEXT.CREATE("market.4026",A4028,"USD","SOFR")</f>
        <v>QSObject:PricingContext:w1~market.4026:13803</v>
      </c>
      <c r="D4028" s="6" t="str">
        <f>_xll.QS.CONTEXT.ADD.CURVE(C4028,"SOFR",$K$2:$K$7,$L$2:$L$7,,,"Actual360","LogLinear",TRUE)</f>
        <v>QSObject:ContextInput:w1~input.qs_context_add_curve.2359132437744.4027.3.0:36534</v>
      </c>
      <c r="E4028" s="6" t="str">
        <f>_xll.QS.INSTRUMENT.SWAP("swap.4026",H4028,B4028,"USD","SOFR",I4028,J4028,0,"Actual360","Simple","Annual","Annual","Annual")</f>
        <v>QSObject:Swap:w1~swap.4026:13802</v>
      </c>
      <c r="F4028" s="6" t="str">
        <f>_xll.QS.TRADE.CREATE("trade.4026",E4028,A4028,"Receive")</f>
        <v>QSObject:SwapTrade:w1~trade.4026:27817</v>
      </c>
      <c r="G4028" s="3">
        <f>_xll.QS.EVALUATE(C4028,F4028)</f>
        <v>36011.841989447501</v>
      </c>
      <c r="H4028" s="5" t="s">
        <v>4068</v>
      </c>
      <c r="I4028" s="7">
        <v>1402600</v>
      </c>
      <c r="J4028" s="8">
        <v>3.7600000000000001E-2</v>
      </c>
    </row>
    <row r="4029" spans="1:10" x14ac:dyDescent="0.25">
      <c r="A4029" s="5" t="s">
        <v>4062</v>
      </c>
      <c r="B4029" s="5" t="s">
        <v>5896</v>
      </c>
      <c r="C4029" s="6" t="str">
        <f>_xll.QS.CONTEXT.CREATE("market.4027",A4029,"USD","SOFR")</f>
        <v>QSObject:PricingContext:w1~market.4027:13801</v>
      </c>
      <c r="D4029" s="6" t="str">
        <f>_xll.QS.CONTEXT.ADD.CURVE(C4029,"SOFR",$K$2:$K$7,$L$2:$L$7,,,"Actual360","LogLinear",TRUE)</f>
        <v>QSObject:ContextInput:w1~input.qs_context_add_curve.2359132437744.4028.3.0:36533</v>
      </c>
      <c r="E4029" s="6" t="str">
        <f>_xll.QS.INSTRUMENT.SWAP("swap.4027",H4029,B4029,"USD","SOFR",I4029,J4029,0,"Actual360","Simple","Annual","Annual","Annual")</f>
        <v>QSObject:Swap:w1~swap.4027:13800</v>
      </c>
      <c r="F4029" s="6" t="str">
        <f>_xll.QS.TRADE.CREATE("trade.4027",E4029,A4029,"Receive")</f>
        <v>QSObject:SwapTrade:w1~trade.4027:27816</v>
      </c>
      <c r="G4029" s="3">
        <f>_xll.QS.EVALUATE(C4029,F4029)</f>
        <v>36850.786699379016</v>
      </c>
      <c r="H4029" s="5" t="s">
        <v>4069</v>
      </c>
      <c r="I4029" s="7">
        <v>1402700</v>
      </c>
      <c r="J4029" s="8">
        <v>3.7699999999999997E-2</v>
      </c>
    </row>
    <row r="4030" spans="1:10" x14ac:dyDescent="0.25">
      <c r="A4030" s="5" t="s">
        <v>4063</v>
      </c>
      <c r="B4030" s="5" t="s">
        <v>5897</v>
      </c>
      <c r="C4030" s="6" t="str">
        <f>_xll.QS.CONTEXT.CREATE("market.4028",A4030,"USD","SOFR")</f>
        <v>QSObject:PricingContext:w1~market.4028:13799</v>
      </c>
      <c r="D4030" s="6" t="str">
        <f>_xll.QS.CONTEXT.ADD.CURVE(C4030,"SOFR",$K$2:$K$7,$L$2:$L$7,,,"Actual360","LogLinear",TRUE)</f>
        <v>QSObject:ContextInput:w1~input.qs_context_add_curve.2359132437744.4029.3.0:36532</v>
      </c>
      <c r="E4030" s="6" t="str">
        <f>_xll.QS.INSTRUMENT.SWAP("swap.4028",H4030,B4030,"USD","SOFR",I4030,J4030,0,"Actual360","Simple","Annual","Annual","Annual")</f>
        <v>QSObject:Swap:w1~swap.4028:13798</v>
      </c>
      <c r="F4030" s="6" t="str">
        <f>_xll.QS.TRADE.CREATE("trade.4028",E4030,A4030,"Receive")</f>
        <v>QSObject:SwapTrade:w1~trade.4028:27815</v>
      </c>
      <c r="G4030" s="3">
        <f>_xll.QS.EVALUATE(C4030,F4030)</f>
        <v>37512.997165458444</v>
      </c>
      <c r="H4030" s="5" t="s">
        <v>4070</v>
      </c>
      <c r="I4030" s="7">
        <v>1402800</v>
      </c>
      <c r="J4030" s="8">
        <v>3.78E-2</v>
      </c>
    </row>
    <row r="4031" spans="1:10" x14ac:dyDescent="0.25">
      <c r="A4031" s="5" t="s">
        <v>4064</v>
      </c>
      <c r="B4031" s="5" t="s">
        <v>5898</v>
      </c>
      <c r="C4031" s="6" t="str">
        <f>_xll.QS.CONTEXT.CREATE("market.4029",A4031,"USD","SOFR")</f>
        <v>QSObject:PricingContext:w1~market.4029:13797</v>
      </c>
      <c r="D4031" s="6" t="str">
        <f>_xll.QS.CONTEXT.ADD.CURVE(C4031,"SOFR",$K$2:$K$7,$L$2:$L$7,,,"Actual360","LogLinear",TRUE)</f>
        <v>QSObject:ContextInput:w1~input.qs_context_add_curve.2359132437744.4030.3.0:36531</v>
      </c>
      <c r="E4031" s="6" t="str">
        <f>_xll.QS.INSTRUMENT.SWAP("swap.4029",H4031,B4031,"USD","SOFR",I4031,J4031,0,"Actual360","Simple","Annual","Annual","Annual")</f>
        <v>QSObject:Swap:w1~swap.4029:13796</v>
      </c>
      <c r="F4031" s="6" t="str">
        <f>_xll.QS.TRADE.CREATE("trade.4029",E4031,A4031,"Receive")</f>
        <v>QSObject:SwapTrade:w1~trade.4029:27814</v>
      </c>
      <c r="G4031" s="3">
        <f>_xll.QS.EVALUATE(C4031,F4031)</f>
        <v>38162.292840783019</v>
      </c>
      <c r="H4031" s="5" t="s">
        <v>4071</v>
      </c>
      <c r="I4031" s="7">
        <v>1402900</v>
      </c>
      <c r="J4031" s="8">
        <v>3.7900000000000003E-2</v>
      </c>
    </row>
    <row r="4032" spans="1:10" x14ac:dyDescent="0.25">
      <c r="A4032" s="5" t="s">
        <v>4065</v>
      </c>
      <c r="B4032" s="5" t="s">
        <v>5899</v>
      </c>
      <c r="C4032" s="6" t="str">
        <f>_xll.QS.CONTEXT.CREATE("market.4030",A4032,"USD","SOFR")</f>
        <v>QSObject:PricingContext:w1~market.4030:13795</v>
      </c>
      <c r="D4032" s="6" t="str">
        <f>_xll.QS.CONTEXT.ADD.CURVE(C4032,"SOFR",$K$2:$K$7,$L$2:$L$7,,,"Actual360","LogLinear",TRUE)</f>
        <v>QSObject:ContextInput:w1~input.qs_context_add_curve.2359132437744.4031.3.0:36530</v>
      </c>
      <c r="E4032" s="6" t="str">
        <f>_xll.QS.INSTRUMENT.SWAP("swap.4030",H4032,B4032,"USD","SOFR",I4032,J4032,0,"Actual360","Simple","Annual","Annual","Annual")</f>
        <v>QSObject:Swap:w1~swap.4030:13794</v>
      </c>
      <c r="F4032" s="6" t="str">
        <f>_xll.QS.TRADE.CREATE("trade.4030",E4032,A4032,"Receive")</f>
        <v>QSObject:SwapTrade:w1~trade.4030:27813</v>
      </c>
      <c r="G4032" s="3">
        <f>_xll.QS.EVALUATE(C4032,F4032)</f>
        <v>38707.317633629129</v>
      </c>
      <c r="H4032" s="5" t="s">
        <v>4072</v>
      </c>
      <c r="I4032" s="7">
        <v>1403000</v>
      </c>
      <c r="J4032" s="8">
        <v>3.8000000000000013E-2</v>
      </c>
    </row>
    <row r="4033" spans="1:10" x14ac:dyDescent="0.25">
      <c r="A4033" s="5" t="s">
        <v>4066</v>
      </c>
      <c r="B4033" s="5" t="s">
        <v>5900</v>
      </c>
      <c r="C4033" s="6" t="str">
        <f>_xll.QS.CONTEXT.CREATE("market.4031",A4033,"USD","SOFR")</f>
        <v>QSObject:PricingContext:w1~market.4031:13793</v>
      </c>
      <c r="D4033" s="6" t="str">
        <f>_xll.QS.CONTEXT.ADD.CURVE(C4033,"SOFR",$K$2:$K$7,$L$2:$L$7,,,"Actual360","LogLinear",TRUE)</f>
        <v>QSObject:ContextInput:w1~input.qs_context_add_curve.2359132437744.4032.3.0:36529</v>
      </c>
      <c r="E4033" s="6" t="str">
        <f>_xll.QS.INSTRUMENT.SWAP("swap.4031",H4033,B4033,"USD","SOFR",I4033,J4033,0,"Actual360","Simple","Annual","Annual","Annual")</f>
        <v>QSObject:Swap:w1~swap.4031:13792</v>
      </c>
      <c r="F4033" s="6" t="str">
        <f>_xll.QS.TRADE.CREATE("trade.4031",E4033,A4033,"Receive")</f>
        <v>QSObject:SwapTrade:w1~trade.4031:27812</v>
      </c>
      <c r="G4033" s="3">
        <f>_xll.QS.EVALUATE(C4033,F4033)</f>
        <v>39258.120264421479</v>
      </c>
      <c r="H4033" s="5" t="s">
        <v>4073</v>
      </c>
      <c r="I4033" s="7">
        <v>1403100</v>
      </c>
      <c r="J4033" s="8">
        <v>3.8100000000000002E-2</v>
      </c>
    </row>
    <row r="4034" spans="1:10" x14ac:dyDescent="0.25">
      <c r="A4034" s="5" t="s">
        <v>4067</v>
      </c>
      <c r="B4034" s="5" t="s">
        <v>5901</v>
      </c>
      <c r="C4034" s="6" t="str">
        <f>_xll.QS.CONTEXT.CREATE("market.4032",A4034,"USD","SOFR")</f>
        <v>QSObject:PricingContext:w1~market.4032:13791</v>
      </c>
      <c r="D4034" s="6" t="str">
        <f>_xll.QS.CONTEXT.ADD.CURVE(C4034,"SOFR",$K$2:$K$7,$L$2:$L$7,,,"Actual360","LogLinear",TRUE)</f>
        <v>QSObject:ContextInput:w1~input.qs_context_add_curve.2359132437744.4033.3.0:36528</v>
      </c>
      <c r="E4034" s="6" t="str">
        <f>_xll.QS.INSTRUMENT.SWAP("swap.4032",H4034,B4034,"USD","SOFR",I4034,J4034,0,"Actual360","Simple","Annual","Annual","Annual")</f>
        <v>QSObject:Swap:w1~swap.4032:13790</v>
      </c>
      <c r="F4034" s="6" t="str">
        <f>_xll.QS.TRADE.CREATE("trade.4032",E4034,A4034,"Receive")</f>
        <v>QSObject:SwapTrade:w1~trade.4032:27811</v>
      </c>
      <c r="G4034" s="3">
        <f>_xll.QS.EVALUATE(C4034,F4034)</f>
        <v>39911.180601803811</v>
      </c>
      <c r="H4034" s="5" t="s">
        <v>4074</v>
      </c>
      <c r="I4034" s="7">
        <v>1403200</v>
      </c>
      <c r="J4034" s="8">
        <v>3.8199999999999998E-2</v>
      </c>
    </row>
    <row r="4035" spans="1:10" x14ac:dyDescent="0.25">
      <c r="A4035" s="5" t="s">
        <v>4068</v>
      </c>
      <c r="B4035" s="5" t="s">
        <v>5902</v>
      </c>
      <c r="C4035" s="6" t="str">
        <f>_xll.QS.CONTEXT.CREATE("market.4033",A4035,"USD","SOFR")</f>
        <v>QSObject:PricingContext:w1~market.4033:13789</v>
      </c>
      <c r="D4035" s="6" t="str">
        <f>_xll.QS.CONTEXT.ADD.CURVE(C4035,"SOFR",$K$2:$K$7,$L$2:$L$7,,,"Actual360","LogLinear",TRUE)</f>
        <v>QSObject:ContextInput:w1~input.qs_context_add_curve.2359132437744.4034.3.0:36527</v>
      </c>
      <c r="E4035" s="6" t="str">
        <f>_xll.QS.INSTRUMENT.SWAP("swap.4033",H4035,B4035,"USD","SOFR",I4035,J4035,0,"Actual360","Simple","Annual","Annual","Annual")</f>
        <v>QSObject:Swap:w1~swap.4033:13788</v>
      </c>
      <c r="F4035" s="6" t="str">
        <f>_xll.QS.TRADE.CREATE("trade.4033",E4035,A4035,"Receive")</f>
        <v>QSObject:SwapTrade:w1~trade.4033:27810</v>
      </c>
      <c r="G4035" s="3">
        <f>_xll.QS.EVALUATE(C4035,F4035)</f>
        <v>40595.616931339719</v>
      </c>
      <c r="H4035" s="5" t="s">
        <v>4075</v>
      </c>
      <c r="I4035" s="7">
        <v>1403300</v>
      </c>
      <c r="J4035" s="8">
        <v>3.8300000000000001E-2</v>
      </c>
    </row>
    <row r="4036" spans="1:10" x14ac:dyDescent="0.25">
      <c r="A4036" s="5" t="s">
        <v>4069</v>
      </c>
      <c r="B4036" s="5" t="s">
        <v>5903</v>
      </c>
      <c r="C4036" s="6" t="str">
        <f>_xll.QS.CONTEXT.CREATE("market.4034",A4036,"USD","SOFR")</f>
        <v>QSObject:PricingContext:w1~market.4034:13787</v>
      </c>
      <c r="D4036" s="6" t="str">
        <f>_xll.QS.CONTEXT.ADD.CURVE(C4036,"SOFR",$K$2:$K$7,$L$2:$L$7,,,"Actual360","LogLinear",TRUE)</f>
        <v>QSObject:ContextInput:w1~input.qs_context_add_curve.2359132437744.4035.3.0:36526</v>
      </c>
      <c r="E4036" s="6" t="str">
        <f>_xll.QS.INSTRUMENT.SWAP("swap.4034",H4036,B4036,"USD","SOFR",I4036,J4036,0,"Actual360","Simple","Annual","Annual","Annual")</f>
        <v>QSObject:Swap:w1~swap.4034:13786</v>
      </c>
      <c r="F4036" s="6" t="str">
        <f>_xll.QS.TRADE.CREATE("trade.4034",E4036,A4036,"Receive")</f>
        <v>QSObject:SwapTrade:w1~trade.4034:27809</v>
      </c>
      <c r="G4036" s="3">
        <f>_xll.QS.EVALUATE(C4036,F4036)</f>
        <v>41347.944075676816</v>
      </c>
      <c r="H4036" s="5" t="s">
        <v>4076</v>
      </c>
      <c r="I4036" s="7">
        <v>1403400</v>
      </c>
      <c r="J4036" s="8">
        <v>3.8399999999999997E-2</v>
      </c>
    </row>
    <row r="4037" spans="1:10" x14ac:dyDescent="0.25">
      <c r="A4037" s="5" t="s">
        <v>4070</v>
      </c>
      <c r="B4037" s="5" t="s">
        <v>5904</v>
      </c>
      <c r="C4037" s="6" t="str">
        <f>_xll.QS.CONTEXT.CREATE("market.4035",A4037,"USD","SOFR")</f>
        <v>QSObject:PricingContext:w1~market.4035:13785</v>
      </c>
      <c r="D4037" s="6" t="str">
        <f>_xll.QS.CONTEXT.ADD.CURVE(C4037,"SOFR",$K$2:$K$7,$L$2:$L$7,,,"Actual360","LogLinear",TRUE)</f>
        <v>QSObject:ContextInput:w1~input.qs_context_add_curve.2359132437744.4036.3.0:36525</v>
      </c>
      <c r="E4037" s="6" t="str">
        <f>_xll.QS.INSTRUMENT.SWAP("swap.4035",H4037,B4037,"USD","SOFR",I4037,J4037,0,"Actual360","Simple","Annual","Annual","Annual")</f>
        <v>QSObject:Swap:w1~swap.4035:13784</v>
      </c>
      <c r="F4037" s="6" t="str">
        <f>_xll.QS.TRADE.CREATE("trade.4035",E4037,A4037,"Receive")</f>
        <v>QSObject:SwapTrade:w1~trade.4035:27808</v>
      </c>
      <c r="G4037" s="3">
        <f>_xll.QS.EVALUATE(C4037,F4037)</f>
        <v>42059.247292418884</v>
      </c>
      <c r="H4037" s="5" t="s">
        <v>4077</v>
      </c>
      <c r="I4037" s="7">
        <v>1403500</v>
      </c>
      <c r="J4037" s="8">
        <v>3.8500000000000013E-2</v>
      </c>
    </row>
    <row r="4038" spans="1:10" x14ac:dyDescent="0.25">
      <c r="A4038" s="5" t="s">
        <v>4071</v>
      </c>
      <c r="B4038" s="5" t="s">
        <v>5905</v>
      </c>
      <c r="C4038" s="6" t="str">
        <f>_xll.QS.CONTEXT.CREATE("market.4036",A4038,"USD","SOFR")</f>
        <v>QSObject:PricingContext:w1~market.4036:13783</v>
      </c>
      <c r="D4038" s="6" t="str">
        <f>_xll.QS.CONTEXT.ADD.CURVE(C4038,"SOFR",$K$2:$K$7,$L$2:$L$7,,,"Actual360","LogLinear",TRUE)</f>
        <v>QSObject:ContextInput:w1~input.qs_context_add_curve.2359132437744.4037.3.0:36524</v>
      </c>
      <c r="E4038" s="6" t="str">
        <f>_xll.QS.INSTRUMENT.SWAP("swap.4036",H4038,B4038,"USD","SOFR",I4038,J4038,0,"Actual360","Simple","Annual","Annual","Annual")</f>
        <v>QSObject:Swap:w1~swap.4036:13782</v>
      </c>
      <c r="F4038" s="6" t="str">
        <f>_xll.QS.TRADE.CREATE("trade.4036",E4038,A4038,"Receive")</f>
        <v>QSObject:SwapTrade:w1~trade.4036:27807</v>
      </c>
      <c r="G4038" s="3">
        <f>_xll.QS.EVALUATE(C4038,F4038)</f>
        <v>42655.335270296251</v>
      </c>
      <c r="H4038" s="5" t="s">
        <v>4078</v>
      </c>
      <c r="I4038" s="7">
        <v>1403600</v>
      </c>
      <c r="J4038" s="8">
        <v>3.8600000000000002E-2</v>
      </c>
    </row>
    <row r="4039" spans="1:10" x14ac:dyDescent="0.25">
      <c r="A4039" s="5" t="s">
        <v>4072</v>
      </c>
      <c r="B4039" s="5" t="s">
        <v>5906</v>
      </c>
      <c r="C4039" s="6" t="str">
        <f>_xll.QS.CONTEXT.CREATE("market.4037",A4039,"USD","SOFR")</f>
        <v>QSObject:PricingContext:w1~market.4037:13781</v>
      </c>
      <c r="D4039" s="6" t="str">
        <f>_xll.QS.CONTEXT.ADD.CURVE(C4039,"SOFR",$K$2:$K$7,$L$2:$L$7,,,"Actual360","LogLinear",TRUE)</f>
        <v>QSObject:ContextInput:w1~input.qs_context_add_curve.2359132437744.4038.3.0:36523</v>
      </c>
      <c r="E4039" s="6" t="str">
        <f>_xll.QS.INSTRUMENT.SWAP("swap.4037",H4039,B4039,"USD","SOFR",I4039,J4039,0,"Actual360","Simple","Annual","Annual","Annual")</f>
        <v>QSObject:Swap:w1~swap.4037:13780</v>
      </c>
      <c r="F4039" s="6" t="str">
        <f>_xll.QS.TRADE.CREATE("trade.4037",E4039,A4039,"Receive")</f>
        <v>QSObject:SwapTrade:w1~trade.4037:27806</v>
      </c>
      <c r="G4039" s="3">
        <f>_xll.QS.EVALUATE(C4039,F4039)</f>
        <v>43195.520669144164</v>
      </c>
      <c r="H4039" s="5" t="s">
        <v>4079</v>
      </c>
      <c r="I4039" s="7">
        <v>1403700</v>
      </c>
      <c r="J4039" s="8">
        <v>3.8700000000000012E-2</v>
      </c>
    </row>
    <row r="4040" spans="1:10" x14ac:dyDescent="0.25">
      <c r="A4040" s="5" t="s">
        <v>4073</v>
      </c>
      <c r="B4040" s="5" t="s">
        <v>5907</v>
      </c>
      <c r="C4040" s="6" t="str">
        <f>_xll.QS.CONTEXT.CREATE("market.4038",A4040,"USD","SOFR")</f>
        <v>QSObject:PricingContext:w1~market.4038:13779</v>
      </c>
      <c r="D4040" s="6" t="str">
        <f>_xll.QS.CONTEXT.ADD.CURVE(C4040,"SOFR",$K$2:$K$7,$L$2:$L$7,,,"Actual360","LogLinear",TRUE)</f>
        <v>QSObject:ContextInput:w1~input.qs_context_add_curve.2359132437744.4039.3.0:36522</v>
      </c>
      <c r="E4040" s="6" t="str">
        <f>_xll.QS.INSTRUMENT.SWAP("swap.4038",H4040,B4040,"USD","SOFR",I4040,J4040,0,"Actual360","Simple","Annual","Annual","Annual")</f>
        <v>QSObject:Swap:w1~swap.4038:13778</v>
      </c>
      <c r="F4040" s="6" t="str">
        <f>_xll.QS.TRADE.CREATE("trade.4038",E4040,A4040,"Receive")</f>
        <v>QSObject:SwapTrade:w1~trade.4038:27805</v>
      </c>
      <c r="G4040" s="3">
        <f>_xll.QS.EVALUATE(C4040,F4040)</f>
        <v>43753.864670298703</v>
      </c>
      <c r="H4040" s="5" t="s">
        <v>4080</v>
      </c>
      <c r="I4040" s="7">
        <v>1403800</v>
      </c>
      <c r="J4040" s="8">
        <v>3.8800000000000001E-2</v>
      </c>
    </row>
    <row r="4041" spans="1:10" x14ac:dyDescent="0.25">
      <c r="A4041" s="5" t="s">
        <v>4074</v>
      </c>
      <c r="B4041" s="5" t="s">
        <v>5908</v>
      </c>
      <c r="C4041" s="6" t="str">
        <f>_xll.QS.CONTEXT.CREATE("market.4039",A4041,"USD","SOFR")</f>
        <v>QSObject:PricingContext:w1~market.4039:13777</v>
      </c>
      <c r="D4041" s="6" t="str">
        <f>_xll.QS.CONTEXT.ADD.CURVE(C4041,"SOFR",$K$2:$K$7,$L$2:$L$7,,,"Actual360","LogLinear",TRUE)</f>
        <v>QSObject:ContextInput:w1~input.qs_context_add_curve.2359132437744.4040.3.0:36521</v>
      </c>
      <c r="E4041" s="6" t="str">
        <f>_xll.QS.INSTRUMENT.SWAP("swap.4039",H4041,B4041,"USD","SOFR",I4041,J4041,0,"Actual360","Simple","Annual","Annual","Annual")</f>
        <v>QSObject:Swap:w1~swap.4039:13776</v>
      </c>
      <c r="F4041" s="6" t="str">
        <f>_xll.QS.TRADE.CREATE("trade.4039",E4041,A4041,"Receive")</f>
        <v>QSObject:SwapTrade:w1~trade.4039:27804</v>
      </c>
      <c r="G4041" s="3">
        <f>_xll.QS.EVALUATE(C4041,F4041)</f>
        <v>44464.643010978602</v>
      </c>
      <c r="H4041" s="5" t="s">
        <v>4081</v>
      </c>
      <c r="I4041" s="7">
        <v>1403900</v>
      </c>
      <c r="J4041" s="8">
        <v>3.8899999999999997E-2</v>
      </c>
    </row>
    <row r="4042" spans="1:10" x14ac:dyDescent="0.25">
      <c r="A4042" s="5" t="s">
        <v>4075</v>
      </c>
      <c r="B4042" s="5" t="s">
        <v>5909</v>
      </c>
      <c r="C4042" s="6" t="str">
        <f>_xll.QS.CONTEXT.CREATE("market.4040",A4042,"USD","SOFR")</f>
        <v>QSObject:PricingContext:w1~market.4040:13775</v>
      </c>
      <c r="D4042" s="6" t="str">
        <f>_xll.QS.CONTEXT.ADD.CURVE(C4042,"SOFR",$K$2:$K$7,$L$2:$L$7,,,"Actual360","LogLinear",TRUE)</f>
        <v>QSObject:ContextInput:w1~input.qs_context_add_curve.2359132437744.4041.3.0:36520</v>
      </c>
      <c r="E4042" s="6" t="str">
        <f>_xll.QS.INSTRUMENT.SWAP("swap.4040",H4042,B4042,"USD","SOFR",I4042,J4042,0,"Actual360","Simple","Annual","Annual","Annual")</f>
        <v>QSObject:Swap:w1~swap.4040:13774</v>
      </c>
      <c r="F4042" s="6" t="str">
        <f>_xll.QS.TRADE.CREATE("trade.4040",E4042,A4042,"Receive")</f>
        <v>QSObject:SwapTrade:w1~trade.4040:27803</v>
      </c>
      <c r="G4042" s="3">
        <f>_xll.QS.EVALUATE(C4042,F4042)</f>
        <v>45147.297365887578</v>
      </c>
      <c r="H4042" s="5" t="s">
        <v>4082</v>
      </c>
      <c r="I4042" s="7">
        <v>1404000</v>
      </c>
      <c r="J4042" s="8">
        <v>3.9000000000000007E-2</v>
      </c>
    </row>
    <row r="4043" spans="1:10" x14ac:dyDescent="0.25">
      <c r="A4043" s="5" t="s">
        <v>4076</v>
      </c>
      <c r="B4043" s="5" t="s">
        <v>5910</v>
      </c>
      <c r="C4043" s="6" t="str">
        <f>_xll.QS.CONTEXT.CREATE("market.4041",A4043,"USD","SOFR")</f>
        <v>QSObject:PricingContext:w1~market.4041:13773</v>
      </c>
      <c r="D4043" s="6" t="str">
        <f>_xll.QS.CONTEXT.ADD.CURVE(C4043,"SOFR",$K$2:$K$7,$L$2:$L$7,,,"Actual360","LogLinear",TRUE)</f>
        <v>QSObject:ContextInput:w1~input.qs_context_add_curve.2359132437744.4042.3.0:36519</v>
      </c>
      <c r="E4043" s="6" t="str">
        <f>_xll.QS.INSTRUMENT.SWAP("swap.4041",H4043,B4043,"USD","SOFR",I4043,J4043,0,"Actual360","Simple","Annual","Annual","Annual")</f>
        <v>QSObject:Swap:w1~swap.4041:13772</v>
      </c>
      <c r="F4043" s="6" t="str">
        <f>_xll.QS.TRADE.CREATE("trade.4041",E4043,A4043,"Receive")</f>
        <v>QSObject:SwapTrade:w1~trade.4041:27802</v>
      </c>
      <c r="G4043" s="3">
        <f>_xll.QS.EVALUATE(C4043,F4043)</f>
        <v>45900.924978556788</v>
      </c>
      <c r="H4043" s="5" t="s">
        <v>4083</v>
      </c>
      <c r="I4043" s="7">
        <v>1404100</v>
      </c>
      <c r="J4043" s="8">
        <v>3.9100000000000003E-2</v>
      </c>
    </row>
    <row r="4044" spans="1:10" x14ac:dyDescent="0.25">
      <c r="A4044" s="5" t="s">
        <v>4077</v>
      </c>
      <c r="B4044" s="5" t="s">
        <v>5911</v>
      </c>
      <c r="C4044" s="6" t="str">
        <f>_xll.QS.CONTEXT.CREATE("market.4042",A4044,"USD","SOFR")</f>
        <v>QSObject:PricingContext:w1~market.4042:13771</v>
      </c>
      <c r="D4044" s="6" t="str">
        <f>_xll.QS.CONTEXT.ADD.CURVE(C4044,"SOFR",$K$2:$K$7,$L$2:$L$7,,,"Actual360","LogLinear",TRUE)</f>
        <v>QSObject:ContextInput:w1~input.qs_context_add_curve.2359132437744.4043.3.0:36518</v>
      </c>
      <c r="E4044" s="6" t="str">
        <f>_xll.QS.INSTRUMENT.SWAP("swap.4042",H4044,B4044,"USD","SOFR",I4044,J4044,0,"Actual360","Simple","Annual","Annual","Annual")</f>
        <v>QSObject:Swap:w1~swap.4042:13770</v>
      </c>
      <c r="F4044" s="6" t="str">
        <f>_xll.QS.TRADE.CREATE("trade.4042",E4044,A4044,"Receive")</f>
        <v>QSObject:SwapTrade:w1~trade.4042:27801</v>
      </c>
      <c r="G4044" s="3">
        <f>_xll.QS.EVALUATE(C4044,F4044)</f>
        <v>46612.995132941018</v>
      </c>
      <c r="H4044" s="5" t="s">
        <v>4084</v>
      </c>
      <c r="I4044" s="7">
        <v>1404200</v>
      </c>
      <c r="J4044" s="8">
        <v>3.9200000000000013E-2</v>
      </c>
    </row>
    <row r="4045" spans="1:10" x14ac:dyDescent="0.25">
      <c r="A4045" s="5" t="s">
        <v>4078</v>
      </c>
      <c r="B4045" s="5" t="s">
        <v>5912</v>
      </c>
      <c r="C4045" s="6" t="str">
        <f>_xll.QS.CONTEXT.CREATE("market.4043",A4045,"USD","SOFR")</f>
        <v>QSObject:PricingContext:w1~market.4043:13769</v>
      </c>
      <c r="D4045" s="6" t="str">
        <f>_xll.QS.CONTEXT.ADD.CURVE(C4045,"SOFR",$K$2:$K$7,$L$2:$L$7,,,"Actual360","LogLinear",TRUE)</f>
        <v>QSObject:ContextInput:w1~input.qs_context_add_curve.2359132437744.4044.3.0:36517</v>
      </c>
      <c r="E4045" s="6" t="str">
        <f>_xll.QS.INSTRUMENT.SWAP("swap.4043",H4045,B4045,"USD","SOFR",I4045,J4045,0,"Actual360","Simple","Annual","Annual","Annual")</f>
        <v>QSObject:Swap:w1~swap.4043:13768</v>
      </c>
      <c r="F4045" s="6" t="str">
        <f>_xll.QS.TRADE.CREATE("trade.4043",E4045,A4045,"Receive")</f>
        <v>QSObject:SwapTrade:w1~trade.4043:27800</v>
      </c>
      <c r="G4045" s="3">
        <f>_xll.QS.EVALUATE(C4045,F4045)</f>
        <v>47209.651060879165</v>
      </c>
      <c r="H4045" s="5" t="s">
        <v>4085</v>
      </c>
      <c r="I4045" s="7">
        <v>1404300</v>
      </c>
      <c r="J4045" s="8">
        <v>3.9300000000000002E-2</v>
      </c>
    </row>
    <row r="4046" spans="1:10" x14ac:dyDescent="0.25">
      <c r="A4046" s="5" t="s">
        <v>4079</v>
      </c>
      <c r="B4046" s="5" t="s">
        <v>5913</v>
      </c>
      <c r="C4046" s="6" t="str">
        <f>_xll.QS.CONTEXT.CREATE("market.4044",A4046,"USD","SOFR")</f>
        <v>QSObject:PricingContext:w1~market.4044:13767</v>
      </c>
      <c r="D4046" s="6" t="str">
        <f>_xll.QS.CONTEXT.ADD.CURVE(C4046,"SOFR",$K$2:$K$7,$L$2:$L$7,,,"Actual360","LogLinear",TRUE)</f>
        <v>QSObject:ContextInput:w1~input.qs_context_add_curve.2359132437744.4045.3.0:36516</v>
      </c>
      <c r="E4046" s="6" t="str">
        <f>_xll.QS.INSTRUMENT.SWAP("swap.4044",H4046,B4046,"USD","SOFR",I4046,J4046,0,"Actual360","Simple","Annual","Annual","Annual")</f>
        <v>QSObject:Swap:w1~swap.4044:13766</v>
      </c>
      <c r="F4046" s="6" t="str">
        <f>_xll.QS.TRADE.CREATE("trade.4044",E4046,A4046,"Receive")</f>
        <v>QSObject:SwapTrade:w1~trade.4044:27799</v>
      </c>
      <c r="G4046" s="3">
        <f>_xll.QS.EVALUATE(C4046,F4046)</f>
        <v>47745.086947878881</v>
      </c>
      <c r="H4046" s="5" t="s">
        <v>4086</v>
      </c>
      <c r="I4046" s="7">
        <v>1404400</v>
      </c>
      <c r="J4046" s="8">
        <v>3.9399999999999998E-2</v>
      </c>
    </row>
    <row r="4047" spans="1:10" x14ac:dyDescent="0.25">
      <c r="A4047" s="5" t="s">
        <v>4080</v>
      </c>
      <c r="B4047" s="5" t="s">
        <v>5914</v>
      </c>
      <c r="C4047" s="6" t="str">
        <f>_xll.QS.CONTEXT.CREATE("market.4045",A4047,"USD","SOFR")</f>
        <v>QSObject:PricingContext:w1~market.4045:13765</v>
      </c>
      <c r="D4047" s="6" t="str">
        <f>_xll.QS.CONTEXT.ADD.CURVE(C4047,"SOFR",$K$2:$K$7,$L$2:$L$7,,,"Actual360","LogLinear",TRUE)</f>
        <v>QSObject:ContextInput:w1~input.qs_context_add_curve.2359132437744.4046.3.0:36515</v>
      </c>
      <c r="E4047" s="6" t="str">
        <f>_xll.QS.INSTRUMENT.SWAP("swap.4045",H4047,B4047,"USD","SOFR",I4047,J4047,0,"Actual360","Simple","Annual","Annual","Annual")</f>
        <v>QSObject:Swap:w1~swap.4045:13764</v>
      </c>
      <c r="F4047" s="6" t="str">
        <f>_xll.QS.TRADE.CREATE("trade.4045",E4047,A4047,"Receive")</f>
        <v>QSObject:SwapTrade:w1~trade.4045:27798</v>
      </c>
      <c r="G4047" s="3">
        <f>_xll.QS.EVALUATE(C4047,F4047)</f>
        <v>48311.054004488309</v>
      </c>
      <c r="H4047" s="5" t="s">
        <v>4087</v>
      </c>
      <c r="I4047" s="7">
        <v>1404500</v>
      </c>
      <c r="J4047" s="8">
        <v>3.9500000000000007E-2</v>
      </c>
    </row>
    <row r="4048" spans="1:10" x14ac:dyDescent="0.25">
      <c r="A4048" s="5" t="s">
        <v>4081</v>
      </c>
      <c r="B4048" s="5" t="s">
        <v>5915</v>
      </c>
      <c r="C4048" s="6" t="str">
        <f>_xll.QS.CONTEXT.CREATE("market.4046",A4048,"USD","SOFR")</f>
        <v>QSObject:PricingContext:w1~market.4046:13763</v>
      </c>
      <c r="D4048" s="6" t="str">
        <f>_xll.QS.CONTEXT.ADD.CURVE(C4048,"SOFR",$K$2:$K$7,$L$2:$L$7,,,"Actual360","LogLinear",TRUE)</f>
        <v>QSObject:ContextInput:w1~input.qs_context_add_curve.2359132437744.4047.3.0:36514</v>
      </c>
      <c r="E4048" s="6" t="str">
        <f>_xll.QS.INSTRUMENT.SWAP("swap.4046",H4048,B4048,"USD","SOFR",I4048,J4048,0,"Actual360","Simple","Annual","Annual","Annual")</f>
        <v>QSObject:Swap:w1~swap.4046:13762</v>
      </c>
      <c r="F4048" s="6" t="str">
        <f>_xll.QS.TRADE.CREATE("trade.4046",E4048,A4048,"Receive")</f>
        <v>QSObject:SwapTrade:w1~trade.4046:27797</v>
      </c>
      <c r="G4048" s="3">
        <f>_xll.QS.EVALUATE(C4048,F4048)</f>
        <v>49022.769674112933</v>
      </c>
      <c r="H4048" s="5" t="s">
        <v>4088</v>
      </c>
      <c r="I4048" s="7">
        <v>1404600</v>
      </c>
      <c r="J4048" s="8">
        <v>3.9600000000000003E-2</v>
      </c>
    </row>
    <row r="4049" spans="1:10" x14ac:dyDescent="0.25">
      <c r="A4049" s="5" t="s">
        <v>4082</v>
      </c>
      <c r="B4049" s="5" t="s">
        <v>5916</v>
      </c>
      <c r="C4049" s="6" t="str">
        <f>_xll.QS.CONTEXT.CREATE("market.4047",A4049,"USD","SOFR")</f>
        <v>QSObject:PricingContext:w1~market.4047:13761</v>
      </c>
      <c r="D4049" s="6" t="str">
        <f>_xll.QS.CONTEXT.ADD.CURVE(C4049,"SOFR",$K$2:$K$7,$L$2:$L$7,,,"Actual360","LogLinear",TRUE)</f>
        <v>QSObject:ContextInput:w1~input.qs_context_add_curve.2359132437744.4048.3.0:36513</v>
      </c>
      <c r="E4049" s="6" t="str">
        <f>_xll.QS.INSTRUMENT.SWAP("swap.4047",H4049,B4049,"USD","SOFR",I4049,J4049,0,"Actual360","Simple","Annual","Annual","Annual")</f>
        <v>QSObject:Swap:w1~swap.4047:13760</v>
      </c>
      <c r="F4049" s="6" t="str">
        <f>_xll.QS.TRADE.CREATE("trade.4047",E4049,A4049,"Receive")</f>
        <v>QSObject:SwapTrade:w1~trade.4047:27796</v>
      </c>
      <c r="G4049" s="3">
        <f>_xll.QS.EVALUATE(C4049,F4049)</f>
        <v>49704.072024702567</v>
      </c>
      <c r="H4049" s="5" t="s">
        <v>4089</v>
      </c>
      <c r="I4049" s="7">
        <v>1404700</v>
      </c>
      <c r="J4049" s="8">
        <v>3.9700000000000013E-2</v>
      </c>
    </row>
    <row r="4050" spans="1:10" x14ac:dyDescent="0.25">
      <c r="A4050" s="5" t="s">
        <v>4083</v>
      </c>
      <c r="B4050" s="5" t="s">
        <v>5917</v>
      </c>
      <c r="C4050" s="6" t="str">
        <f>_xll.QS.CONTEXT.CREATE("market.4048",A4050,"USD","SOFR")</f>
        <v>QSObject:PricingContext:w1~market.4048:13759</v>
      </c>
      <c r="D4050" s="6" t="str">
        <f>_xll.QS.CONTEXT.ADD.CURVE(C4050,"SOFR",$K$2:$K$7,$L$2:$L$7,,,"Actual360","LogLinear",TRUE)</f>
        <v>QSObject:ContextInput:w1~input.qs_context_add_curve.2359132437744.4049.3.0:36512</v>
      </c>
      <c r="E4050" s="6" t="str">
        <f>_xll.QS.INSTRUMENT.SWAP("swap.4048",H4050,B4050,"USD","SOFR",I4050,J4050,0,"Actual360","Simple","Annual","Annual","Annual")</f>
        <v>QSObject:Swap:w1~swap.4048:13758</v>
      </c>
      <c r="F4050" s="6" t="str">
        <f>_xll.QS.TRADE.CREATE("trade.4048",E4050,A4050,"Receive")</f>
        <v>QSObject:SwapTrade:w1~trade.4048:27795</v>
      </c>
      <c r="G4050" s="3">
        <f>_xll.QS.EVALUATE(C4050,F4050)</f>
        <v>50458.253653938678</v>
      </c>
      <c r="H4050" s="5" t="s">
        <v>4090</v>
      </c>
      <c r="I4050" s="7">
        <v>1404800</v>
      </c>
      <c r="J4050" s="8">
        <v>3.9800000000000002E-2</v>
      </c>
    </row>
    <row r="4051" spans="1:10" x14ac:dyDescent="0.25">
      <c r="A4051" s="5" t="s">
        <v>4084</v>
      </c>
      <c r="B4051" s="5" t="s">
        <v>5918</v>
      </c>
      <c r="C4051" s="6" t="str">
        <f>_xll.QS.CONTEXT.CREATE("market.4049",A4051,"USD","SOFR")</f>
        <v>QSObject:PricingContext:w1~market.4049:13757</v>
      </c>
      <c r="D4051" s="6" t="str">
        <f>_xll.QS.CONTEXT.ADD.CURVE(C4051,"SOFR",$K$2:$K$7,$L$2:$L$7,,,"Actual360","LogLinear",TRUE)</f>
        <v>QSObject:ContextInput:w1~input.qs_context_add_curve.2359132437744.4050.3.0:36511</v>
      </c>
      <c r="E4051" s="6" t="str">
        <f>_xll.QS.INSTRUMENT.SWAP("swap.4049",H4051,B4051,"USD","SOFR",I4051,J4051,0,"Actual360","Simple","Annual","Annual","Annual")</f>
        <v>QSObject:Swap:w1~swap.4049:13756</v>
      </c>
      <c r="F4051" s="6" t="str">
        <f>_xll.QS.TRADE.CREATE("trade.4049",E4051,A4051,"Receive")</f>
        <v>QSObject:SwapTrade:w1~trade.4049:27794</v>
      </c>
      <c r="G4051" s="3">
        <f>_xll.QS.EVALUATE(C4051,F4051)</f>
        <v>51171.262186484215</v>
      </c>
      <c r="H4051" s="5" t="s">
        <v>4091</v>
      </c>
      <c r="I4051" s="7">
        <v>1404900</v>
      </c>
      <c r="J4051" s="8">
        <v>3.9899999999999998E-2</v>
      </c>
    </row>
    <row r="4052" spans="1:10" x14ac:dyDescent="0.25">
      <c r="A4052" s="5" t="s">
        <v>4085</v>
      </c>
      <c r="B4052" s="5" t="s">
        <v>5919</v>
      </c>
      <c r="C4052" s="6" t="str">
        <f>_xll.QS.CONTEXT.CREATE("market.4050",A4052,"USD","SOFR")</f>
        <v>QSObject:PricingContext:w1~market.4050:13755</v>
      </c>
      <c r="D4052" s="6" t="str">
        <f>_xll.QS.CONTEXT.ADD.CURVE(C4052,"SOFR",$K$2:$K$7,$L$2:$L$7,,,"Actual360","LogLinear",TRUE)</f>
        <v>QSObject:ContextInput:w1~input.qs_context_add_curve.2359132437744.4051.3.0:36510</v>
      </c>
      <c r="E4052" s="6" t="str">
        <f>_xll.QS.INSTRUMENT.SWAP("swap.4050",H4052,B4052,"USD","SOFR",I4052,J4052,0,"Actual360","Simple","Annual","Annual","Annual")</f>
        <v>QSObject:Swap:w1~swap.4050:13754</v>
      </c>
      <c r="F4052" s="6" t="str">
        <f>_xll.QS.TRADE.CREATE("trade.4050",E4052,A4052,"Receive")</f>
        <v>QSObject:SwapTrade:w1~trade.4050:27793</v>
      </c>
      <c r="G4052" s="3">
        <f>_xll.QS.EVALUATE(C4052,F4052)</f>
        <v>19373.460335970551</v>
      </c>
      <c r="H4052" s="5" t="s">
        <v>4092</v>
      </c>
      <c r="I4052" s="7">
        <v>1405000</v>
      </c>
      <c r="J4052" s="8">
        <v>3.5000000000000003E-2</v>
      </c>
    </row>
    <row r="4053" spans="1:10" x14ac:dyDescent="0.25">
      <c r="A4053" s="5" t="s">
        <v>4086</v>
      </c>
      <c r="B4053" s="5" t="s">
        <v>5920</v>
      </c>
      <c r="C4053" s="6" t="str">
        <f>_xll.QS.CONTEXT.CREATE("market.4051",A4053,"USD","SOFR")</f>
        <v>QSObject:PricingContext:w1~market.4051:13753</v>
      </c>
      <c r="D4053" s="6" t="str">
        <f>_xll.QS.CONTEXT.ADD.CURVE(C4053,"SOFR",$K$2:$K$7,$L$2:$L$7,,,"Actual360","LogLinear",TRUE)</f>
        <v>QSObject:ContextInput:w1~input.qs_context_add_curve.2359132437744.4052.3.0:36509</v>
      </c>
      <c r="E4053" s="6" t="str">
        <f>_xll.QS.INSTRUMENT.SWAP("swap.4051",H4053,B4053,"USD","SOFR",I4053,J4053,0,"Actual360","Simple","Annual","Annual","Annual")</f>
        <v>QSObject:Swap:w1~swap.4051:13752</v>
      </c>
      <c r="F4053" s="6" t="str">
        <f>_xll.QS.TRADE.CREATE("trade.4051",E4053,A4053,"Receive")</f>
        <v>QSObject:SwapTrade:w1~trade.4051:27792</v>
      </c>
      <c r="G4053" s="3">
        <f>_xll.QS.EVALUATE(C4053,F4053)</f>
        <v>19939.990314478106</v>
      </c>
      <c r="H4053" s="5" t="s">
        <v>4093</v>
      </c>
      <c r="I4053" s="7">
        <v>1405100</v>
      </c>
      <c r="J4053" s="8">
        <v>3.5100000000000013E-2</v>
      </c>
    </row>
    <row r="4054" spans="1:10" x14ac:dyDescent="0.25">
      <c r="A4054" s="5" t="s">
        <v>4087</v>
      </c>
      <c r="B4054" s="5" t="s">
        <v>5921</v>
      </c>
      <c r="C4054" s="6" t="str">
        <f>_xll.QS.CONTEXT.CREATE("market.4052",A4054,"USD","SOFR")</f>
        <v>QSObject:PricingContext:w1~market.4052:13751</v>
      </c>
      <c r="D4054" s="6" t="str">
        <f>_xll.QS.CONTEXT.ADD.CURVE(C4054,"SOFR",$K$2:$K$7,$L$2:$L$7,,,"Actual360","LogLinear",TRUE)</f>
        <v>QSObject:ContextInput:w1~input.qs_context_add_curve.2359132437744.4053.3.0:36508</v>
      </c>
      <c r="E4054" s="6" t="str">
        <f>_xll.QS.INSTRUMENT.SWAP("swap.4052",H4054,B4054,"USD","SOFR",I4054,J4054,0,"Actual360","Simple","Annual","Annual","Annual")</f>
        <v>QSObject:Swap:w1~swap.4052:13750</v>
      </c>
      <c r="F4054" s="6" t="str">
        <f>_xll.QS.TRADE.CREATE("trade.4052",E4054,A4054,"Receive")</f>
        <v>QSObject:SwapTrade:w1~trade.4052:27791</v>
      </c>
      <c r="G4054" s="3">
        <f>_xll.QS.EVALUATE(C4054,F4054)</f>
        <v>20461.064273985168</v>
      </c>
      <c r="H4054" s="5" t="s">
        <v>4094</v>
      </c>
      <c r="I4054" s="7">
        <v>1405200</v>
      </c>
      <c r="J4054" s="8">
        <v>3.5200000000000002E-2</v>
      </c>
    </row>
    <row r="4055" spans="1:10" x14ac:dyDescent="0.25">
      <c r="A4055" s="5" t="s">
        <v>4088</v>
      </c>
      <c r="B4055" s="5" t="s">
        <v>5922</v>
      </c>
      <c r="C4055" s="6" t="str">
        <f>_xll.QS.CONTEXT.CREATE("market.4053",A4055,"USD","SOFR")</f>
        <v>QSObject:PricingContext:w1~market.4053:13749</v>
      </c>
      <c r="D4055" s="6" t="str">
        <f>_xll.QS.CONTEXT.ADD.CURVE(C4055,"SOFR",$K$2:$K$7,$L$2:$L$7,,,"Actual360","LogLinear",TRUE)</f>
        <v>QSObject:ContextInput:w1~input.qs_context_add_curve.2359132437744.4054.3.0:36507</v>
      </c>
      <c r="E4055" s="6" t="str">
        <f>_xll.QS.INSTRUMENT.SWAP("swap.4053",H4055,B4055,"USD","SOFR",I4055,J4055,0,"Actual360","Simple","Annual","Annual","Annual")</f>
        <v>QSObject:Swap:w1~swap.4053:13748</v>
      </c>
      <c r="F4055" s="6" t="str">
        <f>_xll.QS.TRADE.CREATE("trade.4053",E4055,A4055,"Receive")</f>
        <v>QSObject:SwapTrade:w1~trade.4053:27790</v>
      </c>
      <c r="G4055" s="3">
        <f>_xll.QS.EVALUATE(C4055,F4055)</f>
        <v>21168.627671276314</v>
      </c>
      <c r="H4055" s="5" t="s">
        <v>4095</v>
      </c>
      <c r="I4055" s="7">
        <v>1405300</v>
      </c>
      <c r="J4055" s="8">
        <v>3.5299999999999998E-2</v>
      </c>
    </row>
    <row r="4056" spans="1:10" x14ac:dyDescent="0.25">
      <c r="A4056" s="5" t="s">
        <v>4089</v>
      </c>
      <c r="B4056" s="5" t="s">
        <v>5923</v>
      </c>
      <c r="C4056" s="6" t="str">
        <f>_xll.QS.CONTEXT.CREATE("market.4054",A4056,"USD","SOFR")</f>
        <v>QSObject:PricingContext:w1~market.4054:13747</v>
      </c>
      <c r="D4056" s="6" t="str">
        <f>_xll.QS.CONTEXT.ADD.CURVE(C4056,"SOFR",$K$2:$K$7,$L$2:$L$7,,,"Actual360","LogLinear",TRUE)</f>
        <v>QSObject:ContextInput:w1~input.qs_context_add_curve.2359132437744.4055.3.0:36506</v>
      </c>
      <c r="E4056" s="6" t="str">
        <f>_xll.QS.INSTRUMENT.SWAP("swap.4054",H4056,B4056,"USD","SOFR",I4056,J4056,0,"Actual360","Simple","Annual","Annual","Annual")</f>
        <v>QSObject:Swap:w1~swap.4054:13746</v>
      </c>
      <c r="F4056" s="6" t="str">
        <f>_xll.QS.TRADE.CREATE("trade.4054",E4056,A4056,"Receive")</f>
        <v>QSObject:SwapTrade:w1~trade.4054:27789</v>
      </c>
      <c r="G4056" s="3">
        <f>_xll.QS.EVALUATE(C4056,F4056)</f>
        <v>21861.616709306865</v>
      </c>
      <c r="H4056" s="5" t="s">
        <v>4096</v>
      </c>
      <c r="I4056" s="7">
        <v>1405400</v>
      </c>
      <c r="J4056" s="8">
        <v>3.5400000000000001E-2</v>
      </c>
    </row>
    <row r="4057" spans="1:10" x14ac:dyDescent="0.25">
      <c r="A4057" s="5" t="s">
        <v>4090</v>
      </c>
      <c r="B4057" s="5" t="s">
        <v>5924</v>
      </c>
      <c r="C4057" s="6" t="str">
        <f>_xll.QS.CONTEXT.CREATE("market.4055",A4057,"USD","SOFR")</f>
        <v>QSObject:PricingContext:w1~market.4055:13745</v>
      </c>
      <c r="D4057" s="6" t="str">
        <f>_xll.QS.CONTEXT.ADD.CURVE(C4057,"SOFR",$K$2:$K$7,$L$2:$L$7,,,"Actual360","LogLinear",TRUE)</f>
        <v>QSObject:ContextInput:w1~input.qs_context_add_curve.2359132437744.4056.3.0:36505</v>
      </c>
      <c r="E4057" s="6" t="str">
        <f>_xll.QS.INSTRUMENT.SWAP("swap.4055",H4057,B4057,"USD","SOFR",I4057,J4057,0,"Actual360","Simple","Annual","Annual","Annual")</f>
        <v>QSObject:Swap:w1~swap.4055:13744</v>
      </c>
      <c r="F4057" s="6" t="str">
        <f>_xll.QS.TRADE.CREATE("trade.4055",E4057,A4057,"Receive")</f>
        <v>QSObject:SwapTrade:w1~trade.4055:27788</v>
      </c>
      <c r="G4057" s="3">
        <f>_xll.QS.EVALUATE(C4057,F4057)</f>
        <v>22613.669020961992</v>
      </c>
      <c r="H4057" s="5" t="s">
        <v>4097</v>
      </c>
      <c r="I4057" s="7">
        <v>1405500</v>
      </c>
      <c r="J4057" s="8">
        <v>3.5499999999999997E-2</v>
      </c>
    </row>
    <row r="4058" spans="1:10" x14ac:dyDescent="0.25">
      <c r="A4058" s="5" t="s">
        <v>4091</v>
      </c>
      <c r="B4058" s="5" t="s">
        <v>5925</v>
      </c>
      <c r="C4058" s="6" t="str">
        <f>_xll.QS.CONTEXT.CREATE("market.4056",A4058,"USD","SOFR")</f>
        <v>QSObject:PricingContext:w1~market.4056:13743</v>
      </c>
      <c r="D4058" s="6" t="str">
        <f>_xll.QS.CONTEXT.ADD.CURVE(C4058,"SOFR",$K$2:$K$7,$L$2:$L$7,,,"Actual360","LogLinear",TRUE)</f>
        <v>QSObject:ContextInput:w1~input.qs_context_add_curve.2359132437744.4057.3.0:36504</v>
      </c>
      <c r="E4058" s="6" t="str">
        <f>_xll.QS.INSTRUMENT.SWAP("swap.4056",H4058,B4058,"USD","SOFR",I4058,J4058,0,"Actual360","Simple","Annual","Annual","Annual")</f>
        <v>QSObject:Swap:w1~swap.4056:13742</v>
      </c>
      <c r="F4058" s="6" t="str">
        <f>_xll.QS.TRADE.CREATE("trade.4056",E4058,A4058,"Receive")</f>
        <v>QSObject:SwapTrade:w1~trade.4056:27787</v>
      </c>
      <c r="G4058" s="3">
        <f>_xll.QS.EVALUATE(C4058,F4058)</f>
        <v>23324.671578949405</v>
      </c>
      <c r="H4058" s="5" t="s">
        <v>4098</v>
      </c>
      <c r="I4058" s="7">
        <v>1405600</v>
      </c>
      <c r="J4058" s="8">
        <v>3.5600000000000007E-2</v>
      </c>
    </row>
    <row r="4059" spans="1:10" x14ac:dyDescent="0.25">
      <c r="A4059" s="5" t="s">
        <v>4092</v>
      </c>
      <c r="B4059" s="5" t="s">
        <v>5926</v>
      </c>
      <c r="C4059" s="6" t="str">
        <f>_xll.QS.CONTEXT.CREATE("market.4057",A4059,"USD","SOFR")</f>
        <v>QSObject:PricingContext:w1~market.4057:13741</v>
      </c>
      <c r="D4059" s="6" t="str">
        <f>_xll.QS.CONTEXT.ADD.CURVE(C4059,"SOFR",$K$2:$K$7,$L$2:$L$7,,,"Actual360","LogLinear",TRUE)</f>
        <v>QSObject:ContextInput:w1~input.qs_context_add_curve.2359132437744.4058.3.0:36503</v>
      </c>
      <c r="E4059" s="6" t="str">
        <f>_xll.QS.INSTRUMENT.SWAP("swap.4057",H4059,B4059,"USD","SOFR",I4059,J4059,0,"Actual360","Simple","Annual","Annual","Annual")</f>
        <v>QSObject:Swap:w1~swap.4057:13740</v>
      </c>
      <c r="F4059" s="6" t="str">
        <f>_xll.QS.TRADE.CREATE("trade.4057",E4059,A4059,"Receive")</f>
        <v>QSObject:SwapTrade:w1~trade.4057:27786</v>
      </c>
      <c r="G4059" s="3">
        <f>_xll.QS.EVALUATE(C4059,F4059)</f>
        <v>23920.181763740613</v>
      </c>
      <c r="H4059" s="5" t="s">
        <v>4099</v>
      </c>
      <c r="I4059" s="7">
        <v>1405700</v>
      </c>
      <c r="J4059" s="8">
        <v>3.5700000000000003E-2</v>
      </c>
    </row>
    <row r="4060" spans="1:10" x14ac:dyDescent="0.25">
      <c r="A4060" s="5" t="s">
        <v>4093</v>
      </c>
      <c r="B4060" s="5" t="s">
        <v>5927</v>
      </c>
      <c r="C4060" s="6" t="str">
        <f>_xll.QS.CONTEXT.CREATE("market.4058",A4060,"USD","SOFR")</f>
        <v>QSObject:PricingContext:w1~market.4058:13739</v>
      </c>
      <c r="D4060" s="6" t="str">
        <f>_xll.QS.CONTEXT.ADD.CURVE(C4060,"SOFR",$K$2:$K$7,$L$2:$L$7,,,"Actual360","LogLinear",TRUE)</f>
        <v>QSObject:ContextInput:w1~input.qs_context_add_curve.2359132437744.4059.3.0:36502</v>
      </c>
      <c r="E4060" s="6" t="str">
        <f>_xll.QS.INSTRUMENT.SWAP("swap.4058",H4060,B4060,"USD","SOFR",I4060,J4060,0,"Actual360","Simple","Annual","Annual","Annual")</f>
        <v>QSObject:Swap:w1~swap.4058:13738</v>
      </c>
      <c r="F4060" s="6" t="str">
        <f>_xll.QS.TRADE.CREATE("trade.4058",E4060,A4060,"Receive")</f>
        <v>QSObject:SwapTrade:w1~trade.4058:27785</v>
      </c>
      <c r="G4060" s="3">
        <f>_xll.QS.EVALUATE(C4060,F4060)</f>
        <v>24465.723956073169</v>
      </c>
      <c r="H4060" s="5" t="s">
        <v>4100</v>
      </c>
      <c r="I4060" s="7">
        <v>1405800</v>
      </c>
      <c r="J4060" s="8">
        <v>3.5800000000000012E-2</v>
      </c>
    </row>
    <row r="4061" spans="1:10" x14ac:dyDescent="0.25">
      <c r="A4061" s="5" t="s">
        <v>4094</v>
      </c>
      <c r="B4061" s="5" t="s">
        <v>5928</v>
      </c>
      <c r="C4061" s="6" t="str">
        <f>_xll.QS.CONTEXT.CREATE("market.4059",A4061,"USD","SOFR")</f>
        <v>QSObject:PricingContext:w1~market.4059:13737</v>
      </c>
      <c r="D4061" s="6" t="str">
        <f>_xll.QS.CONTEXT.ADD.CURVE(C4061,"SOFR",$K$2:$K$7,$L$2:$L$7,,,"Actual360","LogLinear",TRUE)</f>
        <v>QSObject:ContextInput:w1~input.qs_context_add_curve.2359132437744.4060.3.0:36501</v>
      </c>
      <c r="E4061" s="6" t="str">
        <f>_xll.QS.INSTRUMENT.SWAP("swap.4059",H4061,B4061,"USD","SOFR",I4061,J4061,0,"Actual360","Simple","Annual","Annual","Annual")</f>
        <v>QSObject:Swap:w1~swap.4059:13736</v>
      </c>
      <c r="F4061" s="6" t="str">
        <f>_xll.QS.TRADE.CREATE("trade.4059",E4061,A4061,"Receive")</f>
        <v>QSObject:SwapTrade:w1~trade.4059:27784</v>
      </c>
      <c r="G4061" s="3">
        <f>_xll.QS.EVALUATE(C4061,F4061)</f>
        <v>24953.229804677278</v>
      </c>
      <c r="H4061" s="5" t="s">
        <v>4101</v>
      </c>
      <c r="I4061" s="7">
        <v>1405900</v>
      </c>
      <c r="J4061" s="8">
        <v>3.5900000000000001E-2</v>
      </c>
    </row>
    <row r="4062" spans="1:10" x14ac:dyDescent="0.25">
      <c r="A4062" s="5" t="s">
        <v>4095</v>
      </c>
      <c r="B4062" s="5" t="s">
        <v>5929</v>
      </c>
      <c r="C4062" s="6" t="str">
        <f>_xll.QS.CONTEXT.CREATE("market.4060",A4062,"USD","SOFR")</f>
        <v>QSObject:PricingContext:w1~market.4060:13735</v>
      </c>
      <c r="D4062" s="6" t="str">
        <f>_xll.QS.CONTEXT.ADD.CURVE(C4062,"SOFR",$K$2:$K$7,$L$2:$L$7,,,"Actual360","LogLinear",TRUE)</f>
        <v>QSObject:ContextInput:w1~input.qs_context_add_curve.2359132437744.4061.3.0:36500</v>
      </c>
      <c r="E4062" s="6" t="str">
        <f>_xll.QS.INSTRUMENT.SWAP("swap.4060",H4062,B4062,"USD","SOFR",I4062,J4062,0,"Actual360","Simple","Annual","Annual","Annual")</f>
        <v>QSObject:Swap:w1~swap.4060:13734</v>
      </c>
      <c r="F4062" s="6" t="str">
        <f>_xll.QS.TRADE.CREATE("trade.4060",E4062,A4062,"Receive")</f>
        <v>QSObject:SwapTrade:w1~trade.4060:27783</v>
      </c>
      <c r="G4062" s="3">
        <f>_xll.QS.EVALUATE(C4062,F4062)</f>
        <v>25662.341793495463</v>
      </c>
      <c r="H4062" s="5" t="s">
        <v>4102</v>
      </c>
      <c r="I4062" s="7">
        <v>1406000</v>
      </c>
      <c r="J4062" s="8">
        <v>3.5999999999999997E-2</v>
      </c>
    </row>
    <row r="4063" spans="1:10" x14ac:dyDescent="0.25">
      <c r="A4063" s="5" t="s">
        <v>4096</v>
      </c>
      <c r="B4063" s="5" t="s">
        <v>5930</v>
      </c>
      <c r="C4063" s="6" t="str">
        <f>_xll.QS.CONTEXT.CREATE("market.4061",A4063,"USD","SOFR")</f>
        <v>QSObject:PricingContext:w1~market.4061:13733</v>
      </c>
      <c r="D4063" s="6" t="str">
        <f>_xll.QS.CONTEXT.ADD.CURVE(C4063,"SOFR",$K$2:$K$7,$L$2:$L$7,,,"Actual360","LogLinear",TRUE)</f>
        <v>QSObject:ContextInput:w1~input.qs_context_add_curve.2359132437744.4062.3.0:36499</v>
      </c>
      <c r="E4063" s="6" t="str">
        <f>_xll.QS.INSTRUMENT.SWAP("swap.4061",H4063,B4063,"USD","SOFR",I4063,J4063,0,"Actual360","Simple","Annual","Annual","Annual")</f>
        <v>QSObject:Swap:w1~swap.4061:13732</v>
      </c>
      <c r="F4063" s="6" t="str">
        <f>_xll.QS.TRADE.CREATE("trade.4061",E4063,A4063,"Receive")</f>
        <v>QSObject:SwapTrade:w1~trade.4061:27782</v>
      </c>
      <c r="G4063" s="3">
        <f>_xll.QS.EVALUATE(C4063,F4063)</f>
        <v>26371.536790097445</v>
      </c>
      <c r="H4063" s="5" t="s">
        <v>4103</v>
      </c>
      <c r="I4063" s="7">
        <v>1406100</v>
      </c>
      <c r="J4063" s="8">
        <v>3.61E-2</v>
      </c>
    </row>
    <row r="4064" spans="1:10" x14ac:dyDescent="0.25">
      <c r="A4064" s="5" t="s">
        <v>4097</v>
      </c>
      <c r="B4064" s="5" t="s">
        <v>5931</v>
      </c>
      <c r="C4064" s="6" t="str">
        <f>_xll.QS.CONTEXT.CREATE("market.4062",A4064,"USD","SOFR")</f>
        <v>QSObject:PricingContext:w1~market.4062:13731</v>
      </c>
      <c r="D4064" s="6" t="str">
        <f>_xll.QS.CONTEXT.ADD.CURVE(C4064,"SOFR",$K$2:$K$7,$L$2:$L$7,,,"Actual360","LogLinear",TRUE)</f>
        <v>QSObject:ContextInput:w1~input.qs_context_add_curve.2359132437744.4063.3.0:36498</v>
      </c>
      <c r="E4064" s="6" t="str">
        <f>_xll.QS.INSTRUMENT.SWAP("swap.4062",H4064,B4064,"USD","SOFR",I4064,J4064,0,"Actual360","Simple","Annual","Annual","Annual")</f>
        <v>QSObject:Swap:w1~swap.4062:13730</v>
      </c>
      <c r="F4064" s="6" t="str">
        <f>_xll.QS.TRADE.CREATE("trade.4062",E4064,A4064,"Receive")</f>
        <v>QSObject:SwapTrade:w1~trade.4062:27781</v>
      </c>
      <c r="G4064" s="3">
        <f>_xll.QS.EVALUATE(C4064,F4064)</f>
        <v>27216.183152168538</v>
      </c>
      <c r="H4064" s="5" t="s">
        <v>4104</v>
      </c>
      <c r="I4064" s="7">
        <v>1406200</v>
      </c>
      <c r="J4064" s="8">
        <v>3.6200000000000003E-2</v>
      </c>
    </row>
    <row r="4065" spans="1:10" x14ac:dyDescent="0.25">
      <c r="A4065" s="5" t="s">
        <v>4098</v>
      </c>
      <c r="B4065" s="5" t="s">
        <v>5932</v>
      </c>
      <c r="C4065" s="6" t="str">
        <f>_xll.QS.CONTEXT.CREATE("market.4063",A4065,"USD","SOFR")</f>
        <v>QSObject:PricingContext:w1~market.4063:13729</v>
      </c>
      <c r="D4065" s="6" t="str">
        <f>_xll.QS.CONTEXT.ADD.CURVE(C4065,"SOFR",$K$2:$K$7,$L$2:$L$7,,,"Actual360","LogLinear",TRUE)</f>
        <v>QSObject:ContextInput:w1~input.qs_context_add_curve.2359132437744.4064.3.0:36497</v>
      </c>
      <c r="E4065" s="6" t="str">
        <f>_xll.QS.INSTRUMENT.SWAP("swap.4063",H4065,B4065,"USD","SOFR",I4065,J4065,0,"Actual360","Simple","Annual","Annual","Annual")</f>
        <v>QSObject:Swap:w1~swap.4063:13728</v>
      </c>
      <c r="F4065" s="6" t="str">
        <f>_xll.QS.TRADE.CREATE("trade.4063",E4065,A4065,"Receive")</f>
        <v>QSObject:SwapTrade:w1~trade.4063:27780</v>
      </c>
      <c r="G4065" s="3">
        <f>_xll.QS.EVALUATE(C4065,F4065)</f>
        <v>27879.438679073493</v>
      </c>
      <c r="H4065" s="5" t="s">
        <v>4105</v>
      </c>
      <c r="I4065" s="7">
        <v>1406300</v>
      </c>
      <c r="J4065" s="8">
        <v>3.6300000000000013E-2</v>
      </c>
    </row>
    <row r="4066" spans="1:10" x14ac:dyDescent="0.25">
      <c r="A4066" s="5" t="s">
        <v>4099</v>
      </c>
      <c r="B4066" s="5" t="s">
        <v>5933</v>
      </c>
      <c r="C4066" s="6" t="str">
        <f>_xll.QS.CONTEXT.CREATE("market.4064",A4066,"USD","SOFR")</f>
        <v>QSObject:PricingContext:w1~market.4064:13727</v>
      </c>
      <c r="D4066" s="6" t="str">
        <f>_xll.QS.CONTEXT.ADD.CURVE(C4066,"SOFR",$K$2:$K$7,$L$2:$L$7,,,"Actual360","LogLinear",TRUE)</f>
        <v>QSObject:ContextInput:w1~input.qs_context_add_curve.2359132437744.4065.3.0:36496</v>
      </c>
      <c r="E4066" s="6" t="str">
        <f>_xll.QS.INSTRUMENT.SWAP("swap.4064",H4066,B4066,"USD","SOFR",I4066,J4066,0,"Actual360","Simple","Annual","Annual","Annual")</f>
        <v>QSObject:Swap:w1~swap.4064:13726</v>
      </c>
      <c r="F4066" s="6" t="str">
        <f>_xll.QS.TRADE.CREATE("trade.4064",E4066,A4066,"Receive")</f>
        <v>QSObject:SwapTrade:w1~trade.4064:27779</v>
      </c>
      <c r="G4066" s="3">
        <f>_xll.QS.EVALUATE(C4066,F4066)</f>
        <v>28529.200881933881</v>
      </c>
      <c r="H4066" s="5" t="s">
        <v>4106</v>
      </c>
      <c r="I4066" s="7">
        <v>1406400</v>
      </c>
      <c r="J4066" s="8">
        <v>3.6400000000000002E-2</v>
      </c>
    </row>
    <row r="4067" spans="1:10" x14ac:dyDescent="0.25">
      <c r="A4067" s="5" t="s">
        <v>4100</v>
      </c>
      <c r="B4067" s="5" t="s">
        <v>5934</v>
      </c>
      <c r="C4067" s="6" t="str">
        <f>_xll.QS.CONTEXT.CREATE("market.4065",A4067,"USD","SOFR")</f>
        <v>QSObject:PricingContext:w1~market.4065:13725</v>
      </c>
      <c r="D4067" s="6" t="str">
        <f>_xll.QS.CONTEXT.ADD.CURVE(C4067,"SOFR",$K$2:$K$7,$L$2:$L$7,,,"Actual360","LogLinear",TRUE)</f>
        <v>QSObject:ContextInput:w1~input.qs_context_add_curve.2359132437744.4066.3.0:36495</v>
      </c>
      <c r="E4067" s="6" t="str">
        <f>_xll.QS.INSTRUMENT.SWAP("swap.4065",H4067,B4067,"USD","SOFR",I4067,J4067,0,"Actual360","Simple","Annual","Annual","Annual")</f>
        <v>QSObject:Swap:w1~swap.4065:13724</v>
      </c>
      <c r="F4067" s="6" t="str">
        <f>_xll.QS.TRADE.CREATE("trade.4065",E4067,A4067,"Receive")</f>
        <v>QSObject:SwapTrade:w1~trade.4065:27778</v>
      </c>
      <c r="G4067" s="3">
        <f>_xll.QS.EVALUATE(C4067,F4067)</f>
        <v>29086.251024434867</v>
      </c>
      <c r="H4067" s="5" t="s">
        <v>4107</v>
      </c>
      <c r="I4067" s="7">
        <v>1406500</v>
      </c>
      <c r="J4067" s="8">
        <v>3.6499999999999998E-2</v>
      </c>
    </row>
    <row r="4068" spans="1:10" x14ac:dyDescent="0.25">
      <c r="A4068" s="5" t="s">
        <v>4101</v>
      </c>
      <c r="B4068" s="5" t="s">
        <v>5935</v>
      </c>
      <c r="C4068" s="6" t="str">
        <f>_xll.QS.CONTEXT.CREATE("market.4066",A4068,"USD","SOFR")</f>
        <v>QSObject:PricingContext:w1~market.4066:13723</v>
      </c>
      <c r="D4068" s="6" t="str">
        <f>_xll.QS.CONTEXT.ADD.CURVE(C4068,"SOFR",$K$2:$K$7,$L$2:$L$7,,,"Actual360","LogLinear",TRUE)</f>
        <v>QSObject:ContextInput:w1~input.qs_context_add_curve.2359132437744.4067.3.0:36494</v>
      </c>
      <c r="E4068" s="6" t="str">
        <f>_xll.QS.INSTRUMENT.SWAP("swap.4066",H4068,B4068,"USD","SOFR",I4068,J4068,0,"Actual360","Simple","Annual","Annual","Annual")</f>
        <v>QSObject:Swap:w1~swap.4066:13722</v>
      </c>
      <c r="F4068" s="6" t="str">
        <f>_xll.QS.TRADE.CREATE("trade.4066",E4068,A4068,"Receive")</f>
        <v>QSObject:SwapTrade:w1~trade.4066:27777</v>
      </c>
      <c r="G4068" s="3">
        <f>_xll.QS.EVALUATE(C4068,F4068)</f>
        <v>29622.434825746743</v>
      </c>
      <c r="H4068" s="5" t="s">
        <v>4108</v>
      </c>
      <c r="I4068" s="7">
        <v>1406600</v>
      </c>
      <c r="J4068" s="8">
        <v>3.6600000000000001E-2</v>
      </c>
    </row>
    <row r="4069" spans="1:10" x14ac:dyDescent="0.25">
      <c r="A4069" s="5" t="s">
        <v>4102</v>
      </c>
      <c r="B4069" s="5" t="s">
        <v>5936</v>
      </c>
      <c r="C4069" s="6" t="str">
        <f>_xll.QS.CONTEXT.CREATE("market.4067",A4069,"USD","SOFR")</f>
        <v>QSObject:PricingContext:w1~market.4067:13721</v>
      </c>
      <c r="D4069" s="6" t="str">
        <f>_xll.QS.CONTEXT.ADD.CURVE(C4069,"SOFR",$K$2:$K$7,$L$2:$L$7,,,"Actual360","LogLinear",TRUE)</f>
        <v>QSObject:ContextInput:w1~input.qs_context_add_curve.2359132437744.4068.3.0:36493</v>
      </c>
      <c r="E4069" s="6" t="str">
        <f>_xll.QS.INSTRUMENT.SWAP("swap.4067",H4069,B4069,"USD","SOFR",I4069,J4069,0,"Actual360","Simple","Annual","Annual","Annual")</f>
        <v>QSObject:Swap:w1~swap.4067:13720</v>
      </c>
      <c r="F4069" s="6" t="str">
        <f>_xll.QS.TRADE.CREATE("trade.4067",E4069,A4069,"Receive")</f>
        <v>QSObject:SwapTrade:w1~trade.4067:27776</v>
      </c>
      <c r="G4069" s="3">
        <f>_xll.QS.EVALUATE(C4069,F4069)</f>
        <v>30275.68291059792</v>
      </c>
      <c r="H4069" s="5" t="s">
        <v>4109</v>
      </c>
      <c r="I4069" s="7">
        <v>1406700</v>
      </c>
      <c r="J4069" s="8">
        <v>3.6700000000000003E-2</v>
      </c>
    </row>
    <row r="4070" spans="1:10" x14ac:dyDescent="0.25">
      <c r="A4070" s="5" t="s">
        <v>4103</v>
      </c>
      <c r="B4070" s="5" t="s">
        <v>5937</v>
      </c>
      <c r="C4070" s="6" t="str">
        <f>_xll.QS.CONTEXT.CREATE("market.4068",A4070,"USD","SOFR")</f>
        <v>QSObject:PricingContext:w1~market.4068:13719</v>
      </c>
      <c r="D4070" s="6" t="str">
        <f>_xll.QS.CONTEXT.ADD.CURVE(C4070,"SOFR",$K$2:$K$7,$L$2:$L$7,,,"Actual360","LogLinear",TRUE)</f>
        <v>QSObject:ContextInput:w1~input.qs_context_add_curve.2359132437744.4069.3.0:36492</v>
      </c>
      <c r="E4070" s="6" t="str">
        <f>_xll.QS.INSTRUMENT.SWAP("swap.4068",H4070,B4070,"USD","SOFR",I4070,J4070,0,"Actual360","Simple","Annual","Annual","Annual")</f>
        <v>QSObject:Swap:w1~swap.4068:13718</v>
      </c>
      <c r="F4070" s="6" t="str">
        <f>_xll.QS.TRADE.CREATE("trade.4068",E4070,A4070,"Receive")</f>
        <v>QSObject:SwapTrade:w1~trade.4068:27775</v>
      </c>
      <c r="G4070" s="3">
        <f>_xll.QS.EVALUATE(C4070,F4070)</f>
        <v>30965.482253912138</v>
      </c>
      <c r="H4070" s="5" t="s">
        <v>4110</v>
      </c>
      <c r="I4070" s="7">
        <v>1406800</v>
      </c>
      <c r="J4070" s="8">
        <v>3.6800000000000013E-2</v>
      </c>
    </row>
    <row r="4071" spans="1:10" x14ac:dyDescent="0.25">
      <c r="A4071" s="5" t="s">
        <v>4104</v>
      </c>
      <c r="B4071" s="5" t="s">
        <v>5938</v>
      </c>
      <c r="C4071" s="6" t="str">
        <f>_xll.QS.CONTEXT.CREATE("market.4069",A4071,"USD","SOFR")</f>
        <v>QSObject:PricingContext:w1~market.4069:13717</v>
      </c>
      <c r="D4071" s="6" t="str">
        <f>_xll.QS.CONTEXT.ADD.CURVE(C4071,"SOFR",$K$2:$K$7,$L$2:$L$7,,,"Actual360","LogLinear",TRUE)</f>
        <v>QSObject:ContextInput:w1~input.qs_context_add_curve.2359132437744.4070.3.0:36491</v>
      </c>
      <c r="E4071" s="6" t="str">
        <f>_xll.QS.INSTRUMENT.SWAP("swap.4069",H4071,B4071,"USD","SOFR",I4071,J4071,0,"Actual360","Simple","Annual","Annual","Annual")</f>
        <v>QSObject:Swap:w1~swap.4069:13716</v>
      </c>
      <c r="F4071" s="6" t="str">
        <f>_xll.QS.TRADE.CREATE("trade.4069",E4071,A4071,"Receive")</f>
        <v>QSObject:SwapTrade:w1~trade.4069:27774</v>
      </c>
      <c r="G4071" s="3">
        <f>_xll.QS.EVALUATE(C4071,F4071)</f>
        <v>31719.368192682923</v>
      </c>
      <c r="H4071" s="5" t="s">
        <v>4111</v>
      </c>
      <c r="I4071" s="7">
        <v>1406900</v>
      </c>
      <c r="J4071" s="8">
        <v>3.6900000000000002E-2</v>
      </c>
    </row>
    <row r="4072" spans="1:10" x14ac:dyDescent="0.25">
      <c r="A4072" s="5" t="s">
        <v>4105</v>
      </c>
      <c r="B4072" s="5" t="s">
        <v>5939</v>
      </c>
      <c r="C4072" s="6" t="str">
        <f>_xll.QS.CONTEXT.CREATE("market.4070",A4072,"USD","SOFR")</f>
        <v>QSObject:PricingContext:w1~market.4070:13715</v>
      </c>
      <c r="D4072" s="6" t="str">
        <f>_xll.QS.CONTEXT.ADD.CURVE(C4072,"SOFR",$K$2:$K$7,$L$2:$L$7,,,"Actual360","LogLinear",TRUE)</f>
        <v>QSObject:ContextInput:w1~input.qs_context_add_curve.2359132437744.4071.3.0:36490</v>
      </c>
      <c r="E4072" s="6" t="str">
        <f>_xll.QS.INSTRUMENT.SWAP("swap.4070",H4072,B4072,"USD","SOFR",I4072,J4072,0,"Actual360","Simple","Annual","Annual","Annual")</f>
        <v>QSObject:Swap:w1~swap.4070:13714</v>
      </c>
      <c r="F4072" s="6" t="str">
        <f>_xll.QS.TRADE.CREATE("trade.4070",E4072,A4072,"Receive")</f>
        <v>QSObject:SwapTrade:w1~trade.4070:27773</v>
      </c>
      <c r="G4072" s="3">
        <f>_xll.QS.EVALUATE(C4072,F4072)</f>
        <v>32431.685154742612</v>
      </c>
      <c r="H4072" s="5" t="s">
        <v>4113</v>
      </c>
      <c r="I4072" s="7">
        <v>1407000</v>
      </c>
      <c r="J4072" s="8">
        <v>3.7000000000000012E-2</v>
      </c>
    </row>
    <row r="4073" spans="1:10" x14ac:dyDescent="0.25">
      <c r="A4073" s="5" t="s">
        <v>4106</v>
      </c>
      <c r="B4073" s="5" t="s">
        <v>5940</v>
      </c>
      <c r="C4073" s="6" t="str">
        <f>_xll.QS.CONTEXT.CREATE("market.4071",A4073,"USD","SOFR")</f>
        <v>QSObject:PricingContext:w1~market.4071:13713</v>
      </c>
      <c r="D4073" s="6" t="str">
        <f>_xll.QS.CONTEXT.ADD.CURVE(C4073,"SOFR",$K$2:$K$7,$L$2:$L$7,,,"Actual360","LogLinear",TRUE)</f>
        <v>QSObject:ContextInput:w1~input.qs_context_add_curve.2359132437744.4072.3.0:36489</v>
      </c>
      <c r="E4073" s="6" t="str">
        <f>_xll.QS.INSTRUMENT.SWAP("swap.4071",H4073,B4073,"USD","SOFR",I4073,J4073,0,"Actual360","Simple","Annual","Annual","Annual")</f>
        <v>QSObject:Swap:w1~swap.4071:13712</v>
      </c>
      <c r="F4073" s="6" t="str">
        <f>_xll.QS.TRADE.CREATE("trade.4071",E4073,A4073,"Receive")</f>
        <v>QSObject:SwapTrade:w1~trade.4071:27772</v>
      </c>
      <c r="G4073" s="3">
        <f>_xll.QS.EVALUATE(C4073,F4073)</f>
        <v>33028.608813510989</v>
      </c>
      <c r="H4073" s="5" t="s">
        <v>4114</v>
      </c>
      <c r="I4073" s="7">
        <v>1407100</v>
      </c>
      <c r="J4073" s="8">
        <v>3.7100000000000001E-2</v>
      </c>
    </row>
    <row r="4074" spans="1:10" x14ac:dyDescent="0.25">
      <c r="A4074" s="5" t="s">
        <v>4107</v>
      </c>
      <c r="B4074" s="5" t="s">
        <v>5941</v>
      </c>
      <c r="C4074" s="6" t="str">
        <f>_xll.QS.CONTEXT.CREATE("market.4072",A4074,"USD","SOFR")</f>
        <v>QSObject:PricingContext:w1~market.4072:13711</v>
      </c>
      <c r="D4074" s="6" t="str">
        <f>_xll.QS.CONTEXT.ADD.CURVE(C4074,"SOFR",$K$2:$K$7,$L$2:$L$7,,,"Actual360","LogLinear",TRUE)</f>
        <v>QSObject:ContextInput:w1~input.qs_context_add_curve.2359132437744.4073.3.0:36488</v>
      </c>
      <c r="E4074" s="6" t="str">
        <f>_xll.QS.INSTRUMENT.SWAP("swap.4072",H4074,B4074,"USD","SOFR",I4074,J4074,0,"Actual360","Simple","Annual","Annual","Annual")</f>
        <v>QSObject:Swap:w1~swap.4072:13710</v>
      </c>
      <c r="F4074" s="6" t="str">
        <f>_xll.QS.TRADE.CREATE("trade.4072",E4074,A4074,"Receive")</f>
        <v>QSObject:SwapTrade:w1~trade.4072:27771</v>
      </c>
      <c r="G4074" s="3">
        <f>_xll.QS.EVALUATE(C4074,F4074)</f>
        <v>33580.890980289951</v>
      </c>
      <c r="H4074" s="5" t="s">
        <v>4115</v>
      </c>
      <c r="I4074" s="7">
        <v>1407200</v>
      </c>
      <c r="J4074" s="8">
        <v>3.7199999999999997E-2</v>
      </c>
    </row>
    <row r="4075" spans="1:10" x14ac:dyDescent="0.25">
      <c r="A4075" s="5" t="s">
        <v>4108</v>
      </c>
      <c r="B4075" s="5" t="s">
        <v>5942</v>
      </c>
      <c r="C4075" s="6" t="str">
        <f>_xll.QS.CONTEXT.CREATE("market.4073",A4075,"USD","SOFR")</f>
        <v>QSObject:PricingContext:w1~market.4073:13709</v>
      </c>
      <c r="D4075" s="6" t="str">
        <f>_xll.QS.CONTEXT.ADD.CURVE(C4075,"SOFR",$K$2:$K$7,$L$2:$L$7,,,"Actual360","LogLinear",TRUE)</f>
        <v>QSObject:ContextInput:w1~input.qs_context_add_curve.2359132437744.4074.3.0:36487</v>
      </c>
      <c r="E4075" s="6" t="str">
        <f>_xll.QS.INSTRUMENT.SWAP("swap.4073",H4075,B4075,"USD","SOFR",I4075,J4075,0,"Actual360","Simple","Annual","Annual","Annual")</f>
        <v>QSObject:Swap:w1~swap.4073:13708</v>
      </c>
      <c r="F4075" s="6" t="str">
        <f>_xll.QS.TRADE.CREATE("trade.4073",E4075,A4075,"Receive")</f>
        <v>QSObject:SwapTrade:w1~trade.4073:27770</v>
      </c>
      <c r="G4075" s="3">
        <f>_xll.QS.EVALUATE(C4075,F4075)</f>
        <v>34124.83181657338</v>
      </c>
      <c r="H4075" s="5" t="s">
        <v>4116</v>
      </c>
      <c r="I4075" s="7">
        <v>1407300</v>
      </c>
      <c r="J4075" s="8">
        <v>3.73E-2</v>
      </c>
    </row>
    <row r="4076" spans="1:10" x14ac:dyDescent="0.25">
      <c r="A4076" s="5" t="s">
        <v>4109</v>
      </c>
      <c r="B4076" s="5" t="s">
        <v>5943</v>
      </c>
      <c r="C4076" s="6" t="str">
        <f>_xll.QS.CONTEXT.CREATE("market.4074",A4076,"USD","SOFR")</f>
        <v>QSObject:PricingContext:w1~market.4074:13707</v>
      </c>
      <c r="D4076" s="6" t="str">
        <f>_xll.QS.CONTEXT.ADD.CURVE(C4076,"SOFR",$K$2:$K$7,$L$2:$L$7,,,"Actual360","LogLinear",TRUE)</f>
        <v>QSObject:ContextInput:w1~input.qs_context_add_curve.2359132437744.4075.3.0:35914</v>
      </c>
      <c r="E4076" s="6" t="str">
        <f>_xll.QS.INSTRUMENT.SWAP("swap.4074",H4076,B4076,"USD","SOFR",I4076,J4076,0,"Actual360","Simple","Annual","Annual","Annual")</f>
        <v>QSObject:Swap:w1~swap.4074:13706</v>
      </c>
      <c r="F4076" s="6" t="str">
        <f>_xll.QS.TRADE.CREATE("trade.4074",E4076,A4076,"Receive")</f>
        <v>QSObject:SwapTrade:w1~trade.4074:27769</v>
      </c>
      <c r="G4076" s="3">
        <f>_xll.QS.EVALUATE(C4076,F4076)</f>
        <v>34835.584815672803</v>
      </c>
      <c r="H4076" s="5" t="s">
        <v>4117</v>
      </c>
      <c r="I4076" s="7">
        <v>1407400</v>
      </c>
      <c r="J4076" s="8">
        <v>3.7400000000000003E-2</v>
      </c>
    </row>
    <row r="4077" spans="1:10" x14ac:dyDescent="0.25">
      <c r="A4077" s="5" t="s">
        <v>4110</v>
      </c>
      <c r="B4077" s="5" t="s">
        <v>5944</v>
      </c>
      <c r="C4077" s="6" t="str">
        <f>_xll.QS.CONTEXT.CREATE("market.4075",A4077,"USD","SOFR")</f>
        <v>QSObject:PricingContext:w1~market.4075:13705</v>
      </c>
      <c r="D4077" s="6" t="str">
        <f>_xll.QS.CONTEXT.ADD.CURVE(C4077,"SOFR",$K$2:$K$7,$L$2:$L$7,,,"Actual360","LogLinear",TRUE)</f>
        <v>QSObject:ContextInput:w1~input.qs_context_add_curve.2359132437744.4076.3.0:34089</v>
      </c>
      <c r="E4077" s="6" t="str">
        <f>_xll.QS.INSTRUMENT.SWAP("swap.4075",H4077,B4077,"USD","SOFR",I4077,J4077,0,"Actual360","Simple","Annual","Annual","Annual")</f>
        <v>QSObject:Swap:w1~swap.4075:13704</v>
      </c>
      <c r="F4077" s="6" t="str">
        <f>_xll.QS.TRADE.CREATE("trade.4075",E4077,A4077,"Receive")</f>
        <v>QSObject:SwapTrade:w1~trade.4075:27768</v>
      </c>
      <c r="G4077" s="3">
        <f>_xll.QS.EVALUATE(C4077,F4077)</f>
        <v>35523.962338277976</v>
      </c>
      <c r="H4077" s="5" t="s">
        <v>4118</v>
      </c>
      <c r="I4077" s="7">
        <v>1407500</v>
      </c>
      <c r="J4077" s="8">
        <v>3.7500000000000012E-2</v>
      </c>
    </row>
    <row r="4078" spans="1:10" x14ac:dyDescent="0.25">
      <c r="A4078" s="5" t="s">
        <v>4111</v>
      </c>
      <c r="B4078" s="5" t="s">
        <v>5945</v>
      </c>
      <c r="C4078" s="6" t="str">
        <f>_xll.QS.CONTEXT.CREATE("market.4076",A4078,"USD","SOFR")</f>
        <v>QSObject:PricingContext:w1~market.4076:13703</v>
      </c>
      <c r="D4078" s="6" t="str">
        <f>_xll.QS.CONTEXT.ADD.CURVE(C4078,"SOFR",$K$2:$K$7,$L$2:$L$7,,,"Actual360","LogLinear",TRUE)</f>
        <v>QSObject:ContextInput:w1~input.qs_context_add_curve.2359132437744.4077.3.0:32971</v>
      </c>
      <c r="E4078" s="6" t="str">
        <f>_xll.QS.INSTRUMENT.SWAP("swap.4076",H4078,B4078,"USD","SOFR",I4078,J4078,0,"Actual360","Simple","Annual","Annual","Annual")</f>
        <v>QSObject:Swap:w1~swap.4076:13702</v>
      </c>
      <c r="F4078" s="6" t="str">
        <f>_xll.QS.TRADE.CREATE("trade.4076",E4078,A4078,"Receive")</f>
        <v>QSObject:SwapTrade:w1~trade.4076:27767</v>
      </c>
      <c r="G4078" s="3">
        <f>_xll.QS.EVALUATE(C4078,F4078)</f>
        <v>36278.693303719359</v>
      </c>
      <c r="H4078" s="5" t="s">
        <v>4119</v>
      </c>
      <c r="I4078" s="7">
        <v>1407600</v>
      </c>
      <c r="J4078" s="8">
        <v>3.7600000000000001E-2</v>
      </c>
    </row>
    <row r="4079" spans="1:10" x14ac:dyDescent="0.25">
      <c r="A4079" s="5" t="s">
        <v>4113</v>
      </c>
      <c r="B4079" s="5" t="s">
        <v>5946</v>
      </c>
      <c r="C4079" s="6" t="str">
        <f>_xll.QS.CONTEXT.CREATE("market.4077",A4079,"USD","SOFR")</f>
        <v>QSObject:PricingContext:w1~market.4077:13701</v>
      </c>
      <c r="D4079" s="6" t="str">
        <f>_xll.QS.CONTEXT.ADD.CURVE(C4079,"SOFR",$K$2:$K$7,$L$2:$L$7,,,"Actual360","LogLinear",TRUE)</f>
        <v>QSObject:ContextInput:w1~input.qs_context_add_curve.2359132437744.4078.3.0:34088</v>
      </c>
      <c r="E4079" s="6" t="str">
        <f>_xll.QS.INSTRUMENT.SWAP("swap.4077",H4079,B4079,"USD","SOFR",I4079,J4079,0,"Actual360","Simple","Annual","Annual","Annual")</f>
        <v>QSObject:Swap:w1~swap.4077:13700</v>
      </c>
      <c r="F4079" s="6" t="str">
        <f>_xll.QS.TRADE.CREATE("trade.4077",E4079,A4079,"Receive")</f>
        <v>QSObject:SwapTrade:w1~trade.4077:27766</v>
      </c>
      <c r="G4079" s="3">
        <f>_xll.QS.EVALUATE(C4079,F4079)</f>
        <v>36991.927396142084</v>
      </c>
      <c r="H4079" s="5" t="s">
        <v>4120</v>
      </c>
      <c r="I4079" s="7">
        <v>1407700</v>
      </c>
      <c r="J4079" s="8">
        <v>3.7699999999999997E-2</v>
      </c>
    </row>
    <row r="4080" spans="1:10" x14ac:dyDescent="0.25">
      <c r="A4080" s="5" t="s">
        <v>4114</v>
      </c>
      <c r="B4080" s="5" t="s">
        <v>5947</v>
      </c>
      <c r="C4080" s="6" t="str">
        <f>_xll.QS.CONTEXT.CREATE("market.4078",A4080,"USD","SOFR")</f>
        <v>QSObject:PricingContext:w1~market.4078:13699</v>
      </c>
      <c r="D4080" s="6" t="str">
        <f>_xll.QS.CONTEXT.ADD.CURVE(C4080,"SOFR",$K$2:$K$7,$L$2:$L$7,,,"Actual360","LogLinear",TRUE)</f>
        <v>QSObject:ContextInput:w1~input.qs_context_add_curve.2359132437744.4079.3.0:34087</v>
      </c>
      <c r="E4080" s="6" t="str">
        <f>_xll.QS.INSTRUMENT.SWAP("swap.4078",H4080,B4080,"USD","SOFR",I4080,J4080,0,"Actual360","Simple","Annual","Annual","Annual")</f>
        <v>QSObject:Swap:w1~swap.4078:13698</v>
      </c>
      <c r="F4080" s="6" t="str">
        <f>_xll.QS.TRADE.CREATE("trade.4078",E4080,A4080,"Receive")</f>
        <v>QSObject:SwapTrade:w1~trade.4078:27765</v>
      </c>
      <c r="G4080" s="3">
        <f>_xll.QS.EVALUATE(C4080,F4080)</f>
        <v>37589.58674365349</v>
      </c>
      <c r="H4080" s="5" t="s">
        <v>4121</v>
      </c>
      <c r="I4080" s="7">
        <v>1407800</v>
      </c>
      <c r="J4080" s="8">
        <v>3.78E-2</v>
      </c>
    </row>
    <row r="4081" spans="1:10" x14ac:dyDescent="0.25">
      <c r="A4081" s="5" t="s">
        <v>4115</v>
      </c>
      <c r="B4081" s="5" t="s">
        <v>5948</v>
      </c>
      <c r="C4081" s="6" t="str">
        <f>_xll.QS.CONTEXT.CREATE("market.4079",A4081,"USD","SOFR")</f>
        <v>QSObject:PricingContext:w1~market.4079:13697</v>
      </c>
      <c r="D4081" s="6" t="str">
        <f>_xll.QS.CONTEXT.ADD.CURVE(C4081,"SOFR",$K$2:$K$7,$L$2:$L$7,,,"Actual360","LogLinear",TRUE)</f>
        <v>QSObject:ContextInput:w1~input.qs_context_add_curve.2359132437744.4080.3.0:36465</v>
      </c>
      <c r="E4081" s="6" t="str">
        <f>_xll.QS.INSTRUMENT.SWAP("swap.4079",H4081,B4081,"USD","SOFR",I4081,J4081,0,"Actual360","Simple","Annual","Annual","Annual")</f>
        <v>QSObject:Swap:w1~swap.4079:13696</v>
      </c>
      <c r="F4081" s="6" t="str">
        <f>_xll.QS.TRADE.CREATE("trade.4079",E4081,A4081,"Receive")</f>
        <v>QSObject:SwapTrade:w1~trade.4079:27764</v>
      </c>
      <c r="G4081" s="3">
        <f>_xll.QS.EVALUATE(C4081,F4081)</f>
        <v>38137.112467454746</v>
      </c>
      <c r="H4081" s="5" t="s">
        <v>4122</v>
      </c>
      <c r="I4081" s="7">
        <v>1407900</v>
      </c>
      <c r="J4081" s="8">
        <v>3.7900000000000003E-2</v>
      </c>
    </row>
    <row r="4082" spans="1:10" x14ac:dyDescent="0.25">
      <c r="A4082" s="5" t="s">
        <v>4116</v>
      </c>
      <c r="B4082" s="5" t="s">
        <v>5949</v>
      </c>
      <c r="C4082" s="6" t="str">
        <f>_xll.QS.CONTEXT.CREATE("market.4080",A4082,"USD","SOFR")</f>
        <v>QSObject:PricingContext:w1~market.4080:13695</v>
      </c>
      <c r="D4082" s="6" t="str">
        <f>_xll.QS.CONTEXT.ADD.CURVE(C4082,"SOFR",$K$2:$K$7,$L$2:$L$7,,,"Actual360","LogLinear",TRUE)</f>
        <v>QSObject:ContextInput:w1~input.qs_context_add_curve.2359132437744.4081.3.0:35913</v>
      </c>
      <c r="E4082" s="6" t="str">
        <f>_xll.QS.INSTRUMENT.SWAP("swap.4080",H4082,B4082,"USD","SOFR",I4082,J4082,0,"Actual360","Simple","Annual","Annual","Annual")</f>
        <v>QSObject:Swap:w1~swap.4080:13694</v>
      </c>
      <c r="F4082" s="6" t="str">
        <f>_xll.QS.TRADE.CREATE("trade.4080",E4082,A4082,"Receive")</f>
        <v>QSObject:SwapTrade:w1~trade.4080:27763</v>
      </c>
      <c r="G4082" s="3">
        <f>_xll.QS.EVALUATE(C4082,F4082)</f>
        <v>38688.688907922311</v>
      </c>
      <c r="H4082" s="5" t="s">
        <v>4123</v>
      </c>
      <c r="I4082" s="7">
        <v>1408000</v>
      </c>
      <c r="J4082" s="8">
        <v>3.8000000000000013E-2</v>
      </c>
    </row>
    <row r="4083" spans="1:10" x14ac:dyDescent="0.25">
      <c r="A4083" s="5" t="s">
        <v>4117</v>
      </c>
      <c r="B4083" s="5" t="s">
        <v>5950</v>
      </c>
      <c r="C4083" s="6" t="str">
        <f>_xll.QS.CONTEXT.CREATE("market.4081",A4083,"USD","SOFR")</f>
        <v>QSObject:PricingContext:w1~market.4081:13693</v>
      </c>
      <c r="D4083" s="6" t="str">
        <f>_xll.QS.CONTEXT.ADD.CURVE(C4083,"SOFR",$K$2:$K$7,$L$2:$L$7,,,"Actual360","LogLinear",TRUE)</f>
        <v>QSObject:ContextInput:w1~input.qs_context_add_curve.2359132437744.4082.3.0:33510</v>
      </c>
      <c r="E4083" s="6" t="str">
        <f>_xll.QS.INSTRUMENT.SWAP("swap.4081",H4083,B4083,"USD","SOFR",I4083,J4083,0,"Actual360","Simple","Annual","Annual","Annual")</f>
        <v>QSObject:Swap:w1~swap.4081:13692</v>
      </c>
      <c r="F4083" s="6" t="str">
        <f>_xll.QS.TRADE.CREATE("trade.4081",E4083,A4083,"Receive")</f>
        <v>QSObject:SwapTrade:w1~trade.4081:27762</v>
      </c>
      <c r="G4083" s="3">
        <f>_xll.QS.EVALUATE(C4083,F4083)</f>
        <v>39400.540873299193</v>
      </c>
      <c r="H4083" s="5" t="s">
        <v>4124</v>
      </c>
      <c r="I4083" s="7">
        <v>1408100</v>
      </c>
      <c r="J4083" s="8">
        <v>3.8100000000000002E-2</v>
      </c>
    </row>
    <row r="4084" spans="1:10" x14ac:dyDescent="0.25">
      <c r="A4084" s="5" t="s">
        <v>4118</v>
      </c>
      <c r="B4084" s="5" t="s">
        <v>5951</v>
      </c>
      <c r="C4084" s="6" t="str">
        <f>_xll.QS.CONTEXT.CREATE("market.4082",A4084,"USD","SOFR")</f>
        <v>QSObject:PricingContext:w1~market.4082:13691</v>
      </c>
      <c r="D4084" s="6" t="str">
        <f>_xll.QS.CONTEXT.ADD.CURVE(C4084,"SOFR",$K$2:$K$7,$L$2:$L$7,,,"Actual360","LogLinear",TRUE)</f>
        <v>QSObject:ContextInput:w1~input.qs_context_add_curve.2359132437744.4083.3.0:36464</v>
      </c>
      <c r="E4084" s="6" t="str">
        <f>_xll.QS.INSTRUMENT.SWAP("swap.4082",H4084,B4084,"USD","SOFR",I4084,J4084,0,"Actual360","Simple","Annual","Annual","Annual")</f>
        <v>QSObject:Swap:w1~swap.4082:13690</v>
      </c>
      <c r="F4084" s="6" t="str">
        <f>_xll.QS.TRADE.CREATE("trade.4082",E4084,A4084,"Receive")</f>
        <v>QSObject:SwapTrade:w1~trade.4082:27761</v>
      </c>
      <c r="G4084" s="3">
        <f>_xll.QS.EVALUATE(C4084,F4084)</f>
        <v>40087.188310560479</v>
      </c>
      <c r="H4084" s="5" t="s">
        <v>4125</v>
      </c>
      <c r="I4084" s="7">
        <v>1408200</v>
      </c>
      <c r="J4084" s="8">
        <v>3.8199999999999998E-2</v>
      </c>
    </row>
    <row r="4085" spans="1:10" x14ac:dyDescent="0.25">
      <c r="A4085" s="5" t="s">
        <v>4119</v>
      </c>
      <c r="B4085" s="5" t="s">
        <v>5952</v>
      </c>
      <c r="C4085" s="6" t="str">
        <f>_xll.QS.CONTEXT.CREATE("market.4083",A4085,"USD","SOFR")</f>
        <v>QSObject:PricingContext:w1~market.4083:13689</v>
      </c>
      <c r="D4085" s="6" t="str">
        <f>_xll.QS.CONTEXT.ADD.CURVE(C4085,"SOFR",$K$2:$K$7,$L$2:$L$7,,,"Actual360","LogLinear",TRUE)</f>
        <v>QSObject:ContextInput:w1~input.qs_context_add_curve.2359132437744.4084.3.0:35912</v>
      </c>
      <c r="E4085" s="6" t="str">
        <f>_xll.QS.INSTRUMENT.SWAP("swap.4083",H4085,B4085,"USD","SOFR",I4085,J4085,0,"Actual360","Simple","Annual","Annual","Annual")</f>
        <v>QSObject:Swap:w1~swap.4083:13688</v>
      </c>
      <c r="F4085" s="6" t="str">
        <f>_xll.QS.TRADE.CREATE("trade.4083",E4085,A4085,"Receive")</f>
        <v>QSObject:SwapTrade:w1~trade.4083:27760</v>
      </c>
      <c r="G4085" s="3">
        <f>_xll.QS.EVALUATE(C4085,F4085)</f>
        <v>40842.688078748914</v>
      </c>
      <c r="H4085" s="5" t="s">
        <v>4126</v>
      </c>
      <c r="I4085" s="7">
        <v>1408300</v>
      </c>
      <c r="J4085" s="8">
        <v>3.8300000000000001E-2</v>
      </c>
    </row>
    <row r="4086" spans="1:10" x14ac:dyDescent="0.25">
      <c r="A4086" s="5" t="s">
        <v>4120</v>
      </c>
      <c r="B4086" s="5" t="s">
        <v>5953</v>
      </c>
      <c r="C4086" s="6" t="str">
        <f>_xll.QS.CONTEXT.CREATE("market.4084",A4086,"USD","SOFR")</f>
        <v>QSObject:PricingContext:w1~market.4084:13687</v>
      </c>
      <c r="D4086" s="6" t="str">
        <f>_xll.QS.CONTEXT.ADD.CURVE(C4086,"SOFR",$K$2:$K$7,$L$2:$L$7,,,"Actual360","LogLinear",TRUE)</f>
        <v>QSObject:ContextInput:w1~input.qs_context_add_curve.2359132437744.4085.3.0:36463</v>
      </c>
      <c r="E4086" s="6" t="str">
        <f>_xll.QS.INSTRUMENT.SWAP("swap.4084",H4086,B4086,"USD","SOFR",I4086,J4086,0,"Actual360","Simple","Annual","Annual","Annual")</f>
        <v>QSObject:Swap:w1~swap.4084:13686</v>
      </c>
      <c r="F4086" s="6" t="str">
        <f>_xll.QS.TRADE.CREATE("trade.4084",E4086,A4086,"Receive")</f>
        <v>QSObject:SwapTrade:w1~trade.4084:27759</v>
      </c>
      <c r="G4086" s="3">
        <f>_xll.QS.EVALUATE(C4086,F4086)</f>
        <v>41556.650539127069</v>
      </c>
      <c r="H4086" s="5" t="s">
        <v>4127</v>
      </c>
      <c r="I4086" s="7">
        <v>1408400</v>
      </c>
      <c r="J4086" s="8">
        <v>3.8399999999999997E-2</v>
      </c>
    </row>
    <row r="4087" spans="1:10" x14ac:dyDescent="0.25">
      <c r="A4087" s="5" t="s">
        <v>4121</v>
      </c>
      <c r="B4087" s="5" t="s">
        <v>5954</v>
      </c>
      <c r="C4087" s="6" t="str">
        <f>_xll.QS.CONTEXT.CREATE("market.4085",A4087,"USD","SOFR")</f>
        <v>QSObject:PricingContext:w1~market.4085:13685</v>
      </c>
      <c r="D4087" s="6" t="str">
        <f>_xll.QS.CONTEXT.ADD.CURVE(C4087,"SOFR",$K$2:$K$7,$L$2:$L$7,,,"Actual360","LogLinear",TRUE)</f>
        <v>QSObject:ContextInput:w1~input.qs_context_add_curve.2359132437744.4086.3.0:33509</v>
      </c>
      <c r="E4087" s="6" t="str">
        <f>_xll.QS.INSTRUMENT.SWAP("swap.4085",H4087,B4087,"USD","SOFR",I4087,J4087,0,"Actual360","Simple","Annual","Annual","Annual")</f>
        <v>QSObject:Swap:w1~swap.4085:13684</v>
      </c>
      <c r="F4087" s="6" t="str">
        <f>_xll.QS.TRADE.CREATE("trade.4085",E4087,A4087,"Receive")</f>
        <v>QSObject:SwapTrade:w1~trade.4085:27758</v>
      </c>
      <c r="G4087" s="3">
        <f>_xll.QS.EVALUATE(C4087,F4087)</f>
        <v>42154.878607442493</v>
      </c>
      <c r="H4087" s="5" t="s">
        <v>4128</v>
      </c>
      <c r="I4087" s="7">
        <v>1408500</v>
      </c>
      <c r="J4087" s="8">
        <v>3.8500000000000013E-2</v>
      </c>
    </row>
    <row r="4088" spans="1:10" x14ac:dyDescent="0.25">
      <c r="A4088" s="5" t="s">
        <v>4122</v>
      </c>
      <c r="B4088" s="5" t="s">
        <v>5955</v>
      </c>
      <c r="C4088" s="6" t="str">
        <f>_xll.QS.CONTEXT.CREATE("market.4086",A4088,"USD","SOFR")</f>
        <v>QSObject:PricingContext:w1~market.4086:13683</v>
      </c>
      <c r="D4088" s="6" t="str">
        <f>_xll.QS.CONTEXT.ADD.CURVE(C4088,"SOFR",$K$2:$K$7,$L$2:$L$7,,,"Actual360","LogLinear",TRUE)</f>
        <v>QSObject:ContextInput:w1~input.qs_context_add_curve.2359132437744.4087.3.0:34722</v>
      </c>
      <c r="E4088" s="6" t="str">
        <f>_xll.QS.INSTRUMENT.SWAP("swap.4086",H4088,B4088,"USD","SOFR",I4088,J4088,0,"Actual360","Simple","Annual","Annual","Annual")</f>
        <v>QSObject:Swap:w1~swap.4086:13682</v>
      </c>
      <c r="F4088" s="6" t="str">
        <f>_xll.QS.TRADE.CREATE("trade.4086",E4088,A4088,"Receive")</f>
        <v>QSObject:SwapTrade:w1~trade.4086:27757</v>
      </c>
      <c r="G4088" s="3">
        <f>_xll.QS.EVALUATE(C4088,F4088)</f>
        <v>42697.643319703704</v>
      </c>
      <c r="H4088" s="5" t="s">
        <v>4129</v>
      </c>
      <c r="I4088" s="7">
        <v>1408600</v>
      </c>
      <c r="J4088" s="8">
        <v>3.8600000000000002E-2</v>
      </c>
    </row>
    <row r="4089" spans="1:10" x14ac:dyDescent="0.25">
      <c r="A4089" s="5" t="s">
        <v>4123</v>
      </c>
      <c r="B4089" s="5" t="s">
        <v>5956</v>
      </c>
      <c r="C4089" s="6" t="str">
        <f>_xll.QS.CONTEXT.CREATE("market.4087",A4089,"USD","SOFR")</f>
        <v>QSObject:PricingContext:w1~market.4087:13681</v>
      </c>
      <c r="D4089" s="6" t="str">
        <f>_xll.QS.CONTEXT.ADD.CURVE(C4089,"SOFR",$K$2:$K$7,$L$2:$L$7,,,"Actual360","LogLinear",TRUE)</f>
        <v>QSObject:ContextInput:w1~input.qs_context_add_curve.2359132437744.4088.3.0:36462</v>
      </c>
      <c r="E4089" s="6" t="str">
        <f>_xll.QS.INSTRUMENT.SWAP("swap.4087",H4089,B4089,"USD","SOFR",I4089,J4089,0,"Actual360","Simple","Annual","Annual","Annual")</f>
        <v>QSObject:Swap:w1~swap.4087:13680</v>
      </c>
      <c r="F4089" s="6" t="str">
        <f>_xll.QS.TRADE.CREATE("trade.4087",E4089,A4089,"Receive")</f>
        <v>QSObject:SwapTrade:w1~trade.4087:27756</v>
      </c>
      <c r="G4089" s="3">
        <f>_xll.QS.EVALUATE(C4089,F4089)</f>
        <v>43256.86477491109</v>
      </c>
      <c r="H4089" s="5" t="s">
        <v>4130</v>
      </c>
      <c r="I4089" s="7">
        <v>1408700</v>
      </c>
      <c r="J4089" s="8">
        <v>3.8700000000000012E-2</v>
      </c>
    </row>
    <row r="4090" spans="1:10" x14ac:dyDescent="0.25">
      <c r="A4090" s="5" t="s">
        <v>4124</v>
      </c>
      <c r="B4090" s="5" t="s">
        <v>5957</v>
      </c>
      <c r="C4090" s="6" t="str">
        <f>_xll.QS.CONTEXT.CREATE("market.4088",A4090,"USD","SOFR")</f>
        <v>QSObject:PricingContext:w1~market.4088:13679</v>
      </c>
      <c r="D4090" s="6" t="str">
        <f>_xll.QS.CONTEXT.ADD.CURVE(C4090,"SOFR",$K$2:$K$7,$L$2:$L$7,,,"Actual360","LogLinear",TRUE)</f>
        <v>QSObject:ContextInput:w1~input.qs_context_add_curve.2359132437744.4089.3.0:34721</v>
      </c>
      <c r="E4090" s="6" t="str">
        <f>_xll.QS.INSTRUMENT.SWAP("swap.4088",H4090,B4090,"USD","SOFR",I4090,J4090,0,"Actual360","Simple","Annual","Annual","Annual")</f>
        <v>QSObject:Swap:w1~swap.4088:13678</v>
      </c>
      <c r="F4090" s="6" t="str">
        <f>_xll.QS.TRADE.CREATE("trade.4088",E4090,A4090,"Receive")</f>
        <v>QSObject:SwapTrade:w1~trade.4088:27755</v>
      </c>
      <c r="G4090" s="3">
        <f>_xll.QS.EVALUATE(C4090,F4090)</f>
        <v>43969.832844278659</v>
      </c>
      <c r="H4090" s="5" t="s">
        <v>4131</v>
      </c>
      <c r="I4090" s="7">
        <v>1408800</v>
      </c>
      <c r="J4090" s="8">
        <v>3.8800000000000001E-2</v>
      </c>
    </row>
    <row r="4091" spans="1:10" x14ac:dyDescent="0.25">
      <c r="A4091" s="5" t="s">
        <v>4125</v>
      </c>
      <c r="B4091" s="5" t="s">
        <v>5958</v>
      </c>
      <c r="C4091" s="6" t="str">
        <f>_xll.QS.CONTEXT.CREATE("market.4089",A4091,"USD","SOFR")</f>
        <v>QSObject:PricingContext:w1~market.4089:13677</v>
      </c>
      <c r="D4091" s="6" t="str">
        <f>_xll.QS.CONTEXT.ADD.CURVE(C4091,"SOFR",$K$2:$K$7,$L$2:$L$7,,,"Actual360","LogLinear",TRUE)</f>
        <v>QSObject:ContextInput:w1~input.qs_context_add_curve.2359132437744.4090.3.0:33508</v>
      </c>
      <c r="E4091" s="6" t="str">
        <f>_xll.QS.INSTRUMENT.SWAP("swap.4089",H4091,B4091,"USD","SOFR",I4091,J4091,0,"Actual360","Simple","Annual","Annual","Annual")</f>
        <v>QSObject:Swap:w1~swap.4089:13676</v>
      </c>
      <c r="F4091" s="6" t="str">
        <f>_xll.QS.TRADE.CREATE("trade.4089",E4091,A4091,"Receive")</f>
        <v>QSObject:SwapTrade:w1~trade.4089:27754</v>
      </c>
      <c r="G4091" s="3">
        <f>_xll.QS.EVALUATE(C4091,F4091)</f>
        <v>44654.933372526924</v>
      </c>
      <c r="H4091" s="5" t="s">
        <v>4132</v>
      </c>
      <c r="I4091" s="7">
        <v>1408900</v>
      </c>
      <c r="J4091" s="8">
        <v>3.8899999999999997E-2</v>
      </c>
    </row>
    <row r="4092" spans="1:10" x14ac:dyDescent="0.25">
      <c r="A4092" s="5" t="s">
        <v>4126</v>
      </c>
      <c r="B4092" s="5" t="s">
        <v>5959</v>
      </c>
      <c r="C4092" s="6" t="str">
        <f>_xll.QS.CONTEXT.CREATE("market.4090",A4092,"USD","SOFR")</f>
        <v>QSObject:PricingContext:w1~market.4090:13675</v>
      </c>
      <c r="D4092" s="6" t="str">
        <f>_xll.QS.CONTEXT.ADD.CURVE(C4092,"SOFR",$K$2:$K$7,$L$2:$L$7,,,"Actual360","LogLinear",TRUE)</f>
        <v>QSObject:ContextInput:w1~input.qs_context_add_curve.2359132437744.4091.3.0:35333</v>
      </c>
      <c r="E4092" s="6" t="str">
        <f>_xll.QS.INSTRUMENT.SWAP("swap.4090",H4092,B4092,"USD","SOFR",I4092,J4092,0,"Actual360","Simple","Annual","Annual","Annual")</f>
        <v>QSObject:Swap:w1~swap.4090:13674</v>
      </c>
      <c r="F4092" s="6" t="str">
        <f>_xll.QS.TRADE.CREATE("trade.4090",E4092,A4092,"Receive")</f>
        <v>QSObject:SwapTrade:w1~trade.4090:27753</v>
      </c>
      <c r="G4092" s="3">
        <f>_xll.QS.EVALUATE(C4092,F4092)</f>
        <v>45411.202014976116</v>
      </c>
      <c r="H4092" s="5" t="s">
        <v>4133</v>
      </c>
      <c r="I4092" s="7">
        <v>1409000</v>
      </c>
      <c r="J4092" s="8">
        <v>3.9000000000000007E-2</v>
      </c>
    </row>
    <row r="4093" spans="1:10" x14ac:dyDescent="0.25">
      <c r="A4093" s="5" t="s">
        <v>4127</v>
      </c>
      <c r="B4093" s="5" t="s">
        <v>5960</v>
      </c>
      <c r="C4093" s="6" t="str">
        <f>_xll.QS.CONTEXT.CREATE("market.4091",A4093,"USD","SOFR")</f>
        <v>QSObject:PricingContext:w1~market.4091:13673</v>
      </c>
      <c r="D4093" s="6" t="str">
        <f>_xll.QS.CONTEXT.ADD.CURVE(C4093,"SOFR",$K$2:$K$7,$L$2:$L$7,,,"Actual360","LogLinear",TRUE)</f>
        <v>QSObject:ContextInput:w1~input.qs_context_add_curve.2359132437744.4092.3.0:34086</v>
      </c>
      <c r="E4093" s="6" t="str">
        <f>_xll.QS.INSTRUMENT.SWAP("swap.4091",H4093,B4093,"USD","SOFR",I4093,J4093,0,"Actual360","Simple","Annual","Annual","Annual")</f>
        <v>QSObject:Swap:w1~swap.4091:13672</v>
      </c>
      <c r="F4093" s="6" t="str">
        <f>_xll.QS.TRADE.CREATE("trade.4091",E4093,A4093,"Receive")</f>
        <v>QSObject:SwapTrade:w1~trade.4091:27752</v>
      </c>
      <c r="G4093" s="3">
        <f>_xll.QS.EVALUATE(C4093,F4093)</f>
        <v>46125.892895184457</v>
      </c>
      <c r="H4093" s="5" t="s">
        <v>4134</v>
      </c>
      <c r="I4093" s="7">
        <v>1409100</v>
      </c>
      <c r="J4093" s="8">
        <v>3.9100000000000003E-2</v>
      </c>
    </row>
    <row r="4094" spans="1:10" x14ac:dyDescent="0.25">
      <c r="A4094" s="5" t="s">
        <v>4128</v>
      </c>
      <c r="B4094" s="5" t="s">
        <v>5961</v>
      </c>
      <c r="C4094" s="6" t="str">
        <f>_xll.QS.CONTEXT.CREATE("market.4092",A4094,"USD","SOFR")</f>
        <v>QSObject:PricingContext:w1~market.4092:13671</v>
      </c>
      <c r="D4094" s="6" t="str">
        <f>_xll.QS.CONTEXT.ADD.CURVE(C4094,"SOFR",$K$2:$K$7,$L$2:$L$7,,,"Actual360","LogLinear",TRUE)</f>
        <v>QSObject:ContextInput:w1~input.qs_context_add_curve.2359132437744.4093.3.0:36461</v>
      </c>
      <c r="E4094" s="6" t="str">
        <f>_xll.QS.INSTRUMENT.SWAP("swap.4092",H4094,B4094,"USD","SOFR",I4094,J4094,0,"Actual360","Simple","Annual","Annual","Annual")</f>
        <v>QSObject:Swap:w1~swap.4092:13670</v>
      </c>
      <c r="F4094" s="6" t="str">
        <f>_xll.QS.TRADE.CREATE("trade.4092",E4094,A4094,"Receive")</f>
        <v>QSObject:SwapTrade:w1~trade.4092:27751</v>
      </c>
      <c r="G4094" s="3">
        <f>_xll.QS.EVALUATE(C4094,F4094)</f>
        <v>46724.688844752854</v>
      </c>
      <c r="H4094" s="5" t="s">
        <v>4135</v>
      </c>
      <c r="I4094" s="7">
        <v>1409200</v>
      </c>
      <c r="J4094" s="8">
        <v>3.9200000000000013E-2</v>
      </c>
    </row>
    <row r="4095" spans="1:10" x14ac:dyDescent="0.25">
      <c r="A4095" s="5" t="s">
        <v>4129</v>
      </c>
      <c r="B4095" s="5" t="s">
        <v>5962</v>
      </c>
      <c r="C4095" s="6" t="str">
        <f>_xll.QS.CONTEXT.CREATE("market.4093",A4095,"USD","SOFR")</f>
        <v>QSObject:PricingContext:w1~market.4093:13669</v>
      </c>
      <c r="D4095" s="6" t="str">
        <f>_xll.QS.CONTEXT.ADD.CURVE(C4095,"SOFR",$K$2:$K$7,$L$2:$L$7,,,"Actual360","LogLinear",TRUE)</f>
        <v>QSObject:ContextInput:w1~input.qs_context_add_curve.2359132437744.4094.3.0:35911</v>
      </c>
      <c r="E4095" s="6" t="str">
        <f>_xll.QS.INSTRUMENT.SWAP("swap.4093",H4095,B4095,"USD","SOFR",I4095,J4095,0,"Actual360","Simple","Annual","Annual","Annual")</f>
        <v>QSObject:Swap:w1~swap.4093:13668</v>
      </c>
      <c r="F4095" s="6" t="str">
        <f>_xll.QS.TRADE.CREATE("trade.4093",E4095,A4095,"Receive")</f>
        <v>QSObject:SwapTrade:w1~trade.4093:27750</v>
      </c>
      <c r="G4095" s="3">
        <f>_xll.QS.EVALUATE(C4095,F4095)</f>
        <v>47262.686433356495</v>
      </c>
      <c r="H4095" s="5" t="s">
        <v>4136</v>
      </c>
      <c r="I4095" s="7">
        <v>1409300</v>
      </c>
      <c r="J4095" s="8">
        <v>3.9300000000000002E-2</v>
      </c>
    </row>
    <row r="4096" spans="1:10" x14ac:dyDescent="0.25">
      <c r="A4096" s="5" t="s">
        <v>4130</v>
      </c>
      <c r="B4096" s="5" t="s">
        <v>5963</v>
      </c>
      <c r="C4096" s="6" t="str">
        <f>_xll.QS.CONTEXT.CREATE("market.4094",A4096,"USD","SOFR")</f>
        <v>QSObject:PricingContext:w1~market.4094:13667</v>
      </c>
      <c r="D4096" s="6" t="str">
        <f>_xll.QS.CONTEXT.ADD.CURVE(C4096,"SOFR",$K$2:$K$7,$L$2:$L$7,,,"Actual360","LogLinear",TRUE)</f>
        <v>QSObject:ContextInput:w1~input.qs_context_add_curve.2359132437744.4095.3.0:36460</v>
      </c>
      <c r="E4096" s="6" t="str">
        <f>_xll.QS.INSTRUMENT.SWAP("swap.4094",H4096,B4096,"USD","SOFR",I4096,J4096,0,"Actual360","Simple","Annual","Annual","Annual")</f>
        <v>QSObject:Swap:w1~swap.4094:13666</v>
      </c>
      <c r="F4096" s="6" t="str">
        <f>_xll.QS.TRADE.CREATE("trade.4094",E4096,A4096,"Receive")</f>
        <v>QSObject:SwapTrade:w1~trade.4094:27749</v>
      </c>
      <c r="G4096" s="3">
        <f>_xll.QS.EVALUATE(C4096,F4096)</f>
        <v>47829.398321557681</v>
      </c>
      <c r="H4096" s="5" t="s">
        <v>4137</v>
      </c>
      <c r="I4096" s="7">
        <v>1409400</v>
      </c>
      <c r="J4096" s="8">
        <v>3.9399999999999998E-2</v>
      </c>
    </row>
    <row r="4097" spans="1:10" x14ac:dyDescent="0.25">
      <c r="A4097" s="5" t="s">
        <v>4131</v>
      </c>
      <c r="B4097" s="5" t="s">
        <v>5964</v>
      </c>
      <c r="C4097" s="6" t="str">
        <f>_xll.QS.CONTEXT.CREATE("market.4095",A4097,"USD","SOFR")</f>
        <v>QSObject:PricingContext:w1~market.4095:13665</v>
      </c>
      <c r="D4097" s="6" t="str">
        <f>_xll.QS.CONTEXT.ADD.CURVE(C4097,"SOFR",$K$2:$K$7,$L$2:$L$7,,,"Actual360","LogLinear",TRUE)</f>
        <v>QSObject:ContextInput:w1~input.qs_context_add_curve.2359132437744.4096.3.0:34720</v>
      </c>
      <c r="E4097" s="6" t="str">
        <f>_xll.QS.INSTRUMENT.SWAP("swap.4095",H4097,B4097,"USD","SOFR",I4097,J4097,0,"Actual360","Simple","Annual","Annual","Annual")</f>
        <v>QSObject:Swap:w1~swap.4095:13664</v>
      </c>
      <c r="F4097" s="6" t="str">
        <f>_xll.QS.TRADE.CREATE("trade.4095",E4097,A4097,"Receive")</f>
        <v>QSObject:SwapTrade:w1~trade.4095:27748</v>
      </c>
      <c r="G4097" s="3">
        <f>_xll.QS.EVALUATE(C4097,F4097)</f>
        <v>48543.653660384807</v>
      </c>
      <c r="H4097" s="5" t="s">
        <v>4138</v>
      </c>
      <c r="I4097" s="7">
        <v>1409500</v>
      </c>
      <c r="J4097" s="8">
        <v>3.9500000000000007E-2</v>
      </c>
    </row>
    <row r="4098" spans="1:10" x14ac:dyDescent="0.25">
      <c r="A4098" s="5" t="s">
        <v>4132</v>
      </c>
      <c r="B4098" s="5" t="s">
        <v>5965</v>
      </c>
      <c r="C4098" s="6" t="str">
        <f>_xll.QS.CONTEXT.CREATE("market.4096",A4098,"USD","SOFR")</f>
        <v>QSObject:PricingContext:w1~market.4096:13663</v>
      </c>
      <c r="D4098" s="6" t="str">
        <f>_xll.QS.CONTEXT.ADD.CURVE(C4098,"SOFR",$K$2:$K$7,$L$2:$L$7,,,"Actual360","LogLinear",TRUE)</f>
        <v>QSObject:ContextInput:w1~input.qs_context_add_curve.2359132437744.4097.3.0:35332</v>
      </c>
      <c r="E4098" s="6" t="str">
        <f>_xll.QS.INSTRUMENT.SWAP("swap.4096",H4098,B4098,"USD","SOFR",I4098,J4098,0,"Actual360","Simple","Annual","Annual","Annual")</f>
        <v>QSObject:Swap:w1~swap.4096:13662</v>
      </c>
      <c r="F4098" s="6" t="str">
        <f>_xll.QS.TRADE.CREATE("trade.4096",E4098,A4098,"Receive")</f>
        <v>QSObject:SwapTrade:w1~trade.4096:27747</v>
      </c>
      <c r="G4098" s="3">
        <f>_xll.QS.EVALUATE(C4098,F4098)</f>
        <v>49227.19752417678</v>
      </c>
      <c r="H4098" s="5" t="s">
        <v>4139</v>
      </c>
      <c r="I4098" s="7">
        <v>1409600</v>
      </c>
      <c r="J4098" s="8">
        <v>3.9600000000000003E-2</v>
      </c>
    </row>
    <row r="4099" spans="1:10" x14ac:dyDescent="0.25">
      <c r="A4099" s="5" t="s">
        <v>4133</v>
      </c>
      <c r="B4099" s="5" t="s">
        <v>5966</v>
      </c>
      <c r="C4099" s="6" t="str">
        <f>_xll.QS.CONTEXT.CREATE("market.4097",A4099,"USD","SOFR")</f>
        <v>QSObject:PricingContext:w1~market.4097:13661</v>
      </c>
      <c r="D4099" s="6" t="str">
        <f>_xll.QS.CONTEXT.ADD.CURVE(C4099,"SOFR",$K$2:$K$7,$L$2:$L$7,,,"Actual360","LogLinear",TRUE)</f>
        <v>QSObject:ContextInput:w1~input.qs_context_add_curve.2359132437744.4098.3.0:34085</v>
      </c>
      <c r="E4099" s="6" t="str">
        <f>_xll.QS.INSTRUMENT.SWAP("swap.4097",H4099,B4099,"USD","SOFR",I4099,J4099,0,"Actual360","Simple","Annual","Annual","Annual")</f>
        <v>QSObject:Swap:w1~swap.4097:13660</v>
      </c>
      <c r="F4099" s="6" t="str">
        <f>_xll.QS.TRADE.CREATE("trade.4097",E4099,A4099,"Receive")</f>
        <v>QSObject:SwapTrade:w1~trade.4097:27746</v>
      </c>
      <c r="G4099" s="3">
        <f>_xll.QS.EVALUATE(C4099,F4099)</f>
        <v>49984.237263174829</v>
      </c>
      <c r="H4099" s="5" t="s">
        <v>4140</v>
      </c>
      <c r="I4099" s="7">
        <v>1409700</v>
      </c>
      <c r="J4099" s="8">
        <v>3.9700000000000013E-2</v>
      </c>
    </row>
    <row r="4100" spans="1:10" x14ac:dyDescent="0.25">
      <c r="A4100" s="5" t="s">
        <v>4134</v>
      </c>
      <c r="B4100" s="5" t="s">
        <v>5967</v>
      </c>
      <c r="C4100" s="6" t="str">
        <f>_xll.QS.CONTEXT.CREATE("market.4098",A4100,"USD","SOFR")</f>
        <v>QSObject:PricingContext:w1~market.4098:13659</v>
      </c>
      <c r="D4100" s="6" t="str">
        <f>_xll.QS.CONTEXT.ADD.CURVE(C4100,"SOFR",$K$2:$K$7,$L$2:$L$7,,,"Actual360","LogLinear",TRUE)</f>
        <v>QSObject:ContextInput:w1~input.qs_context_add_curve.2359132437744.4099.3.0:32970</v>
      </c>
      <c r="E4100" s="6" t="str">
        <f>_xll.QS.INSTRUMENT.SWAP("swap.4098",H4100,B4100,"USD","SOFR",I4100,J4100,0,"Actual360","Simple","Annual","Annual","Annual")</f>
        <v>QSObject:Swap:w1~swap.4098:13658</v>
      </c>
      <c r="F4100" s="6" t="str">
        <f>_xll.QS.TRADE.CREATE("trade.4098",E4100,A4100,"Receive")</f>
        <v>QSObject:SwapTrade:w1~trade.4098:27745</v>
      </c>
      <c r="G4100" s="3">
        <f>_xll.QS.EVALUATE(C4100,F4100)</f>
        <v>50699.697015752485</v>
      </c>
      <c r="H4100" s="5" t="s">
        <v>4141</v>
      </c>
      <c r="I4100" s="7">
        <v>1409800</v>
      </c>
      <c r="J4100" s="8">
        <v>3.9800000000000002E-2</v>
      </c>
    </row>
    <row r="4101" spans="1:10" x14ac:dyDescent="0.25">
      <c r="A4101" s="5" t="s">
        <v>4135</v>
      </c>
      <c r="B4101" s="5" t="s">
        <v>5968</v>
      </c>
      <c r="C4101" s="6" t="str">
        <f>_xll.QS.CONTEXT.CREATE("market.4099",A4101,"USD","SOFR")</f>
        <v>QSObject:PricingContext:w1~market.4099:13657</v>
      </c>
      <c r="D4101" s="6" t="str">
        <f>_xll.QS.CONTEXT.ADD.CURVE(C4101,"SOFR",$K$2:$K$7,$L$2:$L$7,,,"Actual360","LogLinear",TRUE)</f>
        <v>QSObject:ContextInput:w1~input.qs_context_add_curve.2359132437744.4100.3.0:36459</v>
      </c>
      <c r="E4101" s="6" t="str">
        <f>_xll.QS.INSTRUMENT.SWAP("swap.4099",H4101,B4101,"USD","SOFR",I4101,J4101,0,"Actual360","Simple","Annual","Annual","Annual")</f>
        <v>QSObject:Swap:w1~swap.4099:13656</v>
      </c>
      <c r="F4101" s="6" t="str">
        <f>_xll.QS.TRADE.CREATE("trade.4099",E4101,A4101,"Receive")</f>
        <v>QSObject:SwapTrade:w1~trade.4099:27744</v>
      </c>
      <c r="G4101" s="3">
        <f>_xll.QS.EVALUATE(C4101,F4101)</f>
        <v>51299.342948587473</v>
      </c>
      <c r="H4101" s="5" t="s">
        <v>4142</v>
      </c>
      <c r="I4101" s="7">
        <v>1409900</v>
      </c>
      <c r="J4101" s="8">
        <v>3.9899999999999998E-2</v>
      </c>
    </row>
    <row r="4102" spans="1:10" x14ac:dyDescent="0.25">
      <c r="A4102" s="5" t="s">
        <v>4136</v>
      </c>
      <c r="B4102" s="5" t="s">
        <v>5969</v>
      </c>
      <c r="C4102" s="6" t="str">
        <f>_xll.QS.CONTEXT.CREATE("market.4100",A4102,"USD","SOFR")</f>
        <v>QSObject:PricingContext:w1~market.4100:13655</v>
      </c>
      <c r="D4102" s="6" t="str">
        <f>_xll.QS.CONTEXT.ADD.CURVE(C4102,"SOFR",$K$2:$K$7,$L$2:$L$7,,,"Actual360","LogLinear",TRUE)</f>
        <v>QSObject:ContextInput:w1~input.qs_context_add_curve.2359132437744.4101.3.0:34084</v>
      </c>
      <c r="E4102" s="6" t="str">
        <f>_xll.QS.INSTRUMENT.SWAP("swap.4100",H4102,B4102,"USD","SOFR",I4102,J4102,0,"Actual360","Simple","Annual","Annual","Annual")</f>
        <v>QSObject:Swap:w1~swap.4100:13654</v>
      </c>
      <c r="F4102" s="6" t="str">
        <f>_xll.QS.TRADE.CREATE("trade.4100",E4102,A4102,"Receive")</f>
        <v>QSObject:SwapTrade:w1~trade.4100:27743</v>
      </c>
      <c r="G4102" s="3">
        <f>_xll.QS.EVALUATE(C4102,F4102)</f>
        <v>19400.574589020856</v>
      </c>
      <c r="H4102" s="5" t="s">
        <v>4143</v>
      </c>
      <c r="I4102" s="7">
        <v>1410000</v>
      </c>
      <c r="J4102" s="8">
        <v>3.5000000000000003E-2</v>
      </c>
    </row>
    <row r="4103" spans="1:10" x14ac:dyDescent="0.25">
      <c r="A4103" s="5" t="s">
        <v>4137</v>
      </c>
      <c r="B4103" s="5" t="s">
        <v>5970</v>
      </c>
      <c r="C4103" s="6" t="str">
        <f>_xll.QS.CONTEXT.CREATE("market.4101",A4103,"USD","SOFR")</f>
        <v>QSObject:PricingContext:w1~market.4101:13653</v>
      </c>
      <c r="D4103" s="6" t="str">
        <f>_xll.QS.CONTEXT.ADD.CURVE(C4103,"SOFR",$K$2:$K$7,$L$2:$L$7,,,"Actual360","LogLinear",TRUE)</f>
        <v>QSObject:ContextInput:w1~input.qs_context_add_curve.2359132437744.4102.3.0:34719</v>
      </c>
      <c r="E4103" s="6" t="str">
        <f>_xll.QS.INSTRUMENT.SWAP("swap.4101",H4103,B4103,"USD","SOFR",I4103,J4103,0,"Actual360","Simple","Annual","Annual","Annual")</f>
        <v>QSObject:Swap:w1~swap.4101:13652</v>
      </c>
      <c r="F4103" s="6" t="str">
        <f>_xll.QS.TRADE.CREATE("trade.4101",E4103,A4103,"Receive")</f>
        <v>QSObject:SwapTrade:w1~trade.4101:27742</v>
      </c>
      <c r="G4103" s="3">
        <f>_xll.QS.EVALUATE(C4103,F4103)</f>
        <v>19883.204179620661</v>
      </c>
      <c r="H4103" s="5" t="s">
        <v>4144</v>
      </c>
      <c r="I4103" s="7">
        <v>1410100</v>
      </c>
      <c r="J4103" s="8">
        <v>3.5100000000000013E-2</v>
      </c>
    </row>
    <row r="4104" spans="1:10" x14ac:dyDescent="0.25">
      <c r="A4104" s="5" t="s">
        <v>4138</v>
      </c>
      <c r="B4104" s="5" t="s">
        <v>5971</v>
      </c>
      <c r="C4104" s="6" t="str">
        <f>_xll.QS.CONTEXT.CREATE("market.4102",A4104,"USD","SOFR")</f>
        <v>QSObject:PricingContext:w1~market.4102:13651</v>
      </c>
      <c r="D4104" s="6" t="str">
        <f>_xll.QS.CONTEXT.ADD.CURVE(C4104,"SOFR",$K$2:$K$7,$L$2:$L$7,,,"Actual360","LogLinear",TRUE)</f>
        <v>QSObject:ContextInput:w1~input.qs_context_add_curve.2359132437744.4103.3.0:35910</v>
      </c>
      <c r="E4104" s="6" t="str">
        <f>_xll.QS.INSTRUMENT.SWAP("swap.4102",H4104,B4104,"USD","SOFR",I4104,J4104,0,"Actual360","Simple","Annual","Annual","Annual")</f>
        <v>QSObject:Swap:w1~swap.4102:13650</v>
      </c>
      <c r="F4104" s="6" t="str">
        <f>_xll.QS.TRADE.CREATE("trade.4102",E4104,A4104,"Receive")</f>
        <v>QSObject:SwapTrade:w1~trade.4102:27741</v>
      </c>
      <c r="G4104" s="3">
        <f>_xll.QS.EVALUATE(C4104,F4104)</f>
        <v>20592.180415009847</v>
      </c>
      <c r="H4104" s="5" t="s">
        <v>4145</v>
      </c>
      <c r="I4104" s="7">
        <v>1410200</v>
      </c>
      <c r="J4104" s="8">
        <v>3.5200000000000002E-2</v>
      </c>
    </row>
    <row r="4105" spans="1:10" x14ac:dyDescent="0.25">
      <c r="A4105" s="5" t="s">
        <v>4139</v>
      </c>
      <c r="B4105" s="5" t="s">
        <v>5972</v>
      </c>
      <c r="C4105" s="6" t="str">
        <f>_xll.QS.CONTEXT.CREATE("market.4103",A4105,"USD","SOFR")</f>
        <v>QSObject:PricingContext:w1~market.4103:13649</v>
      </c>
      <c r="D4105" s="6" t="str">
        <f>_xll.QS.CONTEXT.ADD.CURVE(C4105,"SOFR",$K$2:$K$7,$L$2:$L$7,,,"Actual360","LogLinear",TRUE)</f>
        <v>QSObject:ContextInput:w1~input.qs_context_add_curve.2359132437744.4104.3.0:35331</v>
      </c>
      <c r="E4105" s="6" t="str">
        <f>_xll.QS.INSTRUMENT.SWAP("swap.4103",H4105,B4105,"USD","SOFR",I4105,J4105,0,"Actual360","Simple","Annual","Annual","Annual")</f>
        <v>QSObject:Swap:w1~swap.4103:13648</v>
      </c>
      <c r="F4105" s="6" t="str">
        <f>_xll.QS.TRADE.CREATE("trade.4103",E4105,A4105,"Receive")</f>
        <v>QSObject:SwapTrade:w1~trade.4103:27740</v>
      </c>
      <c r="G4105" s="3">
        <f>_xll.QS.EVALUATE(C4105,F4105)</f>
        <v>21287.635284210846</v>
      </c>
      <c r="H4105" s="5" t="s">
        <v>4146</v>
      </c>
      <c r="I4105" s="7">
        <v>1410300</v>
      </c>
      <c r="J4105" s="8">
        <v>3.5299999999999998E-2</v>
      </c>
    </row>
    <row r="4106" spans="1:10" x14ac:dyDescent="0.25">
      <c r="A4106" s="5" t="s">
        <v>4140</v>
      </c>
      <c r="B4106" s="5" t="s">
        <v>5973</v>
      </c>
      <c r="C4106" s="6" t="str">
        <f>_xll.QS.CONTEXT.CREATE("market.4104",A4106,"USD","SOFR")</f>
        <v>QSObject:PricingContext:w1~market.4104:13647</v>
      </c>
      <c r="D4106" s="6" t="str">
        <f>_xll.QS.CONTEXT.ADD.CURVE(C4106,"SOFR",$K$2:$K$7,$L$2:$L$7,,,"Actual360","LogLinear",TRUE)</f>
        <v>QSObject:ContextInput:w1~input.qs_context_add_curve.2359132437744.4105.3.0:34083</v>
      </c>
      <c r="E4106" s="6" t="str">
        <f>_xll.QS.INSTRUMENT.SWAP("swap.4104",H4106,B4106,"USD","SOFR",I4106,J4106,0,"Actual360","Simple","Annual","Annual","Annual")</f>
        <v>QSObject:Swap:w1~swap.4104:13646</v>
      </c>
      <c r="F4106" s="6" t="str">
        <f>_xll.QS.TRADE.CREATE("trade.4104",E4106,A4106,"Receive")</f>
        <v>QSObject:SwapTrade:w1~trade.4104:27739</v>
      </c>
      <c r="G4106" s="3">
        <f>_xll.QS.EVALUATE(C4106,F4106)</f>
        <v>22096.96918325677</v>
      </c>
      <c r="H4106" s="5" t="s">
        <v>4147</v>
      </c>
      <c r="I4106" s="7">
        <v>1410400</v>
      </c>
      <c r="J4106" s="8">
        <v>3.5400000000000001E-2</v>
      </c>
    </row>
    <row r="4107" spans="1:10" x14ac:dyDescent="0.25">
      <c r="A4107" s="5" t="s">
        <v>4141</v>
      </c>
      <c r="B4107" s="5" t="s">
        <v>5974</v>
      </c>
      <c r="C4107" s="6" t="str">
        <f>_xll.QS.CONTEXT.CREATE("market.4105",A4107,"USD","SOFR")</f>
        <v>QSObject:PricingContext:w1~market.4105:13645</v>
      </c>
      <c r="D4107" s="6" t="str">
        <f>_xll.QS.CONTEXT.ADD.CURVE(C4107,"SOFR",$K$2:$K$7,$L$2:$L$7,,,"Actual360","LogLinear",TRUE)</f>
        <v>QSObject:ContextInput:w1~input.qs_context_add_curve.2359132437744.4106.3.0:32969</v>
      </c>
      <c r="E4107" s="6" t="str">
        <f>_xll.QS.INSTRUMENT.SWAP("swap.4105",H4107,B4107,"USD","SOFR",I4107,J4107,0,"Actual360","Simple","Annual","Annual","Annual")</f>
        <v>QSObject:Swap:w1~swap.4105:13644</v>
      </c>
      <c r="F4107" s="6" t="str">
        <f>_xll.QS.TRADE.CREATE("trade.4105",E4107,A4107,"Receive")</f>
        <v>QSObject:SwapTrade:w1~trade.4105:27738</v>
      </c>
      <c r="G4107" s="3">
        <f>_xll.QS.EVALUATE(C4107,F4107)</f>
        <v>22755.741173278635</v>
      </c>
      <c r="H4107" s="5" t="s">
        <v>4148</v>
      </c>
      <c r="I4107" s="7">
        <v>1410500</v>
      </c>
      <c r="J4107" s="8">
        <v>3.5499999999999997E-2</v>
      </c>
    </row>
    <row r="4108" spans="1:10" x14ac:dyDescent="0.25">
      <c r="A4108" s="5" t="s">
        <v>4142</v>
      </c>
      <c r="B4108" s="5" t="s">
        <v>5975</v>
      </c>
      <c r="C4108" s="6" t="str">
        <f>_xll.QS.CONTEXT.CREATE("market.4106",A4108,"USD","SOFR")</f>
        <v>QSObject:PricingContext:w1~market.4106:13643</v>
      </c>
      <c r="D4108" s="6" t="str">
        <f>_xll.QS.CONTEXT.ADD.CURVE(C4108,"SOFR",$K$2:$K$7,$L$2:$L$7,,,"Actual360","LogLinear",TRUE)</f>
        <v>QSObject:ContextInput:w1~input.qs_context_add_curve.2359132437744.4107.3.0:36458</v>
      </c>
      <c r="E4108" s="6" t="str">
        <f>_xll.QS.INSTRUMENT.SWAP("swap.4106",H4108,B4108,"USD","SOFR",I4108,J4108,0,"Actual360","Simple","Annual","Annual","Annual")</f>
        <v>QSObject:Swap:w1~swap.4106:13642</v>
      </c>
      <c r="F4108" s="6" t="str">
        <f>_xll.QS.TRADE.CREATE("trade.4106",E4108,A4108,"Receive")</f>
        <v>QSObject:SwapTrade:w1~trade.4106:27737</v>
      </c>
      <c r="G4108" s="3">
        <f>_xll.QS.EVALUATE(C4108,F4108)</f>
        <v>23353.72668485318</v>
      </c>
      <c r="H4108" s="5" t="s">
        <v>4149</v>
      </c>
      <c r="I4108" s="7">
        <v>1410600</v>
      </c>
      <c r="J4108" s="8">
        <v>3.5600000000000007E-2</v>
      </c>
    </row>
    <row r="4109" spans="1:10" x14ac:dyDescent="0.25">
      <c r="A4109" s="5" t="s">
        <v>4143</v>
      </c>
      <c r="B4109" s="5" t="s">
        <v>5976</v>
      </c>
      <c r="C4109" s="6" t="str">
        <f>_xll.QS.CONTEXT.CREATE("market.4107",A4109,"USD","SOFR")</f>
        <v>QSObject:PricingContext:w1~market.4107:13641</v>
      </c>
      <c r="D4109" s="6" t="str">
        <f>_xll.QS.CONTEXT.ADD.CURVE(C4109,"SOFR",$K$2:$K$7,$L$2:$L$7,,,"Actual360","LogLinear",TRUE)</f>
        <v>QSObject:ContextInput:w1~input.qs_context_add_curve.2359132437744.4108.3.0:35330</v>
      </c>
      <c r="E4109" s="6" t="str">
        <f>_xll.QS.INSTRUMENT.SWAP("swap.4107",H4109,B4109,"USD","SOFR",I4109,J4109,0,"Actual360","Simple","Annual","Annual","Annual")</f>
        <v>QSObject:Swap:w1~swap.4107:13640</v>
      </c>
      <c r="F4109" s="6" t="str">
        <f>_xll.QS.TRADE.CREATE("trade.4107",E4109,A4109,"Receive")</f>
        <v>QSObject:SwapTrade:w1~trade.4107:27736</v>
      </c>
      <c r="G4109" s="3">
        <f>_xll.QS.EVALUATE(C4109,F4109)</f>
        <v>23918.175671351091</v>
      </c>
      <c r="H4109" s="5" t="s">
        <v>4150</v>
      </c>
      <c r="I4109" s="7">
        <v>1410700</v>
      </c>
      <c r="J4109" s="8">
        <v>3.5700000000000003E-2</v>
      </c>
    </row>
    <row r="4110" spans="1:10" x14ac:dyDescent="0.25">
      <c r="A4110" s="5" t="s">
        <v>4144</v>
      </c>
      <c r="B4110" s="5" t="s">
        <v>5977</v>
      </c>
      <c r="C4110" s="6" t="str">
        <f>_xll.QS.CONTEXT.CREATE("market.4108",A4110,"USD","SOFR")</f>
        <v>QSObject:PricingContext:w1~market.4108:13639</v>
      </c>
      <c r="D4110" s="6" t="str">
        <f>_xll.QS.CONTEXT.ADD.CURVE(C4110,"SOFR",$K$2:$K$7,$L$2:$L$7,,,"Actual360","LogLinear",TRUE)</f>
        <v>QSObject:ContextInput:w1~input.qs_context_add_curve.2359132437744.4109.3.0:34718</v>
      </c>
      <c r="E4110" s="6" t="str">
        <f>_xll.QS.INSTRUMENT.SWAP("swap.4108",H4110,B4110,"USD","SOFR",I4110,J4110,0,"Actual360","Simple","Annual","Annual","Annual")</f>
        <v>QSObject:Swap:w1~swap.4108:13638</v>
      </c>
      <c r="F4110" s="6" t="str">
        <f>_xll.QS.TRADE.CREATE("trade.4108",E4110,A4110,"Receive")</f>
        <v>QSObject:SwapTrade:w1~trade.4108:27735</v>
      </c>
      <c r="G4110" s="3">
        <f>_xll.QS.EVALUATE(C4110,F4110)</f>
        <v>24447.640997337381</v>
      </c>
      <c r="H4110" s="5" t="s">
        <v>4151</v>
      </c>
      <c r="I4110" s="7">
        <v>1410800</v>
      </c>
      <c r="J4110" s="8">
        <v>3.5800000000000012E-2</v>
      </c>
    </row>
    <row r="4111" spans="1:10" x14ac:dyDescent="0.25">
      <c r="A4111" s="5" t="s">
        <v>4145</v>
      </c>
      <c r="B4111" s="5" t="s">
        <v>5978</v>
      </c>
      <c r="C4111" s="6" t="str">
        <f>_xll.QS.CONTEXT.CREATE("market.4109",A4111,"USD","SOFR")</f>
        <v>QSObject:PricingContext:w1~market.4109:13637</v>
      </c>
      <c r="D4111" s="6" t="str">
        <f>_xll.QS.CONTEXT.ADD.CURVE(C4111,"SOFR",$K$2:$K$7,$L$2:$L$7,,,"Actual360","LogLinear",TRUE)</f>
        <v>QSObject:ContextInput:w1~input.qs_context_add_curve.2359132437744.4110.3.0:35329</v>
      </c>
      <c r="E4111" s="6" t="str">
        <f>_xll.QS.INSTRUMENT.SWAP("swap.4109",H4111,B4111,"USD","SOFR",I4111,J4111,0,"Actual360","Simple","Annual","Annual","Annual")</f>
        <v>QSObject:Swap:w1~swap.4109:13636</v>
      </c>
      <c r="F4111" s="6" t="str">
        <f>_xll.QS.TRADE.CREATE("trade.4109",E4111,A4111,"Receive")</f>
        <v>QSObject:SwapTrade:w1~trade.4109:27734</v>
      </c>
      <c r="G4111" s="3">
        <f>_xll.QS.EVALUATE(C4111,F4111)</f>
        <v>25158.230515192663</v>
      </c>
      <c r="H4111" s="5" t="s">
        <v>4152</v>
      </c>
      <c r="I4111" s="7">
        <v>1410900</v>
      </c>
      <c r="J4111" s="8">
        <v>3.5900000000000001E-2</v>
      </c>
    </row>
    <row r="4112" spans="1:10" x14ac:dyDescent="0.25">
      <c r="A4112" s="5" t="s">
        <v>4146</v>
      </c>
      <c r="B4112" s="5" t="s">
        <v>5979</v>
      </c>
      <c r="C4112" s="6" t="str">
        <f>_xll.QS.CONTEXT.CREATE("market.4110",A4112,"USD","SOFR")</f>
        <v>QSObject:PricingContext:w1~market.4110:13635</v>
      </c>
      <c r="D4112" s="6" t="str">
        <f>_xll.QS.CONTEXT.ADD.CURVE(C4112,"SOFR",$K$2:$K$7,$L$2:$L$7,,,"Actual360","LogLinear",TRUE)</f>
        <v>QSObject:ContextInput:w1~input.qs_context_add_curve.2359132437744.4111.3.0:35909</v>
      </c>
      <c r="E4112" s="6" t="str">
        <f>_xll.QS.INSTRUMENT.SWAP("swap.4110",H4112,B4112,"USD","SOFR",I4112,J4112,0,"Actual360","Simple","Annual","Annual","Annual")</f>
        <v>QSObject:Swap:w1~swap.4110:13634</v>
      </c>
      <c r="F4112" s="6" t="str">
        <f>_xll.QS.TRADE.CREATE("trade.4110",E4112,A4112,"Receive")</f>
        <v>QSObject:SwapTrade:w1~trade.4110:27733</v>
      </c>
      <c r="G4112" s="3">
        <f>_xll.QS.EVALUATE(C4112,F4112)</f>
        <v>25852.446240510901</v>
      </c>
      <c r="H4112" s="5" t="s">
        <v>4153</v>
      </c>
      <c r="I4112" s="7">
        <v>1411000</v>
      </c>
      <c r="J4112" s="8">
        <v>3.5999999999999997E-2</v>
      </c>
    </row>
    <row r="4113" spans="1:10" x14ac:dyDescent="0.25">
      <c r="A4113" s="5" t="s">
        <v>4147</v>
      </c>
      <c r="B4113" s="5" t="s">
        <v>5980</v>
      </c>
      <c r="C4113" s="6" t="str">
        <f>_xll.QS.CONTEXT.CREATE("market.4111",A4113,"USD","SOFR")</f>
        <v>QSObject:PricingContext:w1~market.4111:13633</v>
      </c>
      <c r="D4113" s="6" t="str">
        <f>_xll.QS.CONTEXT.ADD.CURVE(C4113,"SOFR",$K$2:$K$7,$L$2:$L$7,,,"Actual360","LogLinear",TRUE)</f>
        <v>QSObject:ContextInput:w1~input.qs_context_add_curve.2359132437744.4112.3.0:35908</v>
      </c>
      <c r="E4113" s="6" t="str">
        <f>_xll.QS.INSTRUMENT.SWAP("swap.4111",H4113,B4113,"USD","SOFR",I4113,J4113,0,"Actual360","Simple","Annual","Annual","Annual")</f>
        <v>QSObject:Swap:w1~swap.4111:13632</v>
      </c>
      <c r="F4113" s="6" t="str">
        <f>_xll.QS.TRADE.CREATE("trade.4111",E4113,A4113,"Receive")</f>
        <v>QSObject:SwapTrade:w1~trade.4111:27732</v>
      </c>
      <c r="G4113" s="3">
        <f>_xll.QS.EVALUATE(C4113,F4113)</f>
        <v>26608.20577906898</v>
      </c>
      <c r="H4113" s="5" t="s">
        <v>4154</v>
      </c>
      <c r="I4113" s="7">
        <v>1411100</v>
      </c>
      <c r="J4113" s="8">
        <v>3.61E-2</v>
      </c>
    </row>
    <row r="4114" spans="1:10" x14ac:dyDescent="0.25">
      <c r="A4114" s="5" t="s">
        <v>4148</v>
      </c>
      <c r="B4114" s="5" t="s">
        <v>5981</v>
      </c>
      <c r="C4114" s="6" t="str">
        <f>_xll.QS.CONTEXT.CREATE("market.4112",A4114,"USD","SOFR")</f>
        <v>QSObject:PricingContext:w1~market.4112:13631</v>
      </c>
      <c r="D4114" s="6" t="str">
        <f>_xll.QS.CONTEXT.ADD.CURVE(C4114,"SOFR",$K$2:$K$7,$L$2:$L$7,,,"Actual360","LogLinear",TRUE)</f>
        <v>QSObject:ContextInput:w1~input.qs_context_add_curve.2359132437744.4113.3.0:34717</v>
      </c>
      <c r="E4114" s="6" t="str">
        <f>_xll.QS.INSTRUMENT.SWAP("swap.4112",H4114,B4114,"USD","SOFR",I4114,J4114,0,"Actual360","Simple","Annual","Annual","Annual")</f>
        <v>QSObject:Swap:w1~swap.4112:13630</v>
      </c>
      <c r="F4114" s="6" t="str">
        <f>_xll.QS.TRADE.CREATE("trade.4112",E4114,A4114,"Receive")</f>
        <v>QSObject:SwapTrade:w1~trade.4112:27731</v>
      </c>
      <c r="G4114" s="3">
        <f>_xll.QS.EVALUATE(C4114,F4114)</f>
        <v>27322.636968298662</v>
      </c>
      <c r="H4114" s="5" t="s">
        <v>4155</v>
      </c>
      <c r="I4114" s="7">
        <v>1411200</v>
      </c>
      <c r="J4114" s="8">
        <v>3.6200000000000003E-2</v>
      </c>
    </row>
    <row r="4115" spans="1:10" x14ac:dyDescent="0.25">
      <c r="A4115" s="5" t="s">
        <v>4149</v>
      </c>
      <c r="B4115" s="5" t="s">
        <v>5982</v>
      </c>
      <c r="C4115" s="6" t="str">
        <f>_xll.QS.CONTEXT.CREATE("market.4113",A4115,"USD","SOFR")</f>
        <v>QSObject:PricingContext:w1~market.4113:13629</v>
      </c>
      <c r="D4115" s="6" t="str">
        <f>_xll.QS.CONTEXT.ADD.CURVE(C4115,"SOFR",$K$2:$K$7,$L$2:$L$7,,,"Actual360","LogLinear",TRUE)</f>
        <v>QSObject:ContextInput:w1~input.qs_context_add_curve.2359132437744.4114.3.0:35328</v>
      </c>
      <c r="E4115" s="6" t="str">
        <f>_xll.QS.INSTRUMENT.SWAP("swap.4113",H4115,B4115,"USD","SOFR",I4115,J4115,0,"Actual360","Simple","Annual","Annual","Annual")</f>
        <v>QSObject:Swap:w1~swap.4113:13628</v>
      </c>
      <c r="F4115" s="6" t="str">
        <f>_xll.QS.TRADE.CREATE("trade.4113",E4115,A4115,"Receive")</f>
        <v>QSObject:SwapTrade:w1~trade.4113:27730</v>
      </c>
      <c r="G4115" s="3">
        <f>_xll.QS.EVALUATE(C4115,F4115)</f>
        <v>27866.085728759987</v>
      </c>
      <c r="H4115" s="5" t="s">
        <v>4156</v>
      </c>
      <c r="I4115" s="7">
        <v>1411300</v>
      </c>
      <c r="J4115" s="8">
        <v>3.6300000000000013E-2</v>
      </c>
    </row>
    <row r="4116" spans="1:10" x14ac:dyDescent="0.25">
      <c r="A4116" s="5" t="s">
        <v>4150</v>
      </c>
      <c r="B4116" s="5" t="s">
        <v>5983</v>
      </c>
      <c r="C4116" s="6" t="str">
        <f>_xll.QS.CONTEXT.CREATE("market.4114",A4116,"USD","SOFR")</f>
        <v>QSObject:PricingContext:w1~market.4114:13627</v>
      </c>
      <c r="D4116" s="6" t="str">
        <f>_xll.QS.CONTEXT.ADD.CURVE(C4116,"SOFR",$K$2:$K$7,$L$2:$L$7,,,"Actual360","LogLinear",TRUE)</f>
        <v>QSObject:ContextInput:w1~input.qs_context_add_curve.2359132437744.4115.3.0:34716</v>
      </c>
      <c r="E4116" s="6" t="str">
        <f>_xll.QS.INSTRUMENT.SWAP("swap.4114",H4116,B4116,"USD","SOFR",I4116,J4116,0,"Actual360","Simple","Annual","Annual","Annual")</f>
        <v>QSObject:Swap:w1~swap.4114:13626</v>
      </c>
      <c r="F4116" s="6" t="str">
        <f>_xll.QS.TRADE.CREATE("trade.4114",E4116,A4116,"Receive")</f>
        <v>QSObject:SwapTrade:w1~trade.4114:27729</v>
      </c>
      <c r="G4116" s="3">
        <f>_xll.QS.EVALUATE(C4116,F4116)</f>
        <v>28362.34659144617</v>
      </c>
      <c r="H4116" s="5" t="s">
        <v>4157</v>
      </c>
      <c r="I4116" s="7">
        <v>1411400</v>
      </c>
      <c r="J4116" s="8">
        <v>3.6400000000000002E-2</v>
      </c>
    </row>
    <row r="4117" spans="1:10" x14ac:dyDescent="0.25">
      <c r="A4117" s="5" t="s">
        <v>4151</v>
      </c>
      <c r="B4117" s="5" t="s">
        <v>5984</v>
      </c>
      <c r="C4117" s="6" t="str">
        <f>_xll.QS.CONTEXT.CREATE("market.4115",A4117,"USD","SOFR")</f>
        <v>QSObject:PricingContext:w1~market.4115:13625</v>
      </c>
      <c r="D4117" s="6" t="str">
        <f>_xll.QS.CONTEXT.ADD.CURVE(C4117,"SOFR",$K$2:$K$7,$L$2:$L$7,,,"Actual360","LogLinear",TRUE)</f>
        <v>QSObject:ContextInput:w1~input.qs_context_add_curve.2359132437744.4116.3.0:35327</v>
      </c>
      <c r="E4117" s="6" t="str">
        <f>_xll.QS.INSTRUMENT.SWAP("swap.4115",H4117,B4117,"USD","SOFR",I4117,J4117,0,"Actual360","Simple","Annual","Annual","Annual")</f>
        <v>QSObject:Swap:w1~swap.4115:13624</v>
      </c>
      <c r="F4117" s="6" t="str">
        <f>_xll.QS.TRADE.CREATE("trade.4115",E4117,A4117,"Receive")</f>
        <v>QSObject:SwapTrade:w1~trade.4115:27728</v>
      </c>
      <c r="G4117" s="3">
        <f>_xll.QS.EVALUATE(C4117,F4117)</f>
        <v>29017.763201595335</v>
      </c>
      <c r="H4117" s="5" t="s">
        <v>4158</v>
      </c>
      <c r="I4117" s="7">
        <v>1411500</v>
      </c>
      <c r="J4117" s="8">
        <v>3.6499999999999998E-2</v>
      </c>
    </row>
    <row r="4118" spans="1:10" x14ac:dyDescent="0.25">
      <c r="A4118" s="5" t="s">
        <v>4152</v>
      </c>
      <c r="B4118" s="5" t="s">
        <v>5985</v>
      </c>
      <c r="C4118" s="6" t="str">
        <f>_xll.QS.CONTEXT.CREATE("market.4116",A4118,"USD","SOFR")</f>
        <v>QSObject:PricingContext:w1~market.4116:13623</v>
      </c>
      <c r="D4118" s="6" t="str">
        <f>_xll.QS.CONTEXT.ADD.CURVE(C4118,"SOFR",$K$2:$K$7,$L$2:$L$7,,,"Actual360","LogLinear",TRUE)</f>
        <v>QSObject:ContextInput:w1~input.qs_context_add_curve.2359132437744.4117.3.0:33507</v>
      </c>
      <c r="E4118" s="6" t="str">
        <f>_xll.QS.INSTRUMENT.SWAP("swap.4116",H4118,B4118,"USD","SOFR",I4118,J4118,0,"Actual360","Simple","Annual","Annual","Annual")</f>
        <v>QSObject:Swap:w1~swap.4116:13622</v>
      </c>
      <c r="F4118" s="6" t="str">
        <f>_xll.QS.TRADE.CREATE("trade.4116",E4118,A4118,"Receive")</f>
        <v>QSObject:SwapTrade:w1~trade.4116:27727</v>
      </c>
      <c r="G4118" s="3">
        <f>_xll.QS.EVALUATE(C4118,F4118)</f>
        <v>29729.730754442891</v>
      </c>
      <c r="H4118" s="5" t="s">
        <v>4159</v>
      </c>
      <c r="I4118" s="7">
        <v>1411600</v>
      </c>
      <c r="J4118" s="8">
        <v>3.6600000000000001E-2</v>
      </c>
    </row>
    <row r="4119" spans="1:10" x14ac:dyDescent="0.25">
      <c r="A4119" s="5" t="s">
        <v>4153</v>
      </c>
      <c r="B4119" s="5" t="s">
        <v>5986</v>
      </c>
      <c r="C4119" s="6" t="str">
        <f>_xll.QS.CONTEXT.CREATE("market.4117",A4119,"USD","SOFR")</f>
        <v>QSObject:PricingContext:w1~market.4117:13621</v>
      </c>
      <c r="D4119" s="6" t="str">
        <f>_xll.QS.CONTEXT.ADD.CURVE(C4119,"SOFR",$K$2:$K$7,$L$2:$L$7,,,"Actual360","LogLinear",TRUE)</f>
        <v>QSObject:ContextInput:w1~input.qs_context_add_curve.2359132437744.4118.3.0:36457</v>
      </c>
      <c r="E4119" s="6" t="str">
        <f>_xll.QS.INSTRUMENT.SWAP("swap.4117",H4119,B4119,"USD","SOFR",I4119,J4119,0,"Actual360","Simple","Annual","Annual","Annual")</f>
        <v>QSObject:Swap:w1~swap.4117:13620</v>
      </c>
      <c r="F4119" s="6" t="str">
        <f>_xll.QS.TRADE.CREATE("trade.4117",E4119,A4119,"Receive")</f>
        <v>QSObject:SwapTrade:w1~trade.4117:27726</v>
      </c>
      <c r="G4119" s="3">
        <f>_xll.QS.EVALUATE(C4119,F4119)</f>
        <v>30578.037757290273</v>
      </c>
      <c r="H4119" s="5" t="s">
        <v>4160</v>
      </c>
      <c r="I4119" s="7">
        <v>1411700</v>
      </c>
      <c r="J4119" s="8">
        <v>3.6700000000000003E-2</v>
      </c>
    </row>
    <row r="4120" spans="1:10" x14ac:dyDescent="0.25">
      <c r="A4120" s="5" t="s">
        <v>4154</v>
      </c>
      <c r="B4120" s="5" t="s">
        <v>5987</v>
      </c>
      <c r="C4120" s="6" t="str">
        <f>_xll.QS.CONTEXT.CREATE("market.4118",A4120,"USD","SOFR")</f>
        <v>QSObject:PricingContext:w1~market.4118:13619</v>
      </c>
      <c r="D4120" s="6" t="str">
        <f>_xll.QS.CONTEXT.ADD.CURVE(C4120,"SOFR",$K$2:$K$7,$L$2:$L$7,,,"Actual360","LogLinear",TRUE)</f>
        <v>QSObject:ContextInput:w1~input.qs_context_add_curve.2359132437744.4119.3.0:35326</v>
      </c>
      <c r="E4120" s="6" t="str">
        <f>_xll.QS.INSTRUMENT.SWAP("swap.4118",H4120,B4120,"USD","SOFR",I4120,J4120,0,"Actual360","Simple","Annual","Annual","Annual")</f>
        <v>QSObject:Swap:w1~swap.4118:13618</v>
      </c>
      <c r="F4120" s="6" t="str">
        <f>_xll.QS.TRADE.CREATE("trade.4118",E4120,A4120,"Receive")</f>
        <v>QSObject:SwapTrade:w1~trade.4118:27725</v>
      </c>
      <c r="G4120" s="3">
        <f>_xll.QS.EVALUATE(C4120,F4120)</f>
        <v>31243.282766068914</v>
      </c>
      <c r="H4120" s="5" t="s">
        <v>4161</v>
      </c>
      <c r="I4120" s="7">
        <v>1411800</v>
      </c>
      <c r="J4120" s="8">
        <v>3.6800000000000013E-2</v>
      </c>
    </row>
    <row r="4121" spans="1:10" x14ac:dyDescent="0.25">
      <c r="A4121" s="5" t="s">
        <v>4155</v>
      </c>
      <c r="B4121" s="5" t="s">
        <v>5988</v>
      </c>
      <c r="C4121" s="6" t="str">
        <f>_xll.QS.CONTEXT.CREATE("market.4119",A4121,"USD","SOFR")</f>
        <v>QSObject:PricingContext:w1~market.4119:13617</v>
      </c>
      <c r="D4121" s="6" t="str">
        <f>_xll.QS.CONTEXT.ADD.CURVE(C4121,"SOFR",$K$2:$K$7,$L$2:$L$7,,,"Actual360","LogLinear",TRUE)</f>
        <v>QSObject:ContextInput:w1~input.qs_context_add_curve.2359132437744.4120.3.0:33506</v>
      </c>
      <c r="E4121" s="6" t="str">
        <f>_xll.QS.INSTRUMENT.SWAP("swap.4119",H4121,B4121,"USD","SOFR",I4121,J4121,0,"Actual360","Simple","Annual","Annual","Annual")</f>
        <v>QSObject:Swap:w1~swap.4119:13616</v>
      </c>
      <c r="F4121" s="6" t="str">
        <f>_xll.QS.TRADE.CREATE("trade.4119",E4121,A4121,"Receive")</f>
        <v>QSObject:SwapTrade:w1~trade.4119:27724</v>
      </c>
      <c r="G4121" s="3">
        <f>_xll.QS.EVALUATE(C4121,F4121)</f>
        <v>31895.267825249386</v>
      </c>
      <c r="H4121" s="5" t="s">
        <v>4162</v>
      </c>
      <c r="I4121" s="7">
        <v>1411900</v>
      </c>
      <c r="J4121" s="8">
        <v>3.6900000000000002E-2</v>
      </c>
    </row>
    <row r="4122" spans="1:10" x14ac:dyDescent="0.25">
      <c r="A4122" s="5" t="s">
        <v>4156</v>
      </c>
      <c r="B4122" s="5" t="s">
        <v>5989</v>
      </c>
      <c r="C4122" s="6" t="str">
        <f>_xll.QS.CONTEXT.CREATE("market.4120",A4122,"USD","SOFR")</f>
        <v>QSObject:PricingContext:w1~market.4120:13615</v>
      </c>
      <c r="D4122" s="6" t="str">
        <f>_xll.QS.CONTEXT.ADD.CURVE(C4122,"SOFR",$K$2:$K$7,$L$2:$L$7,,,"Actual360","LogLinear",TRUE)</f>
        <v>QSObject:ContextInput:w1~input.qs_context_add_curve.2359132437744.4121.3.0:34715</v>
      </c>
      <c r="E4122" s="6" t="str">
        <f>_xll.QS.INSTRUMENT.SWAP("swap.4120",H4122,B4122,"USD","SOFR",I4122,J4122,0,"Actual360","Simple","Annual","Annual","Annual")</f>
        <v>QSObject:Swap:w1~swap.4120:13614</v>
      </c>
      <c r="F4122" s="6" t="str">
        <f>_xll.QS.TRADE.CREATE("trade.4120",E4122,A4122,"Receive")</f>
        <v>QSObject:SwapTrade:w1~trade.4120:27723</v>
      </c>
      <c r="G4122" s="3">
        <f>_xll.QS.EVALUATE(C4122,F4122)</f>
        <v>32492.566548181334</v>
      </c>
      <c r="H4122" s="5" t="s">
        <v>4163</v>
      </c>
      <c r="I4122" s="7">
        <v>1412000</v>
      </c>
      <c r="J4122" s="8">
        <v>3.7000000000000012E-2</v>
      </c>
    </row>
    <row r="4123" spans="1:10" x14ac:dyDescent="0.25">
      <c r="A4123" s="5" t="s">
        <v>4157</v>
      </c>
      <c r="B4123" s="5" t="s">
        <v>5990</v>
      </c>
      <c r="C4123" s="6" t="str">
        <f>_xll.QS.CONTEXT.CREATE("market.4121",A4123,"USD","SOFR")</f>
        <v>QSObject:PricingContext:w1~market.4121:13613</v>
      </c>
      <c r="D4123" s="6" t="str">
        <f>_xll.QS.CONTEXT.ADD.CURVE(C4123,"SOFR",$K$2:$K$7,$L$2:$L$7,,,"Actual360","LogLinear",TRUE)</f>
        <v>QSObject:ContextInput:w1~input.qs_context_add_curve.2359132437744.4122.3.0:33505</v>
      </c>
      <c r="E4123" s="6" t="str">
        <f>_xll.QS.INSTRUMENT.SWAP("swap.4121",H4123,B4123,"USD","SOFR",I4123,J4123,0,"Actual360","Simple","Annual","Annual","Annual")</f>
        <v>QSObject:Swap:w1~swap.4121:13612</v>
      </c>
      <c r="F4123" s="6" t="str">
        <f>_xll.QS.TRADE.CREATE("trade.4121",E4123,A4123,"Receive")</f>
        <v>QSObject:SwapTrade:w1~trade.4121:27722</v>
      </c>
      <c r="G4123" s="3">
        <f>_xll.QS.EVALUATE(C4123,F4123)</f>
        <v>33047.483784599237</v>
      </c>
      <c r="H4123" s="5" t="s">
        <v>4164</v>
      </c>
      <c r="I4123" s="7">
        <v>1412100</v>
      </c>
      <c r="J4123" s="8">
        <v>3.7100000000000001E-2</v>
      </c>
    </row>
    <row r="4124" spans="1:10" x14ac:dyDescent="0.25">
      <c r="A4124" s="5" t="s">
        <v>4158</v>
      </c>
      <c r="B4124" s="5" t="s">
        <v>5991</v>
      </c>
      <c r="C4124" s="6" t="str">
        <f>_xll.QS.CONTEXT.CREATE("market.4122",A4124,"USD","SOFR")</f>
        <v>QSObject:PricingContext:w1~market.4122:13611</v>
      </c>
      <c r="D4124" s="6" t="str">
        <f>_xll.QS.CONTEXT.ADD.CURVE(C4124,"SOFR",$K$2:$K$7,$L$2:$L$7,,,"Actual360","LogLinear",TRUE)</f>
        <v>QSObject:ContextInput:w1~input.qs_context_add_curve.2359132437744.4123.3.0:34714</v>
      </c>
      <c r="E4124" s="6" t="str">
        <f>_xll.QS.INSTRUMENT.SWAP("swap.4122",H4124,B4124,"USD","SOFR",I4124,J4124,0,"Actual360","Simple","Annual","Annual","Annual")</f>
        <v>QSObject:Swap:w1~swap.4122:13610</v>
      </c>
      <c r="F4124" s="6" t="str">
        <f>_xll.QS.TRADE.CREATE("trade.4122",E4124,A4124,"Receive")</f>
        <v>QSObject:SwapTrade:w1~trade.4122:27721</v>
      </c>
      <c r="G4124" s="3">
        <f>_xll.QS.EVALUATE(C4124,F4124)</f>
        <v>33592.112733830865</v>
      </c>
      <c r="H4124" s="5" t="s">
        <v>4165</v>
      </c>
      <c r="I4124" s="7">
        <v>1412200</v>
      </c>
      <c r="J4124" s="8">
        <v>3.7199999999999997E-2</v>
      </c>
    </row>
    <row r="4125" spans="1:10" x14ac:dyDescent="0.25">
      <c r="A4125" s="5" t="s">
        <v>4159</v>
      </c>
      <c r="B4125" s="5" t="s">
        <v>5992</v>
      </c>
      <c r="C4125" s="6" t="str">
        <f>_xll.QS.CONTEXT.CREATE("market.4123",A4125,"USD","SOFR")</f>
        <v>QSObject:PricingContext:w1~market.4123:13609</v>
      </c>
      <c r="D4125" s="6" t="str">
        <f>_xll.QS.CONTEXT.ADD.CURVE(C4125,"SOFR",$K$2:$K$7,$L$2:$L$7,,,"Actual360","LogLinear",TRUE)</f>
        <v>QSObject:ContextInput:w1~input.qs_context_add_curve.2359132437744.4124.3.0:34082</v>
      </c>
      <c r="E4125" s="6" t="str">
        <f>_xll.QS.INSTRUMENT.SWAP("swap.4123",H4125,B4125,"USD","SOFR",I4125,J4125,0,"Actual360","Simple","Annual","Annual","Annual")</f>
        <v>QSObject:Swap:w1~swap.4123:13608</v>
      </c>
      <c r="F4125" s="6" t="str">
        <f>_xll.QS.TRADE.CREATE("trade.4123",E4125,A4125,"Receive")</f>
        <v>QSObject:SwapTrade:w1~trade.4123:27720</v>
      </c>
      <c r="G4125" s="3">
        <f>_xll.QS.EVALUATE(C4125,F4125)</f>
        <v>34306.295836518591</v>
      </c>
      <c r="H4125" s="5" t="s">
        <v>4166</v>
      </c>
      <c r="I4125" s="7">
        <v>1412300</v>
      </c>
      <c r="J4125" s="8">
        <v>3.73E-2</v>
      </c>
    </row>
    <row r="4126" spans="1:10" x14ac:dyDescent="0.25">
      <c r="A4126" s="5" t="s">
        <v>4160</v>
      </c>
      <c r="B4126" s="5" t="s">
        <v>5993</v>
      </c>
      <c r="C4126" s="6" t="str">
        <f>_xll.QS.CONTEXT.CREATE("market.4124",A4126,"USD","SOFR")</f>
        <v>QSObject:PricingContext:w1~market.4124:13607</v>
      </c>
      <c r="D4126" s="6" t="str">
        <f>_xll.QS.CONTEXT.ADD.CURVE(C4126,"SOFR",$K$2:$K$7,$L$2:$L$7,,,"Actual360","LogLinear",TRUE)</f>
        <v>QSObject:ContextInput:w1~input.qs_context_add_curve.2359132437744.4125.3.0:34713</v>
      </c>
      <c r="E4126" s="6" t="str">
        <f>_xll.QS.INSTRUMENT.SWAP("swap.4124",H4126,B4126,"USD","SOFR",I4126,J4126,0,"Actual360","Simple","Annual","Annual","Annual")</f>
        <v>QSObject:Swap:w1~swap.4124:13606</v>
      </c>
      <c r="F4126" s="6" t="str">
        <f>_xll.QS.TRADE.CREATE("trade.4124",E4126,A4126,"Receive")</f>
        <v>QSObject:SwapTrade:w1~trade.4124:27719</v>
      </c>
      <c r="G4126" s="3">
        <f>_xll.QS.EVALUATE(C4126,F4126)</f>
        <v>34996.331409037964</v>
      </c>
      <c r="H4126" s="5" t="s">
        <v>4167</v>
      </c>
      <c r="I4126" s="7">
        <v>1412400</v>
      </c>
      <c r="J4126" s="8">
        <v>3.7400000000000003E-2</v>
      </c>
    </row>
    <row r="4127" spans="1:10" x14ac:dyDescent="0.25">
      <c r="A4127" s="5" t="s">
        <v>4161</v>
      </c>
      <c r="B4127" s="5" t="s">
        <v>5994</v>
      </c>
      <c r="C4127" s="6" t="str">
        <f>_xll.QS.CONTEXT.CREATE("market.4125",A4127,"USD","SOFR")</f>
        <v>QSObject:PricingContext:w1~market.4125:13605</v>
      </c>
      <c r="D4127" s="6" t="str">
        <f>_xll.QS.CONTEXT.ADD.CURVE(C4127,"SOFR",$K$2:$K$7,$L$2:$L$7,,,"Actual360","LogLinear",TRUE)</f>
        <v>QSObject:ContextInput:w1~input.qs_context_add_curve.2359132437744.4126.3.0:36456</v>
      </c>
      <c r="E4127" s="6" t="str">
        <f>_xll.QS.INSTRUMENT.SWAP("swap.4125",H4127,B4127,"USD","SOFR",I4127,J4127,0,"Actual360","Simple","Annual","Annual","Annual")</f>
        <v>QSObject:Swap:w1~swap.4125:13604</v>
      </c>
      <c r="F4127" s="6" t="str">
        <f>_xll.QS.TRADE.CREATE("trade.4125",E4127,A4127,"Receive")</f>
        <v>QSObject:SwapTrade:w1~trade.4125:27718</v>
      </c>
      <c r="G4127" s="3">
        <f>_xll.QS.EVALUATE(C4127,F4127)</f>
        <v>35753.622401355336</v>
      </c>
      <c r="H4127" s="5" t="s">
        <v>4168</v>
      </c>
      <c r="I4127" s="7">
        <v>1412500</v>
      </c>
      <c r="J4127" s="8">
        <v>3.7500000000000012E-2</v>
      </c>
    </row>
    <row r="4128" spans="1:10" x14ac:dyDescent="0.25">
      <c r="A4128" s="5" t="s">
        <v>4162</v>
      </c>
      <c r="B4128" s="5" t="s">
        <v>5995</v>
      </c>
      <c r="C4128" s="6" t="str">
        <f>_xll.QS.CONTEXT.CREATE("market.4126",A4128,"USD","SOFR")</f>
        <v>QSObject:PricingContext:w1~market.4126:13603</v>
      </c>
      <c r="D4128" s="6" t="str">
        <f>_xll.QS.CONTEXT.ADD.CURVE(C4128,"SOFR",$K$2:$K$7,$L$2:$L$7,,,"Actual360","LogLinear",TRUE)</f>
        <v>QSObject:ContextInput:w1~input.qs_context_add_curve.2359132437744.4127.3.0:36455</v>
      </c>
      <c r="E4128" s="6" t="str">
        <f>_xll.QS.INSTRUMENT.SWAP("swap.4126",H4128,B4128,"USD","SOFR",I4128,J4128,0,"Actual360","Simple","Annual","Annual","Annual")</f>
        <v>QSObject:Swap:w1~swap.4126:13602</v>
      </c>
      <c r="F4128" s="6" t="str">
        <f>_xll.QS.TRADE.CREATE("trade.4126",E4128,A4128,"Receive")</f>
        <v>QSObject:SwapTrade:w1~trade.4126:27717</v>
      </c>
      <c r="G4128" s="3">
        <f>_xll.QS.EVALUATE(C4128,F4128)</f>
        <v>36469.278658257652</v>
      </c>
      <c r="H4128" s="5" t="s">
        <v>4169</v>
      </c>
      <c r="I4128" s="7">
        <v>1412600</v>
      </c>
      <c r="J4128" s="8">
        <v>3.7600000000000001E-2</v>
      </c>
    </row>
    <row r="4129" spans="1:10" x14ac:dyDescent="0.25">
      <c r="A4129" s="5" t="s">
        <v>4163</v>
      </c>
      <c r="B4129" s="5" t="s">
        <v>5996</v>
      </c>
      <c r="C4129" s="6" t="str">
        <f>_xll.QS.CONTEXT.CREATE("market.4127",A4129,"USD","SOFR")</f>
        <v>QSObject:PricingContext:w1~market.4127:13601</v>
      </c>
      <c r="D4129" s="6" t="str">
        <f>_xll.QS.CONTEXT.ADD.CURVE(C4129,"SOFR",$K$2:$K$7,$L$2:$L$7,,,"Actual360","LogLinear",TRUE)</f>
        <v>QSObject:ContextInput:w1~input.qs_context_add_curve.2359132437744.4128.3.0:33504</v>
      </c>
      <c r="E4129" s="6" t="str">
        <f>_xll.QS.INSTRUMENT.SWAP("swap.4127",H4129,B4129,"USD","SOFR",I4129,J4129,0,"Actual360","Simple","Annual","Annual","Annual")</f>
        <v>QSObject:Swap:w1~swap.4127:13600</v>
      </c>
      <c r="F4129" s="6" t="str">
        <f>_xll.QS.TRADE.CREATE("trade.4127",E4129,A4129,"Receive")</f>
        <v>QSObject:SwapTrade:w1~trade.4127:27716</v>
      </c>
      <c r="G4129" s="3">
        <f>_xll.QS.EVALUATE(C4129,F4129)</f>
        <v>37068.970119475001</v>
      </c>
      <c r="H4129" s="5" t="s">
        <v>4170</v>
      </c>
      <c r="I4129" s="7">
        <v>1412700</v>
      </c>
      <c r="J4129" s="8">
        <v>3.7699999999999997E-2</v>
      </c>
    </row>
    <row r="4130" spans="1:10" x14ac:dyDescent="0.25">
      <c r="A4130" s="5" t="s">
        <v>4164</v>
      </c>
      <c r="B4130" s="5" t="s">
        <v>5997</v>
      </c>
      <c r="C4130" s="6" t="str">
        <f>_xll.QS.CONTEXT.CREATE("market.4128",A4130,"USD","SOFR")</f>
        <v>QSObject:PricingContext:w1~market.4128:13599</v>
      </c>
      <c r="D4130" s="6" t="str">
        <f>_xll.QS.CONTEXT.ADD.CURVE(C4130,"SOFR",$K$2:$K$7,$L$2:$L$7,,,"Actual360","LogLinear",TRUE)</f>
        <v>QSObject:ContextInput:w1~input.qs_context_add_curve.2359132437744.4129.3.0:36454</v>
      </c>
      <c r="E4130" s="6" t="str">
        <f>_xll.QS.INSTRUMENT.SWAP("swap.4128",H4130,B4130,"USD","SOFR",I4130,J4130,0,"Actual360","Simple","Annual","Annual","Annual")</f>
        <v>QSObject:Swap:w1~swap.4128:13598</v>
      </c>
      <c r="F4130" s="6" t="str">
        <f>_xll.QS.TRADE.CREATE("trade.4128",E4130,A4130,"Receive")</f>
        <v>QSObject:SwapTrade:w1~trade.4128:27715</v>
      </c>
      <c r="G4130" s="3">
        <f>_xll.QS.EVALUATE(C4130,F4130)</f>
        <v>37619.113262713814</v>
      </c>
      <c r="H4130" s="5" t="s">
        <v>4171</v>
      </c>
      <c r="I4130" s="7">
        <v>1412800</v>
      </c>
      <c r="J4130" s="8">
        <v>3.78E-2</v>
      </c>
    </row>
    <row r="4131" spans="1:10" x14ac:dyDescent="0.25">
      <c r="A4131" s="5" t="s">
        <v>4165</v>
      </c>
      <c r="B4131" s="5" t="s">
        <v>5998</v>
      </c>
      <c r="C4131" s="6" t="str">
        <f>_xll.QS.CONTEXT.CREATE("market.4129",A4131,"USD","SOFR")</f>
        <v>QSObject:PricingContext:w1~market.4129:13597</v>
      </c>
      <c r="D4131" s="6" t="str">
        <f>_xll.QS.CONTEXT.ADD.CURVE(C4131,"SOFR",$K$2:$K$7,$L$2:$L$7,,,"Actual360","LogLinear",TRUE)</f>
        <v>QSObject:ContextInput:w1~input.qs_context_add_curve.2359132437744.4130.3.0:36453</v>
      </c>
      <c r="E4131" s="6" t="str">
        <f>_xll.QS.INSTRUMENT.SWAP("swap.4129",H4131,B4131,"USD","SOFR",I4131,J4131,0,"Actual360","Simple","Annual","Annual","Annual")</f>
        <v>QSObject:Swap:w1~swap.4129:13596</v>
      </c>
      <c r="F4131" s="6" t="str">
        <f>_xll.QS.TRADE.CREATE("trade.4129",E4131,A4131,"Receive")</f>
        <v>QSObject:SwapTrade:w1~trade.4129:27714</v>
      </c>
      <c r="G4131" s="3">
        <f>_xll.QS.EVALUATE(C4131,F4131)</f>
        <v>38275.604004296983</v>
      </c>
      <c r="H4131" s="5" t="s">
        <v>4172</v>
      </c>
      <c r="I4131" s="7">
        <v>1412900</v>
      </c>
      <c r="J4131" s="8">
        <v>3.7900000000000003E-2</v>
      </c>
    </row>
    <row r="4132" spans="1:10" x14ac:dyDescent="0.25">
      <c r="A4132" s="5" t="s">
        <v>4166</v>
      </c>
      <c r="B4132" s="5" t="s">
        <v>5999</v>
      </c>
      <c r="C4132" s="6" t="str">
        <f>_xll.QS.CONTEXT.CREATE("market.4130",A4132,"USD","SOFR")</f>
        <v>QSObject:PricingContext:w1~market.4130:13595</v>
      </c>
      <c r="D4132" s="6" t="str">
        <f>_xll.QS.CONTEXT.ADD.CURVE(C4132,"SOFR",$K$2:$K$7,$L$2:$L$7,,,"Actual360","LogLinear",TRUE)</f>
        <v>QSObject:ContextInput:w1~input.qs_context_add_curve.2359132437744.4131.3.0:36452</v>
      </c>
      <c r="E4132" s="6" t="str">
        <f>_xll.QS.INSTRUMENT.SWAP("swap.4130",H4132,B4132,"USD","SOFR",I4132,J4132,0,"Actual360","Simple","Annual","Annual","Annual")</f>
        <v>QSObject:Swap:w1~swap.4130:13594</v>
      </c>
      <c r="F4132" s="6" t="str">
        <f>_xll.QS.TRADE.CREATE("trade.4130",E4132,A4132,"Receive")</f>
        <v>QSObject:SwapTrade:w1~trade.4130:27713</v>
      </c>
      <c r="G4132" s="3">
        <f>_xll.QS.EVALUATE(C4132,F4132)</f>
        <v>38989.054275889357</v>
      </c>
      <c r="H4132" s="5" t="s">
        <v>4173</v>
      </c>
      <c r="I4132" s="7">
        <v>1413000</v>
      </c>
      <c r="J4132" s="8">
        <v>3.8000000000000013E-2</v>
      </c>
    </row>
    <row r="4133" spans="1:10" x14ac:dyDescent="0.25">
      <c r="A4133" s="5" t="s">
        <v>4167</v>
      </c>
      <c r="B4133" s="5" t="s">
        <v>6000</v>
      </c>
      <c r="C4133" s="6" t="str">
        <f>_xll.QS.CONTEXT.CREATE("market.4131",A4133,"USD","SOFR")</f>
        <v>QSObject:PricingContext:w1~market.4131:13593</v>
      </c>
      <c r="D4133" s="6" t="str">
        <f>_xll.QS.CONTEXT.ADD.CURVE(C4133,"SOFR",$K$2:$K$7,$L$2:$L$7,,,"Actual360","LogLinear",TRUE)</f>
        <v>QSObject:ContextInput:w1~input.qs_context_add_curve.2359132437744.4132.3.0:36451</v>
      </c>
      <c r="E4133" s="6" t="str">
        <f>_xll.QS.INSTRUMENT.SWAP("swap.4131",H4133,B4133,"USD","SOFR",I4133,J4133,0,"Actual360","Simple","Annual","Annual","Annual")</f>
        <v>QSObject:Swap:w1~swap.4131:13592</v>
      </c>
      <c r="F4133" s="6" t="str">
        <f>_xll.QS.TRADE.CREATE("trade.4131",E4133,A4133,"Receive")</f>
        <v>QSObject:SwapTrade:w1~trade.4131:27712</v>
      </c>
      <c r="G4133" s="3">
        <f>_xll.QS.EVALUATE(C4133,F4133)</f>
        <v>39575.051403093137</v>
      </c>
      <c r="H4133" s="5" t="s">
        <v>4174</v>
      </c>
      <c r="I4133" s="7">
        <v>1413100</v>
      </c>
      <c r="J4133" s="8">
        <v>3.8100000000000002E-2</v>
      </c>
    </row>
    <row r="4134" spans="1:10" x14ac:dyDescent="0.25">
      <c r="A4134" s="5" t="s">
        <v>4168</v>
      </c>
      <c r="B4134" s="5" t="s">
        <v>6001</v>
      </c>
      <c r="C4134" s="6" t="str">
        <f>_xll.QS.CONTEXT.CREATE("market.4132",A4134,"USD","SOFR")</f>
        <v>QSObject:PricingContext:w1~market.4132:13591</v>
      </c>
      <c r="D4134" s="6" t="str">
        <f>_xll.QS.CONTEXT.ADD.CURVE(C4134,"SOFR",$K$2:$K$7,$L$2:$L$7,,,"Actual360","LogLinear",TRUE)</f>
        <v>QSObject:ContextInput:w1~input.qs_context_add_curve.2359132437744.4133.3.0:36450</v>
      </c>
      <c r="E4134" s="6" t="str">
        <f>_xll.QS.INSTRUMENT.SWAP("swap.4132",H4134,B4134,"USD","SOFR",I4134,J4134,0,"Actual360","Simple","Annual","Annual","Annual")</f>
        <v>QSObject:Swap:w1~swap.4132:13590</v>
      </c>
      <c r="F4134" s="6" t="str">
        <f>_xll.QS.TRADE.CREATE("trade.4132",E4134,A4134,"Receive")</f>
        <v>QSObject:SwapTrade:w1~trade.4132:27711</v>
      </c>
      <c r="G4134" s="3">
        <f>_xll.QS.EVALUATE(C4134,F4134)</f>
        <v>40333.113505781104</v>
      </c>
      <c r="H4134" s="5" t="s">
        <v>4175</v>
      </c>
      <c r="I4134" s="7">
        <v>1413200</v>
      </c>
      <c r="J4134" s="8">
        <v>3.8199999999999998E-2</v>
      </c>
    </row>
    <row r="4135" spans="1:10" x14ac:dyDescent="0.25">
      <c r="A4135" s="5" t="s">
        <v>4169</v>
      </c>
      <c r="B4135" s="5" t="s">
        <v>6002</v>
      </c>
      <c r="C4135" s="6" t="str">
        <f>_xll.QS.CONTEXT.CREATE("market.4133",A4135,"USD","SOFR")</f>
        <v>QSObject:PricingContext:w1~market.4133:13589</v>
      </c>
      <c r="D4135" s="6" t="str">
        <f>_xll.QS.CONTEXT.ADD.CURVE(C4135,"SOFR",$K$2:$K$7,$L$2:$L$7,,,"Actual360","LogLinear",TRUE)</f>
        <v>QSObject:ContextInput:w1~input.qs_context_add_curve.2359132437744.4134.3.0:36449</v>
      </c>
      <c r="E4135" s="6" t="str">
        <f>_xll.QS.INSTRUMENT.SWAP("swap.4133",H4135,B4135,"USD","SOFR",I4135,J4135,0,"Actual360","Simple","Annual","Annual","Annual")</f>
        <v>QSObject:Swap:w1~swap.4133:13588</v>
      </c>
      <c r="F4135" s="6" t="str">
        <f>_xll.QS.TRADE.CREATE("trade.4133",E4135,A4135,"Receive")</f>
        <v>QSObject:SwapTrade:w1~trade.4133:27710</v>
      </c>
      <c r="G4135" s="3">
        <f>_xll.QS.EVALUATE(C4135,F4135)</f>
        <v>40991.973286226334</v>
      </c>
      <c r="H4135" s="5" t="s">
        <v>4176</v>
      </c>
      <c r="I4135" s="7">
        <v>1413300</v>
      </c>
      <c r="J4135" s="8">
        <v>3.8300000000000001E-2</v>
      </c>
    </row>
    <row r="4136" spans="1:10" x14ac:dyDescent="0.25">
      <c r="A4136" s="5" t="s">
        <v>4170</v>
      </c>
      <c r="B4136" s="5" t="s">
        <v>6003</v>
      </c>
      <c r="C4136" s="6" t="str">
        <f>_xll.QS.CONTEXT.CREATE("market.4134",A4136,"USD","SOFR")</f>
        <v>QSObject:PricingContext:w1~market.4134:13587</v>
      </c>
      <c r="D4136" s="6" t="str">
        <f>_xll.QS.CONTEXT.ADD.CURVE(C4136,"SOFR",$K$2:$K$7,$L$2:$L$7,,,"Actual360","LogLinear",TRUE)</f>
        <v>QSObject:ContextInput:w1~input.qs_context_add_curve.2359132437744.4135.3.0:36448</v>
      </c>
      <c r="E4136" s="6" t="str">
        <f>_xll.QS.INSTRUMENT.SWAP("swap.4134",H4136,B4136,"USD","SOFR",I4136,J4136,0,"Actual360","Simple","Annual","Annual","Annual")</f>
        <v>QSObject:Swap:w1~swap.4134:13586</v>
      </c>
      <c r="F4136" s="6" t="str">
        <f>_xll.QS.TRADE.CREATE("trade.4134",E4136,A4136,"Receive")</f>
        <v>QSObject:SwapTrade:w1~trade.4134:27709</v>
      </c>
      <c r="G4136" s="3">
        <f>_xll.QS.EVALUATE(C4136,F4136)</f>
        <v>41649.756257867892</v>
      </c>
      <c r="H4136" s="5" t="s">
        <v>4177</v>
      </c>
      <c r="I4136" s="7">
        <v>1413400</v>
      </c>
      <c r="J4136" s="8">
        <v>3.8399999999999997E-2</v>
      </c>
    </row>
    <row r="4137" spans="1:10" x14ac:dyDescent="0.25">
      <c r="A4137" s="5" t="s">
        <v>4171</v>
      </c>
      <c r="B4137" s="5" t="s">
        <v>6004</v>
      </c>
      <c r="C4137" s="6" t="str">
        <f>_xll.QS.CONTEXT.CREATE("market.4135",A4137,"USD","SOFR")</f>
        <v>QSObject:PricingContext:w1~market.4135:13585</v>
      </c>
      <c r="D4137" s="6" t="str">
        <f>_xll.QS.CONTEXT.ADD.CURVE(C4137,"SOFR",$K$2:$K$7,$L$2:$L$7,,,"Actual360","LogLinear",TRUE)</f>
        <v>QSObject:ContextInput:w1~input.qs_context_add_curve.2359132437744.4136.3.0:36447</v>
      </c>
      <c r="E4137" s="6" t="str">
        <f>_xll.QS.INSTRUMENT.SWAP("swap.4135",H4137,B4137,"USD","SOFR",I4137,J4137,0,"Actual360","Simple","Annual","Annual","Annual")</f>
        <v>QSObject:Swap:w1~swap.4135:13584</v>
      </c>
      <c r="F4137" s="6" t="str">
        <f>_xll.QS.TRADE.CREATE("trade.4135",E4137,A4137,"Receive")</f>
        <v>QSObject:SwapTrade:w1~trade.4135:27708</v>
      </c>
      <c r="G4137" s="3">
        <f>_xll.QS.EVALUATE(C4137,F4137)</f>
        <v>42195.120142655403</v>
      </c>
      <c r="H4137" s="5" t="s">
        <v>4178</v>
      </c>
      <c r="I4137" s="7">
        <v>1413500</v>
      </c>
      <c r="J4137" s="8">
        <v>3.8500000000000013E-2</v>
      </c>
    </row>
    <row r="4138" spans="1:10" x14ac:dyDescent="0.25">
      <c r="A4138" s="5" t="s">
        <v>4172</v>
      </c>
      <c r="B4138" s="5" t="s">
        <v>6005</v>
      </c>
      <c r="C4138" s="6" t="str">
        <f>_xll.QS.CONTEXT.CREATE("market.4136",A4138,"USD","SOFR")</f>
        <v>QSObject:PricingContext:w1~market.4136:13583</v>
      </c>
      <c r="D4138" s="6" t="str">
        <f>_xll.QS.CONTEXT.ADD.CURVE(C4138,"SOFR",$K$2:$K$7,$L$2:$L$7,,,"Actual360","LogLinear",TRUE)</f>
        <v>QSObject:ContextInput:w1~input.qs_context_add_curve.2359132437744.4137.3.0:36446</v>
      </c>
      <c r="E4138" s="6" t="str">
        <f>_xll.QS.INSTRUMENT.SWAP("swap.4136",H4138,B4138,"USD","SOFR",I4138,J4138,0,"Actual360","Simple","Annual","Annual","Annual")</f>
        <v>QSObject:Swap:w1~swap.4136:13582</v>
      </c>
      <c r="F4138" s="6" t="str">
        <f>_xll.QS.TRADE.CREATE("trade.4136",E4138,A4138,"Receive")</f>
        <v>QSObject:SwapTrade:w1~trade.4136:27707</v>
      </c>
      <c r="G4138" s="3">
        <f>_xll.QS.EVALUATE(C4138,F4138)</f>
        <v>42755.219575311414</v>
      </c>
      <c r="H4138" s="5" t="s">
        <v>4179</v>
      </c>
      <c r="I4138" s="7">
        <v>1413600</v>
      </c>
      <c r="J4138" s="8">
        <v>3.8600000000000002E-2</v>
      </c>
    </row>
    <row r="4139" spans="1:10" x14ac:dyDescent="0.25">
      <c r="A4139" s="5" t="s">
        <v>4173</v>
      </c>
      <c r="B4139" s="5" t="s">
        <v>6006</v>
      </c>
      <c r="C4139" s="6" t="str">
        <f>_xll.QS.CONTEXT.CREATE("market.4137",A4139,"USD","SOFR")</f>
        <v>QSObject:PricingContext:w1~market.4137:13581</v>
      </c>
      <c r="D4139" s="6" t="str">
        <f>_xll.QS.CONTEXT.ADD.CURVE(C4139,"SOFR",$K$2:$K$7,$L$2:$L$7,,,"Actual360","LogLinear",TRUE)</f>
        <v>QSObject:ContextInput:w1~input.qs_context_add_curve.2359132437744.4138.3.0:36445</v>
      </c>
      <c r="E4139" s="6" t="str">
        <f>_xll.QS.INSTRUMENT.SWAP("swap.4137",H4139,B4139,"USD","SOFR",I4139,J4139,0,"Actual360","Simple","Annual","Annual","Annual")</f>
        <v>QSObject:Swap:w1~swap.4137:13580</v>
      </c>
      <c r="F4139" s="6" t="str">
        <f>_xll.QS.TRADE.CREATE("trade.4137",E4139,A4139,"Receive")</f>
        <v>QSObject:SwapTrade:w1~trade.4137:27706</v>
      </c>
      <c r="G4139" s="3">
        <f>_xll.QS.EVALUATE(C4139,F4139)</f>
        <v>43470.547461855371</v>
      </c>
      <c r="H4139" s="5" t="s">
        <v>4180</v>
      </c>
      <c r="I4139" s="7">
        <v>1413700</v>
      </c>
      <c r="J4139" s="8">
        <v>3.8700000000000012E-2</v>
      </c>
    </row>
    <row r="4140" spans="1:10" x14ac:dyDescent="0.25">
      <c r="A4140" s="5" t="s">
        <v>4174</v>
      </c>
      <c r="B4140" s="5" t="s">
        <v>6007</v>
      </c>
      <c r="C4140" s="6" t="str">
        <f>_xll.QS.CONTEXT.CREATE("market.4138",A4140,"USD","SOFR")</f>
        <v>QSObject:PricingContext:w1~market.4138:13579</v>
      </c>
      <c r="D4140" s="6" t="str">
        <f>_xll.QS.CONTEXT.ADD.CURVE(C4140,"SOFR",$K$2:$K$7,$L$2:$L$7,,,"Actual360","LogLinear",TRUE)</f>
        <v>QSObject:ContextInput:w1~input.qs_context_add_curve.2359132437744.4139.3.0:36444</v>
      </c>
      <c r="E4140" s="6" t="str">
        <f>_xll.QS.INSTRUMENT.SWAP("swap.4138",H4140,B4140,"USD","SOFR",I4140,J4140,0,"Actual360","Simple","Annual","Annual","Annual")</f>
        <v>QSObject:Swap:w1~swap.4138:13578</v>
      </c>
      <c r="F4140" s="6" t="str">
        <f>_xll.QS.TRADE.CREATE("trade.4138",E4140,A4140,"Receive")</f>
        <v>QSObject:SwapTrade:w1~trade.4138:27705</v>
      </c>
      <c r="G4140" s="3">
        <f>_xll.QS.EVALUATE(C4140,F4140)</f>
        <v>44158.290486831967</v>
      </c>
      <c r="H4140" s="5" t="s">
        <v>4181</v>
      </c>
      <c r="I4140" s="7">
        <v>1413800</v>
      </c>
      <c r="J4140" s="8">
        <v>3.8800000000000001E-2</v>
      </c>
    </row>
    <row r="4141" spans="1:10" x14ac:dyDescent="0.25">
      <c r="A4141" s="5" t="s">
        <v>4175</v>
      </c>
      <c r="B4141" s="5" t="s">
        <v>6008</v>
      </c>
      <c r="C4141" s="6" t="str">
        <f>_xll.QS.CONTEXT.CREATE("market.4139",A4141,"USD","SOFR")</f>
        <v>QSObject:PricingContext:w1~market.4139:13577</v>
      </c>
      <c r="D4141" s="6" t="str">
        <f>_xll.QS.CONTEXT.ADD.CURVE(C4141,"SOFR",$K$2:$K$7,$L$2:$L$7,,,"Actual360","LogLinear",TRUE)</f>
        <v>QSObject:ContextInput:w1~input.qs_context_add_curve.2359132437744.4140.3.0:36443</v>
      </c>
      <c r="E4141" s="6" t="str">
        <f>_xll.QS.INSTRUMENT.SWAP("swap.4139",H4141,B4141,"USD","SOFR",I4141,J4141,0,"Actual360","Simple","Annual","Annual","Annual")</f>
        <v>QSObject:Swap:w1~swap.4139:13576</v>
      </c>
      <c r="F4141" s="6" t="str">
        <f>_xll.QS.TRADE.CREATE("trade.4139",E4141,A4141,"Receive")</f>
        <v>QSObject:SwapTrade:w1~trade.4139:27704</v>
      </c>
      <c r="G4141" s="3">
        <f>_xll.QS.EVALUATE(C4141,F4141)</f>
        <v>44917.121708971121</v>
      </c>
      <c r="H4141" s="5" t="s">
        <v>4182</v>
      </c>
      <c r="I4141" s="7">
        <v>1413900</v>
      </c>
      <c r="J4141" s="8">
        <v>3.8899999999999997E-2</v>
      </c>
    </row>
    <row r="4142" spans="1:10" x14ac:dyDescent="0.25">
      <c r="A4142" s="5" t="s">
        <v>4176</v>
      </c>
      <c r="B4142" s="5" t="s">
        <v>6009</v>
      </c>
      <c r="C4142" s="6" t="str">
        <f>_xll.QS.CONTEXT.CREATE("market.4140",A4142,"USD","SOFR")</f>
        <v>QSObject:PricingContext:w1~market.4140:13575</v>
      </c>
      <c r="D4142" s="6" t="str">
        <f>_xll.QS.CONTEXT.ADD.CURVE(C4142,"SOFR",$K$2:$K$7,$L$2:$L$7,,,"Actual360","LogLinear",TRUE)</f>
        <v>QSObject:ContextInput:w1~input.qs_context_add_curve.2359132437744.4141.3.0:36442</v>
      </c>
      <c r="E4142" s="6" t="str">
        <f>_xll.QS.INSTRUMENT.SWAP("swap.4140",H4142,B4142,"USD","SOFR",I4142,J4142,0,"Actual360","Simple","Annual","Annual","Annual")</f>
        <v>QSObject:Swap:w1~swap.4140:13574</v>
      </c>
      <c r="F4142" s="6" t="str">
        <f>_xll.QS.TRADE.CREATE("trade.4140",E4142,A4142,"Receive")</f>
        <v>QSObject:SwapTrade:w1~trade.4140:27703</v>
      </c>
      <c r="G4142" s="3">
        <f>_xll.QS.EVALUATE(C4142,F4142)</f>
        <v>45634.233046937865</v>
      </c>
      <c r="H4142" s="5" t="s">
        <v>4183</v>
      </c>
      <c r="I4142" s="7">
        <v>1414000</v>
      </c>
      <c r="J4142" s="8">
        <v>3.9000000000000007E-2</v>
      </c>
    </row>
    <row r="4143" spans="1:10" x14ac:dyDescent="0.25">
      <c r="A4143" s="5" t="s">
        <v>4177</v>
      </c>
      <c r="B4143" s="5" t="s">
        <v>6010</v>
      </c>
      <c r="C4143" s="6" t="str">
        <f>_xll.QS.CONTEXT.CREATE("market.4141",A4143,"USD","SOFR")</f>
        <v>QSObject:PricingContext:w1~market.4141:13573</v>
      </c>
      <c r="D4143" s="6" t="str">
        <f>_xll.QS.CONTEXT.ADD.CURVE(C4143,"SOFR",$K$2:$K$7,$L$2:$L$7,,,"Actual360","LogLinear",TRUE)</f>
        <v>QSObject:ContextInput:w1~input.qs_context_add_curve.2359132437744.4142.3.0:36441</v>
      </c>
      <c r="E4143" s="6" t="str">
        <f>_xll.QS.INSTRUMENT.SWAP("swap.4141",H4143,B4143,"USD","SOFR",I4143,J4143,0,"Actual360","Simple","Annual","Annual","Annual")</f>
        <v>QSObject:Swap:w1~swap.4141:13572</v>
      </c>
      <c r="F4143" s="6" t="str">
        <f>_xll.QS.TRADE.CREATE("trade.4141",E4143,A4143,"Receive")</f>
        <v>QSObject:SwapTrade:w1~trade.4141:27702</v>
      </c>
      <c r="G4143" s="3">
        <f>_xll.QS.EVALUATE(C4143,F4143)</f>
        <v>46235.061559687085</v>
      </c>
      <c r="H4143" s="5" t="s">
        <v>4184</v>
      </c>
      <c r="I4143" s="7">
        <v>1414100</v>
      </c>
      <c r="J4143" s="8">
        <v>3.9100000000000003E-2</v>
      </c>
    </row>
    <row r="4144" spans="1:10" x14ac:dyDescent="0.25">
      <c r="A4144" s="5" t="s">
        <v>4178</v>
      </c>
      <c r="B4144" s="5" t="s">
        <v>6011</v>
      </c>
      <c r="C4144" s="6" t="str">
        <f>_xll.QS.CONTEXT.CREATE("market.4142",A4144,"USD","SOFR")</f>
        <v>QSObject:PricingContext:w1~market.4142:13571</v>
      </c>
      <c r="D4144" s="6" t="str">
        <f>_xll.QS.CONTEXT.ADD.CURVE(C4144,"SOFR",$K$2:$K$7,$L$2:$L$7,,,"Actual360","LogLinear",TRUE)</f>
        <v>QSObject:ContextInput:w1~input.qs_context_add_curve.2359132437744.4143.3.0:36440</v>
      </c>
      <c r="E4144" s="6" t="str">
        <f>_xll.QS.INSTRUMENT.SWAP("swap.4142",H4144,B4144,"USD","SOFR",I4144,J4144,0,"Actual360","Simple","Annual","Annual","Annual")</f>
        <v>QSObject:Swap:w1~swap.4142:13570</v>
      </c>
      <c r="F4144" s="6" t="str">
        <f>_xll.QS.TRADE.CREATE("trade.4142",E4144,A4144,"Receive")</f>
        <v>QSObject:SwapTrade:w1~trade.4142:27701</v>
      </c>
      <c r="G4144" s="3">
        <f>_xll.QS.EVALUATE(C4144,F4144)</f>
        <v>46775.640864007655</v>
      </c>
      <c r="H4144" s="5" t="s">
        <v>4185</v>
      </c>
      <c r="I4144" s="7">
        <v>1414200</v>
      </c>
      <c r="J4144" s="8">
        <v>3.9200000000000013E-2</v>
      </c>
    </row>
    <row r="4145" spans="1:10" x14ac:dyDescent="0.25">
      <c r="A4145" s="5" t="s">
        <v>4179</v>
      </c>
      <c r="B4145" s="5" t="s">
        <v>6012</v>
      </c>
      <c r="C4145" s="6" t="str">
        <f>_xll.QS.CONTEXT.CREATE("market.4143",A4145,"USD","SOFR")</f>
        <v>QSObject:PricingContext:w1~market.4143:13569</v>
      </c>
      <c r="D4145" s="6" t="str">
        <f>_xll.QS.CONTEXT.ADD.CURVE(C4145,"SOFR",$K$2:$K$7,$L$2:$L$7,,,"Actual360","LogLinear",TRUE)</f>
        <v>QSObject:ContextInput:w1~input.qs_context_add_curve.2359132437744.4144.3.0:36439</v>
      </c>
      <c r="E4145" s="6" t="str">
        <f>_xll.QS.INSTRUMENT.SWAP("swap.4143",H4145,B4145,"USD","SOFR",I4145,J4145,0,"Actual360","Simple","Annual","Annual","Annual")</f>
        <v>QSObject:Swap:w1~swap.4143:13568</v>
      </c>
      <c r="F4145" s="6" t="str">
        <f>_xll.QS.TRADE.CREATE("trade.4143",E4145,A4145,"Receive")</f>
        <v>QSObject:SwapTrade:w1~trade.4143:27700</v>
      </c>
      <c r="G4145" s="3">
        <f>_xll.QS.EVALUATE(C4145,F4145)</f>
        <v>47343.416338792216</v>
      </c>
      <c r="H4145" s="5" t="s">
        <v>4186</v>
      </c>
      <c r="I4145" s="7">
        <v>1414300</v>
      </c>
      <c r="J4145" s="8">
        <v>3.9300000000000002E-2</v>
      </c>
    </row>
    <row r="4146" spans="1:10" x14ac:dyDescent="0.25">
      <c r="A4146" s="5" t="s">
        <v>4180</v>
      </c>
      <c r="B4146" s="5" t="s">
        <v>6013</v>
      </c>
      <c r="C4146" s="6" t="str">
        <f>_xll.QS.CONTEXT.CREATE("market.4144",A4146,"USD","SOFR")</f>
        <v>QSObject:PricingContext:w1~market.4144:13567</v>
      </c>
      <c r="D4146" s="6" t="str">
        <f>_xll.QS.CONTEXT.ADD.CURVE(C4146,"SOFR",$K$2:$K$7,$L$2:$L$7,,,"Actual360","LogLinear",TRUE)</f>
        <v>QSObject:ContextInput:w1~input.qs_context_add_curve.2359132437744.4145.3.0:36438</v>
      </c>
      <c r="E4146" s="6" t="str">
        <f>_xll.QS.INSTRUMENT.SWAP("swap.4144",H4146,B4146,"USD","SOFR",I4146,J4146,0,"Actual360","Simple","Annual","Annual","Annual")</f>
        <v>QSObject:Swap:w1~swap.4144:13566</v>
      </c>
      <c r="F4146" s="6" t="str">
        <f>_xll.QS.TRADE.CREATE("trade.4144",E4146,A4146,"Receive")</f>
        <v>QSObject:SwapTrade:w1~trade.4144:27699</v>
      </c>
      <c r="G4146" s="3">
        <f>_xll.QS.EVALUATE(C4146,F4146)</f>
        <v>48059.86226869157</v>
      </c>
      <c r="H4146" s="5" t="s">
        <v>4187</v>
      </c>
      <c r="I4146" s="7">
        <v>1414400</v>
      </c>
      <c r="J4146" s="8">
        <v>3.9399999999999998E-2</v>
      </c>
    </row>
    <row r="4147" spans="1:10" x14ac:dyDescent="0.25">
      <c r="A4147" s="5" t="s">
        <v>4181</v>
      </c>
      <c r="B4147" s="5" t="s">
        <v>6014</v>
      </c>
      <c r="C4147" s="6" t="str">
        <f>_xll.QS.CONTEXT.CREATE("market.4145",A4147,"USD","SOFR")</f>
        <v>QSObject:PricingContext:w1~market.4145:13565</v>
      </c>
      <c r="D4147" s="6" t="str">
        <f>_xll.QS.CONTEXT.ADD.CURVE(C4147,"SOFR",$K$2:$K$7,$L$2:$L$7,,,"Actual360","LogLinear",TRUE)</f>
        <v>QSObject:ContextInput:w1~input.qs_context_add_curve.2359132437744.4146.3.0:36437</v>
      </c>
      <c r="E4147" s="6" t="str">
        <f>_xll.QS.INSTRUMENT.SWAP("swap.4145",H4147,B4147,"USD","SOFR",I4147,J4147,0,"Actual360","Simple","Annual","Annual","Annual")</f>
        <v>QSObject:Swap:w1~swap.4145:13564</v>
      </c>
      <c r="F4147" s="6" t="str">
        <f>_xll.QS.TRADE.CREATE("trade.4145",E4147,A4147,"Receive")</f>
        <v>QSObject:SwapTrade:w1~trade.4145:27698</v>
      </c>
      <c r="G4147" s="3">
        <f>_xll.QS.EVALUATE(C4147,F4147)</f>
        <v>48746.048660254724</v>
      </c>
      <c r="H4147" s="5" t="s">
        <v>4188</v>
      </c>
      <c r="I4147" s="7">
        <v>1414500</v>
      </c>
      <c r="J4147" s="8">
        <v>3.9500000000000007E-2</v>
      </c>
    </row>
    <row r="4148" spans="1:10" x14ac:dyDescent="0.25">
      <c r="A4148" s="5" t="s">
        <v>4182</v>
      </c>
      <c r="B4148" s="5" t="s">
        <v>6015</v>
      </c>
      <c r="C4148" s="6" t="str">
        <f>_xll.QS.CONTEXT.CREATE("market.4146",A4148,"USD","SOFR")</f>
        <v>QSObject:PricingContext:w1~market.4146:13563</v>
      </c>
      <c r="D4148" s="6" t="str">
        <f>_xll.QS.CONTEXT.ADD.CURVE(C4148,"SOFR",$K$2:$K$7,$L$2:$L$7,,,"Actual360","LogLinear",TRUE)</f>
        <v>QSObject:ContextInput:w1~input.qs_context_add_curve.2359132437744.4147.3.0:36436</v>
      </c>
      <c r="E4148" s="6" t="str">
        <f>_xll.QS.INSTRUMENT.SWAP("swap.4146",H4148,B4148,"USD","SOFR",I4148,J4148,0,"Actual360","Simple","Annual","Annual","Annual")</f>
        <v>QSObject:Swap:w1~swap.4146:13562</v>
      </c>
      <c r="F4148" s="6" t="str">
        <f>_xll.QS.TRADE.CREATE("trade.4146",E4148,A4148,"Receive")</f>
        <v>QSObject:SwapTrade:w1~trade.4146:27697</v>
      </c>
      <c r="G4148" s="3">
        <f>_xll.QS.EVALUATE(C4148,F4148)</f>
        <v>49505.649073358501</v>
      </c>
      <c r="H4148" s="5" t="s">
        <v>4189</v>
      </c>
      <c r="I4148" s="7">
        <v>1414600</v>
      </c>
      <c r="J4148" s="8">
        <v>3.9600000000000003E-2</v>
      </c>
    </row>
    <row r="4149" spans="1:10" x14ac:dyDescent="0.25">
      <c r="A4149" s="5" t="s">
        <v>4183</v>
      </c>
      <c r="B4149" s="5" t="s">
        <v>6016</v>
      </c>
      <c r="C4149" s="6" t="str">
        <f>_xll.QS.CONTEXT.CREATE("market.4147",A4149,"USD","SOFR")</f>
        <v>QSObject:PricingContext:w1~market.4147:13561</v>
      </c>
      <c r="D4149" s="6" t="str">
        <f>_xll.QS.CONTEXT.ADD.CURVE(C4149,"SOFR",$K$2:$K$7,$L$2:$L$7,,,"Actual360","LogLinear",TRUE)</f>
        <v>QSObject:ContextInput:w1~input.qs_context_add_curve.2359132437744.4148.3.0:36435</v>
      </c>
      <c r="E4149" s="6" t="str">
        <f>_xll.QS.INSTRUMENT.SWAP("swap.4147",H4149,B4149,"USD","SOFR",I4149,J4149,0,"Actual360","Simple","Annual","Annual","Annual")</f>
        <v>QSObject:Swap:w1~swap.4147:13560</v>
      </c>
      <c r="F4149" s="6" t="str">
        <f>_xll.QS.TRADE.CREATE("trade.4147",E4149,A4149,"Receive")</f>
        <v>QSObject:SwapTrade:w1~trade.4147:27696</v>
      </c>
      <c r="G4149" s="3">
        <f>_xll.QS.EVALUATE(C4149,F4149)</f>
        <v>50223.489060886241</v>
      </c>
      <c r="H4149" s="5" t="s">
        <v>4190</v>
      </c>
      <c r="I4149" s="7">
        <v>1414700</v>
      </c>
      <c r="J4149" s="8">
        <v>3.9700000000000013E-2</v>
      </c>
    </row>
    <row r="4150" spans="1:10" x14ac:dyDescent="0.25">
      <c r="A4150" s="5" t="s">
        <v>4184</v>
      </c>
      <c r="B4150" s="5" t="s">
        <v>6017</v>
      </c>
      <c r="C4150" s="6" t="str">
        <f>_xll.QS.CONTEXT.CREATE("market.4148",A4150,"USD","SOFR")</f>
        <v>QSObject:PricingContext:w1~market.4148:13559</v>
      </c>
      <c r="D4150" s="6" t="str">
        <f>_xll.QS.CONTEXT.ADD.CURVE(C4150,"SOFR",$K$2:$K$7,$L$2:$L$7,,,"Actual360","LogLinear",TRUE)</f>
        <v>QSObject:ContextInput:w1~input.qs_context_add_curve.2359132437744.4149.3.0:36434</v>
      </c>
      <c r="E4150" s="6" t="str">
        <f>_xll.QS.INSTRUMENT.SWAP("swap.4148",H4150,B4150,"USD","SOFR",I4150,J4150,0,"Actual360","Simple","Annual","Annual","Annual")</f>
        <v>QSObject:Swap:w1~swap.4148:13558</v>
      </c>
      <c r="F4150" s="6" t="str">
        <f>_xll.QS.TRADE.CREATE("trade.4148",E4150,A4150,"Receive")</f>
        <v>QSObject:SwapTrade:w1~trade.4148:27695</v>
      </c>
      <c r="G4150" s="3">
        <f>_xll.QS.EVALUATE(C4150,F4150)</f>
        <v>50824.88602493205</v>
      </c>
      <c r="H4150" s="5" t="s">
        <v>4191</v>
      </c>
      <c r="I4150" s="7">
        <v>1414800</v>
      </c>
      <c r="J4150" s="8">
        <v>3.9800000000000002E-2</v>
      </c>
    </row>
    <row r="4151" spans="1:10" x14ac:dyDescent="0.25">
      <c r="A4151" s="5" t="s">
        <v>4185</v>
      </c>
      <c r="B4151" s="5" t="s">
        <v>6018</v>
      </c>
      <c r="C4151" s="6" t="str">
        <f>_xll.QS.CONTEXT.CREATE("market.4149",A4151,"USD","SOFR")</f>
        <v>QSObject:PricingContext:w1~market.4149:13557</v>
      </c>
      <c r="D4151" s="6" t="str">
        <f>_xll.QS.CONTEXT.ADD.CURVE(C4151,"SOFR",$K$2:$K$7,$L$2:$L$7,,,"Actual360","LogLinear",TRUE)</f>
        <v>QSObject:ContextInput:w1~input.qs_context_add_curve.2359132437744.4150.3.0:36433</v>
      </c>
      <c r="E4151" s="6" t="str">
        <f>_xll.QS.INSTRUMENT.SWAP("swap.4149",H4151,B4151,"USD","SOFR",I4151,J4151,0,"Actual360","Simple","Annual","Annual","Annual")</f>
        <v>QSObject:Swap:w1~swap.4149:13556</v>
      </c>
      <c r="F4151" s="6" t="str">
        <f>_xll.QS.TRADE.CREATE("trade.4149",E4151,A4151,"Receive")</f>
        <v>QSObject:SwapTrade:w1~trade.4149:27694</v>
      </c>
      <c r="G4151" s="3">
        <f>_xll.QS.EVALUATE(C4151,F4151)</f>
        <v>51360.675426770089</v>
      </c>
      <c r="H4151" s="5" t="s">
        <v>4192</v>
      </c>
      <c r="I4151" s="7">
        <v>1414900</v>
      </c>
      <c r="J4151" s="8">
        <v>3.9899999999999998E-2</v>
      </c>
    </row>
    <row r="4152" spans="1:10" x14ac:dyDescent="0.25">
      <c r="A4152" s="5" t="s">
        <v>4186</v>
      </c>
      <c r="B4152" s="5" t="s">
        <v>6019</v>
      </c>
      <c r="C4152" s="6" t="str">
        <f>_xll.QS.CONTEXT.CREATE("market.4150",A4152,"USD","SOFR")</f>
        <v>QSObject:PricingContext:w1~market.4150:13555</v>
      </c>
      <c r="D4152" s="6" t="str">
        <f>_xll.QS.CONTEXT.ADD.CURVE(C4152,"SOFR",$K$2:$K$7,$L$2:$L$7,,,"Actual360","LogLinear",TRUE)</f>
        <v>QSObject:ContextInput:w1~input.qs_context_add_curve.2359132437744.4151.3.0:36432</v>
      </c>
      <c r="E4152" s="6" t="str">
        <f>_xll.QS.INSTRUMENT.SWAP("swap.4150",H4152,B4152,"USD","SOFR",I4152,J4152,0,"Actual360","Simple","Annual","Annual","Annual")</f>
        <v>QSObject:Swap:w1~swap.4150:13554</v>
      </c>
      <c r="F4152" s="6" t="str">
        <f>_xll.QS.TRADE.CREATE("trade.4150",E4152,A4152,"Receive")</f>
        <v>QSObject:SwapTrade:w1~trade.4150:27693</v>
      </c>
      <c r="G4152" s="3">
        <f>_xll.QS.EVALUATE(C4152,F4152)</f>
        <v>19298.382180151712</v>
      </c>
      <c r="H4152" s="5" t="s">
        <v>4193</v>
      </c>
      <c r="I4152" s="7">
        <v>1415000</v>
      </c>
      <c r="J4152" s="8">
        <v>3.5000000000000003E-2</v>
      </c>
    </row>
    <row r="4153" spans="1:10" x14ac:dyDescent="0.25">
      <c r="A4153" s="5" t="s">
        <v>4187</v>
      </c>
      <c r="B4153" s="5" t="s">
        <v>6020</v>
      </c>
      <c r="C4153" s="6" t="str">
        <f>_xll.QS.CONTEXT.CREATE("market.4151",A4153,"USD","SOFR")</f>
        <v>QSObject:PricingContext:w1~market.4151:13553</v>
      </c>
      <c r="D4153" s="6" t="str">
        <f>_xll.QS.CONTEXT.ADD.CURVE(C4153,"SOFR",$K$2:$K$7,$L$2:$L$7,,,"Actual360","LogLinear",TRUE)</f>
        <v>QSObject:ContextInput:w1~input.qs_context_add_curve.2359132437744.4152.3.0:36431</v>
      </c>
      <c r="E4153" s="6" t="str">
        <f>_xll.QS.INSTRUMENT.SWAP("swap.4151",H4153,B4153,"USD","SOFR",I4153,J4153,0,"Actual360","Simple","Annual","Annual","Annual")</f>
        <v>QSObject:Swap:w1~swap.4151:13552</v>
      </c>
      <c r="F4153" s="6" t="str">
        <f>_xll.QS.TRADE.CREATE("trade.4151",E4153,A4153,"Receive")</f>
        <v>QSObject:SwapTrade:w1~trade.4151:27692</v>
      </c>
      <c r="G4153" s="3">
        <f>_xll.QS.EVALUATE(C4153,F4153)</f>
        <v>20010.478290771862</v>
      </c>
      <c r="H4153" s="5" t="s">
        <v>4194</v>
      </c>
      <c r="I4153" s="7">
        <v>1415100</v>
      </c>
      <c r="J4153" s="8">
        <v>3.5100000000000013E-2</v>
      </c>
    </row>
    <row r="4154" spans="1:10" x14ac:dyDescent="0.25">
      <c r="A4154" s="5" t="s">
        <v>4188</v>
      </c>
      <c r="B4154" s="5" t="s">
        <v>6021</v>
      </c>
      <c r="C4154" s="6" t="str">
        <f>_xll.QS.CONTEXT.CREATE("market.4152",A4154,"USD","SOFR")</f>
        <v>QSObject:PricingContext:w1~market.4152:13551</v>
      </c>
      <c r="D4154" s="6" t="str">
        <f>_xll.QS.CONTEXT.ADD.CURVE(C4154,"SOFR",$K$2:$K$7,$L$2:$L$7,,,"Actual360","LogLinear",TRUE)</f>
        <v>QSObject:ContextInput:w1~input.qs_context_add_curve.2359132437744.4153.3.0:36430</v>
      </c>
      <c r="E4154" s="6" t="str">
        <f>_xll.QS.INSTRUMENT.SWAP("swap.4152",H4154,B4154,"USD","SOFR",I4154,J4154,0,"Actual360","Simple","Annual","Annual","Annual")</f>
        <v>QSObject:Swap:w1~swap.4152:13550</v>
      </c>
      <c r="F4154" s="6" t="str">
        <f>_xll.QS.TRADE.CREATE("trade.4152",E4154,A4154,"Receive")</f>
        <v>QSObject:SwapTrade:w1~trade.4152:27691</v>
      </c>
      <c r="G4154" s="3">
        <f>_xll.QS.EVALUATE(C4154,F4154)</f>
        <v>20708.653880732782</v>
      </c>
      <c r="H4154" s="5" t="s">
        <v>4195</v>
      </c>
      <c r="I4154" s="7">
        <v>1415200</v>
      </c>
      <c r="J4154" s="8">
        <v>3.5200000000000002E-2</v>
      </c>
    </row>
    <row r="4155" spans="1:10" x14ac:dyDescent="0.25">
      <c r="A4155" s="5" t="s">
        <v>4189</v>
      </c>
      <c r="B4155" s="5" t="s">
        <v>6022</v>
      </c>
      <c r="C4155" s="6" t="str">
        <f>_xll.QS.CONTEXT.CREATE("market.4153",A4155,"USD","SOFR")</f>
        <v>QSObject:PricingContext:w1~market.4153:13549</v>
      </c>
      <c r="D4155" s="6" t="str">
        <f>_xll.QS.CONTEXT.ADD.CURVE(C4155,"SOFR",$K$2:$K$7,$L$2:$L$7,,,"Actual360","LogLinear",TRUE)</f>
        <v>QSObject:ContextInput:w1~input.qs_context_add_curve.2359132437744.4154.3.0:36429</v>
      </c>
      <c r="E4155" s="6" t="str">
        <f>_xll.QS.INSTRUMENT.SWAP("swap.4153",H4155,B4155,"USD","SOFR",I4155,J4155,0,"Actual360","Simple","Annual","Annual","Annual")</f>
        <v>QSObject:Swap:w1~swap.4153:13548</v>
      </c>
      <c r="F4155" s="6" t="str">
        <f>_xll.QS.TRADE.CREATE("trade.4153",E4155,A4155,"Receive")</f>
        <v>QSObject:SwapTrade:w1~trade.4153:27690</v>
      </c>
      <c r="G4155" s="3">
        <f>_xll.QS.EVALUATE(C4155,F4155)</f>
        <v>21466.201502978918</v>
      </c>
      <c r="H4155" s="5" t="s">
        <v>4196</v>
      </c>
      <c r="I4155" s="7">
        <v>1415300</v>
      </c>
      <c r="J4155" s="8">
        <v>3.5299999999999998E-2</v>
      </c>
    </row>
    <row r="4156" spans="1:10" x14ac:dyDescent="0.25">
      <c r="A4156" s="5" t="s">
        <v>4190</v>
      </c>
      <c r="B4156" s="5" t="s">
        <v>6023</v>
      </c>
      <c r="C4156" s="6" t="str">
        <f>_xll.QS.CONTEXT.CREATE("market.4154",A4156,"USD","SOFR")</f>
        <v>QSObject:PricingContext:w1~market.4154:13547</v>
      </c>
      <c r="D4156" s="6" t="str">
        <f>_xll.QS.CONTEXT.ADD.CURVE(C4156,"SOFR",$K$2:$K$7,$L$2:$L$7,,,"Actual360","LogLinear",TRUE)</f>
        <v>QSObject:ContextInput:w1~input.qs_context_add_curve.2359132437744.4155.3.0:36428</v>
      </c>
      <c r="E4156" s="6" t="str">
        <f>_xll.QS.INSTRUMENT.SWAP("swap.4154",H4156,B4156,"USD","SOFR",I4156,J4156,0,"Actual360","Simple","Annual","Annual","Annual")</f>
        <v>QSObject:Swap:w1~swap.4154:13546</v>
      </c>
      <c r="F4156" s="6" t="str">
        <f>_xll.QS.TRADE.CREATE("trade.4154",E4156,A4156,"Receive")</f>
        <v>QSObject:SwapTrade:w1~trade.4154:27689</v>
      </c>
      <c r="G4156" s="3">
        <f>_xll.QS.EVALUATE(C4156,F4156)</f>
        <v>22181.978994110468</v>
      </c>
      <c r="H4156" s="5" t="s">
        <v>4197</v>
      </c>
      <c r="I4156" s="7">
        <v>1415400</v>
      </c>
      <c r="J4156" s="8">
        <v>3.5400000000000001E-2</v>
      </c>
    </row>
    <row r="4157" spans="1:10" x14ac:dyDescent="0.25">
      <c r="A4157" s="5" t="s">
        <v>4191</v>
      </c>
      <c r="B4157" s="5" t="s">
        <v>6024</v>
      </c>
      <c r="C4157" s="6" t="str">
        <f>_xll.QS.CONTEXT.CREATE("market.4155",A4157,"USD","SOFR")</f>
        <v>QSObject:PricingContext:w1~market.4155:13545</v>
      </c>
      <c r="D4157" s="6" t="str">
        <f>_xll.QS.CONTEXT.ADD.CURVE(C4157,"SOFR",$K$2:$K$7,$L$2:$L$7,,,"Actual360","LogLinear",TRUE)</f>
        <v>QSObject:ContextInput:w1~input.qs_context_add_curve.2359132437744.4156.3.0:36427</v>
      </c>
      <c r="E4157" s="6" t="str">
        <f>_xll.QS.INSTRUMENT.SWAP("swap.4155",H4157,B4157,"USD","SOFR",I4157,J4157,0,"Actual360","Simple","Annual","Annual","Annual")</f>
        <v>QSObject:Swap:w1~swap.4155:13544</v>
      </c>
      <c r="F4157" s="6" t="str">
        <f>_xll.QS.TRADE.CREATE("trade.4155",E4157,A4157,"Receive")</f>
        <v>QSObject:SwapTrade:w1~trade.4155:27688</v>
      </c>
      <c r="G4157" s="3">
        <f>_xll.QS.EVALUATE(C4157,F4157)</f>
        <v>22781.666007801374</v>
      </c>
      <c r="H4157" s="5" t="s">
        <v>4198</v>
      </c>
      <c r="I4157" s="7">
        <v>1415500</v>
      </c>
      <c r="J4157" s="8">
        <v>3.5499999999999997E-2</v>
      </c>
    </row>
    <row r="4158" spans="1:10" x14ac:dyDescent="0.25">
      <c r="A4158" s="5" t="s">
        <v>4192</v>
      </c>
      <c r="B4158" s="5" t="s">
        <v>6025</v>
      </c>
      <c r="C4158" s="6" t="str">
        <f>_xll.QS.CONTEXT.CREATE("market.4156",A4158,"USD","SOFR")</f>
        <v>QSObject:PricingContext:w1~market.4156:13543</v>
      </c>
      <c r="D4158" s="6" t="str">
        <f>_xll.QS.CONTEXT.ADD.CURVE(C4158,"SOFR",$K$2:$K$7,$L$2:$L$7,,,"Actual360","LogLinear",TRUE)</f>
        <v>QSObject:ContextInput:w1~input.qs_context_add_curve.2359132437744.4157.3.0:36426</v>
      </c>
      <c r="E4158" s="6" t="str">
        <f>_xll.QS.INSTRUMENT.SWAP("swap.4156",H4158,B4158,"USD","SOFR",I4158,J4158,0,"Actual360","Simple","Annual","Annual","Annual")</f>
        <v>QSObject:Swap:w1~swap.4156:13542</v>
      </c>
      <c r="F4158" s="6" t="str">
        <f>_xll.QS.TRADE.CREATE("trade.4156",E4158,A4158,"Receive")</f>
        <v>QSObject:SwapTrade:w1~trade.4156:27687</v>
      </c>
      <c r="G4158" s="3">
        <f>_xll.QS.EVALUATE(C4158,F4158)</f>
        <v>23333.149013896422</v>
      </c>
      <c r="H4158" s="5" t="s">
        <v>4199</v>
      </c>
      <c r="I4158" s="7">
        <v>1415600</v>
      </c>
      <c r="J4158" s="8">
        <v>3.5600000000000007E-2</v>
      </c>
    </row>
    <row r="4159" spans="1:10" x14ac:dyDescent="0.25">
      <c r="A4159" s="5" t="s">
        <v>4193</v>
      </c>
      <c r="B4159" s="5" t="s">
        <v>6026</v>
      </c>
      <c r="C4159" s="6" t="str">
        <f>_xll.QS.CONTEXT.CREATE("market.4157",A4159,"USD","SOFR")</f>
        <v>QSObject:PricingContext:w1~market.4157:13541</v>
      </c>
      <c r="D4159" s="6" t="str">
        <f>_xll.QS.CONTEXT.ADD.CURVE(C4159,"SOFR",$K$2:$K$7,$L$2:$L$7,,,"Actual360","LogLinear",TRUE)</f>
        <v>QSObject:ContextInput:w1~input.qs_context_add_curve.2359132437744.4158.3.0:36425</v>
      </c>
      <c r="E4159" s="6" t="str">
        <f>_xll.QS.INSTRUMENT.SWAP("swap.4157",H4159,B4159,"USD","SOFR",I4159,J4159,0,"Actual360","Simple","Annual","Annual","Annual")</f>
        <v>QSObject:Swap:w1~swap.4157:13540</v>
      </c>
      <c r="F4159" s="6" t="str">
        <f>_xll.QS.TRADE.CREATE("trade.4157",E4159,A4159,"Receive")</f>
        <v>QSObject:SwapTrade:w1~trade.4157:27686</v>
      </c>
      <c r="G4159" s="3">
        <f>_xll.QS.EVALUATE(C4159,F4159)</f>
        <v>23821.259668145736</v>
      </c>
      <c r="H4159" s="5" t="s">
        <v>4200</v>
      </c>
      <c r="I4159" s="7">
        <v>1415700</v>
      </c>
      <c r="J4159" s="8">
        <v>3.5700000000000003E-2</v>
      </c>
    </row>
    <row r="4160" spans="1:10" x14ac:dyDescent="0.25">
      <c r="A4160" s="5" t="s">
        <v>4194</v>
      </c>
      <c r="B4160" s="5" t="s">
        <v>6027</v>
      </c>
      <c r="C4160" s="6" t="str">
        <f>_xll.QS.CONTEXT.CREATE("market.4158",A4160,"USD","SOFR")</f>
        <v>QSObject:PricingContext:w1~market.4158:13539</v>
      </c>
      <c r="D4160" s="6" t="str">
        <f>_xll.QS.CONTEXT.ADD.CURVE(C4160,"SOFR",$K$2:$K$7,$L$2:$L$7,,,"Actual360","LogLinear",TRUE)</f>
        <v>QSObject:ContextInput:w1~input.qs_context_add_curve.2359132437744.4159.3.0:36424</v>
      </c>
      <c r="E4160" s="6" t="str">
        <f>_xll.QS.INSTRUMENT.SWAP("swap.4158",H4160,B4160,"USD","SOFR",I4160,J4160,0,"Actual360","Simple","Annual","Annual","Annual")</f>
        <v>QSObject:Swap:w1~swap.4158:13538</v>
      </c>
      <c r="F4160" s="6" t="str">
        <f>_xll.QS.TRADE.CREATE("trade.4158",E4160,A4160,"Receive")</f>
        <v>QSObject:SwapTrade:w1~trade.4158:27685</v>
      </c>
      <c r="G4160" s="3">
        <f>_xll.QS.EVALUATE(C4160,F4160)</f>
        <v>24534.830533055771</v>
      </c>
      <c r="H4160" s="5" t="s">
        <v>4201</v>
      </c>
      <c r="I4160" s="7">
        <v>1415800</v>
      </c>
      <c r="J4160" s="8">
        <v>3.5800000000000012E-2</v>
      </c>
    </row>
    <row r="4161" spans="1:10" x14ac:dyDescent="0.25">
      <c r="A4161" s="5" t="s">
        <v>4195</v>
      </c>
      <c r="B4161" s="5" t="s">
        <v>6028</v>
      </c>
      <c r="C4161" s="6" t="str">
        <f>_xll.QS.CONTEXT.CREATE("market.4159",A4161,"USD","SOFR")</f>
        <v>QSObject:PricingContext:w1~market.4159:13537</v>
      </c>
      <c r="D4161" s="6" t="str">
        <f>_xll.QS.CONTEXT.ADD.CURVE(C4161,"SOFR",$K$2:$K$7,$L$2:$L$7,,,"Actual360","LogLinear",TRUE)</f>
        <v>QSObject:ContextInput:w1~input.qs_context_add_curve.2359132437744.4160.3.0:36423</v>
      </c>
      <c r="E4161" s="6" t="str">
        <f>_xll.QS.INSTRUMENT.SWAP("swap.4159",H4161,B4161,"USD","SOFR",I4161,J4161,0,"Actual360","Simple","Annual","Annual","Annual")</f>
        <v>QSObject:Swap:w1~swap.4159:13536</v>
      </c>
      <c r="F4161" s="6" t="str">
        <f>_xll.QS.TRADE.CREATE("trade.4159",E4161,A4161,"Receive")</f>
        <v>QSObject:SwapTrade:w1~trade.4159:27684</v>
      </c>
      <c r="G4161" s="3">
        <f>_xll.QS.EVALUATE(C4161,F4161)</f>
        <v>25248.825368576021</v>
      </c>
      <c r="H4161" s="5" t="s">
        <v>4202</v>
      </c>
      <c r="I4161" s="7">
        <v>1415900</v>
      </c>
      <c r="J4161" s="8">
        <v>3.5900000000000001E-2</v>
      </c>
    </row>
    <row r="4162" spans="1:10" x14ac:dyDescent="0.25">
      <c r="A4162" s="5" t="s">
        <v>4196</v>
      </c>
      <c r="B4162" s="5" t="s">
        <v>6029</v>
      </c>
      <c r="C4162" s="6" t="str">
        <f>_xll.QS.CONTEXT.CREATE("market.4160",A4162,"USD","SOFR")</f>
        <v>QSObject:PricingContext:w1~market.4160:13535</v>
      </c>
      <c r="D4162" s="6" t="str">
        <f>_xll.QS.CONTEXT.ADD.CURVE(C4162,"SOFR",$K$2:$K$7,$L$2:$L$7,,,"Actual360","LogLinear",TRUE)</f>
        <v>QSObject:ContextInput:w1~input.qs_context_add_curve.2359132437744.4161.3.0:36422</v>
      </c>
      <c r="E4162" s="6" t="str">
        <f>_xll.QS.INSTRUMENT.SWAP("swap.4160",H4162,B4162,"USD","SOFR",I4162,J4162,0,"Actual360","Simple","Annual","Annual","Annual")</f>
        <v>QSObject:Swap:w1~swap.4160:13534</v>
      </c>
      <c r="F4162" s="6" t="str">
        <f>_xll.QS.TRADE.CREATE("trade.4160",E4162,A4162,"Receive")</f>
        <v>QSObject:SwapTrade:w1~trade.4160:27683</v>
      </c>
      <c r="G4162" s="3">
        <f>_xll.QS.EVALUATE(C4162,F4162)</f>
        <v>26100.061169463333</v>
      </c>
      <c r="H4162" s="5" t="s">
        <v>4203</v>
      </c>
      <c r="I4162" s="7">
        <v>1416000</v>
      </c>
      <c r="J4162" s="8">
        <v>3.5999999999999997E-2</v>
      </c>
    </row>
    <row r="4163" spans="1:10" x14ac:dyDescent="0.25">
      <c r="A4163" s="5" t="s">
        <v>4197</v>
      </c>
      <c r="B4163" s="5" t="s">
        <v>6030</v>
      </c>
      <c r="C4163" s="6" t="str">
        <f>_xll.QS.CONTEXT.CREATE("market.4161",A4163,"USD","SOFR")</f>
        <v>QSObject:PricingContext:w1~market.4161:13533</v>
      </c>
      <c r="D4163" s="6" t="str">
        <f>_xll.QS.CONTEXT.ADD.CURVE(C4163,"SOFR",$K$2:$K$7,$L$2:$L$7,,,"Actual360","LogLinear",TRUE)</f>
        <v>QSObject:ContextInput:w1~input.qs_context_add_curve.2359132437744.4162.3.0:36421</v>
      </c>
      <c r="E4163" s="6" t="str">
        <f>_xll.QS.INSTRUMENT.SWAP("swap.4161",H4163,B4163,"USD","SOFR",I4163,J4163,0,"Actual360","Simple","Annual","Annual","Annual")</f>
        <v>QSObject:Swap:w1~swap.4161:13532</v>
      </c>
      <c r="F4163" s="6" t="str">
        <f>_xll.QS.TRADE.CREATE("trade.4161",E4163,A4163,"Receive")</f>
        <v>QSObject:SwapTrade:w1~trade.4161:27682</v>
      </c>
      <c r="G4163" s="3">
        <f>_xll.QS.EVALUATE(C4163,F4163)</f>
        <v>26768.441140433999</v>
      </c>
      <c r="H4163" s="5" t="s">
        <v>4204</v>
      </c>
      <c r="I4163" s="7">
        <v>1416100</v>
      </c>
      <c r="J4163" s="8">
        <v>3.61E-2</v>
      </c>
    </row>
    <row r="4164" spans="1:10" x14ac:dyDescent="0.25">
      <c r="A4164" s="5" t="s">
        <v>4198</v>
      </c>
      <c r="B4164" s="5" t="s">
        <v>6031</v>
      </c>
      <c r="C4164" s="6" t="str">
        <f>_xll.QS.CONTEXT.CREATE("market.4162",A4164,"USD","SOFR")</f>
        <v>QSObject:PricingContext:w1~market.4162:13531</v>
      </c>
      <c r="D4164" s="6" t="str">
        <f>_xll.QS.CONTEXT.ADD.CURVE(C4164,"SOFR",$K$2:$K$7,$L$2:$L$7,,,"Actual360","LogLinear",TRUE)</f>
        <v>QSObject:ContextInput:w1~input.qs_context_add_curve.2359132437744.4163.3.0:36420</v>
      </c>
      <c r="E4164" s="6" t="str">
        <f>_xll.QS.INSTRUMENT.SWAP("swap.4162",H4164,B4164,"USD","SOFR",I4164,J4164,0,"Actual360","Simple","Annual","Annual","Annual")</f>
        <v>QSObject:Swap:w1~swap.4162:13530</v>
      </c>
      <c r="F4164" s="6" t="str">
        <f>_xll.QS.TRADE.CREATE("trade.4162",E4164,A4164,"Receive")</f>
        <v>QSObject:SwapTrade:w1~trade.4162:27681</v>
      </c>
      <c r="G4164" s="3">
        <f>_xll.QS.EVALUATE(C4164,F4164)</f>
        <v>27421.645512832692</v>
      </c>
      <c r="H4164" s="5" t="s">
        <v>4205</v>
      </c>
      <c r="I4164" s="7">
        <v>1416200</v>
      </c>
      <c r="J4164" s="8">
        <v>3.6200000000000003E-2</v>
      </c>
    </row>
    <row r="4165" spans="1:10" x14ac:dyDescent="0.25">
      <c r="A4165" s="5" t="s">
        <v>4199</v>
      </c>
      <c r="B4165" s="5" t="s">
        <v>6032</v>
      </c>
      <c r="C4165" s="6" t="str">
        <f>_xll.QS.CONTEXT.CREATE("market.4163",A4165,"USD","SOFR")</f>
        <v>QSObject:PricingContext:w1~market.4163:13529</v>
      </c>
      <c r="D4165" s="6" t="str">
        <f>_xll.QS.CONTEXT.ADD.CURVE(C4165,"SOFR",$K$2:$K$7,$L$2:$L$7,,,"Actual360","LogLinear",TRUE)</f>
        <v>QSObject:ContextInput:w1~input.qs_context_add_curve.2359132437744.4164.3.0:36419</v>
      </c>
      <c r="E4165" s="6" t="str">
        <f>_xll.QS.INSTRUMENT.SWAP("swap.4163",H4165,B4165,"USD","SOFR",I4165,J4165,0,"Actual360","Simple","Annual","Annual","Annual")</f>
        <v>QSObject:Swap:w1~swap.4163:13528</v>
      </c>
      <c r="F4165" s="6" t="str">
        <f>_xll.QS.TRADE.CREATE("trade.4163",E4165,A4165,"Receive")</f>
        <v>QSObject:SwapTrade:w1~trade.4163:27680</v>
      </c>
      <c r="G4165" s="3">
        <f>_xll.QS.EVALUATE(C4165,F4165)</f>
        <v>27983.99480554022</v>
      </c>
      <c r="H4165" s="5" t="s">
        <v>4206</v>
      </c>
      <c r="I4165" s="7">
        <v>1416300</v>
      </c>
      <c r="J4165" s="8">
        <v>3.6300000000000013E-2</v>
      </c>
    </row>
    <row r="4166" spans="1:10" x14ac:dyDescent="0.25">
      <c r="A4166" s="5" t="s">
        <v>4200</v>
      </c>
      <c r="B4166" s="5" t="s">
        <v>6033</v>
      </c>
      <c r="C4166" s="6" t="str">
        <f>_xll.QS.CONTEXT.CREATE("market.4164",A4166,"USD","SOFR")</f>
        <v>QSObject:PricingContext:w1~market.4164:13527</v>
      </c>
      <c r="D4166" s="6" t="str">
        <f>_xll.QS.CONTEXT.ADD.CURVE(C4166,"SOFR",$K$2:$K$7,$L$2:$L$7,,,"Actual360","LogLinear",TRUE)</f>
        <v>QSObject:ContextInput:w1~input.qs_context_add_curve.2359132437744.4165.3.0:36418</v>
      </c>
      <c r="E4166" s="6" t="str">
        <f>_xll.QS.INSTRUMENT.SWAP("swap.4164",H4166,B4166,"USD","SOFR",I4166,J4166,0,"Actual360","Simple","Annual","Annual","Annual")</f>
        <v>QSObject:Swap:w1~swap.4164:13526</v>
      </c>
      <c r="F4166" s="6" t="str">
        <f>_xll.QS.TRADE.CREATE("trade.4164",E4166,A4166,"Receive")</f>
        <v>QSObject:SwapTrade:w1~trade.4164:27679</v>
      </c>
      <c r="G4166" s="3">
        <f>_xll.QS.EVALUATE(C4166,F4166)</f>
        <v>28521.775442719227</v>
      </c>
      <c r="H4166" s="5" t="s">
        <v>4207</v>
      </c>
      <c r="I4166" s="7">
        <v>1416400</v>
      </c>
      <c r="J4166" s="8">
        <v>3.6400000000000002E-2</v>
      </c>
    </row>
    <row r="4167" spans="1:10" x14ac:dyDescent="0.25">
      <c r="A4167" s="5" t="s">
        <v>4201</v>
      </c>
      <c r="B4167" s="5" t="s">
        <v>6034</v>
      </c>
      <c r="C4167" s="6" t="str">
        <f>_xll.QS.CONTEXT.CREATE("market.4165",A4167,"USD","SOFR")</f>
        <v>QSObject:PricingContext:w1~market.4165:13525</v>
      </c>
      <c r="D4167" s="6" t="str">
        <f>_xll.QS.CONTEXT.ADD.CURVE(C4167,"SOFR",$K$2:$K$7,$L$2:$L$7,,,"Actual360","LogLinear",TRUE)</f>
        <v>QSObject:ContextInput:w1~input.qs_context_add_curve.2359132437744.4166.3.0:36417</v>
      </c>
      <c r="E4167" s="6" t="str">
        <f>_xll.QS.INSTRUMENT.SWAP("swap.4165",H4167,B4167,"USD","SOFR",I4167,J4167,0,"Actual360","Simple","Annual","Annual","Annual")</f>
        <v>QSObject:Swap:w1~swap.4165:13524</v>
      </c>
      <c r="F4167" s="6" t="str">
        <f>_xll.QS.TRADE.CREATE("trade.4165",E4167,A4167,"Receive")</f>
        <v>QSObject:SwapTrade:w1~trade.4165:27678</v>
      </c>
      <c r="G4167" s="3">
        <f>_xll.QS.EVALUATE(C4167,F4167)</f>
        <v>29179.380567931505</v>
      </c>
      <c r="H4167" s="5" t="s">
        <v>4208</v>
      </c>
      <c r="I4167" s="7">
        <v>1416500</v>
      </c>
      <c r="J4167" s="8">
        <v>3.6499999999999998E-2</v>
      </c>
    </row>
    <row r="4168" spans="1:10" x14ac:dyDescent="0.25">
      <c r="A4168" s="5" t="s">
        <v>4202</v>
      </c>
      <c r="B4168" s="5" t="s">
        <v>6035</v>
      </c>
      <c r="C4168" s="6" t="str">
        <f>_xll.QS.CONTEXT.CREATE("market.4166",A4168,"USD","SOFR")</f>
        <v>QSObject:PricingContext:w1~market.4166:13523</v>
      </c>
      <c r="D4168" s="6" t="str">
        <f>_xll.QS.CONTEXT.ADD.CURVE(C4168,"SOFR",$K$2:$K$7,$L$2:$L$7,,,"Actual360","LogLinear",TRUE)</f>
        <v>QSObject:ContextInput:w1~input.qs_context_add_curve.2359132437744.4167.3.0:36416</v>
      </c>
      <c r="E4168" s="6" t="str">
        <f>_xll.QS.INSTRUMENT.SWAP("swap.4166",H4168,B4168,"USD","SOFR",I4168,J4168,0,"Actual360","Simple","Annual","Annual","Annual")</f>
        <v>QSObject:Swap:w1~swap.4166:13522</v>
      </c>
      <c r="F4168" s="6" t="str">
        <f>_xll.QS.TRADE.CREATE("trade.4166",E4168,A4168,"Receive")</f>
        <v>QSObject:SwapTrade:w1~trade.4166:27677</v>
      </c>
      <c r="G4168" s="3">
        <f>_xll.QS.EVALUATE(C4168,F4168)</f>
        <v>29873.556913647924</v>
      </c>
      <c r="H4168" s="5" t="s">
        <v>4209</v>
      </c>
      <c r="I4168" s="7">
        <v>1416600</v>
      </c>
      <c r="J4168" s="8">
        <v>3.6600000000000001E-2</v>
      </c>
    </row>
    <row r="4169" spans="1:10" x14ac:dyDescent="0.25">
      <c r="A4169" s="5" t="s">
        <v>4203</v>
      </c>
      <c r="B4169" s="5" t="s">
        <v>6036</v>
      </c>
      <c r="C4169" s="6" t="str">
        <f>_xll.QS.CONTEXT.CREATE("market.4167",A4169,"USD","SOFR")</f>
        <v>QSObject:PricingContext:w1~market.4167:13521</v>
      </c>
      <c r="D4169" s="6" t="str">
        <f>_xll.QS.CONTEXT.ADD.CURVE(C4169,"SOFR",$K$2:$K$7,$L$2:$L$7,,,"Actual360","LogLinear",TRUE)</f>
        <v>QSObject:ContextInput:w1~input.qs_context_add_curve.2359132437744.4168.3.0:36415</v>
      </c>
      <c r="E4169" s="6" t="str">
        <f>_xll.QS.INSTRUMENT.SWAP("swap.4167",H4169,B4169,"USD","SOFR",I4169,J4169,0,"Actual360","Simple","Annual","Annual","Annual")</f>
        <v>QSObject:Swap:w1~swap.4167:13520</v>
      </c>
      <c r="F4169" s="6" t="str">
        <f>_xll.QS.TRADE.CREATE("trade.4167",E4169,A4169,"Receive")</f>
        <v>QSObject:SwapTrade:w1~trade.4167:27676</v>
      </c>
      <c r="G4169" s="3">
        <f>_xll.QS.EVALUATE(C4169,F4169)</f>
        <v>30633.572314902231</v>
      </c>
      <c r="H4169" s="5" t="s">
        <v>4210</v>
      </c>
      <c r="I4169" s="7">
        <v>1416700</v>
      </c>
      <c r="J4169" s="8">
        <v>3.6700000000000003E-2</v>
      </c>
    </row>
    <row r="4170" spans="1:10" x14ac:dyDescent="0.25">
      <c r="A4170" s="5" t="s">
        <v>4204</v>
      </c>
      <c r="B4170" s="5" t="s">
        <v>6037</v>
      </c>
      <c r="C4170" s="6" t="str">
        <f>_xll.QS.CONTEXT.CREATE("market.4168",A4170,"USD","SOFR")</f>
        <v>QSObject:PricingContext:w1~market.4168:13519</v>
      </c>
      <c r="D4170" s="6" t="str">
        <f>_xll.QS.CONTEXT.ADD.CURVE(C4170,"SOFR",$K$2:$K$7,$L$2:$L$7,,,"Actual360","LogLinear",TRUE)</f>
        <v>QSObject:ContextInput:w1~input.qs_context_add_curve.2359132437744.4169.3.0:36414</v>
      </c>
      <c r="E4170" s="6" t="str">
        <f>_xll.QS.INSTRUMENT.SWAP("swap.4168",H4170,B4170,"USD","SOFR",I4170,J4170,0,"Actual360","Simple","Annual","Annual","Annual")</f>
        <v>QSObject:Swap:w1~swap.4168:13518</v>
      </c>
      <c r="F4170" s="6" t="str">
        <f>_xll.QS.TRADE.CREATE("trade.4168",E4170,A4170,"Receive")</f>
        <v>QSObject:SwapTrade:w1~trade.4168:27675</v>
      </c>
      <c r="G4170" s="3">
        <f>_xll.QS.EVALUATE(C4170,F4170)</f>
        <v>31350.917887750096</v>
      </c>
      <c r="H4170" s="5" t="s">
        <v>4211</v>
      </c>
      <c r="I4170" s="7">
        <v>1416800</v>
      </c>
      <c r="J4170" s="8">
        <v>3.6800000000000013E-2</v>
      </c>
    </row>
    <row r="4171" spans="1:10" x14ac:dyDescent="0.25">
      <c r="A4171" s="5" t="s">
        <v>4205</v>
      </c>
      <c r="B4171" s="5" t="s">
        <v>6038</v>
      </c>
      <c r="C4171" s="6" t="str">
        <f>_xll.QS.CONTEXT.CREATE("market.4169",A4171,"USD","SOFR")</f>
        <v>QSObject:PricingContext:w1~market.4169:13517</v>
      </c>
      <c r="D4171" s="6" t="str">
        <f>_xll.QS.CONTEXT.ADD.CURVE(C4171,"SOFR",$K$2:$K$7,$L$2:$L$7,,,"Actual360","LogLinear",TRUE)</f>
        <v>QSObject:ContextInput:w1~input.qs_context_add_curve.2359132437744.4170.3.0:36413</v>
      </c>
      <c r="E4171" s="6" t="str">
        <f>_xll.QS.INSTRUMENT.SWAP("swap.4169",H4171,B4171,"USD","SOFR",I4171,J4171,0,"Actual360","Simple","Annual","Annual","Annual")</f>
        <v>QSObject:Swap:w1~swap.4169:13516</v>
      </c>
      <c r="F4171" s="6" t="str">
        <f>_xll.QS.TRADE.CREATE("trade.4169",E4171,A4171,"Receive")</f>
        <v>QSObject:SwapTrade:w1~trade.4169:27674</v>
      </c>
      <c r="G4171" s="3">
        <f>_xll.QS.EVALUATE(C4171,F4171)</f>
        <v>31952.073082299932</v>
      </c>
      <c r="H4171" s="5" t="s">
        <v>4212</v>
      </c>
      <c r="I4171" s="7">
        <v>1416900</v>
      </c>
      <c r="J4171" s="8">
        <v>3.6900000000000002E-2</v>
      </c>
    </row>
    <row r="4172" spans="1:10" x14ac:dyDescent="0.25">
      <c r="A4172" s="5" t="s">
        <v>4206</v>
      </c>
      <c r="B4172" s="5" t="s">
        <v>6039</v>
      </c>
      <c r="C4172" s="6" t="str">
        <f>_xll.QS.CONTEXT.CREATE("market.4170",A4172,"USD","SOFR")</f>
        <v>QSObject:PricingContext:w1~market.4170:13515</v>
      </c>
      <c r="D4172" s="6" t="str">
        <f>_xll.QS.CONTEXT.ADD.CURVE(C4172,"SOFR",$K$2:$K$7,$L$2:$L$7,,,"Actual360","LogLinear",TRUE)</f>
        <v>QSObject:ContextInput:w1~input.qs_context_add_curve.2359132437744.4171.3.0:36412</v>
      </c>
      <c r="E4172" s="6" t="str">
        <f>_xll.QS.INSTRUMENT.SWAP("swap.4170",H4172,B4172,"USD","SOFR",I4172,J4172,0,"Actual360","Simple","Annual","Annual","Annual")</f>
        <v>QSObject:Swap:w1~swap.4170:13514</v>
      </c>
      <c r="F4172" s="6" t="str">
        <f>_xll.QS.TRADE.CREATE("trade.4170",E4172,A4172,"Receive")</f>
        <v>QSObject:SwapTrade:w1~trade.4170:27673</v>
      </c>
      <c r="G4172" s="3">
        <f>_xll.QS.EVALUATE(C4172,F4172)</f>
        <v>32509.631150338115</v>
      </c>
      <c r="H4172" s="5" t="s">
        <v>4213</v>
      </c>
      <c r="I4172" s="7">
        <v>1417000</v>
      </c>
      <c r="J4172" s="8">
        <v>3.7000000000000012E-2</v>
      </c>
    </row>
    <row r="4173" spans="1:10" x14ac:dyDescent="0.25">
      <c r="A4173" s="5" t="s">
        <v>4207</v>
      </c>
      <c r="B4173" s="5" t="s">
        <v>6040</v>
      </c>
      <c r="C4173" s="6" t="str">
        <f>_xll.QS.CONTEXT.CREATE("market.4171",A4173,"USD","SOFR")</f>
        <v>QSObject:PricingContext:w1~market.4171:13513</v>
      </c>
      <c r="D4173" s="6" t="str">
        <f>_xll.QS.CONTEXT.ADD.CURVE(C4173,"SOFR",$K$2:$K$7,$L$2:$L$7,,,"Actual360","LogLinear",TRUE)</f>
        <v>QSObject:ContextInput:w1~input.qs_context_add_curve.2359132437744.4172.3.0:36411</v>
      </c>
      <c r="E4173" s="6" t="str">
        <f>_xll.QS.INSTRUMENT.SWAP("swap.4171",H4173,B4173,"USD","SOFR",I4173,J4173,0,"Actual360","Simple","Annual","Annual","Annual")</f>
        <v>QSObject:Swap:w1~swap.4171:13512</v>
      </c>
      <c r="F4173" s="6" t="str">
        <f>_xll.QS.TRADE.CREATE("trade.4171",E4173,A4173,"Receive")</f>
        <v>QSObject:SwapTrade:w1~trade.4171:27672</v>
      </c>
      <c r="G4173" s="3">
        <f>_xll.QS.EVALUATE(C4173,F4173)</f>
        <v>33055.222446145766</v>
      </c>
      <c r="H4173" s="5" t="s">
        <v>4214</v>
      </c>
      <c r="I4173" s="7">
        <v>1417100</v>
      </c>
      <c r="J4173" s="8">
        <v>3.7100000000000001E-2</v>
      </c>
    </row>
    <row r="4174" spans="1:10" x14ac:dyDescent="0.25">
      <c r="A4174" s="5" t="s">
        <v>4208</v>
      </c>
      <c r="B4174" s="5" t="s">
        <v>6041</v>
      </c>
      <c r="C4174" s="6" t="str">
        <f>_xll.QS.CONTEXT.CREATE("market.4172",A4174,"USD","SOFR")</f>
        <v>QSObject:PricingContext:w1~market.4172:13511</v>
      </c>
      <c r="D4174" s="6" t="str">
        <f>_xll.QS.CONTEXT.ADD.CURVE(C4174,"SOFR",$K$2:$K$7,$L$2:$L$7,,,"Actual360","LogLinear",TRUE)</f>
        <v>QSObject:ContextInput:w1~input.qs_context_add_curve.2359132437744.4173.3.0:36410</v>
      </c>
      <c r="E4174" s="6" t="str">
        <f>_xll.QS.INSTRUMENT.SWAP("swap.4172",H4174,B4174,"USD","SOFR",I4174,J4174,0,"Actual360","Simple","Annual","Annual","Annual")</f>
        <v>QSObject:Swap:w1~swap.4172:13510</v>
      </c>
      <c r="F4174" s="6" t="str">
        <f>_xll.QS.TRADE.CREATE("trade.4172",E4174,A4174,"Receive")</f>
        <v>QSObject:SwapTrade:w1~trade.4172:27671</v>
      </c>
      <c r="G4174" s="3">
        <f>_xll.QS.EVALUATE(C4174,F4174)</f>
        <v>33770.400508177307</v>
      </c>
      <c r="H4174" s="5" t="s">
        <v>4215</v>
      </c>
      <c r="I4174" s="7">
        <v>1417200</v>
      </c>
      <c r="J4174" s="8">
        <v>3.7199999999999997E-2</v>
      </c>
    </row>
    <row r="4175" spans="1:10" x14ac:dyDescent="0.25">
      <c r="A4175" s="5" t="s">
        <v>4209</v>
      </c>
      <c r="B4175" s="5" t="s">
        <v>6042</v>
      </c>
      <c r="C4175" s="6" t="str">
        <f>_xll.QS.CONTEXT.CREATE("market.4173",A4175,"USD","SOFR")</f>
        <v>QSObject:PricingContext:w1~market.4173:13509</v>
      </c>
      <c r="D4175" s="6" t="str">
        <f>_xll.QS.CONTEXT.ADD.CURVE(C4175,"SOFR",$K$2:$K$7,$L$2:$L$7,,,"Actual360","LogLinear",TRUE)</f>
        <v>QSObject:ContextInput:w1~input.qs_context_add_curve.2359132437744.4174.3.0:36409</v>
      </c>
      <c r="E4175" s="6" t="str">
        <f>_xll.QS.INSTRUMENT.SWAP("swap.4173",H4175,B4175,"USD","SOFR",I4175,J4175,0,"Actual360","Simple","Annual","Annual","Annual")</f>
        <v>QSObject:Swap:w1~swap.4173:13508</v>
      </c>
      <c r="F4175" s="6" t="str">
        <f>_xll.QS.TRADE.CREATE("trade.4173",E4175,A4175,"Receive")</f>
        <v>QSObject:SwapTrade:w1~trade.4173:27670</v>
      </c>
      <c r="G4175" s="3">
        <f>_xll.QS.EVALUATE(C4175,F4175)</f>
        <v>34464.181390114296</v>
      </c>
      <c r="H4175" s="5" t="s">
        <v>4216</v>
      </c>
      <c r="I4175" s="7">
        <v>1417300</v>
      </c>
      <c r="J4175" s="8">
        <v>3.73E-2</v>
      </c>
    </row>
    <row r="4176" spans="1:10" x14ac:dyDescent="0.25">
      <c r="A4176" s="5" t="s">
        <v>4210</v>
      </c>
      <c r="B4176" s="5" t="s">
        <v>6043</v>
      </c>
      <c r="C4176" s="6" t="str">
        <f>_xll.QS.CONTEXT.CREATE("market.4174",A4176,"USD","SOFR")</f>
        <v>QSObject:PricingContext:w1~market.4174:13507</v>
      </c>
      <c r="D4176" s="6" t="str">
        <f>_xll.QS.CONTEXT.ADD.CURVE(C4176,"SOFR",$K$2:$K$7,$L$2:$L$7,,,"Actual360","LogLinear",TRUE)</f>
        <v>QSObject:ContextInput:w1~input.qs_context_add_curve.2359132437744.4175.3.0:36408</v>
      </c>
      <c r="E4176" s="6" t="str">
        <f>_xll.QS.INSTRUMENT.SWAP("swap.4174",H4176,B4176,"USD","SOFR",I4176,J4176,0,"Actual360","Simple","Annual","Annual","Annual")</f>
        <v>QSObject:Swap:w1~swap.4174:13506</v>
      </c>
      <c r="F4176" s="6" t="str">
        <f>_xll.QS.TRADE.CREATE("trade.4174",E4176,A4176,"Receive")</f>
        <v>QSObject:SwapTrade:w1~trade.4174:27669</v>
      </c>
      <c r="G4176" s="3">
        <f>_xll.QS.EVALUATE(C4176,F4176)</f>
        <v>35224.036462660159</v>
      </c>
      <c r="H4176" s="5" t="s">
        <v>4217</v>
      </c>
      <c r="I4176" s="7">
        <v>1417400</v>
      </c>
      <c r="J4176" s="8">
        <v>3.7400000000000003E-2</v>
      </c>
    </row>
    <row r="4177" spans="1:10" x14ac:dyDescent="0.25">
      <c r="A4177" s="5" t="s">
        <v>4211</v>
      </c>
      <c r="B4177" s="5" t="s">
        <v>6044</v>
      </c>
      <c r="C4177" s="6" t="str">
        <f>_xll.QS.CONTEXT.CREATE("market.4175",A4177,"USD","SOFR")</f>
        <v>QSObject:PricingContext:w1~market.4175:13505</v>
      </c>
      <c r="D4177" s="6" t="str">
        <f>_xll.QS.CONTEXT.ADD.CURVE(C4177,"SOFR",$K$2:$K$7,$L$2:$L$7,,,"Actual360","LogLinear",TRUE)</f>
        <v>QSObject:ContextInput:w1~input.qs_context_add_curve.2359132437744.4176.3.0:36407</v>
      </c>
      <c r="E4177" s="6" t="str">
        <f>_xll.QS.INSTRUMENT.SWAP("swap.4175",H4177,B4177,"USD","SOFR",I4177,J4177,0,"Actual360","Simple","Annual","Annual","Annual")</f>
        <v>QSObject:Swap:w1~swap.4175:13504</v>
      </c>
      <c r="F4177" s="6" t="str">
        <f>_xll.QS.TRADE.CREATE("trade.4175",E4177,A4177,"Receive")</f>
        <v>QSObject:SwapTrade:w1~trade.4175:27668</v>
      </c>
      <c r="G4177" s="3">
        <f>_xll.QS.EVALUATE(C4177,F4177)</f>
        <v>35942.348201278488</v>
      </c>
      <c r="H4177" s="5" t="s">
        <v>4218</v>
      </c>
      <c r="I4177" s="7">
        <v>1417500</v>
      </c>
      <c r="J4177" s="8">
        <v>3.7500000000000012E-2</v>
      </c>
    </row>
    <row r="4178" spans="1:10" x14ac:dyDescent="0.25">
      <c r="A4178" s="5" t="s">
        <v>4212</v>
      </c>
      <c r="B4178" s="5" t="s">
        <v>6045</v>
      </c>
      <c r="C4178" s="6" t="str">
        <f>_xll.QS.CONTEXT.CREATE("market.4176",A4178,"USD","SOFR")</f>
        <v>QSObject:PricingContext:w1~market.4176:13503</v>
      </c>
      <c r="D4178" s="6" t="str">
        <f>_xll.QS.CONTEXT.ADD.CURVE(C4178,"SOFR",$K$2:$K$7,$L$2:$L$7,,,"Actual360","LogLinear",TRUE)</f>
        <v>QSObject:ContextInput:w1~input.qs_context_add_curve.2359132437744.4177.3.0:36406</v>
      </c>
      <c r="E4178" s="6" t="str">
        <f>_xll.QS.INSTRUMENT.SWAP("swap.4176",H4178,B4178,"USD","SOFR",I4178,J4178,0,"Actual360","Simple","Annual","Annual","Annual")</f>
        <v>QSObject:Swap:w1~swap.4176:13502</v>
      </c>
      <c r="F4178" s="6" t="str">
        <f>_xll.QS.TRADE.CREATE("trade.4176",E4178,A4178,"Receive")</f>
        <v>QSObject:SwapTrade:w1~trade.4176:27667</v>
      </c>
      <c r="G4178" s="3">
        <f>_xll.QS.EVALUATE(C4178,F4178)</f>
        <v>36543.834331870501</v>
      </c>
      <c r="H4178" s="5" t="s">
        <v>4219</v>
      </c>
      <c r="I4178" s="7">
        <v>1417600</v>
      </c>
      <c r="J4178" s="8">
        <v>3.7600000000000001E-2</v>
      </c>
    </row>
    <row r="4179" spans="1:10" x14ac:dyDescent="0.25">
      <c r="A4179" s="5" t="s">
        <v>4213</v>
      </c>
      <c r="B4179" s="5" t="s">
        <v>6046</v>
      </c>
      <c r="C4179" s="6" t="str">
        <f>_xll.QS.CONTEXT.CREATE("market.4177",A4179,"USD","SOFR")</f>
        <v>QSObject:PricingContext:w1~market.4177:13501</v>
      </c>
      <c r="D4179" s="6" t="str">
        <f>_xll.QS.CONTEXT.ADD.CURVE(C4179,"SOFR",$K$2:$K$7,$L$2:$L$7,,,"Actual360","LogLinear",TRUE)</f>
        <v>QSObject:ContextInput:w1~input.qs_context_add_curve.2359132437744.4178.3.0:36405</v>
      </c>
      <c r="E4179" s="6" t="str">
        <f>_xll.QS.INSTRUMENT.SWAP("swap.4177",H4179,B4179,"USD","SOFR",I4179,J4179,0,"Actual360","Simple","Annual","Annual","Annual")</f>
        <v>QSObject:Swap:w1~swap.4177:13500</v>
      </c>
      <c r="F4179" s="6" t="str">
        <f>_xll.QS.TRADE.CREATE("trade.4177",E4179,A4179,"Receive")</f>
        <v>QSObject:SwapTrade:w1~trade.4177:27666</v>
      </c>
      <c r="G4179" s="3">
        <f>_xll.QS.EVALUATE(C4179,F4179)</f>
        <v>37096.600216561936</v>
      </c>
      <c r="H4179" s="5" t="s">
        <v>4220</v>
      </c>
      <c r="I4179" s="7">
        <v>1417700</v>
      </c>
      <c r="J4179" s="8">
        <v>3.7699999999999997E-2</v>
      </c>
    </row>
    <row r="4180" spans="1:10" x14ac:dyDescent="0.25">
      <c r="A4180" s="5" t="s">
        <v>4214</v>
      </c>
      <c r="B4180" s="5" t="s">
        <v>6047</v>
      </c>
      <c r="C4180" s="6" t="str">
        <f>_xll.QS.CONTEXT.CREATE("market.4178",A4180,"USD","SOFR")</f>
        <v>QSObject:PricingContext:w1~market.4178:13499</v>
      </c>
      <c r="D4180" s="6" t="str">
        <f>_xll.QS.CONTEXT.ADD.CURVE(C4180,"SOFR",$K$2:$K$7,$L$2:$L$7,,,"Actual360","LogLinear",TRUE)</f>
        <v>QSObject:ContextInput:w1~input.qs_context_add_curve.2359132437744.4179.3.0:36404</v>
      </c>
      <c r="E4180" s="6" t="str">
        <f>_xll.QS.INSTRUMENT.SWAP("swap.4178",H4180,B4180,"USD","SOFR",I4180,J4180,0,"Actual360","Simple","Annual","Annual","Annual")</f>
        <v>QSObject:Swap:w1~swap.4178:13498</v>
      </c>
      <c r="F4180" s="6" t="str">
        <f>_xll.QS.TRADE.CREATE("trade.4178",E4180,A4180,"Receive")</f>
        <v>QSObject:SwapTrade:w1~trade.4178:27665</v>
      </c>
      <c r="G4180" s="3">
        <f>_xll.QS.EVALUATE(C4180,F4180)</f>
        <v>37649.877563333677</v>
      </c>
      <c r="H4180" s="5" t="s">
        <v>4221</v>
      </c>
      <c r="I4180" s="7">
        <v>1417800</v>
      </c>
      <c r="J4180" s="8">
        <v>3.78E-2</v>
      </c>
    </row>
    <row r="4181" spans="1:10" x14ac:dyDescent="0.25">
      <c r="A4181" s="5" t="s">
        <v>4215</v>
      </c>
      <c r="B4181" s="5" t="s">
        <v>6048</v>
      </c>
      <c r="C4181" s="6" t="str">
        <f>_xll.QS.CONTEXT.CREATE("market.4179",A4181,"USD","SOFR")</f>
        <v>QSObject:PricingContext:w1~market.4179:13497</v>
      </c>
      <c r="D4181" s="6" t="str">
        <f>_xll.QS.CONTEXT.ADD.CURVE(C4181,"SOFR",$K$2:$K$7,$L$2:$L$7,,,"Actual360","LogLinear",TRUE)</f>
        <v>QSObject:ContextInput:w1~input.qs_context_add_curve.2359132437744.4180.3.0:36403</v>
      </c>
      <c r="E4181" s="6" t="str">
        <f>_xll.QS.INSTRUMENT.SWAP("swap.4179",H4181,B4181,"USD","SOFR",I4181,J4181,0,"Actual360","Simple","Annual","Annual","Annual")</f>
        <v>QSObject:Swap:w1~swap.4179:13496</v>
      </c>
      <c r="F4181" s="6" t="str">
        <f>_xll.QS.TRADE.CREATE("trade.4179",E4181,A4181,"Receive")</f>
        <v>QSObject:SwapTrade:w1~trade.4179:27664</v>
      </c>
      <c r="G4181" s="3">
        <f>_xll.QS.EVALUATE(C4181,F4181)</f>
        <v>38366.445722254968</v>
      </c>
      <c r="H4181" s="5" t="s">
        <v>4222</v>
      </c>
      <c r="I4181" s="7">
        <v>1417900</v>
      </c>
      <c r="J4181" s="8">
        <v>3.7900000000000003E-2</v>
      </c>
    </row>
    <row r="4182" spans="1:10" x14ac:dyDescent="0.25">
      <c r="A4182" s="5" t="s">
        <v>4216</v>
      </c>
      <c r="B4182" s="5" t="s">
        <v>6049</v>
      </c>
      <c r="C4182" s="6" t="str">
        <f>_xll.QS.CONTEXT.CREATE("market.4180",A4182,"USD","SOFR")</f>
        <v>QSObject:PricingContext:w1~market.4180:13495</v>
      </c>
      <c r="D4182" s="6" t="str">
        <f>_xll.QS.CONTEXT.ADD.CURVE(C4182,"SOFR",$K$2:$K$7,$L$2:$L$7,,,"Actual360","LogLinear",TRUE)</f>
        <v>QSObject:ContextInput:w1~input.qs_context_add_curve.2359132437744.4181.3.0:36402</v>
      </c>
      <c r="E4182" s="6" t="str">
        <f>_xll.QS.INSTRUMENT.SWAP("swap.4180",H4182,B4182,"USD","SOFR",I4182,J4182,0,"Actual360","Simple","Annual","Annual","Annual")</f>
        <v>QSObject:Swap:w1~swap.4180:13494</v>
      </c>
      <c r="F4182" s="6" t="str">
        <f>_xll.QS.TRADE.CREATE("trade.4180",E4182,A4182,"Receive")</f>
        <v>QSObject:SwapTrade:w1~trade.4180:27663</v>
      </c>
      <c r="G4182" s="3">
        <f>_xll.QS.EVALUATE(C4182,F4182)</f>
        <v>39058.395405942167</v>
      </c>
      <c r="H4182" s="5" t="s">
        <v>4223</v>
      </c>
      <c r="I4182" s="7">
        <v>1418000</v>
      </c>
      <c r="J4182" s="8">
        <v>3.8000000000000013E-2</v>
      </c>
    </row>
    <row r="4183" spans="1:10" x14ac:dyDescent="0.25">
      <c r="A4183" s="5" t="s">
        <v>4217</v>
      </c>
      <c r="B4183" s="5" t="s">
        <v>6050</v>
      </c>
      <c r="C4183" s="6" t="str">
        <f>_xll.QS.CONTEXT.CREATE("market.4181",A4183,"USD","SOFR")</f>
        <v>QSObject:PricingContext:w1~market.4181:13493</v>
      </c>
      <c r="D4183" s="6" t="str">
        <f>_xll.QS.CONTEXT.ADD.CURVE(C4183,"SOFR",$K$2:$K$7,$L$2:$L$7,,,"Actual360","LogLinear",TRUE)</f>
        <v>QSObject:ContextInput:w1~input.qs_context_add_curve.2359132437744.4182.3.0:36401</v>
      </c>
      <c r="E4183" s="6" t="str">
        <f>_xll.QS.INSTRUMENT.SWAP("swap.4181",H4183,B4183,"USD","SOFR",I4183,J4183,0,"Actual360","Simple","Annual","Annual","Annual")</f>
        <v>QSObject:Swap:w1~swap.4181:13492</v>
      </c>
      <c r="F4183" s="6" t="str">
        <f>_xll.QS.TRADE.CREATE("trade.4181",E4183,A4183,"Receive")</f>
        <v>QSObject:SwapTrade:w1~trade.4181:27662</v>
      </c>
      <c r="G4183" s="3">
        <f>_xll.QS.EVALUATE(C4183,F4183)</f>
        <v>39819.019771615473</v>
      </c>
      <c r="H4183" s="5" t="s">
        <v>4224</v>
      </c>
      <c r="I4183" s="7">
        <v>1418100</v>
      </c>
      <c r="J4183" s="8">
        <v>3.8100000000000002E-2</v>
      </c>
    </row>
    <row r="4184" spans="1:10" x14ac:dyDescent="0.25">
      <c r="A4184" s="5" t="s">
        <v>4218</v>
      </c>
      <c r="B4184" s="5" t="s">
        <v>6051</v>
      </c>
      <c r="C4184" s="6" t="str">
        <f>_xll.QS.CONTEXT.CREATE("market.4182",A4184,"USD","SOFR")</f>
        <v>QSObject:PricingContext:w1~market.4182:13491</v>
      </c>
      <c r="D4184" s="6" t="str">
        <f>_xll.QS.CONTEXT.ADD.CURVE(C4184,"SOFR",$K$2:$K$7,$L$2:$L$7,,,"Actual360","LogLinear",TRUE)</f>
        <v>QSObject:ContextInput:w1~input.qs_context_add_curve.2359132437744.4183.3.0:36400</v>
      </c>
      <c r="E4184" s="6" t="str">
        <f>_xll.QS.INSTRUMENT.SWAP("swap.4182",H4184,B4184,"USD","SOFR",I4184,J4184,0,"Actual360","Simple","Annual","Annual","Annual")</f>
        <v>QSObject:Swap:w1~swap.4182:13490</v>
      </c>
      <c r="F4184" s="6" t="str">
        <f>_xll.QS.TRADE.CREATE("trade.4182",E4184,A4184,"Receive")</f>
        <v>QSObject:SwapTrade:w1~trade.4182:27661</v>
      </c>
      <c r="G4184" s="3">
        <f>_xll.QS.EVALUATE(C4184,F4184)</f>
        <v>40537.822739923897</v>
      </c>
      <c r="H4184" s="5" t="s">
        <v>4225</v>
      </c>
      <c r="I4184" s="7">
        <v>1418200</v>
      </c>
      <c r="J4184" s="8">
        <v>3.8199999999999998E-2</v>
      </c>
    </row>
    <row r="4185" spans="1:10" x14ac:dyDescent="0.25">
      <c r="A4185" s="5" t="s">
        <v>4219</v>
      </c>
      <c r="B4185" s="5" t="s">
        <v>6052</v>
      </c>
      <c r="C4185" s="6" t="str">
        <f>_xll.QS.CONTEXT.CREATE("market.4183",A4185,"USD","SOFR")</f>
        <v>QSObject:PricingContext:w1~market.4183:13489</v>
      </c>
      <c r="D4185" s="6" t="str">
        <f>_xll.QS.CONTEXT.ADD.CURVE(C4185,"SOFR",$K$2:$K$7,$L$2:$L$7,,,"Actual360","LogLinear",TRUE)</f>
        <v>QSObject:ContextInput:w1~input.qs_context_add_curve.2359132437744.4184.3.0:36399</v>
      </c>
      <c r="E4185" s="6" t="str">
        <f>_xll.QS.INSTRUMENT.SWAP("swap.4183",H4185,B4185,"USD","SOFR",I4185,J4185,0,"Actual360","Simple","Annual","Annual","Annual")</f>
        <v>QSObject:Swap:w1~swap.4183:13488</v>
      </c>
      <c r="F4185" s="6" t="str">
        <f>_xll.QS.TRADE.CREATE("trade.4183",E4185,A4185,"Receive")</f>
        <v>QSObject:SwapTrade:w1~trade.4183:27660</v>
      </c>
      <c r="G4185" s="3">
        <f>_xll.QS.EVALUATE(C4185,F4185)</f>
        <v>41140.114744867366</v>
      </c>
      <c r="H4185" s="5" t="s">
        <v>4226</v>
      </c>
      <c r="I4185" s="7">
        <v>1418300</v>
      </c>
      <c r="J4185" s="8">
        <v>3.8300000000000001E-2</v>
      </c>
    </row>
    <row r="4186" spans="1:10" x14ac:dyDescent="0.25">
      <c r="A4186" s="5" t="s">
        <v>4220</v>
      </c>
      <c r="B4186" s="5" t="s">
        <v>6053</v>
      </c>
      <c r="C4186" s="6" t="str">
        <f>_xll.QS.CONTEXT.CREATE("market.4184",A4186,"USD","SOFR")</f>
        <v>QSObject:PricingContext:w1~market.4184:13487</v>
      </c>
      <c r="D4186" s="6" t="str">
        <f>_xll.QS.CONTEXT.ADD.CURVE(C4186,"SOFR",$K$2:$K$7,$L$2:$L$7,,,"Actual360","LogLinear",TRUE)</f>
        <v>QSObject:ContextInput:w1~input.qs_context_add_curve.2359132437744.4185.3.0:36398</v>
      </c>
      <c r="E4186" s="6" t="str">
        <f>_xll.QS.INSTRUMENT.SWAP("swap.4184",H4186,B4186,"USD","SOFR",I4186,J4186,0,"Actual360","Simple","Annual","Annual","Annual")</f>
        <v>QSObject:Swap:w1~swap.4184:13486</v>
      </c>
      <c r="F4186" s="6" t="str">
        <f>_xll.QS.TRADE.CREATE("trade.4184",E4186,A4186,"Receive")</f>
        <v>QSObject:SwapTrade:w1~trade.4184:27659</v>
      </c>
      <c r="G4186" s="3">
        <f>_xll.QS.EVALUATE(C4186,F4186)</f>
        <v>41688.083124196717</v>
      </c>
      <c r="H4186" s="5" t="s">
        <v>4227</v>
      </c>
      <c r="I4186" s="7">
        <v>1418400</v>
      </c>
      <c r="J4186" s="8">
        <v>3.8399999999999997E-2</v>
      </c>
    </row>
    <row r="4187" spans="1:10" x14ac:dyDescent="0.25">
      <c r="A4187" s="5" t="s">
        <v>4221</v>
      </c>
      <c r="B4187" s="5" t="s">
        <v>6054</v>
      </c>
      <c r="C4187" s="6" t="str">
        <f>_xll.QS.CONTEXT.CREATE("market.4185",A4187,"USD","SOFR")</f>
        <v>QSObject:PricingContext:w1~market.4185:13485</v>
      </c>
      <c r="D4187" s="6" t="str">
        <f>_xll.QS.CONTEXT.ADD.CURVE(C4187,"SOFR",$K$2:$K$7,$L$2:$L$7,,,"Actual360","LogLinear",TRUE)</f>
        <v>QSObject:ContextInput:w1~input.qs_context_add_curve.2359132437744.4186.3.0:36397</v>
      </c>
      <c r="E4187" s="6" t="str">
        <f>_xll.QS.INSTRUMENT.SWAP("swap.4185",H4187,B4187,"USD","SOFR",I4187,J4187,0,"Actual360","Simple","Annual","Annual","Annual")</f>
        <v>QSObject:Swap:w1~swap.4185:13484</v>
      </c>
      <c r="F4187" s="6" t="str">
        <f>_xll.QS.TRADE.CREATE("trade.4185",E4187,A4187,"Receive")</f>
        <v>QSObject:SwapTrade:w1~trade.4185:27658</v>
      </c>
      <c r="G4187" s="3">
        <f>_xll.QS.EVALUATE(C4187,F4187)</f>
        <v>42249.053528116681</v>
      </c>
      <c r="H4187" s="5" t="s">
        <v>4228</v>
      </c>
      <c r="I4187" s="7">
        <v>1418500</v>
      </c>
      <c r="J4187" s="8">
        <v>3.8500000000000013E-2</v>
      </c>
    </row>
    <row r="4188" spans="1:10" x14ac:dyDescent="0.25">
      <c r="A4188" s="5" t="s">
        <v>4222</v>
      </c>
      <c r="B4188" s="5" t="s">
        <v>6055</v>
      </c>
      <c r="C4188" s="6" t="str">
        <f>_xll.QS.CONTEXT.CREATE("market.4186",A4188,"USD","SOFR")</f>
        <v>QSObject:PricingContext:w1~market.4186:13483</v>
      </c>
      <c r="D4188" s="6" t="str">
        <f>_xll.QS.CONTEXT.ADD.CURVE(C4188,"SOFR",$K$2:$K$7,$L$2:$L$7,,,"Actual360","LogLinear",TRUE)</f>
        <v>QSObject:ContextInput:w1~input.qs_context_add_curve.2359132437744.4187.3.0:36396</v>
      </c>
      <c r="E4188" s="6" t="str">
        <f>_xll.QS.INSTRUMENT.SWAP("swap.4186",H4188,B4188,"USD","SOFR",I4188,J4188,0,"Actual360","Simple","Annual","Annual","Annual")</f>
        <v>QSObject:Swap:w1~swap.4186:13482</v>
      </c>
      <c r="F4188" s="6" t="str">
        <f>_xll.QS.TRADE.CREATE("trade.4186",E4188,A4188,"Receive")</f>
        <v>QSObject:SwapTrade:w1~trade.4186:27657</v>
      </c>
      <c r="G4188" s="3">
        <f>_xll.QS.EVALUATE(C4188,F4188)</f>
        <v>42966.740793916048</v>
      </c>
      <c r="H4188" s="5" t="s">
        <v>4229</v>
      </c>
      <c r="I4188" s="7">
        <v>1418600</v>
      </c>
      <c r="J4188" s="8">
        <v>3.8600000000000002E-2</v>
      </c>
    </row>
    <row r="4189" spans="1:10" x14ac:dyDescent="0.25">
      <c r="A4189" s="5" t="s">
        <v>4223</v>
      </c>
      <c r="B4189" s="5" t="s">
        <v>6056</v>
      </c>
      <c r="C4189" s="6" t="str">
        <f>_xll.QS.CONTEXT.CREATE("market.4187",A4189,"USD","SOFR")</f>
        <v>QSObject:PricingContext:w1~market.4187:13481</v>
      </c>
      <c r="D4189" s="6" t="str">
        <f>_xll.QS.CONTEXT.ADD.CURVE(C4189,"SOFR",$K$2:$K$7,$L$2:$L$7,,,"Actual360","LogLinear",TRUE)</f>
        <v>QSObject:ContextInput:w1~input.qs_context_add_curve.2359132437744.4188.3.0:36395</v>
      </c>
      <c r="E4189" s="6" t="str">
        <f>_xll.QS.INSTRUMENT.SWAP("swap.4187",H4189,B4189,"USD","SOFR",I4189,J4189,0,"Actual360","Simple","Annual","Annual","Annual")</f>
        <v>QSObject:Swap:w1~swap.4187:13480</v>
      </c>
      <c r="F4189" s="6" t="str">
        <f>_xll.QS.TRADE.CREATE("trade.4187",E4189,A4189,"Receive")</f>
        <v>QSObject:SwapTrade:w1~trade.4187:27656</v>
      </c>
      <c r="G4189" s="3">
        <f>_xll.QS.EVALUATE(C4189,F4189)</f>
        <v>43657.128511453615</v>
      </c>
      <c r="H4189" s="5" t="s">
        <v>4230</v>
      </c>
      <c r="I4189" s="7">
        <v>1418700</v>
      </c>
      <c r="J4189" s="8">
        <v>3.8700000000000012E-2</v>
      </c>
    </row>
    <row r="4190" spans="1:10" x14ac:dyDescent="0.25">
      <c r="A4190" s="5" t="s">
        <v>4224</v>
      </c>
      <c r="B4190" s="5" t="s">
        <v>6057</v>
      </c>
      <c r="C4190" s="6" t="str">
        <f>_xll.QS.CONTEXT.CREATE("market.4188",A4190,"USD","SOFR")</f>
        <v>QSObject:PricingContext:w1~market.4188:13479</v>
      </c>
      <c r="D4190" s="6" t="str">
        <f>_xll.QS.CONTEXT.ADD.CURVE(C4190,"SOFR",$K$2:$K$7,$L$2:$L$7,,,"Actual360","LogLinear",TRUE)</f>
        <v>QSObject:ContextInput:w1~input.qs_context_add_curve.2359132437744.4189.3.0:36394</v>
      </c>
      <c r="E4190" s="6" t="str">
        <f>_xll.QS.INSTRUMENT.SWAP("swap.4188",H4190,B4190,"USD","SOFR",I4190,J4190,0,"Actual360","Simple","Annual","Annual","Annual")</f>
        <v>QSObject:Swap:w1~swap.4188:13478</v>
      </c>
      <c r="F4190" s="6" t="str">
        <f>_xll.QS.TRADE.CREATE("trade.4188",E4190,A4190,"Receive")</f>
        <v>QSObject:SwapTrade:w1~trade.4188:27655</v>
      </c>
      <c r="G4190" s="3">
        <f>_xll.QS.EVALUATE(C4190,F4190)</f>
        <v>44418.52224176834</v>
      </c>
      <c r="H4190" s="5" t="s">
        <v>4231</v>
      </c>
      <c r="I4190" s="7">
        <v>1418800</v>
      </c>
      <c r="J4190" s="8">
        <v>3.8800000000000001E-2</v>
      </c>
    </row>
    <row r="4191" spans="1:10" x14ac:dyDescent="0.25">
      <c r="A4191" s="5" t="s">
        <v>4225</v>
      </c>
      <c r="B4191" s="5" t="s">
        <v>6058</v>
      </c>
      <c r="C4191" s="6" t="str">
        <f>_xll.QS.CONTEXT.CREATE("market.4189",A4191,"USD","SOFR")</f>
        <v>QSObject:PricingContext:w1~market.4189:13477</v>
      </c>
      <c r="D4191" s="6" t="str">
        <f>_xll.QS.CONTEXT.ADD.CURVE(C4191,"SOFR",$K$2:$K$7,$L$2:$L$7,,,"Actual360","LogLinear",TRUE)</f>
        <v>QSObject:ContextInput:w1~input.qs_context_add_curve.2359132437744.4190.3.0:36393</v>
      </c>
      <c r="E4191" s="6" t="str">
        <f>_xll.QS.INSTRUMENT.SWAP("swap.4189",H4191,B4191,"USD","SOFR",I4191,J4191,0,"Actual360","Simple","Annual","Annual","Annual")</f>
        <v>QSObject:Swap:w1~swap.4189:13476</v>
      </c>
      <c r="F4191" s="6" t="str">
        <f>_xll.QS.TRADE.CREATE("trade.4189",E4191,A4191,"Receive")</f>
        <v>QSObject:SwapTrade:w1~trade.4189:27654</v>
      </c>
      <c r="G4191" s="3">
        <f>_xll.QS.EVALUATE(C4191,F4191)</f>
        <v>45138.053985619001</v>
      </c>
      <c r="H4191" s="5" t="s">
        <v>4232</v>
      </c>
      <c r="I4191" s="7">
        <v>1418900</v>
      </c>
      <c r="J4191" s="8">
        <v>3.8899999999999997E-2</v>
      </c>
    </row>
    <row r="4192" spans="1:10" x14ac:dyDescent="0.25">
      <c r="A4192" s="5" t="s">
        <v>4226</v>
      </c>
      <c r="B4192" s="5" t="s">
        <v>6059</v>
      </c>
      <c r="C4192" s="6" t="str">
        <f>_xll.QS.CONTEXT.CREATE("market.4190",A4192,"USD","SOFR")</f>
        <v>QSObject:PricingContext:w1~market.4190:13475</v>
      </c>
      <c r="D4192" s="6" t="str">
        <f>_xll.QS.CONTEXT.ADD.CURVE(C4192,"SOFR",$K$2:$K$7,$L$2:$L$7,,,"Actual360","LogLinear",TRUE)</f>
        <v>QSObject:ContextInput:w1~input.qs_context_add_curve.2359132437744.4191.3.0:36392</v>
      </c>
      <c r="E4192" s="6" t="str">
        <f>_xll.QS.INSTRUMENT.SWAP("swap.4190",H4192,B4192,"USD","SOFR",I4192,J4192,0,"Actual360","Simple","Annual","Annual","Annual")</f>
        <v>QSObject:Swap:w1~swap.4190:13474</v>
      </c>
      <c r="F4192" s="6" t="str">
        <f>_xll.QS.TRADE.CREATE("trade.4190",E4192,A4192,"Receive")</f>
        <v>QSObject:SwapTrade:w1~trade.4190:27653</v>
      </c>
      <c r="G4192" s="3">
        <f>_xll.QS.EVALUATE(C4192,F4192)</f>
        <v>45741.154963622132</v>
      </c>
      <c r="H4192" s="5" t="s">
        <v>4233</v>
      </c>
      <c r="I4192" s="7">
        <v>1419000</v>
      </c>
      <c r="J4192" s="8">
        <v>3.9000000000000007E-2</v>
      </c>
    </row>
    <row r="4193" spans="1:10" x14ac:dyDescent="0.25">
      <c r="A4193" s="5" t="s">
        <v>4227</v>
      </c>
      <c r="B4193" s="5" t="s">
        <v>6060</v>
      </c>
      <c r="C4193" s="6" t="str">
        <f>_xll.QS.CONTEXT.CREATE("market.4191",A4193,"USD","SOFR")</f>
        <v>QSObject:PricingContext:w1~market.4191:13473</v>
      </c>
      <c r="D4193" s="6" t="str">
        <f>_xll.QS.CONTEXT.ADD.CURVE(C4193,"SOFR",$K$2:$K$7,$L$2:$L$7,,,"Actual360","LogLinear",TRUE)</f>
        <v>QSObject:ContextInput:w1~input.qs_context_add_curve.2359132437744.4192.3.0:36391</v>
      </c>
      <c r="E4193" s="6" t="str">
        <f>_xll.QS.INSTRUMENT.SWAP("swap.4191",H4193,B4193,"USD","SOFR",I4193,J4193,0,"Actual360","Simple","Annual","Annual","Annual")</f>
        <v>QSObject:Swap:w1~swap.4191:13472</v>
      </c>
      <c r="F4193" s="6" t="str">
        <f>_xll.QS.TRADE.CREATE("trade.4191",E4193,A4193,"Receive")</f>
        <v>QSObject:SwapTrade:w1~trade.4191:27652</v>
      </c>
      <c r="G4193" s="3">
        <f>_xll.QS.EVALUATE(C4193,F4193)</f>
        <v>46371.58149589532</v>
      </c>
      <c r="H4193" s="5" t="s">
        <v>4234</v>
      </c>
      <c r="I4193" s="7">
        <v>1419100</v>
      </c>
      <c r="J4193" s="8">
        <v>3.9100000000000003E-2</v>
      </c>
    </row>
    <row r="4194" spans="1:10" x14ac:dyDescent="0.25">
      <c r="A4194" s="5" t="s">
        <v>4228</v>
      </c>
      <c r="B4194" s="5" t="s">
        <v>6061</v>
      </c>
      <c r="C4194" s="6" t="str">
        <f>_xll.QS.CONTEXT.CREATE("market.4192",A4194,"USD","SOFR")</f>
        <v>QSObject:PricingContext:w1~market.4192:13471</v>
      </c>
      <c r="D4194" s="6" t="str">
        <f>_xll.QS.CONTEXT.ADD.CURVE(C4194,"SOFR",$K$2:$K$7,$L$2:$L$7,,,"Actual360","LogLinear",TRUE)</f>
        <v>QSObject:ContextInput:w1~input.qs_context_add_curve.2359132437744.4193.3.0:36390</v>
      </c>
      <c r="E4194" s="6" t="str">
        <f>_xll.QS.INSTRUMENT.SWAP("swap.4192",H4194,B4194,"USD","SOFR",I4194,J4194,0,"Actual360","Simple","Annual","Annual","Annual")</f>
        <v>QSObject:Swap:w1~swap.4192:13470</v>
      </c>
      <c r="F4194" s="6" t="str">
        <f>_xll.QS.TRADE.CREATE("trade.4192",E4194,A4194,"Receive")</f>
        <v>QSObject:SwapTrade:w1~trade.4192:27651</v>
      </c>
      <c r="G4194" s="3">
        <f>_xll.QS.EVALUATE(C4194,F4194)</f>
        <v>46852.750340494458</v>
      </c>
      <c r="H4194" s="5" t="s">
        <v>4235</v>
      </c>
      <c r="I4194" s="7">
        <v>1419200</v>
      </c>
      <c r="J4194" s="8">
        <v>3.9200000000000013E-2</v>
      </c>
    </row>
    <row r="4195" spans="1:10" x14ac:dyDescent="0.25">
      <c r="A4195" s="5" t="s">
        <v>4229</v>
      </c>
      <c r="B4195" s="5" t="s">
        <v>6062</v>
      </c>
      <c r="C4195" s="6" t="str">
        <f>_xll.QS.CONTEXT.CREATE("market.4193",A4195,"USD","SOFR")</f>
        <v>QSObject:PricingContext:w1~market.4193:13469</v>
      </c>
      <c r="D4195" s="6" t="str">
        <f>_xll.QS.CONTEXT.ADD.CURVE(C4195,"SOFR",$K$2:$K$7,$L$2:$L$7,,,"Actual360","LogLinear",TRUE)</f>
        <v>QSObject:ContextInput:w1~input.qs_context_add_curve.2359132437744.4194.3.0:36389</v>
      </c>
      <c r="E4195" s="6" t="str">
        <f>_xll.QS.INSTRUMENT.SWAP("swap.4193",H4195,B4195,"USD","SOFR",I4195,J4195,0,"Actual360","Simple","Annual","Annual","Annual")</f>
        <v>QSObject:Swap:w1~swap.4193:13468</v>
      </c>
      <c r="F4195" s="6" t="str">
        <f>_xll.QS.TRADE.CREATE("trade.4193",E4195,A4195,"Receive")</f>
        <v>QSObject:SwapTrade:w1~trade.4193:27650</v>
      </c>
      <c r="G4195" s="3">
        <f>_xll.QS.EVALUATE(C4195,F4195)</f>
        <v>47571.463357395609</v>
      </c>
      <c r="H4195" s="5" t="s">
        <v>4236</v>
      </c>
      <c r="I4195" s="7">
        <v>1419300</v>
      </c>
      <c r="J4195" s="8">
        <v>3.9300000000000002E-2</v>
      </c>
    </row>
    <row r="4196" spans="1:10" x14ac:dyDescent="0.25">
      <c r="A4196" s="5" t="s">
        <v>4230</v>
      </c>
      <c r="B4196" s="5" t="s">
        <v>6063</v>
      </c>
      <c r="C4196" s="6" t="str">
        <f>_xll.QS.CONTEXT.CREATE("market.4194",A4196,"USD","SOFR")</f>
        <v>QSObject:PricingContext:w1~market.4194:13467</v>
      </c>
      <c r="D4196" s="6" t="str">
        <f>_xll.QS.CONTEXT.ADD.CURVE(C4196,"SOFR",$K$2:$K$7,$L$2:$L$7,,,"Actual360","LogLinear",TRUE)</f>
        <v>QSObject:ContextInput:w1~input.qs_context_add_curve.2359132437744.4195.3.0:36388</v>
      </c>
      <c r="E4196" s="6" t="str">
        <f>_xll.QS.INSTRUMENT.SWAP("swap.4194",H4196,B4196,"USD","SOFR",I4196,J4196,0,"Actual360","Simple","Annual","Annual","Annual")</f>
        <v>QSObject:Swap:w1~swap.4194:13466</v>
      </c>
      <c r="F4196" s="6" t="str">
        <f>_xll.QS.TRADE.CREATE("trade.4194",E4196,A4196,"Receive")</f>
        <v>QSObject:SwapTrade:w1~trade.4194:27649</v>
      </c>
      <c r="G4196" s="3">
        <f>_xll.QS.EVALUATE(C4196,F4196)</f>
        <v>48260.196704186019</v>
      </c>
      <c r="H4196" s="5" t="s">
        <v>4237</v>
      </c>
      <c r="I4196" s="7">
        <v>1419400</v>
      </c>
      <c r="J4196" s="8">
        <v>3.9399999999999998E-2</v>
      </c>
    </row>
    <row r="4197" spans="1:10" x14ac:dyDescent="0.25">
      <c r="A4197" s="5" t="s">
        <v>4231</v>
      </c>
      <c r="B4197" s="5" t="s">
        <v>6064</v>
      </c>
      <c r="C4197" s="6" t="str">
        <f>_xll.QS.CONTEXT.CREATE("market.4195",A4197,"USD","SOFR")</f>
        <v>QSObject:PricingContext:w1~market.4195:13465</v>
      </c>
      <c r="D4197" s="6" t="str">
        <f>_xll.QS.CONTEXT.ADD.CURVE(C4197,"SOFR",$K$2:$K$7,$L$2:$L$7,,,"Actual360","LogLinear",TRUE)</f>
        <v>QSObject:ContextInput:w1~input.qs_context_add_curve.2359132437744.4196.3.0:36387</v>
      </c>
      <c r="E4197" s="6" t="str">
        <f>_xll.QS.INSTRUMENT.SWAP("swap.4195",H4197,B4197,"USD","SOFR",I4197,J4197,0,"Actual360","Simple","Annual","Annual","Annual")</f>
        <v>QSObject:Swap:w1~swap.4195:13464</v>
      </c>
      <c r="F4197" s="6" t="str">
        <f>_xll.QS.TRADE.CREATE("trade.4195",E4197,A4197,"Receive")</f>
        <v>QSObject:SwapTrade:w1~trade.4195:27648</v>
      </c>
      <c r="G4197" s="3">
        <f>_xll.QS.EVALUATE(C4197,F4197)</f>
        <v>49069.020325693673</v>
      </c>
      <c r="H4197" s="5" t="s">
        <v>4238</v>
      </c>
      <c r="I4197" s="7">
        <v>1419500</v>
      </c>
      <c r="J4197" s="8">
        <v>3.9500000000000007E-2</v>
      </c>
    </row>
    <row r="4198" spans="1:10" x14ac:dyDescent="0.25">
      <c r="A4198" s="5" t="s">
        <v>4232</v>
      </c>
      <c r="B4198" s="5" t="s">
        <v>6065</v>
      </c>
      <c r="C4198" s="6" t="str">
        <f>_xll.QS.CONTEXT.CREATE("market.4196",A4198,"USD","SOFR")</f>
        <v>QSObject:PricingContext:w1~market.4196:13463</v>
      </c>
      <c r="D4198" s="6" t="str">
        <f>_xll.QS.CONTEXT.ADD.CURVE(C4198,"SOFR",$K$2:$K$7,$L$2:$L$7,,,"Actual360","LogLinear",TRUE)</f>
        <v>QSObject:ContextInput:w1~input.qs_context_add_curve.2359132437744.4197.3.0:36386</v>
      </c>
      <c r="E4198" s="6" t="str">
        <f>_xll.QS.INSTRUMENT.SWAP("swap.4196",H4198,B4198,"USD","SOFR",I4198,J4198,0,"Actual360","Simple","Annual","Annual","Annual")</f>
        <v>QSObject:Swap:w1~swap.4196:13462</v>
      </c>
      <c r="F4198" s="6" t="str">
        <f>_xll.QS.TRADE.CREATE("trade.4196",E4198,A4198,"Receive")</f>
        <v>QSObject:SwapTrade:w1~trade.4196:27647</v>
      </c>
      <c r="G4198" s="3">
        <f>_xll.QS.EVALUATE(C4198,F4198)</f>
        <v>49742.35120351873</v>
      </c>
      <c r="H4198" s="5" t="s">
        <v>4239</v>
      </c>
      <c r="I4198" s="7">
        <v>1419600</v>
      </c>
      <c r="J4198" s="8">
        <v>3.9600000000000003E-2</v>
      </c>
    </row>
    <row r="4199" spans="1:10" x14ac:dyDescent="0.25">
      <c r="A4199" s="5" t="s">
        <v>4233</v>
      </c>
      <c r="B4199" s="5" t="s">
        <v>6066</v>
      </c>
      <c r="C4199" s="6" t="str">
        <f>_xll.QS.CONTEXT.CREATE("market.4197",A4199,"USD","SOFR")</f>
        <v>QSObject:PricingContext:w1~market.4197:13461</v>
      </c>
      <c r="D4199" s="6" t="str">
        <f>_xll.QS.CONTEXT.ADD.CURVE(C4199,"SOFR",$K$2:$K$7,$L$2:$L$7,,,"Actual360","LogLinear",TRUE)</f>
        <v>QSObject:ContextInput:w1~input.qs_context_add_curve.2359132437744.4198.3.0:36385</v>
      </c>
      <c r="E4199" s="6" t="str">
        <f>_xll.QS.INSTRUMENT.SWAP("swap.4197",H4199,B4199,"USD","SOFR",I4199,J4199,0,"Actual360","Simple","Annual","Annual","Annual")</f>
        <v>QSObject:Swap:w1~swap.4197:13460</v>
      </c>
      <c r="F4199" s="6" t="str">
        <f>_xll.QS.TRADE.CREATE("trade.4197",E4199,A4199,"Receive")</f>
        <v>QSObject:SwapTrade:w1~trade.4197:27646</v>
      </c>
      <c r="G4199" s="3">
        <f>_xll.QS.EVALUATE(C4199,F4199)</f>
        <v>50399.947374837306</v>
      </c>
      <c r="H4199" s="5" t="s">
        <v>4240</v>
      </c>
      <c r="I4199" s="7">
        <v>1419700</v>
      </c>
      <c r="J4199" s="8">
        <v>3.9700000000000013E-2</v>
      </c>
    </row>
    <row r="4200" spans="1:10" x14ac:dyDescent="0.25">
      <c r="A4200" s="5" t="s">
        <v>4234</v>
      </c>
      <c r="B4200" s="5" t="s">
        <v>6067</v>
      </c>
      <c r="C4200" s="6" t="str">
        <f>_xll.QS.CONTEXT.CREATE("market.4198",A4200,"USD","SOFR")</f>
        <v>QSObject:PricingContext:w1~market.4198:13459</v>
      </c>
      <c r="D4200" s="6" t="str">
        <f>_xll.QS.CONTEXT.ADD.CURVE(C4200,"SOFR",$K$2:$K$7,$L$2:$L$7,,,"Actual360","LogLinear",TRUE)</f>
        <v>QSObject:ContextInput:w1~input.qs_context_add_curve.2359132437744.4199.3.0:36384</v>
      </c>
      <c r="E4200" s="6" t="str">
        <f>_xll.QS.INSTRUMENT.SWAP("swap.4198",H4200,B4200,"USD","SOFR",I4200,J4200,0,"Actual360","Simple","Annual","Annual","Annual")</f>
        <v>QSObject:Swap:w1~swap.4198:13458</v>
      </c>
      <c r="F4200" s="6" t="str">
        <f>_xll.QS.TRADE.CREATE("trade.4198",E4200,A4200,"Receive")</f>
        <v>QSObject:SwapTrade:w1~trade.4198:27645</v>
      </c>
      <c r="G4200" s="3">
        <f>_xll.QS.EVALUATE(C4200,F4200)</f>
        <v>50938.293648334402</v>
      </c>
      <c r="H4200" s="5" t="s">
        <v>4241</v>
      </c>
      <c r="I4200" s="7">
        <v>1419800</v>
      </c>
      <c r="J4200" s="8">
        <v>3.9800000000000002E-2</v>
      </c>
    </row>
    <row r="4201" spans="1:10" x14ac:dyDescent="0.25">
      <c r="A4201" s="5" t="s">
        <v>4235</v>
      </c>
      <c r="B4201" s="5" t="s">
        <v>6068</v>
      </c>
      <c r="C4201" s="6" t="str">
        <f>_xll.QS.CONTEXT.CREATE("market.4199",A4201,"USD","SOFR")</f>
        <v>QSObject:PricingContext:w1~market.4199:13457</v>
      </c>
      <c r="D4201" s="6" t="str">
        <f>_xll.QS.CONTEXT.ADD.CURVE(C4201,"SOFR",$K$2:$K$7,$L$2:$L$7,,,"Actual360","LogLinear",TRUE)</f>
        <v>QSObject:ContextInput:w1~input.qs_context_add_curve.2359132437744.4200.3.0:36383</v>
      </c>
      <c r="E4201" s="6" t="str">
        <f>_xll.QS.INSTRUMENT.SWAP("swap.4199",H4201,B4201,"USD","SOFR",I4201,J4201,0,"Actual360","Simple","Annual","Annual","Annual")</f>
        <v>QSObject:Swap:w1~swap.4199:13456</v>
      </c>
      <c r="F4201" s="6" t="str">
        <f>_xll.QS.TRADE.CREATE("trade.4199",E4201,A4201,"Receive")</f>
        <v>QSObject:SwapTrade:w1~trade.4199:27644</v>
      </c>
      <c r="G4201" s="3">
        <f>_xll.QS.EVALUATE(C4201,F4201)</f>
        <v>51514.486378959627</v>
      </c>
      <c r="H4201" s="5" t="s">
        <v>4242</v>
      </c>
      <c r="I4201" s="7">
        <v>1419900</v>
      </c>
      <c r="J4201" s="8">
        <v>3.9899999999999998E-2</v>
      </c>
    </row>
    <row r="4202" spans="1:10" x14ac:dyDescent="0.25">
      <c r="A4202" s="5" t="s">
        <v>4236</v>
      </c>
      <c r="B4202" s="5" t="s">
        <v>6069</v>
      </c>
      <c r="C4202" s="6" t="str">
        <f>_xll.QS.CONTEXT.CREATE("market.4200",A4202,"USD","SOFR")</f>
        <v>QSObject:PricingContext:w1~market.4200:13455</v>
      </c>
      <c r="D4202" s="6" t="str">
        <f>_xll.QS.CONTEXT.ADD.CURVE(C4202,"SOFR",$K$2:$K$7,$L$2:$L$7,,,"Actual360","LogLinear",TRUE)</f>
        <v>QSObject:ContextInput:w1~input.qs_context_add_curve.2359132437744.4201.3.0:36382</v>
      </c>
      <c r="E4202" s="6" t="str">
        <f>_xll.QS.INSTRUMENT.SWAP("swap.4200",H4202,B4202,"USD","SOFR",I4202,J4202,0,"Actual360","Simple","Annual","Annual","Annual")</f>
        <v>QSObject:Swap:w1~swap.4200:13454</v>
      </c>
      <c r="F4202" s="6" t="str">
        <f>_xll.QS.TRADE.CREATE("trade.4200",E4202,A4202,"Receive")</f>
        <v>QSObject:SwapTrade:w1~trade.4200:27643</v>
      </c>
      <c r="G4202" s="3">
        <f>_xll.QS.EVALUATE(C4202,F4202)</f>
        <v>19481.485411229762</v>
      </c>
      <c r="H4202" s="5" t="s">
        <v>4243</v>
      </c>
      <c r="I4202" s="7">
        <v>1420000</v>
      </c>
      <c r="J4202" s="8">
        <v>3.5000000000000003E-2</v>
      </c>
    </row>
    <row r="4203" spans="1:10" x14ac:dyDescent="0.25">
      <c r="A4203" s="5" t="s">
        <v>4237</v>
      </c>
      <c r="B4203" s="5" t="s">
        <v>6070</v>
      </c>
      <c r="C4203" s="6" t="str">
        <f>_xll.QS.CONTEXT.CREATE("market.4201",A4203,"USD","SOFR")</f>
        <v>QSObject:PricingContext:w1~market.4201:13453</v>
      </c>
      <c r="D4203" s="6" t="str">
        <f>_xll.QS.CONTEXT.ADD.CURVE(C4203,"SOFR",$K$2:$K$7,$L$2:$L$7,,,"Actual360","LogLinear",TRUE)</f>
        <v>QSObject:ContextInput:w1~input.qs_context_add_curve.2359132437744.4202.3.0:36381</v>
      </c>
      <c r="E4203" s="6" t="str">
        <f>_xll.QS.INSTRUMENT.SWAP("swap.4201",H4203,B4203,"USD","SOFR",I4203,J4203,0,"Actual360","Simple","Annual","Annual","Annual")</f>
        <v>QSObject:Swap:w1~swap.4201:13452</v>
      </c>
      <c r="F4203" s="6" t="str">
        <f>_xll.QS.TRADE.CREATE("trade.4201",E4203,A4203,"Receive")</f>
        <v>QSObject:SwapTrade:w1~trade.4201:27642</v>
      </c>
      <c r="G4203" s="3">
        <f>_xll.QS.EVALUATE(C4203,F4203)</f>
        <v>20285.404432363597</v>
      </c>
      <c r="H4203" s="5" t="s">
        <v>4244</v>
      </c>
      <c r="I4203" s="7">
        <v>1420100</v>
      </c>
      <c r="J4203" s="8">
        <v>3.5100000000000013E-2</v>
      </c>
    </row>
    <row r="4204" spans="1:10" x14ac:dyDescent="0.25">
      <c r="A4204" s="5" t="s">
        <v>4238</v>
      </c>
      <c r="B4204" s="5" t="s">
        <v>6071</v>
      </c>
      <c r="C4204" s="6" t="str">
        <f>_xll.QS.CONTEXT.CREATE("market.4202",A4204,"USD","SOFR")</f>
        <v>QSObject:PricingContext:w1~market.4202:13451</v>
      </c>
      <c r="D4204" s="6" t="str">
        <f>_xll.QS.CONTEXT.ADD.CURVE(C4204,"SOFR",$K$2:$K$7,$L$2:$L$7,,,"Actual360","LogLinear",TRUE)</f>
        <v>QSObject:ContextInput:w1~input.qs_context_add_curve.2359132437744.4203.3.0:36380</v>
      </c>
      <c r="E4204" s="6" t="str">
        <f>_xll.QS.INSTRUMENT.SWAP("swap.4202",H4204,B4204,"USD","SOFR",I4204,J4204,0,"Actual360","Simple","Annual","Annual","Annual")</f>
        <v>QSObject:Swap:w1~swap.4202:13450</v>
      </c>
      <c r="F4204" s="6" t="str">
        <f>_xll.QS.TRADE.CREATE("trade.4202",E4204,A4204,"Receive")</f>
        <v>QSObject:SwapTrade:w1~trade.4202:27641</v>
      </c>
      <c r="G4204" s="3">
        <f>_xll.QS.EVALUATE(C4204,F4204)</f>
        <v>20885.611539764635</v>
      </c>
      <c r="H4204" s="5" t="s">
        <v>4245</v>
      </c>
      <c r="I4204" s="7">
        <v>1420200</v>
      </c>
      <c r="J4204" s="8">
        <v>3.5200000000000002E-2</v>
      </c>
    </row>
    <row r="4205" spans="1:10" x14ac:dyDescent="0.25">
      <c r="A4205" s="5" t="s">
        <v>4239</v>
      </c>
      <c r="B4205" s="5" t="s">
        <v>6072</v>
      </c>
      <c r="C4205" s="6" t="str">
        <f>_xll.QS.CONTEXT.CREATE("market.4203",A4205,"USD","SOFR")</f>
        <v>QSObject:PricingContext:w1~market.4203:13449</v>
      </c>
      <c r="D4205" s="6" t="str">
        <f>_xll.QS.CONTEXT.ADD.CURVE(C4205,"SOFR",$K$2:$K$7,$L$2:$L$7,,,"Actual360","LogLinear",TRUE)</f>
        <v>QSObject:ContextInput:w1~input.qs_context_add_curve.2359132437744.4204.3.0:36379</v>
      </c>
      <c r="E4205" s="6" t="str">
        <f>_xll.QS.INSTRUMENT.SWAP("swap.4203",H4205,B4205,"USD","SOFR",I4205,J4205,0,"Actual360","Simple","Annual","Annual","Annual")</f>
        <v>QSObject:Swap:w1~swap.4203:13448</v>
      </c>
      <c r="F4205" s="6" t="str">
        <f>_xll.QS.TRADE.CREATE("trade.4203",E4205,A4205,"Receive")</f>
        <v>QSObject:SwapTrade:w1~trade.4203:27640</v>
      </c>
      <c r="G4205" s="3">
        <f>_xll.QS.EVALUATE(C4205,F4205)</f>
        <v>21603.919389379058</v>
      </c>
      <c r="H4205" s="5" t="s">
        <v>4246</v>
      </c>
      <c r="I4205" s="7">
        <v>1420300</v>
      </c>
      <c r="J4205" s="8">
        <v>3.5299999999999998E-2</v>
      </c>
    </row>
    <row r="4206" spans="1:10" x14ac:dyDescent="0.25">
      <c r="A4206" s="5" t="s">
        <v>4240</v>
      </c>
      <c r="B4206" s="5" t="s">
        <v>6073</v>
      </c>
      <c r="C4206" s="6" t="str">
        <f>_xll.QS.CONTEXT.CREATE("market.4204",A4206,"USD","SOFR")</f>
        <v>QSObject:PricingContext:w1~market.4204:13447</v>
      </c>
      <c r="D4206" s="6" t="str">
        <f>_xll.QS.CONTEXT.ADD.CURVE(C4206,"SOFR",$K$2:$K$7,$L$2:$L$7,,,"Actual360","LogLinear",TRUE)</f>
        <v>QSObject:ContextInput:w1~input.qs_context_add_curve.2359132437744.4205.3.0:36378</v>
      </c>
      <c r="E4206" s="6" t="str">
        <f>_xll.QS.INSTRUMENT.SWAP("swap.4204",H4206,B4206,"USD","SOFR",I4206,J4206,0,"Actual360","Simple","Annual","Annual","Annual")</f>
        <v>QSObject:Swap:w1~swap.4204:13446</v>
      </c>
      <c r="F4206" s="6" t="str">
        <f>_xll.QS.TRADE.CREATE("trade.4204",E4206,A4206,"Receive")</f>
        <v>QSObject:SwapTrade:w1~trade.4204:27623</v>
      </c>
      <c r="G4206" s="3">
        <f>_xll.QS.EVALUATE(C4206,F4206)</f>
        <v>22205.970298594322</v>
      </c>
      <c r="H4206" s="5" t="s">
        <v>4247</v>
      </c>
      <c r="I4206" s="7">
        <v>1420400</v>
      </c>
      <c r="J4206" s="8">
        <v>3.5400000000000001E-2</v>
      </c>
    </row>
    <row r="4207" spans="1:10" x14ac:dyDescent="0.25">
      <c r="A4207" s="5" t="s">
        <v>4241</v>
      </c>
      <c r="B4207" s="5" t="s">
        <v>6074</v>
      </c>
      <c r="C4207" s="6" t="str">
        <f>_xll.QS.CONTEXT.CREATE("market.4205",A4207,"USD","SOFR")</f>
        <v>QSObject:PricingContext:w1~market.4205:13445</v>
      </c>
      <c r="D4207" s="6" t="str">
        <f>_xll.QS.CONTEXT.ADD.CURVE(C4207,"SOFR",$K$2:$K$7,$L$2:$L$7,,,"Actual360","LogLinear",TRUE)</f>
        <v>QSObject:ContextInput:w1~input.qs_context_add_curve.2359132437744.4206.3.0:36377</v>
      </c>
      <c r="E4207" s="6" t="str">
        <f>_xll.QS.INSTRUMENT.SWAP("swap.4205",H4207,B4207,"USD","SOFR",I4207,J4207,0,"Actual360","Simple","Annual","Annual","Annual")</f>
        <v>QSObject:Swap:w1~swap.4205:13444</v>
      </c>
      <c r="F4207" s="6" t="str">
        <f>_xll.QS.TRADE.CREATE("trade.4205",E4207,A4207,"Receive")</f>
        <v>QSObject:SwapTrade:w1~trade.4205:27622</v>
      </c>
      <c r="G4207" s="3">
        <f>_xll.QS.EVALUATE(C4207,F4207)</f>
        <v>22775.779571480132</v>
      </c>
      <c r="H4207" s="5" t="s">
        <v>4248</v>
      </c>
      <c r="I4207" s="7">
        <v>1420500</v>
      </c>
      <c r="J4207" s="8">
        <v>3.5499999999999997E-2</v>
      </c>
    </row>
    <row r="4208" spans="1:10" x14ac:dyDescent="0.25">
      <c r="A4208" s="5" t="s">
        <v>4242</v>
      </c>
      <c r="B4208" s="5" t="s">
        <v>6075</v>
      </c>
      <c r="C4208" s="6" t="str">
        <f>_xll.QS.CONTEXT.CREATE("market.4206",A4208,"USD","SOFR")</f>
        <v>QSObject:PricingContext:w1~market.4206:13443</v>
      </c>
      <c r="D4208" s="6" t="str">
        <f>_xll.QS.CONTEXT.ADD.CURVE(C4208,"SOFR",$K$2:$K$7,$L$2:$L$7,,,"Actual360","LogLinear",TRUE)</f>
        <v>QSObject:ContextInput:w1~input.qs_context_add_curve.2359132437744.4207.3.0:36376</v>
      </c>
      <c r="E4208" s="6" t="str">
        <f>_xll.QS.INSTRUMENT.SWAP("swap.4206",H4208,B4208,"USD","SOFR",I4208,J4208,0,"Actual360","Simple","Annual","Annual","Annual")</f>
        <v>QSObject:Swap:w1~swap.4206:13442</v>
      </c>
      <c r="F4208" s="6" t="str">
        <f>_xll.QS.TRADE.CREATE("trade.4206",E4208,A4208,"Receive")</f>
        <v>QSObject:SwapTrade:w1~trade.4206:27621</v>
      </c>
      <c r="G4208" s="3">
        <f>_xll.QS.EVALUATE(C4208,F4208)</f>
        <v>23306.787664177085</v>
      </c>
      <c r="H4208" s="5" t="s">
        <v>4249</v>
      </c>
      <c r="I4208" s="7">
        <v>1420600</v>
      </c>
      <c r="J4208" s="8">
        <v>3.5600000000000007E-2</v>
      </c>
    </row>
    <row r="4209" spans="1:10" x14ac:dyDescent="0.25">
      <c r="A4209" s="5" t="s">
        <v>4243</v>
      </c>
      <c r="B4209" s="5" t="s">
        <v>6076</v>
      </c>
      <c r="C4209" s="6" t="str">
        <f>_xll.QS.CONTEXT.CREATE("market.4207",A4209,"USD","SOFR")</f>
        <v>QSObject:PricingContext:w1~market.4207:13441</v>
      </c>
      <c r="D4209" s="6" t="str">
        <f>_xll.QS.CONTEXT.ADD.CURVE(C4209,"SOFR",$K$2:$K$7,$L$2:$L$7,,,"Actual360","LogLinear",TRUE)</f>
        <v>QSObject:ContextInput:w1~input.qs_context_add_curve.2359132437744.4208.3.0:36375</v>
      </c>
      <c r="E4209" s="6" t="str">
        <f>_xll.QS.INSTRUMENT.SWAP("swap.4207",H4209,B4209,"USD","SOFR",I4209,J4209,0,"Actual360","Simple","Annual","Annual","Annual")</f>
        <v>QSObject:Swap:w1~swap.4207:13440</v>
      </c>
      <c r="F4209" s="6" t="str">
        <f>_xll.QS.TRADE.CREATE("trade.4207",E4209,A4209,"Receive")</f>
        <v>QSObject:SwapTrade:w1~trade.4207:27620</v>
      </c>
      <c r="G4209" s="3">
        <f>_xll.QS.EVALUATE(C4209,F4209)</f>
        <v>24022.354065549844</v>
      </c>
      <c r="H4209" s="5" t="s">
        <v>4250</v>
      </c>
      <c r="I4209" s="7">
        <v>1420700</v>
      </c>
      <c r="J4209" s="8">
        <v>3.5700000000000003E-2</v>
      </c>
    </row>
    <row r="4210" spans="1:10" x14ac:dyDescent="0.25">
      <c r="A4210" s="5" t="s">
        <v>4244</v>
      </c>
      <c r="B4210" s="5" t="s">
        <v>6077</v>
      </c>
      <c r="C4210" s="6" t="str">
        <f>_xll.QS.CONTEXT.CREATE("market.4208",A4210,"USD","SOFR")</f>
        <v>QSObject:PricingContext:w1~market.4208:13439</v>
      </c>
      <c r="D4210" s="6" t="str">
        <f>_xll.QS.CONTEXT.ADD.CURVE(C4210,"SOFR",$K$2:$K$7,$L$2:$L$7,,,"Actual360","LogLinear",TRUE)</f>
        <v>QSObject:ContextInput:w1~input.qs_context_add_curve.2359132437744.4209.3.0:36374</v>
      </c>
      <c r="E4210" s="6" t="str">
        <f>_xll.QS.INSTRUMENT.SWAP("swap.4208",H4210,B4210,"USD","SOFR",I4210,J4210,0,"Actual360","Simple","Annual","Annual","Annual")</f>
        <v>QSObject:Swap:w1~swap.4208:13438</v>
      </c>
      <c r="F4210" s="6" t="str">
        <f>_xll.QS.TRADE.CREATE("trade.4208",E4210,A4210,"Receive")</f>
        <v>QSObject:SwapTrade:w1~trade.4208:27619</v>
      </c>
      <c r="G4210" s="3">
        <f>_xll.QS.EVALUATE(C4210,F4210)</f>
        <v>24721.65347535706</v>
      </c>
      <c r="H4210" s="5" t="s">
        <v>4251</v>
      </c>
      <c r="I4210" s="7">
        <v>1420800</v>
      </c>
      <c r="J4210" s="8">
        <v>3.5800000000000012E-2</v>
      </c>
    </row>
    <row r="4211" spans="1:10" x14ac:dyDescent="0.25">
      <c r="A4211" s="5" t="s">
        <v>4245</v>
      </c>
      <c r="B4211" s="5" t="s">
        <v>6078</v>
      </c>
      <c r="C4211" s="6" t="str">
        <f>_xll.QS.CONTEXT.CREATE("market.4209",A4211,"USD","SOFR")</f>
        <v>QSObject:PricingContext:w1~market.4209:13437</v>
      </c>
      <c r="D4211" s="6" t="str">
        <f>_xll.QS.CONTEXT.ADD.CURVE(C4211,"SOFR",$K$2:$K$7,$L$2:$L$7,,,"Actual360","LogLinear",TRUE)</f>
        <v>QSObject:ContextInput:w1~input.qs_context_add_curve.2359132437744.4210.3.0:36373</v>
      </c>
      <c r="E4211" s="6" t="str">
        <f>_xll.QS.INSTRUMENT.SWAP("swap.4209",H4211,B4211,"USD","SOFR",I4211,J4211,0,"Actual360","Simple","Annual","Annual","Annual")</f>
        <v>QSObject:Swap:w1~swap.4209:13436</v>
      </c>
      <c r="F4211" s="6" t="str">
        <f>_xll.QS.TRADE.CREATE("trade.4209",E4211,A4211,"Receive")</f>
        <v>QSObject:SwapTrade:w1~trade.4209:27618</v>
      </c>
      <c r="G4211" s="3">
        <f>_xll.QS.EVALUATE(C4211,F4211)</f>
        <v>25482.531632090475</v>
      </c>
      <c r="H4211" s="5" t="s">
        <v>4252</v>
      </c>
      <c r="I4211" s="7">
        <v>1420900</v>
      </c>
      <c r="J4211" s="8">
        <v>3.5900000000000001E-2</v>
      </c>
    </row>
    <row r="4212" spans="1:10" x14ac:dyDescent="0.25">
      <c r="A4212" s="5" t="s">
        <v>4246</v>
      </c>
      <c r="B4212" s="5" t="s">
        <v>6079</v>
      </c>
      <c r="C4212" s="6" t="str">
        <f>_xll.QS.CONTEXT.CREATE("market.4210",A4212,"USD","SOFR")</f>
        <v>QSObject:PricingContext:w1~market.4210:13435</v>
      </c>
      <c r="D4212" s="6" t="str">
        <f>_xll.QS.CONTEXT.ADD.CURVE(C4212,"SOFR",$K$2:$K$7,$L$2:$L$7,,,"Actual360","LogLinear",TRUE)</f>
        <v>QSObject:ContextInput:w1~input.qs_context_add_curve.2359132437744.4211.3.0:36372</v>
      </c>
      <c r="E4212" s="6" t="str">
        <f>_xll.QS.INSTRUMENT.SWAP("swap.4210",H4212,B4212,"USD","SOFR",I4212,J4212,0,"Actual360","Simple","Annual","Annual","Annual")</f>
        <v>QSObject:Swap:w1~swap.4210:13434</v>
      </c>
      <c r="F4212" s="6" t="str">
        <f>_xll.QS.TRADE.CREATE("trade.4210",E4212,A4212,"Receive")</f>
        <v>QSObject:SwapTrade:w1~trade.4210:27617</v>
      </c>
      <c r="G4212" s="3">
        <f>_xll.QS.EVALUATE(C4212,F4212)</f>
        <v>26201.568227604475</v>
      </c>
      <c r="H4212" s="5" t="s">
        <v>4253</v>
      </c>
      <c r="I4212" s="7">
        <v>1421000</v>
      </c>
      <c r="J4212" s="8">
        <v>3.5999999999999997E-2</v>
      </c>
    </row>
    <row r="4213" spans="1:10" x14ac:dyDescent="0.25">
      <c r="A4213" s="5" t="s">
        <v>4247</v>
      </c>
      <c r="B4213" s="5" t="s">
        <v>6080</v>
      </c>
      <c r="C4213" s="6" t="str">
        <f>_xll.QS.CONTEXT.CREATE("market.4211",A4213,"USD","SOFR")</f>
        <v>QSObject:PricingContext:w1~market.4211:13433</v>
      </c>
      <c r="D4213" s="6" t="str">
        <f>_xll.QS.CONTEXT.ADD.CURVE(C4213,"SOFR",$K$2:$K$7,$L$2:$L$7,,,"Actual360","LogLinear",TRUE)</f>
        <v>QSObject:ContextInput:w1~input.qs_context_add_curve.2359132437744.4212.3.0:36371</v>
      </c>
      <c r="E4213" s="6" t="str">
        <f>_xll.QS.INSTRUMENT.SWAP("swap.4211",H4213,B4213,"USD","SOFR",I4213,J4213,0,"Actual360","Simple","Annual","Annual","Annual")</f>
        <v>QSObject:Swap:w1~swap.4211:13432</v>
      </c>
      <c r="F4213" s="6" t="str">
        <f>_xll.QS.TRADE.CREATE("trade.4211",E4213,A4213,"Receive")</f>
        <v>QSObject:SwapTrade:w1~trade.4211:27616</v>
      </c>
      <c r="G4213" s="3">
        <f>_xll.QS.EVALUATE(C4213,F4213)</f>
        <v>26804.187495916813</v>
      </c>
      <c r="H4213" s="5" t="s">
        <v>4254</v>
      </c>
      <c r="I4213" s="7">
        <v>1421100</v>
      </c>
      <c r="J4213" s="8">
        <v>3.61E-2</v>
      </c>
    </row>
    <row r="4214" spans="1:10" x14ac:dyDescent="0.25">
      <c r="A4214" s="5" t="s">
        <v>4248</v>
      </c>
      <c r="B4214" s="5" t="s">
        <v>6081</v>
      </c>
      <c r="C4214" s="6" t="str">
        <f>_xll.QS.CONTEXT.CREATE("market.4212",A4214,"USD","SOFR")</f>
        <v>QSObject:PricingContext:w1~market.4212:13431</v>
      </c>
      <c r="D4214" s="6" t="str">
        <f>_xll.QS.CONTEXT.ADD.CURVE(C4214,"SOFR",$K$2:$K$7,$L$2:$L$7,,,"Actual360","LogLinear",TRUE)</f>
        <v>QSObject:ContextInput:w1~input.qs_context_add_curve.2359132437744.4213.3.0:36370</v>
      </c>
      <c r="E4214" s="6" t="str">
        <f>_xll.QS.INSTRUMENT.SWAP("swap.4212",H4214,B4214,"USD","SOFR",I4214,J4214,0,"Actual360","Simple","Annual","Annual","Annual")</f>
        <v>QSObject:Swap:w1~swap.4212:13430</v>
      </c>
      <c r="F4214" s="6" t="str">
        <f>_xll.QS.TRADE.CREATE("trade.4212",E4214,A4214,"Receive")</f>
        <v>QSObject:SwapTrade:w1~trade.4212:27615</v>
      </c>
      <c r="G4214" s="3">
        <f>_xll.QS.EVALUATE(C4214,F4214)</f>
        <v>27369.196982576352</v>
      </c>
      <c r="H4214" s="5" t="s">
        <v>4255</v>
      </c>
      <c r="I4214" s="7">
        <v>1421200</v>
      </c>
      <c r="J4214" s="8">
        <v>3.6200000000000003E-2</v>
      </c>
    </row>
    <row r="4215" spans="1:10" x14ac:dyDescent="0.25">
      <c r="A4215" s="5" t="s">
        <v>4249</v>
      </c>
      <c r="B4215" s="5" t="s">
        <v>6082</v>
      </c>
      <c r="C4215" s="6" t="str">
        <f>_xll.QS.CONTEXT.CREATE("market.4213",A4215,"USD","SOFR")</f>
        <v>QSObject:PricingContext:w1~market.4213:13429</v>
      </c>
      <c r="D4215" s="6" t="str">
        <f>_xll.QS.CONTEXT.ADD.CURVE(C4215,"SOFR",$K$2:$K$7,$L$2:$L$7,,,"Actual360","LogLinear",TRUE)</f>
        <v>QSObject:ContextInput:w1~input.qs_context_add_curve.2359132437744.4214.3.0:36369</v>
      </c>
      <c r="E4215" s="6" t="str">
        <f>_xll.QS.INSTRUMENT.SWAP("swap.4213",H4215,B4215,"USD","SOFR",I4215,J4215,0,"Actual360","Simple","Annual","Annual","Annual")</f>
        <v>QSObject:Swap:w1~swap.4213:13428</v>
      </c>
      <c r="F4215" s="6" t="str">
        <f>_xll.QS.TRADE.CREATE("trade.4213",E4215,A4215,"Receive")</f>
        <v>QSObject:SwapTrade:w1~trade.4213:27614</v>
      </c>
      <c r="G4215" s="3">
        <f>_xll.QS.EVALUATE(C4215,F4215)</f>
        <v>27907.901135072105</v>
      </c>
      <c r="H4215" s="5" t="s">
        <v>4256</v>
      </c>
      <c r="I4215" s="7">
        <v>1421300</v>
      </c>
      <c r="J4215" s="8">
        <v>3.6300000000000013E-2</v>
      </c>
    </row>
    <row r="4216" spans="1:10" x14ac:dyDescent="0.25">
      <c r="A4216" s="5" t="s">
        <v>4250</v>
      </c>
      <c r="B4216" s="5" t="s">
        <v>6083</v>
      </c>
      <c r="C4216" s="6" t="str">
        <f>_xll.QS.CONTEXT.CREATE("market.4214",A4216,"USD","SOFR")</f>
        <v>QSObject:PricingContext:w1~market.4214:13427</v>
      </c>
      <c r="D4216" s="6" t="str">
        <f>_xll.QS.CONTEXT.ADD.CURVE(C4216,"SOFR",$K$2:$K$7,$L$2:$L$7,,,"Actual360","LogLinear",TRUE)</f>
        <v>QSObject:ContextInput:w1~input.qs_context_add_curve.2359132437744.4215.3.0:36368</v>
      </c>
      <c r="E4216" s="6" t="str">
        <f>_xll.QS.INSTRUMENT.SWAP("swap.4214",H4216,B4216,"USD","SOFR",I4216,J4216,0,"Actual360","Simple","Annual","Annual","Annual")</f>
        <v>QSObject:Swap:w1~swap.4214:13426</v>
      </c>
      <c r="F4216" s="6" t="str">
        <f>_xll.QS.TRADE.CREATE("trade.4214",E4216,A4216,"Receive")</f>
        <v>QSObject:SwapTrade:w1~trade.4214:27613</v>
      </c>
      <c r="G4216" s="3">
        <f>_xll.QS.EVALUATE(C4216,F4216)</f>
        <v>28624.586831003333</v>
      </c>
      <c r="H4216" s="5" t="s">
        <v>4257</v>
      </c>
      <c r="I4216" s="7">
        <v>1421400</v>
      </c>
      <c r="J4216" s="8">
        <v>3.6400000000000002E-2</v>
      </c>
    </row>
    <row r="4217" spans="1:10" x14ac:dyDescent="0.25">
      <c r="A4217" s="5" t="s">
        <v>4251</v>
      </c>
      <c r="B4217" s="5" t="s">
        <v>6084</v>
      </c>
      <c r="C4217" s="6" t="str">
        <f>_xll.QS.CONTEXT.CREATE("market.4215",A4217,"USD","SOFR")</f>
        <v>QSObject:PricingContext:w1~market.4215:13425</v>
      </c>
      <c r="D4217" s="6" t="str">
        <f>_xll.QS.CONTEXT.ADD.CURVE(C4217,"SOFR",$K$2:$K$7,$L$2:$L$7,,,"Actual360","LogLinear",TRUE)</f>
        <v>QSObject:ContextInput:w1~input.qs_context_add_curve.2359132437744.4216.3.0:36367</v>
      </c>
      <c r="E4217" s="6" t="str">
        <f>_xll.QS.INSTRUMENT.SWAP("swap.4215",H4217,B4217,"USD","SOFR",I4217,J4217,0,"Actual360","Simple","Annual","Annual","Annual")</f>
        <v>QSObject:Swap:w1~swap.4215:13424</v>
      </c>
      <c r="F4217" s="6" t="str">
        <f>_xll.QS.TRADE.CREATE("trade.4215",E4217,A4217,"Receive")</f>
        <v>QSObject:SwapTrade:w1~trade.4215:27612</v>
      </c>
      <c r="G4217" s="3">
        <f>_xll.QS.EVALUATE(C4217,F4217)</f>
        <v>29322.323333589971</v>
      </c>
      <c r="H4217" s="5" t="s">
        <v>4258</v>
      </c>
      <c r="I4217" s="7">
        <v>1421500</v>
      </c>
      <c r="J4217" s="8">
        <v>3.6499999999999998E-2</v>
      </c>
    </row>
    <row r="4218" spans="1:10" x14ac:dyDescent="0.25">
      <c r="A4218" s="5" t="s">
        <v>4252</v>
      </c>
      <c r="B4218" s="5" t="s">
        <v>6085</v>
      </c>
      <c r="C4218" s="6" t="str">
        <f>_xll.QS.CONTEXT.CREATE("market.4216",A4218,"USD","SOFR")</f>
        <v>QSObject:PricingContext:w1~market.4216:13423</v>
      </c>
      <c r="D4218" s="6" t="str">
        <f>_xll.QS.CONTEXT.ADD.CURVE(C4218,"SOFR",$K$2:$K$7,$L$2:$L$7,,,"Actual360","LogLinear",TRUE)</f>
        <v>QSObject:ContextInput:w1~input.qs_context_add_curve.2359132437744.4217.3.0:36366</v>
      </c>
      <c r="E4218" s="6" t="str">
        <f>_xll.QS.INSTRUMENT.SWAP("swap.4216",H4218,B4218,"USD","SOFR",I4218,J4218,0,"Actual360","Simple","Annual","Annual","Annual")</f>
        <v>QSObject:Swap:w1~swap.4216:13422</v>
      </c>
      <c r="F4218" s="6" t="str">
        <f>_xll.QS.TRADE.CREATE("trade.4216",E4218,A4218,"Receive")</f>
        <v>QSObject:SwapTrade:w1~trade.4216:27611</v>
      </c>
      <c r="G4218" s="3">
        <f>_xll.QS.EVALUATE(C4218,F4218)</f>
        <v>30083.970885613729</v>
      </c>
      <c r="H4218" s="5" t="s">
        <v>4259</v>
      </c>
      <c r="I4218" s="7">
        <v>1421600</v>
      </c>
      <c r="J4218" s="8">
        <v>3.6600000000000001E-2</v>
      </c>
    </row>
    <row r="4219" spans="1:10" x14ac:dyDescent="0.25">
      <c r="A4219" s="5" t="s">
        <v>4253</v>
      </c>
      <c r="B4219" s="5" t="s">
        <v>6086</v>
      </c>
      <c r="C4219" s="6" t="str">
        <f>_xll.QS.CONTEXT.CREATE("market.4217",A4219,"USD","SOFR")</f>
        <v>QSObject:PricingContext:w1~market.4217:13421</v>
      </c>
      <c r="D4219" s="6" t="str">
        <f>_xll.QS.CONTEXT.ADD.CURVE(C4219,"SOFR",$K$2:$K$7,$L$2:$L$7,,,"Actual360","LogLinear",TRUE)</f>
        <v>QSObject:ContextInput:w1~input.qs_context_add_curve.2359132437744.4218.3.0:36365</v>
      </c>
      <c r="E4219" s="6" t="str">
        <f>_xll.QS.INSTRUMENT.SWAP("swap.4217",H4219,B4219,"USD","SOFR",I4219,J4219,0,"Actual360","Simple","Annual","Annual","Annual")</f>
        <v>QSObject:Swap:w1~swap.4217:13420</v>
      </c>
      <c r="F4219" s="6" t="str">
        <f>_xll.QS.TRADE.CREATE("trade.4217",E4219,A4219,"Receive")</f>
        <v>QSObject:SwapTrade:w1~trade.4217:27610</v>
      </c>
      <c r="G4219" s="3">
        <f>_xll.QS.EVALUATE(C4219,F4219)</f>
        <v>30803.736278902157</v>
      </c>
      <c r="H4219" s="5" t="s">
        <v>4260</v>
      </c>
      <c r="I4219" s="7">
        <v>1421700</v>
      </c>
      <c r="J4219" s="8">
        <v>3.6700000000000003E-2</v>
      </c>
    </row>
    <row r="4220" spans="1:10" x14ac:dyDescent="0.25">
      <c r="A4220" s="5" t="s">
        <v>4254</v>
      </c>
      <c r="B4220" s="5" t="s">
        <v>6087</v>
      </c>
      <c r="C4220" s="6" t="str">
        <f>_xll.QS.CONTEXT.CREATE("market.4218",A4220,"USD","SOFR")</f>
        <v>QSObject:PricingContext:w1~market.4218:13419</v>
      </c>
      <c r="D4220" s="6" t="str">
        <f>_xll.QS.CONTEXT.ADD.CURVE(C4220,"SOFR",$K$2:$K$7,$L$2:$L$7,,,"Actual360","LogLinear",TRUE)</f>
        <v>QSObject:ContextInput:w1~input.qs_context_add_curve.2359132437744.4219.3.0:36364</v>
      </c>
      <c r="E4220" s="6" t="str">
        <f>_xll.QS.INSTRUMENT.SWAP("swap.4218",H4220,B4220,"USD","SOFR",I4220,J4220,0,"Actual360","Simple","Annual","Annual","Annual")</f>
        <v>QSObject:Swap:w1~swap.4218:13418</v>
      </c>
      <c r="F4220" s="6" t="str">
        <f>_xll.QS.TRADE.CREATE("trade.4218",E4220,A4220,"Receive")</f>
        <v>QSObject:SwapTrade:w1~trade.4218:27609</v>
      </c>
      <c r="G4220" s="3">
        <f>_xll.QS.EVALUATE(C4220,F4220)</f>
        <v>31406.923856665264</v>
      </c>
      <c r="H4220" s="5" t="s">
        <v>4261</v>
      </c>
      <c r="I4220" s="7">
        <v>1421800</v>
      </c>
      <c r="J4220" s="8">
        <v>3.6800000000000013E-2</v>
      </c>
    </row>
    <row r="4221" spans="1:10" x14ac:dyDescent="0.25">
      <c r="A4221" s="5" t="s">
        <v>4255</v>
      </c>
      <c r="B4221" s="5" t="s">
        <v>6088</v>
      </c>
      <c r="C4221" s="6" t="str">
        <f>_xll.QS.CONTEXT.CREATE("market.4219",A4221,"USD","SOFR")</f>
        <v>QSObject:PricingContext:w1~market.4219:13417</v>
      </c>
      <c r="D4221" s="6" t="str">
        <f>_xll.QS.CONTEXT.ADD.CURVE(C4221,"SOFR",$K$2:$K$7,$L$2:$L$7,,,"Actual360","LogLinear",TRUE)</f>
        <v>QSObject:ContextInput:w1~input.qs_context_add_curve.2359132437744.4220.3.0:36363</v>
      </c>
      <c r="E4221" s="6" t="str">
        <f>_xll.QS.INSTRUMENT.SWAP("swap.4219",H4221,B4221,"USD","SOFR",I4221,J4221,0,"Actual360","Simple","Annual","Annual","Annual")</f>
        <v>QSObject:Swap:w1~swap.4219:13416</v>
      </c>
      <c r="F4221" s="6" t="str">
        <f>_xll.QS.TRADE.CREATE("trade.4219",E4221,A4221,"Receive")</f>
        <v>QSObject:SwapTrade:w1~trade.4219:27608</v>
      </c>
      <c r="G4221" s="3">
        <f>_xll.QS.EVALUATE(C4221,F4221)</f>
        <v>31967.128235082979</v>
      </c>
      <c r="H4221" s="5" t="s">
        <v>4262</v>
      </c>
      <c r="I4221" s="7">
        <v>1421900</v>
      </c>
      <c r="J4221" s="8">
        <v>3.6900000000000002E-2</v>
      </c>
    </row>
    <row r="4222" spans="1:10" x14ac:dyDescent="0.25">
      <c r="A4222" s="5" t="s">
        <v>4256</v>
      </c>
      <c r="B4222" s="5" t="s">
        <v>6089</v>
      </c>
      <c r="C4222" s="6" t="str">
        <f>_xll.QS.CONTEXT.CREATE("market.4220",A4222,"USD","SOFR")</f>
        <v>QSObject:PricingContext:w1~market.4220:13415</v>
      </c>
      <c r="D4222" s="6" t="str">
        <f>_xll.QS.CONTEXT.ADD.CURVE(C4222,"SOFR",$K$2:$K$7,$L$2:$L$7,,,"Actual360","LogLinear",TRUE)</f>
        <v>QSObject:ContextInput:w1~input.qs_context_add_curve.2359132437744.4221.3.0:36362</v>
      </c>
      <c r="E4222" s="6" t="str">
        <f>_xll.QS.INSTRUMENT.SWAP("swap.4220",H4222,B4222,"USD","SOFR",I4222,J4222,0,"Actual360","Simple","Annual","Annual","Annual")</f>
        <v>QSObject:Swap:w1~swap.4220:13414</v>
      </c>
      <c r="F4222" s="6" t="str">
        <f>_xll.QS.TRADE.CREATE("trade.4220",E4222,A4222,"Receive")</f>
        <v>QSObject:SwapTrade:w1~trade.4220:27607</v>
      </c>
      <c r="G4222" s="3">
        <f>_xll.QS.EVALUATE(C4222,F4222)</f>
        <v>32513.535453562195</v>
      </c>
      <c r="H4222" s="5" t="s">
        <v>4263</v>
      </c>
      <c r="I4222" s="7">
        <v>1422000</v>
      </c>
      <c r="J4222" s="8">
        <v>3.7000000000000012E-2</v>
      </c>
    </row>
    <row r="4223" spans="1:10" x14ac:dyDescent="0.25">
      <c r="A4223" s="5" t="s">
        <v>4257</v>
      </c>
      <c r="B4223" s="5" t="s">
        <v>6090</v>
      </c>
      <c r="C4223" s="6" t="str">
        <f>_xll.QS.CONTEXT.CREATE("market.4221",A4223,"USD","SOFR")</f>
        <v>QSObject:PricingContext:w1~market.4221:13413</v>
      </c>
      <c r="D4223" s="6" t="str">
        <f>_xll.QS.CONTEXT.ADD.CURVE(C4223,"SOFR",$K$2:$K$7,$L$2:$L$7,,,"Actual360","LogLinear",TRUE)</f>
        <v>QSObject:ContextInput:w1~input.qs_context_add_curve.2359132437744.4222.3.0:36361</v>
      </c>
      <c r="E4223" s="6" t="str">
        <f>_xll.QS.INSTRUMENT.SWAP("swap.4221",H4223,B4223,"USD","SOFR",I4223,J4223,0,"Actual360","Simple","Annual","Annual","Annual")</f>
        <v>QSObject:Swap:w1~swap.4221:13412</v>
      </c>
      <c r="F4223" s="6" t="str">
        <f>_xll.QS.TRADE.CREATE("trade.4221",E4223,A4223,"Receive")</f>
        <v>QSObject:SwapTrade:w1~trade.4221:27606</v>
      </c>
      <c r="G4223" s="3">
        <f>_xll.QS.EVALUATE(C4223,F4223)</f>
        <v>33231.473937826595</v>
      </c>
      <c r="H4223" s="5" t="s">
        <v>4264</v>
      </c>
      <c r="I4223" s="7">
        <v>1422100</v>
      </c>
      <c r="J4223" s="8">
        <v>3.7100000000000001E-2</v>
      </c>
    </row>
    <row r="4224" spans="1:10" x14ac:dyDescent="0.25">
      <c r="A4224" s="5" t="s">
        <v>4258</v>
      </c>
      <c r="B4224" s="5" t="s">
        <v>6091</v>
      </c>
      <c r="C4224" s="6" t="str">
        <f>_xll.QS.CONTEXT.CREATE("market.4222",A4224,"USD","SOFR")</f>
        <v>QSObject:PricingContext:w1~market.4222:13411</v>
      </c>
      <c r="D4224" s="6" t="str">
        <f>_xll.QS.CONTEXT.ADD.CURVE(C4224,"SOFR",$K$2:$K$7,$L$2:$L$7,,,"Actual360","LogLinear",TRUE)</f>
        <v>QSObject:ContextInput:w1~input.qs_context_add_curve.2359132437744.4223.3.0:36360</v>
      </c>
      <c r="E4224" s="6" t="str">
        <f>_xll.QS.INSTRUMENT.SWAP("swap.4222",H4224,B4224,"USD","SOFR",I4224,J4224,0,"Actual360","Simple","Annual","Annual","Annual")</f>
        <v>QSObject:Swap:w1~swap.4222:13410</v>
      </c>
      <c r="F4224" s="6" t="str">
        <f>_xll.QS.TRADE.CREATE("trade.4222",E4224,A4224,"Receive")</f>
        <v>QSObject:SwapTrade:w1~trade.4222:27605</v>
      </c>
      <c r="G4224" s="3">
        <f>_xll.QS.EVALUATE(C4224,F4224)</f>
        <v>33927.898851454724</v>
      </c>
      <c r="H4224" s="5" t="s">
        <v>4265</v>
      </c>
      <c r="I4224" s="7">
        <v>1422200</v>
      </c>
      <c r="J4224" s="8">
        <v>3.7199999999999997E-2</v>
      </c>
    </row>
    <row r="4225" spans="1:10" x14ac:dyDescent="0.25">
      <c r="A4225" s="5" t="s">
        <v>4259</v>
      </c>
      <c r="B4225" s="5" t="s">
        <v>6092</v>
      </c>
      <c r="C4225" s="6" t="str">
        <f>_xll.QS.CONTEXT.CREATE("market.4223",A4225,"USD","SOFR")</f>
        <v>QSObject:PricingContext:w1~market.4223:13409</v>
      </c>
      <c r="D4225" s="6" t="str">
        <f>_xll.QS.CONTEXT.ADD.CURVE(C4225,"SOFR",$K$2:$K$7,$L$2:$L$7,,,"Actual360","LogLinear",TRUE)</f>
        <v>QSObject:ContextInput:w1~input.qs_context_add_curve.2359132437744.4224.3.0:36359</v>
      </c>
      <c r="E4225" s="6" t="str">
        <f>_xll.QS.INSTRUMENT.SWAP("swap.4223",H4225,B4225,"USD","SOFR",I4225,J4225,0,"Actual360","Simple","Annual","Annual","Annual")</f>
        <v>QSObject:Swap:w1~swap.4223:13408</v>
      </c>
      <c r="F4225" s="6" t="str">
        <f>_xll.QS.TRADE.CREATE("trade.4223",E4225,A4225,"Receive")</f>
        <v>QSObject:SwapTrade:w1~trade.4223:27604</v>
      </c>
      <c r="G4225" s="3">
        <f>_xll.QS.EVALUATE(C4225,F4225)</f>
        <v>34689.929300334305</v>
      </c>
      <c r="H4225" s="5" t="s">
        <v>4266</v>
      </c>
      <c r="I4225" s="7">
        <v>1422300</v>
      </c>
      <c r="J4225" s="8">
        <v>3.73E-2</v>
      </c>
    </row>
    <row r="4226" spans="1:10" x14ac:dyDescent="0.25">
      <c r="A4226" s="5" t="s">
        <v>4260</v>
      </c>
      <c r="B4226" s="5" t="s">
        <v>6093</v>
      </c>
      <c r="C4226" s="6" t="str">
        <f>_xll.QS.CONTEXT.CREATE("market.4224",A4226,"USD","SOFR")</f>
        <v>QSObject:PricingContext:w1~market.4224:13407</v>
      </c>
      <c r="D4226" s="6" t="str">
        <f>_xll.QS.CONTEXT.ADD.CURVE(C4226,"SOFR",$K$2:$K$7,$L$2:$L$7,,,"Actual360","LogLinear",TRUE)</f>
        <v>QSObject:ContextInput:w1~input.qs_context_add_curve.2359132437744.4225.3.0:36358</v>
      </c>
      <c r="E4226" s="6" t="str">
        <f>_xll.QS.INSTRUMENT.SWAP("swap.4224",H4226,B4226,"USD","SOFR",I4226,J4226,0,"Actual360","Simple","Annual","Annual","Annual")</f>
        <v>QSObject:Swap:w1~swap.4224:13406</v>
      </c>
      <c r="F4226" s="6" t="str">
        <f>_xll.QS.TRADE.CREATE("trade.4224",E4226,A4226,"Receive")</f>
        <v>QSObject:SwapTrade:w1~trade.4224:27603</v>
      </c>
      <c r="G4226" s="3">
        <f>_xll.QS.EVALUATE(C4226,F4226)</f>
        <v>35410.253722238769</v>
      </c>
      <c r="H4226" s="5" t="s">
        <v>4267</v>
      </c>
      <c r="I4226" s="7">
        <v>1422400</v>
      </c>
      <c r="J4226" s="8">
        <v>3.7400000000000003E-2</v>
      </c>
    </row>
    <row r="4227" spans="1:10" x14ac:dyDescent="0.25">
      <c r="A4227" s="5" t="s">
        <v>4261</v>
      </c>
      <c r="B4227" s="5" t="s">
        <v>6094</v>
      </c>
      <c r="C4227" s="6" t="str">
        <f>_xll.QS.CONTEXT.CREATE("market.4225",A4227,"USD","SOFR")</f>
        <v>QSObject:PricingContext:w1~market.4225:13405</v>
      </c>
      <c r="D4227" s="6" t="str">
        <f>_xll.QS.CONTEXT.ADD.CURVE(C4227,"SOFR",$K$2:$K$7,$L$2:$L$7,,,"Actual360","LogLinear",TRUE)</f>
        <v>QSObject:ContextInput:w1~input.qs_context_add_curve.2359132437744.4226.3.0:36357</v>
      </c>
      <c r="E4227" s="6" t="str">
        <f>_xll.QS.INSTRUMENT.SWAP("swap.4225",H4227,B4227,"USD","SOFR",I4227,J4227,0,"Actual360","Simple","Annual","Annual","Annual")</f>
        <v>QSObject:Swap:w1~swap.4225:13404</v>
      </c>
      <c r="F4227" s="6" t="str">
        <f>_xll.QS.TRADE.CREATE("trade.4225",E4227,A4227,"Receive")</f>
        <v>QSObject:SwapTrade:w1~trade.4225:27602</v>
      </c>
      <c r="G4227" s="3">
        <f>_xll.QS.EVALUATE(C4227,F4227)</f>
        <v>36013.752666972177</v>
      </c>
      <c r="H4227" s="5" t="s">
        <v>4268</v>
      </c>
      <c r="I4227" s="7">
        <v>1422500</v>
      </c>
      <c r="J4227" s="8">
        <v>3.7500000000000012E-2</v>
      </c>
    </row>
    <row r="4228" spans="1:10" x14ac:dyDescent="0.25">
      <c r="A4228" s="5" t="s">
        <v>4262</v>
      </c>
      <c r="B4228" s="5" t="s">
        <v>6095</v>
      </c>
      <c r="C4228" s="6" t="str">
        <f>_xll.QS.CONTEXT.CREATE("market.4226",A4228,"USD","SOFR")</f>
        <v>QSObject:PricingContext:w1~market.4226:13403</v>
      </c>
      <c r="D4228" s="6" t="str">
        <f>_xll.QS.CONTEXT.ADD.CURVE(C4228,"SOFR",$K$2:$K$7,$L$2:$L$7,,,"Actual360","LogLinear",TRUE)</f>
        <v>QSObject:ContextInput:w1~input.qs_context_add_curve.2359132437744.4227.3.0:36356</v>
      </c>
      <c r="E4228" s="6" t="str">
        <f>_xll.QS.INSTRUMENT.SWAP("swap.4226",H4228,B4228,"USD","SOFR",I4228,J4228,0,"Actual360","Simple","Annual","Annual","Annual")</f>
        <v>QSObject:Swap:w1~swap.4226:13402</v>
      </c>
      <c r="F4228" s="6" t="str">
        <f>_xll.QS.TRADE.CREATE("trade.4226",E4228,A4228,"Receive")</f>
        <v>QSObject:SwapTrade:w1~trade.4226:27601</v>
      </c>
      <c r="G4228" s="3">
        <f>_xll.QS.EVALUATE(C4228,F4228)</f>
        <v>36569.097742610677</v>
      </c>
      <c r="H4228" s="5" t="s">
        <v>4269</v>
      </c>
      <c r="I4228" s="7">
        <v>1422600</v>
      </c>
      <c r="J4228" s="8">
        <v>3.7600000000000001E-2</v>
      </c>
    </row>
    <row r="4229" spans="1:10" x14ac:dyDescent="0.25">
      <c r="A4229" s="5" t="s">
        <v>4263</v>
      </c>
      <c r="B4229" s="5" t="s">
        <v>6096</v>
      </c>
      <c r="C4229" s="6" t="str">
        <f>_xll.QS.CONTEXT.CREATE("market.4227",A4229,"USD","SOFR")</f>
        <v>QSObject:PricingContext:w1~market.4227:13401</v>
      </c>
      <c r="D4229" s="6" t="str">
        <f>_xll.QS.CONTEXT.ADD.CURVE(C4229,"SOFR",$K$2:$K$7,$L$2:$L$7,,,"Actual360","LogLinear",TRUE)</f>
        <v>QSObject:ContextInput:w1~input.qs_context_add_curve.2359132437744.4228.3.0:36355</v>
      </c>
      <c r="E4229" s="6" t="str">
        <f>_xll.QS.INSTRUMENT.SWAP("swap.4227",H4229,B4229,"USD","SOFR",I4229,J4229,0,"Actual360","Simple","Annual","Annual","Annual")</f>
        <v>QSObject:Swap:w1~swap.4227:13400</v>
      </c>
      <c r="F4229" s="6" t="str">
        <f>_xll.QS.TRADE.CREATE("trade.4227",E4229,A4229,"Receive")</f>
        <v>QSObject:SwapTrade:w1~trade.4227:27600</v>
      </c>
      <c r="G4229" s="3">
        <f>_xll.QS.EVALUATE(C4229,F4229)</f>
        <v>37123.0686810029</v>
      </c>
      <c r="H4229" s="5" t="s">
        <v>4270</v>
      </c>
      <c r="I4229" s="7">
        <v>1422700</v>
      </c>
      <c r="J4229" s="8">
        <v>3.7699999999999997E-2</v>
      </c>
    </row>
    <row r="4230" spans="1:10" x14ac:dyDescent="0.25">
      <c r="A4230" s="5" t="s">
        <v>4264</v>
      </c>
      <c r="B4230" s="5" t="s">
        <v>6097</v>
      </c>
      <c r="C4230" s="6" t="str">
        <f>_xll.QS.CONTEXT.CREATE("market.4228",A4230,"USD","SOFR")</f>
        <v>QSObject:PricingContext:w1~market.4228:13399</v>
      </c>
      <c r="D4230" s="6" t="str">
        <f>_xll.QS.CONTEXT.ADD.CURVE(C4230,"SOFR",$K$2:$K$7,$L$2:$L$7,,,"Actual360","LogLinear",TRUE)</f>
        <v>QSObject:ContextInput:w1~input.qs_context_add_curve.2359132437744.4229.3.0:36354</v>
      </c>
      <c r="E4230" s="6" t="str">
        <f>_xll.QS.INSTRUMENT.SWAP("swap.4228",H4230,B4230,"USD","SOFR",I4230,J4230,0,"Actual360","Simple","Annual","Annual","Annual")</f>
        <v>QSObject:Swap:w1~swap.4228:13398</v>
      </c>
      <c r="F4230" s="6" t="str">
        <f>_xll.QS.TRADE.CREATE("trade.4228",E4230,A4230,"Receive")</f>
        <v>QSObject:SwapTrade:w1~trade.4228:27599</v>
      </c>
      <c r="G4230" s="3">
        <f>_xll.QS.EVALUATE(C4230,F4230)</f>
        <v>37842.616218458679</v>
      </c>
      <c r="H4230" s="5" t="s">
        <v>4271</v>
      </c>
      <c r="I4230" s="7">
        <v>1422800</v>
      </c>
      <c r="J4230" s="8">
        <v>3.78E-2</v>
      </c>
    </row>
    <row r="4231" spans="1:10" x14ac:dyDescent="0.25">
      <c r="A4231" s="5" t="s">
        <v>4265</v>
      </c>
      <c r="B4231" s="5" t="s">
        <v>6098</v>
      </c>
      <c r="C4231" s="6" t="str">
        <f>_xll.QS.CONTEXT.CREATE("market.4229",A4231,"USD","SOFR")</f>
        <v>QSObject:PricingContext:w1~market.4229:13397</v>
      </c>
      <c r="D4231" s="6" t="str">
        <f>_xll.QS.CONTEXT.ADD.CURVE(C4231,"SOFR",$K$2:$K$7,$L$2:$L$7,,,"Actual360","LogLinear",TRUE)</f>
        <v>QSObject:ContextInput:w1~input.qs_context_add_curve.2359132437744.4230.3.0:36353</v>
      </c>
      <c r="E4231" s="6" t="str">
        <f>_xll.QS.INSTRUMENT.SWAP("swap.4229",H4231,B4231,"USD","SOFR",I4231,J4231,0,"Actual360","Simple","Annual","Annual","Annual")</f>
        <v>QSObject:Swap:w1~swap.4229:13396</v>
      </c>
      <c r="F4231" s="6" t="str">
        <f>_xll.QS.TRADE.CREATE("trade.4229",E4231,A4231,"Receive")</f>
        <v>QSObject:SwapTrade:w1~trade.4229:27598</v>
      </c>
      <c r="G4231" s="3">
        <f>_xll.QS.EVALUATE(C4231,F4231)</f>
        <v>38537.220319107451</v>
      </c>
      <c r="H4231" s="5" t="s">
        <v>4272</v>
      </c>
      <c r="I4231" s="7">
        <v>1422900</v>
      </c>
      <c r="J4231" s="8">
        <v>3.7900000000000003E-2</v>
      </c>
    </row>
    <row r="4232" spans="1:10" x14ac:dyDescent="0.25">
      <c r="A4232" s="5" t="s">
        <v>4266</v>
      </c>
      <c r="B4232" s="5" t="s">
        <v>6099</v>
      </c>
      <c r="C4232" s="6" t="str">
        <f>_xll.QS.CONTEXT.CREATE("market.4230",A4232,"USD","SOFR")</f>
        <v>QSObject:PricingContext:w1~market.4230:13395</v>
      </c>
      <c r="D4232" s="6" t="str">
        <f>_xll.QS.CONTEXT.ADD.CURVE(C4232,"SOFR",$K$2:$K$7,$L$2:$L$7,,,"Actual360","LogLinear",TRUE)</f>
        <v>QSObject:ContextInput:w1~input.qs_context_add_curve.2359132437744.4231.3.0:36352</v>
      </c>
      <c r="E4232" s="6" t="str">
        <f>_xll.QS.INSTRUMENT.SWAP("swap.4230",H4232,B4232,"USD","SOFR",I4232,J4232,0,"Actual360","Simple","Annual","Annual","Annual")</f>
        <v>QSObject:Swap:w1~swap.4230:13394</v>
      </c>
      <c r="F4232" s="6" t="str">
        <f>_xll.QS.TRADE.CREATE("trade.4230",E4232,A4232,"Receive")</f>
        <v>QSObject:SwapTrade:w1~trade.4230:27597</v>
      </c>
      <c r="G4232" s="3">
        <f>_xll.QS.EVALUATE(C4232,F4232)</f>
        <v>39300.40687625268</v>
      </c>
      <c r="H4232" s="5" t="s">
        <v>4273</v>
      </c>
      <c r="I4232" s="7">
        <v>1423000</v>
      </c>
      <c r="J4232" s="8">
        <v>3.8000000000000013E-2</v>
      </c>
    </row>
    <row r="4233" spans="1:10" x14ac:dyDescent="0.25">
      <c r="A4233" s="5" t="s">
        <v>4267</v>
      </c>
      <c r="B4233" s="5" t="s">
        <v>6100</v>
      </c>
      <c r="C4233" s="6" t="str">
        <f>_xll.QS.CONTEXT.CREATE("market.4231",A4233,"USD","SOFR")</f>
        <v>QSObject:PricingContext:w1~market.4231:13393</v>
      </c>
      <c r="D4233" s="6" t="str">
        <f>_xll.QS.CONTEXT.ADD.CURVE(C4233,"SOFR",$K$2:$K$7,$L$2:$L$7,,,"Actual360","LogLinear",TRUE)</f>
        <v>QSObject:ContextInput:w1~input.qs_context_add_curve.2359132437744.4232.3.0:36351</v>
      </c>
      <c r="E4233" s="6" t="str">
        <f>_xll.QS.INSTRUMENT.SWAP("swap.4231",H4233,B4233,"USD","SOFR",I4233,J4233,0,"Actual360","Simple","Annual","Annual","Annual")</f>
        <v>QSObject:Swap:w1~swap.4231:13392</v>
      </c>
      <c r="F4233" s="6" t="str">
        <f>_xll.QS.TRADE.CREATE("trade.4231",E4233,A4233,"Receive")</f>
        <v>QSObject:SwapTrade:w1~trade.4231:27596</v>
      </c>
      <c r="G4233" s="3">
        <f>_xll.QS.EVALUATE(C4233,F4233)</f>
        <v>40021.630020713856</v>
      </c>
      <c r="H4233" s="5" t="s">
        <v>4274</v>
      </c>
      <c r="I4233" s="7">
        <v>1423100</v>
      </c>
      <c r="J4233" s="8">
        <v>3.8100000000000002E-2</v>
      </c>
    </row>
    <row r="4234" spans="1:10" x14ac:dyDescent="0.25">
      <c r="A4234" s="5" t="s">
        <v>4268</v>
      </c>
      <c r="B4234" s="5" t="s">
        <v>6101</v>
      </c>
      <c r="C4234" s="6" t="str">
        <f>_xll.QS.CONTEXT.CREATE("market.4232",A4234,"USD","SOFR")</f>
        <v>QSObject:PricingContext:w1~market.4232:13391</v>
      </c>
      <c r="D4234" s="6" t="str">
        <f>_xll.QS.CONTEXT.ADD.CURVE(C4234,"SOFR",$K$2:$K$7,$L$2:$L$7,,,"Actual360","LogLinear",TRUE)</f>
        <v>QSObject:ContextInput:w1~input.qs_context_add_curve.2359132437744.4233.3.0:36350</v>
      </c>
      <c r="E4234" s="6" t="str">
        <f>_xll.QS.INSTRUMENT.SWAP("swap.4232",H4234,B4234,"USD","SOFR",I4234,J4234,0,"Actual360","Simple","Annual","Annual","Annual")</f>
        <v>QSObject:Swap:w1~swap.4232:13390</v>
      </c>
      <c r="F4234" s="6" t="str">
        <f>_xll.QS.TRADE.CREATE("trade.4232",E4234,A4234,"Receive")</f>
        <v>QSObject:SwapTrade:w1~trade.4232:27595</v>
      </c>
      <c r="G4234" s="3">
        <f>_xll.QS.EVALUATE(C4234,F4234)</f>
        <v>40625.954068440507</v>
      </c>
      <c r="H4234" s="5" t="s">
        <v>4275</v>
      </c>
      <c r="I4234" s="7">
        <v>1423200</v>
      </c>
      <c r="J4234" s="8">
        <v>3.8199999999999998E-2</v>
      </c>
    </row>
    <row r="4235" spans="1:10" x14ac:dyDescent="0.25">
      <c r="A4235" s="5" t="s">
        <v>4269</v>
      </c>
      <c r="B4235" s="5" t="s">
        <v>6102</v>
      </c>
      <c r="C4235" s="6" t="str">
        <f>_xll.QS.CONTEXT.CREATE("market.4233",A4235,"USD","SOFR")</f>
        <v>QSObject:PricingContext:w1~market.4233:13389</v>
      </c>
      <c r="D4235" s="6" t="str">
        <f>_xll.QS.CONTEXT.ADD.CURVE(C4235,"SOFR",$K$2:$K$7,$L$2:$L$7,,,"Actual360","LogLinear",TRUE)</f>
        <v>QSObject:ContextInput:w1~input.qs_context_add_curve.2359132437744.4234.3.0:36349</v>
      </c>
      <c r="E4235" s="6" t="str">
        <f>_xll.QS.INSTRUMENT.SWAP("swap.4233",H4235,B4235,"USD","SOFR",I4235,J4235,0,"Actual360","Simple","Annual","Annual","Annual")</f>
        <v>QSObject:Swap:w1~swap.4233:13388</v>
      </c>
      <c r="F4235" s="6" t="str">
        <f>_xll.QS.TRADE.CREATE("trade.4233",E4235,A4235,"Receive")</f>
        <v>QSObject:SwapTrade:w1~trade.4233:27594</v>
      </c>
      <c r="G4235" s="3">
        <f>_xll.QS.EVALUATE(C4235,F4235)</f>
        <v>41176.532264327652</v>
      </c>
      <c r="H4235" s="5" t="s">
        <v>4276</v>
      </c>
      <c r="I4235" s="7">
        <v>1423300</v>
      </c>
      <c r="J4235" s="8">
        <v>3.8300000000000001E-2</v>
      </c>
    </row>
    <row r="4236" spans="1:10" x14ac:dyDescent="0.25">
      <c r="A4236" s="5" t="s">
        <v>4270</v>
      </c>
      <c r="B4236" s="5" t="s">
        <v>6103</v>
      </c>
      <c r="C4236" s="6" t="str">
        <f>_xll.QS.CONTEXT.CREATE("market.4234",A4236,"USD","SOFR")</f>
        <v>QSObject:PricingContext:w1~market.4234:13387</v>
      </c>
      <c r="D4236" s="6" t="str">
        <f>_xll.QS.CONTEXT.ADD.CURVE(C4236,"SOFR",$K$2:$K$7,$L$2:$L$7,,,"Actual360","LogLinear",TRUE)</f>
        <v>QSObject:ContextInput:w1~input.qs_context_add_curve.2359132437744.4235.3.0:36348</v>
      </c>
      <c r="E4236" s="6" t="str">
        <f>_xll.QS.INSTRUMENT.SWAP("swap.4234",H4236,B4236,"USD","SOFR",I4236,J4236,0,"Actual360","Simple","Annual","Annual","Annual")</f>
        <v>QSObject:Swap:w1~swap.4234:13386</v>
      </c>
      <c r="F4236" s="6" t="str">
        <f>_xll.QS.TRADE.CREATE("trade.4234",E4236,A4236,"Receive")</f>
        <v>QSObject:SwapTrade:w1~trade.4234:27593</v>
      </c>
      <c r="G4236" s="3">
        <f>_xll.QS.EVALUATE(C4236,F4236)</f>
        <v>41738.366633326834</v>
      </c>
      <c r="H4236" s="5" t="s">
        <v>4277</v>
      </c>
      <c r="I4236" s="7">
        <v>1423400</v>
      </c>
      <c r="J4236" s="8">
        <v>3.8399999999999997E-2</v>
      </c>
    </row>
    <row r="4237" spans="1:10" x14ac:dyDescent="0.25">
      <c r="A4237" s="5" t="s">
        <v>4271</v>
      </c>
      <c r="B4237" s="5" t="s">
        <v>6104</v>
      </c>
      <c r="C4237" s="6" t="str">
        <f>_xll.QS.CONTEXT.CREATE("market.4235",A4237,"USD","SOFR")</f>
        <v>QSObject:PricingContext:w1~market.4235:13385</v>
      </c>
      <c r="D4237" s="6" t="str">
        <f>_xll.QS.CONTEXT.ADD.CURVE(C4237,"SOFR",$K$2:$K$7,$L$2:$L$7,,,"Actual360","LogLinear",TRUE)</f>
        <v>QSObject:ContextInput:w1~input.qs_context_add_curve.2359132437744.4236.3.0:36347</v>
      </c>
      <c r="E4237" s="6" t="str">
        <f>_xll.QS.INSTRUMENT.SWAP("swap.4235",H4237,B4237,"USD","SOFR",I4237,J4237,0,"Actual360","Simple","Annual","Annual","Annual")</f>
        <v>QSObject:Swap:w1~swap.4235:13384</v>
      </c>
      <c r="F4237" s="6" t="str">
        <f>_xll.QS.TRADE.CREATE("trade.4235",E4237,A4237,"Receive")</f>
        <v>QSObject:SwapTrade:w1~trade.4235:27592</v>
      </c>
      <c r="G4237" s="3">
        <f>_xll.QS.EVALUATE(C4237,F4237)</f>
        <v>42458.412840460522</v>
      </c>
      <c r="H4237" s="5" t="s">
        <v>4278</v>
      </c>
      <c r="I4237" s="7">
        <v>1423500</v>
      </c>
      <c r="J4237" s="8">
        <v>3.8500000000000013E-2</v>
      </c>
    </row>
    <row r="4238" spans="1:10" x14ac:dyDescent="0.25">
      <c r="A4238" s="5" t="s">
        <v>4272</v>
      </c>
      <c r="B4238" s="5" t="s">
        <v>6105</v>
      </c>
      <c r="C4238" s="6" t="str">
        <f>_xll.QS.CONTEXT.CREATE("market.4236",A4238,"USD","SOFR")</f>
        <v>QSObject:PricingContext:w1~market.4236:13383</v>
      </c>
      <c r="D4238" s="6" t="str">
        <f>_xll.QS.CONTEXT.ADD.CURVE(C4238,"SOFR",$K$2:$K$7,$L$2:$L$7,,,"Actual360","LogLinear",TRUE)</f>
        <v>QSObject:ContextInput:w1~input.qs_context_add_curve.2359132437744.4237.3.0:36346</v>
      </c>
      <c r="E4238" s="6" t="str">
        <f>_xll.QS.INSTRUMENT.SWAP("swap.4236",H4238,B4238,"USD","SOFR",I4238,J4238,0,"Actual360","Simple","Annual","Annual","Annual")</f>
        <v>QSObject:Swap:w1~swap.4236:13382</v>
      </c>
      <c r="F4238" s="6" t="str">
        <f>_xll.QS.TRADE.CREATE("trade.4236",E4238,A4238,"Receive")</f>
        <v>QSObject:SwapTrade:w1~trade.4236:27591</v>
      </c>
      <c r="G4238" s="3">
        <f>_xll.QS.EVALUATE(C4238,F4238)</f>
        <v>43151.447446391598</v>
      </c>
      <c r="H4238" s="5" t="s">
        <v>4279</v>
      </c>
      <c r="I4238" s="7">
        <v>1423600</v>
      </c>
      <c r="J4238" s="8">
        <v>3.8600000000000002E-2</v>
      </c>
    </row>
    <row r="4239" spans="1:10" x14ac:dyDescent="0.25">
      <c r="A4239" s="5" t="s">
        <v>4273</v>
      </c>
      <c r="B4239" s="5" t="s">
        <v>6106</v>
      </c>
      <c r="C4239" s="6" t="str">
        <f>_xll.QS.CONTEXT.CREATE("market.4237",A4239,"USD","SOFR")</f>
        <v>QSObject:PricingContext:w1~market.4237:13381</v>
      </c>
      <c r="D4239" s="6" t="str">
        <f>_xll.QS.CONTEXT.ADD.CURVE(C4239,"SOFR",$K$2:$K$7,$L$2:$L$7,,,"Actual360","LogLinear",TRUE)</f>
        <v>QSObject:ContextInput:w1~input.qs_context_add_curve.2359132437744.4238.3.0:36345</v>
      </c>
      <c r="E4239" s="6" t="str">
        <f>_xll.QS.INSTRUMENT.SWAP("swap.4237",H4239,B4239,"USD","SOFR",I4239,J4239,0,"Actual360","Simple","Annual","Annual","Annual")</f>
        <v>QSObject:Swap:w1~swap.4237:13380</v>
      </c>
      <c r="F4239" s="6" t="str">
        <f>_xll.QS.TRADE.CREATE("trade.4237",E4239,A4239,"Receive")</f>
        <v>QSObject:SwapTrade:w1~trade.4237:27590</v>
      </c>
      <c r="G4239" s="3">
        <f>_xll.QS.EVALUATE(C4239,F4239)</f>
        <v>43915.403613368217</v>
      </c>
      <c r="H4239" s="5" t="s">
        <v>4280</v>
      </c>
      <c r="I4239" s="7">
        <v>1423700</v>
      </c>
      <c r="J4239" s="8">
        <v>3.8700000000000012E-2</v>
      </c>
    </row>
    <row r="4240" spans="1:10" x14ac:dyDescent="0.25">
      <c r="A4240" s="5" t="s">
        <v>4274</v>
      </c>
      <c r="B4240" s="5" t="s">
        <v>6107</v>
      </c>
      <c r="C4240" s="6" t="str">
        <f>_xll.QS.CONTEXT.CREATE("market.4238",A4240,"USD","SOFR")</f>
        <v>QSObject:PricingContext:w1~market.4238:13379</v>
      </c>
      <c r="D4240" s="6" t="str">
        <f>_xll.QS.CONTEXT.ADD.CURVE(C4240,"SOFR",$K$2:$K$7,$L$2:$L$7,,,"Actual360","LogLinear",TRUE)</f>
        <v>QSObject:ContextInput:w1~input.qs_context_add_curve.2359132437744.4239.3.0:36344</v>
      </c>
      <c r="E4240" s="6" t="str">
        <f>_xll.QS.INSTRUMENT.SWAP("swap.4238",H4240,B4240,"USD","SOFR",I4240,J4240,0,"Actual360","Simple","Annual","Annual","Annual")</f>
        <v>QSObject:Swap:w1~swap.4238:13378</v>
      </c>
      <c r="F4240" s="6" t="str">
        <f>_xll.QS.TRADE.CREATE("trade.4238",E4240,A4240,"Receive")</f>
        <v>QSObject:SwapTrade:w1~trade.4238:27589</v>
      </c>
      <c r="G4240" s="3">
        <f>_xll.QS.EVALUATE(C4240,F4240)</f>
        <v>44637.355711228076</v>
      </c>
      <c r="H4240" s="5" t="s">
        <v>4281</v>
      </c>
      <c r="I4240" s="7">
        <v>1423800</v>
      </c>
      <c r="J4240" s="8">
        <v>3.8800000000000001E-2</v>
      </c>
    </row>
    <row r="4241" spans="1:10" x14ac:dyDescent="0.25">
      <c r="A4241" s="5" t="s">
        <v>4275</v>
      </c>
      <c r="B4241" s="5" t="s">
        <v>6108</v>
      </c>
      <c r="C4241" s="6" t="str">
        <f>_xll.QS.CONTEXT.CREATE("market.4239",A4241,"USD","SOFR")</f>
        <v>QSObject:PricingContext:w1~market.4239:13377</v>
      </c>
      <c r="D4241" s="6" t="str">
        <f>_xll.QS.CONTEXT.ADD.CURVE(C4241,"SOFR",$K$2:$K$7,$L$2:$L$7,,,"Actual360","LogLinear",TRUE)</f>
        <v>QSObject:ContextInput:w1~input.qs_context_add_curve.2359132437744.4240.3.0:36343</v>
      </c>
      <c r="E4241" s="6" t="str">
        <f>_xll.QS.INSTRUMENT.SWAP("swap.4239",H4241,B4241,"USD","SOFR",I4241,J4241,0,"Actual360","Simple","Annual","Annual","Annual")</f>
        <v>QSObject:Swap:w1~swap.4239:13376</v>
      </c>
      <c r="F4241" s="6" t="str">
        <f>_xll.QS.TRADE.CREATE("trade.4239",E4241,A4241,"Receive")</f>
        <v>QSObject:SwapTrade:w1~trade.4239:27588</v>
      </c>
      <c r="G4241" s="3">
        <f>_xll.QS.EVALUATE(C4241,F4241)</f>
        <v>45242.247919467489</v>
      </c>
      <c r="H4241" s="5" t="s">
        <v>4282</v>
      </c>
      <c r="I4241" s="7">
        <v>1423900</v>
      </c>
      <c r="J4241" s="8">
        <v>3.8899999999999997E-2</v>
      </c>
    </row>
    <row r="4242" spans="1:10" x14ac:dyDescent="0.25">
      <c r="A4242" s="5" t="s">
        <v>4276</v>
      </c>
      <c r="B4242" s="5" t="s">
        <v>6109</v>
      </c>
      <c r="C4242" s="6" t="str">
        <f>_xll.QS.CONTEXT.CREATE("market.4240",A4242,"USD","SOFR")</f>
        <v>QSObject:PricingContext:w1~market.4240:13375</v>
      </c>
      <c r="D4242" s="6" t="str">
        <f>_xll.QS.CONTEXT.ADD.CURVE(C4242,"SOFR",$K$2:$K$7,$L$2:$L$7,,,"Actual360","LogLinear",TRUE)</f>
        <v>QSObject:ContextInput:w1~input.qs_context_add_curve.2359132437744.4241.3.0:36342</v>
      </c>
      <c r="E4242" s="6" t="str">
        <f>_xll.QS.INSTRUMENT.SWAP("swap.4240",H4242,B4242,"USD","SOFR",I4242,J4242,0,"Actual360","Simple","Annual","Annual","Annual")</f>
        <v>QSObject:Swap:w1~swap.4240:13374</v>
      </c>
      <c r="F4242" s="6" t="str">
        <f>_xll.QS.TRADE.CREATE("trade.4240",E4242,A4242,"Receive")</f>
        <v>QSObject:SwapTrade:w1~trade.4240:27587</v>
      </c>
      <c r="G4242" s="3">
        <f>_xll.QS.EVALUATE(C4242,F4242)</f>
        <v>45788.00504106567</v>
      </c>
      <c r="H4242" s="5" t="s">
        <v>4283</v>
      </c>
      <c r="I4242" s="7">
        <v>1424000</v>
      </c>
      <c r="J4242" s="8">
        <v>3.9000000000000007E-2</v>
      </c>
    </row>
    <row r="4243" spans="1:10" x14ac:dyDescent="0.25">
      <c r="A4243" s="5" t="s">
        <v>4277</v>
      </c>
      <c r="B4243" s="5" t="s">
        <v>6110</v>
      </c>
      <c r="C4243" s="6" t="str">
        <f>_xll.QS.CONTEXT.CREATE("market.4241",A4243,"USD","SOFR")</f>
        <v>QSObject:PricingContext:w1~market.4241:13373</v>
      </c>
      <c r="D4243" s="6" t="str">
        <f>_xll.QS.CONTEXT.ADD.CURVE(C4243,"SOFR",$K$2:$K$7,$L$2:$L$7,,,"Actual360","LogLinear",TRUE)</f>
        <v>QSObject:ContextInput:w1~input.qs_context_add_curve.2359132437744.4242.3.0:36341</v>
      </c>
      <c r="E4243" s="6" t="str">
        <f>_xll.QS.INSTRUMENT.SWAP("swap.4241",H4243,B4243,"USD","SOFR",I4243,J4243,0,"Actual360","Simple","Annual","Annual","Annual")</f>
        <v>QSObject:Swap:w1~swap.4241:13372</v>
      </c>
      <c r="F4243" s="6" t="str">
        <f>_xll.QS.TRADE.CREATE("trade.4241",E4243,A4243,"Receive")</f>
        <v>QSObject:SwapTrade:w1~trade.4241:27586</v>
      </c>
      <c r="G4243" s="3">
        <f>_xll.QS.EVALUATE(C4243,F4243)</f>
        <v>46357.563494601643</v>
      </c>
      <c r="H4243" s="5" t="s">
        <v>4284</v>
      </c>
      <c r="I4243" s="7">
        <v>1424100</v>
      </c>
      <c r="J4243" s="8">
        <v>3.9100000000000003E-2</v>
      </c>
    </row>
    <row r="4244" spans="1:10" x14ac:dyDescent="0.25">
      <c r="A4244" s="5" t="s">
        <v>4278</v>
      </c>
      <c r="B4244" s="5" t="s">
        <v>6111</v>
      </c>
      <c r="C4244" s="6" t="str">
        <f>_xll.QS.CONTEXT.CREATE("market.4242",A4244,"USD","SOFR")</f>
        <v>QSObject:PricingContext:w1~market.4242:13371</v>
      </c>
      <c r="D4244" s="6" t="str">
        <f>_xll.QS.CONTEXT.ADD.CURVE(C4244,"SOFR",$K$2:$K$7,$L$2:$L$7,,,"Actual360","LogLinear",TRUE)</f>
        <v>QSObject:ContextInput:w1~input.qs_context_add_curve.2359132437744.4243.3.0:36340</v>
      </c>
      <c r="E4244" s="6" t="str">
        <f>_xll.QS.INSTRUMENT.SWAP("swap.4242",H4244,B4244,"USD","SOFR",I4244,J4244,0,"Actual360","Simple","Annual","Annual","Annual")</f>
        <v>QSObject:Swap:w1~swap.4242:13370</v>
      </c>
      <c r="F4244" s="6" t="str">
        <f>_xll.QS.TRADE.CREATE("trade.4242",E4244,A4244,"Receive")</f>
        <v>QSObject:SwapTrade:w1~trade.4242:27585</v>
      </c>
      <c r="G4244" s="3">
        <f>_xll.QS.EVALUATE(C4244,F4244)</f>
        <v>47078.730747978385</v>
      </c>
      <c r="H4244" s="5" t="s">
        <v>4285</v>
      </c>
      <c r="I4244" s="7">
        <v>1424200</v>
      </c>
      <c r="J4244" s="8">
        <v>3.9200000000000013E-2</v>
      </c>
    </row>
    <row r="4245" spans="1:10" x14ac:dyDescent="0.25">
      <c r="A4245" s="5" t="s">
        <v>4279</v>
      </c>
      <c r="B4245" s="5" t="s">
        <v>6112</v>
      </c>
      <c r="C4245" s="6" t="str">
        <f>_xll.QS.CONTEXT.CREATE("market.4243",A4245,"USD","SOFR")</f>
        <v>QSObject:PricingContext:w1~market.4243:13369</v>
      </c>
      <c r="D4245" s="6" t="str">
        <f>_xll.QS.CONTEXT.ADD.CURVE(C4245,"SOFR",$K$2:$K$7,$L$2:$L$7,,,"Actual360","LogLinear",TRUE)</f>
        <v>QSObject:ContextInput:w1~input.qs_context_add_curve.2359132437744.4244.3.0:36339</v>
      </c>
      <c r="E4245" s="6" t="str">
        <f>_xll.QS.INSTRUMENT.SWAP("swap.4243",H4245,B4245,"USD","SOFR",I4245,J4245,0,"Actual360","Simple","Annual","Annual","Annual")</f>
        <v>QSObject:Swap:w1~swap.4243:13368</v>
      </c>
      <c r="F4245" s="6" t="str">
        <f>_xll.QS.TRADE.CREATE("trade.4243",E4245,A4245,"Receive")</f>
        <v>QSObject:SwapTrade:w1~trade.4243:27584</v>
      </c>
      <c r="G4245" s="3">
        <f>_xll.QS.EVALUATE(C4245,F4245)</f>
        <v>47770.19366335935</v>
      </c>
      <c r="H4245" s="5" t="s">
        <v>4286</v>
      </c>
      <c r="I4245" s="7">
        <v>1424300</v>
      </c>
      <c r="J4245" s="8">
        <v>3.9300000000000002E-2</v>
      </c>
    </row>
    <row r="4246" spans="1:10" x14ac:dyDescent="0.25">
      <c r="A4246" s="5" t="s">
        <v>4280</v>
      </c>
      <c r="B4246" s="5" t="s">
        <v>6113</v>
      </c>
      <c r="C4246" s="6" t="str">
        <f>_xll.QS.CONTEXT.CREATE("market.4244",A4246,"USD","SOFR")</f>
        <v>QSObject:PricingContext:w1~market.4244:13367</v>
      </c>
      <c r="D4246" s="6" t="str">
        <f>_xll.QS.CONTEXT.ADD.CURVE(C4246,"SOFR",$K$2:$K$7,$L$2:$L$7,,,"Actual360","LogLinear",TRUE)</f>
        <v>QSObject:ContextInput:w1~input.qs_context_add_curve.2359132437744.4245.3.0:36338</v>
      </c>
      <c r="E4246" s="6" t="str">
        <f>_xll.QS.INSTRUMENT.SWAP("swap.4244",H4246,B4246,"USD","SOFR",I4246,J4246,0,"Actual360","Simple","Annual","Annual","Annual")</f>
        <v>QSObject:Swap:w1~swap.4244:13366</v>
      </c>
      <c r="F4246" s="6" t="str">
        <f>_xll.QS.TRADE.CREATE("trade.4244",E4246,A4246,"Receive")</f>
        <v>QSObject:SwapTrade:w1~trade.4244:27583</v>
      </c>
      <c r="G4246" s="3">
        <f>_xll.QS.EVALUATE(C4246,F4246)</f>
        <v>48534.919511681328</v>
      </c>
      <c r="H4246" s="5" t="s">
        <v>4287</v>
      </c>
      <c r="I4246" s="7">
        <v>1424400</v>
      </c>
      <c r="J4246" s="8">
        <v>3.9399999999999998E-2</v>
      </c>
    </row>
    <row r="4247" spans="1:10" x14ac:dyDescent="0.25">
      <c r="A4247" s="5" t="s">
        <v>4281</v>
      </c>
      <c r="B4247" s="5" t="s">
        <v>6114</v>
      </c>
      <c r="C4247" s="6" t="str">
        <f>_xll.QS.CONTEXT.CREATE("market.4245",A4247,"USD","SOFR")</f>
        <v>QSObject:PricingContext:w1~market.4245:13365</v>
      </c>
      <c r="D4247" s="6" t="str">
        <f>_xll.QS.CONTEXT.ADD.CURVE(C4247,"SOFR",$K$2:$K$7,$L$2:$L$7,,,"Actual360","LogLinear",TRUE)</f>
        <v>QSObject:ContextInput:w1~input.qs_context_add_curve.2359132437744.4246.3.0:36337</v>
      </c>
      <c r="E4247" s="6" t="str">
        <f>_xll.QS.INSTRUMENT.SWAP("swap.4245",H4247,B4247,"USD","SOFR",I4247,J4247,0,"Actual360","Simple","Annual","Annual","Annual")</f>
        <v>QSObject:Swap:w1~swap.4245:13364</v>
      </c>
      <c r="F4247" s="6" t="str">
        <f>_xll.QS.TRADE.CREATE("trade.4245",E4247,A4247,"Receive")</f>
        <v>QSObject:SwapTrade:w1~trade.4245:27582</v>
      </c>
      <c r="G4247" s="3">
        <f>_xll.QS.EVALUATE(C4247,F4247)</f>
        <v>49257.600614814779</v>
      </c>
      <c r="H4247" s="5" t="s">
        <v>4288</v>
      </c>
      <c r="I4247" s="7">
        <v>1424500</v>
      </c>
      <c r="J4247" s="8">
        <v>3.9500000000000007E-2</v>
      </c>
    </row>
    <row r="4248" spans="1:10" x14ac:dyDescent="0.25">
      <c r="A4248" s="5" t="s">
        <v>4282</v>
      </c>
      <c r="B4248" s="5" t="s">
        <v>6115</v>
      </c>
      <c r="C4248" s="6" t="str">
        <f>_xll.QS.CONTEXT.CREATE("market.4246",A4248,"USD","SOFR")</f>
        <v>QSObject:PricingContext:w1~market.4246:13363</v>
      </c>
      <c r="D4248" s="6" t="str">
        <f>_xll.QS.CONTEXT.ADD.CURVE(C4248,"SOFR",$K$2:$K$7,$L$2:$L$7,,,"Actual360","LogLinear",TRUE)</f>
        <v>QSObject:ContextInput:w1~input.qs_context_add_curve.2359132437744.4247.3.0:36336</v>
      </c>
      <c r="E4248" s="6" t="str">
        <f>_xll.QS.INSTRUMENT.SWAP("swap.4246",H4248,B4248,"USD","SOFR",I4248,J4248,0,"Actual360","Simple","Annual","Annual","Annual")</f>
        <v>QSObject:Swap:w1~swap.4246:13362</v>
      </c>
      <c r="F4248" s="6" t="str">
        <f>_xll.QS.TRADE.CREATE("trade.4246",E4248,A4248,"Receive")</f>
        <v>QSObject:SwapTrade:w1~trade.4246:27581</v>
      </c>
      <c r="G4248" s="3">
        <f>_xll.QS.EVALUATE(C4248,F4248)</f>
        <v>49863.060933920737</v>
      </c>
      <c r="H4248" s="5" t="s">
        <v>4289</v>
      </c>
      <c r="I4248" s="7">
        <v>1424600</v>
      </c>
      <c r="J4248" s="8">
        <v>3.9600000000000003E-2</v>
      </c>
    </row>
    <row r="4249" spans="1:10" x14ac:dyDescent="0.25">
      <c r="A4249" s="5" t="s">
        <v>4283</v>
      </c>
      <c r="B4249" s="5" t="s">
        <v>6116</v>
      </c>
      <c r="C4249" s="6" t="str">
        <f>_xll.QS.CONTEXT.CREATE("market.4247",A4249,"USD","SOFR")</f>
        <v>QSObject:PricingContext:w1~market.4247:13361</v>
      </c>
      <c r="D4249" s="6" t="str">
        <f>_xll.QS.CONTEXT.ADD.CURVE(C4249,"SOFR",$K$2:$K$7,$L$2:$L$7,,,"Actual360","LogLinear",TRUE)</f>
        <v>QSObject:ContextInput:w1~input.qs_context_add_curve.2359132437744.4248.3.0:36335</v>
      </c>
      <c r="E4249" s="6" t="str">
        <f>_xll.QS.INSTRUMENT.SWAP("swap.4247",H4249,B4249,"USD","SOFR",I4249,J4249,0,"Actual360","Simple","Annual","Annual","Annual")</f>
        <v>QSObject:Swap:w1~swap.4247:13360</v>
      </c>
      <c r="F4249" s="6" t="str">
        <f>_xll.QS.TRADE.CREATE("trade.4247",E4249,A4249,"Receive")</f>
        <v>QSObject:SwapTrade:w1~trade.4247:27580</v>
      </c>
      <c r="G4249" s="3">
        <f>_xll.QS.EVALUATE(C4249,F4249)</f>
        <v>50403.991659214131</v>
      </c>
      <c r="H4249" s="5" t="s">
        <v>4290</v>
      </c>
      <c r="I4249" s="7">
        <v>1424700</v>
      </c>
      <c r="J4249" s="8">
        <v>3.9700000000000013E-2</v>
      </c>
    </row>
    <row r="4250" spans="1:10" x14ac:dyDescent="0.25">
      <c r="A4250" s="5" t="s">
        <v>4284</v>
      </c>
      <c r="B4250" s="5" t="s">
        <v>6117</v>
      </c>
      <c r="C4250" s="6" t="str">
        <f>_xll.QS.CONTEXT.CREATE("market.4248",A4250,"USD","SOFR")</f>
        <v>QSObject:PricingContext:w1~market.4248:13359</v>
      </c>
      <c r="D4250" s="6" t="str">
        <f>_xll.QS.CONTEXT.ADD.CURVE(C4250,"SOFR",$K$2:$K$7,$L$2:$L$7,,,"Actual360","LogLinear",TRUE)</f>
        <v>QSObject:ContextInput:w1~input.qs_context_add_curve.2359132437744.4249.3.0:36334</v>
      </c>
      <c r="E4250" s="6" t="str">
        <f>_xll.QS.INSTRUMENT.SWAP("swap.4248",H4250,B4250,"USD","SOFR",I4250,J4250,0,"Actual360","Simple","Annual","Annual","Annual")</f>
        <v>QSObject:Swap:w1~swap.4248:13358</v>
      </c>
      <c r="F4250" s="6" t="str">
        <f>_xll.QS.TRADE.CREATE("trade.4248",E4250,A4250,"Receive")</f>
        <v>QSObject:SwapTrade:w1~trade.4248:27579</v>
      </c>
      <c r="G4250" s="3">
        <f>_xll.QS.EVALUATE(C4250,F4250)</f>
        <v>50981.281203471532</v>
      </c>
      <c r="H4250" s="5" t="s">
        <v>4291</v>
      </c>
      <c r="I4250" s="7">
        <v>1424800</v>
      </c>
      <c r="J4250" s="8">
        <v>3.9800000000000002E-2</v>
      </c>
    </row>
    <row r="4251" spans="1:10" x14ac:dyDescent="0.25">
      <c r="A4251" s="5" t="s">
        <v>4285</v>
      </c>
      <c r="B4251" s="5" t="s">
        <v>6118</v>
      </c>
      <c r="C4251" s="6" t="str">
        <f>_xll.QS.CONTEXT.CREATE("market.4249",A4251,"USD","SOFR")</f>
        <v>QSObject:PricingContext:w1~market.4249:13357</v>
      </c>
      <c r="D4251" s="6" t="str">
        <f>_xll.QS.CONTEXT.ADD.CURVE(C4251,"SOFR",$K$2:$K$7,$L$2:$L$7,,,"Actual360","LogLinear",TRUE)</f>
        <v>QSObject:ContextInput:w1~input.qs_context_add_curve.2359132437744.4250.3.0:36333</v>
      </c>
      <c r="E4251" s="6" t="str">
        <f>_xll.QS.INSTRUMENT.SWAP("swap.4249",H4251,B4251,"USD","SOFR",I4251,J4251,0,"Actual360","Simple","Annual","Annual","Annual")</f>
        <v>QSObject:Swap:w1~swap.4249:13356</v>
      </c>
      <c r="F4251" s="6" t="str">
        <f>_xll.QS.TRADE.CREATE("trade.4249",E4251,A4251,"Receive")</f>
        <v>QSObject:SwapTrade:w1~trade.4249:27578</v>
      </c>
      <c r="G4251" s="3">
        <f>_xll.QS.EVALUATE(C4251,F4251)</f>
        <v>51703.569941012189</v>
      </c>
      <c r="H4251" s="5" t="s">
        <v>4292</v>
      </c>
      <c r="I4251" s="7">
        <v>1424900</v>
      </c>
      <c r="J4251" s="8">
        <v>3.9899999999999998E-2</v>
      </c>
    </row>
    <row r="4252" spans="1:10" x14ac:dyDescent="0.25">
      <c r="A4252" s="5" t="s">
        <v>4286</v>
      </c>
      <c r="B4252" s="5" t="s">
        <v>6119</v>
      </c>
      <c r="C4252" s="6" t="str">
        <f>_xll.QS.CONTEXT.CREATE("market.4250",A4252,"USD","SOFR")</f>
        <v>QSObject:PricingContext:w1~market.4250:13355</v>
      </c>
      <c r="D4252" s="6" t="str">
        <f>_xll.QS.CONTEXT.ADD.CURVE(C4252,"SOFR",$K$2:$K$7,$L$2:$L$7,,,"Actual360","LogLinear",TRUE)</f>
        <v>QSObject:ContextInput:w1~input.qs_context_add_curve.2359132437744.4251.3.0:36332</v>
      </c>
      <c r="E4252" s="6" t="str">
        <f>_xll.QS.INSTRUMENT.SWAP("swap.4250",H4252,B4252,"USD","SOFR",I4252,J4252,0,"Actual360","Simple","Annual","Annual","Annual")</f>
        <v>QSObject:Swap:w1~swap.4250:13354</v>
      </c>
      <c r="F4252" s="6" t="str">
        <f>_xll.QS.TRADE.CREATE("trade.4250",E4252,A4252,"Receive")</f>
        <v>QSObject:SwapTrade:w1~trade.4250:27577</v>
      </c>
      <c r="G4252" s="3">
        <f>_xll.QS.EVALUATE(C4252,F4252)</f>
        <v>19537.83244319848</v>
      </c>
      <c r="H4252" s="5" t="s">
        <v>4293</v>
      </c>
      <c r="I4252" s="7">
        <v>1425000</v>
      </c>
      <c r="J4252" s="8">
        <v>3.5000000000000003E-2</v>
      </c>
    </row>
    <row r="4253" spans="1:10" x14ac:dyDescent="0.25">
      <c r="A4253" s="5" t="s">
        <v>4287</v>
      </c>
      <c r="B4253" s="5" t="s">
        <v>6120</v>
      </c>
      <c r="C4253" s="6" t="str">
        <f>_xll.QS.CONTEXT.CREATE("market.4251",A4253,"USD","SOFR")</f>
        <v>QSObject:PricingContext:w1~market.4251:13353</v>
      </c>
      <c r="D4253" s="6" t="str">
        <f>_xll.QS.CONTEXT.ADD.CURVE(C4253,"SOFR",$K$2:$K$7,$L$2:$L$7,,,"Actual360","LogLinear",TRUE)</f>
        <v>QSObject:ContextInput:w1~input.qs_context_add_curve.2359132437744.4252.3.0:36331</v>
      </c>
      <c r="E4253" s="6" t="str">
        <f>_xll.QS.INSTRUMENT.SWAP("swap.4251",H4253,B4253,"USD","SOFR",I4253,J4253,0,"Actual360","Simple","Annual","Annual","Annual")</f>
        <v>QSObject:Swap:w1~swap.4251:13352</v>
      </c>
      <c r="F4253" s="6" t="str">
        <f>_xll.QS.TRADE.CREATE("trade.4251",E4253,A4253,"Receive")</f>
        <v>QSObject:SwapTrade:w1~trade.4251:27576</v>
      </c>
      <c r="G4253" s="3">
        <f>_xll.QS.EVALUATE(C4253,F4253)</f>
        <v>20300.502415353068</v>
      </c>
      <c r="H4253" s="5" t="s">
        <v>4294</v>
      </c>
      <c r="I4253" s="7">
        <v>1425100</v>
      </c>
      <c r="J4253" s="8">
        <v>3.5100000000000013E-2</v>
      </c>
    </row>
    <row r="4254" spans="1:10" x14ac:dyDescent="0.25">
      <c r="A4254" s="5" t="s">
        <v>4288</v>
      </c>
      <c r="B4254" s="5" t="s">
        <v>6121</v>
      </c>
      <c r="C4254" s="6" t="str">
        <f>_xll.QS.CONTEXT.CREATE("market.4252",A4254,"USD","SOFR")</f>
        <v>QSObject:PricingContext:w1~market.4252:13351</v>
      </c>
      <c r="D4254" s="6" t="str">
        <f>_xll.QS.CONTEXT.ADD.CURVE(C4254,"SOFR",$K$2:$K$7,$L$2:$L$7,,,"Actual360","LogLinear",TRUE)</f>
        <v>QSObject:ContextInput:w1~input.qs_context_add_curve.2359132437744.4253.3.0:36330</v>
      </c>
      <c r="E4254" s="6" t="str">
        <f>_xll.QS.INSTRUMENT.SWAP("swap.4252",H4254,B4254,"USD","SOFR",I4254,J4254,0,"Actual360","Simple","Annual","Annual","Annual")</f>
        <v>QSObject:Swap:w1~swap.4252:13350</v>
      </c>
      <c r="F4254" s="6" t="str">
        <f>_xll.QS.TRADE.CREATE("trade.4252",E4254,A4254,"Receive")</f>
        <v>QSObject:SwapTrade:w1~trade.4252:27575</v>
      </c>
      <c r="G4254" s="3">
        <f>_xll.QS.EVALUATE(C4254,F4254)</f>
        <v>21021.427849539374</v>
      </c>
      <c r="H4254" s="5" t="s">
        <v>4295</v>
      </c>
      <c r="I4254" s="7">
        <v>1425200</v>
      </c>
      <c r="J4254" s="8">
        <v>3.5200000000000002E-2</v>
      </c>
    </row>
    <row r="4255" spans="1:10" x14ac:dyDescent="0.25">
      <c r="A4255" s="5" t="s">
        <v>4289</v>
      </c>
      <c r="B4255" s="5" t="s">
        <v>6122</v>
      </c>
      <c r="C4255" s="6" t="str">
        <f>_xll.QS.CONTEXT.CREATE("market.4253",A4255,"USD","SOFR")</f>
        <v>QSObject:PricingContext:w1~market.4253:13349</v>
      </c>
      <c r="D4255" s="6" t="str">
        <f>_xll.QS.CONTEXT.ADD.CURVE(C4255,"SOFR",$K$2:$K$7,$L$2:$L$7,,,"Actual360","LogLinear",TRUE)</f>
        <v>QSObject:ContextInput:w1~input.qs_context_add_curve.2359132437744.4254.3.0:36329</v>
      </c>
      <c r="E4255" s="6" t="str">
        <f>_xll.QS.INSTRUMENT.SWAP("swap.4253",H4255,B4255,"USD","SOFR",I4255,J4255,0,"Actual360","Simple","Annual","Annual","Annual")</f>
        <v>QSObject:Swap:w1~swap.4253:13348</v>
      </c>
      <c r="F4255" s="6" t="str">
        <f>_xll.QS.TRADE.CREATE("trade.4253",E4255,A4255,"Receive")</f>
        <v>QSObject:SwapTrade:w1~trade.4253:27574</v>
      </c>
      <c r="G4255" s="3">
        <f>_xll.QS.EVALUATE(C4255,F4255)</f>
        <v>21625.968713531031</v>
      </c>
      <c r="H4255" s="5" t="s">
        <v>4296</v>
      </c>
      <c r="I4255" s="7">
        <v>1425300</v>
      </c>
      <c r="J4255" s="8">
        <v>3.5299999999999998E-2</v>
      </c>
    </row>
    <row r="4256" spans="1:10" x14ac:dyDescent="0.25">
      <c r="A4256" s="5" t="s">
        <v>4290</v>
      </c>
      <c r="B4256" s="5" t="s">
        <v>6123</v>
      </c>
      <c r="C4256" s="6" t="str">
        <f>_xll.QS.CONTEXT.CREATE("market.4254",A4256,"USD","SOFR")</f>
        <v>QSObject:PricingContext:w1~market.4254:13347</v>
      </c>
      <c r="D4256" s="6" t="str">
        <f>_xll.QS.CONTEXT.ADD.CURVE(C4256,"SOFR",$K$2:$K$7,$L$2:$L$7,,,"Actual360","LogLinear",TRUE)</f>
        <v>QSObject:ContextInput:w1~input.qs_context_add_curve.2359132437744.4255.3.0:36328</v>
      </c>
      <c r="E4256" s="6" t="str">
        <f>_xll.QS.INSTRUMENT.SWAP("swap.4254",H4256,B4256,"USD","SOFR",I4256,J4256,0,"Actual360","Simple","Annual","Annual","Annual")</f>
        <v>QSObject:Swap:w1~swap.4254:13346</v>
      </c>
      <c r="F4256" s="6" t="str">
        <f>_xll.QS.TRADE.CREATE("trade.4254",E4256,A4256,"Receive")</f>
        <v>QSObject:SwapTrade:w1~trade.4254:27573</v>
      </c>
      <c r="G4256" s="3">
        <f>_xll.QS.EVALUATE(C4256,F4256)</f>
        <v>22182.384807732626</v>
      </c>
      <c r="H4256" s="5" t="s">
        <v>4297</v>
      </c>
      <c r="I4256" s="7">
        <v>1425400</v>
      </c>
      <c r="J4256" s="8">
        <v>3.5400000000000001E-2</v>
      </c>
    </row>
    <row r="4257" spans="1:10" x14ac:dyDescent="0.25">
      <c r="A4257" s="5" t="s">
        <v>4291</v>
      </c>
      <c r="B4257" s="5" t="s">
        <v>6124</v>
      </c>
      <c r="C4257" s="6" t="str">
        <f>_xll.QS.CONTEXT.CREATE("market.4255",A4257,"USD","SOFR")</f>
        <v>QSObject:PricingContext:w1~market.4255:13345</v>
      </c>
      <c r="D4257" s="6" t="str">
        <f>_xll.QS.CONTEXT.ADD.CURVE(C4257,"SOFR",$K$2:$K$7,$L$2:$L$7,,,"Actual360","LogLinear",TRUE)</f>
        <v>QSObject:ContextInput:w1~input.qs_context_add_curve.2359132437744.4256.3.0:36327</v>
      </c>
      <c r="E4257" s="6" t="str">
        <f>_xll.QS.INSTRUMENT.SWAP("swap.4255",H4257,B4257,"USD","SOFR",I4257,J4257,0,"Actual360","Simple","Annual","Annual","Annual")</f>
        <v>QSObject:Swap:w1~swap.4255:13344</v>
      </c>
      <c r="F4257" s="6" t="str">
        <f>_xll.QS.TRADE.CREATE("trade.4255",E4257,A4257,"Receive")</f>
        <v>QSObject:SwapTrade:w1~trade.4255:27572</v>
      </c>
      <c r="G4257" s="3">
        <f>_xll.QS.EVALUATE(C4257,F4257)</f>
        <v>22671.093127219763</v>
      </c>
      <c r="H4257" s="5" t="s">
        <v>4298</v>
      </c>
      <c r="I4257" s="7">
        <v>1425500</v>
      </c>
      <c r="J4257" s="8">
        <v>3.5499999999999997E-2</v>
      </c>
    </row>
    <row r="4258" spans="1:10" x14ac:dyDescent="0.25">
      <c r="A4258" s="5" t="s">
        <v>4292</v>
      </c>
      <c r="B4258" s="5" t="s">
        <v>6125</v>
      </c>
      <c r="C4258" s="6" t="str">
        <f>_xll.QS.CONTEXT.CREATE("market.4256",A4258,"USD","SOFR")</f>
        <v>QSObject:PricingContext:w1~market.4256:13343</v>
      </c>
      <c r="D4258" s="6" t="str">
        <f>_xll.QS.CONTEXT.ADD.CURVE(C4258,"SOFR",$K$2:$K$7,$L$2:$L$7,,,"Actual360","LogLinear",TRUE)</f>
        <v>QSObject:ContextInput:w1~input.qs_context_add_curve.2359132437744.4257.3.0:36326</v>
      </c>
      <c r="E4258" s="6" t="str">
        <f>_xll.QS.INSTRUMENT.SWAP("swap.4256",H4258,B4258,"USD","SOFR",I4258,J4258,0,"Actual360","Simple","Annual","Annual","Annual")</f>
        <v>QSObject:Swap:w1~swap.4256:13342</v>
      </c>
      <c r="F4258" s="6" t="str">
        <f>_xll.QS.TRADE.CREATE("trade.4256",E4258,A4258,"Receive")</f>
        <v>QSObject:SwapTrade:w1~trade.4256:27571</v>
      </c>
      <c r="G4258" s="3">
        <f>_xll.QS.EVALUATE(C4258,F4258)</f>
        <v>23389.364946456903</v>
      </c>
      <c r="H4258" s="5" t="s">
        <v>4299</v>
      </c>
      <c r="I4258" s="7">
        <v>1425600</v>
      </c>
      <c r="J4258" s="8">
        <v>3.5600000000000007E-2</v>
      </c>
    </row>
    <row r="4259" spans="1:10" x14ac:dyDescent="0.25">
      <c r="A4259" s="5" t="s">
        <v>4293</v>
      </c>
      <c r="B4259" s="5" t="s">
        <v>6126</v>
      </c>
      <c r="C4259" s="6" t="str">
        <f>_xll.QS.CONTEXT.CREATE("market.4257",A4259,"USD","SOFR")</f>
        <v>QSObject:PricingContext:w1~market.4257:13341</v>
      </c>
      <c r="D4259" s="6" t="str">
        <f>_xll.QS.CONTEXT.ADD.CURVE(C4259,"SOFR",$K$2:$K$7,$L$2:$L$7,,,"Actual360","LogLinear",TRUE)</f>
        <v>QSObject:ContextInput:w1~input.qs_context_add_curve.2359132437744.4258.3.0:36325</v>
      </c>
      <c r="E4259" s="6" t="str">
        <f>_xll.QS.INSTRUMENT.SWAP("swap.4257",H4259,B4259,"USD","SOFR",I4259,J4259,0,"Actual360","Simple","Annual","Annual","Annual")</f>
        <v>QSObject:Swap:w1~swap.4257:13340</v>
      </c>
      <c r="F4259" s="6" t="str">
        <f>_xll.QS.TRADE.CREATE("trade.4257",E4259,A4259,"Receive")</f>
        <v>QSObject:SwapTrade:w1~trade.4257:27570</v>
      </c>
      <c r="G4259" s="3">
        <f>_xll.QS.EVALUATE(C4259,F4259)</f>
        <v>24106.61965519574</v>
      </c>
      <c r="H4259" s="5" t="s">
        <v>4300</v>
      </c>
      <c r="I4259" s="7">
        <v>1425700</v>
      </c>
      <c r="J4259" s="8">
        <v>3.5700000000000003E-2</v>
      </c>
    </row>
    <row r="4260" spans="1:10" x14ac:dyDescent="0.25">
      <c r="A4260" s="5" t="s">
        <v>4294</v>
      </c>
      <c r="B4260" s="5" t="s">
        <v>6127</v>
      </c>
      <c r="C4260" s="6" t="str">
        <f>_xll.QS.CONTEXT.CREATE("market.4258",A4260,"USD","SOFR")</f>
        <v>QSObject:PricingContext:w1~market.4258:13339</v>
      </c>
      <c r="D4260" s="6" t="str">
        <f>_xll.QS.CONTEXT.ADD.CURVE(C4260,"SOFR",$K$2:$K$7,$L$2:$L$7,,,"Actual360","LogLinear",TRUE)</f>
        <v>QSObject:ContextInput:w1~input.qs_context_add_curve.2359132437744.4259.3.0:36324</v>
      </c>
      <c r="E4260" s="6" t="str">
        <f>_xll.QS.INSTRUMENT.SWAP("swap.4258",H4260,B4260,"USD","SOFR",I4260,J4260,0,"Actual360","Simple","Annual","Annual","Annual")</f>
        <v>QSObject:Swap:w1~swap.4258:13338</v>
      </c>
      <c r="F4260" s="6" t="str">
        <f>_xll.QS.TRADE.CREATE("trade.4258",E4260,A4260,"Receive")</f>
        <v>QSObject:SwapTrade:w1~trade.4258:27569</v>
      </c>
      <c r="G4260" s="3">
        <f>_xll.QS.EVALUATE(C4260,F4260)</f>
        <v>24965.284600121224</v>
      </c>
      <c r="H4260" s="5" t="s">
        <v>4301</v>
      </c>
      <c r="I4260" s="7">
        <v>1425800</v>
      </c>
      <c r="J4260" s="8">
        <v>3.5800000000000012E-2</v>
      </c>
    </row>
    <row r="4261" spans="1:10" x14ac:dyDescent="0.25">
      <c r="A4261" s="5" t="s">
        <v>4295</v>
      </c>
      <c r="B4261" s="5" t="s">
        <v>6128</v>
      </c>
      <c r="C4261" s="6" t="str">
        <f>_xll.QS.CONTEXT.CREATE("market.4259",A4261,"USD","SOFR")</f>
        <v>QSObject:PricingContext:w1~market.4259:13337</v>
      </c>
      <c r="D4261" s="6" t="str">
        <f>_xll.QS.CONTEXT.ADD.CURVE(C4261,"SOFR",$K$2:$K$7,$L$2:$L$7,,,"Actual360","LogLinear",TRUE)</f>
        <v>QSObject:ContextInput:w1~input.qs_context_add_curve.2359132437744.4260.3.0:36323</v>
      </c>
      <c r="E4261" s="6" t="str">
        <f>_xll.QS.INSTRUMENT.SWAP("swap.4259",H4261,B4261,"USD","SOFR",I4261,J4261,0,"Actual360","Simple","Annual","Annual","Annual")</f>
        <v>QSObject:Swap:w1~swap.4259:13336</v>
      </c>
      <c r="F4261" s="6" t="str">
        <f>_xll.QS.TRADE.CREATE("trade.4259",E4261,A4261,"Receive")</f>
        <v>QSObject:SwapTrade:w1~trade.4259:27568</v>
      </c>
      <c r="G4261" s="3">
        <f>_xll.QS.EVALUATE(C4261,F4261)</f>
        <v>25638.030402657474</v>
      </c>
      <c r="H4261" s="5" t="s">
        <v>4302</v>
      </c>
      <c r="I4261" s="7">
        <v>1425900</v>
      </c>
      <c r="J4261" s="8">
        <v>3.5900000000000001E-2</v>
      </c>
    </row>
    <row r="4262" spans="1:10" x14ac:dyDescent="0.25">
      <c r="A4262" s="5" t="s">
        <v>4296</v>
      </c>
      <c r="B4262" s="5" t="s">
        <v>6129</v>
      </c>
      <c r="C4262" s="6" t="str">
        <f>_xll.QS.CONTEXT.CREATE("market.4260",A4262,"USD","SOFR")</f>
        <v>QSObject:PricingContext:w1~market.4260:13335</v>
      </c>
      <c r="D4262" s="6" t="str">
        <f>_xll.QS.CONTEXT.ADD.CURVE(C4262,"SOFR",$K$2:$K$7,$L$2:$L$7,,,"Actual360","LogLinear",TRUE)</f>
        <v>QSObject:ContextInput:w1~input.qs_context_add_curve.2359132437744.4261.3.0:36322</v>
      </c>
      <c r="E4262" s="6" t="str">
        <f>_xll.QS.INSTRUMENT.SWAP("swap.4260",H4262,B4262,"USD","SOFR",I4262,J4262,0,"Actual360","Simple","Annual","Annual","Annual")</f>
        <v>QSObject:Swap:w1~swap.4260:13334</v>
      </c>
      <c r="F4262" s="6" t="str">
        <f>_xll.QS.TRADE.CREATE("trade.4260",E4262,A4262,"Receive")</f>
        <v>QSObject:SwapTrade:w1~trade.4260:27567</v>
      </c>
      <c r="G4262" s="3">
        <f>_xll.QS.EVALUATE(C4262,F4262)</f>
        <v>26296.451663188534</v>
      </c>
      <c r="H4262" s="5" t="s">
        <v>4303</v>
      </c>
      <c r="I4262" s="7">
        <v>1426000</v>
      </c>
      <c r="J4262" s="8">
        <v>3.5999999999999997E-2</v>
      </c>
    </row>
    <row r="4263" spans="1:10" x14ac:dyDescent="0.25">
      <c r="A4263" s="5" t="s">
        <v>4297</v>
      </c>
      <c r="B4263" s="5" t="s">
        <v>6130</v>
      </c>
      <c r="C4263" s="6" t="str">
        <f>_xll.QS.CONTEXT.CREATE("market.4261",A4263,"USD","SOFR")</f>
        <v>QSObject:PricingContext:w1~market.4261:13333</v>
      </c>
      <c r="D4263" s="6" t="str">
        <f>_xll.QS.CONTEXT.ADD.CURVE(C4263,"SOFR",$K$2:$K$7,$L$2:$L$7,,,"Actual360","LogLinear",TRUE)</f>
        <v>QSObject:ContextInput:w1~input.qs_context_add_curve.2359132437744.4262.3.0:36321</v>
      </c>
      <c r="E4263" s="6" t="str">
        <f>_xll.QS.INSTRUMENT.SWAP("swap.4261",H4263,B4263,"USD","SOFR",I4263,J4263,0,"Actual360","Simple","Annual","Annual","Annual")</f>
        <v>QSObject:Swap:w1~swap.4261:13332</v>
      </c>
      <c r="F4263" s="6" t="str">
        <f>_xll.QS.TRADE.CREATE("trade.4261",E4263,A4263,"Receive")</f>
        <v>QSObject:SwapTrade:w1~trade.4261:27566</v>
      </c>
      <c r="G4263" s="3">
        <f>_xll.QS.EVALUATE(C4263,F4263)</f>
        <v>26864.138306821325</v>
      </c>
      <c r="H4263" s="5" t="s">
        <v>4304</v>
      </c>
      <c r="I4263" s="7">
        <v>1426100</v>
      </c>
      <c r="J4263" s="8">
        <v>3.61E-2</v>
      </c>
    </row>
    <row r="4264" spans="1:10" x14ac:dyDescent="0.25">
      <c r="A4264" s="5" t="s">
        <v>4298</v>
      </c>
      <c r="B4264" s="5" t="s">
        <v>6131</v>
      </c>
      <c r="C4264" s="6" t="str">
        <f>_xll.QS.CONTEXT.CREATE("market.4262",A4264,"USD","SOFR")</f>
        <v>QSObject:PricingContext:w1~market.4262:13331</v>
      </c>
      <c r="D4264" s="6" t="str">
        <f>_xll.QS.CONTEXT.ADD.CURVE(C4264,"SOFR",$K$2:$K$7,$L$2:$L$7,,,"Actual360","LogLinear",TRUE)</f>
        <v>QSObject:ContextInput:w1~input.qs_context_add_curve.2359132437744.4263.3.0:36320</v>
      </c>
      <c r="E4264" s="6" t="str">
        <f>_xll.QS.INSTRUMENT.SWAP("swap.4262",H4264,B4264,"USD","SOFR",I4264,J4264,0,"Actual360","Simple","Annual","Annual","Annual")</f>
        <v>QSObject:Swap:w1~swap.4262:13330</v>
      </c>
      <c r="F4264" s="6" t="str">
        <f>_xll.QS.TRADE.CREATE("trade.4262",E4264,A4264,"Receive")</f>
        <v>QSObject:SwapTrade:w1~trade.4262:27565</v>
      </c>
      <c r="G4264" s="3">
        <f>_xll.QS.EVALUATE(C4264,F4264)</f>
        <v>27403.503971512058</v>
      </c>
      <c r="H4264" s="5" t="s">
        <v>4305</v>
      </c>
      <c r="I4264" s="7">
        <v>1426200</v>
      </c>
      <c r="J4264" s="8">
        <v>3.6200000000000003E-2</v>
      </c>
    </row>
    <row r="4265" spans="1:10" x14ac:dyDescent="0.25">
      <c r="A4265" s="5" t="s">
        <v>4299</v>
      </c>
      <c r="B4265" s="5" t="s">
        <v>6132</v>
      </c>
      <c r="C4265" s="6" t="str">
        <f>_xll.QS.CONTEXT.CREATE("market.4263",A4265,"USD","SOFR")</f>
        <v>QSObject:PricingContext:w1~market.4263:13329</v>
      </c>
      <c r="D4265" s="6" t="str">
        <f>_xll.QS.CONTEXT.ADD.CURVE(C4265,"SOFR",$K$2:$K$7,$L$2:$L$7,,,"Actual360","LogLinear",TRUE)</f>
        <v>QSObject:ContextInput:w1~input.qs_context_add_curve.2359132437744.4264.3.0:36319</v>
      </c>
      <c r="E4265" s="6" t="str">
        <f>_xll.QS.INSTRUMENT.SWAP("swap.4263",H4265,B4265,"USD","SOFR",I4265,J4265,0,"Actual360","Simple","Annual","Annual","Annual")</f>
        <v>QSObject:Swap:w1~swap.4263:13328</v>
      </c>
      <c r="F4265" s="6" t="str">
        <f>_xll.QS.TRADE.CREATE("trade.4263",E4265,A4265,"Receive")</f>
        <v>QSObject:SwapTrade:w1~trade.4263:27564</v>
      </c>
      <c r="G4265" s="3">
        <f>_xll.QS.EVALUATE(C4265,F4265)</f>
        <v>28065.442888844882</v>
      </c>
      <c r="H4265" s="5" t="s">
        <v>4306</v>
      </c>
      <c r="I4265" s="7">
        <v>1426300</v>
      </c>
      <c r="J4265" s="8">
        <v>3.6300000000000013E-2</v>
      </c>
    </row>
    <row r="4266" spans="1:10" x14ac:dyDescent="0.25">
      <c r="A4266" s="5" t="s">
        <v>4300</v>
      </c>
      <c r="B4266" s="5" t="s">
        <v>6133</v>
      </c>
      <c r="C4266" s="6" t="str">
        <f>_xll.QS.CONTEXT.CREATE("market.4264",A4266,"USD","SOFR")</f>
        <v>QSObject:PricingContext:w1~market.4264:13327</v>
      </c>
      <c r="D4266" s="6" t="str">
        <f>_xll.QS.CONTEXT.ADD.CURVE(C4266,"SOFR",$K$2:$K$7,$L$2:$L$7,,,"Actual360","LogLinear",TRUE)</f>
        <v>QSObject:ContextInput:w1~input.qs_context_add_curve.2359132437744.4265.3.0:36318</v>
      </c>
      <c r="E4266" s="6" t="str">
        <f>_xll.QS.INSTRUMENT.SWAP("swap.4264",H4266,B4266,"USD","SOFR",I4266,J4266,0,"Actual360","Simple","Annual","Annual","Annual")</f>
        <v>QSObject:Swap:w1~swap.4264:13326</v>
      </c>
      <c r="F4266" s="6" t="str">
        <f>_xll.QS.TRADE.CREATE("trade.4264",E4266,A4266,"Receive")</f>
        <v>QSObject:SwapTrade:w1~trade.4264:27563</v>
      </c>
      <c r="G4266" s="3">
        <f>_xll.QS.EVALUATE(C4266,F4266)</f>
        <v>28765.700120550202</v>
      </c>
      <c r="H4266" s="5" t="s">
        <v>4307</v>
      </c>
      <c r="I4266" s="7">
        <v>1426400</v>
      </c>
      <c r="J4266" s="8">
        <v>3.6400000000000002E-2</v>
      </c>
    </row>
    <row r="4267" spans="1:10" x14ac:dyDescent="0.25">
      <c r="A4267" s="5" t="s">
        <v>4301</v>
      </c>
      <c r="B4267" s="5" t="s">
        <v>6134</v>
      </c>
      <c r="C4267" s="6" t="str">
        <f>_xll.QS.CONTEXT.CREATE("market.4265",A4267,"USD","SOFR")</f>
        <v>QSObject:PricingContext:w1~market.4265:13325</v>
      </c>
      <c r="D4267" s="6" t="str">
        <f>_xll.QS.CONTEXT.ADD.CURVE(C4267,"SOFR",$K$2:$K$7,$L$2:$L$7,,,"Actual360","LogLinear",TRUE)</f>
        <v>QSObject:ContextInput:w1~input.qs_context_add_curve.2359132437744.4266.3.0:36317</v>
      </c>
      <c r="E4267" s="6" t="str">
        <f>_xll.QS.INSTRUMENT.SWAP("swap.4265",H4267,B4267,"USD","SOFR",I4267,J4267,0,"Actual360","Simple","Annual","Annual","Annual")</f>
        <v>QSObject:Swap:w1~swap.4265:13324</v>
      </c>
      <c r="F4267" s="6" t="str">
        <f>_xll.QS.TRADE.CREATE("trade.4265",E4267,A4267,"Receive")</f>
        <v>QSObject:SwapTrade:w1~trade.4265:27562</v>
      </c>
      <c r="G4267" s="3">
        <f>_xll.QS.EVALUATE(C4267,F4267)</f>
        <v>29529.850374918111</v>
      </c>
      <c r="H4267" s="5" t="s">
        <v>4308</v>
      </c>
      <c r="I4267" s="7">
        <v>1426500</v>
      </c>
      <c r="J4267" s="8">
        <v>3.6499999999999998E-2</v>
      </c>
    </row>
    <row r="4268" spans="1:10" x14ac:dyDescent="0.25">
      <c r="A4268" s="5" t="s">
        <v>4302</v>
      </c>
      <c r="B4268" s="5" t="s">
        <v>6135</v>
      </c>
      <c r="C4268" s="6" t="str">
        <f>_xll.QS.CONTEXT.CREATE("market.4266",A4268,"USD","SOFR")</f>
        <v>QSObject:PricingContext:w1~market.4266:13323</v>
      </c>
      <c r="D4268" s="6" t="str">
        <f>_xll.QS.CONTEXT.ADD.CURVE(C4268,"SOFR",$K$2:$K$7,$L$2:$L$7,,,"Actual360","LogLinear",TRUE)</f>
        <v>QSObject:ContextInput:w1~input.qs_context_add_curve.2359132437744.4267.3.0:36316</v>
      </c>
      <c r="E4268" s="6" t="str">
        <f>_xll.QS.INSTRUMENT.SWAP("swap.4266",H4268,B4268,"USD","SOFR",I4268,J4268,0,"Actual360","Simple","Annual","Annual","Annual")</f>
        <v>QSObject:Swap:w1~swap.4266:13322</v>
      </c>
      <c r="F4268" s="6" t="str">
        <f>_xll.QS.TRADE.CREATE("trade.4266",E4268,A4268,"Receive")</f>
        <v>QSObject:SwapTrade:w1~trade.4266:27561</v>
      </c>
      <c r="G4268" s="3">
        <f>_xll.QS.EVALUATE(C4268,F4268)</f>
        <v>30252.035456981735</v>
      </c>
      <c r="H4268" s="5" t="s">
        <v>4309</v>
      </c>
      <c r="I4268" s="7">
        <v>1426600</v>
      </c>
      <c r="J4268" s="8">
        <v>3.6600000000000001E-2</v>
      </c>
    </row>
    <row r="4269" spans="1:10" x14ac:dyDescent="0.25">
      <c r="A4269" s="5" t="s">
        <v>4303</v>
      </c>
      <c r="B4269" s="5" t="s">
        <v>6136</v>
      </c>
      <c r="C4269" s="6" t="str">
        <f>_xll.QS.CONTEXT.CREATE("market.4267",A4269,"USD","SOFR")</f>
        <v>QSObject:PricingContext:w1~market.4267:13321</v>
      </c>
      <c r="D4269" s="6" t="str">
        <f>_xll.QS.CONTEXT.ADD.CURVE(C4269,"SOFR",$K$2:$K$7,$L$2:$L$7,,,"Actual360","LogLinear",TRUE)</f>
        <v>QSObject:ContextInput:w1~input.qs_context_add_curve.2359132437744.4268.3.0:36315</v>
      </c>
      <c r="E4269" s="6" t="str">
        <f>_xll.QS.INSTRUMENT.SWAP("swap.4267",H4269,B4269,"USD","SOFR",I4269,J4269,0,"Actual360","Simple","Annual","Annual","Annual")</f>
        <v>QSObject:Swap:w1~swap.4267:13320</v>
      </c>
      <c r="F4269" s="6" t="str">
        <f>_xll.QS.TRADE.CREATE("trade.4267",E4269,A4269,"Receive")</f>
        <v>QSObject:SwapTrade:w1~trade.4267:27560</v>
      </c>
      <c r="G4269" s="3">
        <f>_xll.QS.EVALUATE(C4269,F4269)</f>
        <v>30857.255467604395</v>
      </c>
      <c r="H4269" s="5" t="s">
        <v>4310</v>
      </c>
      <c r="I4269" s="7">
        <v>1426700</v>
      </c>
      <c r="J4269" s="8">
        <v>3.6700000000000003E-2</v>
      </c>
    </row>
    <row r="4270" spans="1:10" x14ac:dyDescent="0.25">
      <c r="A4270" s="5" t="s">
        <v>4304</v>
      </c>
      <c r="B4270" s="5" t="s">
        <v>6137</v>
      </c>
      <c r="C4270" s="6" t="str">
        <f>_xll.QS.CONTEXT.CREATE("market.4268",A4270,"USD","SOFR")</f>
        <v>QSObject:PricingContext:w1~market.4268:13319</v>
      </c>
      <c r="D4270" s="6" t="str">
        <f>_xll.QS.CONTEXT.ADD.CURVE(C4270,"SOFR",$K$2:$K$7,$L$2:$L$7,,,"Actual360","LogLinear",TRUE)</f>
        <v>QSObject:ContextInput:w1~input.qs_context_add_curve.2359132437744.4269.3.0:36314</v>
      </c>
      <c r="E4270" s="6" t="str">
        <f>_xll.QS.INSTRUMENT.SWAP("swap.4268",H4270,B4270,"USD","SOFR",I4270,J4270,0,"Actual360","Simple","Annual","Annual","Annual")</f>
        <v>QSObject:Swap:w1~swap.4268:13318</v>
      </c>
      <c r="F4270" s="6" t="str">
        <f>_xll.QS.TRADE.CREATE("trade.4268",E4270,A4270,"Receive")</f>
        <v>QSObject:SwapTrade:w1~trade.4268:27559</v>
      </c>
      <c r="G4270" s="3">
        <f>_xll.QS.EVALUATE(C4270,F4270)</f>
        <v>31420.111478417668</v>
      </c>
      <c r="H4270" s="5" t="s">
        <v>4311</v>
      </c>
      <c r="I4270" s="7">
        <v>1426800</v>
      </c>
      <c r="J4270" s="8">
        <v>3.6800000000000013E-2</v>
      </c>
    </row>
    <row r="4271" spans="1:10" x14ac:dyDescent="0.25">
      <c r="A4271" s="5" t="s">
        <v>4305</v>
      </c>
      <c r="B4271" s="5" t="s">
        <v>6138</v>
      </c>
      <c r="C4271" s="6" t="str">
        <f>_xll.QS.CONTEXT.CREATE("market.4269",A4271,"USD","SOFR")</f>
        <v>QSObject:PricingContext:w1~market.4269:13317</v>
      </c>
      <c r="D4271" s="6" t="str">
        <f>_xll.QS.CONTEXT.ADD.CURVE(C4271,"SOFR",$K$2:$K$7,$L$2:$L$7,,,"Actual360","LogLinear",TRUE)</f>
        <v>QSObject:ContextInput:w1~input.qs_context_add_curve.2359132437744.4270.3.0:36313</v>
      </c>
      <c r="E4271" s="6" t="str">
        <f>_xll.QS.INSTRUMENT.SWAP("swap.4269",H4271,B4271,"USD","SOFR",I4271,J4271,0,"Actual360","Simple","Annual","Annual","Annual")</f>
        <v>QSObject:Swap:w1~swap.4269:13316</v>
      </c>
      <c r="F4271" s="6" t="str">
        <f>_xll.QS.TRADE.CREATE("trade.4269",E4271,A4271,"Receive")</f>
        <v>QSObject:SwapTrade:w1~trade.4269:27558</v>
      </c>
      <c r="G4271" s="3">
        <f>_xll.QS.EVALUATE(C4271,F4271)</f>
        <v>31967.327613383299</v>
      </c>
      <c r="H4271" s="5" t="s">
        <v>4312</v>
      </c>
      <c r="I4271" s="7">
        <v>1426900</v>
      </c>
      <c r="J4271" s="8">
        <v>3.6900000000000002E-2</v>
      </c>
    </row>
    <row r="4272" spans="1:10" x14ac:dyDescent="0.25">
      <c r="A4272" s="5" t="s">
        <v>4306</v>
      </c>
      <c r="B4272" s="5" t="s">
        <v>6139</v>
      </c>
      <c r="C4272" s="6" t="str">
        <f>_xll.QS.CONTEXT.CREATE("market.4270",A4272,"USD","SOFR")</f>
        <v>QSObject:PricingContext:w1~market.4270:13315</v>
      </c>
      <c r="D4272" s="6" t="str">
        <f>_xll.QS.CONTEXT.ADD.CURVE(C4272,"SOFR",$K$2:$K$7,$L$2:$L$7,,,"Actual360","LogLinear",TRUE)</f>
        <v>QSObject:ContextInput:w1~input.qs_context_add_curve.2359132437744.4271.3.0:36312</v>
      </c>
      <c r="E4272" s="6" t="str">
        <f>_xll.QS.INSTRUMENT.SWAP("swap.4270",H4272,B4272,"USD","SOFR",I4272,J4272,0,"Actual360","Simple","Annual","Annual","Annual")</f>
        <v>QSObject:Swap:w1~swap.4270:13314</v>
      </c>
      <c r="F4272" s="6" t="str">
        <f>_xll.QS.TRADE.CREATE("trade.4270",E4272,A4272,"Receive")</f>
        <v>QSObject:SwapTrade:w1~trade.4270:27557</v>
      </c>
      <c r="G4272" s="3">
        <f>_xll.QS.EVALUATE(C4272,F4272)</f>
        <v>32687.488542319959</v>
      </c>
      <c r="H4272" s="5" t="s">
        <v>4313</v>
      </c>
      <c r="I4272" s="7">
        <v>1427000</v>
      </c>
      <c r="J4272" s="8">
        <v>3.7000000000000012E-2</v>
      </c>
    </row>
    <row r="4273" spans="1:10" x14ac:dyDescent="0.25">
      <c r="A4273" s="5" t="s">
        <v>4307</v>
      </c>
      <c r="B4273" s="5" t="s">
        <v>6140</v>
      </c>
      <c r="C4273" s="6" t="str">
        <f>_xll.QS.CONTEXT.CREATE("market.4271",A4273,"USD","SOFR")</f>
        <v>QSObject:PricingContext:w1~market.4271:13313</v>
      </c>
      <c r="D4273" s="6" t="str">
        <f>_xll.QS.CONTEXT.ADD.CURVE(C4273,"SOFR",$K$2:$K$7,$L$2:$L$7,,,"Actual360","LogLinear",TRUE)</f>
        <v>QSObject:ContextInput:w1~input.qs_context_add_curve.2359132437744.4272.3.0:36311</v>
      </c>
      <c r="E4273" s="6" t="str">
        <f>_xll.QS.INSTRUMENT.SWAP("swap.4271",H4273,B4273,"USD","SOFR",I4273,J4273,0,"Actual360","Simple","Annual","Annual","Annual")</f>
        <v>QSObject:Swap:w1~swap.4271:13312</v>
      </c>
      <c r="F4273" s="6" t="str">
        <f>_xll.QS.TRADE.CREATE("trade.4271",E4273,A4273,"Receive")</f>
        <v>QSObject:SwapTrade:w1~trade.4271:27556</v>
      </c>
      <c r="G4273" s="3">
        <f>_xll.QS.EVALUATE(C4273,F4273)</f>
        <v>33386.324083215819</v>
      </c>
      <c r="H4273" s="5" t="s">
        <v>4314</v>
      </c>
      <c r="I4273" s="7">
        <v>1427100</v>
      </c>
      <c r="J4273" s="8">
        <v>3.7100000000000001E-2</v>
      </c>
    </row>
    <row r="4274" spans="1:10" x14ac:dyDescent="0.25">
      <c r="A4274" s="5" t="s">
        <v>4308</v>
      </c>
      <c r="B4274" s="5" t="s">
        <v>6141</v>
      </c>
      <c r="C4274" s="6" t="str">
        <f>_xll.QS.CONTEXT.CREATE("market.4272",A4274,"USD","SOFR")</f>
        <v>QSObject:PricingContext:w1~market.4272:13311</v>
      </c>
      <c r="D4274" s="6" t="str">
        <f>_xll.QS.CONTEXT.ADD.CURVE(C4274,"SOFR",$K$2:$K$7,$L$2:$L$7,,,"Actual360","LogLinear",TRUE)</f>
        <v>QSObject:ContextInput:w1~input.qs_context_add_curve.2359132437744.4273.3.0:36310</v>
      </c>
      <c r="E4274" s="6" t="str">
        <f>_xll.QS.INSTRUMENT.SWAP("swap.4272",H4274,B4274,"USD","SOFR",I4274,J4274,0,"Actual360","Simple","Annual","Annual","Annual")</f>
        <v>QSObject:Swap:w1~swap.4272:13310</v>
      </c>
      <c r="F4274" s="6" t="str">
        <f>_xll.QS.TRADE.CREATE("trade.4272",E4274,A4274,"Receive")</f>
        <v>QSObject:SwapTrade:w1~trade.4272:27555</v>
      </c>
      <c r="G4274" s="3">
        <f>_xll.QS.EVALUATE(C4274,F4274)</f>
        <v>34151.302976811057</v>
      </c>
      <c r="H4274" s="5" t="s">
        <v>4315</v>
      </c>
      <c r="I4274" s="7">
        <v>1427200</v>
      </c>
      <c r="J4274" s="8">
        <v>3.7199999999999997E-2</v>
      </c>
    </row>
    <row r="4275" spans="1:10" x14ac:dyDescent="0.25">
      <c r="A4275" s="5" t="s">
        <v>4309</v>
      </c>
      <c r="B4275" s="5" t="s">
        <v>6142</v>
      </c>
      <c r="C4275" s="6" t="str">
        <f>_xll.QS.CONTEXT.CREATE("market.4273",A4275,"USD","SOFR")</f>
        <v>QSObject:PricingContext:w1~market.4273:13309</v>
      </c>
      <c r="D4275" s="6" t="str">
        <f>_xll.QS.CONTEXT.ADD.CURVE(C4275,"SOFR",$K$2:$K$7,$L$2:$L$7,,,"Actual360","LogLinear",TRUE)</f>
        <v>QSObject:ContextInput:w1~input.qs_context_add_curve.2359132437744.4274.3.0:36309</v>
      </c>
      <c r="E4275" s="6" t="str">
        <f>_xll.QS.INSTRUMENT.SWAP("swap.4273",H4275,B4275,"USD","SOFR",I4275,J4275,0,"Actual360","Simple","Annual","Annual","Annual")</f>
        <v>QSObject:Swap:w1~swap.4273:13308</v>
      </c>
      <c r="F4275" s="6" t="str">
        <f>_xll.QS.TRADE.CREATE("trade.4273",E4275,A4275,"Receive")</f>
        <v>QSObject:SwapTrade:w1~trade.4273:27554</v>
      </c>
      <c r="G4275" s="3">
        <f>_xll.QS.EVALUATE(C4275,F4275)</f>
        <v>34874.217166170623</v>
      </c>
      <c r="H4275" s="5" t="s">
        <v>4316</v>
      </c>
      <c r="I4275" s="7">
        <v>1427300</v>
      </c>
      <c r="J4275" s="8">
        <v>3.73E-2</v>
      </c>
    </row>
    <row r="4276" spans="1:10" x14ac:dyDescent="0.25">
      <c r="A4276" s="5" t="s">
        <v>4310</v>
      </c>
      <c r="B4276" s="5" t="s">
        <v>6143</v>
      </c>
      <c r="C4276" s="6" t="str">
        <f>_xll.QS.CONTEXT.CREATE("market.4274",A4276,"USD","SOFR")</f>
        <v>QSObject:PricingContext:w1~market.4274:13307</v>
      </c>
      <c r="D4276" s="6" t="str">
        <f>_xll.QS.CONTEXT.ADD.CURVE(C4276,"SOFR",$K$2:$K$7,$L$2:$L$7,,,"Actual360","LogLinear",TRUE)</f>
        <v>QSObject:ContextInput:w1~input.qs_context_add_curve.2359132437744.4275.3.0:36308</v>
      </c>
      <c r="E4276" s="6" t="str">
        <f>_xll.QS.INSTRUMENT.SWAP("swap.4274",H4276,B4276,"USD","SOFR",I4276,J4276,0,"Actual360","Simple","Annual","Annual","Annual")</f>
        <v>QSObject:Swap:w1~swap.4274:13306</v>
      </c>
      <c r="F4276" s="6" t="str">
        <f>_xll.QS.TRADE.CREATE("trade.4274",E4276,A4276,"Receive")</f>
        <v>QSObject:SwapTrade:w1~trade.4274:27553</v>
      </c>
      <c r="G4276" s="3">
        <f>_xll.QS.EVALUATE(C4276,F4276)</f>
        <v>35480.005266383021</v>
      </c>
      <c r="H4276" s="5" t="s">
        <v>4317</v>
      </c>
      <c r="I4276" s="7">
        <v>1427400</v>
      </c>
      <c r="J4276" s="8">
        <v>3.7400000000000003E-2</v>
      </c>
    </row>
    <row r="4277" spans="1:10" x14ac:dyDescent="0.25">
      <c r="A4277" s="5" t="s">
        <v>4311</v>
      </c>
      <c r="B4277" s="5" t="s">
        <v>6144</v>
      </c>
      <c r="C4277" s="6" t="str">
        <f>_xll.QS.CONTEXT.CREATE("market.4275",A4277,"USD","SOFR")</f>
        <v>QSObject:PricingContext:w1~market.4275:13305</v>
      </c>
      <c r="D4277" s="6" t="str">
        <f>_xll.QS.CONTEXT.ADD.CURVE(C4277,"SOFR",$K$2:$K$7,$L$2:$L$7,,,"Actual360","LogLinear",TRUE)</f>
        <v>QSObject:ContextInput:w1~input.qs_context_add_curve.2359132437744.4276.3.0:36307</v>
      </c>
      <c r="E4277" s="6" t="str">
        <f>_xll.QS.INSTRUMENT.SWAP("swap.4275",H4277,B4277,"USD","SOFR",I4277,J4277,0,"Actual360","Simple","Annual","Annual","Annual")</f>
        <v>QSObject:Swap:w1~swap.4275:13304</v>
      </c>
      <c r="F4277" s="6" t="str">
        <f>_xll.QS.TRADE.CREATE("trade.4275",E4277,A4277,"Receive")</f>
        <v>QSObject:SwapTrade:w1~trade.4275:27552</v>
      </c>
      <c r="G4277" s="3">
        <f>_xll.QS.EVALUATE(C4277,F4277)</f>
        <v>36038.032600027596</v>
      </c>
      <c r="H4277" s="5" t="s">
        <v>4318</v>
      </c>
      <c r="I4277" s="7">
        <v>1427500</v>
      </c>
      <c r="J4277" s="8">
        <v>3.7500000000000012E-2</v>
      </c>
    </row>
    <row r="4278" spans="1:10" x14ac:dyDescent="0.25">
      <c r="A4278" s="5" t="s">
        <v>4312</v>
      </c>
      <c r="B4278" s="5" t="s">
        <v>6145</v>
      </c>
      <c r="C4278" s="6" t="str">
        <f>_xll.QS.CONTEXT.CREATE("market.4276",A4278,"USD","SOFR")</f>
        <v>QSObject:PricingContext:w1~market.4276:13303</v>
      </c>
      <c r="D4278" s="6" t="str">
        <f>_xll.QS.CONTEXT.ADD.CURVE(C4278,"SOFR",$K$2:$K$7,$L$2:$L$7,,,"Actual360","LogLinear",TRUE)</f>
        <v>QSObject:ContextInput:w1~input.qs_context_add_curve.2359132437744.4277.3.0:36306</v>
      </c>
      <c r="E4278" s="6" t="str">
        <f>_xll.QS.INSTRUMENT.SWAP("swap.4276",H4278,B4278,"USD","SOFR",I4278,J4278,0,"Actual360","Simple","Annual","Annual","Annual")</f>
        <v>QSObject:Swap:w1~swap.4276:13302</v>
      </c>
      <c r="F4278" s="6" t="str">
        <f>_xll.QS.TRADE.CREATE("trade.4276",E4278,A4278,"Receive")</f>
        <v>QSObject:SwapTrade:w1~trade.4276:27551</v>
      </c>
      <c r="G4278" s="3">
        <f>_xll.QS.EVALUATE(C4278,F4278)</f>
        <v>36592.982828365195</v>
      </c>
      <c r="H4278" s="5" t="s">
        <v>4319</v>
      </c>
      <c r="I4278" s="7">
        <v>1427600</v>
      </c>
      <c r="J4278" s="8">
        <v>3.7600000000000001E-2</v>
      </c>
    </row>
    <row r="4279" spans="1:10" x14ac:dyDescent="0.25">
      <c r="A4279" s="5" t="s">
        <v>4313</v>
      </c>
      <c r="B4279" s="5" t="s">
        <v>6146</v>
      </c>
      <c r="C4279" s="6" t="str">
        <f>_xll.QS.CONTEXT.CREATE("market.4277",A4279,"USD","SOFR")</f>
        <v>QSObject:PricingContext:w1~market.4277:13301</v>
      </c>
      <c r="D4279" s="6" t="str">
        <f>_xll.QS.CONTEXT.ADD.CURVE(C4279,"SOFR",$K$2:$K$7,$L$2:$L$7,,,"Actual360","LogLinear",TRUE)</f>
        <v>QSObject:ContextInput:w1~input.qs_context_add_curve.2359132437744.4278.3.0:36305</v>
      </c>
      <c r="E4279" s="6" t="str">
        <f>_xll.QS.INSTRUMENT.SWAP("swap.4277",H4279,B4279,"USD","SOFR",I4279,J4279,0,"Actual360","Simple","Annual","Annual","Annual")</f>
        <v>QSObject:Swap:w1~swap.4277:13300</v>
      </c>
      <c r="F4279" s="6" t="str">
        <f>_xll.QS.TRADE.CREATE("trade.4277",E4279,A4279,"Receive")</f>
        <v>QSObject:SwapTrade:w1~trade.4277:27550</v>
      </c>
      <c r="G4279" s="3">
        <f>_xll.QS.EVALUATE(C4279,F4279)</f>
        <v>37314.265429146377</v>
      </c>
      <c r="H4279" s="5" t="s">
        <v>4320</v>
      </c>
      <c r="I4279" s="7">
        <v>1427700</v>
      </c>
      <c r="J4279" s="8">
        <v>3.7699999999999997E-2</v>
      </c>
    </row>
    <row r="4280" spans="1:10" x14ac:dyDescent="0.25">
      <c r="A4280" s="5" t="s">
        <v>4314</v>
      </c>
      <c r="B4280" s="5" t="s">
        <v>6147</v>
      </c>
      <c r="C4280" s="6" t="str">
        <f>_xll.QS.CONTEXT.CREATE("market.4278",A4280,"USD","SOFR")</f>
        <v>QSObject:PricingContext:w1~market.4278:13299</v>
      </c>
      <c r="D4280" s="6" t="str">
        <f>_xll.QS.CONTEXT.ADD.CURVE(C4280,"SOFR",$K$2:$K$7,$L$2:$L$7,,,"Actual360","LogLinear",TRUE)</f>
        <v>QSObject:ContextInput:w1~input.qs_context_add_curve.2359132437744.4279.3.0:36304</v>
      </c>
      <c r="E4280" s="6" t="str">
        <f>_xll.QS.INSTRUMENT.SWAP("swap.4278",H4280,B4280,"USD","SOFR",I4280,J4280,0,"Actual360","Simple","Annual","Annual","Annual")</f>
        <v>QSObject:Swap:w1~swap.4278:13298</v>
      </c>
      <c r="F4280" s="6" t="str">
        <f>_xll.QS.TRADE.CREATE("trade.4278",E4280,A4280,"Receive")</f>
        <v>QSObject:SwapTrade:w1~trade.4278:27549</v>
      </c>
      <c r="G4280" s="3">
        <f>_xll.QS.EVALUATE(C4280,F4280)</f>
        <v>38011.526142588904</v>
      </c>
      <c r="H4280" s="5" t="s">
        <v>4321</v>
      </c>
      <c r="I4280" s="7">
        <v>1427800</v>
      </c>
      <c r="J4280" s="8">
        <v>3.78E-2</v>
      </c>
    </row>
    <row r="4281" spans="1:10" x14ac:dyDescent="0.25">
      <c r="A4281" s="5" t="s">
        <v>4315</v>
      </c>
      <c r="B4281" s="5" t="s">
        <v>6148</v>
      </c>
      <c r="C4281" s="6" t="str">
        <f>_xll.QS.CONTEXT.CREATE("market.4279",A4281,"USD","SOFR")</f>
        <v>QSObject:PricingContext:w1~market.4279:13297</v>
      </c>
      <c r="D4281" s="6" t="str">
        <f>_xll.QS.CONTEXT.ADD.CURVE(C4281,"SOFR",$K$2:$K$7,$L$2:$L$7,,,"Actual360","LogLinear",TRUE)</f>
        <v>QSObject:ContextInput:w1~input.qs_context_add_curve.2359132437744.4280.3.0:36303</v>
      </c>
      <c r="E4281" s="6" t="str">
        <f>_xll.QS.INSTRUMENT.SWAP("swap.4279",H4281,B4281,"USD","SOFR",I4281,J4281,0,"Actual360","Simple","Annual","Annual","Annual")</f>
        <v>QSObject:Swap:w1~swap.4279:13296</v>
      </c>
      <c r="F4281" s="6" t="str">
        <f>_xll.QS.TRADE.CREATE("trade.4279",E4281,A4281,"Receive")</f>
        <v>QSObject:SwapTrade:w1~trade.4279:27548</v>
      </c>
      <c r="G4281" s="3">
        <f>_xll.QS.EVALUATE(C4281,F4281)</f>
        <v>38777.274819692073</v>
      </c>
      <c r="H4281" s="5" t="s">
        <v>4322</v>
      </c>
      <c r="I4281" s="7">
        <v>1427900</v>
      </c>
      <c r="J4281" s="8">
        <v>3.7900000000000003E-2</v>
      </c>
    </row>
    <row r="4282" spans="1:10" x14ac:dyDescent="0.25">
      <c r="A4282" s="5" t="s">
        <v>4316</v>
      </c>
      <c r="B4282" s="5" t="s">
        <v>6149</v>
      </c>
      <c r="C4282" s="6" t="str">
        <f>_xll.QS.CONTEXT.CREATE("market.4280",A4282,"USD","SOFR")</f>
        <v>QSObject:PricingContext:w1~market.4280:13295</v>
      </c>
      <c r="D4282" s="6" t="str">
        <f>_xll.QS.CONTEXT.ADD.CURVE(C4282,"SOFR",$K$2:$K$7,$L$2:$L$7,,,"Actual360","LogLinear",TRUE)</f>
        <v>QSObject:ContextInput:w1~input.qs_context_add_curve.2359132437744.4281.3.0:36302</v>
      </c>
      <c r="E4282" s="6" t="str">
        <f>_xll.QS.INSTRUMENT.SWAP("swap.4280",H4282,B4282,"USD","SOFR",I4282,J4282,0,"Actual360","Simple","Annual","Annual","Annual")</f>
        <v>QSObject:Swap:w1~swap.4280:13294</v>
      </c>
      <c r="F4282" s="6" t="str">
        <f>_xll.QS.TRADE.CREATE("trade.4280",E4282,A4282,"Receive")</f>
        <v>QSObject:SwapTrade:w1~trade.4280:27547</v>
      </c>
      <c r="G4282" s="3">
        <f>_xll.QS.EVALUATE(C4282,F4282)</f>
        <v>39500.918088431761</v>
      </c>
      <c r="H4282" s="5" t="s">
        <v>4323</v>
      </c>
      <c r="I4282" s="7">
        <v>1428000</v>
      </c>
      <c r="J4282" s="8">
        <v>3.8000000000000013E-2</v>
      </c>
    </row>
    <row r="4283" spans="1:10" x14ac:dyDescent="0.25">
      <c r="A4283" s="5" t="s">
        <v>4317</v>
      </c>
      <c r="B4283" s="5" t="s">
        <v>6150</v>
      </c>
      <c r="C4283" s="6" t="str">
        <f>_xll.QS.CONTEXT.CREATE("market.4281",A4283,"USD","SOFR")</f>
        <v>QSObject:PricingContext:w1~market.4281:13293</v>
      </c>
      <c r="D4283" s="6" t="str">
        <f>_xll.QS.CONTEXT.ADD.CURVE(C4283,"SOFR",$K$2:$K$7,$L$2:$L$7,,,"Actual360","LogLinear",TRUE)</f>
        <v>QSObject:ContextInput:w1~input.qs_context_add_curve.2359132437744.4282.3.0:36301</v>
      </c>
      <c r="E4283" s="6" t="str">
        <f>_xll.QS.INSTRUMENT.SWAP("swap.4281",H4283,B4283,"USD","SOFR",I4283,J4283,0,"Actual360","Simple","Annual","Annual","Annual")</f>
        <v>QSObject:Swap:w1~swap.4281:13292</v>
      </c>
      <c r="F4283" s="6" t="str">
        <f>_xll.QS.TRADE.CREATE("trade.4281",E4283,A4283,"Receive")</f>
        <v>QSObject:SwapTrade:w1~trade.4281:27546</v>
      </c>
      <c r="G4283" s="3">
        <f>_xll.QS.EVALUATE(C4283,F4283)</f>
        <v>40107.274228587696</v>
      </c>
      <c r="H4283" s="5" t="s">
        <v>4324</v>
      </c>
      <c r="I4283" s="7">
        <v>1428100</v>
      </c>
      <c r="J4283" s="8">
        <v>3.8100000000000002E-2</v>
      </c>
    </row>
    <row r="4284" spans="1:10" x14ac:dyDescent="0.25">
      <c r="A4284" s="5" t="s">
        <v>4318</v>
      </c>
      <c r="B4284" s="5" t="s">
        <v>6151</v>
      </c>
      <c r="C4284" s="6" t="str">
        <f>_xll.QS.CONTEXT.CREATE("market.4282",A4284,"USD","SOFR")</f>
        <v>QSObject:PricingContext:w1~market.4282:13291</v>
      </c>
      <c r="D4284" s="6" t="str">
        <f>_xll.QS.CONTEXT.ADD.CURVE(C4284,"SOFR",$K$2:$K$7,$L$2:$L$7,,,"Actual360","LogLinear",TRUE)</f>
        <v>QSObject:ContextInput:w1~input.qs_context_add_curve.2359132437744.4283.3.0:36300</v>
      </c>
      <c r="E4284" s="6" t="str">
        <f>_xll.QS.INSTRUMENT.SWAP("swap.4282",H4284,B4284,"USD","SOFR",I4284,J4284,0,"Actual360","Simple","Annual","Annual","Annual")</f>
        <v>QSObject:Swap:w1~swap.4282:13290</v>
      </c>
      <c r="F4284" s="6" t="str">
        <f>_xll.QS.TRADE.CREATE("trade.4282",E4284,A4284,"Receive")</f>
        <v>QSObject:SwapTrade:w1~trade.4282:27545</v>
      </c>
      <c r="G4284" s="3">
        <f>_xll.QS.EVALUATE(C4284,F4284)</f>
        <v>40737.909568449992</v>
      </c>
      <c r="H4284" s="5" t="s">
        <v>4325</v>
      </c>
      <c r="I4284" s="7">
        <v>1428200</v>
      </c>
      <c r="J4284" s="8">
        <v>3.8199999999999998E-2</v>
      </c>
    </row>
    <row r="4285" spans="1:10" x14ac:dyDescent="0.25">
      <c r="A4285" s="5" t="s">
        <v>4319</v>
      </c>
      <c r="B4285" s="5" t="s">
        <v>6152</v>
      </c>
      <c r="C4285" s="6" t="str">
        <f>_xll.QS.CONTEXT.CREATE("market.4283",A4285,"USD","SOFR")</f>
        <v>QSObject:PricingContext:w1~market.4283:13289</v>
      </c>
      <c r="D4285" s="6" t="str">
        <f>_xll.QS.CONTEXT.ADD.CURVE(C4285,"SOFR",$K$2:$K$7,$L$2:$L$7,,,"Actual360","LogLinear",TRUE)</f>
        <v>QSObject:ContextInput:w1~input.qs_context_add_curve.2359132437744.4284.3.0:36299</v>
      </c>
      <c r="E4285" s="6" t="str">
        <f>_xll.QS.INSTRUMENT.SWAP("swap.4283",H4285,B4285,"USD","SOFR",I4285,J4285,0,"Actual360","Simple","Annual","Annual","Annual")</f>
        <v>QSObject:Swap:w1~swap.4283:13288</v>
      </c>
      <c r="F4285" s="6" t="str">
        <f>_xll.QS.TRADE.CREATE("trade.4283",E4285,A4285,"Receive")</f>
        <v>QSObject:SwapTrade:w1~trade.4283:27544</v>
      </c>
      <c r="G4285" s="3">
        <f>_xll.QS.EVALUATE(C4285,F4285)</f>
        <v>41403.097315387466</v>
      </c>
      <c r="H4285" s="5" t="s">
        <v>4326</v>
      </c>
      <c r="I4285" s="7">
        <v>1428300</v>
      </c>
      <c r="J4285" s="8">
        <v>3.8300000000000001E-2</v>
      </c>
    </row>
    <row r="4286" spans="1:10" x14ac:dyDescent="0.25">
      <c r="A4286" s="5" t="s">
        <v>4320</v>
      </c>
      <c r="B4286" s="5" t="s">
        <v>6153</v>
      </c>
      <c r="C4286" s="6" t="str">
        <f>_xll.QS.CONTEXT.CREATE("market.4284",A4286,"USD","SOFR")</f>
        <v>QSObject:PricingContext:w1~market.4284:13287</v>
      </c>
      <c r="D4286" s="6" t="str">
        <f>_xll.QS.CONTEXT.ADD.CURVE(C4286,"SOFR",$K$2:$K$7,$L$2:$L$7,,,"Actual360","LogLinear",TRUE)</f>
        <v>QSObject:ContextInput:w1~input.qs_context_add_curve.2359132437744.4285.3.0:36298</v>
      </c>
      <c r="E4286" s="6" t="str">
        <f>_xll.QS.INSTRUMENT.SWAP("swap.4284",H4286,B4286,"USD","SOFR",I4286,J4286,0,"Actual360","Simple","Annual","Annual","Annual")</f>
        <v>QSObject:Swap:w1~swap.4284:13286</v>
      </c>
      <c r="F4286" s="6" t="str">
        <f>_xll.QS.TRADE.CREATE("trade.4284",E4286,A4286,"Receive")</f>
        <v>QSObject:SwapTrade:w1~trade.4284:27543</v>
      </c>
      <c r="G4286" s="3">
        <f>_xll.QS.EVALUATE(C4286,F4286)</f>
        <v>41945.563601488837</v>
      </c>
      <c r="H4286" s="5" t="s">
        <v>4327</v>
      </c>
      <c r="I4286" s="7">
        <v>1428400</v>
      </c>
      <c r="J4286" s="8">
        <v>3.8399999999999997E-2</v>
      </c>
    </row>
    <row r="4287" spans="1:10" x14ac:dyDescent="0.25">
      <c r="A4287" s="5" t="s">
        <v>4321</v>
      </c>
      <c r="B4287" s="5" t="s">
        <v>6154</v>
      </c>
      <c r="C4287" s="6" t="str">
        <f>_xll.QS.CONTEXT.CREATE("market.4285",A4287,"USD","SOFR")</f>
        <v>QSObject:PricingContext:w1~market.4285:13285</v>
      </c>
      <c r="D4287" s="6" t="str">
        <f>_xll.QS.CONTEXT.ADD.CURVE(C4287,"SOFR",$K$2:$K$7,$L$2:$L$7,,,"Actual360","LogLinear",TRUE)</f>
        <v>QSObject:ContextInput:w1~input.qs_context_add_curve.2359132437744.4286.3.0:36297</v>
      </c>
      <c r="E4287" s="6" t="str">
        <f>_xll.QS.INSTRUMENT.SWAP("swap.4285",H4287,B4287,"USD","SOFR",I4287,J4287,0,"Actual360","Simple","Annual","Annual","Annual")</f>
        <v>QSObject:Swap:w1~swap.4285:13284</v>
      </c>
      <c r="F4287" s="6" t="str">
        <f>_xll.QS.TRADE.CREATE("trade.4285",E4287,A4287,"Receive")</f>
        <v>QSObject:SwapTrade:w1~trade.4285:27542</v>
      </c>
      <c r="G4287" s="3">
        <f>_xll.QS.EVALUATE(C4287,F4287)</f>
        <v>42641.247291645923</v>
      </c>
      <c r="H4287" s="5" t="s">
        <v>4328</v>
      </c>
      <c r="I4287" s="7">
        <v>1428500</v>
      </c>
      <c r="J4287" s="8">
        <v>3.8500000000000013E-2</v>
      </c>
    </row>
    <row r="4288" spans="1:10" x14ac:dyDescent="0.25">
      <c r="A4288" s="5" t="s">
        <v>4322</v>
      </c>
      <c r="B4288" s="5" t="s">
        <v>6155</v>
      </c>
      <c r="C4288" s="6" t="str">
        <f>_xll.QS.CONTEXT.CREATE("market.4286",A4288,"USD","SOFR")</f>
        <v>QSObject:PricingContext:w1~market.4286:13283</v>
      </c>
      <c r="D4288" s="6" t="str">
        <f>_xll.QS.CONTEXT.ADD.CURVE(C4288,"SOFR",$K$2:$K$7,$L$2:$L$7,,,"Actual360","LogLinear",TRUE)</f>
        <v>QSObject:ContextInput:w1~input.qs_context_add_curve.2359132437744.4287.3.0:36296</v>
      </c>
      <c r="E4288" s="6" t="str">
        <f>_xll.QS.INSTRUMENT.SWAP("swap.4286",H4288,B4288,"USD","SOFR",I4288,J4288,0,"Actual360","Simple","Annual","Annual","Annual")</f>
        <v>QSObject:Swap:w1~swap.4286:13282</v>
      </c>
      <c r="F4288" s="6" t="str">
        <f>_xll.QS.TRADE.CREATE("trade.4286",E4288,A4288,"Receive")</f>
        <v>QSObject:SwapTrade:w1~trade.4286:27541</v>
      </c>
      <c r="G4288" s="3">
        <f>_xll.QS.EVALUATE(C4288,F4288)</f>
        <v>43462.599535501839</v>
      </c>
      <c r="H4288" s="5" t="s">
        <v>4329</v>
      </c>
      <c r="I4288" s="7">
        <v>1428600</v>
      </c>
      <c r="J4288" s="8">
        <v>3.8600000000000002E-2</v>
      </c>
    </row>
    <row r="4289" spans="1:10" x14ac:dyDescent="0.25">
      <c r="A4289" s="5" t="s">
        <v>4323</v>
      </c>
      <c r="B4289" s="5" t="s">
        <v>6156</v>
      </c>
      <c r="C4289" s="6" t="str">
        <f>_xll.QS.CONTEXT.CREATE("market.4287",A4289,"USD","SOFR")</f>
        <v>QSObject:PricingContext:w1~market.4287:13281</v>
      </c>
      <c r="D4289" s="6" t="str">
        <f>_xll.QS.CONTEXT.ADD.CURVE(C4289,"SOFR",$K$2:$K$7,$L$2:$L$7,,,"Actual360","LogLinear",TRUE)</f>
        <v>QSObject:ContextInput:w1~input.qs_context_add_curve.2359132437744.4288.3.0:36295</v>
      </c>
      <c r="E4289" s="6" t="str">
        <f>_xll.QS.INSTRUMENT.SWAP("swap.4287",H4289,B4289,"USD","SOFR",I4289,J4289,0,"Actual360","Simple","Annual","Annual","Annual")</f>
        <v>QSObject:Swap:w1~swap.4287:13280</v>
      </c>
      <c r="F4289" s="6" t="str">
        <f>_xll.QS.TRADE.CREATE("trade.4287",E4289,A4289,"Receive")</f>
        <v>QSObject:SwapTrade:w1~trade.4287:27540</v>
      </c>
      <c r="G4289" s="3">
        <f>_xll.QS.EVALUATE(C4289,F4289)</f>
        <v>44132.138223765163</v>
      </c>
      <c r="H4289" s="5" t="s">
        <v>4330</v>
      </c>
      <c r="I4289" s="7">
        <v>1428700</v>
      </c>
      <c r="J4289" s="8">
        <v>3.8700000000000012E-2</v>
      </c>
    </row>
    <row r="4290" spans="1:10" x14ac:dyDescent="0.25">
      <c r="A4290" s="5" t="s">
        <v>4324</v>
      </c>
      <c r="B4290" s="5" t="s">
        <v>6157</v>
      </c>
      <c r="C4290" s="6" t="str">
        <f>_xll.QS.CONTEXT.CREATE("market.4288",A4290,"USD","SOFR")</f>
        <v>QSObject:PricingContext:w1~market.4288:13279</v>
      </c>
      <c r="D4290" s="6" t="str">
        <f>_xll.QS.CONTEXT.ADD.CURVE(C4290,"SOFR",$K$2:$K$7,$L$2:$L$7,,,"Actual360","LogLinear",TRUE)</f>
        <v>QSObject:ContextInput:w1~input.qs_context_add_curve.2359132437744.4289.3.0:36294</v>
      </c>
      <c r="E4290" s="6" t="str">
        <f>_xll.QS.INSTRUMENT.SWAP("swap.4288",H4290,B4290,"USD","SOFR",I4290,J4290,0,"Actual360","Simple","Annual","Annual","Annual")</f>
        <v>QSObject:Swap:w1~swap.4288:13278</v>
      </c>
      <c r="F4290" s="6" t="str">
        <f>_xll.QS.TRADE.CREATE("trade.4288",E4290,A4290,"Receive")</f>
        <v>QSObject:SwapTrade:w1~trade.4288:27539</v>
      </c>
      <c r="G4290" s="3">
        <f>_xll.QS.EVALUATE(C4290,F4290)</f>
        <v>44739.062354218549</v>
      </c>
      <c r="H4290" s="5" t="s">
        <v>4331</v>
      </c>
      <c r="I4290" s="7">
        <v>1428800</v>
      </c>
      <c r="J4290" s="8">
        <v>3.8800000000000001E-2</v>
      </c>
    </row>
    <row r="4291" spans="1:10" x14ac:dyDescent="0.25">
      <c r="A4291" s="5" t="s">
        <v>4325</v>
      </c>
      <c r="B4291" s="5" t="s">
        <v>6158</v>
      </c>
      <c r="C4291" s="6" t="str">
        <f>_xll.QS.CONTEXT.CREATE("market.4289",A4291,"USD","SOFR")</f>
        <v>QSObject:PricingContext:w1~market.4289:13277</v>
      </c>
      <c r="D4291" s="6" t="str">
        <f>_xll.QS.CONTEXT.ADD.CURVE(C4291,"SOFR",$K$2:$K$7,$L$2:$L$7,,,"Actual360","LogLinear",TRUE)</f>
        <v>QSObject:ContextInput:w1~input.qs_context_add_curve.2359132437744.4290.3.0:36293</v>
      </c>
      <c r="E4291" s="6" t="str">
        <f>_xll.QS.INSTRUMENT.SWAP("swap.4289",H4291,B4291,"USD","SOFR",I4291,J4291,0,"Actual360","Simple","Annual","Annual","Annual")</f>
        <v>QSObject:Swap:w1~swap.4289:13276</v>
      </c>
      <c r="F4291" s="6" t="str">
        <f>_xll.QS.TRADE.CREATE("trade.4289",E4291,A4291,"Receive")</f>
        <v>QSObject:SwapTrade:w1~trade.4289:27538</v>
      </c>
      <c r="G4291" s="3">
        <f>_xll.QS.EVALUATE(C4291,F4291)</f>
        <v>45258.877304653164</v>
      </c>
      <c r="H4291" s="5" t="s">
        <v>4332</v>
      </c>
      <c r="I4291" s="7">
        <v>1428900</v>
      </c>
      <c r="J4291" s="8">
        <v>3.8899999999999997E-2</v>
      </c>
    </row>
    <row r="4292" spans="1:10" x14ac:dyDescent="0.25">
      <c r="A4292" s="5" t="s">
        <v>4326</v>
      </c>
      <c r="B4292" s="5" t="s">
        <v>6159</v>
      </c>
      <c r="C4292" s="6" t="str">
        <f>_xll.QS.CONTEXT.CREATE("market.4290",A4292,"USD","SOFR")</f>
        <v>QSObject:PricingContext:w1~market.4290:13275</v>
      </c>
      <c r="D4292" s="6" t="str">
        <f>_xll.QS.CONTEXT.ADD.CURVE(C4292,"SOFR",$K$2:$K$7,$L$2:$L$7,,,"Actual360","LogLinear",TRUE)</f>
        <v>QSObject:ContextInput:w1~input.qs_context_add_curve.2359132437744.4291.3.0:36292</v>
      </c>
      <c r="E4292" s="6" t="str">
        <f>_xll.QS.INSTRUMENT.SWAP("swap.4290",H4292,B4292,"USD","SOFR",I4292,J4292,0,"Actual360","Simple","Annual","Annual","Annual")</f>
        <v>QSObject:Swap:w1~swap.4290:13274</v>
      </c>
      <c r="F4292" s="6" t="str">
        <f>_xll.QS.TRADE.CREATE("trade.4290",E4292,A4292,"Receive")</f>
        <v>QSObject:SwapTrade:w1~trade.4290:27537</v>
      </c>
      <c r="G4292" s="3">
        <f>_xll.QS.EVALUATE(C4292,F4292)</f>
        <v>45797.362959235354</v>
      </c>
      <c r="H4292" s="5" t="s">
        <v>4333</v>
      </c>
      <c r="I4292" s="7">
        <v>1429000</v>
      </c>
      <c r="J4292" s="8">
        <v>3.9000000000000007E-2</v>
      </c>
    </row>
    <row r="4293" spans="1:10" x14ac:dyDescent="0.25">
      <c r="A4293" s="5" t="s">
        <v>4327</v>
      </c>
      <c r="B4293" s="5" t="s">
        <v>6160</v>
      </c>
      <c r="C4293" s="6" t="str">
        <f>_xll.QS.CONTEXT.CREATE("market.4291",A4293,"USD","SOFR")</f>
        <v>QSObject:PricingContext:w1~market.4291:13273</v>
      </c>
      <c r="D4293" s="6" t="str">
        <f>_xll.QS.CONTEXT.ADD.CURVE(C4293,"SOFR",$K$2:$K$7,$L$2:$L$7,,,"Actual360","LogLinear",TRUE)</f>
        <v>QSObject:ContextInput:w1~input.qs_context_add_curve.2359132437744.4292.3.0:36291</v>
      </c>
      <c r="E4293" s="6" t="str">
        <f>_xll.QS.INSTRUMENT.SWAP("swap.4291",H4293,B4293,"USD","SOFR",I4293,J4293,0,"Actual360","Simple","Annual","Annual","Annual")</f>
        <v>QSObject:Swap:w1~swap.4291:13272</v>
      </c>
      <c r="F4293" s="6" t="str">
        <f>_xll.QS.TRADE.CREATE("trade.4291",E4293,A4293,"Receive")</f>
        <v>QSObject:SwapTrade:w1~trade.4291:27536</v>
      </c>
      <c r="G4293" s="3">
        <f>_xll.QS.EVALUATE(C4293,F4293)</f>
        <v>46520.788906444897</v>
      </c>
      <c r="H4293" s="5" t="s">
        <v>4334</v>
      </c>
      <c r="I4293" s="7">
        <v>1429100</v>
      </c>
      <c r="J4293" s="8">
        <v>3.9100000000000003E-2</v>
      </c>
    </row>
    <row r="4294" spans="1:10" x14ac:dyDescent="0.25">
      <c r="A4294" s="5" t="s">
        <v>4328</v>
      </c>
      <c r="B4294" s="5" t="s">
        <v>6161</v>
      </c>
      <c r="C4294" s="6" t="str">
        <f>_xll.QS.CONTEXT.CREATE("market.4292",A4294,"USD","SOFR")</f>
        <v>QSObject:PricingContext:w1~market.4292:13271</v>
      </c>
      <c r="D4294" s="6" t="str">
        <f>_xll.QS.CONTEXT.ADD.CURVE(C4294,"SOFR",$K$2:$K$7,$L$2:$L$7,,,"Actual360","LogLinear",TRUE)</f>
        <v>QSObject:ContextInput:w1~input.qs_context_add_curve.2359132437744.4293.3.0:36290</v>
      </c>
      <c r="E4294" s="6" t="str">
        <f>_xll.QS.INSTRUMENT.SWAP("swap.4292",H4294,B4294,"USD","SOFR",I4294,J4294,0,"Actual360","Simple","Annual","Annual","Annual")</f>
        <v>QSObject:Swap:w1~swap.4292:13270</v>
      </c>
      <c r="F4294" s="6" t="str">
        <f>_xll.QS.TRADE.CREATE("trade.4292",E4294,A4294,"Receive")</f>
        <v>QSObject:SwapTrade:w1~trade.4292:27535</v>
      </c>
      <c r="G4294" s="3">
        <f>_xll.QS.EVALUATE(C4294,F4294)</f>
        <v>47244.420689387123</v>
      </c>
      <c r="H4294" s="5" t="s">
        <v>4335</v>
      </c>
      <c r="I4294" s="7">
        <v>1429200</v>
      </c>
      <c r="J4294" s="8">
        <v>3.9200000000000013E-2</v>
      </c>
    </row>
    <row r="4295" spans="1:10" x14ac:dyDescent="0.25">
      <c r="A4295" s="5" t="s">
        <v>4329</v>
      </c>
      <c r="B4295" s="5" t="s">
        <v>6162</v>
      </c>
      <c r="C4295" s="6" t="str">
        <f>_xll.QS.CONTEXT.CREATE("market.4293",A4295,"USD","SOFR")</f>
        <v>QSObject:PricingContext:w1~market.4293:13269</v>
      </c>
      <c r="D4295" s="6" t="str">
        <f>_xll.QS.CONTEXT.ADD.CURVE(C4295,"SOFR",$K$2:$K$7,$L$2:$L$7,,,"Actual360","LogLinear",TRUE)</f>
        <v>QSObject:ContextInput:w1~input.qs_context_add_curve.2359132437744.4294.3.0:36289</v>
      </c>
      <c r="E4295" s="6" t="str">
        <f>_xll.QS.INSTRUMENT.SWAP("swap.4293",H4295,B4295,"USD","SOFR",I4295,J4295,0,"Actual360","Simple","Annual","Annual","Annual")</f>
        <v>QSObject:Swap:w1~swap.4293:13268</v>
      </c>
      <c r="F4295" s="6" t="str">
        <f>_xll.QS.TRADE.CREATE("trade.4293",E4295,A4295,"Receive")</f>
        <v>QSObject:SwapTrade:w1~trade.4293:27534</v>
      </c>
      <c r="G4295" s="3">
        <f>_xll.QS.EVALUATE(C4295,F4295)</f>
        <v>48095.421355295432</v>
      </c>
      <c r="H4295" s="5" t="s">
        <v>4336</v>
      </c>
      <c r="I4295" s="7">
        <v>1429300</v>
      </c>
      <c r="J4295" s="8">
        <v>3.9300000000000002E-2</v>
      </c>
    </row>
    <row r="4296" spans="1:10" x14ac:dyDescent="0.25">
      <c r="A4296" s="5" t="s">
        <v>4330</v>
      </c>
      <c r="B4296" s="5" t="s">
        <v>6163</v>
      </c>
      <c r="C4296" s="6" t="str">
        <f>_xll.QS.CONTEXT.CREATE("market.4294",A4296,"USD","SOFR")</f>
        <v>QSObject:PricingContext:w1~market.4294:13267</v>
      </c>
      <c r="D4296" s="6" t="str">
        <f>_xll.QS.CONTEXT.ADD.CURVE(C4296,"SOFR",$K$2:$K$7,$L$2:$L$7,,,"Actual360","LogLinear",TRUE)</f>
        <v>QSObject:ContextInput:w1~input.qs_context_add_curve.2359132437744.4295.3.0:36288</v>
      </c>
      <c r="E4296" s="6" t="str">
        <f>_xll.QS.INSTRUMENT.SWAP("swap.4294",H4296,B4296,"USD","SOFR",I4296,J4296,0,"Actual360","Simple","Annual","Annual","Annual")</f>
        <v>QSObject:Swap:w1~swap.4294:13266</v>
      </c>
      <c r="F4296" s="6" t="str">
        <f>_xll.QS.TRADE.CREATE("trade.4294",E4296,A4296,"Receive")</f>
        <v>QSObject:SwapTrade:w1~trade.4294:27533</v>
      </c>
      <c r="G4296" s="3">
        <f>_xll.QS.EVALUATE(C4296,F4296)</f>
        <v>48771.144786712182</v>
      </c>
      <c r="H4296" s="5" t="s">
        <v>4337</v>
      </c>
      <c r="I4296" s="7">
        <v>1429400</v>
      </c>
      <c r="J4296" s="8">
        <v>3.9399999999999998E-2</v>
      </c>
    </row>
    <row r="4297" spans="1:10" x14ac:dyDescent="0.25">
      <c r="A4297" s="5" t="s">
        <v>4331</v>
      </c>
      <c r="B4297" s="5" t="s">
        <v>6164</v>
      </c>
      <c r="C4297" s="6" t="str">
        <f>_xll.QS.CONTEXT.CREATE("market.4295",A4297,"USD","SOFR")</f>
        <v>QSObject:PricingContext:w1~market.4295:13265</v>
      </c>
      <c r="D4297" s="6" t="str">
        <f>_xll.QS.CONTEXT.ADD.CURVE(C4297,"SOFR",$K$2:$K$7,$L$2:$L$7,,,"Actual360","LogLinear",TRUE)</f>
        <v>QSObject:ContextInput:w1~input.qs_context_add_curve.2359132437744.4296.3.0:36287</v>
      </c>
      <c r="E4297" s="6" t="str">
        <f>_xll.QS.INSTRUMENT.SWAP("swap.4295",H4297,B4297,"USD","SOFR",I4297,J4297,0,"Actual360","Simple","Annual","Annual","Annual")</f>
        <v>QSObject:Swap:w1~swap.4295:13264</v>
      </c>
      <c r="F4297" s="6" t="str">
        <f>_xll.QS.TRADE.CREATE("trade.4295",E4297,A4297,"Receive")</f>
        <v>QSObject:SwapTrade:w1~trade.4295:27532</v>
      </c>
      <c r="G4297" s="3">
        <f>_xll.QS.EVALUATE(C4297,F4297)</f>
        <v>49433.193043514009</v>
      </c>
      <c r="H4297" s="5" t="s">
        <v>4338</v>
      </c>
      <c r="I4297" s="7">
        <v>1429500</v>
      </c>
      <c r="J4297" s="8">
        <v>3.9500000000000007E-2</v>
      </c>
    </row>
    <row r="4298" spans="1:10" x14ac:dyDescent="0.25">
      <c r="A4298" s="5" t="s">
        <v>4332</v>
      </c>
      <c r="B4298" s="5" t="s">
        <v>6165</v>
      </c>
      <c r="C4298" s="6" t="str">
        <f>_xll.QS.CONTEXT.CREATE("market.4296",A4298,"USD","SOFR")</f>
        <v>QSObject:PricingContext:w1~market.4296:13263</v>
      </c>
      <c r="D4298" s="6" t="str">
        <f>_xll.QS.CONTEXT.ADD.CURVE(C4298,"SOFR",$K$2:$K$7,$L$2:$L$7,,,"Actual360","LogLinear",TRUE)</f>
        <v>QSObject:ContextInput:w1~input.qs_context_add_curve.2359132437744.4297.3.0:36286</v>
      </c>
      <c r="E4298" s="6" t="str">
        <f>_xll.QS.INSTRUMENT.SWAP("swap.4296",H4298,B4298,"USD","SOFR",I4298,J4298,0,"Actual360","Simple","Annual","Annual","Annual")</f>
        <v>QSObject:Swap:w1~swap.4296:13262</v>
      </c>
      <c r="F4298" s="6" t="str">
        <f>_xll.QS.TRADE.CREATE("trade.4296",E4298,A4298,"Receive")</f>
        <v>QSObject:SwapTrade:w1~trade.4296:27531</v>
      </c>
      <c r="G4298" s="3">
        <f>_xll.QS.EVALUATE(C4298,F4298)</f>
        <v>49976.760167920562</v>
      </c>
      <c r="H4298" s="5" t="s">
        <v>4339</v>
      </c>
      <c r="I4298" s="7">
        <v>1429600</v>
      </c>
      <c r="J4298" s="8">
        <v>3.9600000000000003E-2</v>
      </c>
    </row>
    <row r="4299" spans="1:10" x14ac:dyDescent="0.25">
      <c r="A4299" s="5" t="s">
        <v>4333</v>
      </c>
      <c r="B4299" s="5" t="s">
        <v>6166</v>
      </c>
      <c r="C4299" s="6" t="str">
        <f>_xll.QS.CONTEXT.CREATE("market.4297",A4299,"USD","SOFR")</f>
        <v>QSObject:PricingContext:w1~market.4297:13261</v>
      </c>
      <c r="D4299" s="6" t="str">
        <f>_xll.QS.CONTEXT.ADD.CURVE(C4299,"SOFR",$K$2:$K$7,$L$2:$L$7,,,"Actual360","LogLinear",TRUE)</f>
        <v>QSObject:ContextInput:w1~input.qs_context_add_curve.2359132437744.4298.3.0:36285</v>
      </c>
      <c r="E4299" s="6" t="str">
        <f>_xll.QS.INSTRUMENT.SWAP("swap.4297",H4299,B4299,"USD","SOFR",I4299,J4299,0,"Actual360","Simple","Annual","Annual","Annual")</f>
        <v>QSObject:Swap:w1~swap.4297:13260</v>
      </c>
      <c r="F4299" s="6" t="str">
        <f>_xll.QS.TRADE.CREATE("trade.4297",E4299,A4299,"Receive")</f>
        <v>QSObject:SwapTrade:w1~trade.4297:27530</v>
      </c>
      <c r="G4299" s="3">
        <f>_xll.QS.EVALUATE(C4299,F4299)</f>
        <v>50555.034409665044</v>
      </c>
      <c r="H4299" s="5" t="s">
        <v>4340</v>
      </c>
      <c r="I4299" s="7">
        <v>1429700</v>
      </c>
      <c r="J4299" s="8">
        <v>3.9700000000000013E-2</v>
      </c>
    </row>
    <row r="4300" spans="1:10" x14ac:dyDescent="0.25">
      <c r="A4300" s="5" t="s">
        <v>4334</v>
      </c>
      <c r="B4300" s="5" t="s">
        <v>6167</v>
      </c>
      <c r="C4300" s="6" t="str">
        <f>_xll.QS.CONTEXT.CREATE("market.4298",A4300,"USD","SOFR")</f>
        <v>QSObject:PricingContext:w1~market.4298:13259</v>
      </c>
      <c r="D4300" s="6" t="str">
        <f>_xll.QS.CONTEXT.ADD.CURVE(C4300,"SOFR",$K$2:$K$7,$L$2:$L$7,,,"Actual360","LogLinear",TRUE)</f>
        <v>QSObject:ContextInput:w1~input.qs_context_add_curve.2359132437744.4299.3.0:36284</v>
      </c>
      <c r="E4300" s="6" t="str">
        <f>_xll.QS.INSTRUMENT.SWAP("swap.4298",H4300,B4300,"USD","SOFR",I4300,J4300,0,"Actual360","Simple","Annual","Annual","Annual")</f>
        <v>QSObject:Swap:w1~swap.4298:13258</v>
      </c>
      <c r="F4300" s="6" t="str">
        <f>_xll.QS.TRADE.CREATE("trade.4298",E4300,A4300,"Receive")</f>
        <v>QSObject:SwapTrade:w1~trade.4298:27529</v>
      </c>
      <c r="G4300" s="3">
        <f>_xll.QS.EVALUATE(C4300,F4300)</f>
        <v>51222.059743669866</v>
      </c>
      <c r="H4300" s="5" t="s">
        <v>4341</v>
      </c>
      <c r="I4300" s="7">
        <v>1429800</v>
      </c>
      <c r="J4300" s="8">
        <v>3.9800000000000002E-2</v>
      </c>
    </row>
    <row r="4301" spans="1:10" x14ac:dyDescent="0.25">
      <c r="A4301" s="5" t="s">
        <v>4335</v>
      </c>
      <c r="B4301" s="5" t="s">
        <v>6168</v>
      </c>
      <c r="C4301" s="6" t="str">
        <f>_xll.QS.CONTEXT.CREATE("market.4299",A4301,"USD","SOFR")</f>
        <v>QSObject:PricingContext:w1~market.4299:13257</v>
      </c>
      <c r="D4301" s="6" t="str">
        <f>_xll.QS.CONTEXT.ADD.CURVE(C4301,"SOFR",$K$2:$K$7,$L$2:$L$7,,,"Actual360","LogLinear",TRUE)</f>
        <v>QSObject:ContextInput:w1~input.qs_context_add_curve.2359132437744.4300.3.0:36283</v>
      </c>
      <c r="E4301" s="6" t="str">
        <f>_xll.QS.INSTRUMENT.SWAP("swap.4299",H4301,B4301,"USD","SOFR",I4301,J4301,0,"Actual360","Simple","Annual","Annual","Annual")</f>
        <v>QSObject:Swap:w1~swap.4299:13256</v>
      </c>
      <c r="F4301" s="6" t="str">
        <f>_xll.QS.TRADE.CREATE("trade.4299",E4301,A4301,"Receive")</f>
        <v>QSObject:SwapTrade:w1~trade.4299:27528</v>
      </c>
      <c r="G4301" s="3">
        <f>_xll.QS.EVALUATE(C4301,F4301)</f>
        <v>51914.854658639568</v>
      </c>
      <c r="H4301" s="5" t="s">
        <v>4342</v>
      </c>
      <c r="I4301" s="7">
        <v>1429900</v>
      </c>
      <c r="J4301" s="8">
        <v>3.9899999999999998E-2</v>
      </c>
    </row>
    <row r="4302" spans="1:10" x14ac:dyDescent="0.25">
      <c r="A4302" s="5" t="s">
        <v>4336</v>
      </c>
      <c r="B4302" s="5" t="s">
        <v>6169</v>
      </c>
      <c r="C4302" s="6" t="str">
        <f>_xll.QS.CONTEXT.CREATE("market.4300",A4302,"USD","SOFR")</f>
        <v>QSObject:PricingContext:w1~market.4300:13255</v>
      </c>
      <c r="D4302" s="6" t="str">
        <f>_xll.QS.CONTEXT.ADD.CURVE(C4302,"SOFR",$K$2:$K$7,$L$2:$L$7,,,"Actual360","LogLinear",TRUE)</f>
        <v>QSObject:ContextInput:w1~input.qs_context_add_curve.2359132437744.4301.3.0:36282</v>
      </c>
      <c r="E4302" s="6" t="str">
        <f>_xll.QS.INSTRUMENT.SWAP("swap.4300",H4302,B4302,"USD","SOFR",I4302,J4302,0,"Actual360","Simple","Annual","Annual","Annual")</f>
        <v>QSObject:Swap:w1~swap.4300:13254</v>
      </c>
      <c r="F4302" s="6" t="str">
        <f>_xll.QS.TRADE.CREATE("trade.4300",E4302,A4302,"Receive")</f>
        <v>QSObject:SwapTrade:w1~trade.4300:27527</v>
      </c>
      <c r="G4302" s="3">
        <f>_xll.QS.EVALUATE(C4302,F4302)</f>
        <v>19711.036526320931</v>
      </c>
      <c r="H4302" s="5" t="s">
        <v>4343</v>
      </c>
      <c r="I4302" s="7">
        <v>1430000</v>
      </c>
      <c r="J4302" s="8">
        <v>3.5000000000000003E-2</v>
      </c>
    </row>
    <row r="4303" spans="1:10" x14ac:dyDescent="0.25">
      <c r="A4303" s="5" t="s">
        <v>4337</v>
      </c>
      <c r="B4303" s="5" t="s">
        <v>6170</v>
      </c>
      <c r="C4303" s="6" t="str">
        <f>_xll.QS.CONTEXT.CREATE("market.4301",A4303,"USD","SOFR")</f>
        <v>QSObject:PricingContext:w1~market.4301:13253</v>
      </c>
      <c r="D4303" s="6" t="str">
        <f>_xll.QS.CONTEXT.ADD.CURVE(C4303,"SOFR",$K$2:$K$7,$L$2:$L$7,,,"Actual360","LogLinear",TRUE)</f>
        <v>QSObject:ContextInput:w1~input.qs_context_add_curve.2359132437744.4302.3.0:36281</v>
      </c>
      <c r="E4303" s="6" t="str">
        <f>_xll.QS.INSTRUMENT.SWAP("swap.4301",H4303,B4303,"USD","SOFR",I4303,J4303,0,"Actual360","Simple","Annual","Annual","Annual")</f>
        <v>QSObject:Swap:w1~swap.4301:13252</v>
      </c>
      <c r="F4303" s="6" t="str">
        <f>_xll.QS.TRADE.CREATE("trade.4301",E4303,A4303,"Receive")</f>
        <v>QSObject:SwapTrade:w1~trade.4301:27526</v>
      </c>
      <c r="G4303" s="3">
        <f>_xll.QS.EVALUATE(C4303,F4303)</f>
        <v>20434.020753190416</v>
      </c>
      <c r="H4303" s="5" t="s">
        <v>4344</v>
      </c>
      <c r="I4303" s="7">
        <v>1430100</v>
      </c>
      <c r="J4303" s="8">
        <v>3.5100000000000013E-2</v>
      </c>
    </row>
    <row r="4304" spans="1:10" x14ac:dyDescent="0.25">
      <c r="A4304" s="5" t="s">
        <v>4338</v>
      </c>
      <c r="B4304" s="5" t="s">
        <v>6171</v>
      </c>
      <c r="C4304" s="6" t="str">
        <f>_xll.QS.CONTEXT.CREATE("market.4302",A4304,"USD","SOFR")</f>
        <v>QSObject:PricingContext:w1~market.4302:13251</v>
      </c>
      <c r="D4304" s="6" t="str">
        <f>_xll.QS.CONTEXT.ADD.CURVE(C4304,"SOFR",$K$2:$K$7,$L$2:$L$7,,,"Actual360","LogLinear",TRUE)</f>
        <v>QSObject:ContextInput:w1~input.qs_context_add_curve.2359132437744.4303.3.0:36280</v>
      </c>
      <c r="E4304" s="6" t="str">
        <f>_xll.QS.INSTRUMENT.SWAP("swap.4302",H4304,B4304,"USD","SOFR",I4304,J4304,0,"Actual360","Simple","Annual","Annual","Annual")</f>
        <v>QSObject:Swap:w1~swap.4302:13250</v>
      </c>
      <c r="F4304" s="6" t="str">
        <f>_xll.QS.TRADE.CREATE("trade.4302",E4304,A4304,"Receive")</f>
        <v>QSObject:SwapTrade:w1~trade.4302:27525</v>
      </c>
      <c r="G4304" s="3">
        <f>_xll.QS.EVALUATE(C4304,F4304)</f>
        <v>21040.137258630974</v>
      </c>
      <c r="H4304" s="5" t="s">
        <v>4345</v>
      </c>
      <c r="I4304" s="7">
        <v>1430200</v>
      </c>
      <c r="J4304" s="8">
        <v>3.5200000000000002E-2</v>
      </c>
    </row>
    <row r="4305" spans="1:10" x14ac:dyDescent="0.25">
      <c r="A4305" s="5" t="s">
        <v>4339</v>
      </c>
      <c r="B4305" s="5" t="s">
        <v>6172</v>
      </c>
      <c r="C4305" s="6" t="str">
        <f>_xll.QS.CONTEXT.CREATE("market.4303",A4305,"USD","SOFR")</f>
        <v>QSObject:PricingContext:w1~market.4303:13249</v>
      </c>
      <c r="D4305" s="6" t="str">
        <f>_xll.QS.CONTEXT.ADD.CURVE(C4305,"SOFR",$K$2:$K$7,$L$2:$L$7,,,"Actual360","LogLinear",TRUE)</f>
        <v>QSObject:ContextInput:w1~input.qs_context_add_curve.2359132437744.4304.3.0:36279</v>
      </c>
      <c r="E4305" s="6" t="str">
        <f>_xll.QS.INSTRUMENT.SWAP("swap.4303",H4305,B4305,"USD","SOFR",I4305,J4305,0,"Actual360","Simple","Annual","Annual","Annual")</f>
        <v>QSObject:Swap:w1~swap.4303:13248</v>
      </c>
      <c r="F4305" s="6" t="str">
        <f>_xll.QS.TRADE.CREATE("trade.4303",E4305,A4305,"Receive")</f>
        <v>QSObject:SwapTrade:w1~trade.4303:27524</v>
      </c>
      <c r="G4305" s="3">
        <f>_xll.QS.EVALUATE(C4305,F4305)</f>
        <v>21615.328105967325</v>
      </c>
      <c r="H4305" s="5" t="s">
        <v>4346</v>
      </c>
      <c r="I4305" s="7">
        <v>1430300</v>
      </c>
      <c r="J4305" s="8">
        <v>3.5299999999999998E-2</v>
      </c>
    </row>
    <row r="4306" spans="1:10" x14ac:dyDescent="0.25">
      <c r="A4306" s="5" t="s">
        <v>4340</v>
      </c>
      <c r="B4306" s="5" t="s">
        <v>6173</v>
      </c>
      <c r="C4306" s="6" t="str">
        <f>_xll.QS.CONTEXT.CREATE("market.4304",A4306,"USD","SOFR")</f>
        <v>QSObject:PricingContext:w1~market.4304:13247</v>
      </c>
      <c r="D4306" s="6" t="str">
        <f>_xll.QS.CONTEXT.ADD.CURVE(C4306,"SOFR",$K$2:$K$7,$L$2:$L$7,,,"Actual360","LogLinear",TRUE)</f>
        <v>QSObject:ContextInput:w1~input.qs_context_add_curve.2359132437744.4305.3.0:36278</v>
      </c>
      <c r="E4306" s="6" t="str">
        <f>_xll.QS.INSTRUMENT.SWAP("swap.4304",H4306,B4306,"USD","SOFR",I4306,J4306,0,"Actual360","Simple","Annual","Annual","Annual")</f>
        <v>QSObject:Swap:w1~swap.4304:13246</v>
      </c>
      <c r="F4306" s="6" t="str">
        <f>_xll.QS.TRADE.CREATE("trade.4304",E4306,A4306,"Receive")</f>
        <v>QSObject:SwapTrade:w1~trade.4304:27523</v>
      </c>
      <c r="G4306" s="3">
        <f>_xll.QS.EVALUATE(C4306,F4306)</f>
        <v>22147.850940636781</v>
      </c>
      <c r="H4306" s="5" t="s">
        <v>4347</v>
      </c>
      <c r="I4306" s="7">
        <v>1430400</v>
      </c>
      <c r="J4306" s="8">
        <v>3.5400000000000001E-2</v>
      </c>
    </row>
    <row r="4307" spans="1:10" x14ac:dyDescent="0.25">
      <c r="A4307" s="5" t="s">
        <v>4341</v>
      </c>
      <c r="B4307" s="5" t="s">
        <v>6174</v>
      </c>
      <c r="C4307" s="6" t="str">
        <f>_xll.QS.CONTEXT.CREATE("market.4305",A4307,"USD","SOFR")</f>
        <v>QSObject:PricingContext:w1~market.4305:13245</v>
      </c>
      <c r="D4307" s="6" t="str">
        <f>_xll.QS.CONTEXT.ADD.CURVE(C4307,"SOFR",$K$2:$K$7,$L$2:$L$7,,,"Actual360","LogLinear",TRUE)</f>
        <v>QSObject:ContextInput:w1~input.qs_context_add_curve.2359132437744.4306.3.0:36277</v>
      </c>
      <c r="E4307" s="6" t="str">
        <f>_xll.QS.INSTRUMENT.SWAP("swap.4305",H4307,B4307,"USD","SOFR",I4307,J4307,0,"Actual360","Simple","Annual","Annual","Annual")</f>
        <v>QSObject:Swap:w1~swap.4305:13244</v>
      </c>
      <c r="F4307" s="6" t="str">
        <f>_xll.QS.TRADE.CREATE("trade.4305",E4307,A4307,"Receive")</f>
        <v>QSObject:SwapTrade:w1~trade.4305:27522</v>
      </c>
      <c r="G4307" s="3">
        <f>_xll.QS.EVALUATE(C4307,F4307)</f>
        <v>22868.121899364567</v>
      </c>
      <c r="H4307" s="5" t="s">
        <v>4348</v>
      </c>
      <c r="I4307" s="7">
        <v>1430500</v>
      </c>
      <c r="J4307" s="8">
        <v>3.5499999999999997E-2</v>
      </c>
    </row>
    <row r="4308" spans="1:10" x14ac:dyDescent="0.25">
      <c r="A4308" s="5" t="s">
        <v>4342</v>
      </c>
      <c r="B4308" s="5" t="s">
        <v>6175</v>
      </c>
      <c r="C4308" s="6" t="str">
        <f>_xll.QS.CONTEXT.CREATE("market.4306",A4308,"USD","SOFR")</f>
        <v>QSObject:PricingContext:w1~market.4306:13243</v>
      </c>
      <c r="D4308" s="6" t="str">
        <f>_xll.QS.CONTEXT.ADD.CURVE(C4308,"SOFR",$K$2:$K$7,$L$2:$L$7,,,"Actual360","LogLinear",TRUE)</f>
        <v>QSObject:ContextInput:w1~input.qs_context_add_curve.2359132437744.4307.3.0:36276</v>
      </c>
      <c r="E4308" s="6" t="str">
        <f>_xll.QS.INSTRUMENT.SWAP("swap.4306",H4308,B4308,"USD","SOFR",I4308,J4308,0,"Actual360","Simple","Annual","Annual","Annual")</f>
        <v>QSObject:Swap:w1~swap.4306:13242</v>
      </c>
      <c r="F4308" s="6" t="str">
        <f>_xll.QS.TRADE.CREATE("trade.4306",E4308,A4308,"Receive")</f>
        <v>QSObject:SwapTrade:w1~trade.4306:27521</v>
      </c>
      <c r="G4308" s="3">
        <f>_xll.QS.EVALUATE(C4308,F4308)</f>
        <v>23572.781902000461</v>
      </c>
      <c r="H4308" s="5" t="s">
        <v>4349</v>
      </c>
      <c r="I4308" s="7">
        <v>1430600</v>
      </c>
      <c r="J4308" s="8">
        <v>3.5600000000000007E-2</v>
      </c>
    </row>
    <row r="4309" spans="1:10" x14ac:dyDescent="0.25">
      <c r="A4309" s="5" t="s">
        <v>4343</v>
      </c>
      <c r="B4309" s="5" t="s">
        <v>6176</v>
      </c>
      <c r="C4309" s="6" t="str">
        <f>_xll.QS.CONTEXT.CREATE("market.4307",A4309,"USD","SOFR")</f>
        <v>QSObject:PricingContext:w1~market.4307:13241</v>
      </c>
      <c r="D4309" s="6" t="str">
        <f>_xll.QS.CONTEXT.ADD.CURVE(C4309,"SOFR",$K$2:$K$7,$L$2:$L$7,,,"Actual360","LogLinear",TRUE)</f>
        <v>QSObject:ContextInput:w1~input.qs_context_add_curve.2359132437744.4308.3.0:36275</v>
      </c>
      <c r="E4309" s="6" t="str">
        <f>_xll.QS.INSTRUMENT.SWAP("swap.4307",H4309,B4309,"USD","SOFR",I4309,J4309,0,"Actual360","Simple","Annual","Annual","Annual")</f>
        <v>QSObject:Swap:w1~swap.4307:13240</v>
      </c>
      <c r="F4309" s="6" t="str">
        <f>_xll.QS.TRADE.CREATE("trade.4307",E4309,A4309,"Receive")</f>
        <v>QSObject:SwapTrade:w1~trade.4307:27520</v>
      </c>
      <c r="G4309" s="3">
        <f>_xll.QS.EVALUATE(C4309,F4309)</f>
        <v>24338.782755995024</v>
      </c>
      <c r="H4309" s="5" t="s">
        <v>4350</v>
      </c>
      <c r="I4309" s="7">
        <v>1430700</v>
      </c>
      <c r="J4309" s="8">
        <v>3.5700000000000003E-2</v>
      </c>
    </row>
    <row r="4310" spans="1:10" x14ac:dyDescent="0.25">
      <c r="A4310" s="5" t="s">
        <v>4344</v>
      </c>
      <c r="B4310" s="5" t="s">
        <v>6177</v>
      </c>
      <c r="C4310" s="6" t="str">
        <f>_xll.QS.CONTEXT.CREATE("market.4308",A4310,"USD","SOFR")</f>
        <v>QSObject:PricingContext:w1~market.4308:13239</v>
      </c>
      <c r="D4310" s="6" t="str">
        <f>_xll.QS.CONTEXT.ADD.CURVE(C4310,"SOFR",$K$2:$K$7,$L$2:$L$7,,,"Actual360","LogLinear",TRUE)</f>
        <v>QSObject:ContextInput:w1~input.qs_context_add_curve.2359132437744.4309.3.0:36274</v>
      </c>
      <c r="E4310" s="6" t="str">
        <f>_xll.QS.INSTRUMENT.SWAP("swap.4308",H4310,B4310,"USD","SOFR",I4310,J4310,0,"Actual360","Simple","Annual","Annual","Annual")</f>
        <v>QSObject:Swap:w1~swap.4308:13238</v>
      </c>
      <c r="F4310" s="6" t="str">
        <f>_xll.QS.TRADE.CREATE("trade.4308",E4310,A4310,"Receive")</f>
        <v>QSObject:SwapTrade:w1~trade.4308:27519</v>
      </c>
      <c r="G4310" s="3">
        <f>_xll.QS.EVALUATE(C4310,F4310)</f>
        <v>25062.658481053964</v>
      </c>
      <c r="H4310" s="5" t="s">
        <v>4351</v>
      </c>
      <c r="I4310" s="7">
        <v>1430800</v>
      </c>
      <c r="J4310" s="8">
        <v>3.5800000000000012E-2</v>
      </c>
    </row>
    <row r="4311" spans="1:10" x14ac:dyDescent="0.25">
      <c r="A4311" s="5" t="s">
        <v>4345</v>
      </c>
      <c r="B4311" s="5" t="s">
        <v>6178</v>
      </c>
      <c r="C4311" s="6" t="str">
        <f>_xll.QS.CONTEXT.CREATE("market.4309",A4311,"USD","SOFR")</f>
        <v>QSObject:PricingContext:w1~market.4309:13237</v>
      </c>
      <c r="D4311" s="6" t="str">
        <f>_xll.QS.CONTEXT.ADD.CURVE(C4311,"SOFR",$K$2:$K$7,$L$2:$L$7,,,"Actual360","LogLinear",TRUE)</f>
        <v>QSObject:ContextInput:w1~input.qs_context_add_curve.2359132437744.4310.3.0:36273</v>
      </c>
      <c r="E4311" s="6" t="str">
        <f>_xll.QS.INSTRUMENT.SWAP("swap.4309",H4311,B4311,"USD","SOFR",I4311,J4311,0,"Actual360","Simple","Annual","Annual","Annual")</f>
        <v>QSObject:Swap:w1~swap.4309:13236</v>
      </c>
      <c r="F4311" s="6" t="str">
        <f>_xll.QS.TRADE.CREATE("trade.4309",E4311,A4311,"Receive")</f>
        <v>QSObject:SwapTrade:w1~trade.4309:27518</v>
      </c>
      <c r="G4311" s="3">
        <f>_xll.QS.EVALUATE(C4311,F4311)</f>
        <v>25669.343005161238</v>
      </c>
      <c r="H4311" s="5" t="s">
        <v>4352</v>
      </c>
      <c r="I4311" s="7">
        <v>1430900</v>
      </c>
      <c r="J4311" s="8">
        <v>3.5900000000000001E-2</v>
      </c>
    </row>
    <row r="4312" spans="1:10" x14ac:dyDescent="0.25">
      <c r="A4312" s="5" t="s">
        <v>4346</v>
      </c>
      <c r="B4312" s="5" t="s">
        <v>6179</v>
      </c>
      <c r="C4312" s="6" t="str">
        <f>_xll.QS.CONTEXT.CREATE("market.4310",A4312,"USD","SOFR")</f>
        <v>QSObject:PricingContext:w1~market.4310:13235</v>
      </c>
      <c r="D4312" s="6" t="str">
        <f>_xll.QS.CONTEXT.ADD.CURVE(C4312,"SOFR",$K$2:$K$7,$L$2:$L$7,,,"Actual360","LogLinear",TRUE)</f>
        <v>QSObject:ContextInput:w1~input.qs_context_add_curve.2359132437744.4311.3.0:36272</v>
      </c>
      <c r="E4312" s="6" t="str">
        <f>_xll.QS.INSTRUMENT.SWAP("swap.4310",H4312,B4312,"USD","SOFR",I4312,J4312,0,"Actual360","Simple","Annual","Annual","Annual")</f>
        <v>QSObject:Swap:w1~swap.4310:13234</v>
      </c>
      <c r="F4312" s="6" t="str">
        <f>_xll.QS.TRADE.CREATE("trade.4310",E4312,A4312,"Receive")</f>
        <v>QSObject:SwapTrade:w1~trade.4310:27517</v>
      </c>
      <c r="G4312" s="3">
        <f>_xll.QS.EVALUATE(C4312,F4312)</f>
        <v>26239.697572449324</v>
      </c>
      <c r="H4312" s="5" t="s">
        <v>4353</v>
      </c>
      <c r="I4312" s="7">
        <v>1431000</v>
      </c>
      <c r="J4312" s="8">
        <v>3.5999999999999997E-2</v>
      </c>
    </row>
    <row r="4313" spans="1:10" x14ac:dyDescent="0.25">
      <c r="A4313" s="5" t="s">
        <v>4347</v>
      </c>
      <c r="B4313" s="5" t="s">
        <v>6180</v>
      </c>
      <c r="C4313" s="6" t="str">
        <f>_xll.QS.CONTEXT.CREATE("market.4311",A4313,"USD","SOFR")</f>
        <v>QSObject:PricingContext:w1~market.4311:13233</v>
      </c>
      <c r="D4313" s="6" t="str">
        <f>_xll.QS.CONTEXT.ADD.CURVE(C4313,"SOFR",$K$2:$K$7,$L$2:$L$7,,,"Actual360","LogLinear",TRUE)</f>
        <v>QSObject:ContextInput:w1~input.qs_context_add_curve.2359132437744.4312.3.0:36271</v>
      </c>
      <c r="E4313" s="6" t="str">
        <f>_xll.QS.INSTRUMENT.SWAP("swap.4311",H4313,B4313,"USD","SOFR",I4313,J4313,0,"Actual360","Simple","Annual","Annual","Annual")</f>
        <v>QSObject:Swap:w1~swap.4311:13232</v>
      </c>
      <c r="F4313" s="6" t="str">
        <f>_xll.QS.TRADE.CREATE("trade.4311",E4313,A4313,"Receive")</f>
        <v>QSObject:SwapTrade:w1~trade.4311:27516</v>
      </c>
      <c r="G4313" s="3">
        <f>_xll.QS.EVALUATE(C4313,F4313)</f>
        <v>26779.964509325808</v>
      </c>
      <c r="H4313" s="5" t="s">
        <v>4354</v>
      </c>
      <c r="I4313" s="7">
        <v>1431100</v>
      </c>
      <c r="J4313" s="8">
        <v>3.61E-2</v>
      </c>
    </row>
    <row r="4314" spans="1:10" x14ac:dyDescent="0.25">
      <c r="A4314" s="5" t="s">
        <v>4348</v>
      </c>
      <c r="B4314" s="5" t="s">
        <v>6181</v>
      </c>
      <c r="C4314" s="6" t="str">
        <f>_xll.QS.CONTEXT.CREATE("market.4312",A4314,"USD","SOFR")</f>
        <v>QSObject:PricingContext:w1~market.4312:13231</v>
      </c>
      <c r="D4314" s="6" t="str">
        <f>_xll.QS.CONTEXT.ADD.CURVE(C4314,"SOFR",$K$2:$K$7,$L$2:$L$7,,,"Actual360","LogLinear",TRUE)</f>
        <v>QSObject:ContextInput:w1~input.qs_context_add_curve.2359132437744.4313.3.0:36270</v>
      </c>
      <c r="E4314" s="6" t="str">
        <f>_xll.QS.INSTRUMENT.SWAP("swap.4312",H4314,B4314,"USD","SOFR",I4314,J4314,0,"Actual360","Simple","Annual","Annual","Annual")</f>
        <v>QSObject:Swap:w1~swap.4312:13230</v>
      </c>
      <c r="F4314" s="6" t="str">
        <f>_xll.QS.TRADE.CREATE("trade.4312",E4314,A4314,"Receive")</f>
        <v>QSObject:SwapTrade:w1~trade.4312:27515</v>
      </c>
      <c r="G4314" s="3">
        <f>_xll.QS.EVALUATE(C4314,F4314)</f>
        <v>27501.357765499641</v>
      </c>
      <c r="H4314" s="5" t="s">
        <v>4355</v>
      </c>
      <c r="I4314" s="7">
        <v>1431200</v>
      </c>
      <c r="J4314" s="8">
        <v>3.6200000000000003E-2</v>
      </c>
    </row>
    <row r="4315" spans="1:10" x14ac:dyDescent="0.25">
      <c r="A4315" s="5" t="s">
        <v>4349</v>
      </c>
      <c r="B4315" s="5" t="s">
        <v>6182</v>
      </c>
      <c r="C4315" s="6" t="str">
        <f>_xll.QS.CONTEXT.CREATE("market.4313",A4315,"USD","SOFR")</f>
        <v>QSObject:PricingContext:w1~market.4313:13229</v>
      </c>
      <c r="D4315" s="6" t="str">
        <f>_xll.QS.CONTEXT.ADD.CURVE(C4315,"SOFR",$K$2:$K$7,$L$2:$L$7,,,"Actual360","LogLinear",TRUE)</f>
        <v>QSObject:ContextInput:w1~input.qs_context_add_curve.2359132437744.4314.3.0:36269</v>
      </c>
      <c r="E4315" s="6" t="str">
        <f>_xll.QS.INSTRUMENT.SWAP("swap.4313",H4315,B4315,"USD","SOFR",I4315,J4315,0,"Actual360","Simple","Annual","Annual","Annual")</f>
        <v>QSObject:Swap:w1~swap.4313:13228</v>
      </c>
      <c r="F4315" s="6" t="str">
        <f>_xll.QS.TRADE.CREATE("trade.4313",E4315,A4315,"Receive")</f>
        <v>QSObject:SwapTrade:w1~trade.4313:27514</v>
      </c>
      <c r="G4315" s="3">
        <f>_xll.QS.EVALUATE(C4315,F4315)</f>
        <v>28204.672980685435</v>
      </c>
      <c r="H4315" s="5" t="s">
        <v>4356</v>
      </c>
      <c r="I4315" s="7">
        <v>1431300</v>
      </c>
      <c r="J4315" s="8">
        <v>3.6300000000000013E-2</v>
      </c>
    </row>
    <row r="4316" spans="1:10" x14ac:dyDescent="0.25">
      <c r="A4316" s="5" t="s">
        <v>4350</v>
      </c>
      <c r="B4316" s="5" t="s">
        <v>6183</v>
      </c>
      <c r="C4316" s="6" t="str">
        <f>_xll.QS.CONTEXT.CREATE("market.4314",A4316,"USD","SOFR")</f>
        <v>QSObject:PricingContext:w1~market.4314:13227</v>
      </c>
      <c r="D4316" s="6" t="str">
        <f>_xll.QS.CONTEXT.ADD.CURVE(C4316,"SOFR",$K$2:$K$7,$L$2:$L$7,,,"Actual360","LogLinear",TRUE)</f>
        <v>QSObject:ContextInput:w1~input.qs_context_add_curve.2359132437744.4315.3.0:36268</v>
      </c>
      <c r="E4316" s="6" t="str">
        <f>_xll.QS.INSTRUMENT.SWAP("swap.4314",H4316,B4316,"USD","SOFR",I4316,J4316,0,"Actual360","Simple","Annual","Annual","Annual")</f>
        <v>QSObject:Swap:w1~swap.4314:13226</v>
      </c>
      <c r="F4316" s="6" t="str">
        <f>_xll.QS.TRADE.CREATE("trade.4314",E4316,A4316,"Receive")</f>
        <v>QSObject:SwapTrade:w1~trade.4314:27513</v>
      </c>
      <c r="G4316" s="3">
        <f>_xll.QS.EVALUATE(C4316,F4316)</f>
        <v>28971.409905804852</v>
      </c>
      <c r="H4316" s="5" t="s">
        <v>4357</v>
      </c>
      <c r="I4316" s="7">
        <v>1431400</v>
      </c>
      <c r="J4316" s="8">
        <v>3.6400000000000002E-2</v>
      </c>
    </row>
    <row r="4317" spans="1:10" x14ac:dyDescent="0.25">
      <c r="A4317" s="5" t="s">
        <v>4351</v>
      </c>
      <c r="B4317" s="5" t="s">
        <v>6184</v>
      </c>
      <c r="C4317" s="6" t="str">
        <f>_xll.QS.CONTEXT.CREATE("market.4315",A4317,"USD","SOFR")</f>
        <v>QSObject:PricingContext:w1~market.4315:13225</v>
      </c>
      <c r="D4317" s="6" t="str">
        <f>_xll.QS.CONTEXT.ADD.CURVE(C4317,"SOFR",$K$2:$K$7,$L$2:$L$7,,,"Actual360","LogLinear",TRUE)</f>
        <v>QSObject:ContextInput:w1~input.qs_context_add_curve.2359132437744.4316.3.0:36267</v>
      </c>
      <c r="E4317" s="6" t="str">
        <f>_xll.QS.INSTRUMENT.SWAP("swap.4315",H4317,B4317,"USD","SOFR",I4317,J4317,0,"Actual360","Simple","Annual","Annual","Annual")</f>
        <v>QSObject:Swap:w1~swap.4315:13224</v>
      </c>
      <c r="F4317" s="6" t="str">
        <f>_xll.QS.TRADE.CREATE("trade.4315",E4317,A4317,"Receive")</f>
        <v>QSObject:SwapTrade:w1~trade.4315:27512</v>
      </c>
      <c r="G4317" s="3">
        <f>_xll.QS.EVALUATE(C4317,F4317)</f>
        <v>29695.815421989537</v>
      </c>
      <c r="H4317" s="5" t="s">
        <v>4358</v>
      </c>
      <c r="I4317" s="7">
        <v>1431500</v>
      </c>
      <c r="J4317" s="8">
        <v>3.6499999999999998E-2</v>
      </c>
    </row>
    <row r="4318" spans="1:10" x14ac:dyDescent="0.25">
      <c r="A4318" s="5" t="s">
        <v>4352</v>
      </c>
      <c r="B4318" s="5" t="s">
        <v>6185</v>
      </c>
      <c r="C4318" s="6" t="str">
        <f>_xll.QS.CONTEXT.CREATE("market.4316",A4318,"USD","SOFR")</f>
        <v>QSObject:PricingContext:w1~market.4316:13223</v>
      </c>
      <c r="D4318" s="6" t="str">
        <f>_xll.QS.CONTEXT.ADD.CURVE(C4318,"SOFR",$K$2:$K$7,$L$2:$L$7,,,"Actual360","LogLinear",TRUE)</f>
        <v>QSObject:ContextInput:w1~input.qs_context_add_curve.2359132437744.4317.3.0:36266</v>
      </c>
      <c r="E4318" s="6" t="str">
        <f>_xll.QS.INSTRUMENT.SWAP("swap.4316",H4318,B4318,"USD","SOFR",I4318,J4318,0,"Actual360","Simple","Annual","Annual","Annual")</f>
        <v>QSObject:Swap:w1~swap.4316:13222</v>
      </c>
      <c r="F4318" s="6" t="str">
        <f>_xll.QS.TRADE.CREATE("trade.4316",E4318,A4318,"Receive")</f>
        <v>QSObject:SwapTrade:w1~trade.4316:27511</v>
      </c>
      <c r="G4318" s="3">
        <f>_xll.QS.EVALUATE(C4318,F4318)</f>
        <v>30302.857801075275</v>
      </c>
      <c r="H4318" s="5" t="s">
        <v>4359</v>
      </c>
      <c r="I4318" s="7">
        <v>1431600</v>
      </c>
      <c r="J4318" s="8">
        <v>3.6600000000000001E-2</v>
      </c>
    </row>
    <row r="4319" spans="1:10" x14ac:dyDescent="0.25">
      <c r="A4319" s="5" t="s">
        <v>4353</v>
      </c>
      <c r="B4319" s="5" t="s">
        <v>6186</v>
      </c>
      <c r="C4319" s="6" t="str">
        <f>_xll.QS.CONTEXT.CREATE("market.4317",A4319,"USD","SOFR")</f>
        <v>QSObject:PricingContext:w1~market.4317:13221</v>
      </c>
      <c r="D4319" s="6" t="str">
        <f>_xll.QS.CONTEXT.ADD.CURVE(C4319,"SOFR",$K$2:$K$7,$L$2:$L$7,,,"Actual360","LogLinear",TRUE)</f>
        <v>QSObject:ContextInput:w1~input.qs_context_add_curve.2359132437744.4318.3.0:36265</v>
      </c>
      <c r="E4319" s="6" t="str">
        <f>_xll.QS.INSTRUMENT.SWAP("swap.4317",H4319,B4319,"USD","SOFR",I4319,J4319,0,"Actual360","Simple","Annual","Annual","Annual")</f>
        <v>QSObject:Swap:w1~swap.4317:13220</v>
      </c>
      <c r="F4319" s="6" t="str">
        <f>_xll.QS.TRADE.CREATE("trade.4317",E4319,A4319,"Receive")</f>
        <v>QSObject:SwapTrade:w1~trade.4317:27510</v>
      </c>
      <c r="G4319" s="3">
        <f>_xll.QS.EVALUATE(C4319,F4319)</f>
        <v>30868.370020412614</v>
      </c>
      <c r="H4319" s="5" t="s">
        <v>4360</v>
      </c>
      <c r="I4319" s="7">
        <v>1431700</v>
      </c>
      <c r="J4319" s="8">
        <v>3.6700000000000003E-2</v>
      </c>
    </row>
    <row r="4320" spans="1:10" x14ac:dyDescent="0.25">
      <c r="A4320" s="5" t="s">
        <v>4354</v>
      </c>
      <c r="B4320" s="5" t="s">
        <v>6187</v>
      </c>
      <c r="C4320" s="6" t="str">
        <f>_xll.QS.CONTEXT.CREATE("market.4318",A4320,"USD","SOFR")</f>
        <v>QSObject:PricingContext:w1~market.4318:13219</v>
      </c>
      <c r="D4320" s="6" t="str">
        <f>_xll.QS.CONTEXT.ADD.CURVE(C4320,"SOFR",$K$2:$K$7,$L$2:$L$7,,,"Actual360","LogLinear",TRUE)</f>
        <v>QSObject:ContextInput:w1~input.qs_context_add_curve.2359132437744.4319.3.0:36264</v>
      </c>
      <c r="E4320" s="6" t="str">
        <f>_xll.QS.INSTRUMENT.SWAP("swap.4318",H4320,B4320,"USD","SOFR",I4320,J4320,0,"Actual360","Simple","Annual","Annual","Annual")</f>
        <v>QSObject:Swap:w1~swap.4318:13218</v>
      </c>
      <c r="F4320" s="6" t="str">
        <f>_xll.QS.TRADE.CREATE("trade.4318",E4320,A4320,"Receive")</f>
        <v>QSObject:SwapTrade:w1~trade.4318:27509</v>
      </c>
      <c r="G4320" s="3">
        <f>_xll.QS.EVALUATE(C4320,F4320)</f>
        <v>31416.385974034696</v>
      </c>
      <c r="H4320" s="5" t="s">
        <v>4361</v>
      </c>
      <c r="I4320" s="7">
        <v>1431800</v>
      </c>
      <c r="J4320" s="8">
        <v>3.6800000000000013E-2</v>
      </c>
    </row>
    <row r="4321" spans="1:10" x14ac:dyDescent="0.25">
      <c r="A4321" s="5" t="s">
        <v>4355</v>
      </c>
      <c r="B4321" s="5" t="s">
        <v>6188</v>
      </c>
      <c r="C4321" s="6" t="str">
        <f>_xll.QS.CONTEXT.CREATE("market.4319",A4321,"USD","SOFR")</f>
        <v>QSObject:PricingContext:w1~market.4319:13217</v>
      </c>
      <c r="D4321" s="6" t="str">
        <f>_xll.QS.CONTEXT.ADD.CURVE(C4321,"SOFR",$K$2:$K$7,$L$2:$L$7,,,"Actual360","LogLinear",TRUE)</f>
        <v>QSObject:ContextInput:w1~input.qs_context_add_curve.2359132437744.4320.3.0:36263</v>
      </c>
      <c r="E4321" s="6" t="str">
        <f>_xll.QS.INSTRUMENT.SWAP("swap.4319",H4321,B4321,"USD","SOFR",I4321,J4321,0,"Actual360","Simple","Annual","Annual","Annual")</f>
        <v>QSObject:Swap:w1~swap.4319:13216</v>
      </c>
      <c r="F4321" s="6" t="str">
        <f>_xll.QS.TRADE.CREATE("trade.4319",E4321,A4321,"Receive")</f>
        <v>QSObject:SwapTrade:w1~trade.4319:27508</v>
      </c>
      <c r="G4321" s="3">
        <f>_xll.QS.EVALUATE(C4321,F4321)</f>
        <v>32138.92649550629</v>
      </c>
      <c r="H4321" s="5" t="s">
        <v>4362</v>
      </c>
      <c r="I4321" s="7">
        <v>1431900</v>
      </c>
      <c r="J4321" s="8">
        <v>3.6900000000000002E-2</v>
      </c>
    </row>
    <row r="4322" spans="1:10" x14ac:dyDescent="0.25">
      <c r="A4322" s="5" t="s">
        <v>4356</v>
      </c>
      <c r="B4322" s="5" t="s">
        <v>6189</v>
      </c>
      <c r="C4322" s="6" t="str">
        <f>_xll.QS.CONTEXT.CREATE("market.4320",A4322,"USD","SOFR")</f>
        <v>QSObject:PricingContext:w1~market.4320:13215</v>
      </c>
      <c r="D4322" s="6" t="str">
        <f>_xll.QS.CONTEXT.ADD.CURVE(C4322,"SOFR",$K$2:$K$7,$L$2:$L$7,,,"Actual360","LogLinear",TRUE)</f>
        <v>QSObject:ContextInput:w1~input.qs_context_add_curve.2359132437744.4321.3.0:36262</v>
      </c>
      <c r="E4322" s="6" t="str">
        <f>_xll.QS.INSTRUMENT.SWAP("swap.4320",H4322,B4322,"USD","SOFR",I4322,J4322,0,"Actual360","Simple","Annual","Annual","Annual")</f>
        <v>QSObject:Swap:w1~swap.4320:13214</v>
      </c>
      <c r="F4322" s="6" t="str">
        <f>_xll.QS.TRADE.CREATE("trade.4320",E4322,A4322,"Receive")</f>
        <v>QSObject:SwapTrade:w1~trade.4320:27507</v>
      </c>
      <c r="G4322" s="3">
        <f>_xll.QS.EVALUATE(C4322,F4322)</f>
        <v>32840.616795240989</v>
      </c>
      <c r="H4322" s="5" t="s">
        <v>4363</v>
      </c>
      <c r="I4322" s="7">
        <v>1432000</v>
      </c>
      <c r="J4322" s="8">
        <v>3.7000000000000012E-2</v>
      </c>
    </row>
    <row r="4323" spans="1:10" x14ac:dyDescent="0.25">
      <c r="A4323" s="5" t="s">
        <v>4357</v>
      </c>
      <c r="B4323" s="5" t="s">
        <v>6190</v>
      </c>
      <c r="C4323" s="6" t="str">
        <f>_xll.QS.CONTEXT.CREATE("market.4321",A4323,"USD","SOFR")</f>
        <v>QSObject:PricingContext:w1~market.4321:13213</v>
      </c>
      <c r="D4323" s="6" t="str">
        <f>_xll.QS.CONTEXT.ADD.CURVE(C4323,"SOFR",$K$2:$K$7,$L$2:$L$7,,,"Actual360","LogLinear",TRUE)</f>
        <v>QSObject:ContextInput:w1~input.qs_context_add_curve.2359132437744.4322.3.0:36261</v>
      </c>
      <c r="E4323" s="6" t="str">
        <f>_xll.QS.INSTRUMENT.SWAP("swap.4321",H4323,B4323,"USD","SOFR",I4323,J4323,0,"Actual360","Simple","Annual","Annual","Annual")</f>
        <v>QSObject:Swap:w1~swap.4321:13212</v>
      </c>
      <c r="F4323" s="6" t="str">
        <f>_xll.QS.TRADE.CREATE("trade.4321",E4323,A4323,"Receive")</f>
        <v>QSObject:SwapTrade:w1~trade.4321:27506</v>
      </c>
      <c r="G4323" s="3">
        <f>_xll.QS.EVALUATE(C4323,F4323)</f>
        <v>33608.157492090242</v>
      </c>
      <c r="H4323" s="5" t="s">
        <v>4364</v>
      </c>
      <c r="I4323" s="7">
        <v>1432100</v>
      </c>
      <c r="J4323" s="8">
        <v>3.7100000000000001E-2</v>
      </c>
    </row>
    <row r="4324" spans="1:10" x14ac:dyDescent="0.25">
      <c r="A4324" s="5" t="s">
        <v>4358</v>
      </c>
      <c r="B4324" s="5" t="s">
        <v>6191</v>
      </c>
      <c r="C4324" s="6" t="str">
        <f>_xll.QS.CONTEXT.CREATE("market.4322",A4324,"USD","SOFR")</f>
        <v>QSObject:PricingContext:w1~market.4322:13211</v>
      </c>
      <c r="D4324" s="6" t="str">
        <f>_xll.QS.CONTEXT.ADD.CURVE(C4324,"SOFR",$K$2:$K$7,$L$2:$L$7,,,"Actual360","LogLinear",TRUE)</f>
        <v>QSObject:ContextInput:w1~input.qs_context_add_curve.2359132437744.4323.3.0:36260</v>
      </c>
      <c r="E4324" s="6" t="str">
        <f>_xll.QS.INSTRUMENT.SWAP("swap.4322",H4324,B4324,"USD","SOFR",I4324,J4324,0,"Actual360","Simple","Annual","Annual","Annual")</f>
        <v>QSObject:Swap:w1~swap.4322:13210</v>
      </c>
      <c r="F4324" s="6" t="str">
        <f>_xll.QS.TRADE.CREATE("trade.4322",E4324,A4324,"Receive")</f>
        <v>QSObject:SwapTrade:w1~trade.4322:27505</v>
      </c>
      <c r="G4324" s="3">
        <f>_xll.QS.EVALUATE(C4324,F4324)</f>
        <v>34333.491575997374</v>
      </c>
      <c r="H4324" s="5" t="s">
        <v>4365</v>
      </c>
      <c r="I4324" s="7">
        <v>1432200</v>
      </c>
      <c r="J4324" s="8">
        <v>3.7199999999999997E-2</v>
      </c>
    </row>
    <row r="4325" spans="1:10" x14ac:dyDescent="0.25">
      <c r="A4325" s="5" t="s">
        <v>4359</v>
      </c>
      <c r="B4325" s="5" t="s">
        <v>6192</v>
      </c>
      <c r="C4325" s="6" t="str">
        <f>_xll.QS.CONTEXT.CREATE("market.4323",A4325,"USD","SOFR")</f>
        <v>QSObject:PricingContext:w1~market.4323:13209</v>
      </c>
      <c r="D4325" s="6" t="str">
        <f>_xll.QS.CONTEXT.ADD.CURVE(C4325,"SOFR",$K$2:$K$7,$L$2:$L$7,,,"Actual360","LogLinear",TRUE)</f>
        <v>QSObject:ContextInput:w1~input.qs_context_add_curve.2359132437744.4324.3.0:36259</v>
      </c>
      <c r="E4325" s="6" t="str">
        <f>_xll.QS.INSTRUMENT.SWAP("swap.4323",H4325,B4325,"USD","SOFR",I4325,J4325,0,"Actual360","Simple","Annual","Annual","Annual")</f>
        <v>QSObject:Swap:w1~swap.4323:13208</v>
      </c>
      <c r="F4325" s="6" t="str">
        <f>_xll.QS.TRADE.CREATE("trade.4323",E4325,A4325,"Receive")</f>
        <v>QSObject:SwapTrade:w1~trade.4323:27504</v>
      </c>
      <c r="G4325" s="3">
        <f>_xll.QS.EVALUATE(C4325,F4325)</f>
        <v>34941.183485823654</v>
      </c>
      <c r="H4325" s="5" t="s">
        <v>4366</v>
      </c>
      <c r="I4325" s="7">
        <v>1432300</v>
      </c>
      <c r="J4325" s="8">
        <v>3.73E-2</v>
      </c>
    </row>
    <row r="4326" spans="1:10" x14ac:dyDescent="0.25">
      <c r="A4326" s="5" t="s">
        <v>4360</v>
      </c>
      <c r="B4326" s="5" t="s">
        <v>6193</v>
      </c>
      <c r="C4326" s="6" t="str">
        <f>_xll.QS.CONTEXT.CREATE("market.4324",A4326,"USD","SOFR")</f>
        <v>QSObject:PricingContext:w1~market.4324:13207</v>
      </c>
      <c r="D4326" s="6" t="str">
        <f>_xll.QS.CONTEXT.ADD.CURVE(C4326,"SOFR",$K$2:$K$7,$L$2:$L$7,,,"Actual360","LogLinear",TRUE)</f>
        <v>QSObject:ContextInput:w1~input.qs_context_add_curve.2359132437744.4325.3.0:36258</v>
      </c>
      <c r="E4326" s="6" t="str">
        <f>_xll.QS.INSTRUMENT.SWAP("swap.4324",H4326,B4326,"USD","SOFR",I4326,J4326,0,"Actual360","Simple","Annual","Annual","Annual")</f>
        <v>QSObject:Swap:w1~swap.4324:13206</v>
      </c>
      <c r="F4326" s="6" t="str">
        <f>_xll.QS.TRADE.CREATE("trade.4324",E4326,A4326,"Receive")</f>
        <v>QSObject:SwapTrade:w1~trade.4324:27503</v>
      </c>
      <c r="G4326" s="3">
        <f>_xll.QS.EVALUATE(C4326,F4326)</f>
        <v>35479.074704628438</v>
      </c>
      <c r="H4326" s="5" t="s">
        <v>4367</v>
      </c>
      <c r="I4326" s="7">
        <v>1432400</v>
      </c>
      <c r="J4326" s="8">
        <v>3.7400000000000003E-2</v>
      </c>
    </row>
    <row r="4327" spans="1:10" x14ac:dyDescent="0.25">
      <c r="A4327" s="5" t="s">
        <v>4361</v>
      </c>
      <c r="B4327" s="5" t="s">
        <v>6194</v>
      </c>
      <c r="C4327" s="6" t="str">
        <f>_xll.QS.CONTEXT.CREATE("market.4325",A4327,"USD","SOFR")</f>
        <v>QSObject:PricingContext:w1~market.4325:13205</v>
      </c>
      <c r="D4327" s="6" t="str">
        <f>_xll.QS.CONTEXT.ADD.CURVE(C4327,"SOFR",$K$2:$K$7,$L$2:$L$7,,,"Actual360","LogLinear",TRUE)</f>
        <v>QSObject:ContextInput:w1~input.qs_context_add_curve.2359132437744.4326.3.0:36257</v>
      </c>
      <c r="E4327" s="6" t="str">
        <f>_xll.QS.INSTRUMENT.SWAP("swap.4325",H4327,B4327,"USD","SOFR",I4327,J4327,0,"Actual360","Simple","Annual","Annual","Annual")</f>
        <v>QSObject:Swap:w1~swap.4325:13204</v>
      </c>
      <c r="F4327" s="6" t="str">
        <f>_xll.QS.TRADE.CREATE("trade.4325",E4327,A4327,"Receive")</f>
        <v>QSObject:SwapTrade:w1~trade.4325:27502</v>
      </c>
      <c r="G4327" s="3">
        <f>_xll.QS.EVALUATE(C4327,F4327)</f>
        <v>36034.215735706566</v>
      </c>
      <c r="H4327" s="5" t="s">
        <v>4368</v>
      </c>
      <c r="I4327" s="7">
        <v>1432500</v>
      </c>
      <c r="J4327" s="8">
        <v>3.7500000000000012E-2</v>
      </c>
    </row>
    <row r="4328" spans="1:10" x14ac:dyDescent="0.25">
      <c r="A4328" s="5" t="s">
        <v>4362</v>
      </c>
      <c r="B4328" s="5" t="s">
        <v>6195</v>
      </c>
      <c r="C4328" s="6" t="str">
        <f>_xll.QS.CONTEXT.CREATE("market.4326",A4328,"USD","SOFR")</f>
        <v>QSObject:PricingContext:w1~market.4326:13203</v>
      </c>
      <c r="D4328" s="6" t="str">
        <f>_xll.QS.CONTEXT.ADD.CURVE(C4328,"SOFR",$K$2:$K$7,$L$2:$L$7,,,"Actual360","LogLinear",TRUE)</f>
        <v>QSObject:ContextInput:w1~input.qs_context_add_curve.2359132437744.4327.3.0:36256</v>
      </c>
      <c r="E4328" s="6" t="str">
        <f>_xll.QS.INSTRUMENT.SWAP("swap.4326",H4328,B4328,"USD","SOFR",I4328,J4328,0,"Actual360","Simple","Annual","Annual","Annual")</f>
        <v>QSObject:Swap:w1~swap.4326:13202</v>
      </c>
      <c r="F4328" s="6" t="str">
        <f>_xll.QS.TRADE.CREATE("trade.4326",E4328,A4328,"Receive")</f>
        <v>QSObject:SwapTrade:w1~trade.4326:27501</v>
      </c>
      <c r="G4328" s="3">
        <f>_xll.QS.EVALUATE(C4328,F4328)</f>
        <v>36757.919438757272</v>
      </c>
      <c r="H4328" s="5" t="s">
        <v>4369</v>
      </c>
      <c r="I4328" s="7">
        <v>1432600</v>
      </c>
      <c r="J4328" s="8">
        <v>3.7600000000000001E-2</v>
      </c>
    </row>
    <row r="4329" spans="1:10" x14ac:dyDescent="0.25">
      <c r="A4329" s="5" t="s">
        <v>4363</v>
      </c>
      <c r="B4329" s="5" t="s">
        <v>6196</v>
      </c>
      <c r="C4329" s="6" t="str">
        <f>_xll.QS.CONTEXT.CREATE("market.4327",A4329,"USD","SOFR")</f>
        <v>QSObject:PricingContext:w1~market.4327:13201</v>
      </c>
      <c r="D4329" s="6" t="str">
        <f>_xll.QS.CONTEXT.ADD.CURVE(C4329,"SOFR",$K$2:$K$7,$L$2:$L$7,,,"Actual360","LogLinear",TRUE)</f>
        <v>QSObject:ContextInput:w1~input.qs_context_add_curve.2359132437744.4328.3.0:36255</v>
      </c>
      <c r="E4329" s="6" t="str">
        <f>_xll.QS.INSTRUMENT.SWAP("swap.4327",H4329,B4329,"USD","SOFR",I4329,J4329,0,"Actual360","Simple","Annual","Annual","Annual")</f>
        <v>QSObject:Swap:w1~swap.4327:13200</v>
      </c>
      <c r="F4329" s="6" t="str">
        <f>_xll.QS.TRADE.CREATE("trade.4327",E4329,A4329,"Receive")</f>
        <v>QSObject:SwapTrade:w1~trade.4327:27500</v>
      </c>
      <c r="G4329" s="3">
        <f>_xll.QS.EVALUATE(C4329,F4329)</f>
        <v>37481.433783522953</v>
      </c>
      <c r="H4329" s="5" t="s">
        <v>4370</v>
      </c>
      <c r="I4329" s="7">
        <v>1432700</v>
      </c>
      <c r="J4329" s="8">
        <v>3.7699999999999997E-2</v>
      </c>
    </row>
    <row r="4330" spans="1:10" x14ac:dyDescent="0.25">
      <c r="A4330" s="5" t="s">
        <v>4364</v>
      </c>
      <c r="B4330" s="5" t="s">
        <v>6197</v>
      </c>
      <c r="C4330" s="6" t="str">
        <f>_xll.QS.CONTEXT.CREATE("market.4328",A4330,"USD","SOFR")</f>
        <v>QSObject:PricingContext:w1~market.4328:13199</v>
      </c>
      <c r="D4330" s="6" t="str">
        <f>_xll.QS.CONTEXT.ADD.CURVE(C4330,"SOFR",$K$2:$K$7,$L$2:$L$7,,,"Actual360","LogLinear",TRUE)</f>
        <v>QSObject:ContextInput:w1~input.qs_context_add_curve.2359132437744.4329.3.0:36254</v>
      </c>
      <c r="E4330" s="6" t="str">
        <f>_xll.QS.INSTRUMENT.SWAP("swap.4328",H4330,B4330,"USD","SOFR",I4330,J4330,0,"Actual360","Simple","Annual","Annual","Annual")</f>
        <v>QSObject:Swap:w1~swap.4328:13198</v>
      </c>
      <c r="F4330" s="6" t="str">
        <f>_xll.QS.TRADE.CREATE("trade.4328",E4330,A4330,"Receive")</f>
        <v>QSObject:SwapTrade:w1~trade.4328:27499</v>
      </c>
      <c r="G4330" s="3">
        <f>_xll.QS.EVALUATE(C4330,F4330)</f>
        <v>38249.471312719848</v>
      </c>
      <c r="H4330" s="5" t="s">
        <v>4371</v>
      </c>
      <c r="I4330" s="7">
        <v>1432800</v>
      </c>
      <c r="J4330" s="8">
        <v>3.78E-2</v>
      </c>
    </row>
    <row r="4331" spans="1:10" x14ac:dyDescent="0.25">
      <c r="A4331" s="5" t="s">
        <v>4365</v>
      </c>
      <c r="B4331" s="5" t="s">
        <v>6198</v>
      </c>
      <c r="C4331" s="6" t="str">
        <f>_xll.QS.CONTEXT.CREATE("market.4329",A4331,"USD","SOFR")</f>
        <v>QSObject:PricingContext:w1~market.4329:13197</v>
      </c>
      <c r="D4331" s="6" t="str">
        <f>_xll.QS.CONTEXT.ADD.CURVE(C4331,"SOFR",$K$2:$K$7,$L$2:$L$7,,,"Actual360","LogLinear",TRUE)</f>
        <v>QSObject:ContextInput:w1~input.qs_context_add_curve.2359132437744.4330.3.0:36253</v>
      </c>
      <c r="E4331" s="6" t="str">
        <f>_xll.QS.INSTRUMENT.SWAP("swap.4329",H4331,B4331,"USD","SOFR",I4331,J4331,0,"Actual360","Simple","Annual","Annual","Annual")</f>
        <v>QSObject:Swap:w1~swap.4329:13196</v>
      </c>
      <c r="F4331" s="6" t="str">
        <f>_xll.QS.TRADE.CREATE("trade.4329",E4331,A4331,"Receive")</f>
        <v>QSObject:SwapTrade:w1~trade.4329:27498</v>
      </c>
      <c r="G4331" s="3">
        <f>_xll.QS.EVALUATE(C4331,F4331)</f>
        <v>38977.541335461618</v>
      </c>
      <c r="H4331" s="5" t="s">
        <v>4372</v>
      </c>
      <c r="I4331" s="7">
        <v>1432900</v>
      </c>
      <c r="J4331" s="8">
        <v>3.7900000000000003E-2</v>
      </c>
    </row>
    <row r="4332" spans="1:10" x14ac:dyDescent="0.25">
      <c r="A4332" s="5" t="s">
        <v>4366</v>
      </c>
      <c r="B4332" s="5" t="s">
        <v>6199</v>
      </c>
      <c r="C4332" s="6" t="str">
        <f>_xll.QS.CONTEXT.CREATE("market.4330",A4332,"USD","SOFR")</f>
        <v>QSObject:PricingContext:w1~market.4330:13195</v>
      </c>
      <c r="D4332" s="6" t="str">
        <f>_xll.QS.CONTEXT.ADD.CURVE(C4332,"SOFR",$K$2:$K$7,$L$2:$L$7,,,"Actual360","LogLinear",TRUE)</f>
        <v>QSObject:ContextInput:w1~input.qs_context_add_curve.2359132437744.4331.3.0:36252</v>
      </c>
      <c r="E4332" s="6" t="str">
        <f>_xll.QS.INSTRUMENT.SWAP("swap.4330",H4332,B4332,"USD","SOFR",I4332,J4332,0,"Actual360","Simple","Annual","Annual","Annual")</f>
        <v>QSObject:Swap:w1~swap.4330:13194</v>
      </c>
      <c r="F4332" s="6" t="str">
        <f>_xll.QS.TRADE.CREATE("trade.4330",E4332,A4332,"Receive")</f>
        <v>QSObject:SwapTrade:w1~trade.4330:27497</v>
      </c>
      <c r="G4332" s="3">
        <f>_xll.QS.EVALUATE(C4332,F4332)</f>
        <v>39641.82377625825</v>
      </c>
      <c r="H4332" s="5" t="s">
        <v>4373</v>
      </c>
      <c r="I4332" s="7">
        <v>1433000</v>
      </c>
      <c r="J4332" s="8">
        <v>3.8000000000000013E-2</v>
      </c>
    </row>
    <row r="4333" spans="1:10" x14ac:dyDescent="0.25">
      <c r="A4333" s="5" t="s">
        <v>4367</v>
      </c>
      <c r="B4333" s="5" t="s">
        <v>6200</v>
      </c>
      <c r="C4333" s="6" t="str">
        <f>_xll.QS.CONTEXT.CREATE("market.4331",A4333,"USD","SOFR")</f>
        <v>QSObject:PricingContext:w1~market.4331:13193</v>
      </c>
      <c r="D4333" s="6" t="str">
        <f>_xll.QS.CONTEXT.ADD.CURVE(C4333,"SOFR",$K$2:$K$7,$L$2:$L$7,,,"Actual360","LogLinear",TRUE)</f>
        <v>QSObject:ContextInput:w1~input.qs_context_add_curve.2359132437744.4332.3.0:36251</v>
      </c>
      <c r="E4333" s="6" t="str">
        <f>_xll.QS.INSTRUMENT.SWAP("swap.4331",H4333,B4333,"USD","SOFR",I4333,J4333,0,"Actual360","Simple","Annual","Annual","Annual")</f>
        <v>QSObject:Swap:w1~swap.4331:13192</v>
      </c>
      <c r="F4333" s="6" t="str">
        <f>_xll.QS.TRADE.CREATE("trade.4331",E4333,A4333,"Receive")</f>
        <v>QSObject:SwapTrade:w1~trade.4331:27496</v>
      </c>
      <c r="G4333" s="3">
        <f>_xll.QS.EVALUATE(C4333,F4333)</f>
        <v>40197.628287056599</v>
      </c>
      <c r="H4333" s="5" t="s">
        <v>4374</v>
      </c>
      <c r="I4333" s="7">
        <v>1433100</v>
      </c>
      <c r="J4333" s="8">
        <v>3.8100000000000002E-2</v>
      </c>
    </row>
    <row r="4334" spans="1:10" x14ac:dyDescent="0.25">
      <c r="A4334" s="5" t="s">
        <v>4368</v>
      </c>
      <c r="B4334" s="5" t="s">
        <v>6201</v>
      </c>
      <c r="C4334" s="6" t="str">
        <f>_xll.QS.CONTEXT.CREATE("market.4332",A4334,"USD","SOFR")</f>
        <v>QSObject:PricingContext:w1~market.4332:13191</v>
      </c>
      <c r="D4334" s="6" t="str">
        <f>_xll.QS.CONTEXT.ADD.CURVE(C4334,"SOFR",$K$2:$K$7,$L$2:$L$7,,,"Actual360","LogLinear",TRUE)</f>
        <v>QSObject:ContextInput:w1~input.qs_context_add_curve.2359132437744.4333.3.0:36250</v>
      </c>
      <c r="E4334" s="6" t="str">
        <f>_xll.QS.INSTRUMENT.SWAP("swap.4332",H4334,B4334,"USD","SOFR",I4334,J4334,0,"Actual360","Simple","Annual","Annual","Annual")</f>
        <v>QSObject:Swap:w1~swap.4332:13190</v>
      </c>
      <c r="F4334" s="6" t="str">
        <f>_xll.QS.TRADE.CREATE("trade.4332",E4334,A4334,"Receive")</f>
        <v>QSObject:SwapTrade:w1~trade.4332:27495</v>
      </c>
      <c r="G4334" s="3">
        <f>_xll.QS.EVALUATE(C4334,F4334)</f>
        <v>40760.98983141184</v>
      </c>
      <c r="H4334" s="5" t="s">
        <v>4375</v>
      </c>
      <c r="I4334" s="7">
        <v>1433200</v>
      </c>
      <c r="J4334" s="8">
        <v>3.8199999999999998E-2</v>
      </c>
    </row>
    <row r="4335" spans="1:10" x14ac:dyDescent="0.25">
      <c r="A4335" s="5" t="s">
        <v>4369</v>
      </c>
      <c r="B4335" s="5" t="s">
        <v>6202</v>
      </c>
      <c r="C4335" s="6" t="str">
        <f>_xll.QS.CONTEXT.CREATE("market.4333",A4335,"USD","SOFR")</f>
        <v>QSObject:PricingContext:w1~market.4333:13189</v>
      </c>
      <c r="D4335" s="6" t="str">
        <f>_xll.QS.CONTEXT.ADD.CURVE(C4335,"SOFR",$K$2:$K$7,$L$2:$L$7,,,"Actual360","LogLinear",TRUE)</f>
        <v>QSObject:ContextInput:w1~input.qs_context_add_curve.2359132437744.4334.3.0:36249</v>
      </c>
      <c r="E4335" s="6" t="str">
        <f>_xll.QS.INSTRUMENT.SWAP("swap.4333",H4335,B4335,"USD","SOFR",I4335,J4335,0,"Actual360","Simple","Annual","Annual","Annual")</f>
        <v>QSObject:Swap:w1~swap.4333:13188</v>
      </c>
      <c r="F4335" s="6" t="str">
        <f>_xll.QS.TRADE.CREATE("trade.4333",E4335,A4335,"Receive")</f>
        <v>QSObject:SwapTrade:w1~trade.4333:27494</v>
      </c>
      <c r="G4335" s="3">
        <f>_xll.QS.EVALUATE(C4335,F4335)</f>
        <v>41428.193077001342</v>
      </c>
      <c r="H4335" s="5" t="s">
        <v>4376</v>
      </c>
      <c r="I4335" s="7">
        <v>1433300</v>
      </c>
      <c r="J4335" s="8">
        <v>3.8300000000000001E-2</v>
      </c>
    </row>
    <row r="4336" spans="1:10" x14ac:dyDescent="0.25">
      <c r="A4336" s="5" t="s">
        <v>4370</v>
      </c>
      <c r="B4336" s="5" t="s">
        <v>6203</v>
      </c>
      <c r="C4336" s="6" t="str">
        <f>_xll.QS.CONTEXT.CREATE("market.4334",A4336,"USD","SOFR")</f>
        <v>QSObject:PricingContext:w1~market.4334:13187</v>
      </c>
      <c r="D4336" s="6" t="str">
        <f>_xll.QS.CONTEXT.ADD.CURVE(C4336,"SOFR",$K$2:$K$7,$L$2:$L$7,,,"Actual360","LogLinear",TRUE)</f>
        <v>QSObject:ContextInput:w1~input.qs_context_add_curve.2359132437744.4335.3.0:36248</v>
      </c>
      <c r="E4336" s="6" t="str">
        <f>_xll.QS.INSTRUMENT.SWAP("swap.4334",H4336,B4336,"USD","SOFR",I4336,J4336,0,"Actual360","Simple","Annual","Annual","Annual")</f>
        <v>QSObject:Swap:w1~swap.4334:13186</v>
      </c>
      <c r="F4336" s="6" t="str">
        <f>_xll.QS.TRADE.CREATE("trade.4334",E4336,A4336,"Receive")</f>
        <v>QSObject:SwapTrade:w1~trade.4334:27493</v>
      </c>
      <c r="G4336" s="3">
        <f>_xll.QS.EVALUATE(C4336,F4336)</f>
        <v>42126.528047216336</v>
      </c>
      <c r="H4336" s="5" t="s">
        <v>4377</v>
      </c>
      <c r="I4336" s="7">
        <v>1433400</v>
      </c>
      <c r="J4336" s="8">
        <v>3.8399999999999997E-2</v>
      </c>
    </row>
    <row r="4337" spans="1:10" x14ac:dyDescent="0.25">
      <c r="A4337" s="5" t="s">
        <v>4371</v>
      </c>
      <c r="B4337" s="5" t="s">
        <v>6204</v>
      </c>
      <c r="C4337" s="6" t="str">
        <f>_xll.QS.CONTEXT.CREATE("market.4335",A4337,"USD","SOFR")</f>
        <v>QSObject:PricingContext:w1~market.4335:13185</v>
      </c>
      <c r="D4337" s="6" t="str">
        <f>_xll.QS.CONTEXT.ADD.CURVE(C4337,"SOFR",$K$2:$K$7,$L$2:$L$7,,,"Actual360","LogLinear",TRUE)</f>
        <v>QSObject:ContextInput:w1~input.qs_context_add_curve.2359132437744.4336.3.0:36247</v>
      </c>
      <c r="E4337" s="6" t="str">
        <f>_xll.QS.INSTRUMENT.SWAP("swap.4335",H4337,B4337,"USD","SOFR",I4337,J4337,0,"Actual360","Simple","Annual","Annual","Annual")</f>
        <v>QSObject:Swap:w1~swap.4335:13184</v>
      </c>
      <c r="F4337" s="6" t="str">
        <f>_xll.QS.TRADE.CREATE("trade.4335",E4337,A4337,"Receive")</f>
        <v>QSObject:SwapTrade:w1~trade.4335:27492</v>
      </c>
      <c r="G4337" s="3">
        <f>_xll.QS.EVALUATE(C4337,F4337)</f>
        <v>42895.608872975616</v>
      </c>
      <c r="H4337" s="5" t="s">
        <v>4378</v>
      </c>
      <c r="I4337" s="7">
        <v>1433500</v>
      </c>
      <c r="J4337" s="8">
        <v>3.8500000000000013E-2</v>
      </c>
    </row>
    <row r="4338" spans="1:10" x14ac:dyDescent="0.25">
      <c r="A4338" s="5" t="s">
        <v>4372</v>
      </c>
      <c r="B4338" s="5" t="s">
        <v>6205</v>
      </c>
      <c r="C4338" s="6" t="str">
        <f>_xll.QS.CONTEXT.CREATE("market.4336",A4338,"USD","SOFR")</f>
        <v>QSObject:PricingContext:w1~market.4336:13183</v>
      </c>
      <c r="D4338" s="6" t="str">
        <f>_xll.QS.CONTEXT.ADD.CURVE(C4338,"SOFR",$K$2:$K$7,$L$2:$L$7,,,"Actual360","LogLinear",TRUE)</f>
        <v>QSObject:ContextInput:w1~input.qs_context_add_curve.2359132437744.4337.3.0:36246</v>
      </c>
      <c r="E4338" s="6" t="str">
        <f>_xll.QS.INSTRUMENT.SWAP("swap.4336",H4338,B4338,"USD","SOFR",I4338,J4338,0,"Actual360","Simple","Annual","Annual","Annual")</f>
        <v>QSObject:Swap:w1~swap.4336:13182</v>
      </c>
      <c r="F4338" s="6" t="str">
        <f>_xll.QS.TRADE.CREATE("trade.4336",E4338,A4338,"Receive")</f>
        <v>QSObject:SwapTrade:w1~trade.4336:27491</v>
      </c>
      <c r="G4338" s="3">
        <f>_xll.QS.EVALUATE(C4338,F4338)</f>
        <v>43594.932375983248</v>
      </c>
      <c r="H4338" s="5" t="s">
        <v>4379</v>
      </c>
      <c r="I4338" s="7">
        <v>1433600</v>
      </c>
      <c r="J4338" s="8">
        <v>3.8600000000000002E-2</v>
      </c>
    </row>
    <row r="4339" spans="1:10" x14ac:dyDescent="0.25">
      <c r="A4339" s="5" t="s">
        <v>4373</v>
      </c>
      <c r="B4339" s="5" t="s">
        <v>6206</v>
      </c>
      <c r="C4339" s="6" t="str">
        <f>_xll.QS.CONTEXT.CREATE("market.4337",A4339,"USD","SOFR")</f>
        <v>QSObject:PricingContext:w1~market.4337:13181</v>
      </c>
      <c r="D4339" s="6" t="str">
        <f>_xll.QS.CONTEXT.ADD.CURVE(C4339,"SOFR",$K$2:$K$7,$L$2:$L$7,,,"Actual360","LogLinear",TRUE)</f>
        <v>QSObject:ContextInput:w1~input.qs_context_add_curve.2359132437744.4338.3.0:36245</v>
      </c>
      <c r="E4339" s="6" t="str">
        <f>_xll.QS.INSTRUMENT.SWAP("swap.4337",H4339,B4339,"USD","SOFR",I4339,J4339,0,"Actual360","Simple","Annual","Annual","Annual")</f>
        <v>QSObject:Swap:w1~swap.4337:13180</v>
      </c>
      <c r="F4339" s="6" t="str">
        <f>_xll.QS.TRADE.CREATE("trade.4337",E4339,A4339,"Receive")</f>
        <v>QSObject:SwapTrade:w1~trade.4337:27490</v>
      </c>
      <c r="G4339" s="3">
        <f>_xll.QS.EVALUATE(C4339,F4339)</f>
        <v>44198.740986186582</v>
      </c>
      <c r="H4339" s="5" t="s">
        <v>4380</v>
      </c>
      <c r="I4339" s="7">
        <v>1433700</v>
      </c>
      <c r="J4339" s="8">
        <v>3.8700000000000012E-2</v>
      </c>
    </row>
    <row r="4340" spans="1:10" x14ac:dyDescent="0.25">
      <c r="A4340" s="5" t="s">
        <v>4374</v>
      </c>
      <c r="B4340" s="5" t="s">
        <v>6207</v>
      </c>
      <c r="C4340" s="6" t="str">
        <f>_xll.QS.CONTEXT.CREATE("market.4338",A4340,"USD","SOFR")</f>
        <v>QSObject:PricingContext:w1~market.4338:13179</v>
      </c>
      <c r="D4340" s="6" t="str">
        <f>_xll.QS.CONTEXT.ADD.CURVE(C4340,"SOFR",$K$2:$K$7,$L$2:$L$7,,,"Actual360","LogLinear",TRUE)</f>
        <v>QSObject:ContextInput:w1~input.qs_context_add_curve.2359132437744.4339.3.0:36244</v>
      </c>
      <c r="E4340" s="6" t="str">
        <f>_xll.QS.INSTRUMENT.SWAP("swap.4338",H4340,B4340,"USD","SOFR",I4340,J4340,0,"Actual360","Simple","Annual","Annual","Annual")</f>
        <v>QSObject:Swap:w1~swap.4338:13178</v>
      </c>
      <c r="F4340" s="6" t="str">
        <f>_xll.QS.TRADE.CREATE("trade.4338",E4340,A4340,"Receive")</f>
        <v>QSObject:SwapTrade:w1~trade.4338:27489</v>
      </c>
      <c r="G4340" s="3">
        <f>_xll.QS.EVALUATE(C4340,F4340)</f>
        <v>44782.242937242656</v>
      </c>
      <c r="H4340" s="5" t="s">
        <v>4381</v>
      </c>
      <c r="I4340" s="7">
        <v>1433800</v>
      </c>
      <c r="J4340" s="8">
        <v>3.8800000000000001E-2</v>
      </c>
    </row>
    <row r="4341" spans="1:10" x14ac:dyDescent="0.25">
      <c r="A4341" s="5" t="s">
        <v>4375</v>
      </c>
      <c r="B4341" s="5" t="s">
        <v>6208</v>
      </c>
      <c r="C4341" s="6" t="str">
        <f>_xll.QS.CONTEXT.CREATE("market.4339",A4341,"USD","SOFR")</f>
        <v>QSObject:PricingContext:w1~market.4339:13177</v>
      </c>
      <c r="D4341" s="6" t="str">
        <f>_xll.QS.CONTEXT.ADD.CURVE(C4341,"SOFR",$K$2:$K$7,$L$2:$L$7,,,"Actual360","LogLinear",TRUE)</f>
        <v>QSObject:ContextInput:w1~input.qs_context_add_curve.2359132437744.4340.3.0:36243</v>
      </c>
      <c r="E4341" s="6" t="str">
        <f>_xll.QS.INSTRUMENT.SWAP("swap.4339",H4341,B4341,"USD","SOFR",I4341,J4341,0,"Actual360","Simple","Annual","Annual","Annual")</f>
        <v>QSObject:Swap:w1~swap.4339:13176</v>
      </c>
      <c r="F4341" s="6" t="str">
        <f>_xll.QS.TRADE.CREATE("trade.4339",E4341,A4341,"Receive")</f>
        <v>QSObject:SwapTrade:w1~trade.4339:27488</v>
      </c>
      <c r="G4341" s="3">
        <f>_xll.QS.EVALUATE(C4341,F4341)</f>
        <v>45353.527754249451</v>
      </c>
      <c r="H4341" s="5" t="s">
        <v>4382</v>
      </c>
      <c r="I4341" s="7">
        <v>1433900</v>
      </c>
      <c r="J4341" s="8">
        <v>3.8899999999999997E-2</v>
      </c>
    </row>
    <row r="4342" spans="1:10" x14ac:dyDescent="0.25">
      <c r="A4342" s="5" t="s">
        <v>4376</v>
      </c>
      <c r="B4342" s="5" t="s">
        <v>6209</v>
      </c>
      <c r="C4342" s="6" t="str">
        <f>_xll.QS.CONTEXT.CREATE("market.4340",A4342,"USD","SOFR")</f>
        <v>QSObject:PricingContext:w1~market.4340:13175</v>
      </c>
      <c r="D4342" s="6" t="str">
        <f>_xll.QS.CONTEXT.ADD.CURVE(C4342,"SOFR",$K$2:$K$7,$L$2:$L$7,,,"Actual360","LogLinear",TRUE)</f>
        <v>QSObject:ContextInput:w1~input.qs_context_add_curve.2359132437744.4341.3.0:36242</v>
      </c>
      <c r="E4342" s="6" t="str">
        <f>_xll.QS.INSTRUMENT.SWAP("swap.4340",H4342,B4342,"USD","SOFR",I4342,J4342,0,"Actual360","Simple","Annual","Annual","Annual")</f>
        <v>QSObject:Swap:w1~swap.4340:13174</v>
      </c>
      <c r="F4342" s="6" t="str">
        <f>_xll.QS.TRADE.CREATE("trade.4340",E4342,A4342,"Receive")</f>
        <v>QSObject:SwapTrade:w1~trade.4340:27487</v>
      </c>
      <c r="G4342" s="3">
        <f>_xll.QS.EVALUATE(C4342,F4342)</f>
        <v>46132.322705308507</v>
      </c>
      <c r="H4342" s="5" t="s">
        <v>4383</v>
      </c>
      <c r="I4342" s="7">
        <v>1434000</v>
      </c>
      <c r="J4342" s="8">
        <v>3.9000000000000007E-2</v>
      </c>
    </row>
    <row r="4343" spans="1:10" x14ac:dyDescent="0.25">
      <c r="A4343" s="5" t="s">
        <v>4377</v>
      </c>
      <c r="B4343" s="5" t="s">
        <v>6210</v>
      </c>
      <c r="C4343" s="6" t="str">
        <f>_xll.QS.CONTEXT.CREATE("market.4341",A4343,"USD","SOFR")</f>
        <v>QSObject:PricingContext:w1~market.4341:13173</v>
      </c>
      <c r="D4343" s="6" t="str">
        <f>_xll.QS.CONTEXT.ADD.CURVE(C4343,"SOFR",$K$2:$K$7,$L$2:$L$7,,,"Actual360","LogLinear",TRUE)</f>
        <v>QSObject:ContextInput:w1~input.qs_context_add_curve.2359132437744.4342.3.0:36241</v>
      </c>
      <c r="E4343" s="6" t="str">
        <f>_xll.QS.INSTRUMENT.SWAP("swap.4341",H4343,B4343,"USD","SOFR",I4343,J4343,0,"Actual360","Simple","Annual","Annual","Annual")</f>
        <v>QSObject:Swap:w1~swap.4341:13172</v>
      </c>
      <c r="F4343" s="6" t="str">
        <f>_xll.QS.TRADE.CREATE("trade.4341",E4343,A4343,"Receive")</f>
        <v>QSObject:SwapTrade:w1~trade.4341:27486</v>
      </c>
      <c r="G4343" s="3">
        <f>_xll.QS.EVALUATE(C4343,F4343)</f>
        <v>46940.155983307304</v>
      </c>
      <c r="H4343" s="5" t="s">
        <v>4384</v>
      </c>
      <c r="I4343" s="7">
        <v>1434100</v>
      </c>
      <c r="J4343" s="8">
        <v>3.9100000000000003E-2</v>
      </c>
    </row>
    <row r="4344" spans="1:10" x14ac:dyDescent="0.25">
      <c r="A4344" s="5" t="s">
        <v>4378</v>
      </c>
      <c r="B4344" s="5" t="s">
        <v>6211</v>
      </c>
      <c r="C4344" s="6" t="str">
        <f>_xll.QS.CONTEXT.CREATE("market.4342",A4344,"USD","SOFR")</f>
        <v>QSObject:PricingContext:w1~market.4342:13171</v>
      </c>
      <c r="D4344" s="6" t="str">
        <f>_xll.QS.CONTEXT.ADD.CURVE(C4344,"SOFR",$K$2:$K$7,$L$2:$L$7,,,"Actual360","LogLinear",TRUE)</f>
        <v>QSObject:ContextInput:w1~input.qs_context_add_curve.2359132437744.4343.3.0:36240</v>
      </c>
      <c r="E4344" s="6" t="str">
        <f>_xll.QS.INSTRUMENT.SWAP("swap.4342",H4344,B4344,"USD","SOFR",I4344,J4344,0,"Actual360","Simple","Annual","Annual","Annual")</f>
        <v>QSObject:Swap:w1~swap.4342:13170</v>
      </c>
      <c r="F4344" s="6" t="str">
        <f>_xll.QS.TRADE.CREATE("trade.4342",E4344,A4344,"Receive")</f>
        <v>QSObject:SwapTrade:w1~trade.4342:27485</v>
      </c>
      <c r="G4344" s="3">
        <f>_xll.QS.EVALUATE(C4344,F4344)</f>
        <v>47612.977831704215</v>
      </c>
      <c r="H4344" s="5" t="s">
        <v>4385</v>
      </c>
      <c r="I4344" s="7">
        <v>1434200</v>
      </c>
      <c r="J4344" s="8">
        <v>3.9200000000000013E-2</v>
      </c>
    </row>
    <row r="4345" spans="1:10" x14ac:dyDescent="0.25">
      <c r="A4345" s="5" t="s">
        <v>4379</v>
      </c>
      <c r="B4345" s="5" t="s">
        <v>6212</v>
      </c>
      <c r="C4345" s="6" t="str">
        <f>_xll.QS.CONTEXT.CREATE("market.4343",A4345,"USD","SOFR")</f>
        <v>QSObject:PricingContext:w1~market.4343:13169</v>
      </c>
      <c r="D4345" s="6" t="str">
        <f>_xll.QS.CONTEXT.ADD.CURVE(C4345,"SOFR",$K$2:$K$7,$L$2:$L$7,,,"Actual360","LogLinear",TRUE)</f>
        <v>QSObject:ContextInput:w1~input.qs_context_add_curve.2359132437744.4344.3.0:36239</v>
      </c>
      <c r="E4345" s="6" t="str">
        <f>_xll.QS.INSTRUMENT.SWAP("swap.4343",H4345,B4345,"USD","SOFR",I4345,J4345,0,"Actual360","Simple","Annual","Annual","Annual")</f>
        <v>QSObject:Swap:w1~swap.4343:13168</v>
      </c>
      <c r="F4345" s="6" t="str">
        <f>_xll.QS.TRADE.CREATE("trade.4343",E4345,A4345,"Receive")</f>
        <v>QSObject:SwapTrade:w1~trade.4343:27484</v>
      </c>
      <c r="G4345" s="3">
        <f>_xll.QS.EVALUATE(C4345,F4345)</f>
        <v>48273.835429172585</v>
      </c>
      <c r="H4345" s="5" t="s">
        <v>4386</v>
      </c>
      <c r="I4345" s="7">
        <v>1434300</v>
      </c>
      <c r="J4345" s="8">
        <v>3.9300000000000002E-2</v>
      </c>
    </row>
    <row r="4346" spans="1:10" x14ac:dyDescent="0.25">
      <c r="A4346" s="5" t="s">
        <v>4380</v>
      </c>
      <c r="B4346" s="5" t="s">
        <v>6213</v>
      </c>
      <c r="C4346" s="6" t="str">
        <f>_xll.QS.CONTEXT.CREATE("market.4344",A4346,"USD","SOFR")</f>
        <v>QSObject:PricingContext:w1~market.4344:13167</v>
      </c>
      <c r="D4346" s="6" t="str">
        <f>_xll.QS.CONTEXT.ADD.CURVE(C4346,"SOFR",$K$2:$K$7,$L$2:$L$7,,,"Actual360","LogLinear",TRUE)</f>
        <v>QSObject:ContextInput:w1~input.qs_context_add_curve.2359132437744.4345.3.0:36238</v>
      </c>
      <c r="E4346" s="6" t="str">
        <f>_xll.QS.INSTRUMENT.SWAP("swap.4344",H4346,B4346,"USD","SOFR",I4346,J4346,0,"Actual360","Simple","Annual","Annual","Annual")</f>
        <v>QSObject:Swap:w1~swap.4344:13166</v>
      </c>
      <c r="F4346" s="6" t="str">
        <f>_xll.QS.TRADE.CREATE("trade.4344",E4346,A4346,"Receive")</f>
        <v>QSObject:SwapTrade:w1~trade.4344:27483</v>
      </c>
      <c r="G4346" s="3">
        <f>_xll.QS.EVALUATE(C4346,F4346)</f>
        <v>48884.625892979158</v>
      </c>
      <c r="H4346" s="5" t="s">
        <v>4387</v>
      </c>
      <c r="I4346" s="7">
        <v>1434400</v>
      </c>
      <c r="J4346" s="8">
        <v>3.9399999999999998E-2</v>
      </c>
    </row>
    <row r="4347" spans="1:10" x14ac:dyDescent="0.25">
      <c r="A4347" s="5" t="s">
        <v>4381</v>
      </c>
      <c r="B4347" s="5" t="s">
        <v>6214</v>
      </c>
      <c r="C4347" s="6" t="str">
        <f>_xll.QS.CONTEXT.CREATE("market.4345",A4347,"USD","SOFR")</f>
        <v>QSObject:PricingContext:w1~market.4345:13165</v>
      </c>
      <c r="D4347" s="6" t="str">
        <f>_xll.QS.CONTEXT.ADD.CURVE(C4347,"SOFR",$K$2:$K$7,$L$2:$L$7,,,"Actual360","LogLinear",TRUE)</f>
        <v>QSObject:ContextInput:w1~input.qs_context_add_curve.2359132437744.4346.3.0:36237</v>
      </c>
      <c r="E4347" s="6" t="str">
        <f>_xll.QS.INSTRUMENT.SWAP("swap.4345",H4347,B4347,"USD","SOFR",I4347,J4347,0,"Actual360","Simple","Annual","Annual","Annual")</f>
        <v>QSObject:Swap:w1~swap.4345:13164</v>
      </c>
      <c r="F4347" s="6" t="str">
        <f>_xll.QS.TRADE.CREATE("trade.4345",E4347,A4347,"Receive")</f>
        <v>QSObject:SwapTrade:w1~trade.4345:27482</v>
      </c>
      <c r="G4347" s="3">
        <f>_xll.QS.EVALUATE(C4347,F4347)</f>
        <v>49430.746914921336</v>
      </c>
      <c r="H4347" s="5" t="s">
        <v>4388</v>
      </c>
      <c r="I4347" s="7">
        <v>1434500</v>
      </c>
      <c r="J4347" s="8">
        <v>3.9500000000000007E-2</v>
      </c>
    </row>
    <row r="4348" spans="1:10" x14ac:dyDescent="0.25">
      <c r="A4348" s="5" t="s">
        <v>4382</v>
      </c>
      <c r="B4348" s="5" t="s">
        <v>6215</v>
      </c>
      <c r="C4348" s="6" t="str">
        <f>_xll.QS.CONTEXT.CREATE("market.4346",A4348,"USD","SOFR")</f>
        <v>QSObject:PricingContext:w1~market.4346:13163</v>
      </c>
      <c r="D4348" s="6" t="str">
        <f>_xll.QS.CONTEXT.ADD.CURVE(C4348,"SOFR",$K$2:$K$7,$L$2:$L$7,,,"Actual360","LogLinear",TRUE)</f>
        <v>QSObject:ContextInput:w1~input.qs_context_add_curve.2359132437744.4347.3.0:36236</v>
      </c>
      <c r="E4348" s="6" t="str">
        <f>_xll.QS.INSTRUMENT.SWAP("swap.4346",H4348,B4348,"USD","SOFR",I4348,J4348,0,"Actual360","Simple","Annual","Annual","Annual")</f>
        <v>QSObject:Swap:w1~swap.4346:13162</v>
      </c>
      <c r="F4348" s="6" t="str">
        <f>_xll.QS.TRADE.CREATE("trade.4346",E4348,A4348,"Receive")</f>
        <v>QSObject:SwapTrade:w1~trade.4346:27481</v>
      </c>
      <c r="G4348" s="3">
        <f>_xll.QS.EVALUATE(C4348,F4348)</f>
        <v>50009.694223268438</v>
      </c>
      <c r="H4348" s="5" t="s">
        <v>4389</v>
      </c>
      <c r="I4348" s="7">
        <v>1434600</v>
      </c>
      <c r="J4348" s="8">
        <v>3.9600000000000003E-2</v>
      </c>
    </row>
    <row r="4349" spans="1:10" x14ac:dyDescent="0.25">
      <c r="A4349" s="5" t="s">
        <v>4383</v>
      </c>
      <c r="B4349" s="5" t="s">
        <v>6216</v>
      </c>
      <c r="C4349" s="6" t="str">
        <f>_xll.QS.CONTEXT.CREATE("market.4347",A4349,"USD","SOFR")</f>
        <v>QSObject:PricingContext:w1~market.4347:13161</v>
      </c>
      <c r="D4349" s="6" t="str">
        <f>_xll.QS.CONTEXT.ADD.CURVE(C4349,"SOFR",$K$2:$K$7,$L$2:$L$7,,,"Actual360","LogLinear",TRUE)</f>
        <v>QSObject:ContextInput:w1~input.qs_context_add_curve.2359132437744.4348.3.0:36235</v>
      </c>
      <c r="E4349" s="6" t="str">
        <f>_xll.QS.INSTRUMENT.SWAP("swap.4347",H4349,B4349,"USD","SOFR",I4349,J4349,0,"Actual360","Simple","Annual","Annual","Annual")</f>
        <v>QSObject:Swap:w1~swap.4347:13160</v>
      </c>
      <c r="F4349" s="6" t="str">
        <f>_xll.QS.TRADE.CREATE("trade.4347",E4349,A4349,"Receive")</f>
        <v>QSObject:SwapTrade:w1~trade.4347:27480</v>
      </c>
      <c r="G4349" s="3">
        <f>_xll.QS.EVALUATE(C4349,F4349)</f>
        <v>50735.473557081415</v>
      </c>
      <c r="H4349" s="5" t="s">
        <v>4390</v>
      </c>
      <c r="I4349" s="7">
        <v>1434700</v>
      </c>
      <c r="J4349" s="8">
        <v>3.9700000000000013E-2</v>
      </c>
    </row>
    <row r="4350" spans="1:10" x14ac:dyDescent="0.25">
      <c r="A4350" s="5" t="s">
        <v>4384</v>
      </c>
      <c r="B4350" s="5" t="s">
        <v>6217</v>
      </c>
      <c r="C4350" s="6" t="str">
        <f>_xll.QS.CONTEXT.CREATE("market.4348",A4350,"USD","SOFR")</f>
        <v>QSObject:PricingContext:w1~market.4348:13159</v>
      </c>
      <c r="D4350" s="6" t="str">
        <f>_xll.QS.CONTEXT.ADD.CURVE(C4350,"SOFR",$K$2:$K$7,$L$2:$L$7,,,"Actual360","LogLinear",TRUE)</f>
        <v>QSObject:ContextInput:w1~input.qs_context_add_curve.2359132437744.4349.3.0:36234</v>
      </c>
      <c r="E4350" s="6" t="str">
        <f>_xll.QS.INSTRUMENT.SWAP("swap.4348",H4350,B4350,"USD","SOFR",I4350,J4350,0,"Actual360","Simple","Annual","Annual","Annual")</f>
        <v>QSObject:Swap:w1~swap.4348:13158</v>
      </c>
      <c r="F4350" s="6" t="str">
        <f>_xll.QS.TRADE.CREATE("trade.4348",E4350,A4350,"Receive")</f>
        <v>QSObject:SwapTrade:w1~trade.4348:27479</v>
      </c>
      <c r="G4350" s="3">
        <f>_xll.QS.EVALUATE(C4350,F4350)</f>
        <v>51429.646681573286</v>
      </c>
      <c r="H4350" s="5" t="s">
        <v>4391</v>
      </c>
      <c r="I4350" s="7">
        <v>1434800</v>
      </c>
      <c r="J4350" s="8">
        <v>3.9800000000000002E-2</v>
      </c>
    </row>
    <row r="4351" spans="1:10" x14ac:dyDescent="0.25">
      <c r="A4351" s="5" t="s">
        <v>4385</v>
      </c>
      <c r="B4351" s="5" t="s">
        <v>6218</v>
      </c>
      <c r="C4351" s="6" t="str">
        <f>_xll.QS.CONTEXT.CREATE("market.4349",A4351,"USD","SOFR")</f>
        <v>QSObject:PricingContext:w1~market.4349:13157</v>
      </c>
      <c r="D4351" s="6" t="str">
        <f>_xll.QS.CONTEXT.ADD.CURVE(C4351,"SOFR",$K$2:$K$7,$L$2:$L$7,,,"Actual360","LogLinear",TRUE)</f>
        <v>QSObject:ContextInput:w1~input.qs_context_add_curve.2359132437744.4350.3.0:36233</v>
      </c>
      <c r="E4351" s="6" t="str">
        <f>_xll.QS.INSTRUMENT.SWAP("swap.4349",H4351,B4351,"USD","SOFR",I4351,J4351,0,"Actual360","Simple","Annual","Annual","Annual")</f>
        <v>QSObject:Swap:w1~swap.4349:13156</v>
      </c>
      <c r="F4351" s="6" t="str">
        <f>_xll.QS.TRADE.CREATE("trade.4349",E4351,A4351,"Receive")</f>
        <v>QSObject:SwapTrade:w1~trade.4349:27478</v>
      </c>
      <c r="G4351" s="3">
        <f>_xll.QS.EVALUATE(C4351,F4351)</f>
        <v>52200.859447909017</v>
      </c>
      <c r="H4351" s="5" t="s">
        <v>4392</v>
      </c>
      <c r="I4351" s="7">
        <v>1434900</v>
      </c>
      <c r="J4351" s="8">
        <v>3.9899999999999998E-2</v>
      </c>
    </row>
    <row r="4352" spans="1:10" x14ac:dyDescent="0.25">
      <c r="A4352" s="5" t="s">
        <v>4386</v>
      </c>
      <c r="B4352" s="5" t="s">
        <v>6219</v>
      </c>
      <c r="C4352" s="6" t="str">
        <f>_xll.QS.CONTEXT.CREATE("market.4350",A4352,"USD","SOFR")</f>
        <v>QSObject:PricingContext:w1~market.4350:13155</v>
      </c>
      <c r="D4352" s="6" t="str">
        <f>_xll.QS.CONTEXT.ADD.CURVE(C4352,"SOFR",$K$2:$K$7,$L$2:$L$7,,,"Actual360","LogLinear",TRUE)</f>
        <v>QSObject:ContextInput:w1~input.qs_context_add_curve.2359132437744.4351.3.0:36232</v>
      </c>
      <c r="E4352" s="6" t="str">
        <f>_xll.QS.INSTRUMENT.SWAP("swap.4350",H4352,B4352,"USD","SOFR",I4352,J4352,0,"Actual360","Simple","Annual","Annual","Annual")</f>
        <v>QSObject:Swap:w1~swap.4350:13154</v>
      </c>
      <c r="F4352" s="6" t="str">
        <f>_xll.QS.TRADE.CREATE("trade.4350",E4352,A4352,"Receive")</f>
        <v>QSObject:SwapTrade:w1~trade.4350:27477</v>
      </c>
      <c r="G4352" s="3">
        <f>_xll.QS.EVALUATE(C4352,F4352)</f>
        <v>19842.292615487851</v>
      </c>
      <c r="H4352" s="5" t="s">
        <v>4393</v>
      </c>
      <c r="I4352" s="7">
        <v>1435000</v>
      </c>
      <c r="J4352" s="8">
        <v>3.5000000000000003E-2</v>
      </c>
    </row>
    <row r="4353" spans="1:10" x14ac:dyDescent="0.25">
      <c r="A4353" s="5" t="s">
        <v>4387</v>
      </c>
      <c r="B4353" s="5" t="s">
        <v>6220</v>
      </c>
      <c r="C4353" s="6" t="str">
        <f>_xll.QS.CONTEXT.CREATE("market.4351",A4353,"USD","SOFR")</f>
        <v>QSObject:PricingContext:w1~market.4351:13153</v>
      </c>
      <c r="D4353" s="6" t="str">
        <f>_xll.QS.CONTEXT.ADD.CURVE(C4353,"SOFR",$K$2:$K$7,$L$2:$L$7,,,"Actual360","LogLinear",TRUE)</f>
        <v>QSObject:ContextInput:w1~input.qs_context_add_curve.2359132437744.4352.3.0:36231</v>
      </c>
      <c r="E4353" s="6" t="str">
        <f>_xll.QS.INSTRUMENT.SWAP("swap.4351",H4353,B4353,"USD","SOFR",I4353,J4353,0,"Actual360","Simple","Annual","Annual","Annual")</f>
        <v>QSObject:Swap:w1~swap.4351:13152</v>
      </c>
      <c r="F4353" s="6" t="str">
        <f>_xll.QS.TRADE.CREATE("trade.4351",E4353,A4353,"Receive")</f>
        <v>QSObject:SwapTrade:w1~trade.4351:27476</v>
      </c>
      <c r="G4353" s="3">
        <f>_xll.QS.EVALUATE(C4353,F4353)</f>
        <v>20450.441993510038</v>
      </c>
      <c r="H4353" s="5" t="s">
        <v>4394</v>
      </c>
      <c r="I4353" s="7">
        <v>1435100</v>
      </c>
      <c r="J4353" s="8">
        <v>3.5100000000000013E-2</v>
      </c>
    </row>
    <row r="4354" spans="1:10" x14ac:dyDescent="0.25">
      <c r="A4354" s="5" t="s">
        <v>4388</v>
      </c>
      <c r="B4354" s="5" t="s">
        <v>6221</v>
      </c>
      <c r="C4354" s="6" t="str">
        <f>_xll.QS.CONTEXT.CREATE("market.4352",A4354,"USD","SOFR")</f>
        <v>QSObject:PricingContext:w1~market.4352:13151</v>
      </c>
      <c r="D4354" s="6" t="str">
        <f>_xll.QS.CONTEXT.ADD.CURVE(C4354,"SOFR",$K$2:$K$7,$L$2:$L$7,,,"Actual360","LogLinear",TRUE)</f>
        <v>QSObject:ContextInput:w1~input.qs_context_add_curve.2359132437744.4353.3.0:36230</v>
      </c>
      <c r="E4354" s="6" t="str">
        <f>_xll.QS.INSTRUMENT.SWAP("swap.4352",H4354,B4354,"USD","SOFR",I4354,J4354,0,"Actual360","Simple","Annual","Annual","Annual")</f>
        <v>QSObject:Swap:w1~swap.4352:13150</v>
      </c>
      <c r="F4354" s="6" t="str">
        <f>_xll.QS.TRADE.CREATE("trade.4352",E4354,A4354,"Receive")</f>
        <v>QSObject:SwapTrade:w1~trade.4352:27475</v>
      </c>
      <c r="G4354" s="3">
        <f>_xll.QS.EVALUATE(C4354,F4354)</f>
        <v>21028.331611095186</v>
      </c>
      <c r="H4354" s="5" t="s">
        <v>4395</v>
      </c>
      <c r="I4354" s="7">
        <v>1435200</v>
      </c>
      <c r="J4354" s="8">
        <v>3.5200000000000002E-2</v>
      </c>
    </row>
    <row r="4355" spans="1:10" x14ac:dyDescent="0.25">
      <c r="A4355" s="5" t="s">
        <v>4389</v>
      </c>
      <c r="B4355" s="5" t="s">
        <v>6222</v>
      </c>
      <c r="C4355" s="6" t="str">
        <f>_xll.QS.CONTEXT.CREATE("market.4353",A4355,"USD","SOFR")</f>
        <v>QSObject:PricingContext:w1~market.4353:13149</v>
      </c>
      <c r="D4355" s="6" t="str">
        <f>_xll.QS.CONTEXT.ADD.CURVE(C4355,"SOFR",$K$2:$K$7,$L$2:$L$7,,,"Actual360","LogLinear",TRUE)</f>
        <v>QSObject:ContextInput:w1~input.qs_context_add_curve.2359132437744.4354.3.0:36229</v>
      </c>
      <c r="E4355" s="6" t="str">
        <f>_xll.QS.INSTRUMENT.SWAP("swap.4353",H4355,B4355,"USD","SOFR",I4355,J4355,0,"Actual360","Simple","Annual","Annual","Annual")</f>
        <v>QSObject:Swap:w1~swap.4353:13148</v>
      </c>
      <c r="F4355" s="6" t="str">
        <f>_xll.QS.TRADE.CREATE("trade.4353",E4355,A4355,"Receive")</f>
        <v>QSObject:SwapTrade:w1~trade.4353:27474</v>
      </c>
      <c r="G4355" s="3">
        <f>_xll.QS.EVALUATE(C4355,F4355)</f>
        <v>21561.601307474266</v>
      </c>
      <c r="H4355" s="5" t="s">
        <v>4396</v>
      </c>
      <c r="I4355" s="7">
        <v>1435300</v>
      </c>
      <c r="J4355" s="8">
        <v>3.5299999999999998E-2</v>
      </c>
    </row>
    <row r="4356" spans="1:10" x14ac:dyDescent="0.25">
      <c r="A4356" s="5" t="s">
        <v>4390</v>
      </c>
      <c r="B4356" s="5" t="s">
        <v>6223</v>
      </c>
      <c r="C4356" s="6" t="str">
        <f>_xll.QS.CONTEXT.CREATE("market.4354",A4356,"USD","SOFR")</f>
        <v>QSObject:PricingContext:w1~market.4354:13147</v>
      </c>
      <c r="D4356" s="6" t="str">
        <f>_xll.QS.CONTEXT.ADD.CURVE(C4356,"SOFR",$K$2:$K$7,$L$2:$L$7,,,"Actual360","LogLinear",TRUE)</f>
        <v>QSObject:ContextInput:w1~input.qs_context_add_curve.2359132437744.4355.3.0:36228</v>
      </c>
      <c r="E4356" s="6" t="str">
        <f>_xll.QS.INSTRUMENT.SWAP("swap.4354",H4356,B4356,"USD","SOFR",I4356,J4356,0,"Actual360","Simple","Annual","Annual","Annual")</f>
        <v>QSObject:Swap:w1~swap.4354:13146</v>
      </c>
      <c r="F4356" s="6" t="str">
        <f>_xll.QS.TRADE.CREATE("trade.4354",E4356,A4356,"Receive")</f>
        <v>QSObject:SwapTrade:w1~trade.4354:27473</v>
      </c>
      <c r="G4356" s="3">
        <f>_xll.QS.EVALUATE(C4356,F4356)</f>
        <v>22284.223887997709</v>
      </c>
      <c r="H4356" s="5" t="s">
        <v>4397</v>
      </c>
      <c r="I4356" s="7">
        <v>1435400</v>
      </c>
      <c r="J4356" s="8">
        <v>3.5400000000000001E-2</v>
      </c>
    </row>
    <row r="4357" spans="1:10" x14ac:dyDescent="0.25">
      <c r="A4357" s="5" t="s">
        <v>4391</v>
      </c>
      <c r="B4357" s="5" t="s">
        <v>6224</v>
      </c>
      <c r="C4357" s="6" t="str">
        <f>_xll.QS.CONTEXT.CREATE("market.4355",A4357,"USD","SOFR")</f>
        <v>QSObject:PricingContext:w1~market.4355:13145</v>
      </c>
      <c r="D4357" s="6" t="str">
        <f>_xll.QS.CONTEXT.ADD.CURVE(C4357,"SOFR",$K$2:$K$7,$L$2:$L$7,,,"Actual360","LogLinear",TRUE)</f>
        <v>QSObject:ContextInput:w1~input.qs_context_add_curve.2359132437744.4356.3.0:36227</v>
      </c>
      <c r="E4357" s="6" t="str">
        <f>_xll.QS.INSTRUMENT.SWAP("swap.4355",H4357,B4357,"USD","SOFR",I4357,J4357,0,"Actual360","Simple","Annual","Annual","Annual")</f>
        <v>QSObject:Swap:w1~swap.4355:13144</v>
      </c>
      <c r="F4357" s="6" t="str">
        <f>_xll.QS.TRADE.CREATE("trade.4355",E4357,A4357,"Receive")</f>
        <v>QSObject:SwapTrade:w1~trade.4355:27472</v>
      </c>
      <c r="G4357" s="3">
        <f>_xll.QS.EVALUATE(C4357,F4357)</f>
        <v>22991.567480796686</v>
      </c>
      <c r="H4357" s="5" t="s">
        <v>4398</v>
      </c>
      <c r="I4357" s="7">
        <v>1435500</v>
      </c>
      <c r="J4357" s="8">
        <v>3.5499999999999997E-2</v>
      </c>
    </row>
    <row r="4358" spans="1:10" x14ac:dyDescent="0.25">
      <c r="A4358" s="5" t="s">
        <v>4392</v>
      </c>
      <c r="B4358" s="5" t="s">
        <v>6225</v>
      </c>
      <c r="C4358" s="6" t="str">
        <f>_xll.QS.CONTEXT.CREATE("market.4356",A4358,"USD","SOFR")</f>
        <v>QSObject:PricingContext:w1~market.4356:13143</v>
      </c>
      <c r="D4358" s="6" t="str">
        <f>_xll.QS.CONTEXT.ADD.CURVE(C4358,"SOFR",$K$2:$K$7,$L$2:$L$7,,,"Actual360","LogLinear",TRUE)</f>
        <v>QSObject:ContextInput:w1~input.qs_context_add_curve.2359132437744.4357.3.0:36226</v>
      </c>
      <c r="E4358" s="6" t="str">
        <f>_xll.QS.INSTRUMENT.SWAP("swap.4356",H4358,B4358,"USD","SOFR",I4358,J4358,0,"Actual360","Simple","Annual","Annual","Annual")</f>
        <v>QSObject:Swap:w1~swap.4356:13142</v>
      </c>
      <c r="F4358" s="6" t="str">
        <f>_xll.QS.TRADE.CREATE("trade.4356",E4358,A4358,"Receive")</f>
        <v>QSObject:SwapTrade:w1~trade.4356:27471</v>
      </c>
      <c r="G4358" s="3">
        <f>_xll.QS.EVALUATE(C4358,F4358)</f>
        <v>23760.129576151099</v>
      </c>
      <c r="H4358" s="5" t="s">
        <v>4399</v>
      </c>
      <c r="I4358" s="7">
        <v>1435600</v>
      </c>
      <c r="J4358" s="8">
        <v>3.5600000000000007E-2</v>
      </c>
    </row>
    <row r="4359" spans="1:10" x14ac:dyDescent="0.25">
      <c r="A4359" s="5" t="s">
        <v>4393</v>
      </c>
      <c r="B4359" s="5" t="s">
        <v>6226</v>
      </c>
      <c r="C4359" s="6" t="str">
        <f>_xll.QS.CONTEXT.CREATE("market.4357",A4359,"USD","SOFR")</f>
        <v>QSObject:PricingContext:w1~market.4357:13141</v>
      </c>
      <c r="D4359" s="6" t="str">
        <f>_xll.QS.CONTEXT.ADD.CURVE(C4359,"SOFR",$K$2:$K$7,$L$2:$L$7,,,"Actual360","LogLinear",TRUE)</f>
        <v>QSObject:ContextInput:w1~input.qs_context_add_curve.2359132437744.4358.3.0:36225</v>
      </c>
      <c r="E4359" s="6" t="str">
        <f>_xll.QS.INSTRUMENT.SWAP("swap.4357",H4359,B4359,"USD","SOFR",I4359,J4359,0,"Actual360","Simple","Annual","Annual","Annual")</f>
        <v>QSObject:Swap:w1~swap.4357:13140</v>
      </c>
      <c r="F4359" s="6" t="str">
        <f>_xll.QS.TRADE.CREATE("trade.4357",E4359,A4359,"Receive")</f>
        <v>QSObject:SwapTrade:w1~trade.4357:27470</v>
      </c>
      <c r="G4359" s="3">
        <f>_xll.QS.EVALUATE(C4359,F4359)</f>
        <v>24486.424788170334</v>
      </c>
      <c r="H4359" s="5" t="s">
        <v>4400</v>
      </c>
      <c r="I4359" s="7">
        <v>1435700</v>
      </c>
      <c r="J4359" s="8">
        <v>3.5700000000000003E-2</v>
      </c>
    </row>
    <row r="4360" spans="1:10" x14ac:dyDescent="0.25">
      <c r="A4360" s="5" t="s">
        <v>4394</v>
      </c>
      <c r="B4360" s="5" t="s">
        <v>6227</v>
      </c>
      <c r="C4360" s="6" t="str">
        <f>_xll.QS.CONTEXT.CREATE("market.4358",A4360,"USD","SOFR")</f>
        <v>QSObject:PricingContext:w1~market.4358:13139</v>
      </c>
      <c r="D4360" s="6" t="str">
        <f>_xll.QS.CONTEXT.ADD.CURVE(C4360,"SOFR",$K$2:$K$7,$L$2:$L$7,,,"Actual360","LogLinear",TRUE)</f>
        <v>QSObject:ContextInput:w1~input.qs_context_add_curve.2359132437744.4359.3.0:36224</v>
      </c>
      <c r="E4360" s="6" t="str">
        <f>_xll.QS.INSTRUMENT.SWAP("swap.4358",H4360,B4360,"USD","SOFR",I4360,J4360,0,"Actual360","Simple","Annual","Annual","Annual")</f>
        <v>QSObject:Swap:w1~swap.4358:13138</v>
      </c>
      <c r="F4360" s="6" t="str">
        <f>_xll.QS.TRADE.CREATE("trade.4358",E4360,A4360,"Receive")</f>
        <v>QSObject:SwapTrade:w1~trade.4358:27469</v>
      </c>
      <c r="G4360" s="3">
        <f>_xll.QS.EVALUATE(C4360,F4360)</f>
        <v>25095.142014644189</v>
      </c>
      <c r="H4360" s="5" t="s">
        <v>4401</v>
      </c>
      <c r="I4360" s="7">
        <v>1435800</v>
      </c>
      <c r="J4360" s="8">
        <v>3.5800000000000012E-2</v>
      </c>
    </row>
    <row r="4361" spans="1:10" x14ac:dyDescent="0.25">
      <c r="A4361" s="5" t="s">
        <v>4395</v>
      </c>
      <c r="B4361" s="5" t="s">
        <v>6228</v>
      </c>
      <c r="C4361" s="6" t="str">
        <f>_xll.QS.CONTEXT.CREATE("market.4359",A4361,"USD","SOFR")</f>
        <v>QSObject:PricingContext:w1~market.4359:13137</v>
      </c>
      <c r="D4361" s="6" t="str">
        <f>_xll.QS.CONTEXT.ADD.CURVE(C4361,"SOFR",$K$2:$K$7,$L$2:$L$7,,,"Actual360","LogLinear",TRUE)</f>
        <v>QSObject:ContextInput:w1~input.qs_context_add_curve.2359132437744.4360.3.0:36223</v>
      </c>
      <c r="E4361" s="6" t="str">
        <f>_xll.QS.INSTRUMENT.SWAP("swap.4359",H4361,B4361,"USD","SOFR",I4361,J4361,0,"Actual360","Simple","Annual","Annual","Annual")</f>
        <v>QSObject:Swap:w1~swap.4359:13136</v>
      </c>
      <c r="F4361" s="6" t="str">
        <f>_xll.QS.TRADE.CREATE("trade.4359",E4361,A4361,"Receive")</f>
        <v>QSObject:SwapTrade:w1~trade.4359:27468</v>
      </c>
      <c r="G4361" s="3">
        <f>_xll.QS.EVALUATE(C4361,F4361)</f>
        <v>25668.177105270363</v>
      </c>
      <c r="H4361" s="5" t="s">
        <v>4402</v>
      </c>
      <c r="I4361" s="7">
        <v>1435900</v>
      </c>
      <c r="J4361" s="8">
        <v>3.5900000000000001E-2</v>
      </c>
    </row>
    <row r="4362" spans="1:10" x14ac:dyDescent="0.25">
      <c r="A4362" s="5" t="s">
        <v>4396</v>
      </c>
      <c r="B4362" s="5" t="s">
        <v>6229</v>
      </c>
      <c r="C4362" s="6" t="str">
        <f>_xll.QS.CONTEXT.CREATE("market.4360",A4362,"USD","SOFR")</f>
        <v>QSObject:PricingContext:w1~market.4360:13135</v>
      </c>
      <c r="D4362" s="6" t="str">
        <f>_xll.QS.CONTEXT.ADD.CURVE(C4362,"SOFR",$K$2:$K$7,$L$2:$L$7,,,"Actual360","LogLinear",TRUE)</f>
        <v>QSObject:ContextInput:w1~input.qs_context_add_curve.2359132437744.4361.3.0:36222</v>
      </c>
      <c r="E4362" s="6" t="str">
        <f>_xll.QS.INSTRUMENT.SWAP("swap.4360",H4362,B4362,"USD","SOFR",I4362,J4362,0,"Actual360","Simple","Annual","Annual","Annual")</f>
        <v>QSObject:Swap:w1~swap.4360:13134</v>
      </c>
      <c r="F4362" s="6" t="str">
        <f>_xll.QS.TRADE.CREATE("trade.4360",E4362,A4362,"Receive")</f>
        <v>QSObject:SwapTrade:w1~trade.4360:27467</v>
      </c>
      <c r="G4362" s="3">
        <f>_xll.QS.EVALUATE(C4362,F4362)</f>
        <v>26209.214925060245</v>
      </c>
      <c r="H4362" s="5" t="s">
        <v>4403</v>
      </c>
      <c r="I4362" s="7">
        <v>1436000</v>
      </c>
      <c r="J4362" s="8">
        <v>3.5999999999999997E-2</v>
      </c>
    </row>
    <row r="4363" spans="1:10" x14ac:dyDescent="0.25">
      <c r="A4363" s="5" t="s">
        <v>4397</v>
      </c>
      <c r="B4363" s="5" t="s">
        <v>6230</v>
      </c>
      <c r="C4363" s="6" t="str">
        <f>_xll.QS.CONTEXT.CREATE("market.4361",A4363,"USD","SOFR")</f>
        <v>QSObject:PricingContext:w1~market.4361:13133</v>
      </c>
      <c r="D4363" s="6" t="str">
        <f>_xll.QS.CONTEXT.ADD.CURVE(C4363,"SOFR",$K$2:$K$7,$L$2:$L$7,,,"Actual360","LogLinear",TRUE)</f>
        <v>QSObject:ContextInput:w1~input.qs_context_add_curve.2359132437744.4362.3.0:36221</v>
      </c>
      <c r="E4363" s="6" t="str">
        <f>_xll.QS.INSTRUMENT.SWAP("swap.4361",H4363,B4363,"USD","SOFR",I4363,J4363,0,"Actual360","Simple","Annual","Annual","Annual")</f>
        <v>QSObject:Swap:w1~swap.4361:13132</v>
      </c>
      <c r="F4363" s="6" t="str">
        <f>_xll.QS.TRADE.CREATE("trade.4361",E4363,A4363,"Receive")</f>
        <v>QSObject:SwapTrade:w1~trade.4361:27466</v>
      </c>
      <c r="G4363" s="3">
        <f>_xll.QS.EVALUATE(C4363,F4363)</f>
        <v>26932.961304473807</v>
      </c>
      <c r="H4363" s="5" t="s">
        <v>4404</v>
      </c>
      <c r="I4363" s="7">
        <v>1436100</v>
      </c>
      <c r="J4363" s="8">
        <v>3.61E-2</v>
      </c>
    </row>
    <row r="4364" spans="1:10" x14ac:dyDescent="0.25">
      <c r="A4364" s="5" t="s">
        <v>4398</v>
      </c>
      <c r="B4364" s="5" t="s">
        <v>6231</v>
      </c>
      <c r="C4364" s="6" t="str">
        <f>_xll.QS.CONTEXT.CREATE("market.4362",A4364,"USD","SOFR")</f>
        <v>QSObject:PricingContext:w1~market.4362:13131</v>
      </c>
      <c r="D4364" s="6" t="str">
        <f>_xll.QS.CONTEXT.ADD.CURVE(C4364,"SOFR",$K$2:$K$7,$L$2:$L$7,,,"Actual360","LogLinear",TRUE)</f>
        <v>QSObject:ContextInput:w1~input.qs_context_add_curve.2359132437744.4363.3.0:36220</v>
      </c>
      <c r="E4364" s="6" t="str">
        <f>_xll.QS.INSTRUMENT.SWAP("swap.4362",H4364,B4364,"USD","SOFR",I4364,J4364,0,"Actual360","Simple","Annual","Annual","Annual")</f>
        <v>QSObject:Swap:w1~swap.4362:13130</v>
      </c>
      <c r="F4364" s="6" t="str">
        <f>_xll.QS.TRADE.CREATE("trade.4362",E4364,A4364,"Receive")</f>
        <v>QSObject:SwapTrade:w1~trade.4362:27465</v>
      </c>
      <c r="G4364" s="3">
        <f>_xll.QS.EVALUATE(C4364,F4364)</f>
        <v>27638.71940434775</v>
      </c>
      <c r="H4364" s="5" t="s">
        <v>4405</v>
      </c>
      <c r="I4364" s="7">
        <v>1436200</v>
      </c>
      <c r="J4364" s="8">
        <v>3.6200000000000003E-2</v>
      </c>
    </row>
    <row r="4365" spans="1:10" x14ac:dyDescent="0.25">
      <c r="A4365" s="5" t="s">
        <v>4399</v>
      </c>
      <c r="B4365" s="5" t="s">
        <v>6232</v>
      </c>
      <c r="C4365" s="6" t="str">
        <f>_xll.QS.CONTEXT.CREATE("market.4363",A4365,"USD","SOFR")</f>
        <v>QSObject:PricingContext:w1~market.4363:13129</v>
      </c>
      <c r="D4365" s="6" t="str">
        <f>_xll.QS.CONTEXT.ADD.CURVE(C4365,"SOFR",$K$2:$K$7,$L$2:$L$7,,,"Actual360","LogLinear",TRUE)</f>
        <v>QSObject:ContextInput:w1~input.qs_context_add_curve.2359132437744.4364.3.0:36219</v>
      </c>
      <c r="E4365" s="6" t="str">
        <f>_xll.QS.INSTRUMENT.SWAP("swap.4363",H4365,B4365,"USD","SOFR",I4365,J4365,0,"Actual360","Simple","Annual","Annual","Annual")</f>
        <v>QSObject:Swap:w1~swap.4363:13128</v>
      </c>
      <c r="F4365" s="6" t="str">
        <f>_xll.QS.TRADE.CREATE("trade.4363",E4365,A4365,"Receive")</f>
        <v>QSObject:SwapTrade:w1~trade.4363:27464</v>
      </c>
      <c r="G4365" s="3">
        <f>_xll.QS.EVALUATE(C4365,F4365)</f>
        <v>28408.051630562921</v>
      </c>
      <c r="H4365" s="5" t="s">
        <v>4406</v>
      </c>
      <c r="I4365" s="7">
        <v>1436300</v>
      </c>
      <c r="J4365" s="8">
        <v>3.6300000000000013E-2</v>
      </c>
    </row>
    <row r="4366" spans="1:10" x14ac:dyDescent="0.25">
      <c r="A4366" s="5" t="s">
        <v>4400</v>
      </c>
      <c r="B4366" s="5" t="s">
        <v>6233</v>
      </c>
      <c r="C4366" s="6" t="str">
        <f>_xll.QS.CONTEXT.CREATE("market.4364",A4366,"USD","SOFR")</f>
        <v>QSObject:PricingContext:w1~market.4364:13127</v>
      </c>
      <c r="D4366" s="6" t="str">
        <f>_xll.QS.CONTEXT.ADD.CURVE(C4366,"SOFR",$K$2:$K$7,$L$2:$L$7,,,"Actual360","LogLinear",TRUE)</f>
        <v>QSObject:ContextInput:w1~input.qs_context_add_curve.2359132437744.4365.3.0:36218</v>
      </c>
      <c r="E4366" s="6" t="str">
        <f>_xll.QS.INSTRUMENT.SWAP("swap.4364",H4366,B4366,"USD","SOFR",I4366,J4366,0,"Actual360","Simple","Annual","Annual","Annual")</f>
        <v>QSObject:Swap:w1~swap.4364:13126</v>
      </c>
      <c r="F4366" s="6" t="str">
        <f>_xll.QS.TRADE.CREATE("trade.4364",E4366,A4366,"Receive")</f>
        <v>QSObject:SwapTrade:w1~trade.4364:27463</v>
      </c>
      <c r="G4366" s="3">
        <f>_xll.QS.EVALUATE(C4366,F4366)</f>
        <v>29135.076173924841</v>
      </c>
      <c r="H4366" s="5" t="s">
        <v>4407</v>
      </c>
      <c r="I4366" s="7">
        <v>1436400</v>
      </c>
      <c r="J4366" s="8">
        <v>3.6400000000000002E-2</v>
      </c>
    </row>
    <row r="4367" spans="1:10" x14ac:dyDescent="0.25">
      <c r="A4367" s="5" t="s">
        <v>4401</v>
      </c>
      <c r="B4367" s="5" t="s">
        <v>6234</v>
      </c>
      <c r="C4367" s="6" t="str">
        <f>_xll.QS.CONTEXT.CREATE("market.4365",A4367,"USD","SOFR")</f>
        <v>QSObject:PricingContext:w1~market.4365:13125</v>
      </c>
      <c r="D4367" s="6" t="str">
        <f>_xll.QS.CONTEXT.ADD.CURVE(C4367,"SOFR",$K$2:$K$7,$L$2:$L$7,,,"Actual360","LogLinear",TRUE)</f>
        <v>QSObject:ContextInput:w1~input.qs_context_add_curve.2359132437744.4366.3.0:36217</v>
      </c>
      <c r="E4367" s="6" t="str">
        <f>_xll.QS.INSTRUMENT.SWAP("swap.4365",H4367,B4367,"USD","SOFR",I4367,J4367,0,"Actual360","Simple","Annual","Annual","Annual")</f>
        <v>QSObject:Swap:w1~swap.4365:13124</v>
      </c>
      <c r="F4367" s="6" t="str">
        <f>_xll.QS.TRADE.CREATE("trade.4365",E4367,A4367,"Receive")</f>
        <v>QSObject:SwapTrade:w1~trade.4365:27462</v>
      </c>
      <c r="G4367" s="3">
        <f>_xll.QS.EVALUATE(C4367,F4367)</f>
        <v>29744.361199204403</v>
      </c>
      <c r="H4367" s="5" t="s">
        <v>4408</v>
      </c>
      <c r="I4367" s="7">
        <v>1436500</v>
      </c>
      <c r="J4367" s="8">
        <v>3.6499999999999998E-2</v>
      </c>
    </row>
    <row r="4368" spans="1:10" x14ac:dyDescent="0.25">
      <c r="A4368" s="5" t="s">
        <v>4402</v>
      </c>
      <c r="B4368" s="5" t="s">
        <v>6235</v>
      </c>
      <c r="C4368" s="6" t="str">
        <f>_xll.QS.CONTEXT.CREATE("market.4366",A4368,"USD","SOFR")</f>
        <v>QSObject:PricingContext:w1~market.4366:13123</v>
      </c>
      <c r="D4368" s="6" t="str">
        <f>_xll.QS.CONTEXT.ADD.CURVE(C4368,"SOFR",$K$2:$K$7,$L$2:$L$7,,,"Actual360","LogLinear",TRUE)</f>
        <v>QSObject:ContextInput:w1~input.qs_context_add_curve.2359132437744.4367.3.0:36216</v>
      </c>
      <c r="E4368" s="6" t="str">
        <f>_xll.QS.INSTRUMENT.SWAP("swap.4366",H4368,B4368,"USD","SOFR",I4368,J4368,0,"Actual360","Simple","Annual","Annual","Annual")</f>
        <v>QSObject:Swap:w1~swap.4366:13122</v>
      </c>
      <c r="F4368" s="6" t="str">
        <f>_xll.QS.TRADE.CREATE("trade.4366",E4368,A4368,"Receive")</f>
        <v>QSObject:SwapTrade:w1~trade.4366:27461</v>
      </c>
      <c r="G4368" s="3">
        <f>_xll.QS.EVALUATE(C4368,F4368)</f>
        <v>30312.536440855656</v>
      </c>
      <c r="H4368" s="5" t="s">
        <v>4409</v>
      </c>
      <c r="I4368" s="7">
        <v>1436600</v>
      </c>
      <c r="J4368" s="8">
        <v>3.6600000000000001E-2</v>
      </c>
    </row>
    <row r="4369" spans="1:10" x14ac:dyDescent="0.25">
      <c r="A4369" s="5" t="s">
        <v>4403</v>
      </c>
      <c r="B4369" s="5" t="s">
        <v>6236</v>
      </c>
      <c r="C4369" s="6" t="str">
        <f>_xll.QS.CONTEXT.CREATE("market.4367",A4369,"USD","SOFR")</f>
        <v>QSObject:PricingContext:w1~market.4367:13121</v>
      </c>
      <c r="D4369" s="6" t="str">
        <f>_xll.QS.CONTEXT.ADD.CURVE(C4369,"SOFR",$K$2:$K$7,$L$2:$L$7,,,"Actual360","LogLinear",TRUE)</f>
        <v>QSObject:ContextInput:w1~input.qs_context_add_curve.2359132437744.4368.3.0:36215</v>
      </c>
      <c r="E4369" s="6" t="str">
        <f>_xll.QS.INSTRUMENT.SWAP("swap.4367",H4369,B4369,"USD","SOFR",I4369,J4369,0,"Actual360","Simple","Annual","Annual","Annual")</f>
        <v>QSObject:Swap:w1~swap.4367:13120</v>
      </c>
      <c r="F4369" s="6" t="str">
        <f>_xll.QS.TRADE.CREATE("trade.4367",E4369,A4369,"Receive")</f>
        <v>QSObject:SwapTrade:w1~trade.4367:27460</v>
      </c>
      <c r="G4369" s="3">
        <f>_xll.QS.EVALUATE(C4369,F4369)</f>
        <v>30822.17009508601</v>
      </c>
      <c r="H4369" s="5" t="s">
        <v>4410</v>
      </c>
      <c r="I4369" s="7">
        <v>1436700</v>
      </c>
      <c r="J4369" s="8">
        <v>3.6700000000000003E-2</v>
      </c>
    </row>
    <row r="4370" spans="1:10" x14ac:dyDescent="0.25">
      <c r="A4370" s="5" t="s">
        <v>4404</v>
      </c>
      <c r="B4370" s="5" t="s">
        <v>6237</v>
      </c>
      <c r="C4370" s="6" t="str">
        <f>_xll.QS.CONTEXT.CREATE("market.4368",A4370,"USD","SOFR")</f>
        <v>QSObject:PricingContext:w1~market.4368:13119</v>
      </c>
      <c r="D4370" s="6" t="str">
        <f>_xll.QS.CONTEXT.ADD.CURVE(C4370,"SOFR",$K$2:$K$7,$L$2:$L$7,,,"Actual360","LogLinear",TRUE)</f>
        <v>QSObject:ContextInput:w1~input.qs_context_add_curve.2359132437744.4369.3.0:36214</v>
      </c>
      <c r="E4370" s="6" t="str">
        <f>_xll.QS.INSTRUMENT.SWAP("swap.4368",H4370,B4370,"USD","SOFR",I4370,J4370,0,"Actual360","Simple","Annual","Annual","Annual")</f>
        <v>QSObject:Swap:w1~swap.4368:13118</v>
      </c>
      <c r="F4370" s="6" t="str">
        <f>_xll.QS.TRADE.CREATE("trade.4368",E4370,A4370,"Receive")</f>
        <v>QSObject:SwapTrade:w1~trade.4368:27459</v>
      </c>
      <c r="G4370" s="3">
        <f>_xll.QS.EVALUATE(C4370,F4370)</f>
        <v>31547.080684771434</v>
      </c>
      <c r="H4370" s="5" t="s">
        <v>4411</v>
      </c>
      <c r="I4370" s="7">
        <v>1436800</v>
      </c>
      <c r="J4370" s="8">
        <v>3.6800000000000013E-2</v>
      </c>
    </row>
    <row r="4371" spans="1:10" x14ac:dyDescent="0.25">
      <c r="A4371" s="5" t="s">
        <v>4405</v>
      </c>
      <c r="B4371" s="5" t="s">
        <v>6238</v>
      </c>
      <c r="C4371" s="6" t="str">
        <f>_xll.QS.CONTEXT.CREATE("market.4369",A4371,"USD","SOFR")</f>
        <v>QSObject:PricingContext:w1~market.4369:13117</v>
      </c>
      <c r="D4371" s="6" t="str">
        <f>_xll.QS.CONTEXT.ADD.CURVE(C4371,"SOFR",$K$2:$K$7,$L$2:$L$7,,,"Actual360","LogLinear",TRUE)</f>
        <v>QSObject:ContextInput:w1~input.qs_context_add_curve.2359132437744.4370.3.0:36213</v>
      </c>
      <c r="E4371" s="6" t="str">
        <f>_xll.QS.INSTRUMENT.SWAP("swap.4369",H4371,B4371,"USD","SOFR",I4371,J4371,0,"Actual360","Simple","Annual","Annual","Annual")</f>
        <v>QSObject:Swap:w1~swap.4369:13116</v>
      </c>
      <c r="F4371" s="6" t="str">
        <f>_xll.QS.TRADE.CREATE("trade.4369",E4371,A4371,"Receive")</f>
        <v>QSObject:SwapTrade:w1~trade.4369:27458</v>
      </c>
      <c r="G4371" s="3">
        <f>_xll.QS.EVALUATE(C4371,F4371)</f>
        <v>32230.764095189246</v>
      </c>
      <c r="H4371" s="5" t="s">
        <v>4412</v>
      </c>
      <c r="I4371" s="7">
        <v>1436900</v>
      </c>
      <c r="J4371" s="8">
        <v>3.6900000000000002E-2</v>
      </c>
    </row>
    <row r="4372" spans="1:10" x14ac:dyDescent="0.25">
      <c r="A4372" s="5" t="s">
        <v>4406</v>
      </c>
      <c r="B4372" s="5" t="s">
        <v>6239</v>
      </c>
      <c r="C4372" s="6" t="str">
        <f>_xll.QS.CONTEXT.CREATE("market.4370",A4372,"USD","SOFR")</f>
        <v>QSObject:PricingContext:w1~market.4370:13115</v>
      </c>
      <c r="D4372" s="6" t="str">
        <f>_xll.QS.CONTEXT.ADD.CURVE(C4372,"SOFR",$K$2:$K$7,$L$2:$L$7,,,"Actual360","LogLinear",TRUE)</f>
        <v>QSObject:ContextInput:w1~input.qs_context_add_curve.2359132437744.4371.3.0:36212</v>
      </c>
      <c r="E4372" s="6" t="str">
        <f>_xll.QS.INSTRUMENT.SWAP("swap.4370",H4372,B4372,"USD","SOFR",I4372,J4372,0,"Actual360","Simple","Annual","Annual","Annual")</f>
        <v>QSObject:Swap:w1~swap.4370:13114</v>
      </c>
      <c r="F4372" s="6" t="str">
        <f>_xll.QS.TRADE.CREATE("trade.4370",E4372,A4372,"Receive")</f>
        <v>QSObject:SwapTrade:w1~trade.4370:27457</v>
      </c>
      <c r="G4372" s="3">
        <f>_xll.QS.EVALUATE(C4372,F4372)</f>
        <v>33113.825949215658</v>
      </c>
      <c r="H4372" s="5" t="s">
        <v>4413</v>
      </c>
      <c r="I4372" s="7">
        <v>1437000</v>
      </c>
      <c r="J4372" s="8">
        <v>3.7000000000000012E-2</v>
      </c>
    </row>
    <row r="4373" spans="1:10" x14ac:dyDescent="0.25">
      <c r="A4373" s="5" t="s">
        <v>4407</v>
      </c>
      <c r="B4373" s="5" t="s">
        <v>6240</v>
      </c>
      <c r="C4373" s="6" t="str">
        <f>_xll.QS.CONTEXT.CREATE("market.4371",A4373,"USD","SOFR")</f>
        <v>QSObject:PricingContext:w1~market.4371:13113</v>
      </c>
      <c r="D4373" s="6" t="str">
        <f>_xll.QS.CONTEXT.ADD.CURVE(C4373,"SOFR",$K$2:$K$7,$L$2:$L$7,,,"Actual360","LogLinear",TRUE)</f>
        <v>QSObject:ContextInput:w1~input.qs_context_add_curve.2359132437744.4372.3.0:36211</v>
      </c>
      <c r="E4373" s="6" t="str">
        <f>_xll.QS.INSTRUMENT.SWAP("swap.4371",H4373,B4373,"USD","SOFR",I4373,J4373,0,"Actual360","Simple","Annual","Annual","Annual")</f>
        <v>QSObject:Swap:w1~swap.4371:13112</v>
      </c>
      <c r="F4373" s="6" t="str">
        <f>_xll.QS.TRADE.CREATE("trade.4371",E4373,A4373,"Receive")</f>
        <v>QSObject:SwapTrade:w1~trade.4371:27456</v>
      </c>
      <c r="G4373" s="3">
        <f>_xll.QS.EVALUATE(C4373,F4373)</f>
        <v>33789.840410794546</v>
      </c>
      <c r="H4373" s="5" t="s">
        <v>4414</v>
      </c>
      <c r="I4373" s="7">
        <v>1437100</v>
      </c>
      <c r="J4373" s="8">
        <v>3.7100000000000001E-2</v>
      </c>
    </row>
    <row r="4374" spans="1:10" x14ac:dyDescent="0.25">
      <c r="A4374" s="5" t="s">
        <v>4408</v>
      </c>
      <c r="B4374" s="5" t="s">
        <v>6241</v>
      </c>
      <c r="C4374" s="6" t="str">
        <f>_xll.QS.CONTEXT.CREATE("market.4372",A4374,"USD","SOFR")</f>
        <v>QSObject:PricingContext:w1~market.4372:13111</v>
      </c>
      <c r="D4374" s="6" t="str">
        <f>_xll.QS.CONTEXT.ADD.CURVE(C4374,"SOFR",$K$2:$K$7,$L$2:$L$7,,,"Actual360","LogLinear",TRUE)</f>
        <v>QSObject:ContextInput:w1~input.qs_context_add_curve.2359132437744.4373.3.0:36210</v>
      </c>
      <c r="E4374" s="6" t="str">
        <f>_xll.QS.INSTRUMENT.SWAP("swap.4372",H4374,B4374,"USD","SOFR",I4374,J4374,0,"Actual360","Simple","Annual","Annual","Annual")</f>
        <v>QSObject:Swap:w1~swap.4372:13110</v>
      </c>
      <c r="F4374" s="6" t="str">
        <f>_xll.QS.TRADE.CREATE("trade.4372",E4374,A4374,"Receive")</f>
        <v>QSObject:SwapTrade:w1~trade.4372:27455</v>
      </c>
      <c r="G4374" s="3">
        <f>_xll.QS.EVALUATE(C4374,F4374)</f>
        <v>34455.999889899918</v>
      </c>
      <c r="H4374" s="5" t="s">
        <v>4415</v>
      </c>
      <c r="I4374" s="7">
        <v>1437200</v>
      </c>
      <c r="J4374" s="8">
        <v>3.7199999999999997E-2</v>
      </c>
    </row>
    <row r="4375" spans="1:10" x14ac:dyDescent="0.25">
      <c r="A4375" s="5" t="s">
        <v>4409</v>
      </c>
      <c r="B4375" s="5" t="s">
        <v>6242</v>
      </c>
      <c r="C4375" s="6" t="str">
        <f>_xll.QS.CONTEXT.CREATE("market.4373",A4375,"USD","SOFR")</f>
        <v>QSObject:PricingContext:w1~market.4373:13109</v>
      </c>
      <c r="D4375" s="6" t="str">
        <f>_xll.QS.CONTEXT.ADD.CURVE(C4375,"SOFR",$K$2:$K$7,$L$2:$L$7,,,"Actual360","LogLinear",TRUE)</f>
        <v>QSObject:ContextInput:w1~input.qs_context_add_curve.2359132437744.4374.3.0:36209</v>
      </c>
      <c r="E4375" s="6" t="str">
        <f>_xll.QS.INSTRUMENT.SWAP("swap.4373",H4375,B4375,"USD","SOFR",I4375,J4375,0,"Actual360","Simple","Annual","Annual","Annual")</f>
        <v>QSObject:Swap:w1~swap.4373:13108</v>
      </c>
      <c r="F4375" s="6" t="str">
        <f>_xll.QS.TRADE.CREATE("trade.4373",E4375,A4375,"Receive")</f>
        <v>QSObject:SwapTrade:w1~trade.4373:27454</v>
      </c>
      <c r="G4375" s="3">
        <f>_xll.QS.EVALUATE(C4375,F4375)</f>
        <v>35019.316830097181</v>
      </c>
      <c r="H4375" s="5" t="s">
        <v>4416</v>
      </c>
      <c r="I4375" s="7">
        <v>1437300</v>
      </c>
      <c r="J4375" s="8">
        <v>3.73E-2</v>
      </c>
    </row>
    <row r="4376" spans="1:10" x14ac:dyDescent="0.25">
      <c r="A4376" s="5" t="s">
        <v>4410</v>
      </c>
      <c r="B4376" s="5" t="s">
        <v>6243</v>
      </c>
      <c r="C4376" s="6" t="str">
        <f>_xll.QS.CONTEXT.CREATE("market.4374",A4376,"USD","SOFR")</f>
        <v>QSObject:PricingContext:w1~market.4374:13107</v>
      </c>
      <c r="D4376" s="6" t="str">
        <f>_xll.QS.CONTEXT.ADD.CURVE(C4376,"SOFR",$K$2:$K$7,$L$2:$L$7,,,"Actual360","LogLinear",TRUE)</f>
        <v>QSObject:ContextInput:w1~input.qs_context_add_curve.2359132437744.4375.3.0:36208</v>
      </c>
      <c r="E4376" s="6" t="str">
        <f>_xll.QS.INSTRUMENT.SWAP("swap.4374",H4376,B4376,"USD","SOFR",I4376,J4376,0,"Actual360","Simple","Annual","Annual","Annual")</f>
        <v>QSObject:Swap:w1~swap.4374:13106</v>
      </c>
      <c r="F4376" s="6" t="str">
        <f>_xll.QS.TRADE.CREATE("trade.4374",E4376,A4376,"Receive")</f>
        <v>QSObject:SwapTrade:w1~trade.4374:27453</v>
      </c>
      <c r="G4376" s="3">
        <f>_xll.QS.EVALUATE(C4376,F4376)</f>
        <v>35686.50432227811</v>
      </c>
      <c r="H4376" s="5" t="s">
        <v>4417</v>
      </c>
      <c r="I4376" s="7">
        <v>1437400</v>
      </c>
      <c r="J4376" s="8">
        <v>3.7400000000000003E-2</v>
      </c>
    </row>
    <row r="4377" spans="1:10" x14ac:dyDescent="0.25">
      <c r="A4377" s="5" t="s">
        <v>4411</v>
      </c>
      <c r="B4377" s="5" t="s">
        <v>6244</v>
      </c>
      <c r="C4377" s="6" t="str">
        <f>_xll.QS.CONTEXT.CREATE("market.4375",A4377,"USD","SOFR")</f>
        <v>QSObject:PricingContext:w1~market.4375:1722</v>
      </c>
      <c r="D4377" s="6" t="str">
        <f>_xll.QS.CONTEXT.ADD.CURVE(C4377,"SOFR",$K$2:$K$7,$L$2:$L$7,,,"Actual360","LogLinear",TRUE)</f>
        <v>QSObject:ContextInput:w1~input.qs_context_add_curve.2359132437744.4376.3.0:11197</v>
      </c>
      <c r="E4377" s="6" t="str">
        <f>_xll.QS.INSTRUMENT.SWAP("swap.4375",H4377,B4377,"USD","SOFR",I4377,J4377,0,"Actual360","Simple","Annual","Annual","Annual")</f>
        <v>QSObject:Swap:w1~swap.4375:9567</v>
      </c>
      <c r="F4377" s="6" t="str">
        <f>_xll.QS.TRADE.CREATE("trade.4375",E4377,A4377,"Receive")</f>
        <v>QSObject:SwapTrade:w1~trade.4375:12690</v>
      </c>
      <c r="G4377" s="3">
        <f>_xll.QS.EVALUATE(C4377,F4377)</f>
        <v>36411.699887984374</v>
      </c>
      <c r="H4377" s="5" t="s">
        <v>4418</v>
      </c>
      <c r="I4377" s="7">
        <v>1437500</v>
      </c>
      <c r="J4377" s="8">
        <v>3.7500000000000012E-2</v>
      </c>
    </row>
    <row r="4378" spans="1:10" x14ac:dyDescent="0.25">
      <c r="A4378" s="5" t="s">
        <v>4412</v>
      </c>
      <c r="B4378" s="5" t="s">
        <v>6245</v>
      </c>
      <c r="C4378" s="6" t="str">
        <f>_xll.QS.CONTEXT.CREATE("market.4376",A4378,"USD","SOFR")</f>
        <v>QSObject:PricingContext:w1~market.4376:7968</v>
      </c>
      <c r="D4378" s="6" t="str">
        <f>_xll.QS.CONTEXT.ADD.CURVE(C4378,"SOFR",$K$2:$K$7,$L$2:$L$7,,,"Actual360","LogLinear",TRUE)</f>
        <v>QSObject:ContextInput:w1~input.qs_context_add_curve.2359132437744.4377.3.0:36207</v>
      </c>
      <c r="E4378" s="6" t="str">
        <f>_xll.QS.INSTRUMENT.SWAP("swap.4376",H4378,B4378,"USD","SOFR",I4378,J4378,0,"Actual360","Simple","Annual","Annual","Annual")</f>
        <v>QSObject:Swap:w1~swap.4376:3252</v>
      </c>
      <c r="F4378" s="6" t="str">
        <f>_xll.QS.TRADE.CREATE("trade.4376",E4378,A4378,"Receive")</f>
        <v>QSObject:SwapTrade:w1~trade.4376:27452</v>
      </c>
      <c r="G4378" s="3">
        <f>_xll.QS.EVALUATE(C4378,F4378)</f>
        <v>36886.482295352806</v>
      </c>
      <c r="H4378" s="5" t="s">
        <v>4419</v>
      </c>
      <c r="I4378" s="7">
        <v>1437600</v>
      </c>
      <c r="J4378" s="8">
        <v>3.7600000000000001E-2</v>
      </c>
    </row>
    <row r="4379" spans="1:10" x14ac:dyDescent="0.25">
      <c r="A4379" s="5" t="s">
        <v>4413</v>
      </c>
      <c r="B4379" s="5" t="s">
        <v>6246</v>
      </c>
      <c r="C4379" s="6" t="str">
        <f>_xll.QS.CONTEXT.CREATE("market.4377",A4379,"USD","SOFR")</f>
        <v>QSObject:PricingContext:w1~market.4377:12689</v>
      </c>
      <c r="D4379" s="6" t="str">
        <f>_xll.QS.CONTEXT.ADD.CURVE(C4379,"SOFR",$K$2:$K$7,$L$2:$L$7,,,"Actual360","LogLinear",TRUE)</f>
        <v>QSObject:ContextInput:w1~input.qs_context_add_curve.2359132437744.4378.3.0:36206</v>
      </c>
      <c r="E4379" s="6" t="str">
        <f>_xll.QS.INSTRUMENT.SWAP("swap.4377",H4379,B4379,"USD","SOFR",I4379,J4379,0,"Actual360","Simple","Annual","Annual","Annual")</f>
        <v>QSObject:Swap:w1~swap.4377:11196</v>
      </c>
      <c r="F4379" s="6" t="str">
        <f>_xll.QS.TRADE.CREATE("trade.4377",E4379,A4379,"Receive")</f>
        <v>QSObject:SwapTrade:w1~trade.4377:27451</v>
      </c>
      <c r="G4379" s="3">
        <f>_xll.QS.EVALUATE(C4379,F4379)</f>
        <v>37770.853068529148</v>
      </c>
      <c r="H4379" s="5" t="s">
        <v>4420</v>
      </c>
      <c r="I4379" s="7">
        <v>1437700</v>
      </c>
      <c r="J4379" s="8">
        <v>3.7699999999999997E-2</v>
      </c>
    </row>
    <row r="4380" spans="1:10" x14ac:dyDescent="0.25">
      <c r="A4380" s="5" t="s">
        <v>4414</v>
      </c>
      <c r="B4380" s="5" t="s">
        <v>6247</v>
      </c>
      <c r="C4380" s="6" t="str">
        <f>_xll.QS.CONTEXT.CREATE("market.4378",A4380,"USD","SOFR")</f>
        <v>QSObject:PricingContext:w1~market.4378:6382</v>
      </c>
      <c r="D4380" s="6" t="str">
        <f>_xll.QS.CONTEXT.ADD.CURVE(C4380,"SOFR",$K$2:$K$7,$L$2:$L$7,,,"Actual360","LogLinear",TRUE)</f>
        <v>QSObject:ContextInput:w1~input.qs_context_add_curve.2359132437744.4379.3.0:7967</v>
      </c>
      <c r="E4380" s="6" t="str">
        <f>_xll.QS.INSTRUMENT.SWAP("swap.4378",H4380,B4380,"USD","SOFR",I4380,J4380,0,"Actual360","Simple","Annual","Annual","Annual")</f>
        <v>QSObject:Swap:w1~swap.4378:3251</v>
      </c>
      <c r="F4380" s="6" t="str">
        <f>_xll.QS.TRADE.CREATE("trade.4378",E4380,A4380,"Receive")</f>
        <v>QSObject:SwapTrade:w1~trade.4378:27450</v>
      </c>
      <c r="G4380" s="3">
        <f>_xll.QS.EVALUATE(C4380,F4380)</f>
        <v>38440.03277251585</v>
      </c>
      <c r="H4380" s="5" t="s">
        <v>4421</v>
      </c>
      <c r="I4380" s="7">
        <v>1437800</v>
      </c>
      <c r="J4380" s="8">
        <v>3.78E-2</v>
      </c>
    </row>
    <row r="4381" spans="1:10" x14ac:dyDescent="0.25">
      <c r="A4381" s="5" t="s">
        <v>4415</v>
      </c>
      <c r="B4381" s="5" t="s">
        <v>6248</v>
      </c>
      <c r="C4381" s="6" t="str">
        <f>_xll.QS.CONTEXT.CREATE("market.4379",A4381,"USD","SOFR")</f>
        <v>QSObject:PricingContext:w1~market.4379:4803</v>
      </c>
      <c r="D4381" s="6" t="str">
        <f>_xll.QS.CONTEXT.ADD.CURVE(C4381,"SOFR",$K$2:$K$7,$L$2:$L$7,,,"Actual360","LogLinear",TRUE)</f>
        <v>QSObject:ContextInput:w1~input.qs_context_add_curve.2359132437744.4380.3.0:12688</v>
      </c>
      <c r="E4381" s="6" t="str">
        <f>_xll.QS.INSTRUMENT.SWAP("swap.4379",H4381,B4381,"USD","SOFR",I4381,J4381,0,"Actual360","Simple","Annual","Annual","Annual")</f>
        <v>QSObject:Swap:w1~swap.4379:11195</v>
      </c>
      <c r="F4381" s="6" t="str">
        <f>_xll.QS.TRADE.CREATE("trade.4379",E4381,A4381,"Receive")</f>
        <v>QSObject:SwapTrade:w1~trade.4379:27449</v>
      </c>
      <c r="G4381" s="3">
        <f>_xll.QS.EVALUATE(C4381,F4381)</f>
        <v>39114.351016067994</v>
      </c>
      <c r="H4381" s="5" t="s">
        <v>4422</v>
      </c>
      <c r="I4381" s="7">
        <v>1437900</v>
      </c>
      <c r="J4381" s="8">
        <v>3.7900000000000003E-2</v>
      </c>
    </row>
    <row r="4382" spans="1:10" x14ac:dyDescent="0.25">
      <c r="A4382" s="5" t="s">
        <v>4416</v>
      </c>
      <c r="B4382" s="5" t="s">
        <v>6249</v>
      </c>
      <c r="C4382" s="6" t="str">
        <f>_xll.QS.CONTEXT.CREATE("market.4380",A4382,"USD","SOFR")</f>
        <v>QSObject:PricingContext:w1~market.4380:7966</v>
      </c>
      <c r="D4382" s="6" t="str">
        <f>_xll.QS.CONTEXT.ADD.CURVE(C4382,"SOFR",$K$2:$K$7,$L$2:$L$7,,,"Actual360","LogLinear",TRUE)</f>
        <v>QSObject:ContextInput:w1~input.qs_context_add_curve.2359132437744.4381.3.0:9566</v>
      </c>
      <c r="E4382" s="6" t="str">
        <f>_xll.QS.INSTRUMENT.SWAP("swap.4380",H4382,B4382,"USD","SOFR",I4382,J4382,0,"Actual360","Simple","Annual","Annual","Annual")</f>
        <v>QSObject:Swap:w1~swap.4380:3250</v>
      </c>
      <c r="F4382" s="6" t="str">
        <f>_xll.QS.TRADE.CREATE("trade.4380",E4382,A4382,"Receive")</f>
        <v>QSObject:SwapTrade:w1~trade.4380:4802</v>
      </c>
      <c r="G4382" s="3">
        <f>_xll.QS.EVALUATE(C4382,F4382)</f>
        <v>39672.797344075108</v>
      </c>
      <c r="H4382" s="5" t="s">
        <v>4423</v>
      </c>
      <c r="I4382" s="7">
        <v>1438000</v>
      </c>
      <c r="J4382" s="8">
        <v>3.8000000000000013E-2</v>
      </c>
    </row>
    <row r="4383" spans="1:10" x14ac:dyDescent="0.25">
      <c r="A4383" s="5" t="s">
        <v>4417</v>
      </c>
      <c r="B4383" s="5" t="s">
        <v>6250</v>
      </c>
      <c r="C4383" s="6" t="str">
        <f>_xll.QS.CONTEXT.CREATE("market.4381",A4383,"USD","SOFR")</f>
        <v>QSObject:PricingContext:w1~market.4381:11194</v>
      </c>
      <c r="D4383" s="6" t="str">
        <f>_xll.QS.CONTEXT.ADD.CURVE(C4383,"SOFR",$K$2:$K$7,$L$2:$L$7,,,"Actual360","LogLinear",TRUE)</f>
        <v>QSObject:ContextInput:w1~input.qs_context_add_curve.2359132437744.4382.3.0:12687</v>
      </c>
      <c r="E4383" s="6" t="str">
        <f>_xll.QS.INSTRUMENT.SWAP("swap.4381",H4383,B4383,"USD","SOFR",I4383,J4383,0,"Actual360","Simple","Annual","Annual","Annual")</f>
        <v>QSObject:Swap:w1~swap.4381:1721</v>
      </c>
      <c r="F4383" s="6" t="str">
        <f>_xll.QS.TRADE.CREATE("trade.4381",E4383,A4383,"Receive")</f>
        <v>QSObject:SwapTrade:w1~trade.4381:6381</v>
      </c>
      <c r="G4383" s="3">
        <f>_xll.QS.EVALUATE(C4383,F4383)</f>
        <v>40237.049715478563</v>
      </c>
      <c r="H4383" s="5" t="s">
        <v>4424</v>
      </c>
      <c r="I4383" s="7">
        <v>1438100</v>
      </c>
      <c r="J4383" s="8">
        <v>3.8100000000000002E-2</v>
      </c>
    </row>
    <row r="4384" spans="1:10" x14ac:dyDescent="0.25">
      <c r="A4384" s="5" t="s">
        <v>4418</v>
      </c>
      <c r="B4384" s="5" t="s">
        <v>6251</v>
      </c>
      <c r="C4384" s="6" t="str">
        <f>_xll.QS.CONTEXT.CREATE("market.4382",A4384,"USD","SOFR")</f>
        <v>QSObject:PricingContext:w1~market.4382:3249</v>
      </c>
      <c r="D4384" s="6" t="str">
        <f>_xll.QS.CONTEXT.ADD.CURVE(C4384,"SOFR",$K$2:$K$7,$L$2:$L$7,,,"Actual360","LogLinear",TRUE)</f>
        <v>QSObject:ContextInput:w1~input.qs_context_add_curve.2359132437744.4383.3.0:9565</v>
      </c>
      <c r="E4384" s="6" t="str">
        <f>_xll.QS.INSTRUMENT.SWAP("swap.4382",H4384,B4384,"USD","SOFR",I4384,J4384,0,"Actual360","Simple","Annual","Annual","Annual")</f>
        <v>QSObject:Swap:w1~swap.4382:7965</v>
      </c>
      <c r="F4384" s="6" t="str">
        <f>_xll.QS.TRADE.CREATE("trade.4382",E4384,A4384,"Receive")</f>
        <v>QSObject:SwapTrade:w1~trade.4382:11193</v>
      </c>
      <c r="G4384" s="3">
        <f>_xll.QS.EVALUATE(C4384,F4384)</f>
        <v>40964.1216733642</v>
      </c>
      <c r="H4384" s="5" t="s">
        <v>4425</v>
      </c>
      <c r="I4384" s="7">
        <v>1438200</v>
      </c>
      <c r="J4384" s="8">
        <v>3.8199999999999998E-2</v>
      </c>
    </row>
    <row r="4385" spans="1:10" x14ac:dyDescent="0.25">
      <c r="A4385" s="5" t="s">
        <v>4419</v>
      </c>
      <c r="B4385" s="5" t="s">
        <v>6252</v>
      </c>
      <c r="C4385" s="6" t="str">
        <f>_xll.QS.CONTEXT.CREATE("market.4383",A4385,"USD","SOFR")</f>
        <v>QSObject:PricingContext:w1~market.4383:1720</v>
      </c>
      <c r="D4385" s="6" t="str">
        <f>_xll.QS.CONTEXT.ADD.CURVE(C4385,"SOFR",$K$2:$K$7,$L$2:$L$7,,,"Actual360","LogLinear",TRUE)</f>
        <v>QSObject:ContextInput:w1~input.qs_context_add_curve.2359132437744.4384.3.0:4801</v>
      </c>
      <c r="E4385" s="6" t="str">
        <f>_xll.QS.INSTRUMENT.SWAP("swap.4383",H4385,B4385,"USD","SOFR",I4385,J4385,0,"Actual360","Simple","Annual","Annual","Annual")</f>
        <v>QSObject:Swap:w1~swap.4383:12686</v>
      </c>
      <c r="F4385" s="6" t="str">
        <f>_xll.QS.TRADE.CREATE("trade.4383",E4385,A4385,"Receive")</f>
        <v>QSObject:SwapTrade:w1~trade.4383:27448</v>
      </c>
      <c r="G4385" s="3">
        <f>_xll.QS.EVALUATE(C4385,F4385)</f>
        <v>41607.289713103113</v>
      </c>
      <c r="H4385" s="5" t="s">
        <v>4426</v>
      </c>
      <c r="I4385" s="7">
        <v>1438300</v>
      </c>
      <c r="J4385" s="8">
        <v>3.8300000000000001E-2</v>
      </c>
    </row>
    <row r="4386" spans="1:10" x14ac:dyDescent="0.25">
      <c r="A4386" s="5" t="s">
        <v>4420</v>
      </c>
      <c r="B4386" s="5" t="s">
        <v>6253</v>
      </c>
      <c r="C4386" s="6" t="str">
        <f>_xll.QS.CONTEXT.CREATE("market.4384",A4386,"USD","SOFR")</f>
        <v>QSObject:PricingContext:w1~market.4384:7964</v>
      </c>
      <c r="D4386" s="6" t="str">
        <f>_xll.QS.CONTEXT.ADD.CURVE(C4386,"SOFR",$K$2:$K$7,$L$2:$L$7,,,"Actual360","LogLinear",TRUE)</f>
        <v>QSObject:ContextInput:w1~input.qs_context_add_curve.2359132437744.4385.3.0:36205</v>
      </c>
      <c r="E4386" s="6" t="str">
        <f>_xll.QS.INSTRUMENT.SWAP("swap.4384",H4386,B4386,"USD","SOFR",I4386,J4386,0,"Actual360","Simple","Annual","Annual","Annual")</f>
        <v>QSObject:Swap:w1~swap.4384:6380</v>
      </c>
      <c r="F4386" s="6" t="str">
        <f>_xll.QS.TRADE.CREATE("trade.4384",E4386,A4386,"Receive")</f>
        <v>QSObject:SwapTrade:w1~trade.4384:27447</v>
      </c>
      <c r="G4386" s="3">
        <f>_xll.QS.EVALUATE(C4386,F4386)</f>
        <v>42378.932760982687</v>
      </c>
      <c r="H4386" s="5" t="s">
        <v>4427</v>
      </c>
      <c r="I4386" s="7">
        <v>1438400</v>
      </c>
      <c r="J4386" s="8">
        <v>3.8399999999999997E-2</v>
      </c>
    </row>
    <row r="4387" spans="1:10" x14ac:dyDescent="0.25">
      <c r="A4387" s="5" t="s">
        <v>4421</v>
      </c>
      <c r="B4387" s="5" t="s">
        <v>6254</v>
      </c>
      <c r="C4387" s="6" t="str">
        <f>_xll.QS.CONTEXT.CREATE("market.4385",A4387,"USD","SOFR")</f>
        <v>QSObject:PricingContext:w1~market.4385:12685</v>
      </c>
      <c r="D4387" s="6" t="str">
        <f>_xll.QS.CONTEXT.ADD.CURVE(C4387,"SOFR",$K$2:$K$7,$L$2:$L$7,,,"Actual360","LogLinear",TRUE)</f>
        <v>QSObject:ContextInput:w1~input.qs_context_add_curve.2359132437744.4386.3.0:36204</v>
      </c>
      <c r="E4387" s="6" t="str">
        <f>_xll.QS.INSTRUMENT.SWAP("swap.4385",H4387,B4387,"USD","SOFR",I4387,J4387,0,"Actual360","Simple","Annual","Annual","Annual")</f>
        <v>QSObject:Swap:w1~swap.4385:11192</v>
      </c>
      <c r="F4387" s="6" t="str">
        <f>_xll.QS.TRADE.CREATE("trade.4385",E4387,A4387,"Receive")</f>
        <v>QSObject:SwapTrade:w1~trade.4385:27446</v>
      </c>
      <c r="G4387" s="3">
        <f>_xll.QS.EVALUATE(C4387,F4387)</f>
        <v>43108.145609622108</v>
      </c>
      <c r="H4387" s="5" t="s">
        <v>4428</v>
      </c>
      <c r="I4387" s="7">
        <v>1438500</v>
      </c>
      <c r="J4387" s="8">
        <v>3.8500000000000013E-2</v>
      </c>
    </row>
    <row r="4388" spans="1:10" x14ac:dyDescent="0.25">
      <c r="A4388" s="5" t="s">
        <v>4422</v>
      </c>
      <c r="B4388" s="5" t="s">
        <v>6255</v>
      </c>
      <c r="C4388" s="6" t="str">
        <f>_xll.QS.CONTEXT.CREATE("market.4386",A4388,"USD","SOFR")</f>
        <v>QSObject:PricingContext:w1~market.4386:9564</v>
      </c>
      <c r="D4388" s="6" t="str">
        <f>_xll.QS.CONTEXT.ADD.CURVE(C4388,"SOFR",$K$2:$K$7,$L$2:$L$7,,,"Actual360","LogLinear",TRUE)</f>
        <v>QSObject:ContextInput:w1~input.qs_context_add_curve.2359132437744.4387.3.0:36203</v>
      </c>
      <c r="E4388" s="6" t="str">
        <f>_xll.QS.INSTRUMENT.SWAP("swap.4386",H4388,B4388,"USD","SOFR",I4388,J4388,0,"Actual360","Simple","Annual","Annual","Annual")</f>
        <v>QSObject:Swap:w1~swap.4386:6379</v>
      </c>
      <c r="F4388" s="6" t="str">
        <f>_xll.QS.TRADE.CREATE("trade.4386",E4388,A4388,"Receive")</f>
        <v>QSObject:SwapTrade:w1~trade.4386:27445</v>
      </c>
      <c r="G4388" s="3">
        <f>_xll.QS.EVALUATE(C4388,F4388)</f>
        <v>43719.133733442141</v>
      </c>
      <c r="H4388" s="5" t="s">
        <v>4429</v>
      </c>
      <c r="I4388" s="7">
        <v>1438600</v>
      </c>
      <c r="J4388" s="8">
        <v>3.8600000000000002E-2</v>
      </c>
    </row>
    <row r="4389" spans="1:10" x14ac:dyDescent="0.25">
      <c r="A4389" s="5" t="s">
        <v>4423</v>
      </c>
      <c r="B4389" s="5" t="s">
        <v>6256</v>
      </c>
      <c r="C4389" s="6" t="str">
        <f>_xll.QS.CONTEXT.CREATE("market.4387",A4389,"USD","SOFR")</f>
        <v>QSObject:PricingContext:w1~market.4387:11191</v>
      </c>
      <c r="D4389" s="6" t="str">
        <f>_xll.QS.CONTEXT.ADD.CURVE(C4389,"SOFR",$K$2:$K$7,$L$2:$L$7,,,"Actual360","LogLinear",TRUE)</f>
        <v>QSObject:ContextInput:w1~input.qs_context_add_curve.2359132437744.4388.3.0:36202</v>
      </c>
      <c r="E4389" s="6" t="str">
        <f>_xll.QS.INSTRUMENT.SWAP("swap.4387",H4389,B4389,"USD","SOFR",I4389,J4389,0,"Actual360","Simple","Annual","Annual","Annual")</f>
        <v>QSObject:Swap:w1~swap.4387:12684</v>
      </c>
      <c r="F4389" s="6" t="str">
        <f>_xll.QS.TRADE.CREATE("trade.4387",E4389,A4389,"Receive")</f>
        <v>QSObject:SwapTrade:w1~trade.4387:27444</v>
      </c>
      <c r="G4389" s="3">
        <f>_xll.QS.EVALUATE(C4389,F4389)</f>
        <v>44272.697496074528</v>
      </c>
      <c r="H4389" s="5" t="s">
        <v>4430</v>
      </c>
      <c r="I4389" s="7">
        <v>1438700</v>
      </c>
      <c r="J4389" s="8">
        <v>3.8700000000000012E-2</v>
      </c>
    </row>
    <row r="4390" spans="1:10" x14ac:dyDescent="0.25">
      <c r="A4390" s="5" t="s">
        <v>4424</v>
      </c>
      <c r="B4390" s="5" t="s">
        <v>6257</v>
      </c>
      <c r="C4390" s="6" t="str">
        <f>_xll.QS.CONTEXT.CREATE("market.4388",A4390,"USD","SOFR")</f>
        <v>QSObject:PricingContext:w1~market.4388:6378</v>
      </c>
      <c r="D4390" s="6" t="str">
        <f>_xll.QS.CONTEXT.ADD.CURVE(C4390,"SOFR",$K$2:$K$7,$L$2:$L$7,,,"Actual360","LogLinear",TRUE)</f>
        <v>QSObject:ContextInput:w1~input.qs_context_add_curve.2359132437744.4389.3.0:7963</v>
      </c>
      <c r="E4390" s="6" t="str">
        <f>_xll.QS.INSTRUMENT.SWAP("swap.4388",H4390,B4390,"USD","SOFR",I4390,J4390,0,"Actual360","Simple","Annual","Annual","Annual")</f>
        <v>QSObject:Swap:w1~swap.4388:9563</v>
      </c>
      <c r="F4390" s="6" t="str">
        <f>_xll.QS.TRADE.CREATE("trade.4388",E4390,A4390,"Receive")</f>
        <v>QSObject:SwapTrade:w1~trade.4388:11190</v>
      </c>
      <c r="G4390" s="3">
        <f>_xll.QS.EVALUATE(C4390,F4390)</f>
        <v>44812.448363177027</v>
      </c>
      <c r="H4390" s="5" t="s">
        <v>4431</v>
      </c>
      <c r="I4390" s="7">
        <v>1438800</v>
      </c>
      <c r="J4390" s="8">
        <v>3.8800000000000001E-2</v>
      </c>
    </row>
    <row r="4391" spans="1:10" x14ac:dyDescent="0.25">
      <c r="A4391" s="5" t="s">
        <v>4425</v>
      </c>
      <c r="B4391" s="5" t="s">
        <v>6258</v>
      </c>
      <c r="C4391" s="6" t="str">
        <f>_xll.QS.CONTEXT.CREATE("market.4389",A4391,"USD","SOFR")</f>
        <v>QSObject:PricingContext:w1~market.4389:12683</v>
      </c>
      <c r="D4391" s="6" t="str">
        <f>_xll.QS.CONTEXT.ADD.CURVE(C4391,"SOFR",$K$2:$K$7,$L$2:$L$7,,,"Actual360","LogLinear",TRUE)</f>
        <v>QSObject:ContextInput:w1~input.qs_context_add_curve.2359132437744.4390.3.0:36201</v>
      </c>
      <c r="E4391" s="6" t="str">
        <f>_xll.QS.INSTRUMENT.SWAP("swap.4389",H4391,B4391,"USD","SOFR",I4391,J4391,0,"Actual360","Simple","Annual","Annual","Annual")</f>
        <v>QSObject:Swap:w1~swap.4389:1719</v>
      </c>
      <c r="F4391" s="6" t="str">
        <f>_xll.QS.TRADE.CREATE("trade.4389",E4391,A4391,"Receive")</f>
        <v>QSObject:SwapTrade:w1~trade.4389:6377</v>
      </c>
      <c r="G4391" s="3">
        <f>_xll.QS.EVALUATE(C4391,F4391)</f>
        <v>45540.972974447715</v>
      </c>
      <c r="H4391" s="5" t="s">
        <v>4432</v>
      </c>
      <c r="I4391" s="7">
        <v>1438900</v>
      </c>
      <c r="J4391" s="8">
        <v>3.8899999999999997E-2</v>
      </c>
    </row>
    <row r="4392" spans="1:10" x14ac:dyDescent="0.25">
      <c r="A4392" s="5" t="s">
        <v>4426</v>
      </c>
      <c r="B4392" s="5" t="s">
        <v>6259</v>
      </c>
      <c r="C4392" s="6" t="str">
        <f>_xll.QS.CONTEXT.CREATE("market.4390",A4392,"USD","SOFR")</f>
        <v>QSObject:PricingContext:w1~market.4390:9562</v>
      </c>
      <c r="D4392" s="6" t="str">
        <f>_xll.QS.CONTEXT.ADD.CURVE(C4392,"SOFR",$K$2:$K$7,$L$2:$L$7,,,"Actual360","LogLinear",TRUE)</f>
        <v>QSObject:ContextInput:w1~input.qs_context_add_curve.2359132437744.4391.3.0:27443</v>
      </c>
      <c r="E4392" s="6" t="str">
        <f>_xll.QS.INSTRUMENT.SWAP("swap.4390",H4392,B4392,"USD","SOFR",I4392,J4392,0,"Actual360","Simple","Annual","Annual","Annual")</f>
        <v>QSObject:Swap:w1~swap.4390:3248</v>
      </c>
      <c r="F4392" s="6" t="str">
        <f>_xll.QS.TRADE.CREATE("trade.4390",E4392,A4392,"Receive")</f>
        <v>QSObject:SwapTrade:w1~trade.4390:12682</v>
      </c>
      <c r="G4392" s="3">
        <f>_xll.QS.EVALUATE(C4392,F4392)</f>
        <v>46240.593519950526</v>
      </c>
      <c r="H4392" s="5" t="s">
        <v>4433</v>
      </c>
      <c r="I4392" s="7">
        <v>1439000</v>
      </c>
      <c r="J4392" s="8">
        <v>3.9000000000000007E-2</v>
      </c>
    </row>
    <row r="4393" spans="1:10" x14ac:dyDescent="0.25">
      <c r="A4393" s="5" t="s">
        <v>4427</v>
      </c>
      <c r="B4393" s="5" t="s">
        <v>6260</v>
      </c>
      <c r="C4393" s="6" t="str">
        <f>_xll.QS.CONTEXT.CREATE("market.4391",A4393,"USD","SOFR")</f>
        <v>QSObject:PricingContext:w1~market.4391:1718</v>
      </c>
      <c r="D4393" s="6" t="str">
        <f>_xll.QS.CONTEXT.ADD.CURVE(C4393,"SOFR",$K$2:$K$7,$L$2:$L$7,,,"Actual360","LogLinear",TRUE)</f>
        <v>QSObject:ContextInput:w1~input.qs_context_add_curve.2359132437744.4392.3.0:4800</v>
      </c>
      <c r="E4393" s="6" t="str">
        <f>_xll.QS.INSTRUMENT.SWAP("swap.4391",H4393,B4393,"USD","SOFR",I4393,J4393,0,"Actual360","Simple","Annual","Annual","Annual")</f>
        <v>QSObject:Swap:w1~swap.4391:11189</v>
      </c>
      <c r="F4393" s="6" t="str">
        <f>_xll.QS.TRADE.CREATE("trade.4391",E4393,A4393,"Receive")</f>
        <v>QSObject:SwapTrade:w1~trade.4391:27442</v>
      </c>
      <c r="G4393" s="3">
        <f>_xll.QS.EVALUATE(C4393,F4393)</f>
        <v>47097.928327162241</v>
      </c>
      <c r="H4393" s="5" t="s">
        <v>4434</v>
      </c>
      <c r="I4393" s="7">
        <v>1439100</v>
      </c>
      <c r="J4393" s="8">
        <v>3.9100000000000003E-2</v>
      </c>
    </row>
    <row r="4394" spans="1:10" x14ac:dyDescent="0.25">
      <c r="A4394" s="5" t="s">
        <v>4428</v>
      </c>
      <c r="B4394" s="5" t="s">
        <v>6261</v>
      </c>
      <c r="C4394" s="6" t="str">
        <f>_xll.QS.CONTEXT.CREATE("market.4392",A4394,"USD","SOFR")</f>
        <v>QSObject:PricingContext:w1~market.4392:3247</v>
      </c>
      <c r="D4394" s="6" t="str">
        <f>_xll.QS.CONTEXT.ADD.CURVE(C4394,"SOFR",$K$2:$K$7,$L$2:$L$7,,,"Actual360","LogLinear",TRUE)</f>
        <v>QSObject:ContextInput:w1~input.qs_context_add_curve.2359132437744.4393.3.0:7962</v>
      </c>
      <c r="E4394" s="6" t="str">
        <f>_xll.QS.INSTRUMENT.SWAP("swap.4392",H4394,B4394,"USD","SOFR",I4394,J4394,0,"Actual360","Simple","Annual","Annual","Annual")</f>
        <v>QSObject:Swap:w1~swap.4392:6376</v>
      </c>
      <c r="F4394" s="6" t="str">
        <f>_xll.QS.TRADE.CREATE("trade.4392",E4394,A4394,"Receive")</f>
        <v>QSObject:SwapTrade:w1~trade.4392:27441</v>
      </c>
      <c r="G4394" s="3">
        <f>_xll.QS.EVALUATE(C4394,F4394)</f>
        <v>47776.537130904348</v>
      </c>
      <c r="H4394" s="5" t="s">
        <v>4435</v>
      </c>
      <c r="I4394" s="7">
        <v>1439200</v>
      </c>
      <c r="J4394" s="8">
        <v>3.9200000000000013E-2</v>
      </c>
    </row>
    <row r="4395" spans="1:10" x14ac:dyDescent="0.25">
      <c r="A4395" s="5" t="s">
        <v>4429</v>
      </c>
      <c r="B4395" s="5" t="s">
        <v>6262</v>
      </c>
      <c r="C4395" s="6" t="str">
        <f>_xll.QS.CONTEXT.CREATE("market.4393",A4395,"USD","SOFR")</f>
        <v>QSObject:PricingContext:w1~market.4393:4799</v>
      </c>
      <c r="D4395" s="6" t="str">
        <f>_xll.QS.CONTEXT.ADD.CURVE(C4395,"SOFR",$K$2:$K$7,$L$2:$L$7,,,"Actual360","LogLinear",TRUE)</f>
        <v>QSObject:ContextInput:w1~input.qs_context_add_curve.2359132437744.4394.3.0:11188</v>
      </c>
      <c r="E4395" s="6" t="str">
        <f>_xll.QS.INSTRUMENT.SWAP("swap.4393",H4395,B4395,"USD","SOFR",I4395,J4395,0,"Actual360","Simple","Annual","Annual","Annual")</f>
        <v>QSObject:Swap:w1~swap.4393:12681</v>
      </c>
      <c r="F4395" s="6" t="str">
        <f>_xll.QS.TRADE.CREATE("trade.4393",E4395,A4395,"Receive")</f>
        <v>QSObject:SwapTrade:w1~trade.4393:27440</v>
      </c>
      <c r="G4395" s="3">
        <f>_xll.QS.EVALUATE(C4395,F4395)</f>
        <v>48440.970344770751</v>
      </c>
      <c r="H4395" s="5" t="s">
        <v>4436</v>
      </c>
      <c r="I4395" s="7">
        <v>1439300</v>
      </c>
      <c r="J4395" s="8">
        <v>3.9300000000000002E-2</v>
      </c>
    </row>
    <row r="4396" spans="1:10" x14ac:dyDescent="0.25">
      <c r="A4396" s="5" t="s">
        <v>4430</v>
      </c>
      <c r="B4396" s="5" t="s">
        <v>6263</v>
      </c>
      <c r="C4396" s="6" t="str">
        <f>_xll.QS.CONTEXT.CREATE("market.4394",A4396,"USD","SOFR")</f>
        <v>QSObject:PricingContext:w1~market.4394:6375</v>
      </c>
      <c r="D4396" s="6" t="str">
        <f>_xll.QS.CONTEXT.ADD.CURVE(C4396,"SOFR",$K$2:$K$7,$L$2:$L$7,,,"Actual360","LogLinear",TRUE)</f>
        <v>QSObject:ContextInput:w1~input.qs_context_add_curve.2359132437744.4395.3.0:7961</v>
      </c>
      <c r="E4396" s="6" t="str">
        <f>_xll.QS.INSTRUMENT.SWAP("swap.4394",H4396,B4396,"USD","SOFR",I4396,J4396,0,"Actual360","Simple","Annual","Annual","Annual")</f>
        <v>QSObject:Swap:w1~swap.4394:3246</v>
      </c>
      <c r="F4396" s="6" t="str">
        <f>_xll.QS.TRADE.CREATE("trade.4394",E4396,A4396,"Receive")</f>
        <v>QSObject:SwapTrade:w1~trade.4394:11187</v>
      </c>
      <c r="G4396" s="3">
        <f>_xll.QS.EVALUATE(C4396,F4396)</f>
        <v>48959.022137225955</v>
      </c>
      <c r="H4396" s="5" t="s">
        <v>4437</v>
      </c>
      <c r="I4396" s="7">
        <v>1439400</v>
      </c>
      <c r="J4396" s="8">
        <v>3.9399999999999998E-2</v>
      </c>
    </row>
    <row r="4397" spans="1:10" x14ac:dyDescent="0.25">
      <c r="A4397" s="5" t="s">
        <v>4431</v>
      </c>
      <c r="B4397" s="5" t="s">
        <v>6264</v>
      </c>
      <c r="C4397" s="6" t="str">
        <f>_xll.QS.CONTEXT.CREATE("market.4395",A4397,"USD","SOFR")</f>
        <v>QSObject:PricingContext:w1~market.4395:12680</v>
      </c>
      <c r="D4397" s="6" t="str">
        <f>_xll.QS.CONTEXT.ADD.CURVE(C4397,"SOFR",$K$2:$K$7,$L$2:$L$7,,,"Actual360","LogLinear",TRUE)</f>
        <v>QSObject:ContextInput:w1~input.qs_context_add_curve.2359132437744.4396.3.0:36200</v>
      </c>
      <c r="E4397" s="6" t="str">
        <f>_xll.QS.INSTRUMENT.SWAP("swap.4395",H4397,B4397,"USD","SOFR",I4397,J4397,0,"Actual360","Simple","Annual","Annual","Annual")</f>
        <v>QSObject:Swap:w1~swap.4395:4798</v>
      </c>
      <c r="F4397" s="6" t="str">
        <f>_xll.QS.TRADE.CREATE("trade.4395",E4397,A4397,"Receive")</f>
        <v>QSObject:SwapTrade:w1~trade.4395:6374</v>
      </c>
      <c r="G4397" s="3">
        <f>_xll.QS.EVALUATE(C4397,F4397)</f>
        <v>49538.623051092291</v>
      </c>
      <c r="H4397" s="5" t="s">
        <v>4438</v>
      </c>
      <c r="I4397" s="7">
        <v>1439500</v>
      </c>
      <c r="J4397" s="8">
        <v>3.9500000000000007E-2</v>
      </c>
    </row>
    <row r="4398" spans="1:10" x14ac:dyDescent="0.25">
      <c r="A4398" s="5" t="s">
        <v>4432</v>
      </c>
      <c r="B4398" s="5" t="s">
        <v>6265</v>
      </c>
      <c r="C4398" s="6" t="str">
        <f>_xll.QS.CONTEXT.CREATE("market.4396",A4398,"USD","SOFR")</f>
        <v>QSObject:PricingContext:w1~market.4396:3245</v>
      </c>
      <c r="D4398" s="6" t="str">
        <f>_xll.QS.CONTEXT.ADD.CURVE(C4398,"SOFR",$K$2:$K$7,$L$2:$L$7,,,"Actual360","LogLinear",TRUE)</f>
        <v>QSObject:ContextInput:w1~input.qs_context_add_curve.2359132437744.4397.3.0:9561</v>
      </c>
      <c r="E4398" s="6" t="str">
        <f>_xll.QS.INSTRUMENT.SWAP("swap.4396",H4398,B4398,"USD","SOFR",I4398,J4398,0,"Actual360","Simple","Annual","Annual","Annual")</f>
        <v>QSObject:Swap:w1~swap.4396:7960</v>
      </c>
      <c r="F4398" s="6" t="str">
        <f>_xll.QS.TRADE.CREATE("trade.4396",E4398,A4398,"Receive")</f>
        <v>QSObject:SwapTrade:w1~trade.4396:12679</v>
      </c>
      <c r="G4398" s="3">
        <f>_xll.QS.EVALUATE(C4398,F4398)</f>
        <v>50213.346134646803</v>
      </c>
      <c r="H4398" s="5" t="s">
        <v>4439</v>
      </c>
      <c r="I4398" s="7">
        <v>1439600</v>
      </c>
      <c r="J4398" s="8">
        <v>3.9600000000000003E-2</v>
      </c>
    </row>
    <row r="4399" spans="1:10" x14ac:dyDescent="0.25">
      <c r="A4399" s="5" t="s">
        <v>4433</v>
      </c>
      <c r="B4399" s="5" t="s">
        <v>6266</v>
      </c>
      <c r="C4399" s="6" t="str">
        <f>_xll.QS.CONTEXT.CREATE("market.4397",A4399,"USD","SOFR")</f>
        <v>QSObject:PricingContext:w1~market.4397:4797</v>
      </c>
      <c r="D4399" s="6" t="str">
        <f>_xll.QS.CONTEXT.ADD.CURVE(C4399,"SOFR",$K$2:$K$7,$L$2:$L$7,,,"Actual360","LogLinear",TRUE)</f>
        <v>QSObject:ContextInput:w1~input.qs_context_add_curve.2359132437744.4398.3.0:27439</v>
      </c>
      <c r="E4399" s="6" t="str">
        <f>_xll.QS.INSTRUMENT.SWAP("swap.4397",H4399,B4399,"USD","SOFR",I4399,J4399,0,"Actual360","Simple","Annual","Annual","Annual")</f>
        <v>QSObject:Swap:w1~swap.4397:11186</v>
      </c>
      <c r="F4399" s="6" t="str">
        <f>_xll.QS.TRADE.CREATE("trade.4397",E4399,A4399,"Receive")</f>
        <v>QSObject:SwapTrade:w1~trade.4397:27438</v>
      </c>
      <c r="G4399" s="3">
        <f>_xll.QS.EVALUATE(C4399,F4399)</f>
        <v>50942.87242174679</v>
      </c>
      <c r="H4399" s="5" t="s">
        <v>4440</v>
      </c>
      <c r="I4399" s="7">
        <v>1439700</v>
      </c>
      <c r="J4399" s="8">
        <v>3.9700000000000013E-2</v>
      </c>
    </row>
    <row r="4400" spans="1:10" x14ac:dyDescent="0.25">
      <c r="A4400" s="5" t="s">
        <v>4434</v>
      </c>
      <c r="B4400" s="5" t="s">
        <v>6267</v>
      </c>
      <c r="C4400" s="6" t="str">
        <f>_xll.QS.CONTEXT.CREATE("market.4398",A4400,"USD","SOFR")</f>
        <v>QSObject:PricingContext:w1~market.4398:9560</v>
      </c>
      <c r="D4400" s="6" t="str">
        <f>_xll.QS.CONTEXT.ADD.CURVE(C4400,"SOFR",$K$2:$K$7,$L$2:$L$7,,,"Actual360","LogLinear",TRUE)</f>
        <v>QSObject:ContextInput:w1~input.qs_context_add_curve.2359132437744.4399.3.0:36199</v>
      </c>
      <c r="E4400" s="6" t="str">
        <f>_xll.QS.INSTRUMENT.SWAP("swap.4398",H4400,B4400,"USD","SOFR",I4400,J4400,0,"Actual360","Simple","Annual","Annual","Annual")</f>
        <v>QSObject:Swap:w1~swap.4398:3244</v>
      </c>
      <c r="F4400" s="6" t="str">
        <f>_xll.QS.TRADE.CREATE("trade.4398",E4400,A4400,"Receive")</f>
        <v>QSObject:SwapTrade:w1~trade.4398:27437</v>
      </c>
      <c r="G4400" s="3">
        <f>_xll.QS.EVALUATE(C4400,F4400)</f>
        <v>51715.671685882575</v>
      </c>
      <c r="H4400" s="5" t="s">
        <v>4441</v>
      </c>
      <c r="I4400" s="7">
        <v>1439800</v>
      </c>
      <c r="J4400" s="8">
        <v>3.9800000000000002E-2</v>
      </c>
    </row>
    <row r="4401" spans="1:10" x14ac:dyDescent="0.25">
      <c r="A4401" s="5" t="s">
        <v>4435</v>
      </c>
      <c r="B4401" s="5" t="s">
        <v>6268</v>
      </c>
      <c r="C4401" s="6" t="str">
        <f>_xll.QS.CONTEXT.CREATE("market.4399",A4401,"USD","SOFR")</f>
        <v>QSObject:PricingContext:w1~market.4399:4796</v>
      </c>
      <c r="D4401" s="6" t="str">
        <f>_xll.QS.CONTEXT.ADD.CURVE(C4401,"SOFR",$K$2:$K$7,$L$2:$L$7,,,"Actual360","LogLinear",TRUE)</f>
        <v>QSObject:ContextInput:w1~input.qs_context_add_curve.2359132437744.4400.3.0:11185</v>
      </c>
      <c r="E4401" s="6" t="str">
        <f>_xll.QS.INSTRUMENT.SWAP("swap.4399",H4401,B4401,"USD","SOFR",I4401,J4401,0,"Actual360","Simple","Annual","Annual","Annual")</f>
        <v>QSObject:Swap:w1~swap.4399:12678</v>
      </c>
      <c r="F4401" s="6" t="str">
        <f>_xll.QS.TRADE.CREATE("trade.4399",E4401,A4401,"Receive")</f>
        <v>QSObject:SwapTrade:w1~trade.4399:27436</v>
      </c>
      <c r="G4401" s="3">
        <f>_xll.QS.EVALUATE(C4401,F4401)</f>
        <v>52447.990711597442</v>
      </c>
      <c r="H4401" s="5" t="s">
        <v>4442</v>
      </c>
      <c r="I4401" s="7">
        <v>1439900</v>
      </c>
      <c r="J4401" s="8">
        <v>3.9899999999999998E-2</v>
      </c>
    </row>
    <row r="4402" spans="1:10" x14ac:dyDescent="0.25">
      <c r="A4402" s="5" t="s">
        <v>4436</v>
      </c>
      <c r="B4402" s="5" t="s">
        <v>6269</v>
      </c>
      <c r="C4402" s="6" t="str">
        <f>_xll.QS.CONTEXT.CREATE("market.4400",A4402,"USD","SOFR")</f>
        <v>QSObject:PricingContext:w1~market.4400:3243</v>
      </c>
      <c r="D4402" s="6" t="str">
        <f>_xll.QS.CONTEXT.ADD.CURVE(C4402,"SOFR",$K$2:$K$7,$L$2:$L$7,,,"Actual360","LogLinear",TRUE)</f>
        <v>QSObject:ContextInput:w1~input.qs_context_add_curve.2359132437744.4401.3.0:9559</v>
      </c>
      <c r="E4402" s="6" t="str">
        <f>_xll.QS.INSTRUMENT.SWAP("swap.4400",H4402,B4402,"USD","SOFR",I4402,J4402,0,"Actual360","Simple","Annual","Annual","Annual")</f>
        <v>QSObject:Swap:w1~swap.4400:7959</v>
      </c>
      <c r="F4402" s="6" t="str">
        <f>_xll.QS.TRADE.CREATE("trade.4400",E4402,A4402,"Receive")</f>
        <v>QSObject:SwapTrade:w1~trade.4400:27435</v>
      </c>
      <c r="G4402" s="3">
        <f>_xll.QS.EVALUATE(C4402,F4402)</f>
        <v>19913.977784949391</v>
      </c>
      <c r="H4402" s="5" t="s">
        <v>4443</v>
      </c>
      <c r="I4402" s="7">
        <v>1440000</v>
      </c>
      <c r="J4402" s="8">
        <v>3.5000000000000003E-2</v>
      </c>
    </row>
    <row r="4403" spans="1:10" x14ac:dyDescent="0.25">
      <c r="A4403" s="5" t="s">
        <v>4437</v>
      </c>
      <c r="B4403" s="5" t="s">
        <v>6270</v>
      </c>
      <c r="C4403" s="6" t="str">
        <f>_xll.QS.CONTEXT.CREATE("market.4401",A4403,"USD","SOFR")</f>
        <v>QSObject:PricingContext:w1~market.4401:12677</v>
      </c>
      <c r="D4403" s="6" t="str">
        <f>_xll.QS.CONTEXT.ADD.CURVE(C4403,"SOFR",$K$2:$K$7,$L$2:$L$7,,,"Actual360","LogLinear",TRUE)</f>
        <v>QSObject:ContextInput:w1~input.qs_context_add_curve.2359132437744.4402.3.0:36198</v>
      </c>
      <c r="E4403" s="6" t="str">
        <f>_xll.QS.INSTRUMENT.SWAP("swap.4401",H4403,B4403,"USD","SOFR",I4403,J4403,0,"Actual360","Simple","Annual","Annual","Annual")</f>
        <v>QSObject:Swap:w1~swap.4401:1717</v>
      </c>
      <c r="F4403" s="6" t="str">
        <f>_xll.QS.TRADE.CREATE("trade.4401",E4403,A4403,"Receive")</f>
        <v>QSObject:SwapTrade:w1~trade.4401:9558</v>
      </c>
      <c r="G4403" s="3">
        <f>_xll.QS.EVALUATE(C4403,F4403)</f>
        <v>20494.562710554652</v>
      </c>
      <c r="H4403" s="5" t="s">
        <v>4444</v>
      </c>
      <c r="I4403" s="7">
        <v>1440100</v>
      </c>
      <c r="J4403" s="8">
        <v>3.5100000000000013E-2</v>
      </c>
    </row>
    <row r="4404" spans="1:10" x14ac:dyDescent="0.25">
      <c r="A4404" s="5" t="s">
        <v>4438</v>
      </c>
      <c r="B4404" s="5" t="s">
        <v>6271</v>
      </c>
      <c r="C4404" s="6" t="str">
        <f>_xll.QS.CONTEXT.CREATE("market.4402",A4404,"USD","SOFR")</f>
        <v>QSObject:PricingContext:w1~market.4402:7958</v>
      </c>
      <c r="D4404" s="6" t="str">
        <f>_xll.QS.CONTEXT.ADD.CURVE(C4404,"SOFR",$K$2:$K$7,$L$2:$L$7,,,"Actual360","LogLinear",TRUE)</f>
        <v>QSObject:ContextInput:w1~input.qs_context_add_curve.2359132437744.4403.3.0:27434</v>
      </c>
      <c r="E4404" s="6" t="str">
        <f>_xll.QS.INSTRUMENT.SWAP("swap.4402",H4404,B4404,"USD","SOFR",I4404,J4404,0,"Actual360","Simple","Annual","Annual","Annual")</f>
        <v>QSObject:Swap:w1~swap.4402:6373</v>
      </c>
      <c r="F4404" s="6" t="str">
        <f>_xll.QS.TRADE.CREATE("trade.4402",E4404,A4404,"Receive")</f>
        <v>QSObject:SwapTrade:w1~trade.4402:12676</v>
      </c>
      <c r="G4404" s="3">
        <f>_xll.QS.EVALUATE(C4404,F4404)</f>
        <v>21028.40251417664</v>
      </c>
      <c r="H4404" s="5" t="s">
        <v>4445</v>
      </c>
      <c r="I4404" s="7">
        <v>1440200</v>
      </c>
      <c r="J4404" s="8">
        <v>3.5200000000000002E-2</v>
      </c>
    </row>
    <row r="4405" spans="1:10" x14ac:dyDescent="0.25">
      <c r="A4405" s="5" t="s">
        <v>4439</v>
      </c>
      <c r="B4405" s="5" t="s">
        <v>6272</v>
      </c>
      <c r="C4405" s="6" t="str">
        <f>_xll.QS.CONTEXT.CREATE("market.4403",A4405,"USD","SOFR")</f>
        <v>QSObject:PricingContext:w1~market.4403:9557</v>
      </c>
      <c r="D4405" s="6" t="str">
        <f>_xll.QS.CONTEXT.ADD.CURVE(C4405,"SOFR",$K$2:$K$7,$L$2:$L$7,,,"Actual360","LogLinear",TRUE)</f>
        <v>QSObject:ContextInput:w1~input.qs_context_add_curve.2359132437744.4404.3.0:11184</v>
      </c>
      <c r="E4405" s="6" t="str">
        <f>_xll.QS.INSTRUMENT.SWAP("swap.4403",H4405,B4405,"USD","SOFR",I4405,J4405,0,"Actual360","Simple","Annual","Annual","Annual")</f>
        <v>QSObject:Swap:w1~swap.4403:4795</v>
      </c>
      <c r="F4405" s="6" t="str">
        <f>_xll.QS.TRADE.CREATE("trade.4403",E4405,A4405,"Receive")</f>
        <v>QSObject:SwapTrade:w1~trade.4403:27433</v>
      </c>
      <c r="G4405" s="3">
        <f>_xll.QS.EVALUATE(C4405,F4405)</f>
        <v>21695.804591115171</v>
      </c>
      <c r="H4405" s="5" t="s">
        <v>4446</v>
      </c>
      <c r="I4405" s="7">
        <v>1440300</v>
      </c>
      <c r="J4405" s="8">
        <v>3.5299999999999998E-2</v>
      </c>
    </row>
    <row r="4406" spans="1:10" x14ac:dyDescent="0.25">
      <c r="A4406" s="5" t="s">
        <v>4440</v>
      </c>
      <c r="B4406" s="5" t="s">
        <v>6273</v>
      </c>
      <c r="C4406" s="6" t="str">
        <f>_xll.QS.CONTEXT.CREATE("market.4404",A4406,"USD","SOFR")</f>
        <v>QSObject:PricingContext:w1~market.4404:6372</v>
      </c>
      <c r="D4406" s="6" t="str">
        <f>_xll.QS.CONTEXT.ADD.CURVE(C4406,"SOFR",$K$2:$K$7,$L$2:$L$7,,,"Actual360","LogLinear",TRUE)</f>
        <v>QSObject:ContextInput:w1~input.qs_context_add_curve.2359132437744.4405.3.0:7957</v>
      </c>
      <c r="E4406" s="6" t="str">
        <f>_xll.QS.INSTRUMENT.SWAP("swap.4404",H4406,B4406,"USD","SOFR",I4406,J4406,0,"Actual360","Simple","Annual","Annual","Annual")</f>
        <v>QSObject:Swap:w1~swap.4404:1716</v>
      </c>
      <c r="F4406" s="6" t="str">
        <f>_xll.QS.TRADE.CREATE("trade.4404",E4406,A4406,"Receive")</f>
        <v>QSObject:SwapTrade:w1~trade.4404:12675</v>
      </c>
      <c r="G4406" s="3">
        <f>_xll.QS.EVALUATE(C4406,F4406)</f>
        <v>22405.833969909203</v>
      </c>
      <c r="H4406" s="5" t="s">
        <v>4447</v>
      </c>
      <c r="I4406" s="7">
        <v>1440400</v>
      </c>
      <c r="J4406" s="8">
        <v>3.5400000000000001E-2</v>
      </c>
    </row>
    <row r="4407" spans="1:10" x14ac:dyDescent="0.25">
      <c r="A4407" s="5" t="s">
        <v>4441</v>
      </c>
      <c r="B4407" s="5" t="s">
        <v>6274</v>
      </c>
      <c r="C4407" s="6" t="str">
        <f>_xll.QS.CONTEXT.CREATE("market.4405",A4407,"USD","SOFR")</f>
        <v>QSObject:PricingContext:w1~market.4405:3242</v>
      </c>
      <c r="D4407" s="6" t="str">
        <f>_xll.QS.CONTEXT.ADD.CURVE(C4407,"SOFR",$K$2:$K$7,$L$2:$L$7,,,"Actual360","LogLinear",TRUE)</f>
        <v>QSObject:ContextInput:w1~input.qs_context_add_curve.2359132437744.4406.3.0:11183</v>
      </c>
      <c r="E4407" s="6" t="str">
        <f>_xll.QS.INSTRUMENT.SWAP("swap.4405",H4407,B4407,"USD","SOFR",I4407,J4407,0,"Actual360","Simple","Annual","Annual","Annual")</f>
        <v>QSObject:Swap:w1~swap.4405:9556</v>
      </c>
      <c r="F4407" s="6" t="str">
        <f>_xll.QS.TRADE.CREATE("trade.4405",E4407,A4407,"Receive")</f>
        <v>QSObject:SwapTrade:w1~trade.4405:27432</v>
      </c>
      <c r="G4407" s="3">
        <f>_xll.QS.EVALUATE(C4407,F4407)</f>
        <v>23176.957235109578</v>
      </c>
      <c r="H4407" s="5" t="s">
        <v>4448</v>
      </c>
      <c r="I4407" s="7">
        <v>1440500</v>
      </c>
      <c r="J4407" s="8">
        <v>3.5499999999999997E-2</v>
      </c>
    </row>
    <row r="4408" spans="1:10" x14ac:dyDescent="0.25">
      <c r="A4408" s="5" t="s">
        <v>4442</v>
      </c>
      <c r="B4408" s="5" t="s">
        <v>6275</v>
      </c>
      <c r="C4408" s="6" t="str">
        <f>_xll.QS.CONTEXT.CREATE("market.4406",A4408,"USD","SOFR")</f>
        <v>QSObject:PricingContext:w1~market.4406:12674</v>
      </c>
      <c r="D4408" s="6" t="str">
        <f>_xll.QS.CONTEXT.ADD.CURVE(C4408,"SOFR",$K$2:$K$7,$L$2:$L$7,,,"Actual360","LogLinear",TRUE)</f>
        <v>QSObject:ContextInput:w1~input.qs_context_add_curve.2359132437744.4407.3.0:36197</v>
      </c>
      <c r="E4408" s="6" t="str">
        <f>_xll.QS.INSTRUMENT.SWAP("swap.4406",H4408,B4408,"USD","SOFR",I4408,J4408,0,"Actual360","Simple","Annual","Annual","Annual")</f>
        <v>QSObject:Swap:w1~swap.4406:7956</v>
      </c>
      <c r="F4408" s="6" t="str">
        <f>_xll.QS.TRADE.CREATE("trade.4406",E4408,A4408,"Receive")</f>
        <v>QSObject:SwapTrade:w1~trade.4406:27431</v>
      </c>
      <c r="G4408" s="3">
        <f>_xll.QS.EVALUATE(C4408,F4408)</f>
        <v>23905.874471562514</v>
      </c>
      <c r="H4408" s="5" t="s">
        <v>4449</v>
      </c>
      <c r="I4408" s="7">
        <v>1440600</v>
      </c>
      <c r="J4408" s="8">
        <v>3.5600000000000007E-2</v>
      </c>
    </row>
    <row r="4409" spans="1:10" x14ac:dyDescent="0.25">
      <c r="A4409" s="5" t="s">
        <v>4443</v>
      </c>
      <c r="B4409" s="5" t="s">
        <v>6276</v>
      </c>
      <c r="C4409" s="6" t="str">
        <f>_xll.QS.CONTEXT.CREATE("market.4407",A4409,"USD","SOFR")</f>
        <v>QSObject:PricingContext:w1~market.4407:11182</v>
      </c>
      <c r="D4409" s="6" t="str">
        <f>_xll.QS.CONTEXT.ADD.CURVE(C4409,"SOFR",$K$2:$K$7,$L$2:$L$7,,,"Actual360","LogLinear",TRUE)</f>
        <v>QSObject:ContextInput:w1~input.qs_context_add_curve.2359132437744.4408.3.0:27430</v>
      </c>
      <c r="E4409" s="6" t="str">
        <f>_xll.QS.INSTRUMENT.SWAP("swap.4407",H4409,B4409,"USD","SOFR",I4409,J4409,0,"Actual360","Simple","Annual","Annual","Annual")</f>
        <v>QSObject:Swap:w1~swap.4407:9555</v>
      </c>
      <c r="F4409" s="6" t="str">
        <f>_xll.QS.TRADE.CREATE("trade.4407",E4409,A4409,"Receive")</f>
        <v>QSObject:SwapTrade:w1~trade.4407:12673</v>
      </c>
      <c r="G4409" s="3">
        <f>_xll.QS.EVALUATE(C4409,F4409)</f>
        <v>24516.421860701157</v>
      </c>
      <c r="H4409" s="5" t="s">
        <v>4450</v>
      </c>
      <c r="I4409" s="7">
        <v>1440700</v>
      </c>
      <c r="J4409" s="8">
        <v>3.5700000000000003E-2</v>
      </c>
    </row>
    <row r="4410" spans="1:10" x14ac:dyDescent="0.25">
      <c r="A4410" s="5" t="s">
        <v>4444</v>
      </c>
      <c r="B4410" s="5" t="s">
        <v>6277</v>
      </c>
      <c r="C4410" s="6" t="str">
        <f>_xll.QS.CONTEXT.CREATE("market.4408",A4410,"USD","SOFR")</f>
        <v>QSObject:PricingContext:w1~market.4408:7955</v>
      </c>
      <c r="D4410" s="6" t="str">
        <f>_xll.QS.CONTEXT.ADD.CURVE(C4410,"SOFR",$K$2:$K$7,$L$2:$L$7,,,"Actual360","LogLinear",TRUE)</f>
        <v>QSObject:ContextInput:w1~input.qs_context_add_curve.2359132437744.4409.3.0:11181</v>
      </c>
      <c r="E4410" s="6" t="str">
        <f>_xll.QS.INSTRUMENT.SWAP("swap.4408",H4410,B4410,"USD","SOFR",I4410,J4410,0,"Actual360","Simple","Annual","Annual","Annual")</f>
        <v>QSObject:Swap:w1~swap.4408:1715</v>
      </c>
      <c r="F4410" s="6" t="str">
        <f>_xll.QS.TRADE.CREATE("trade.4408",E4410,A4410,"Receive")</f>
        <v>QSObject:SwapTrade:w1~trade.4408:3241</v>
      </c>
      <c r="G4410" s="3">
        <f>_xll.QS.EVALUATE(C4410,F4410)</f>
        <v>25092.142796680753</v>
      </c>
      <c r="H4410" s="5" t="s">
        <v>4451</v>
      </c>
      <c r="I4410" s="7">
        <v>1440800</v>
      </c>
      <c r="J4410" s="8">
        <v>3.5800000000000012E-2</v>
      </c>
    </row>
    <row r="4411" spans="1:10" x14ac:dyDescent="0.25">
      <c r="A4411" s="5" t="s">
        <v>4445</v>
      </c>
      <c r="B4411" s="5" t="s">
        <v>6278</v>
      </c>
      <c r="C4411" s="6" t="str">
        <f>_xll.QS.CONTEXT.CREATE("market.4409",A4411,"USD","SOFR")</f>
        <v>QSObject:PricingContext:w1~market.4409:12672</v>
      </c>
      <c r="D4411" s="6" t="str">
        <f>_xll.QS.CONTEXT.ADD.CURVE(C4411,"SOFR",$K$2:$K$7,$L$2:$L$7,,,"Actual360","LogLinear",TRUE)</f>
        <v>QSObject:ContextInput:w1~input.qs_context_add_curve.2359132437744.4410.3.0:36196</v>
      </c>
      <c r="E4411" s="6" t="str">
        <f>_xll.QS.INSTRUMENT.SWAP("swap.4409",H4411,B4411,"USD","SOFR",I4411,J4411,0,"Actual360","Simple","Annual","Annual","Annual")</f>
        <v>QSObject:Swap:w1~swap.4409:6371</v>
      </c>
      <c r="F4411" s="6" t="str">
        <f>_xll.QS.TRADE.CREATE("trade.4409",E4411,A4411,"Receive")</f>
        <v>QSObject:SwapTrade:w1~trade.4409:7954</v>
      </c>
      <c r="G4411" s="3">
        <f>_xll.QS.EVALUATE(C4411,F4411)</f>
        <v>25633.944493199662</v>
      </c>
      <c r="H4411" s="5" t="s">
        <v>4452</v>
      </c>
      <c r="I4411" s="7">
        <v>1440900</v>
      </c>
      <c r="J4411" s="8">
        <v>3.5900000000000001E-2</v>
      </c>
    </row>
    <row r="4412" spans="1:10" x14ac:dyDescent="0.25">
      <c r="A4412" s="5" t="s">
        <v>4446</v>
      </c>
      <c r="B4412" s="5" t="s">
        <v>6279</v>
      </c>
      <c r="C4412" s="6" t="str">
        <f>_xll.QS.CONTEXT.CREATE("market.4410",A4412,"USD","SOFR")</f>
        <v>QSObject:PricingContext:w1~market.4410:1714</v>
      </c>
      <c r="D4412" s="6" t="str">
        <f>_xll.QS.CONTEXT.ADD.CURVE(C4412,"SOFR",$K$2:$K$7,$L$2:$L$7,,,"Actual360","LogLinear",TRUE)</f>
        <v>QSObject:ContextInput:w1~input.qs_context_add_curve.2359132437744.4411.3.0:3240</v>
      </c>
      <c r="E4412" s="6" t="str">
        <f>_xll.QS.INSTRUMENT.SWAP("swap.4410",H4412,B4412,"USD","SOFR",I4412,J4412,0,"Actual360","Simple","Annual","Annual","Annual")</f>
        <v>QSObject:Swap:w1~swap.4410:11180</v>
      </c>
      <c r="F4412" s="6" t="str">
        <f>_xll.QS.TRADE.CREATE("trade.4410",E4412,A4412,"Receive")</f>
        <v>QSObject:SwapTrade:w1~trade.4410:12671</v>
      </c>
      <c r="G4412" s="3">
        <f>_xll.QS.EVALUATE(C4412,F4412)</f>
        <v>26360.036474815723</v>
      </c>
      <c r="H4412" s="5" t="s">
        <v>4453</v>
      </c>
      <c r="I4412" s="7">
        <v>1441000</v>
      </c>
      <c r="J4412" s="8">
        <v>3.5999999999999997E-2</v>
      </c>
    </row>
    <row r="4413" spans="1:10" x14ac:dyDescent="0.25">
      <c r="A4413" s="5" t="s">
        <v>4447</v>
      </c>
      <c r="B4413" s="5" t="s">
        <v>6280</v>
      </c>
      <c r="C4413" s="6" t="str">
        <f>_xll.QS.CONTEXT.CREATE("market.4411",A4413,"USD","SOFR")</f>
        <v>QSObject:PricingContext:w1~market.4411:9554</v>
      </c>
      <c r="D4413" s="6" t="str">
        <f>_xll.QS.CONTEXT.ADD.CURVE(C4413,"SOFR",$K$2:$K$7,$L$2:$L$7,,,"Actual360","LogLinear",TRUE)</f>
        <v>QSObject:ContextInput:w1~input.qs_context_add_curve.2359132437744.4412.3.0:36195</v>
      </c>
      <c r="E4413" s="6" t="str">
        <f>_xll.QS.INSTRUMENT.SWAP("swap.4411",H4413,B4413,"USD","SOFR",I4413,J4413,0,"Actual360","Simple","Annual","Annual","Annual")</f>
        <v>QSObject:Swap:w1~swap.4411:6370</v>
      </c>
      <c r="F4413" s="6" t="str">
        <f>_xll.QS.TRADE.CREATE("trade.4411",E4413,A4413,"Receive")</f>
        <v>QSObject:SwapTrade:w1~trade.4411:27429</v>
      </c>
      <c r="G4413" s="3">
        <f>_xll.QS.EVALUATE(C4413,F4413)</f>
        <v>27067.700597555246</v>
      </c>
      <c r="H4413" s="5" t="s">
        <v>4454</v>
      </c>
      <c r="I4413" s="7">
        <v>1441100</v>
      </c>
      <c r="J4413" s="8">
        <v>3.61E-2</v>
      </c>
    </row>
    <row r="4414" spans="1:10" x14ac:dyDescent="0.25">
      <c r="A4414" s="5" t="s">
        <v>4448</v>
      </c>
      <c r="B4414" s="5" t="s">
        <v>6281</v>
      </c>
      <c r="C4414" s="6" t="str">
        <f>_xll.QS.CONTEXT.CREATE("market.4412",A4414,"USD","SOFR")</f>
        <v>QSObject:PricingContext:w1~market.4412:3239</v>
      </c>
      <c r="D4414" s="6" t="str">
        <f>_xll.QS.CONTEXT.ADD.CURVE(C4414,"SOFR",$K$2:$K$7,$L$2:$L$7,,,"Actual360","LogLinear",TRUE)</f>
        <v>QSObject:ContextInput:w1~input.qs_context_add_curve.2359132437744.4413.3.0:11179</v>
      </c>
      <c r="E4414" s="6" t="str">
        <f>_xll.QS.INSTRUMENT.SWAP("swap.4412",H4414,B4414,"USD","SOFR",I4414,J4414,0,"Actual360","Simple","Annual","Annual","Annual")</f>
        <v>QSObject:Swap:w1~swap.4412:1713</v>
      </c>
      <c r="F4414" s="6" t="str">
        <f>_xll.QS.TRADE.CREATE("trade.4412",E4414,A4414,"Receive")</f>
        <v>QSObject:SwapTrade:w1~trade.4412:9553</v>
      </c>
      <c r="G4414" s="3">
        <f>_xll.QS.EVALUATE(C4414,F4414)</f>
        <v>27840.373556484265</v>
      </c>
      <c r="H4414" s="5" t="s">
        <v>4455</v>
      </c>
      <c r="I4414" s="7">
        <v>1441200</v>
      </c>
      <c r="J4414" s="8">
        <v>3.6200000000000003E-2</v>
      </c>
    </row>
    <row r="4415" spans="1:10" x14ac:dyDescent="0.25">
      <c r="A4415" s="5" t="s">
        <v>4449</v>
      </c>
      <c r="B4415" s="5" t="s">
        <v>6282</v>
      </c>
      <c r="C4415" s="6" t="str">
        <f>_xll.QS.CONTEXT.CREATE("market.4413",A4415,"USD","SOFR")</f>
        <v>QSObject:PricingContext:w1~market.4413:6369</v>
      </c>
      <c r="D4415" s="6" t="str">
        <f>_xll.QS.CONTEXT.ADD.CURVE(C4415,"SOFR",$K$2:$K$7,$L$2:$L$7,,,"Actual360","LogLinear",TRUE)</f>
        <v>QSObject:ContextInput:w1~input.qs_context_add_curve.2359132437744.4414.3.0:12670</v>
      </c>
      <c r="E4415" s="6" t="str">
        <f>_xll.QS.INSTRUMENT.SWAP("swap.4413",H4415,B4415,"USD","SOFR",I4415,J4415,0,"Actual360","Simple","Annual","Annual","Annual")</f>
        <v>QSObject:Swap:w1~swap.4413:7953</v>
      </c>
      <c r="F4415" s="6" t="str">
        <f>_xll.QS.TRADE.CREATE("trade.4413",E4415,A4415,"Receive")</f>
        <v>QSObject:SwapTrade:w1~trade.4413:27428</v>
      </c>
      <c r="G4415" s="3">
        <f>_xll.QS.EVALUATE(C4415,F4415)</f>
        <v>28569.817712788092</v>
      </c>
      <c r="H4415" s="5" t="s">
        <v>4456</v>
      </c>
      <c r="I4415" s="7">
        <v>1441300</v>
      </c>
      <c r="J4415" s="8">
        <v>3.6300000000000013E-2</v>
      </c>
    </row>
    <row r="4416" spans="1:10" x14ac:dyDescent="0.25">
      <c r="A4416" s="5" t="s">
        <v>4450</v>
      </c>
      <c r="B4416" s="5" t="s">
        <v>6283</v>
      </c>
      <c r="C4416" s="6" t="str">
        <f>_xll.QS.CONTEXT.CREATE("market.4414",A4416,"USD","SOFR")</f>
        <v>QSObject:PricingContext:w1~market.4414:11178</v>
      </c>
      <c r="D4416" s="6" t="str">
        <f>_xll.QS.CONTEXT.ADD.CURVE(C4416,"SOFR",$K$2:$K$7,$L$2:$L$7,,,"Actual360","LogLinear",TRUE)</f>
        <v>QSObject:ContextInput:w1~input.qs_context_add_curve.2359132437744.4415.3.0:36194</v>
      </c>
      <c r="E4416" s="6" t="str">
        <f>_xll.QS.INSTRUMENT.SWAP("swap.4414",H4416,B4416,"USD","SOFR",I4416,J4416,0,"Actual360","Simple","Annual","Annual","Annual")</f>
        <v>QSObject:Swap:w1~swap.4414:3238</v>
      </c>
      <c r="F4416" s="6" t="str">
        <f>_xll.QS.TRADE.CREATE("trade.4414",E4416,A4416,"Receive")</f>
        <v>QSObject:SwapTrade:w1~trade.4414:6368</v>
      </c>
      <c r="G4416" s="3">
        <f>_xll.QS.EVALUATE(C4416,F4416)</f>
        <v>29181.135319865272</v>
      </c>
      <c r="H4416" s="5" t="s">
        <v>4457</v>
      </c>
      <c r="I4416" s="7">
        <v>1441400</v>
      </c>
      <c r="J4416" s="8">
        <v>3.6400000000000002E-2</v>
      </c>
    </row>
    <row r="4417" spans="1:10" x14ac:dyDescent="0.25">
      <c r="A4417" s="5" t="s">
        <v>4451</v>
      </c>
      <c r="B4417" s="5" t="s">
        <v>6284</v>
      </c>
      <c r="C4417" s="6" t="str">
        <f>_xll.QS.CONTEXT.CREATE("market.4415",A4417,"USD","SOFR")</f>
        <v>QSObject:PricingContext:w1~market.4415:7952</v>
      </c>
      <c r="D4417" s="6" t="str">
        <f>_xll.QS.CONTEXT.ADD.CURVE(C4417,"SOFR",$K$2:$K$7,$L$2:$L$7,,,"Actual360","LogLinear",TRUE)</f>
        <v>QSObject:ContextInput:w1~input.qs_context_add_curve.2359132437744.4416.3.0:12669</v>
      </c>
      <c r="E4417" s="6" t="str">
        <f>_xll.QS.INSTRUMENT.SWAP("swap.4415",H4417,B4417,"USD","SOFR",I4417,J4417,0,"Actual360","Simple","Annual","Annual","Annual")</f>
        <v>QSObject:Swap:w1~swap.4415:9552</v>
      </c>
      <c r="F4417" s="6" t="str">
        <f>_xll.QS.TRADE.CREATE("trade.4415",E4417,A4417,"Receive")</f>
        <v>QSObject:SwapTrade:w1~trade.4415:27427</v>
      </c>
      <c r="G4417" s="3">
        <f>_xll.QS.EVALUATE(C4417,F4417)</f>
        <v>29751.978159958962</v>
      </c>
      <c r="H4417" s="5" t="s">
        <v>4458</v>
      </c>
      <c r="I4417" s="7">
        <v>1441500</v>
      </c>
      <c r="J4417" s="8">
        <v>3.6499999999999998E-2</v>
      </c>
    </row>
    <row r="4418" spans="1:10" x14ac:dyDescent="0.25">
      <c r="A4418" s="5" t="s">
        <v>4452</v>
      </c>
      <c r="B4418" s="5" t="s">
        <v>6285</v>
      </c>
      <c r="C4418" s="6" t="str">
        <f>_xll.QS.CONTEXT.CREATE("market.4416",A4418,"USD","SOFR")</f>
        <v>QSObject:PricingContext:w1~market.4416:4794</v>
      </c>
      <c r="D4418" s="6" t="str">
        <f>_xll.QS.CONTEXT.ADD.CURVE(C4418,"SOFR",$K$2:$K$7,$L$2:$L$7,,,"Actual360","LogLinear",TRUE)</f>
        <v>QSObject:ContextInput:w1~input.qs_context_add_curve.2359132437744.4417.3.0:11177</v>
      </c>
      <c r="E4418" s="6" t="str">
        <f>_xll.QS.INSTRUMENT.SWAP("swap.4416",H4418,B4418,"USD","SOFR",I4418,J4418,0,"Actual360","Simple","Annual","Annual","Annual")</f>
        <v>QSObject:Swap:w1~swap.4416:3237</v>
      </c>
      <c r="F4418" s="6" t="str">
        <f>_xll.QS.TRADE.CREATE("trade.4416",E4418,A4418,"Receive")</f>
        <v>QSObject:SwapTrade:w1~trade.4416:6367</v>
      </c>
      <c r="G4418" s="3">
        <f>_xll.QS.EVALUATE(C4418,F4418)</f>
        <v>30301.579007277731</v>
      </c>
      <c r="H4418" s="5" t="s">
        <v>4459</v>
      </c>
      <c r="I4418" s="7">
        <v>1441600</v>
      </c>
      <c r="J4418" s="8">
        <v>3.6600000000000001E-2</v>
      </c>
    </row>
    <row r="4419" spans="1:10" x14ac:dyDescent="0.25">
      <c r="A4419" s="5" t="s">
        <v>4453</v>
      </c>
      <c r="B4419" s="5" t="s">
        <v>6286</v>
      </c>
      <c r="C4419" s="6" t="str">
        <f>_xll.QS.CONTEXT.CREATE("market.4417",A4419,"USD","SOFR")</f>
        <v>QSObject:PricingContext:w1~market.4417:12668</v>
      </c>
      <c r="D4419" s="6" t="str">
        <f>_xll.QS.CONTEXT.ADD.CURVE(C4419,"SOFR",$K$2:$K$7,$L$2:$L$7,,,"Actual360","LogLinear",TRUE)</f>
        <v>QSObject:ContextInput:w1~input.qs_context_add_curve.2359132437744.4418.3.0:36193</v>
      </c>
      <c r="E4419" s="6" t="str">
        <f>_xll.QS.INSTRUMENT.SWAP("swap.4417",H4419,B4419,"USD","SOFR",I4419,J4419,0,"Actual360","Simple","Annual","Annual","Annual")</f>
        <v>QSObject:Swap:w1~swap.4417:9551</v>
      </c>
      <c r="F4419" s="6" t="str">
        <f>_xll.QS.TRADE.CREATE("trade.4417",E4419,A4419,"Receive")</f>
        <v>QSObject:SwapTrade:w1~trade.4417:27426</v>
      </c>
      <c r="G4419" s="3">
        <f>_xll.QS.EVALUATE(C4419,F4419)</f>
        <v>31028.803810264413</v>
      </c>
      <c r="H4419" s="5" t="s">
        <v>4460</v>
      </c>
      <c r="I4419" s="7">
        <v>1441700</v>
      </c>
      <c r="J4419" s="8">
        <v>3.6700000000000003E-2</v>
      </c>
    </row>
    <row r="4420" spans="1:10" x14ac:dyDescent="0.25">
      <c r="A4420" s="5" t="s">
        <v>4454</v>
      </c>
      <c r="B4420" s="5" t="s">
        <v>6287</v>
      </c>
      <c r="C4420" s="6" t="str">
        <f>_xll.QS.CONTEXT.CREATE("market.4418",A4420,"USD","SOFR")</f>
        <v>QSObject:PricingContext:w1~market.4418:3236</v>
      </c>
      <c r="D4420" s="6" t="str">
        <f>_xll.QS.CONTEXT.ADD.CURVE(C4420,"SOFR",$K$2:$K$7,$L$2:$L$7,,,"Actual360","LogLinear",TRUE)</f>
        <v>QSObject:ContextInput:w1~input.qs_context_add_curve.2359132437744.4419.3.0:11176</v>
      </c>
      <c r="E4420" s="6" t="str">
        <f>_xll.QS.INSTRUMENT.SWAP("swap.4418",H4420,B4420,"USD","SOFR",I4420,J4420,0,"Actual360","Simple","Annual","Annual","Annual")</f>
        <v>QSObject:Swap:w1~swap.4418:4793</v>
      </c>
      <c r="F4420" s="6" t="str">
        <f>_xll.QS.TRADE.CREATE("trade.4418",E4420,A4420,"Receive")</f>
        <v>QSObject:SwapTrade:w1~trade.4418:7951</v>
      </c>
      <c r="G4420" s="3">
        <f>_xll.QS.EVALUATE(C4420,F4420)</f>
        <v>31735.644950240472</v>
      </c>
      <c r="H4420" s="5" t="s">
        <v>4461</v>
      </c>
      <c r="I4420" s="7">
        <v>1441800</v>
      </c>
      <c r="J4420" s="8">
        <v>3.6800000000000013E-2</v>
      </c>
    </row>
    <row r="4421" spans="1:10" x14ac:dyDescent="0.25">
      <c r="A4421" s="5" t="s">
        <v>4455</v>
      </c>
      <c r="B4421" s="5" t="s">
        <v>6288</v>
      </c>
      <c r="C4421" s="6" t="str">
        <f>_xll.QS.CONTEXT.CREATE("market.4419",A4421,"USD","SOFR")</f>
        <v>QSObject:PricingContext:w1~market.4419:9550</v>
      </c>
      <c r="D4421" s="6" t="str">
        <f>_xll.QS.CONTEXT.ADD.CURVE(C4421,"SOFR",$K$2:$K$7,$L$2:$L$7,,,"Actual360","LogLinear",TRUE)</f>
        <v>QSObject:ContextInput:w1~input.qs_context_add_curve.2359132437744.4420.3.0:12667</v>
      </c>
      <c r="E4421" s="6" t="str">
        <f>_xll.QS.INSTRUMENT.SWAP("swap.4419",H4421,B4421,"USD","SOFR",I4421,J4421,0,"Actual360","Simple","Annual","Annual","Annual")</f>
        <v>QSObject:Swap:w1~swap.4419:6366</v>
      </c>
      <c r="F4421" s="6" t="str">
        <f>_xll.QS.TRADE.CREATE("trade.4419",E4421,A4421,"Receive")</f>
        <v>QSObject:SwapTrade:w1~trade.4419:27425</v>
      </c>
      <c r="G4421" s="3">
        <f>_xll.QS.EVALUATE(C4421,F4421)</f>
        <v>32508.309039056323</v>
      </c>
      <c r="H4421" s="5" t="s">
        <v>4462</v>
      </c>
      <c r="I4421" s="7">
        <v>1441900</v>
      </c>
      <c r="J4421" s="8">
        <v>3.6900000000000002E-2</v>
      </c>
    </row>
    <row r="4422" spans="1:10" x14ac:dyDescent="0.25">
      <c r="A4422" s="5" t="s">
        <v>4456</v>
      </c>
      <c r="B4422" s="5" t="s">
        <v>6289</v>
      </c>
      <c r="C4422" s="6" t="str">
        <f>_xll.QS.CONTEXT.CREATE("market.4420",A4422,"USD","SOFR")</f>
        <v>QSObject:PricingContext:w1~market.4420:4792</v>
      </c>
      <c r="D4422" s="6" t="str">
        <f>_xll.QS.CONTEXT.ADD.CURVE(C4422,"SOFR",$K$2:$K$7,$L$2:$L$7,,,"Actual360","LogLinear",TRUE)</f>
        <v>QSObject:ContextInput:w1~input.qs_context_add_curve.2359132437744.4421.3.0:36192</v>
      </c>
      <c r="E4422" s="6" t="str">
        <f>_xll.QS.INSTRUMENT.SWAP("swap.4420",H4422,B4422,"USD","SOFR",I4422,J4422,0,"Actual360","Simple","Annual","Annual","Annual")</f>
        <v>QSObject:Swap:w1~swap.4420:11175</v>
      </c>
      <c r="F4422" s="6" t="str">
        <f>_xll.QS.TRADE.CREATE("trade.4420",E4422,A4422,"Receive")</f>
        <v>QSObject:SwapTrade:w1~trade.4420:27424</v>
      </c>
      <c r="G4422" s="3">
        <f>_xll.QS.EVALUATE(C4422,F4422)</f>
        <v>33238.364672281263</v>
      </c>
      <c r="H4422" s="5" t="s">
        <v>4463</v>
      </c>
      <c r="I4422" s="7">
        <v>1442000</v>
      </c>
      <c r="J4422" s="8">
        <v>3.7000000000000012E-2</v>
      </c>
    </row>
    <row r="4423" spans="1:10" x14ac:dyDescent="0.25">
      <c r="A4423" s="5" t="s">
        <v>4457</v>
      </c>
      <c r="B4423" s="5" t="s">
        <v>6290</v>
      </c>
      <c r="C4423" s="6" t="str">
        <f>_xll.QS.CONTEXT.CREATE("market.4421",A4423,"USD","SOFR")</f>
        <v>QSObject:PricingContext:w1~market.4421:9549</v>
      </c>
      <c r="D4423" s="6" t="str">
        <f>_xll.QS.CONTEXT.ADD.CURVE(C4423,"SOFR",$K$2:$K$7,$L$2:$L$7,,,"Actual360","LogLinear",TRUE)</f>
        <v>QSObject:ContextInput:w1~input.qs_context_add_curve.2359132437744.4422.3.0:36191</v>
      </c>
      <c r="E4423" s="6" t="str">
        <f>_xll.QS.INSTRUMENT.SWAP("swap.4421",H4423,B4423,"USD","SOFR",I4423,J4423,0,"Actual360","Simple","Annual","Annual","Annual")</f>
        <v>QSObject:Swap:w1~swap.4421:7950</v>
      </c>
      <c r="F4423" s="6" t="str">
        <f>_xll.QS.TRADE.CREATE("trade.4421",E4423,A4423,"Receive")</f>
        <v>QSObject:SwapTrade:w1~trade.4421:27423</v>
      </c>
      <c r="G4423" s="3">
        <f>_xll.QS.EVALUATE(C4423,F4423)</f>
        <v>33849.897049546104</v>
      </c>
      <c r="H4423" s="5" t="s">
        <v>4464</v>
      </c>
      <c r="I4423" s="7">
        <v>1442100</v>
      </c>
      <c r="J4423" s="8">
        <v>3.7100000000000001E-2</v>
      </c>
    </row>
    <row r="4424" spans="1:10" x14ac:dyDescent="0.25">
      <c r="A4424" s="5" t="s">
        <v>4458</v>
      </c>
      <c r="B4424" s="5" t="s">
        <v>6291</v>
      </c>
      <c r="C4424" s="6" t="str">
        <f>_xll.QS.CONTEXT.CREATE("market.4422",A4424,"USD","SOFR")</f>
        <v>QSObject:PricingContext:w1~market.4422:11174</v>
      </c>
      <c r="D4424" s="6" t="str">
        <f>_xll.QS.CONTEXT.ADD.CURVE(C4424,"SOFR",$K$2:$K$7,$L$2:$L$7,,,"Actual360","LogLinear",TRUE)</f>
        <v>QSObject:ContextInput:w1~input.qs_context_add_curve.2359132437744.4423.3.0:12666</v>
      </c>
      <c r="E4424" s="6" t="str">
        <f>_xll.QS.INSTRUMENT.SWAP("swap.4422",H4424,B4424,"USD","SOFR",I4424,J4424,0,"Actual360","Simple","Annual","Annual","Annual")</f>
        <v>QSObject:Swap:w1~swap.4422:4791</v>
      </c>
      <c r="F4424" s="6" t="str">
        <f>_xll.QS.TRADE.CREATE("trade.4422",E4424,A4424,"Receive")</f>
        <v>QSObject:SwapTrade:w1~trade.4422:9548</v>
      </c>
      <c r="G4424" s="3">
        <f>_xll.QS.EVALUATE(C4424,F4424)</f>
        <v>34393.711668623684</v>
      </c>
      <c r="H4424" s="5" t="s">
        <v>4465</v>
      </c>
      <c r="I4424" s="7">
        <v>1442200</v>
      </c>
      <c r="J4424" s="8">
        <v>3.7199999999999997E-2</v>
      </c>
    </row>
    <row r="4425" spans="1:10" x14ac:dyDescent="0.25">
      <c r="A4425" s="5" t="s">
        <v>4459</v>
      </c>
      <c r="B4425" s="5" t="s">
        <v>6292</v>
      </c>
      <c r="C4425" s="6" t="str">
        <f>_xll.QS.CONTEXT.CREATE("market.4423",A4425,"USD","SOFR")</f>
        <v>QSObject:PricingContext:w1~market.4423:7949</v>
      </c>
      <c r="D4425" s="6" t="str">
        <f>_xll.QS.CONTEXT.ADD.CURVE(C4425,"SOFR",$K$2:$K$7,$L$2:$L$7,,,"Actual360","LogLinear",TRUE)</f>
        <v>QSObject:ContextInput:w1~input.qs_context_add_curve.2359132437744.4424.3.0:36190</v>
      </c>
      <c r="E4425" s="6" t="str">
        <f>_xll.QS.INSTRUMENT.SWAP("swap.4423",H4425,B4425,"USD","SOFR",I4425,J4425,0,"Actual360","Simple","Annual","Annual","Annual")</f>
        <v>QSObject:Swap:w1~swap.4423:1712</v>
      </c>
      <c r="F4425" s="6" t="str">
        <f>_xll.QS.TRADE.CREATE("trade.4423",E4425,A4425,"Receive")</f>
        <v>QSObject:SwapTrade:w1~trade.4423:3235</v>
      </c>
      <c r="G4425" s="3">
        <f>_xll.QS.EVALUATE(C4425,F4425)</f>
        <v>34913.398042247507</v>
      </c>
      <c r="H4425" s="5" t="s">
        <v>4466</v>
      </c>
      <c r="I4425" s="7">
        <v>1442300</v>
      </c>
      <c r="J4425" s="8">
        <v>3.73E-2</v>
      </c>
    </row>
    <row r="4426" spans="1:10" x14ac:dyDescent="0.25">
      <c r="A4426" s="5" t="s">
        <v>4460</v>
      </c>
      <c r="B4426" s="5" t="s">
        <v>6293</v>
      </c>
      <c r="C4426" s="6" t="str">
        <f>_xll.QS.CONTEXT.CREATE("market.4424",A4426,"USD","SOFR")</f>
        <v>QSObject:PricingContext:w1~market.4424:12665</v>
      </c>
      <c r="D4426" s="6" t="str">
        <f>_xll.QS.CONTEXT.ADD.CURVE(C4426,"SOFR",$K$2:$K$7,$L$2:$L$7,,,"Actual360","LogLinear",TRUE)</f>
        <v>QSObject:ContextInput:w1~input.qs_context_add_curve.2359132437744.4425.3.0:36189</v>
      </c>
      <c r="E4426" s="6" t="str">
        <f>_xll.QS.INSTRUMENT.SWAP("swap.4424",H4426,B4426,"USD","SOFR",I4426,J4426,0,"Actual360","Simple","Annual","Annual","Annual")</f>
        <v>QSObject:Swap:w1~swap.4424:4790</v>
      </c>
      <c r="F4426" s="6" t="str">
        <f>_xll.QS.TRADE.CREATE("trade.4424",E4426,A4426,"Receive")</f>
        <v>QSObject:SwapTrade:w1~trade.4424:27422</v>
      </c>
      <c r="G4426" s="3">
        <f>_xll.QS.EVALUATE(C4426,F4426)</f>
        <v>35642.128233770512</v>
      </c>
      <c r="H4426" s="5" t="s">
        <v>4467</v>
      </c>
      <c r="I4426" s="7">
        <v>1442400</v>
      </c>
      <c r="J4426" s="8">
        <v>3.7400000000000003E-2</v>
      </c>
    </row>
    <row r="4427" spans="1:10" x14ac:dyDescent="0.25">
      <c r="A4427" s="5" t="s">
        <v>4461</v>
      </c>
      <c r="B4427" s="5" t="s">
        <v>6294</v>
      </c>
      <c r="C4427" s="6" t="str">
        <f>_xll.QS.CONTEXT.CREATE("market.4425",A4427,"USD","SOFR")</f>
        <v>QSObject:PricingContext:w1~market.4425:7948</v>
      </c>
      <c r="D4427" s="6" t="str">
        <f>_xll.QS.CONTEXT.ADD.CURVE(C4427,"SOFR",$K$2:$K$7,$L$2:$L$7,,,"Actual360","LogLinear",TRUE)</f>
        <v>QSObject:ContextInput:w1~input.qs_context_add_curve.2359132437744.4426.3.0:9547</v>
      </c>
      <c r="E4427" s="6" t="str">
        <f>_xll.QS.INSTRUMENT.SWAP("swap.4425",H4427,B4427,"USD","SOFR",I4427,J4427,0,"Actual360","Simple","Annual","Annual","Annual")</f>
        <v>QSObject:Swap:w1~swap.4425:6365</v>
      </c>
      <c r="F4427" s="6" t="str">
        <f>_xll.QS.TRADE.CREATE("trade.4425",E4427,A4427,"Receive")</f>
        <v>QSObject:SwapTrade:w1~trade.4425:27421</v>
      </c>
      <c r="G4427" s="3">
        <f>_xll.QS.EVALUATE(C4427,F4427)</f>
        <v>36370.987956023113</v>
      </c>
      <c r="H4427" s="5" t="s">
        <v>4468</v>
      </c>
      <c r="I4427" s="7">
        <v>1442500</v>
      </c>
      <c r="J4427" s="8">
        <v>3.7500000000000012E-2</v>
      </c>
    </row>
    <row r="4428" spans="1:10" x14ac:dyDescent="0.25">
      <c r="A4428" s="5" t="s">
        <v>4462</v>
      </c>
      <c r="B4428" s="5" t="s">
        <v>6295</v>
      </c>
      <c r="C4428" s="6" t="str">
        <f>_xll.QS.CONTEXT.CREATE("market.4426",A4428,"USD","SOFR")</f>
        <v>QSObject:PricingContext:w1~market.4426:4789</v>
      </c>
      <c r="D4428" s="6" t="str">
        <f>_xll.QS.CONTEXT.ADD.CURVE(C4428,"SOFR",$K$2:$K$7,$L$2:$L$7,,,"Actual360","LogLinear",TRUE)</f>
        <v>QSObject:ContextInput:w1~input.qs_context_add_curve.2359132437744.4427.3.0:12664</v>
      </c>
      <c r="E4428" s="6" t="str">
        <f>_xll.QS.INSTRUMENT.SWAP("swap.4426",H4428,B4428,"USD","SOFR",I4428,J4428,0,"Actual360","Simple","Annual","Annual","Annual")</f>
        <v>QSObject:Swap:w1~swap.4426:11173</v>
      </c>
      <c r="F4428" s="6" t="str">
        <f>_xll.QS.TRADE.CREATE("trade.4426",E4428,A4428,"Receive")</f>
        <v>QSObject:SwapTrade:w1~trade.4426:27420</v>
      </c>
      <c r="G4428" s="3">
        <f>_xll.QS.EVALUATE(C4428,F4428)</f>
        <v>37234.012657470994</v>
      </c>
      <c r="H4428" s="5" t="s">
        <v>4469</v>
      </c>
      <c r="I4428" s="7">
        <v>1442600</v>
      </c>
      <c r="J4428" s="8">
        <v>3.7600000000000001E-2</v>
      </c>
    </row>
    <row r="4429" spans="1:10" x14ac:dyDescent="0.25">
      <c r="A4429" s="5" t="s">
        <v>4463</v>
      </c>
      <c r="B4429" s="5" t="s">
        <v>6296</v>
      </c>
      <c r="C4429" s="6" t="str">
        <f>_xll.QS.CONTEXT.CREATE("market.4427",A4429,"USD","SOFR")</f>
        <v>QSObject:PricingContext:w1~market.4427:3234</v>
      </c>
      <c r="D4429" s="6" t="str">
        <f>_xll.QS.CONTEXT.ADD.CURVE(C4429,"SOFR",$K$2:$K$7,$L$2:$L$7,,,"Actual360","LogLinear",TRUE)</f>
        <v>QSObject:ContextInput:w1~input.qs_context_add_curve.2359132437744.4428.3.0:6364</v>
      </c>
      <c r="E4429" s="6" t="str">
        <f>_xll.QS.INSTRUMENT.SWAP("swap.4427",H4429,B4429,"USD","SOFR",I4429,J4429,0,"Actual360","Simple","Annual","Annual","Annual")</f>
        <v>QSObject:Swap:w1~swap.4427:1711</v>
      </c>
      <c r="F4429" s="6" t="str">
        <f>_xll.QS.TRADE.CREATE("trade.4427",E4429,A4429,"Receive")</f>
        <v>QSObject:SwapTrade:w1~trade.4427:9546</v>
      </c>
      <c r="G4429" s="3">
        <f>_xll.QS.EVALUATE(C4429,F4429)</f>
        <v>37915.376236905831</v>
      </c>
      <c r="H4429" s="5" t="s">
        <v>4470</v>
      </c>
      <c r="I4429" s="7">
        <v>1442700</v>
      </c>
      <c r="J4429" s="8">
        <v>3.7699999999999997E-2</v>
      </c>
    </row>
    <row r="4430" spans="1:10" x14ac:dyDescent="0.25">
      <c r="A4430" s="5" t="s">
        <v>4464</v>
      </c>
      <c r="B4430" s="5" t="s">
        <v>6297</v>
      </c>
      <c r="C4430" s="6" t="str">
        <f>_xll.QS.CONTEXT.CREATE("market.4428",A4430,"USD","SOFR")</f>
        <v>QSObject:PricingContext:w1~market.4428:12663</v>
      </c>
      <c r="D4430" s="6" t="str">
        <f>_xll.QS.CONTEXT.ADD.CURVE(C4430,"SOFR",$K$2:$K$7,$L$2:$L$7,,,"Actual360","LogLinear",TRUE)</f>
        <v>QSObject:ContextInput:w1~input.qs_context_add_curve.2359132437744.4429.3.0:36188</v>
      </c>
      <c r="E4430" s="6" t="str">
        <f>_xll.QS.INSTRUMENT.SWAP("swap.4428",H4430,B4430,"USD","SOFR",I4430,J4430,0,"Actual360","Simple","Annual","Annual","Annual")</f>
        <v>QSObject:Swap:w1~swap.4428:11172</v>
      </c>
      <c r="F4430" s="6" t="str">
        <f>_xll.QS.TRADE.CREATE("trade.4428",E4430,A4430,"Receive")</f>
        <v>QSObject:SwapTrade:w1~trade.4428:27419</v>
      </c>
      <c r="G4430" s="3">
        <f>_xll.QS.EVALUATE(C4430,F4430)</f>
        <v>38582.392209259226</v>
      </c>
      <c r="H4430" s="5" t="s">
        <v>4471</v>
      </c>
      <c r="I4430" s="7">
        <v>1442800</v>
      </c>
      <c r="J4430" s="8">
        <v>3.78E-2</v>
      </c>
    </row>
    <row r="4431" spans="1:10" x14ac:dyDescent="0.25">
      <c r="A4431" s="5" t="s">
        <v>4465</v>
      </c>
      <c r="B4431" s="5" t="s">
        <v>6298</v>
      </c>
      <c r="C4431" s="6" t="str">
        <f>_xll.QS.CONTEXT.CREATE("market.4429",A4431,"USD","SOFR")</f>
        <v>QSObject:PricingContext:w1~market.4429:6363</v>
      </c>
      <c r="D4431" s="6" t="str">
        <f>_xll.QS.CONTEXT.ADD.CURVE(C4431,"SOFR",$K$2:$K$7,$L$2:$L$7,,,"Actual360","LogLinear",TRUE)</f>
        <v>QSObject:ContextInput:w1~input.qs_context_add_curve.2359132437744.4430.3.0:36187</v>
      </c>
      <c r="E4431" s="6" t="str">
        <f>_xll.QS.INSTRUMENT.SWAP("swap.4429",H4431,B4431,"USD","SOFR",I4431,J4431,0,"Actual360","Simple","Annual","Annual","Annual")</f>
        <v>QSObject:Swap:w1~swap.4429:7947</v>
      </c>
      <c r="F4431" s="6" t="str">
        <f>_xll.QS.TRADE.CREATE("trade.4429",E4431,A4431,"Receive")</f>
        <v>QSObject:SwapTrade:w1~trade.4429:27418</v>
      </c>
      <c r="G4431" s="3">
        <f>_xll.QS.EVALUATE(C4431,F4431)</f>
        <v>39143.46978796785</v>
      </c>
      <c r="H4431" s="5" t="s">
        <v>4472</v>
      </c>
      <c r="I4431" s="7">
        <v>1442900</v>
      </c>
      <c r="J4431" s="8">
        <v>3.7900000000000003E-2</v>
      </c>
    </row>
    <row r="4432" spans="1:10" x14ac:dyDescent="0.25">
      <c r="A4432" s="5" t="s">
        <v>4466</v>
      </c>
      <c r="B4432" s="5" t="s">
        <v>6299</v>
      </c>
      <c r="C4432" s="6" t="str">
        <f>_xll.QS.CONTEXT.CREATE("market.4430",A4432,"USD","SOFR")</f>
        <v>QSObject:PricingContext:w1~market.4430:11171</v>
      </c>
      <c r="D4432" s="6" t="str">
        <f>_xll.QS.CONTEXT.ADD.CURVE(C4432,"SOFR",$K$2:$K$7,$L$2:$L$7,,,"Actual360","LogLinear",TRUE)</f>
        <v>QSObject:ContextInput:w1~input.qs_context_add_curve.2359132437744.4431.3.0:36186</v>
      </c>
      <c r="E4432" s="6" t="str">
        <f>_xll.QS.INSTRUMENT.SWAP("swap.4430",H4432,B4432,"USD","SOFR",I4432,J4432,0,"Actual360","Simple","Annual","Annual","Annual")</f>
        <v>QSObject:Swap:w1~swap.4430:12662</v>
      </c>
      <c r="F4432" s="6" t="str">
        <f>_xll.QS.TRADE.CREATE("trade.4430",E4432,A4432,"Receive")</f>
        <v>QSObject:SwapTrade:w1~trade.4430:27417</v>
      </c>
      <c r="G4432" s="3">
        <f>_xll.QS.EVALUATE(C4432,F4432)</f>
        <v>39708.558288168475</v>
      </c>
      <c r="H4432" s="5" t="s">
        <v>4473</v>
      </c>
      <c r="I4432" s="7">
        <v>1443000</v>
      </c>
      <c r="J4432" s="8">
        <v>3.8000000000000013E-2</v>
      </c>
    </row>
    <row r="4433" spans="1:10" x14ac:dyDescent="0.25">
      <c r="A4433" s="5" t="s">
        <v>4467</v>
      </c>
      <c r="B4433" s="5" t="s">
        <v>6300</v>
      </c>
      <c r="C4433" s="6" t="str">
        <f>_xll.QS.CONTEXT.CREATE("market.4431",A4433,"USD","SOFR")</f>
        <v>QSObject:PricingContext:w1~market.4431:7946</v>
      </c>
      <c r="D4433" s="6" t="str">
        <f>_xll.QS.CONTEXT.ADD.CURVE(C4433,"SOFR",$K$2:$K$7,$L$2:$L$7,,,"Actual360","LogLinear",TRUE)</f>
        <v>QSObject:ContextInput:w1~input.qs_context_add_curve.2359132437744.4432.3.0:27416</v>
      </c>
      <c r="E4433" s="6" t="str">
        <f>_xll.QS.INSTRUMENT.SWAP("swap.4431",H4433,B4433,"USD","SOFR",I4433,J4433,0,"Actual360","Simple","Annual","Annual","Annual")</f>
        <v>QSObject:Swap:w1~swap.4431:3233</v>
      </c>
      <c r="F4433" s="6" t="str">
        <f>_xll.QS.TRADE.CREATE("trade.4431",E4433,A4433,"Receive")</f>
        <v>QSObject:SwapTrade:w1~trade.4431:12661</v>
      </c>
      <c r="G4433" s="3">
        <f>_xll.QS.EVALUATE(C4433,F4433)</f>
        <v>40380.100783045906</v>
      </c>
      <c r="H4433" s="5" t="s">
        <v>4474</v>
      </c>
      <c r="I4433" s="7">
        <v>1443100</v>
      </c>
      <c r="J4433" s="8">
        <v>3.8100000000000002E-2</v>
      </c>
    </row>
    <row r="4434" spans="1:10" x14ac:dyDescent="0.25">
      <c r="A4434" s="5" t="s">
        <v>4468</v>
      </c>
      <c r="B4434" s="5" t="s">
        <v>6301</v>
      </c>
      <c r="C4434" s="6" t="str">
        <f>_xll.QS.CONTEXT.CREATE("market.4432",A4434,"USD","SOFR")</f>
        <v>QSObject:PricingContext:w1~market.4432:4788</v>
      </c>
      <c r="D4434" s="6" t="str">
        <f>_xll.QS.CONTEXT.ADD.CURVE(C4434,"SOFR",$K$2:$K$7,$L$2:$L$7,,,"Actual360","LogLinear",TRUE)</f>
        <v>QSObject:ContextInput:w1~input.qs_context_add_curve.2359132437744.4433.3.0:11170</v>
      </c>
      <c r="E4434" s="6" t="str">
        <f>_xll.QS.INSTRUMENT.SWAP("swap.4432",H4434,B4434,"USD","SOFR",I4434,J4434,0,"Actual360","Simple","Annual","Annual","Annual")</f>
        <v>QSObject:Swap:w1~swap.4432:9545</v>
      </c>
      <c r="F4434" s="6" t="str">
        <f>_xll.QS.TRADE.CREATE("trade.4432",E4434,A4434,"Receive")</f>
        <v>QSObject:SwapTrade:w1~trade.4432:27415</v>
      </c>
      <c r="G4434" s="3">
        <f>_xll.QS.EVALUATE(C4434,F4434)</f>
        <v>41083.591956138946</v>
      </c>
      <c r="H4434" s="5" t="s">
        <v>4475</v>
      </c>
      <c r="I4434" s="7">
        <v>1443200</v>
      </c>
      <c r="J4434" s="8">
        <v>3.8199999999999998E-2</v>
      </c>
    </row>
    <row r="4435" spans="1:10" x14ac:dyDescent="0.25">
      <c r="A4435" s="5" t="s">
        <v>4469</v>
      </c>
      <c r="B4435" s="5" t="s">
        <v>6302</v>
      </c>
      <c r="C4435" s="6" t="str">
        <f>_xll.QS.CONTEXT.CREATE("market.4433",A4435,"USD","SOFR")</f>
        <v>QSObject:PricingContext:w1~market.4433:3232</v>
      </c>
      <c r="D4435" s="6" t="str">
        <f>_xll.QS.CONTEXT.ADD.CURVE(C4435,"SOFR",$K$2:$K$7,$L$2:$L$7,,,"Actual360","LogLinear",TRUE)</f>
        <v>QSObject:ContextInput:w1~input.qs_context_add_curve.2359132437744.4434.3.0:27414</v>
      </c>
      <c r="E4435" s="6" t="str">
        <f>_xll.QS.INSTRUMENT.SWAP("swap.4433",H4435,B4435,"USD","SOFR",I4435,J4435,0,"Actual360","Simple","Annual","Annual","Annual")</f>
        <v>QSObject:Swap:w1~swap.4433:6362</v>
      </c>
      <c r="F4435" s="6" t="str">
        <f>_xll.QS.TRADE.CREATE("trade.4433",E4435,A4435,"Receive")</f>
        <v>QSObject:SwapTrade:w1~trade.4433:12660</v>
      </c>
      <c r="G4435" s="3">
        <f>_xll.QS.EVALUATE(C4435,F4435)</f>
        <v>41857.7374877927</v>
      </c>
      <c r="H4435" s="5" t="s">
        <v>4476</v>
      </c>
      <c r="I4435" s="7">
        <v>1443300</v>
      </c>
      <c r="J4435" s="8">
        <v>3.8300000000000001E-2</v>
      </c>
    </row>
    <row r="4436" spans="1:10" x14ac:dyDescent="0.25">
      <c r="A4436" s="5" t="s">
        <v>4470</v>
      </c>
      <c r="B4436" s="5" t="s">
        <v>6303</v>
      </c>
      <c r="C4436" s="6" t="str">
        <f>_xll.QS.CONTEXT.CREATE("market.4434",A4436,"USD","SOFR")</f>
        <v>QSObject:PricingContext:w1~market.4434:9544</v>
      </c>
      <c r="D4436" s="6" t="str">
        <f>_xll.QS.CONTEXT.ADD.CURVE(C4436,"SOFR",$K$2:$K$7,$L$2:$L$7,,,"Actual360","LogLinear",TRUE)</f>
        <v>QSObject:ContextInput:w1~input.qs_context_add_curve.2359132437744.4435.3.0:11169</v>
      </c>
      <c r="E4436" s="6" t="str">
        <f>_xll.QS.INSTRUMENT.SWAP("swap.4434",H4436,B4436,"USD","SOFR",I4436,J4436,0,"Actual360","Simple","Annual","Annual","Annual")</f>
        <v>QSObject:Swap:w1~swap.4434:4787</v>
      </c>
      <c r="F4436" s="6" t="str">
        <f>_xll.QS.TRADE.CREATE("trade.4434",E4436,A4436,"Receive")</f>
        <v>QSObject:SwapTrade:w1~trade.4434:27413</v>
      </c>
      <c r="G4436" s="3">
        <f>_xll.QS.EVALUATE(C4436,F4436)</f>
        <v>42589.589431013643</v>
      </c>
      <c r="H4436" s="5" t="s">
        <v>4477</v>
      </c>
      <c r="I4436" s="7">
        <v>1443400</v>
      </c>
      <c r="J4436" s="8">
        <v>3.8399999999999997E-2</v>
      </c>
    </row>
    <row r="4437" spans="1:10" x14ac:dyDescent="0.25">
      <c r="A4437" s="5" t="s">
        <v>4471</v>
      </c>
      <c r="B4437" s="5" t="s">
        <v>6304</v>
      </c>
      <c r="C4437" s="6" t="str">
        <f>_xll.QS.CONTEXT.CREATE("market.4435",A4437,"USD","SOFR")</f>
        <v>QSObject:PricingContext:w1~market.4435:1710</v>
      </c>
      <c r="D4437" s="6" t="str">
        <f>_xll.QS.CONTEXT.ADD.CURVE(C4437,"SOFR",$K$2:$K$7,$L$2:$L$7,,,"Actual360","LogLinear",TRUE)</f>
        <v>QSObject:ContextInput:w1~input.qs_context_add_curve.2359132437744.4436.3.0:7945</v>
      </c>
      <c r="E4437" s="6" t="str">
        <f>_xll.QS.INSTRUMENT.SWAP("swap.4435",H4437,B4437,"USD","SOFR",I4437,J4437,0,"Actual360","Simple","Annual","Annual","Annual")</f>
        <v>QSObject:Swap:w1~swap.4435:6361</v>
      </c>
      <c r="F4437" s="6" t="str">
        <f>_xll.QS.TRADE.CREATE("trade.4435",E4437,A4437,"Receive")</f>
        <v>QSObject:SwapTrade:w1~trade.4435:9543</v>
      </c>
      <c r="G4437" s="3">
        <f>_xll.QS.EVALUATE(C4437,F4437)</f>
        <v>43202.390677914991</v>
      </c>
      <c r="H4437" s="5" t="s">
        <v>4478</v>
      </c>
      <c r="I4437" s="7">
        <v>1443500</v>
      </c>
      <c r="J4437" s="8">
        <v>3.8500000000000013E-2</v>
      </c>
    </row>
    <row r="4438" spans="1:10" x14ac:dyDescent="0.25">
      <c r="A4438" s="5" t="s">
        <v>4472</v>
      </c>
      <c r="B4438" s="5" t="s">
        <v>6305</v>
      </c>
      <c r="C4438" s="6" t="str">
        <f>_xll.QS.CONTEXT.CREATE("market.4436",A4438,"USD","SOFR")</f>
        <v>QSObject:PricingContext:w1~market.4436:3231</v>
      </c>
      <c r="D4438" s="6" t="str">
        <f>_xll.QS.CONTEXT.ADD.CURVE(C4438,"SOFR",$K$2:$K$7,$L$2:$L$7,,,"Actual360","LogLinear",TRUE)</f>
        <v>QSObject:ContextInput:w1~input.qs_context_add_curve.2359132437744.4437.3.0:12659</v>
      </c>
      <c r="E4438" s="6" t="str">
        <f>_xll.QS.INSTRUMENT.SWAP("swap.4436",H4438,B4438,"USD","SOFR",I4438,J4438,0,"Actual360","Simple","Annual","Annual","Annual")</f>
        <v>QSObject:Swap:w1~swap.4436:11168</v>
      </c>
      <c r="F4438" s="6" t="str">
        <f>_xll.QS.TRADE.CREATE("trade.4436",E4438,A4438,"Receive")</f>
        <v>QSObject:SwapTrade:w1~trade.4436:27412</v>
      </c>
      <c r="G4438" s="3">
        <f>_xll.QS.EVALUATE(C4438,F4438)</f>
        <v>43758.506623875983</v>
      </c>
      <c r="H4438" s="5" t="s">
        <v>4479</v>
      </c>
      <c r="I4438" s="7">
        <v>1443600</v>
      </c>
      <c r="J4438" s="8">
        <v>3.8600000000000002E-2</v>
      </c>
    </row>
    <row r="4439" spans="1:10" x14ac:dyDescent="0.25">
      <c r="A4439" s="5" t="s">
        <v>4473</v>
      </c>
      <c r="B4439" s="5" t="s">
        <v>6306</v>
      </c>
      <c r="C4439" s="6" t="str">
        <f>_xll.QS.CONTEXT.CREATE("market.4437",A4439,"USD","SOFR")</f>
        <v>QSObject:PricingContext:w1~market.4437:7944</v>
      </c>
      <c r="D4439" s="6" t="str">
        <f>_xll.QS.CONTEXT.ADD.CURVE(C4439,"SOFR",$K$2:$K$7,$L$2:$L$7,,,"Actual360","LogLinear",TRUE)</f>
        <v>QSObject:ContextInput:w1~input.qs_context_add_curve.2359132437744.4438.3.0:27411</v>
      </c>
      <c r="E4439" s="6" t="str">
        <f>_xll.QS.INSTRUMENT.SWAP("swap.4437",H4439,B4439,"USD","SOFR",I4439,J4439,0,"Actual360","Simple","Annual","Annual","Annual")</f>
        <v>QSObject:Swap:w1~swap.4437:6360</v>
      </c>
      <c r="F4439" s="6" t="str">
        <f>_xll.QS.TRADE.CREATE("trade.4437",E4439,A4439,"Receive")</f>
        <v>QSObject:SwapTrade:w1~trade.4437:12658</v>
      </c>
      <c r="G4439" s="3">
        <f>_xll.QS.EVALUATE(C4439,F4439)</f>
        <v>44331.534073626935</v>
      </c>
      <c r="H4439" s="5" t="s">
        <v>4480</v>
      </c>
      <c r="I4439" s="7">
        <v>1443700</v>
      </c>
      <c r="J4439" s="8">
        <v>3.8700000000000012E-2</v>
      </c>
    </row>
    <row r="4440" spans="1:10" x14ac:dyDescent="0.25">
      <c r="A4440" s="5" t="s">
        <v>4474</v>
      </c>
      <c r="B4440" s="5" t="s">
        <v>6307</v>
      </c>
      <c r="C4440" s="6" t="str">
        <f>_xll.QS.CONTEXT.CREATE("market.4438",A4440,"USD","SOFR")</f>
        <v>QSObject:PricingContext:w1~market.4438:11167</v>
      </c>
      <c r="D4440" s="6" t="str">
        <f>_xll.QS.CONTEXT.ADD.CURVE(C4440,"SOFR",$K$2:$K$7,$L$2:$L$7,,,"Actual360","LogLinear",TRUE)</f>
        <v>QSObject:ContextInput:w1~input.qs_context_add_curve.2359132437744.4439.3.0:36185</v>
      </c>
      <c r="E4440" s="6" t="str">
        <f>_xll.QS.INSTRUMENT.SWAP("swap.4438",H4440,B4440,"USD","SOFR",I4440,J4440,0,"Actual360","Simple","Annual","Annual","Annual")</f>
        <v>QSObject:Swap:w1~swap.4438:9542</v>
      </c>
      <c r="F4440" s="6" t="str">
        <f>_xll.QS.TRADE.CREATE("trade.4438",E4440,A4440,"Receive")</f>
        <v>QSObject:SwapTrade:w1~trade.4438:27410</v>
      </c>
      <c r="G4440" s="3">
        <f>_xll.QS.EVALUATE(C4440,F4440)</f>
        <v>45062.131407464425</v>
      </c>
      <c r="H4440" s="5" t="s">
        <v>4481</v>
      </c>
      <c r="I4440" s="7">
        <v>1443800</v>
      </c>
      <c r="J4440" s="8">
        <v>3.8800000000000001E-2</v>
      </c>
    </row>
    <row r="4441" spans="1:10" x14ac:dyDescent="0.25">
      <c r="A4441" s="5" t="s">
        <v>4475</v>
      </c>
      <c r="B4441" s="5" t="s">
        <v>6308</v>
      </c>
      <c r="C4441" s="6" t="str">
        <f>_xll.QS.CONTEXT.CREATE("market.4439",A4441,"USD","SOFR")</f>
        <v>QSObject:PricingContext:w1~market.4439:6359</v>
      </c>
      <c r="D4441" s="6" t="str">
        <f>_xll.QS.CONTEXT.ADD.CURVE(C4441,"SOFR",$K$2:$K$7,$L$2:$L$7,,,"Actual360","LogLinear",TRUE)</f>
        <v>QSObject:ContextInput:w1~input.qs_context_add_curve.2359132437744.4440.3.0:27409</v>
      </c>
      <c r="E4441" s="6" t="str">
        <f>_xll.QS.INSTRUMENT.SWAP("swap.4439",H4441,B4441,"USD","SOFR",I4441,J4441,0,"Actual360","Simple","Annual","Annual","Annual")</f>
        <v>QSObject:Swap:w1~swap.4439:7943</v>
      </c>
      <c r="F4441" s="6" t="str">
        <f>_xll.QS.TRADE.CREATE("trade.4439",E4441,A4441,"Receive")</f>
        <v>QSObject:SwapTrade:w1~trade.4439:12657</v>
      </c>
      <c r="G4441" s="3">
        <f>_xll.QS.EVALUATE(C4441,F4441)</f>
        <v>45763.398340587293</v>
      </c>
      <c r="H4441" s="5" t="s">
        <v>4482</v>
      </c>
      <c r="I4441" s="7">
        <v>1443900</v>
      </c>
      <c r="J4441" s="8">
        <v>3.8899999999999997E-2</v>
      </c>
    </row>
    <row r="4442" spans="1:10" x14ac:dyDescent="0.25">
      <c r="A4442" s="5" t="s">
        <v>4476</v>
      </c>
      <c r="B4442" s="5" t="s">
        <v>6309</v>
      </c>
      <c r="C4442" s="6" t="str">
        <f>_xll.QS.CONTEXT.CREATE("market.4440",A4442,"USD","SOFR")</f>
        <v>QSObject:PricingContext:w1~market.4440:9541</v>
      </c>
      <c r="D4442" s="6" t="str">
        <f>_xll.QS.CONTEXT.ADD.CURVE(C4442,"SOFR",$K$2:$K$7,$L$2:$L$7,,,"Actual360","LogLinear",TRUE)</f>
        <v>QSObject:ContextInput:w1~input.qs_context_add_curve.2359132437744.4441.3.0:36184</v>
      </c>
      <c r="E4442" s="6" t="str">
        <f>_xll.QS.INSTRUMENT.SWAP("swap.4440",H4442,B4442,"USD","SOFR",I4442,J4442,0,"Actual360","Simple","Annual","Annual","Annual")</f>
        <v>QSObject:Swap:w1~swap.4440:11166</v>
      </c>
      <c r="F4442" s="6" t="str">
        <f>_xll.QS.TRADE.CREATE("trade.4440",E4442,A4442,"Receive")</f>
        <v>QSObject:SwapTrade:w1~trade.4440:27408</v>
      </c>
      <c r="G4442" s="3">
        <f>_xll.QS.EVALUATE(C4442,F4442)</f>
        <v>46538.986249613816</v>
      </c>
      <c r="H4442" s="5" t="s">
        <v>4483</v>
      </c>
      <c r="I4442" s="7">
        <v>1444000</v>
      </c>
      <c r="J4442" s="8">
        <v>3.9000000000000007E-2</v>
      </c>
    </row>
    <row r="4443" spans="1:10" x14ac:dyDescent="0.25">
      <c r="A4443" s="5" t="s">
        <v>4477</v>
      </c>
      <c r="B4443" s="5" t="s">
        <v>6310</v>
      </c>
      <c r="C4443" s="6" t="str">
        <f>_xll.QS.CONTEXT.CREATE("market.4441",A4443,"USD","SOFR")</f>
        <v>QSObject:PricingContext:w1~market.4441:7942</v>
      </c>
      <c r="D4443" s="6" t="str">
        <f>_xll.QS.CONTEXT.ADD.CURVE(C4443,"SOFR",$K$2:$K$7,$L$2:$L$7,,,"Actual360","LogLinear",TRUE)</f>
        <v>QSObject:ContextInput:w1~input.qs_context_add_curve.2359132437744.4442.3.0:27407</v>
      </c>
      <c r="E4443" s="6" t="str">
        <f>_xll.QS.INSTRUMENT.SWAP("swap.4441",H4443,B4443,"USD","SOFR",I4443,J4443,0,"Actual360","Simple","Annual","Annual","Annual")</f>
        <v>QSObject:Swap:w1~swap.4441:4786</v>
      </c>
      <c r="F4443" s="6" t="str">
        <f>_xll.QS.TRADE.CREATE("trade.4441",E4443,A4443,"Receive")</f>
        <v>QSObject:SwapTrade:w1~trade.4441:9540</v>
      </c>
      <c r="G4443" s="3">
        <f>_xll.QS.EVALUATE(C4443,F4443)</f>
        <v>47271.077060712902</v>
      </c>
      <c r="H4443" s="5" t="s">
        <v>4484</v>
      </c>
      <c r="I4443" s="7">
        <v>1444100</v>
      </c>
      <c r="J4443" s="8">
        <v>3.9100000000000003E-2</v>
      </c>
    </row>
    <row r="4444" spans="1:10" x14ac:dyDescent="0.25">
      <c r="A4444" s="5" t="s">
        <v>4478</v>
      </c>
      <c r="B4444" s="5" t="s">
        <v>6311</v>
      </c>
      <c r="C4444" s="6" t="str">
        <f>_xll.QS.CONTEXT.CREATE("market.4442",A4444,"USD","SOFR")</f>
        <v>QSObject:PricingContext:w1~market.4442:11165</v>
      </c>
      <c r="D4444" s="6" t="str">
        <f>_xll.QS.CONTEXT.ADD.CURVE(C4444,"SOFR",$K$2:$K$7,$L$2:$L$7,,,"Actual360","LogLinear",TRUE)</f>
        <v>QSObject:ContextInput:w1~input.qs_context_add_curve.2359132437744.4443.3.0:12656</v>
      </c>
      <c r="E4444" s="6" t="str">
        <f>_xll.QS.INSTRUMENT.SWAP("swap.4442",H4444,B4444,"USD","SOFR",I4444,J4444,0,"Actual360","Simple","Annual","Annual","Annual")</f>
        <v>QSObject:Swap:w1~swap.4442:3230</v>
      </c>
      <c r="F4444" s="6" t="str">
        <f>_xll.QS.TRADE.CREATE("trade.4442",E4444,A4444,"Receive")</f>
        <v>QSObject:SwapTrade:w1~trade.4442:6358</v>
      </c>
      <c r="G4444" s="3">
        <f>_xll.QS.EVALUATE(C4444,F4444)</f>
        <v>47885.396989987174</v>
      </c>
      <c r="H4444" s="5" t="s">
        <v>4485</v>
      </c>
      <c r="I4444" s="7">
        <v>1444200</v>
      </c>
      <c r="J4444" s="8">
        <v>3.9200000000000013E-2</v>
      </c>
    </row>
    <row r="4445" spans="1:10" x14ac:dyDescent="0.25">
      <c r="A4445" s="5" t="s">
        <v>4479</v>
      </c>
      <c r="B4445" s="5" t="s">
        <v>6312</v>
      </c>
      <c r="C4445" s="6" t="str">
        <f>_xll.QS.CONTEXT.CREATE("market.4443",A4445,"USD","SOFR")</f>
        <v>QSObject:PricingContext:w1~market.4443:4785</v>
      </c>
      <c r="D4445" s="6" t="str">
        <f>_xll.QS.CONTEXT.ADD.CURVE(C4445,"SOFR",$K$2:$K$7,$L$2:$L$7,,,"Actual360","LogLinear",TRUE)</f>
        <v>QSObject:ContextInput:w1~input.qs_context_add_curve.2359132437744.4444.3.0:7941</v>
      </c>
      <c r="E4445" s="6" t="str">
        <f>_xll.QS.INSTRUMENT.SWAP("swap.4443",H4445,B4445,"USD","SOFR",I4445,J4445,0,"Actual360","Simple","Annual","Annual","Annual")</f>
        <v>QSObject:Swap:w1~swap.4443:1709</v>
      </c>
      <c r="F4445" s="6" t="str">
        <f>_xll.QS.TRADE.CREATE("trade.4443",E4445,A4445,"Receive")</f>
        <v>QSObject:SwapTrade:w1~trade.4443:11164</v>
      </c>
      <c r="G4445" s="3">
        <f>_xll.QS.EVALUATE(C4445,F4445)</f>
        <v>48436.4621284604</v>
      </c>
      <c r="H4445" s="5" t="s">
        <v>4486</v>
      </c>
      <c r="I4445" s="7">
        <v>1444300</v>
      </c>
      <c r="J4445" s="8">
        <v>3.9300000000000002E-2</v>
      </c>
    </row>
    <row r="4446" spans="1:10" x14ac:dyDescent="0.25">
      <c r="A4446" s="5" t="s">
        <v>4480</v>
      </c>
      <c r="B4446" s="5" t="s">
        <v>6313</v>
      </c>
      <c r="C4446" s="6" t="str">
        <f>_xll.QS.CONTEXT.CREATE("market.4444",A4446,"USD","SOFR")</f>
        <v>QSObject:PricingContext:w1~market.4444:12655</v>
      </c>
      <c r="D4446" s="6" t="str">
        <f>_xll.QS.CONTEXT.ADD.CURVE(C4446,"SOFR",$K$2:$K$7,$L$2:$L$7,,,"Actual360","LogLinear",TRUE)</f>
        <v>QSObject:ContextInput:w1~input.qs_context_add_curve.2359132437744.4445.3.0:36183</v>
      </c>
      <c r="E4446" s="6" t="str">
        <f>_xll.QS.INSTRUMENT.SWAP("swap.4444",H4446,B4446,"USD","SOFR",I4446,J4446,0,"Actual360","Simple","Annual","Annual","Annual")</f>
        <v>QSObject:Swap:w1~swap.4444:3229</v>
      </c>
      <c r="F4446" s="6" t="str">
        <f>_xll.QS.TRADE.CREATE("trade.4444",E4446,A4446,"Receive")</f>
        <v>QSObject:SwapTrade:w1~trade.4444:6357</v>
      </c>
      <c r="G4446" s="3">
        <f>_xll.QS.EVALUATE(C4446,F4446)</f>
        <v>49017.31715532628</v>
      </c>
      <c r="H4446" s="5" t="s">
        <v>4487</v>
      </c>
      <c r="I4446" s="7">
        <v>1444400</v>
      </c>
      <c r="J4446" s="8">
        <v>3.9399999999999998E-2</v>
      </c>
    </row>
    <row r="4447" spans="1:10" x14ac:dyDescent="0.25">
      <c r="A4447" s="5" t="s">
        <v>4481</v>
      </c>
      <c r="B4447" s="5" t="s">
        <v>6314</v>
      </c>
      <c r="C4447" s="6" t="str">
        <f>_xll.QS.CONTEXT.CREATE("market.4445",A4447,"USD","SOFR")</f>
        <v>QSObject:PricingContext:w1~market.4445:7940</v>
      </c>
      <c r="D4447" s="6" t="str">
        <f>_xll.QS.CONTEXT.ADD.CURVE(C4447,"SOFR",$K$2:$K$7,$L$2:$L$7,,,"Actual360","LogLinear",TRUE)</f>
        <v>QSObject:ContextInput:w1~input.qs_context_add_curve.2359132437744.4446.3.0:27406</v>
      </c>
      <c r="E4447" s="6" t="str">
        <f>_xll.QS.INSTRUMENT.SWAP("swap.4445",H4447,B4447,"USD","SOFR",I4447,J4447,0,"Actual360","Simple","Annual","Annual","Annual")</f>
        <v>QSObject:Swap:w1~swap.4445:1708</v>
      </c>
      <c r="F4447" s="6" t="str">
        <f>_xll.QS.TRADE.CREATE("trade.4445",E4447,A4447,"Receive")</f>
        <v>QSObject:SwapTrade:w1~trade.4445:12654</v>
      </c>
      <c r="G4447" s="3">
        <f>_xll.QS.EVALUATE(C4447,F4447)</f>
        <v>49749.932432461814</v>
      </c>
      <c r="H4447" s="5" t="s">
        <v>4488</v>
      </c>
      <c r="I4447" s="7">
        <v>1444500</v>
      </c>
      <c r="J4447" s="8">
        <v>3.9500000000000007E-2</v>
      </c>
    </row>
    <row r="4448" spans="1:10" x14ac:dyDescent="0.25">
      <c r="A4448" s="5" t="s">
        <v>4482</v>
      </c>
      <c r="B4448" s="5" t="s">
        <v>6315</v>
      </c>
      <c r="C4448" s="6" t="str">
        <f>_xll.QS.CONTEXT.CREATE("market.4446",A4448,"USD","SOFR")</f>
        <v>QSObject:PricingContext:w1~market.4446:6356</v>
      </c>
      <c r="D4448" s="6" t="str">
        <f>_xll.QS.CONTEXT.ADD.CURVE(C4448,"SOFR",$K$2:$K$7,$L$2:$L$7,,,"Actual360","LogLinear",TRUE)</f>
        <v>QSObject:ContextInput:w1~input.qs_context_add_curve.2359132437744.4447.3.0:11163</v>
      </c>
      <c r="E4448" s="6" t="str">
        <f>_xll.QS.INSTRUMENT.SWAP("swap.4446",H4448,B4448,"USD","SOFR",I4448,J4448,0,"Actual360","Simple","Annual","Annual","Annual")</f>
        <v>QSObject:Swap:w1~swap.4446:9539</v>
      </c>
      <c r="F4448" s="6" t="str">
        <f>_xll.QS.TRADE.CREATE("trade.4446",E4448,A4448,"Receive")</f>
        <v>QSObject:SwapTrade:w1~trade.4446:27405</v>
      </c>
      <c r="G4448" s="3">
        <f>_xll.QS.EVALUATE(C4448,F4448)</f>
        <v>50449.494503883652</v>
      </c>
      <c r="H4448" s="5" t="s">
        <v>4489</v>
      </c>
      <c r="I4448" s="7">
        <v>1444600</v>
      </c>
      <c r="J4448" s="8">
        <v>3.9600000000000003E-2</v>
      </c>
    </row>
    <row r="4449" spans="1:10" x14ac:dyDescent="0.25">
      <c r="A4449" s="5" t="s">
        <v>4483</v>
      </c>
      <c r="B4449" s="5" t="s">
        <v>6316</v>
      </c>
      <c r="C4449" s="6" t="str">
        <f>_xll.QS.CONTEXT.CREATE("market.4447",A4449,"USD","SOFR")</f>
        <v>QSObject:PricingContext:w1~market.4447:1707</v>
      </c>
      <c r="D4449" s="6" t="str">
        <f>_xll.QS.CONTEXT.ADD.CURVE(C4449,"SOFR",$K$2:$K$7,$L$2:$L$7,,,"Actual360","LogLinear",TRUE)</f>
        <v>QSObject:ContextInput:w1~input.qs_context_add_curve.2359132437744.4448.3.0:7939</v>
      </c>
      <c r="E4449" s="6" t="str">
        <f>_xll.QS.INSTRUMENT.SWAP("swap.4447",H4449,B4449,"USD","SOFR",I4449,J4449,0,"Actual360","Simple","Annual","Annual","Annual")</f>
        <v>QSObject:Swap:w1~swap.4447:4784</v>
      </c>
      <c r="F4449" s="6" t="str">
        <f>_xll.QS.TRADE.CREATE("trade.4447",E4449,A4449,"Receive")</f>
        <v>QSObject:SwapTrade:w1~trade.4447:12653</v>
      </c>
      <c r="G4449" s="3">
        <f>_xll.QS.EVALUATE(C4449,F4449)</f>
        <v>51224.993584295895</v>
      </c>
      <c r="H4449" s="5" t="s">
        <v>4490</v>
      </c>
      <c r="I4449" s="7">
        <v>1444700</v>
      </c>
      <c r="J4449" s="8">
        <v>3.9700000000000013E-2</v>
      </c>
    </row>
    <row r="4450" spans="1:10" x14ac:dyDescent="0.25">
      <c r="A4450" s="5" t="s">
        <v>4484</v>
      </c>
      <c r="B4450" s="5" t="s">
        <v>6317</v>
      </c>
      <c r="C4450" s="6" t="str">
        <f>_xll.QS.CONTEXT.CREATE("market.4448",A4450,"USD","SOFR")</f>
        <v>QSObject:PricingContext:w1~market.4448:3228</v>
      </c>
      <c r="D4450" s="6" t="str">
        <f>_xll.QS.CONTEXT.ADD.CURVE(C4450,"SOFR",$K$2:$K$7,$L$2:$L$7,,,"Actual360","LogLinear",TRUE)</f>
        <v>QSObject:ContextInput:w1~input.qs_context_add_curve.2359132437744.4449.3.0:6355</v>
      </c>
      <c r="E4450" s="6" t="str">
        <f>_xll.QS.INSTRUMENT.SWAP("swap.4448",H4450,B4450,"USD","SOFR",I4450,J4450,0,"Actual360","Simple","Annual","Annual","Annual")</f>
        <v>QSObject:Swap:w1~swap.4448:11162</v>
      </c>
      <c r="F4450" s="6" t="str">
        <f>_xll.QS.TRADE.CREATE("trade.4448",E4450,A4450,"Receive")</f>
        <v>QSObject:SwapTrade:w1~trade.4448:27404</v>
      </c>
      <c r="G4450" s="3">
        <f>_xll.QS.EVALUATE(C4450,F4450)</f>
        <v>51957.810350424341</v>
      </c>
      <c r="H4450" s="5" t="s">
        <v>4491</v>
      </c>
      <c r="I4450" s="7">
        <v>1444800</v>
      </c>
      <c r="J4450" s="8">
        <v>3.9800000000000002E-2</v>
      </c>
    </row>
    <row r="4451" spans="1:10" x14ac:dyDescent="0.25">
      <c r="A4451" s="5" t="s">
        <v>4485</v>
      </c>
      <c r="B4451" s="5" t="s">
        <v>6318</v>
      </c>
      <c r="C4451" s="6" t="str">
        <f>_xll.QS.CONTEXT.CREATE("market.4449",A4451,"USD","SOFR")</f>
        <v>QSObject:PricingContext:w1~market.4449:7938</v>
      </c>
      <c r="D4451" s="6" t="str">
        <f>_xll.QS.CONTEXT.ADD.CURVE(C4451,"SOFR",$K$2:$K$7,$L$2:$L$7,,,"Actual360","LogLinear",TRUE)</f>
        <v>QSObject:ContextInput:w1~input.qs_context_add_curve.2359132437744.4450.3.0:27403</v>
      </c>
      <c r="E4451" s="6" t="str">
        <f>_xll.QS.INSTRUMENT.SWAP("swap.4449",H4451,B4451,"USD","SOFR",I4451,J4451,0,"Actual360","Simple","Annual","Annual","Annual")</f>
        <v>QSObject:Swap:w1~swap.4449:4783</v>
      </c>
      <c r="F4451" s="6" t="str">
        <f>_xll.QS.TRADE.CREATE("trade.4449",E4451,A4451,"Receive")</f>
        <v>QSObject:SwapTrade:w1~trade.4449:12652</v>
      </c>
      <c r="G4451" s="3">
        <f>_xll.QS.EVALUATE(C4451,F4451)</f>
        <v>52572.711653499624</v>
      </c>
      <c r="H4451" s="5" t="s">
        <v>4492</v>
      </c>
      <c r="I4451" s="7">
        <v>1444900</v>
      </c>
      <c r="J4451" s="8">
        <v>3.9899999999999998E-2</v>
      </c>
    </row>
    <row r="4452" spans="1:10" x14ac:dyDescent="0.25">
      <c r="A4452" s="5" t="s">
        <v>4486</v>
      </c>
      <c r="B4452" s="5" t="s">
        <v>6319</v>
      </c>
      <c r="C4452" s="6" t="str">
        <f>_xll.QS.CONTEXT.CREATE("market.4450",A4452,"USD","SOFR")</f>
        <v>QSObject:PricingContext:w1~market.4450:11161</v>
      </c>
      <c r="D4452" s="6" t="str">
        <f>_xll.QS.CONTEXT.ADD.CURVE(C4452,"SOFR",$K$2:$K$7,$L$2:$L$7,,,"Actual360","LogLinear",TRUE)</f>
        <v>QSObject:ContextInput:w1~input.qs_context_add_curve.2359132437744.4451.3.0:36182</v>
      </c>
      <c r="E4452" s="6" t="str">
        <f>_xll.QS.INSTRUMENT.SWAP("swap.4450",H4452,B4452,"USD","SOFR",I4452,J4452,0,"Actual360","Simple","Annual","Annual","Annual")</f>
        <v>QSObject:Swap:w1~swap.4450:6354</v>
      </c>
      <c r="F4452" s="6" t="str">
        <f>_xll.QS.TRADE.CREATE("trade.4450",E4452,A4452,"Receive")</f>
        <v>QSObject:SwapTrade:w1~trade.4450:7937</v>
      </c>
      <c r="G4452" s="3">
        <f>_xll.QS.EVALUATE(C4452,F4452)</f>
        <v>19840.792060561158</v>
      </c>
      <c r="H4452" s="5" t="s">
        <v>4493</v>
      </c>
      <c r="I4452" s="7">
        <v>1445000</v>
      </c>
      <c r="J4452" s="8">
        <v>3.5000000000000003E-2</v>
      </c>
    </row>
    <row r="4453" spans="1:10" x14ac:dyDescent="0.25">
      <c r="A4453" s="5" t="s">
        <v>4487</v>
      </c>
      <c r="B4453" s="5" t="s">
        <v>6320</v>
      </c>
      <c r="C4453" s="6" t="str">
        <f>_xll.QS.CONTEXT.CREATE("market.4451",A4453,"USD","SOFR")</f>
        <v>QSObject:PricingContext:w1~market.4451:4782</v>
      </c>
      <c r="D4453" s="6" t="str">
        <f>_xll.QS.CONTEXT.ADD.CURVE(C4453,"SOFR",$K$2:$K$7,$L$2:$L$7,,,"Actual360","LogLinear",TRUE)</f>
        <v>QSObject:ContextInput:w1~input.qs_context_add_curve.2359132437744.4452.3.0:9538</v>
      </c>
      <c r="E4453" s="6" t="str">
        <f>_xll.QS.INSTRUMENT.SWAP("swap.4451",H4453,B4453,"USD","SOFR",I4453,J4453,0,"Actual360","Simple","Annual","Annual","Annual")</f>
        <v>QSObject:Swap:w1~swap.4451:1706</v>
      </c>
      <c r="F4453" s="6" t="str">
        <f>_xll.QS.TRADE.CREATE("trade.4451",E4453,A4453,"Receive")</f>
        <v>QSObject:SwapTrade:w1~trade.4451:3227</v>
      </c>
      <c r="G4453" s="3">
        <f>_xll.QS.EVALUATE(C4453,F4453)</f>
        <v>20375.523386046145</v>
      </c>
      <c r="H4453" s="5" t="s">
        <v>4494</v>
      </c>
      <c r="I4453" s="7">
        <v>1445100</v>
      </c>
      <c r="J4453" s="8">
        <v>3.5100000000000013E-2</v>
      </c>
    </row>
    <row r="4454" spans="1:10" x14ac:dyDescent="0.25">
      <c r="A4454" s="5" t="s">
        <v>4488</v>
      </c>
      <c r="B4454" s="5" t="s">
        <v>6321</v>
      </c>
      <c r="C4454" s="6" t="str">
        <f>_xll.QS.CONTEXT.CREATE("market.4452",A4454,"USD","SOFR")</f>
        <v>QSObject:PricingContext:w1~market.4452:6353</v>
      </c>
      <c r="D4454" s="6" t="str">
        <f>_xll.QS.CONTEXT.ADD.CURVE(C4454,"SOFR",$K$2:$K$7,$L$2:$L$7,,,"Actual360","LogLinear",TRUE)</f>
        <v>QSObject:ContextInput:w1~input.qs_context_add_curve.2359132437744.4453.3.0:12651</v>
      </c>
      <c r="E4454" s="6" t="str">
        <f>_xll.QS.INSTRUMENT.SWAP("swap.4452",H4454,B4454,"USD","SOFR",I4454,J4454,0,"Actual360","Simple","Annual","Annual","Annual")</f>
        <v>QSObject:Swap:w1~swap.4452:11160</v>
      </c>
      <c r="F4454" s="6" t="str">
        <f>_xll.QS.TRADE.CREATE("trade.4452",E4454,A4454,"Receive")</f>
        <v>QSObject:SwapTrade:w1~trade.4452:27402</v>
      </c>
      <c r="G4454" s="3">
        <f>_xll.QS.EVALUATE(C4454,F4454)</f>
        <v>21103.631664000291</v>
      </c>
      <c r="H4454" s="5" t="s">
        <v>4495</v>
      </c>
      <c r="I4454" s="7">
        <v>1445200</v>
      </c>
      <c r="J4454" s="8">
        <v>3.5200000000000002E-2</v>
      </c>
    </row>
    <row r="4455" spans="1:10" x14ac:dyDescent="0.25">
      <c r="A4455" s="5" t="s">
        <v>4489</v>
      </c>
      <c r="B4455" s="5" t="s">
        <v>6322</v>
      </c>
      <c r="C4455" s="6" t="str">
        <f>_xll.QS.CONTEXT.CREATE("market.4453",A4455,"USD","SOFR")</f>
        <v>QSObject:PricingContext:w1~market.4453:1705</v>
      </c>
      <c r="D4455" s="6" t="str">
        <f>_xll.QS.CONTEXT.ADD.CURVE(C4455,"SOFR",$K$2:$K$7,$L$2:$L$7,,,"Actual360","LogLinear",TRUE)</f>
        <v>QSObject:ContextInput:w1~input.qs_context_add_curve.2359132437744.4454.3.0:9537</v>
      </c>
      <c r="E4455" s="6" t="str">
        <f>_xll.QS.INSTRUMENT.SWAP("swap.4453",H4455,B4455,"USD","SOFR",I4455,J4455,0,"Actual360","Simple","Annual","Annual","Annual")</f>
        <v>QSObject:Swap:w1~swap.4453:7936</v>
      </c>
      <c r="F4455" s="6" t="str">
        <f>_xll.QS.TRADE.CREATE("trade.4453",E4455,A4455,"Receive")</f>
        <v>QSObject:SwapTrade:w1~trade.4453:27401</v>
      </c>
      <c r="G4455" s="3">
        <f>_xll.QS.EVALUATE(C4455,F4455)</f>
        <v>21815.585124162797</v>
      </c>
      <c r="H4455" s="5" t="s">
        <v>4496</v>
      </c>
      <c r="I4455" s="7">
        <v>1445300</v>
      </c>
      <c r="J4455" s="8">
        <v>3.5299999999999998E-2</v>
      </c>
    </row>
    <row r="4456" spans="1:10" x14ac:dyDescent="0.25">
      <c r="A4456" s="5" t="s">
        <v>4490</v>
      </c>
      <c r="B4456" s="5" t="s">
        <v>6323</v>
      </c>
      <c r="C4456" s="6" t="str">
        <f>_xll.QS.CONTEXT.CREATE("market.4454",A4456,"USD","SOFR")</f>
        <v>QSObject:PricingContext:w1~market.4454:11159</v>
      </c>
      <c r="D4456" s="6" t="str">
        <f>_xll.QS.CONTEXT.ADD.CURVE(C4456,"SOFR",$K$2:$K$7,$L$2:$L$7,,,"Actual360","LogLinear",TRUE)</f>
        <v>QSObject:ContextInput:w1~input.qs_context_add_curve.2359132437744.4455.3.0:27400</v>
      </c>
      <c r="E4456" s="6" t="str">
        <f>_xll.QS.INSTRUMENT.SWAP("swap.4454",H4456,B4456,"USD","SOFR",I4456,J4456,0,"Actual360","Simple","Annual","Annual","Annual")</f>
        <v>QSObject:Swap:w1~swap.4454:12650</v>
      </c>
      <c r="F4456" s="6" t="str">
        <f>_xll.QS.TRADE.CREATE("trade.4454",E4456,A4456,"Receive")</f>
        <v>QSObject:SwapTrade:w1~trade.4454:27399</v>
      </c>
      <c r="G4456" s="3">
        <f>_xll.QS.EVALUATE(C4456,F4456)</f>
        <v>22589.045342660378</v>
      </c>
      <c r="H4456" s="5" t="s">
        <v>4497</v>
      </c>
      <c r="I4456" s="7">
        <v>1445400</v>
      </c>
      <c r="J4456" s="8">
        <v>3.5400000000000001E-2</v>
      </c>
    </row>
    <row r="4457" spans="1:10" x14ac:dyDescent="0.25">
      <c r="A4457" s="5" t="s">
        <v>4491</v>
      </c>
      <c r="B4457" s="5" t="s">
        <v>6324</v>
      </c>
      <c r="C4457" s="6" t="str">
        <f>_xll.QS.CONTEXT.CREATE("market.4455",A4457,"USD","SOFR")</f>
        <v>QSObject:PricingContext:w1~market.4455:7935</v>
      </c>
      <c r="D4457" s="6" t="str">
        <f>_xll.QS.CONTEXT.ADD.CURVE(C4457,"SOFR",$K$2:$K$7,$L$2:$L$7,,,"Actual360","LogLinear",TRUE)</f>
        <v>QSObject:ContextInput:w1~input.qs_context_add_curve.2359132437744.4456.3.0:36181</v>
      </c>
      <c r="E4457" s="6" t="str">
        <f>_xll.QS.INSTRUMENT.SWAP("swap.4455",H4457,B4457,"USD","SOFR",I4457,J4457,0,"Actual360","Simple","Annual","Annual","Annual")</f>
        <v>QSObject:Swap:w1~swap.4455:9536</v>
      </c>
      <c r="F4457" s="6" t="str">
        <f>_xll.QS.TRADE.CREATE("trade.4455",E4457,A4457,"Receive")</f>
        <v>QSObject:SwapTrade:w1~trade.4455:27398</v>
      </c>
      <c r="G4457" s="3">
        <f>_xll.QS.EVALUATE(C4457,F4457)</f>
        <v>23319.926152547821</v>
      </c>
      <c r="H4457" s="5" t="s">
        <v>4498</v>
      </c>
      <c r="I4457" s="7">
        <v>1445500</v>
      </c>
      <c r="J4457" s="8">
        <v>3.5499999999999997E-2</v>
      </c>
    </row>
    <row r="4458" spans="1:10" x14ac:dyDescent="0.25">
      <c r="A4458" s="5" t="s">
        <v>4492</v>
      </c>
      <c r="B4458" s="5" t="s">
        <v>6325</v>
      </c>
      <c r="C4458" s="6" t="str">
        <f>_xll.QS.CONTEXT.CREATE("market.4456",A4458,"USD","SOFR")</f>
        <v>QSObject:PricingContext:w1~market.4456:11158</v>
      </c>
      <c r="D4458" s="6" t="str">
        <f>_xll.QS.CONTEXT.ADD.CURVE(C4458,"SOFR",$K$2:$K$7,$L$2:$L$7,,,"Actual360","LogLinear",TRUE)</f>
        <v>QSObject:ContextInput:w1~input.qs_context_add_curve.2359132437744.4457.3.0:36180</v>
      </c>
      <c r="E4458" s="6" t="str">
        <f>_xll.QS.INSTRUMENT.SWAP("swap.4456",H4458,B4458,"USD","SOFR",I4458,J4458,0,"Actual360","Simple","Annual","Annual","Annual")</f>
        <v>QSObject:Swap:w1~swap.4456:3226</v>
      </c>
      <c r="F4458" s="6" t="str">
        <f>_xll.QS.TRADE.CREATE("trade.4456",E4458,A4458,"Receive")</f>
        <v>QSObject:SwapTrade:w1~trade.4456:7934</v>
      </c>
      <c r="G4458" s="3">
        <f>_xll.QS.EVALUATE(C4458,F4458)</f>
        <v>23933.369257760467</v>
      </c>
      <c r="H4458" s="5" t="s">
        <v>4499</v>
      </c>
      <c r="I4458" s="7">
        <v>1445600</v>
      </c>
      <c r="J4458" s="8">
        <v>3.5600000000000007E-2</v>
      </c>
    </row>
    <row r="4459" spans="1:10" x14ac:dyDescent="0.25">
      <c r="A4459" s="5" t="s">
        <v>4493</v>
      </c>
      <c r="B4459" s="5" t="s">
        <v>6326</v>
      </c>
      <c r="C4459" s="6" t="str">
        <f>_xll.QS.CONTEXT.CREATE("market.4457",A4459,"USD","SOFR")</f>
        <v>QSObject:PricingContext:w1~market.4457:9535</v>
      </c>
      <c r="D4459" s="6" t="str">
        <f>_xll.QS.CONTEXT.ADD.CURVE(C4459,"SOFR",$K$2:$K$7,$L$2:$L$7,,,"Actual360","LogLinear",TRUE)</f>
        <v>QSObject:ContextInput:w1~input.qs_context_add_curve.2359132437744.4458.3.0:27397</v>
      </c>
      <c r="E4459" s="6" t="str">
        <f>_xll.QS.INSTRUMENT.SWAP("swap.4457",H4459,B4459,"USD","SOFR",I4459,J4459,0,"Actual360","Simple","Annual","Annual","Annual")</f>
        <v>QSObject:Swap:w1~swap.4457:12649</v>
      </c>
      <c r="F4459" s="6" t="str">
        <f>_xll.QS.TRADE.CREATE("trade.4457",E4459,A4459,"Receive")</f>
        <v>QSObject:SwapTrade:w1~trade.4457:27396</v>
      </c>
      <c r="G4459" s="3">
        <f>_xll.QS.EVALUATE(C4459,F4459)</f>
        <v>24511.586066801821</v>
      </c>
      <c r="H4459" s="5" t="s">
        <v>4500</v>
      </c>
      <c r="I4459" s="7">
        <v>1445700</v>
      </c>
      <c r="J4459" s="8">
        <v>3.5700000000000003E-2</v>
      </c>
    </row>
    <row r="4460" spans="1:10" x14ac:dyDescent="0.25">
      <c r="A4460" s="5" t="s">
        <v>4494</v>
      </c>
      <c r="B4460" s="5" t="s">
        <v>6327</v>
      </c>
      <c r="C4460" s="6" t="str">
        <f>_xll.QS.CONTEXT.CREATE("market.4458",A4460,"USD","SOFR")</f>
        <v>QSObject:PricingContext:w1~market.4458:6352</v>
      </c>
      <c r="D4460" s="6" t="str">
        <f>_xll.QS.CONTEXT.ADD.CURVE(C4460,"SOFR",$K$2:$K$7,$L$2:$L$7,,,"Actual360","LogLinear",TRUE)</f>
        <v>QSObject:ContextInput:w1~input.qs_context_add_curve.2359132437744.4459.3.0:27395</v>
      </c>
      <c r="E4460" s="6" t="str">
        <f>_xll.QS.INSTRUMENT.SWAP("swap.4458",H4460,B4460,"USD","SOFR",I4460,J4460,0,"Actual360","Simple","Annual","Annual","Annual")</f>
        <v>QSObject:Swap:w1~swap.4458:4781</v>
      </c>
      <c r="F4460" s="6" t="str">
        <f>_xll.QS.TRADE.CREATE("trade.4458",E4460,A4460,"Receive")</f>
        <v>QSObject:SwapTrade:w1~trade.4458:12648</v>
      </c>
      <c r="G4460" s="3">
        <f>_xll.QS.EVALUATE(C4460,F4460)</f>
        <v>25054.125777223584</v>
      </c>
      <c r="H4460" s="5" t="s">
        <v>4501</v>
      </c>
      <c r="I4460" s="7">
        <v>1445800</v>
      </c>
      <c r="J4460" s="8">
        <v>3.5800000000000012E-2</v>
      </c>
    </row>
    <row r="4461" spans="1:10" x14ac:dyDescent="0.25">
      <c r="A4461" s="5" t="s">
        <v>4495</v>
      </c>
      <c r="B4461" s="5" t="s">
        <v>6328</v>
      </c>
      <c r="C4461" s="6" t="str">
        <f>_xll.QS.CONTEXT.CREATE("market.4459",A4461,"USD","SOFR")</f>
        <v>QSObject:PricingContext:w1~market.4459:9534</v>
      </c>
      <c r="D4461" s="6" t="str">
        <f>_xll.QS.CONTEXT.ADD.CURVE(C4461,"SOFR",$K$2:$K$7,$L$2:$L$7,,,"Actual360","LogLinear",TRUE)</f>
        <v>QSObject:ContextInput:w1~input.qs_context_add_curve.2359132437744.4460.3.0:36179</v>
      </c>
      <c r="E4461" s="6" t="str">
        <f>_xll.QS.INSTRUMENT.SWAP("swap.4459",H4461,B4461,"USD","SOFR",I4461,J4461,0,"Actual360","Simple","Annual","Annual","Annual")</f>
        <v>QSObject:Swap:w1~swap.4459:1704</v>
      </c>
      <c r="F4461" s="6" t="str">
        <f>_xll.QS.TRADE.CREATE("trade.4459",E4461,A4461,"Receive")</f>
        <v>QSObject:SwapTrade:w1~trade.4459:6351</v>
      </c>
      <c r="G4461" s="3">
        <f>_xll.QS.EVALUATE(C4461,F4461)</f>
        <v>25783.15376724719</v>
      </c>
      <c r="H4461" s="5" t="s">
        <v>4502</v>
      </c>
      <c r="I4461" s="7">
        <v>1445900</v>
      </c>
      <c r="J4461" s="8">
        <v>3.5900000000000001E-2</v>
      </c>
    </row>
    <row r="4462" spans="1:10" x14ac:dyDescent="0.25">
      <c r="A4462" s="5" t="s">
        <v>4496</v>
      </c>
      <c r="B4462" s="5" t="s">
        <v>6329</v>
      </c>
      <c r="C4462" s="6" t="str">
        <f>_xll.QS.CONTEXT.CREATE("market.4460",A4462,"USD","SOFR")</f>
        <v>QSObject:PricingContext:w1~market.4460:3225</v>
      </c>
      <c r="D4462" s="6" t="str">
        <f>_xll.QS.CONTEXT.ADD.CURVE(C4462,"SOFR",$K$2:$K$7,$L$2:$L$7,,,"Actual360","LogLinear",TRUE)</f>
        <v>QSObject:ContextInput:w1~input.qs_context_add_curve.2359132437744.4461.3.0:4780</v>
      </c>
      <c r="E4462" s="6" t="str">
        <f>_xll.QS.INSTRUMENT.SWAP("swap.4460",H4462,B4462,"USD","SOFR",I4462,J4462,0,"Actual360","Simple","Annual","Annual","Annual")</f>
        <v>QSObject:Swap:w1~swap.4460:11157</v>
      </c>
      <c r="F4462" s="6" t="str">
        <f>_xll.QS.TRADE.CREATE("trade.4460",E4462,A4462,"Receive")</f>
        <v>QSObject:SwapTrade:w1~trade.4460:12647</v>
      </c>
      <c r="G4462" s="3">
        <f>_xll.QS.EVALUATE(C4462,F4462)</f>
        <v>26493.730260133918</v>
      </c>
      <c r="H4462" s="5" t="s">
        <v>4503</v>
      </c>
      <c r="I4462" s="7">
        <v>1446000</v>
      </c>
      <c r="J4462" s="8">
        <v>3.5999999999999997E-2</v>
      </c>
    </row>
    <row r="4463" spans="1:10" x14ac:dyDescent="0.25">
      <c r="A4463" s="5" t="s">
        <v>4497</v>
      </c>
      <c r="B4463" s="5" t="s">
        <v>6330</v>
      </c>
      <c r="C4463" s="6" t="str">
        <f>_xll.QS.CONTEXT.CREATE("market.4461",A4463,"USD","SOFR")</f>
        <v>QSObject:PricingContext:w1~market.4461:7933</v>
      </c>
      <c r="D4463" s="6" t="str">
        <f>_xll.QS.CONTEXT.ADD.CURVE(C4463,"SOFR",$K$2:$K$7,$L$2:$L$7,,,"Actual360","LogLinear",TRUE)</f>
        <v>QSObject:ContextInput:w1~input.qs_context_add_curve.2359132437744.4462.3.0:27394</v>
      </c>
      <c r="E4463" s="6" t="str">
        <f>_xll.QS.INSTRUMENT.SWAP("swap.4461",H4463,B4463,"USD","SOFR",I4463,J4463,0,"Actual360","Simple","Annual","Annual","Annual")</f>
        <v>QSObject:Swap:w1~swap.4461:9533</v>
      </c>
      <c r="F4463" s="6" t="str">
        <f>_xll.QS.TRADE.CREATE("trade.4461",E4463,A4463,"Receive")</f>
        <v>QSObject:SwapTrade:w1~trade.4461:12646</v>
      </c>
      <c r="G4463" s="3">
        <f>_xll.QS.EVALUATE(C4463,F4463)</f>
        <v>27267.951145435691</v>
      </c>
      <c r="H4463" s="5" t="s">
        <v>4504</v>
      </c>
      <c r="I4463" s="7">
        <v>1446100</v>
      </c>
      <c r="J4463" s="8">
        <v>3.61E-2</v>
      </c>
    </row>
    <row r="4464" spans="1:10" x14ac:dyDescent="0.25">
      <c r="A4464" s="5" t="s">
        <v>4498</v>
      </c>
      <c r="B4464" s="5" t="s">
        <v>6331</v>
      </c>
      <c r="C4464" s="6" t="str">
        <f>_xll.QS.CONTEXT.CREATE("market.4462",A4464,"USD","SOFR")</f>
        <v>QSObject:PricingContext:w1~market.4462:12645</v>
      </c>
      <c r="D4464" s="6" t="str">
        <f>_xll.QS.CONTEXT.ADD.CURVE(C4464,"SOFR",$K$2:$K$7,$L$2:$L$7,,,"Actual360","LogLinear",TRUE)</f>
        <v>QSObject:ContextInput:w1~input.qs_context_add_curve.2359132437744.4463.3.0:36178</v>
      </c>
      <c r="E4464" s="6" t="str">
        <f>_xll.QS.INSTRUMENT.SWAP("swap.4462",H4464,B4464,"USD","SOFR",I4464,J4464,0,"Actual360","Simple","Annual","Annual","Annual")</f>
        <v>QSObject:Swap:w1~swap.4462:12644</v>
      </c>
      <c r="F4464" s="6" t="str">
        <f>_xll.QS.TRADE.CREATE("trade.4462",E4464,A4464,"Receive")</f>
        <v>QSObject:SwapTrade:w1~trade.4462:27393</v>
      </c>
      <c r="G4464" s="3">
        <f>_xll.QS.EVALUATE(C4464,F4464)</f>
        <v>27999.769223436924</v>
      </c>
      <c r="H4464" s="5" t="s">
        <v>4505</v>
      </c>
      <c r="I4464" s="7">
        <v>1446200</v>
      </c>
      <c r="J4464" s="8">
        <v>3.6200000000000003E-2</v>
      </c>
    </row>
    <row r="4465" spans="1:10" x14ac:dyDescent="0.25">
      <c r="A4465" s="5" t="s">
        <v>4499</v>
      </c>
      <c r="B4465" s="5" t="s">
        <v>6332</v>
      </c>
      <c r="C4465" s="6" t="str">
        <f>_xll.QS.CONTEXT.CREATE("market.4463",A4465,"USD","SOFR")</f>
        <v>QSObject:PricingContext:w1~market.4463:12643</v>
      </c>
      <c r="D4465" s="6" t="str">
        <f>_xll.QS.CONTEXT.ADD.CURVE(C4465,"SOFR",$K$2:$K$7,$L$2:$L$7,,,"Actual360","LogLinear",TRUE)</f>
        <v>QSObject:ContextInput:w1~input.qs_context_add_curve.2359132437744.4464.3.0:36177</v>
      </c>
      <c r="E4465" s="6" t="str">
        <f>_xll.QS.INSTRUMENT.SWAP("swap.4463",H4465,B4465,"USD","SOFR",I4465,J4465,0,"Actual360","Simple","Annual","Annual","Annual")</f>
        <v>QSObject:Swap:w1~swap.4463:12642</v>
      </c>
      <c r="F4465" s="6" t="str">
        <f>_xll.QS.TRADE.CREATE("trade.4463",E4465,A4465,"Receive")</f>
        <v>QSObject:SwapTrade:w1~trade.4463:27392</v>
      </c>
      <c r="G4465" s="3">
        <f>_xll.QS.EVALUATE(C4465,F4465)</f>
        <v>28632.308166733877</v>
      </c>
      <c r="H4465" s="5" t="s">
        <v>4506</v>
      </c>
      <c r="I4465" s="7">
        <v>1446300</v>
      </c>
      <c r="J4465" s="8">
        <v>3.6300000000000013E-2</v>
      </c>
    </row>
    <row r="4466" spans="1:10" x14ac:dyDescent="0.25">
      <c r="A4466" s="5" t="s">
        <v>4500</v>
      </c>
      <c r="B4466" s="5" t="s">
        <v>6333</v>
      </c>
      <c r="C4466" s="6" t="str">
        <f>_xll.QS.CONTEXT.CREATE("market.4464",A4466,"USD","SOFR")</f>
        <v>QSObject:PricingContext:w1~market.4464:12641</v>
      </c>
      <c r="D4466" s="6" t="str">
        <f>_xll.QS.CONTEXT.ADD.CURVE(C4466,"SOFR",$K$2:$K$7,$L$2:$L$7,,,"Actual360","LogLinear",TRUE)</f>
        <v>QSObject:ContextInput:w1~input.qs_context_add_curve.2359132437744.4465.3.0:36176</v>
      </c>
      <c r="E4466" s="6" t="str">
        <f>_xll.QS.INSTRUMENT.SWAP("swap.4464",H4466,B4466,"USD","SOFR",I4466,J4466,0,"Actual360","Simple","Annual","Annual","Annual")</f>
        <v>QSObject:Swap:w1~swap.4464:12640</v>
      </c>
      <c r="F4466" s="6" t="str">
        <f>_xll.QS.TRADE.CREATE("trade.4464",E4466,A4466,"Receive")</f>
        <v>QSObject:SwapTrade:w1~trade.4464:27391</v>
      </c>
      <c r="G4466" s="3">
        <f>_xll.QS.EVALUATE(C4466,F4466)</f>
        <v>29263.428036210113</v>
      </c>
      <c r="H4466" s="5" t="s">
        <v>4507</v>
      </c>
      <c r="I4466" s="7">
        <v>1446400</v>
      </c>
      <c r="J4466" s="8">
        <v>3.6400000000000002E-2</v>
      </c>
    </row>
    <row r="4467" spans="1:10" x14ac:dyDescent="0.25">
      <c r="A4467" s="5" t="s">
        <v>4501</v>
      </c>
      <c r="B4467" s="5" t="s">
        <v>6334</v>
      </c>
      <c r="C4467" s="6" t="str">
        <f>_xll.QS.CONTEXT.CREATE("market.4465",A4467,"USD","SOFR")</f>
        <v>QSObject:PricingContext:w1~market.4465:12639</v>
      </c>
      <c r="D4467" s="6" t="str">
        <f>_xll.QS.CONTEXT.ADD.CURVE(C4467,"SOFR",$K$2:$K$7,$L$2:$L$7,,,"Actual360","LogLinear",TRUE)</f>
        <v>QSObject:ContextInput:w1~input.qs_context_add_curve.2359132437744.4466.3.0:36175</v>
      </c>
      <c r="E4467" s="6" t="str">
        <f>_xll.QS.INSTRUMENT.SWAP("swap.4465",H4467,B4467,"USD","SOFR",I4467,J4467,0,"Actual360","Simple","Annual","Annual","Annual")</f>
        <v>QSObject:Swap:w1~swap.4465:12638</v>
      </c>
      <c r="F4467" s="6" t="str">
        <f>_xll.QS.TRADE.CREATE("trade.4465",E4467,A4467,"Receive")</f>
        <v>QSObject:SwapTrade:w1~trade.4465:27390</v>
      </c>
      <c r="G4467" s="3">
        <f>_xll.QS.EVALUATE(C4467,F4467)</f>
        <v>29935.59624169585</v>
      </c>
      <c r="H4467" s="5" t="s">
        <v>4508</v>
      </c>
      <c r="I4467" s="7">
        <v>1446500</v>
      </c>
      <c r="J4467" s="8">
        <v>3.6499999999999998E-2</v>
      </c>
    </row>
    <row r="4468" spans="1:10" x14ac:dyDescent="0.25">
      <c r="A4468" s="5" t="s">
        <v>4502</v>
      </c>
      <c r="B4468" s="5" t="s">
        <v>6335</v>
      </c>
      <c r="C4468" s="6" t="str">
        <f>_xll.QS.CONTEXT.CREATE("market.4466",A4468,"USD","SOFR")</f>
        <v>QSObject:PricingContext:w1~market.4466:12637</v>
      </c>
      <c r="D4468" s="6" t="str">
        <f>_xll.QS.CONTEXT.ADD.CURVE(C4468,"SOFR",$K$2:$K$7,$L$2:$L$7,,,"Actual360","LogLinear",TRUE)</f>
        <v>QSObject:ContextInput:w1~input.qs_context_add_curve.2359132437744.4467.3.0:36174</v>
      </c>
      <c r="E4468" s="6" t="str">
        <f>_xll.QS.INSTRUMENT.SWAP("swap.4466",H4468,B4468,"USD","SOFR",I4468,J4468,0,"Actual360","Simple","Annual","Annual","Annual")</f>
        <v>QSObject:Swap:w1~swap.4466:12636</v>
      </c>
      <c r="F4468" s="6" t="str">
        <f>_xll.QS.TRADE.CREATE("trade.4466",E4468,A4468,"Receive")</f>
        <v>QSObject:SwapTrade:w1~trade.4466:27389</v>
      </c>
      <c r="G4468" s="3">
        <f>_xll.QS.EVALUATE(C4468,F4468)</f>
        <v>30467.669769962471</v>
      </c>
      <c r="H4468" s="5" t="s">
        <v>4509</v>
      </c>
      <c r="I4468" s="7">
        <v>1446600</v>
      </c>
      <c r="J4468" s="8">
        <v>3.6600000000000001E-2</v>
      </c>
    </row>
    <row r="4469" spans="1:10" x14ac:dyDescent="0.25">
      <c r="A4469" s="5" t="s">
        <v>4503</v>
      </c>
      <c r="B4469" s="5" t="s">
        <v>6336</v>
      </c>
      <c r="C4469" s="6" t="str">
        <f>_xll.QS.CONTEXT.CREATE("market.4467",A4469,"USD","SOFR")</f>
        <v>QSObject:PricingContext:w1~market.4467:12635</v>
      </c>
      <c r="D4469" s="6" t="str">
        <f>_xll.QS.CONTEXT.ADD.CURVE(C4469,"SOFR",$K$2:$K$7,$L$2:$L$7,,,"Actual360","LogLinear",TRUE)</f>
        <v>QSObject:ContextInput:w1~input.qs_context_add_curve.2359132437744.4468.3.0:36173</v>
      </c>
      <c r="E4469" s="6" t="str">
        <f>_xll.QS.INSTRUMENT.SWAP("swap.4467",H4469,B4469,"USD","SOFR",I4469,J4469,0,"Actual360","Simple","Annual","Annual","Annual")</f>
        <v>QSObject:Swap:w1~swap.4467:12634</v>
      </c>
      <c r="F4469" s="6" t="str">
        <f>_xll.QS.TRADE.CREATE("trade.4467",E4469,A4469,"Receive")</f>
        <v>QSObject:SwapTrade:w1~trade.4467:27388</v>
      </c>
      <c r="G4469" s="3">
        <f>_xll.QS.EVALUATE(C4469,F4469)</f>
        <v>31339.613327652485</v>
      </c>
      <c r="H4469" s="5" t="s">
        <v>4510</v>
      </c>
      <c r="I4469" s="7">
        <v>1446700</v>
      </c>
      <c r="J4469" s="8">
        <v>3.6700000000000003E-2</v>
      </c>
    </row>
    <row r="4470" spans="1:10" x14ac:dyDescent="0.25">
      <c r="A4470" s="5" t="s">
        <v>4504</v>
      </c>
      <c r="B4470" s="5" t="s">
        <v>6337</v>
      </c>
      <c r="C4470" s="6" t="str">
        <f>_xll.QS.CONTEXT.CREATE("market.4468",A4470,"USD","SOFR")</f>
        <v>QSObject:PricingContext:w1~market.4468:12633</v>
      </c>
      <c r="D4470" s="6" t="str">
        <f>_xll.QS.CONTEXT.ADD.CURVE(C4470,"SOFR",$K$2:$K$7,$L$2:$L$7,,,"Actual360","LogLinear",TRUE)</f>
        <v>QSObject:ContextInput:w1~input.qs_context_add_curve.2359132437744.4469.3.0:36172</v>
      </c>
      <c r="E4470" s="6" t="str">
        <f>_xll.QS.INSTRUMENT.SWAP("swap.4468",H4470,B4470,"USD","SOFR",I4470,J4470,0,"Actual360","Simple","Annual","Annual","Annual")</f>
        <v>QSObject:Swap:w1~swap.4468:12632</v>
      </c>
      <c r="F4470" s="6" t="str">
        <f>_xll.QS.TRADE.CREATE("trade.4468",E4470,A4470,"Receive")</f>
        <v>QSObject:SwapTrade:w1~trade.4468:27387</v>
      </c>
      <c r="G4470" s="3">
        <f>_xll.QS.EVALUATE(C4470,F4470)</f>
        <v>32018.201797204383</v>
      </c>
      <c r="H4470" s="5" t="s">
        <v>4511</v>
      </c>
      <c r="I4470" s="7">
        <v>1446800</v>
      </c>
      <c r="J4470" s="8">
        <v>3.6800000000000013E-2</v>
      </c>
    </row>
    <row r="4471" spans="1:10" x14ac:dyDescent="0.25">
      <c r="A4471" s="5" t="s">
        <v>4505</v>
      </c>
      <c r="B4471" s="5" t="s">
        <v>6338</v>
      </c>
      <c r="C4471" s="6" t="str">
        <f>_xll.QS.CONTEXT.CREATE("market.4469",A4471,"USD","SOFR")</f>
        <v>QSObject:PricingContext:w1~market.4469:12631</v>
      </c>
      <c r="D4471" s="6" t="str">
        <f>_xll.QS.CONTEXT.ADD.CURVE(C4471,"SOFR",$K$2:$K$7,$L$2:$L$7,,,"Actual360","LogLinear",TRUE)</f>
        <v>QSObject:ContextInput:w1~input.qs_context_add_curve.2359132437744.4470.3.0:36171</v>
      </c>
      <c r="E4471" s="6" t="str">
        <f>_xll.QS.INSTRUMENT.SWAP("swap.4469",H4471,B4471,"USD","SOFR",I4471,J4471,0,"Actual360","Simple","Annual","Annual","Annual")</f>
        <v>QSObject:Swap:w1~swap.4469:12630</v>
      </c>
      <c r="F4471" s="6" t="str">
        <f>_xll.QS.TRADE.CREATE("trade.4469",E4471,A4471,"Receive")</f>
        <v>QSObject:SwapTrade:w1~trade.4469:27386</v>
      </c>
      <c r="G4471" s="3">
        <f>_xll.QS.EVALUATE(C4471,F4471)</f>
        <v>32686.268104550865</v>
      </c>
      <c r="H4471" s="5" t="s">
        <v>4512</v>
      </c>
      <c r="I4471" s="7">
        <v>1446900</v>
      </c>
      <c r="J4471" s="8">
        <v>3.6900000000000002E-2</v>
      </c>
    </row>
    <row r="4472" spans="1:10" x14ac:dyDescent="0.25">
      <c r="A4472" s="5" t="s">
        <v>4506</v>
      </c>
      <c r="B4472" s="5" t="s">
        <v>6339</v>
      </c>
      <c r="C4472" s="6" t="str">
        <f>_xll.QS.CONTEXT.CREATE("market.4470",A4472,"USD","SOFR")</f>
        <v>QSObject:PricingContext:w1~market.4470:12629</v>
      </c>
      <c r="D4472" s="6" t="str">
        <f>_xll.QS.CONTEXT.ADD.CURVE(C4472,"SOFR",$K$2:$K$7,$L$2:$L$7,,,"Actual360","LogLinear",TRUE)</f>
        <v>QSObject:ContextInput:w1~input.qs_context_add_curve.2359132437744.4471.3.0:36170</v>
      </c>
      <c r="E4472" s="6" t="str">
        <f>_xll.QS.INSTRUMENT.SWAP("swap.4470",H4472,B4472,"USD","SOFR",I4472,J4472,0,"Actual360","Simple","Annual","Annual","Annual")</f>
        <v>QSObject:Swap:w1~swap.4470:12628</v>
      </c>
      <c r="F4472" s="6" t="str">
        <f>_xll.QS.TRADE.CREATE("trade.4470",E4472,A4472,"Receive")</f>
        <v>QSObject:SwapTrade:w1~trade.4470:27385</v>
      </c>
      <c r="G4472" s="3">
        <f>_xll.QS.EVALUATE(C4472,F4472)</f>
        <v>33298.318978426738</v>
      </c>
      <c r="H4472" s="5" t="s">
        <v>4513</v>
      </c>
      <c r="I4472" s="7">
        <v>1447000</v>
      </c>
      <c r="J4472" s="8">
        <v>3.7000000000000012E-2</v>
      </c>
    </row>
    <row r="4473" spans="1:10" x14ac:dyDescent="0.25">
      <c r="A4473" s="5" t="s">
        <v>4507</v>
      </c>
      <c r="B4473" s="5" t="s">
        <v>6340</v>
      </c>
      <c r="C4473" s="6" t="str">
        <f>_xll.QS.CONTEXT.CREATE("market.4471",A4473,"USD","SOFR")</f>
        <v>QSObject:PricingContext:w1~market.4471:12627</v>
      </c>
      <c r="D4473" s="6" t="str">
        <f>_xll.QS.CONTEXT.ADD.CURVE(C4473,"SOFR",$K$2:$K$7,$L$2:$L$7,,,"Actual360","LogLinear",TRUE)</f>
        <v>QSObject:ContextInput:w1~input.qs_context_add_curve.2359132437744.4472.3.0:36169</v>
      </c>
      <c r="E4473" s="6" t="str">
        <f>_xll.QS.INSTRUMENT.SWAP("swap.4471",H4473,B4473,"USD","SOFR",I4473,J4473,0,"Actual360","Simple","Annual","Annual","Annual")</f>
        <v>QSObject:Swap:w1~swap.4471:12626</v>
      </c>
      <c r="F4473" s="6" t="str">
        <f>_xll.QS.TRADE.CREATE("trade.4471",E4473,A4473,"Receive")</f>
        <v>QSObject:SwapTrade:w1~trade.4471:27384</v>
      </c>
      <c r="G4473" s="3">
        <f>_xll.QS.EVALUATE(C4473,F4473)</f>
        <v>33752.292829265003</v>
      </c>
      <c r="H4473" s="5" t="s">
        <v>4514</v>
      </c>
      <c r="I4473" s="7">
        <v>1447100</v>
      </c>
      <c r="J4473" s="8">
        <v>3.7100000000000001E-2</v>
      </c>
    </row>
    <row r="4474" spans="1:10" x14ac:dyDescent="0.25">
      <c r="A4474" s="5" t="s">
        <v>4508</v>
      </c>
      <c r="B4474" s="5" t="s">
        <v>6341</v>
      </c>
      <c r="C4474" s="6" t="str">
        <f>_xll.QS.CONTEXT.CREATE("market.4472",A4474,"USD","SOFR")</f>
        <v>QSObject:PricingContext:w1~market.4472:12625</v>
      </c>
      <c r="D4474" s="6" t="str">
        <f>_xll.QS.CONTEXT.ADD.CURVE(C4474,"SOFR",$K$2:$K$7,$L$2:$L$7,,,"Actual360","LogLinear",TRUE)</f>
        <v>QSObject:ContextInput:w1~input.qs_context_add_curve.2359132437744.4473.3.0:36168</v>
      </c>
      <c r="E4474" s="6" t="str">
        <f>_xll.QS.INSTRUMENT.SWAP("swap.4472",H4474,B4474,"USD","SOFR",I4474,J4474,0,"Actual360","Simple","Annual","Annual","Annual")</f>
        <v>QSObject:Swap:w1~swap.4472:12624</v>
      </c>
      <c r="F4474" s="6" t="str">
        <f>_xll.QS.TRADE.CREATE("trade.4472",E4474,A4474,"Receive")</f>
        <v>QSObject:SwapTrade:w1~trade.4472:27383</v>
      </c>
      <c r="G4474" s="3">
        <f>_xll.QS.EVALUATE(C4474,F4474)</f>
        <v>34424.939889950976</v>
      </c>
      <c r="H4474" s="5" t="s">
        <v>4515</v>
      </c>
      <c r="I4474" s="7">
        <v>1447200</v>
      </c>
      <c r="J4474" s="8">
        <v>3.7199999999999997E-2</v>
      </c>
    </row>
    <row r="4475" spans="1:10" x14ac:dyDescent="0.25">
      <c r="A4475" s="5" t="s">
        <v>4509</v>
      </c>
      <c r="B4475" s="5" t="s">
        <v>6342</v>
      </c>
      <c r="C4475" s="6" t="str">
        <f>_xll.QS.CONTEXT.CREATE("market.4473",A4475,"USD","SOFR")</f>
        <v>QSObject:PricingContext:w1~market.4473:12623</v>
      </c>
      <c r="D4475" s="6" t="str">
        <f>_xll.QS.CONTEXT.ADD.CURVE(C4475,"SOFR",$K$2:$K$7,$L$2:$L$7,,,"Actual360","LogLinear",TRUE)</f>
        <v>QSObject:ContextInput:w1~input.qs_context_add_curve.2359132437744.4474.3.0:36167</v>
      </c>
      <c r="E4475" s="6" t="str">
        <f>_xll.QS.INSTRUMENT.SWAP("swap.4473",H4475,B4475,"USD","SOFR",I4475,J4475,0,"Actual360","Simple","Annual","Annual","Annual")</f>
        <v>QSObject:Swap:w1~swap.4473:12622</v>
      </c>
      <c r="F4475" s="6" t="str">
        <f>_xll.QS.TRADE.CREATE("trade.4473",E4475,A4475,"Receive")</f>
        <v>QSObject:SwapTrade:w1~trade.4473:27382</v>
      </c>
      <c r="G4475" s="3">
        <f>_xll.QS.EVALUATE(C4475,F4475)</f>
        <v>35156.470776652852</v>
      </c>
      <c r="H4475" s="5" t="s">
        <v>4516</v>
      </c>
      <c r="I4475" s="7">
        <v>1447300</v>
      </c>
      <c r="J4475" s="8">
        <v>3.73E-2</v>
      </c>
    </row>
    <row r="4476" spans="1:10" x14ac:dyDescent="0.25">
      <c r="A4476" s="5" t="s">
        <v>4510</v>
      </c>
      <c r="B4476" s="5" t="s">
        <v>6343</v>
      </c>
      <c r="C4476" s="6" t="str">
        <f>_xll.QS.CONTEXT.CREATE("market.4474",A4476,"USD","SOFR")</f>
        <v>QSObject:PricingContext:w1~market.4474:12621</v>
      </c>
      <c r="D4476" s="6" t="str">
        <f>_xll.QS.CONTEXT.ADD.CURVE(C4476,"SOFR",$K$2:$K$7,$L$2:$L$7,,,"Actual360","LogLinear",TRUE)</f>
        <v>QSObject:ContextInput:w1~input.qs_context_add_curve.2359132437744.4475.3.0:36166</v>
      </c>
      <c r="E4476" s="6" t="str">
        <f>_xll.QS.INSTRUMENT.SWAP("swap.4474",H4476,B4476,"USD","SOFR",I4476,J4476,0,"Actual360","Simple","Annual","Annual","Annual")</f>
        <v>QSObject:Swap:w1~swap.4474:12620</v>
      </c>
      <c r="F4476" s="6" t="str">
        <f>_xll.QS.TRADE.CREATE("trade.4474",E4476,A4476,"Receive")</f>
        <v>QSObject:SwapTrade:w1~trade.4474:27381</v>
      </c>
      <c r="G4476" s="3">
        <f>_xll.QS.EVALUATE(C4476,F4476)</f>
        <v>36023.182373918949</v>
      </c>
      <c r="H4476" s="5" t="s">
        <v>4517</v>
      </c>
      <c r="I4476" s="7">
        <v>1447400</v>
      </c>
      <c r="J4476" s="8">
        <v>3.7400000000000003E-2</v>
      </c>
    </row>
    <row r="4477" spans="1:10" x14ac:dyDescent="0.25">
      <c r="A4477" s="5" t="s">
        <v>4511</v>
      </c>
      <c r="B4477" s="5" t="s">
        <v>6344</v>
      </c>
      <c r="C4477" s="6" t="str">
        <f>_xll.QS.CONTEXT.CREATE("market.4475",A4477,"USD","SOFR")</f>
        <v>QSObject:PricingContext:w1~market.4475:12619</v>
      </c>
      <c r="D4477" s="6" t="str">
        <f>_xll.QS.CONTEXT.ADD.CURVE(C4477,"SOFR",$K$2:$K$7,$L$2:$L$7,,,"Actual360","LogLinear",TRUE)</f>
        <v>QSObject:ContextInput:w1~input.qs_context_add_curve.2359132437744.4476.3.0:36165</v>
      </c>
      <c r="E4477" s="6" t="str">
        <f>_xll.QS.INSTRUMENT.SWAP("swap.4475",H4477,B4477,"USD","SOFR",I4477,J4477,0,"Actual360","Simple","Annual","Annual","Annual")</f>
        <v>QSObject:Swap:w1~swap.4475:12618</v>
      </c>
      <c r="F4477" s="6" t="str">
        <f>_xll.QS.TRADE.CREATE("trade.4475",E4477,A4477,"Receive")</f>
        <v>QSObject:SwapTrade:w1~trade.4475:27380</v>
      </c>
      <c r="G4477" s="3">
        <f>_xll.QS.EVALUATE(C4477,F4477)</f>
        <v>36692.704996542016</v>
      </c>
      <c r="H4477" s="5" t="s">
        <v>4518</v>
      </c>
      <c r="I4477" s="7">
        <v>1447500</v>
      </c>
      <c r="J4477" s="8">
        <v>3.7500000000000012E-2</v>
      </c>
    </row>
    <row r="4478" spans="1:10" x14ac:dyDescent="0.25">
      <c r="A4478" s="5" t="s">
        <v>4512</v>
      </c>
      <c r="B4478" s="5" t="s">
        <v>6345</v>
      </c>
      <c r="C4478" s="6" t="str">
        <f>_xll.QS.CONTEXT.CREATE("market.4476",A4478,"USD","SOFR")</f>
        <v>QSObject:PricingContext:w1~market.4476:12617</v>
      </c>
      <c r="D4478" s="6" t="str">
        <f>_xll.QS.CONTEXT.ADD.CURVE(C4478,"SOFR",$K$2:$K$7,$L$2:$L$7,,,"Actual360","LogLinear",TRUE)</f>
        <v>QSObject:ContextInput:w1~input.qs_context_add_curve.2359132437744.4477.3.0:36164</v>
      </c>
      <c r="E4478" s="6" t="str">
        <f>_xll.QS.INSTRUMENT.SWAP("swap.4476",H4478,B4478,"USD","SOFR",I4478,J4478,0,"Actual360","Simple","Annual","Annual","Annual")</f>
        <v>QSObject:Swap:w1~swap.4476:12616</v>
      </c>
      <c r="F4478" s="6" t="str">
        <f>_xll.QS.TRADE.CREATE("trade.4476",E4478,A4478,"Receive")</f>
        <v>QSObject:SwapTrade:w1~trade.4476:27379</v>
      </c>
      <c r="G4478" s="3">
        <f>_xll.QS.EVALUATE(C4478,F4478)</f>
        <v>37372.235451997411</v>
      </c>
      <c r="H4478" s="5" t="s">
        <v>4519</v>
      </c>
      <c r="I4478" s="7">
        <v>1447600</v>
      </c>
      <c r="J4478" s="8">
        <v>3.7600000000000001E-2</v>
      </c>
    </row>
    <row r="4479" spans="1:10" x14ac:dyDescent="0.25">
      <c r="A4479" s="5" t="s">
        <v>4513</v>
      </c>
      <c r="B4479" s="5" t="s">
        <v>6346</v>
      </c>
      <c r="C4479" s="6" t="str">
        <f>_xll.QS.CONTEXT.CREATE("market.4477",A4479,"USD","SOFR")</f>
        <v>QSObject:PricingContext:w1~market.4477:12615</v>
      </c>
      <c r="D4479" s="6" t="str">
        <f>_xll.QS.CONTEXT.ADD.CURVE(C4479,"SOFR",$K$2:$K$7,$L$2:$L$7,,,"Actual360","LogLinear",TRUE)</f>
        <v>QSObject:ContextInput:w1~input.qs_context_add_curve.2359132437744.4478.3.0:36163</v>
      </c>
      <c r="E4479" s="6" t="str">
        <f>_xll.QS.INSTRUMENT.SWAP("swap.4477",H4479,B4479,"USD","SOFR",I4479,J4479,0,"Actual360","Simple","Annual","Annual","Annual")</f>
        <v>QSObject:Swap:w1~swap.4477:12614</v>
      </c>
      <c r="F4479" s="6" t="str">
        <f>_xll.QS.TRADE.CREATE("trade.4477",E4479,A4479,"Receive")</f>
        <v>QSObject:SwapTrade:w1~trade.4477:27378</v>
      </c>
      <c r="G4479" s="3">
        <f>_xll.QS.EVALUATE(C4479,F4479)</f>
        <v>37988.58930174711</v>
      </c>
      <c r="H4479" s="5" t="s">
        <v>4520</v>
      </c>
      <c r="I4479" s="7">
        <v>1447700</v>
      </c>
      <c r="J4479" s="8">
        <v>3.7699999999999997E-2</v>
      </c>
    </row>
    <row r="4480" spans="1:10" x14ac:dyDescent="0.25">
      <c r="A4480" s="5" t="s">
        <v>4514</v>
      </c>
      <c r="B4480" s="5" t="s">
        <v>6347</v>
      </c>
      <c r="C4480" s="6" t="str">
        <f>_xll.QS.CONTEXT.CREATE("market.4478",A4480,"USD","SOFR")</f>
        <v>QSObject:PricingContext:w1~market.4478:12613</v>
      </c>
      <c r="D4480" s="6" t="str">
        <f>_xll.QS.CONTEXT.ADD.CURVE(C4480,"SOFR",$K$2:$K$7,$L$2:$L$7,,,"Actual360","LogLinear",TRUE)</f>
        <v>QSObject:ContextInput:w1~input.qs_context_add_curve.2359132437744.4479.3.0:36162</v>
      </c>
      <c r="E4480" s="6" t="str">
        <f>_xll.QS.INSTRUMENT.SWAP("swap.4478",H4480,B4480,"USD","SOFR",I4480,J4480,0,"Actual360","Simple","Annual","Annual","Annual")</f>
        <v>QSObject:Swap:w1~swap.4478:12612</v>
      </c>
      <c r="F4480" s="6" t="str">
        <f>_xll.QS.TRADE.CREATE("trade.4478",E4480,A4480,"Receive")</f>
        <v>QSObject:SwapTrade:w1~trade.4478:27377</v>
      </c>
      <c r="G4480" s="3">
        <f>_xll.QS.EVALUATE(C4480,F4480)</f>
        <v>38552.095785992948</v>
      </c>
      <c r="H4480" s="5" t="s">
        <v>4521</v>
      </c>
      <c r="I4480" s="7">
        <v>1447800</v>
      </c>
      <c r="J4480" s="8">
        <v>3.78E-2</v>
      </c>
    </row>
    <row r="4481" spans="1:10" x14ac:dyDescent="0.25">
      <c r="A4481" s="5" t="s">
        <v>4515</v>
      </c>
      <c r="B4481" s="5" t="s">
        <v>6348</v>
      </c>
      <c r="C4481" s="6" t="str">
        <f>_xll.QS.CONTEXT.CREATE("market.4479",A4481,"USD","SOFR")</f>
        <v>QSObject:PricingContext:w1~market.4479:12611</v>
      </c>
      <c r="D4481" s="6" t="str">
        <f>_xll.QS.CONTEXT.ADD.CURVE(C4481,"SOFR",$K$2:$K$7,$L$2:$L$7,,,"Actual360","LogLinear",TRUE)</f>
        <v>QSObject:ContextInput:w1~input.qs_context_add_curve.2359132437744.4480.3.0:36161</v>
      </c>
      <c r="E4481" s="6" t="str">
        <f>_xll.QS.INSTRUMENT.SWAP("swap.4479",H4481,B4481,"USD","SOFR",I4481,J4481,0,"Actual360","Simple","Annual","Annual","Annual")</f>
        <v>QSObject:Swap:w1~swap.4479:12610</v>
      </c>
      <c r="F4481" s="6" t="str">
        <f>_xll.QS.TRADE.CREATE("trade.4479",E4481,A4481,"Receive")</f>
        <v>QSObject:SwapTrade:w1~trade.4479:27376</v>
      </c>
      <c r="G4481" s="3">
        <f>_xll.QS.EVALUATE(C4481,F4481)</f>
        <v>39117.828531667648</v>
      </c>
      <c r="H4481" s="5" t="s">
        <v>4522</v>
      </c>
      <c r="I4481" s="7">
        <v>1447900</v>
      </c>
      <c r="J4481" s="8">
        <v>3.7900000000000003E-2</v>
      </c>
    </row>
    <row r="4482" spans="1:10" x14ac:dyDescent="0.25">
      <c r="A4482" s="5" t="s">
        <v>4516</v>
      </c>
      <c r="B4482" s="5" t="s">
        <v>6349</v>
      </c>
      <c r="C4482" s="6" t="str">
        <f>_xll.QS.CONTEXT.CREATE("market.4480",A4482,"USD","SOFR")</f>
        <v>QSObject:PricingContext:w1~market.4480:12609</v>
      </c>
      <c r="D4482" s="6" t="str">
        <f>_xll.QS.CONTEXT.ADD.CURVE(C4482,"SOFR",$K$2:$K$7,$L$2:$L$7,,,"Actual360","LogLinear",TRUE)</f>
        <v>QSObject:ContextInput:w1~input.qs_context_add_curve.2359132437744.4481.3.0:36160</v>
      </c>
      <c r="E4482" s="6" t="str">
        <f>_xll.QS.INSTRUMENT.SWAP("swap.4480",H4482,B4482,"USD","SOFR",I4482,J4482,0,"Actual360","Simple","Annual","Annual","Annual")</f>
        <v>QSObject:Swap:w1~swap.4480:12608</v>
      </c>
      <c r="F4482" s="6" t="str">
        <f>_xll.QS.TRADE.CREATE("trade.4480",E4482,A4482,"Receive")</f>
        <v>QSObject:SwapTrade:w1~trade.4480:27375</v>
      </c>
      <c r="G4482" s="3">
        <f>_xll.QS.EVALUATE(C4482,F4482)</f>
        <v>39849.800693108889</v>
      </c>
      <c r="H4482" s="5" t="s">
        <v>4523</v>
      </c>
      <c r="I4482" s="7">
        <v>1448000</v>
      </c>
      <c r="J4482" s="8">
        <v>3.8000000000000013E-2</v>
      </c>
    </row>
    <row r="4483" spans="1:10" x14ac:dyDescent="0.25">
      <c r="A4483" s="5" t="s">
        <v>4517</v>
      </c>
      <c r="B4483" s="5" t="s">
        <v>6350</v>
      </c>
      <c r="C4483" s="6" t="str">
        <f>_xll.QS.CONTEXT.CREATE("market.4481",A4483,"USD","SOFR")</f>
        <v>QSObject:PricingContext:w1~market.4481:12607</v>
      </c>
      <c r="D4483" s="6" t="str">
        <f>_xll.QS.CONTEXT.ADD.CURVE(C4483,"SOFR",$K$2:$K$7,$L$2:$L$7,,,"Actual360","LogLinear",TRUE)</f>
        <v>QSObject:ContextInput:w1~input.qs_context_add_curve.2359132437744.4482.3.0:36159</v>
      </c>
      <c r="E4483" s="6" t="str">
        <f>_xll.QS.INSTRUMENT.SWAP("swap.4481",H4483,B4483,"USD","SOFR",I4483,J4483,0,"Actual360","Simple","Annual","Annual","Annual")</f>
        <v>QSObject:Swap:w1~swap.4481:12606</v>
      </c>
      <c r="F4483" s="6" t="str">
        <f>_xll.QS.TRADE.CREATE("trade.4481",E4483,A4483,"Receive")</f>
        <v>QSObject:SwapTrade:w1~trade.4481:27374</v>
      </c>
      <c r="G4483" s="3">
        <f>_xll.QS.EVALUATE(C4483,F4483)</f>
        <v>40555.256120025988</v>
      </c>
      <c r="H4483" s="5" t="s">
        <v>4524</v>
      </c>
      <c r="I4483" s="7">
        <v>1448100</v>
      </c>
      <c r="J4483" s="8">
        <v>3.8100000000000002E-2</v>
      </c>
    </row>
    <row r="4484" spans="1:10" x14ac:dyDescent="0.25">
      <c r="A4484" s="5" t="s">
        <v>4518</v>
      </c>
      <c r="B4484" s="5" t="s">
        <v>6351</v>
      </c>
      <c r="C4484" s="6" t="str">
        <f>_xll.QS.CONTEXT.CREATE("market.4482",A4484,"USD","SOFR")</f>
        <v>QSObject:PricingContext:w1~market.4482:12605</v>
      </c>
      <c r="D4484" s="6" t="str">
        <f>_xll.QS.CONTEXT.ADD.CURVE(C4484,"SOFR",$K$2:$K$7,$L$2:$L$7,,,"Actual360","LogLinear",TRUE)</f>
        <v>QSObject:ContextInput:w1~input.qs_context_add_curve.2359132437744.4483.3.0:36158</v>
      </c>
      <c r="E4484" s="6" t="str">
        <f>_xll.QS.INSTRUMENT.SWAP("swap.4482",H4484,B4484,"USD","SOFR",I4484,J4484,0,"Actual360","Simple","Annual","Annual","Annual")</f>
        <v>QSObject:Swap:w1~swap.4482:12604</v>
      </c>
      <c r="F4484" s="6" t="str">
        <f>_xll.QS.TRADE.CREATE("trade.4482",E4484,A4484,"Receive")</f>
        <v>QSObject:SwapTrade:w1~trade.4482:27373</v>
      </c>
      <c r="G4484" s="3">
        <f>_xll.QS.EVALUATE(C4484,F4484)</f>
        <v>41331.785698285203</v>
      </c>
      <c r="H4484" s="5" t="s">
        <v>4525</v>
      </c>
      <c r="I4484" s="7">
        <v>1448200</v>
      </c>
      <c r="J4484" s="8">
        <v>3.8199999999999998E-2</v>
      </c>
    </row>
    <row r="4485" spans="1:10" x14ac:dyDescent="0.25">
      <c r="A4485" s="5" t="s">
        <v>4519</v>
      </c>
      <c r="B4485" s="5" t="s">
        <v>6352</v>
      </c>
      <c r="C4485" s="6" t="str">
        <f>_xll.QS.CONTEXT.CREATE("market.4483",A4485,"USD","SOFR")</f>
        <v>QSObject:PricingContext:w1~market.4483:12603</v>
      </c>
      <c r="D4485" s="6" t="str">
        <f>_xll.QS.CONTEXT.ADD.CURVE(C4485,"SOFR",$K$2:$K$7,$L$2:$L$7,,,"Actual360","LogLinear",TRUE)</f>
        <v>QSObject:ContextInput:w1~input.qs_context_add_curve.2359132437744.4484.3.0:36157</v>
      </c>
      <c r="E4485" s="6" t="str">
        <f>_xll.QS.INSTRUMENT.SWAP("swap.4483",H4485,B4485,"USD","SOFR",I4485,J4485,0,"Actual360","Simple","Annual","Annual","Annual")</f>
        <v>QSObject:Swap:w1~swap.4483:12602</v>
      </c>
      <c r="F4485" s="6" t="str">
        <f>_xll.QS.TRADE.CREATE("trade.4483",E4485,A4485,"Receive")</f>
        <v>QSObject:SwapTrade:w1~trade.4483:27372</v>
      </c>
      <c r="G4485" s="3">
        <f>_xll.QS.EVALUATE(C4485,F4485)</f>
        <v>42065.286561649948</v>
      </c>
      <c r="H4485" s="5" t="s">
        <v>4526</v>
      </c>
      <c r="I4485" s="7">
        <v>1448300</v>
      </c>
      <c r="J4485" s="8">
        <v>3.8300000000000001E-2</v>
      </c>
    </row>
    <row r="4486" spans="1:10" x14ac:dyDescent="0.25">
      <c r="A4486" s="5" t="s">
        <v>4520</v>
      </c>
      <c r="B4486" s="5" t="s">
        <v>6353</v>
      </c>
      <c r="C4486" s="6" t="str">
        <f>_xll.QS.CONTEXT.CREATE("market.4484",A4486,"USD","SOFR")</f>
        <v>QSObject:PricingContext:w1~market.4484:12601</v>
      </c>
      <c r="D4486" s="6" t="str">
        <f>_xll.QS.CONTEXT.ADD.CURVE(C4486,"SOFR",$K$2:$K$7,$L$2:$L$7,,,"Actual360","LogLinear",TRUE)</f>
        <v>QSObject:ContextInput:w1~input.qs_context_add_curve.2359132437744.4485.3.0:36156</v>
      </c>
      <c r="E4486" s="6" t="str">
        <f>_xll.QS.INSTRUMENT.SWAP("swap.4484",H4486,B4486,"USD","SOFR",I4486,J4486,0,"Actual360","Simple","Annual","Annual","Annual")</f>
        <v>QSObject:Swap:w1~swap.4484:12600</v>
      </c>
      <c r="F4486" s="6" t="str">
        <f>_xll.QS.TRADE.CREATE("trade.4484",E4486,A4486,"Receive")</f>
        <v>QSObject:SwapTrade:w1~trade.4484:27371</v>
      </c>
      <c r="G4486" s="3">
        <f>_xll.QS.EVALUATE(C4486,F4486)</f>
        <v>42682.60781857145</v>
      </c>
      <c r="H4486" s="5" t="s">
        <v>4527</v>
      </c>
      <c r="I4486" s="7">
        <v>1448400</v>
      </c>
      <c r="J4486" s="8">
        <v>3.8399999999999997E-2</v>
      </c>
    </row>
    <row r="4487" spans="1:10" x14ac:dyDescent="0.25">
      <c r="A4487" s="5" t="s">
        <v>4521</v>
      </c>
      <c r="B4487" s="5" t="s">
        <v>6354</v>
      </c>
      <c r="C4487" s="6" t="str">
        <f>_xll.QS.CONTEXT.CREATE("market.4485",A4487,"USD","SOFR")</f>
        <v>QSObject:PricingContext:w1~market.4485:12599</v>
      </c>
      <c r="D4487" s="6" t="str">
        <f>_xll.QS.CONTEXT.ADD.CURVE(C4487,"SOFR",$K$2:$K$7,$L$2:$L$7,,,"Actual360","LogLinear",TRUE)</f>
        <v>QSObject:ContextInput:w1~input.qs_context_add_curve.2359132437744.4486.3.0:36155</v>
      </c>
      <c r="E4487" s="6" t="str">
        <f>_xll.QS.INSTRUMENT.SWAP("swap.4485",H4487,B4487,"USD","SOFR",I4487,J4487,0,"Actual360","Simple","Annual","Annual","Annual")</f>
        <v>QSObject:Swap:w1~swap.4485:12598</v>
      </c>
      <c r="F4487" s="6" t="str">
        <f>_xll.QS.TRADE.CREATE("trade.4485",E4487,A4487,"Receive")</f>
        <v>QSObject:SwapTrade:w1~trade.4485:27370</v>
      </c>
      <c r="G4487" s="3">
        <f>_xll.QS.EVALUATE(C4487,F4487)</f>
        <v>43241.188714917262</v>
      </c>
      <c r="H4487" s="5" t="s">
        <v>4528</v>
      </c>
      <c r="I4487" s="7">
        <v>1448500</v>
      </c>
      <c r="J4487" s="8">
        <v>3.8500000000000013E-2</v>
      </c>
    </row>
    <row r="4488" spans="1:10" x14ac:dyDescent="0.25">
      <c r="A4488" s="5" t="s">
        <v>4522</v>
      </c>
      <c r="B4488" s="5" t="s">
        <v>6355</v>
      </c>
      <c r="C4488" s="6" t="str">
        <f>_xll.QS.CONTEXT.CREATE("market.4486",A4488,"USD","SOFR")</f>
        <v>QSObject:PricingContext:w1~market.4486:12597</v>
      </c>
      <c r="D4488" s="6" t="str">
        <f>_xll.QS.CONTEXT.ADD.CURVE(C4488,"SOFR",$K$2:$K$7,$L$2:$L$7,,,"Actual360","LogLinear",TRUE)</f>
        <v>QSObject:ContextInput:w1~input.qs_context_add_curve.2359132437744.4487.3.0:36154</v>
      </c>
      <c r="E4488" s="6" t="str">
        <f>_xll.QS.INSTRUMENT.SWAP("swap.4486",H4488,B4488,"USD","SOFR",I4488,J4488,0,"Actual360","Simple","Annual","Annual","Annual")</f>
        <v>QSObject:Swap:w1~swap.4486:12596</v>
      </c>
      <c r="F4488" s="6" t="str">
        <f>_xll.QS.TRADE.CREATE("trade.4486",E4488,A4488,"Receive")</f>
        <v>QSObject:SwapTrade:w1~trade.4486:27369</v>
      </c>
      <c r="G4488" s="3">
        <f>_xll.QS.EVALUATE(C4488,F4488)</f>
        <v>43815.077218549006</v>
      </c>
      <c r="H4488" s="5" t="s">
        <v>4529</v>
      </c>
      <c r="I4488" s="7">
        <v>1448600</v>
      </c>
      <c r="J4488" s="8">
        <v>3.8600000000000002E-2</v>
      </c>
    </row>
    <row r="4489" spans="1:10" x14ac:dyDescent="0.25">
      <c r="A4489" s="5" t="s">
        <v>4523</v>
      </c>
      <c r="B4489" s="5" t="s">
        <v>6356</v>
      </c>
      <c r="C4489" s="6" t="str">
        <f>_xll.QS.CONTEXT.CREATE("market.4487",A4489,"USD","SOFR")</f>
        <v>QSObject:PricingContext:w1~market.4487:12595</v>
      </c>
      <c r="D4489" s="6" t="str">
        <f>_xll.QS.CONTEXT.ADD.CURVE(C4489,"SOFR",$K$2:$K$7,$L$2:$L$7,,,"Actual360","LogLinear",TRUE)</f>
        <v>QSObject:ContextInput:w1~input.qs_context_add_curve.2359132437744.4488.3.0:36153</v>
      </c>
      <c r="E4489" s="6" t="str">
        <f>_xll.QS.INSTRUMENT.SWAP("swap.4487",H4489,B4489,"USD","SOFR",I4489,J4489,0,"Actual360","Simple","Annual","Annual","Annual")</f>
        <v>QSObject:Swap:w1~swap.4487:12594</v>
      </c>
      <c r="F4489" s="6" t="str">
        <f>_xll.QS.TRADE.CREATE("trade.4487",E4489,A4489,"Receive")</f>
        <v>QSObject:SwapTrade:w1~trade.4487:27368</v>
      </c>
      <c r="G4489" s="3">
        <f>_xll.QS.EVALUATE(C4489,F4489)</f>
        <v>44548.063444021347</v>
      </c>
      <c r="H4489" s="5" t="s">
        <v>4530</v>
      </c>
      <c r="I4489" s="7">
        <v>1448700</v>
      </c>
      <c r="J4489" s="8">
        <v>3.8700000000000012E-2</v>
      </c>
    </row>
    <row r="4490" spans="1:10" x14ac:dyDescent="0.25">
      <c r="A4490" s="5" t="s">
        <v>4524</v>
      </c>
      <c r="B4490" s="5" t="s">
        <v>6357</v>
      </c>
      <c r="C4490" s="6" t="str">
        <f>_xll.QS.CONTEXT.CREATE("market.4488",A4490,"USD","SOFR")</f>
        <v>QSObject:PricingContext:w1~market.4488:12593</v>
      </c>
      <c r="D4490" s="6" t="str">
        <f>_xll.QS.CONTEXT.ADD.CURVE(C4490,"SOFR",$K$2:$K$7,$L$2:$L$7,,,"Actual360","LogLinear",TRUE)</f>
        <v>QSObject:ContextInput:w1~input.qs_context_add_curve.2359132437744.4489.3.0:36152</v>
      </c>
      <c r="E4490" s="6" t="str">
        <f>_xll.QS.INSTRUMENT.SWAP("swap.4488",H4490,B4490,"USD","SOFR",I4490,J4490,0,"Actual360","Simple","Annual","Annual","Annual")</f>
        <v>QSObject:Swap:w1~swap.4488:12592</v>
      </c>
      <c r="F4490" s="6" t="str">
        <f>_xll.QS.TRADE.CREATE("trade.4488",E4490,A4490,"Receive")</f>
        <v>QSObject:SwapTrade:w1~trade.4488:27367</v>
      </c>
      <c r="G4490" s="3">
        <f>_xll.QS.EVALUATE(C4490,F4490)</f>
        <v>45250.949119823679</v>
      </c>
      <c r="H4490" s="5" t="s">
        <v>4531</v>
      </c>
      <c r="I4490" s="7">
        <v>1448800</v>
      </c>
      <c r="J4490" s="8">
        <v>3.8800000000000001E-2</v>
      </c>
    </row>
    <row r="4491" spans="1:10" x14ac:dyDescent="0.25">
      <c r="A4491" s="5" t="s">
        <v>4525</v>
      </c>
      <c r="B4491" s="5" t="s">
        <v>6358</v>
      </c>
      <c r="C4491" s="6" t="str">
        <f>_xll.QS.CONTEXT.CREATE("market.4489",A4491,"USD","SOFR")</f>
        <v>QSObject:PricingContext:w1~market.4489:12591</v>
      </c>
      <c r="D4491" s="6" t="str">
        <f>_xll.QS.CONTEXT.ADD.CURVE(C4491,"SOFR",$K$2:$K$7,$L$2:$L$7,,,"Actual360","LogLinear",TRUE)</f>
        <v>QSObject:ContextInput:w1~input.qs_context_add_curve.2359132437744.4490.3.0:36151</v>
      </c>
      <c r="E4491" s="6" t="str">
        <f>_xll.QS.INSTRUMENT.SWAP("swap.4489",H4491,B4491,"USD","SOFR",I4491,J4491,0,"Actual360","Simple","Annual","Annual","Annual")</f>
        <v>QSObject:Swap:w1~swap.4489:12590</v>
      </c>
      <c r="F4491" s="6" t="str">
        <f>_xll.QS.TRADE.CREATE("trade.4489",E4491,A4491,"Receive")</f>
        <v>QSObject:SwapTrade:w1~trade.4489:27366</v>
      </c>
      <c r="G4491" s="3">
        <f>_xll.QS.EVALUATE(C4491,F4491)</f>
        <v>46028.765923216022</v>
      </c>
      <c r="H4491" s="5" t="s">
        <v>4532</v>
      </c>
      <c r="I4491" s="7">
        <v>1448900</v>
      </c>
      <c r="J4491" s="8">
        <v>3.8899999999999997E-2</v>
      </c>
    </row>
    <row r="4492" spans="1:10" x14ac:dyDescent="0.25">
      <c r="A4492" s="5" t="s">
        <v>4526</v>
      </c>
      <c r="B4492" s="5" t="s">
        <v>6359</v>
      </c>
      <c r="C4492" s="6" t="str">
        <f>_xll.QS.CONTEXT.CREATE("market.4490",A4492,"USD","SOFR")</f>
        <v>QSObject:PricingContext:w1~market.4490:12589</v>
      </c>
      <c r="D4492" s="6" t="str">
        <f>_xll.QS.CONTEXT.ADD.CURVE(C4492,"SOFR",$K$2:$K$7,$L$2:$L$7,,,"Actual360","LogLinear",TRUE)</f>
        <v>QSObject:ContextInput:w1~input.qs_context_add_curve.2359132437744.4491.3.0:36150</v>
      </c>
      <c r="E4492" s="6" t="str">
        <f>_xll.QS.INSTRUMENT.SWAP("swap.4490",H4492,B4492,"USD","SOFR",I4492,J4492,0,"Actual360","Simple","Annual","Annual","Annual")</f>
        <v>QSObject:Swap:w1~swap.4490:12588</v>
      </c>
      <c r="F4492" s="6" t="str">
        <f>_xll.QS.TRADE.CREATE("trade.4490",E4492,A4492,"Receive")</f>
        <v>QSObject:SwapTrade:w1~trade.4490:27365</v>
      </c>
      <c r="G4492" s="3">
        <f>_xll.QS.EVALUATE(C4492,F4492)</f>
        <v>46763.276611766734</v>
      </c>
      <c r="H4492" s="5" t="s">
        <v>4533</v>
      </c>
      <c r="I4492" s="7">
        <v>1449000</v>
      </c>
      <c r="J4492" s="8">
        <v>3.9000000000000007E-2</v>
      </c>
    </row>
    <row r="4493" spans="1:10" x14ac:dyDescent="0.25">
      <c r="A4493" s="5" t="s">
        <v>4527</v>
      </c>
      <c r="B4493" s="5" t="s">
        <v>6360</v>
      </c>
      <c r="C4493" s="6" t="str">
        <f>_xll.QS.CONTEXT.CREATE("market.4491",A4493,"USD","SOFR")</f>
        <v>QSObject:PricingContext:w1~market.4491:12587</v>
      </c>
      <c r="D4493" s="6" t="str">
        <f>_xll.QS.CONTEXT.ADD.CURVE(C4493,"SOFR",$K$2:$K$7,$L$2:$L$7,,,"Actual360","LogLinear",TRUE)</f>
        <v>QSObject:ContextInput:w1~input.qs_context_add_curve.2359132437744.4492.3.0:36149</v>
      </c>
      <c r="E4493" s="6" t="str">
        <f>_xll.QS.INSTRUMENT.SWAP("swap.4491",H4493,B4493,"USD","SOFR",I4493,J4493,0,"Actual360","Simple","Annual","Annual","Annual")</f>
        <v>QSObject:Swap:w1~swap.4491:12586</v>
      </c>
      <c r="F4493" s="6" t="str">
        <f>_xll.QS.TRADE.CREATE("trade.4491",E4493,A4493,"Receive")</f>
        <v>QSObject:SwapTrade:w1~trade.4491:27364</v>
      </c>
      <c r="G4493" s="3">
        <f>_xll.QS.EVALUATE(C4493,F4493)</f>
        <v>47379.629022349916</v>
      </c>
      <c r="H4493" s="5" t="s">
        <v>4534</v>
      </c>
      <c r="I4493" s="7">
        <v>1449100</v>
      </c>
      <c r="J4493" s="8">
        <v>3.9100000000000003E-2</v>
      </c>
    </row>
    <row r="4494" spans="1:10" x14ac:dyDescent="0.25">
      <c r="A4494" s="5" t="s">
        <v>4528</v>
      </c>
      <c r="B4494" s="5" t="s">
        <v>6361</v>
      </c>
      <c r="C4494" s="6" t="str">
        <f>_xll.QS.CONTEXT.CREATE("market.4492",A4494,"USD","SOFR")</f>
        <v>QSObject:PricingContext:w1~market.4492:12585</v>
      </c>
      <c r="D4494" s="6" t="str">
        <f>_xll.QS.CONTEXT.ADD.CURVE(C4494,"SOFR",$K$2:$K$7,$L$2:$L$7,,,"Actual360","LogLinear",TRUE)</f>
        <v>QSObject:ContextInput:w1~input.qs_context_add_curve.2359132437744.4493.3.0:36148</v>
      </c>
      <c r="E4494" s="6" t="str">
        <f>_xll.QS.INSTRUMENT.SWAP("swap.4492",H4494,B4494,"USD","SOFR",I4494,J4494,0,"Actual360","Simple","Annual","Annual","Annual")</f>
        <v>QSObject:Swap:w1~swap.4492:12584</v>
      </c>
      <c r="F4494" s="6" t="str">
        <f>_xll.QS.TRADE.CREATE("trade.4492",E4494,A4494,"Receive")</f>
        <v>QSObject:SwapTrade:w1~trade.4492:27363</v>
      </c>
      <c r="G4494" s="3">
        <f>_xll.QS.EVALUATE(C4494,F4494)</f>
        <v>47933.29391766731</v>
      </c>
      <c r="H4494" s="5" t="s">
        <v>4535</v>
      </c>
      <c r="I4494" s="7">
        <v>1449200</v>
      </c>
      <c r="J4494" s="8">
        <v>3.9200000000000013E-2</v>
      </c>
    </row>
    <row r="4495" spans="1:10" x14ac:dyDescent="0.25">
      <c r="A4495" s="5" t="s">
        <v>4529</v>
      </c>
      <c r="B4495" s="5" t="s">
        <v>6362</v>
      </c>
      <c r="C4495" s="6" t="str">
        <f>_xll.QS.CONTEXT.CREATE("market.4493",A4495,"USD","SOFR")</f>
        <v>QSObject:PricingContext:w1~market.4493:12583</v>
      </c>
      <c r="D4495" s="6" t="str">
        <f>_xll.QS.CONTEXT.ADD.CURVE(C4495,"SOFR",$K$2:$K$7,$L$2:$L$7,,,"Actual360","LogLinear",TRUE)</f>
        <v>QSObject:ContextInput:w1~input.qs_context_add_curve.2359132437744.4494.3.0:36147</v>
      </c>
      <c r="E4495" s="6" t="str">
        <f>_xll.QS.INSTRUMENT.SWAP("swap.4493",H4495,B4495,"USD","SOFR",I4495,J4495,0,"Actual360","Simple","Annual","Annual","Annual")</f>
        <v>QSObject:Swap:w1~swap.4493:12582</v>
      </c>
      <c r="F4495" s="6" t="str">
        <f>_xll.QS.TRADE.CREATE("trade.4493",E4495,A4495,"Receive")</f>
        <v>QSObject:SwapTrade:w1~trade.4493:27362</v>
      </c>
      <c r="G4495" s="3">
        <f>_xll.QS.EVALUATE(C4495,F4495)</f>
        <v>48515.02591176211</v>
      </c>
      <c r="H4495" s="5" t="s">
        <v>4536</v>
      </c>
      <c r="I4495" s="7">
        <v>1449300</v>
      </c>
      <c r="J4495" s="8">
        <v>3.9300000000000002E-2</v>
      </c>
    </row>
    <row r="4496" spans="1:10" x14ac:dyDescent="0.25">
      <c r="A4496" s="5" t="s">
        <v>4530</v>
      </c>
      <c r="B4496" s="5" t="s">
        <v>6363</v>
      </c>
      <c r="C4496" s="6" t="str">
        <f>_xll.QS.CONTEXT.CREATE("market.4494",A4496,"USD","SOFR")</f>
        <v>QSObject:PricingContext:w1~market.4494:12581</v>
      </c>
      <c r="D4496" s="6" t="str">
        <f>_xll.QS.CONTEXT.ADD.CURVE(C4496,"SOFR",$K$2:$K$7,$L$2:$L$7,,,"Actual360","LogLinear",TRUE)</f>
        <v>QSObject:ContextInput:w1~input.qs_context_add_curve.2359132437744.4495.3.0:36146</v>
      </c>
      <c r="E4496" s="6" t="str">
        <f>_xll.QS.INSTRUMENT.SWAP("swap.4494",H4496,B4496,"USD","SOFR",I4496,J4496,0,"Actual360","Simple","Annual","Annual","Annual")</f>
        <v>QSObject:Swap:w1~swap.4494:12580</v>
      </c>
      <c r="F4496" s="6" t="str">
        <f>_xll.QS.TRADE.CREATE("trade.4494",E4496,A4496,"Receive")</f>
        <v>QSObject:SwapTrade:w1~trade.4494:27361</v>
      </c>
      <c r="G4496" s="3">
        <f>_xll.QS.EVALUATE(C4496,F4496)</f>
        <v>49250.145706678719</v>
      </c>
      <c r="H4496" s="5" t="s">
        <v>4537</v>
      </c>
      <c r="I4496" s="7">
        <v>1449400</v>
      </c>
      <c r="J4496" s="8">
        <v>3.9399999999999998E-2</v>
      </c>
    </row>
    <row r="4497" spans="1:10" x14ac:dyDescent="0.25">
      <c r="A4497" s="5" t="s">
        <v>4531</v>
      </c>
      <c r="B4497" s="5" t="s">
        <v>6364</v>
      </c>
      <c r="C4497" s="6" t="str">
        <f>_xll.QS.CONTEXT.CREATE("market.4495",A4497,"USD","SOFR")</f>
        <v>QSObject:PricingContext:w1~market.4495:12579</v>
      </c>
      <c r="D4497" s="6" t="str">
        <f>_xll.QS.CONTEXT.ADD.CURVE(C4497,"SOFR",$K$2:$K$7,$L$2:$L$7,,,"Actual360","LogLinear",TRUE)</f>
        <v>QSObject:ContextInput:w1~input.qs_context_add_curve.2359132437744.4496.3.0:36145</v>
      </c>
      <c r="E4497" s="6" t="str">
        <f>_xll.QS.INSTRUMENT.SWAP("swap.4495",H4497,B4497,"USD","SOFR",I4497,J4497,0,"Actual360","Simple","Annual","Annual","Annual")</f>
        <v>QSObject:Swap:w1~swap.4495:12578</v>
      </c>
      <c r="F4497" s="6" t="str">
        <f>_xll.QS.TRADE.CREATE("trade.4495",E4497,A4497,"Receive")</f>
        <v>QSObject:SwapTrade:w1~trade.4495:27360</v>
      </c>
      <c r="G4497" s="3">
        <f>_xll.QS.EVALUATE(C4497,F4497)</f>
        <v>49952.586622178642</v>
      </c>
      <c r="H4497" s="5" t="s">
        <v>4538</v>
      </c>
      <c r="I4497" s="7">
        <v>1449500</v>
      </c>
      <c r="J4497" s="8">
        <v>3.9500000000000007E-2</v>
      </c>
    </row>
    <row r="4498" spans="1:10" x14ac:dyDescent="0.25">
      <c r="A4498" s="5" t="s">
        <v>4532</v>
      </c>
      <c r="B4498" s="5" t="s">
        <v>6365</v>
      </c>
      <c r="C4498" s="6" t="str">
        <f>_xll.QS.CONTEXT.CREATE("market.4496",A4498,"USD","SOFR")</f>
        <v>QSObject:PricingContext:w1~market.4496:12577</v>
      </c>
      <c r="D4498" s="6" t="str">
        <f>_xll.QS.CONTEXT.ADD.CURVE(C4498,"SOFR",$K$2:$K$7,$L$2:$L$7,,,"Actual360","LogLinear",TRUE)</f>
        <v>QSObject:ContextInput:w1~input.qs_context_add_curve.2359132437744.4497.3.0:36144</v>
      </c>
      <c r="E4498" s="6" t="str">
        <f>_xll.QS.INSTRUMENT.SWAP("swap.4496",H4498,B4498,"USD","SOFR",I4498,J4498,0,"Actual360","Simple","Annual","Annual","Annual")</f>
        <v>QSObject:Swap:w1~swap.4496:12576</v>
      </c>
      <c r="F4498" s="6" t="str">
        <f>_xll.QS.TRADE.CREATE("trade.4496",E4498,A4498,"Receive")</f>
        <v>QSObject:SwapTrade:w1~trade.4496:27359</v>
      </c>
      <c r="G4498" s="3">
        <f>_xll.QS.EVALUATE(C4498,F4498)</f>
        <v>50730.267509330697</v>
      </c>
      <c r="H4498" s="5" t="s">
        <v>4539</v>
      </c>
      <c r="I4498" s="7">
        <v>1449600</v>
      </c>
      <c r="J4498" s="8">
        <v>3.9600000000000003E-2</v>
      </c>
    </row>
    <row r="4499" spans="1:10" x14ac:dyDescent="0.25">
      <c r="A4499" s="5" t="s">
        <v>4533</v>
      </c>
      <c r="B4499" s="5" t="s">
        <v>6366</v>
      </c>
      <c r="C4499" s="6" t="str">
        <f>_xll.QS.CONTEXT.CREATE("market.4497",A4499,"USD","SOFR")</f>
        <v>QSObject:PricingContext:w1~market.4497:12575</v>
      </c>
      <c r="D4499" s="6" t="str">
        <f>_xll.QS.CONTEXT.ADD.CURVE(C4499,"SOFR",$K$2:$K$7,$L$2:$L$7,,,"Actual360","LogLinear",TRUE)</f>
        <v>QSObject:ContextInput:w1~input.qs_context_add_curve.2359132437744.4498.3.0:36143</v>
      </c>
      <c r="E4499" s="6" t="str">
        <f>_xll.QS.INSTRUMENT.SWAP("swap.4497",H4499,B4499,"USD","SOFR",I4499,J4499,0,"Actual360","Simple","Annual","Annual","Annual")</f>
        <v>QSObject:Swap:w1~swap.4497:12574</v>
      </c>
      <c r="F4499" s="6" t="str">
        <f>_xll.QS.TRADE.CREATE("trade.4497",E4499,A4499,"Receive")</f>
        <v>QSObject:SwapTrade:w1~trade.4497:27358</v>
      </c>
      <c r="G4499" s="3">
        <f>_xll.QS.EVALUATE(C4499,F4499)</f>
        <v>51465.330843535543</v>
      </c>
      <c r="H4499" s="5" t="s">
        <v>4540</v>
      </c>
      <c r="I4499" s="7">
        <v>1449700</v>
      </c>
      <c r="J4499" s="8">
        <v>3.9700000000000013E-2</v>
      </c>
    </row>
    <row r="4500" spans="1:10" x14ac:dyDescent="0.25">
      <c r="A4500" s="5" t="s">
        <v>4534</v>
      </c>
      <c r="B4500" s="5" t="s">
        <v>6367</v>
      </c>
      <c r="C4500" s="6" t="str">
        <f>_xll.QS.CONTEXT.CREATE("market.4498",A4500,"USD","SOFR")</f>
        <v>QSObject:PricingContext:w1~market.4498:12573</v>
      </c>
      <c r="D4500" s="6" t="str">
        <f>_xll.QS.CONTEXT.ADD.CURVE(C4500,"SOFR",$K$2:$K$7,$L$2:$L$7,,,"Actual360","LogLinear",TRUE)</f>
        <v>QSObject:ContextInput:w1~input.qs_context_add_curve.2359132437744.4499.3.0:36142</v>
      </c>
      <c r="E4500" s="6" t="str">
        <f>_xll.QS.INSTRUMENT.SWAP("swap.4498",H4500,B4500,"USD","SOFR",I4500,J4500,0,"Actual360","Simple","Annual","Annual","Annual")</f>
        <v>QSObject:Swap:w1~swap.4498:12572</v>
      </c>
      <c r="F4500" s="6" t="str">
        <f>_xll.QS.TRADE.CREATE("trade.4498",E4500,A4500,"Receive")</f>
        <v>QSObject:SwapTrade:w1~trade.4498:27357</v>
      </c>
      <c r="G4500" s="3">
        <f>_xll.QS.EVALUATE(C4500,F4500)</f>
        <v>52082.082660614426</v>
      </c>
      <c r="H4500" s="5" t="s">
        <v>4541</v>
      </c>
      <c r="I4500" s="7">
        <v>1449800</v>
      </c>
      <c r="J4500" s="8">
        <v>3.9800000000000002E-2</v>
      </c>
    </row>
    <row r="4501" spans="1:10" x14ac:dyDescent="0.25">
      <c r="A4501" s="5" t="s">
        <v>4535</v>
      </c>
      <c r="B4501" s="5" t="s">
        <v>6368</v>
      </c>
      <c r="C4501" s="6" t="str">
        <f>_xll.QS.CONTEXT.CREATE("market.4499",A4501,"USD","SOFR")</f>
        <v>QSObject:PricingContext:w1~market.4499:12571</v>
      </c>
      <c r="D4501" s="6" t="str">
        <f>_xll.QS.CONTEXT.ADD.CURVE(C4501,"SOFR",$K$2:$K$7,$L$2:$L$7,,,"Actual360","LogLinear",TRUE)</f>
        <v>QSObject:ContextInput:w1~input.qs_context_add_curve.2359132437744.4500.3.0:36141</v>
      </c>
      <c r="E4501" s="6" t="str">
        <f>_xll.QS.INSTRUMENT.SWAP("swap.4499",H4501,B4501,"USD","SOFR",I4501,J4501,0,"Actual360","Simple","Annual","Annual","Annual")</f>
        <v>QSObject:Swap:w1~swap.4499:12570</v>
      </c>
      <c r="F4501" s="6" t="str">
        <f>_xll.QS.TRADE.CREATE("trade.4499",E4501,A4501,"Receive")</f>
        <v>QSObject:SwapTrade:w1~trade.4499:27356</v>
      </c>
      <c r="G4501" s="3">
        <f>_xll.QS.EVALUATE(C4501,F4501)</f>
        <v>52630.820887932554</v>
      </c>
      <c r="H4501" s="5" t="s">
        <v>4542</v>
      </c>
      <c r="I4501" s="7">
        <v>1449900</v>
      </c>
      <c r="J4501" s="8">
        <v>3.9899999999999998E-2</v>
      </c>
    </row>
    <row r="4502" spans="1:10" x14ac:dyDescent="0.25">
      <c r="A4502" s="5" t="s">
        <v>4536</v>
      </c>
      <c r="B4502" s="5" t="s">
        <v>6369</v>
      </c>
      <c r="C4502" s="6" t="str">
        <f>_xll.QS.CONTEXT.CREATE("market.4500",A4502,"USD","SOFR")</f>
        <v>QSObject:PricingContext:w1~market.4500:12569</v>
      </c>
      <c r="D4502" s="6" t="str">
        <f>_xll.QS.CONTEXT.ADD.CURVE(C4502,"SOFR",$K$2:$K$7,$L$2:$L$7,,,"Actual360","LogLinear",TRUE)</f>
        <v>QSObject:ContextInput:w1~input.qs_context_add_curve.2359132437744.4501.3.0:36140</v>
      </c>
      <c r="E4502" s="6" t="str">
        <f>_xll.QS.INSTRUMENT.SWAP("swap.4500",H4502,B4502,"USD","SOFR",I4502,J4502,0,"Actual360","Simple","Annual","Annual","Annual")</f>
        <v>QSObject:Swap:w1~swap.4500:12568</v>
      </c>
      <c r="F4502" s="6" t="str">
        <f>_xll.QS.TRADE.CREATE("trade.4500",E4502,A4502,"Receive")</f>
        <v>QSObject:SwapTrade:w1~trade.4500:27355</v>
      </c>
      <c r="G4502" s="3">
        <f>_xll.QS.EVALUATE(C4502,F4502)</f>
        <v>19775.360058038743</v>
      </c>
      <c r="H4502" s="5" t="s">
        <v>4543</v>
      </c>
      <c r="I4502" s="7">
        <v>1450000</v>
      </c>
      <c r="J4502" s="8">
        <v>3.5000000000000003E-2</v>
      </c>
    </row>
    <row r="4503" spans="1:10" x14ac:dyDescent="0.25">
      <c r="A4503" s="5" t="s">
        <v>4537</v>
      </c>
      <c r="B4503" s="5" t="s">
        <v>6370</v>
      </c>
      <c r="C4503" s="6" t="str">
        <f>_xll.QS.CONTEXT.CREATE("market.4501",A4503,"USD","SOFR")</f>
        <v>QSObject:PricingContext:w1~market.4501:12567</v>
      </c>
      <c r="D4503" s="6" t="str">
        <f>_xll.QS.CONTEXT.ADD.CURVE(C4503,"SOFR",$K$2:$K$7,$L$2:$L$7,,,"Actual360","LogLinear",TRUE)</f>
        <v>QSObject:ContextInput:w1~input.qs_context_add_curve.2359132437744.4502.3.0:36139</v>
      </c>
      <c r="E4503" s="6" t="str">
        <f>_xll.QS.INSTRUMENT.SWAP("swap.4501",H4503,B4503,"USD","SOFR",I4503,J4503,0,"Actual360","Simple","Annual","Annual","Annual")</f>
        <v>QSObject:Swap:w1~swap.4501:12566</v>
      </c>
      <c r="F4503" s="6" t="str">
        <f>_xll.QS.TRADE.CREATE("trade.4501",E4503,A4503,"Receive")</f>
        <v>QSObject:SwapTrade:w1~trade.4501:27354</v>
      </c>
      <c r="G4503" s="3">
        <f>_xll.QS.EVALUATE(C4503,F4503)</f>
        <v>20506.169889756282</v>
      </c>
      <c r="H4503" s="5" t="s">
        <v>4544</v>
      </c>
      <c r="I4503" s="7">
        <v>1450100</v>
      </c>
      <c r="J4503" s="8">
        <v>3.5100000000000013E-2</v>
      </c>
    </row>
    <row r="4504" spans="1:10" x14ac:dyDescent="0.25">
      <c r="A4504" s="5" t="s">
        <v>4538</v>
      </c>
      <c r="B4504" s="5" t="s">
        <v>6371</v>
      </c>
      <c r="C4504" s="6" t="str">
        <f>_xll.QS.CONTEXT.CREATE("market.4502",A4504,"USD","SOFR")</f>
        <v>QSObject:PricingContext:w1~market.4502:12565</v>
      </c>
      <c r="D4504" s="6" t="str">
        <f>_xll.QS.CONTEXT.ADD.CURVE(C4504,"SOFR",$K$2:$K$7,$L$2:$L$7,,,"Actual360","LogLinear",TRUE)</f>
        <v>QSObject:ContextInput:w1~input.qs_context_add_curve.2359132437744.4503.3.0:36138</v>
      </c>
      <c r="E4504" s="6" t="str">
        <f>_xll.QS.INSTRUMENT.SWAP("swap.4502",H4504,B4504,"USD","SOFR",I4504,J4504,0,"Actual360","Simple","Annual","Annual","Annual")</f>
        <v>QSObject:Swap:w1~swap.4502:12564</v>
      </c>
      <c r="F4504" s="6" t="str">
        <f>_xll.QS.TRADE.CREATE("trade.4502",E4504,A4504,"Receive")</f>
        <v>QSObject:SwapTrade:w1~trade.4502:27353</v>
      </c>
      <c r="G4504" s="3">
        <f>_xll.QS.EVALUATE(C4504,F4504)</f>
        <v>21220.813568882753</v>
      </c>
      <c r="H4504" s="5" t="s">
        <v>4545</v>
      </c>
      <c r="I4504" s="7">
        <v>1450200</v>
      </c>
      <c r="J4504" s="8">
        <v>3.5200000000000002E-2</v>
      </c>
    </row>
    <row r="4505" spans="1:10" x14ac:dyDescent="0.25">
      <c r="A4505" s="5" t="s">
        <v>4539</v>
      </c>
      <c r="B4505" s="5" t="s">
        <v>6372</v>
      </c>
      <c r="C4505" s="6" t="str">
        <f>_xll.QS.CONTEXT.CREATE("market.4503",A4505,"USD","SOFR")</f>
        <v>QSObject:PricingContext:w1~market.4503:12563</v>
      </c>
      <c r="D4505" s="6" t="str">
        <f>_xll.QS.CONTEXT.ADD.CURVE(C4505,"SOFR",$K$2:$K$7,$L$2:$L$7,,,"Actual360","LogLinear",TRUE)</f>
        <v>QSObject:ContextInput:w1~input.qs_context_add_curve.2359132437744.4504.3.0:36137</v>
      </c>
      <c r="E4505" s="6" t="str">
        <f>_xll.QS.INSTRUMENT.SWAP("swap.4503",H4505,B4505,"USD","SOFR",I4505,J4505,0,"Actual360","Simple","Annual","Annual","Annual")</f>
        <v>QSObject:Swap:w1~swap.4503:12562</v>
      </c>
      <c r="F4505" s="6" t="str">
        <f>_xll.QS.TRADE.CREATE("trade.4503",E4505,A4505,"Receive")</f>
        <v>QSObject:SwapTrade:w1~trade.4503:27352</v>
      </c>
      <c r="G4505" s="3">
        <f>_xll.QS.EVALUATE(C4505,F4505)</f>
        <v>21996.83460243194</v>
      </c>
      <c r="H4505" s="5" t="s">
        <v>4546</v>
      </c>
      <c r="I4505" s="7">
        <v>1450300</v>
      </c>
      <c r="J4505" s="8">
        <v>3.5299999999999998E-2</v>
      </c>
    </row>
    <row r="4506" spans="1:10" x14ac:dyDescent="0.25">
      <c r="A4506" s="5" t="s">
        <v>4540</v>
      </c>
      <c r="B4506" s="5" t="s">
        <v>6373</v>
      </c>
      <c r="C4506" s="6" t="str">
        <f>_xll.QS.CONTEXT.CREATE("market.4504",A4506,"USD","SOFR")</f>
        <v>QSObject:PricingContext:w1~market.4504:12561</v>
      </c>
      <c r="D4506" s="6" t="str">
        <f>_xll.QS.CONTEXT.ADD.CURVE(C4506,"SOFR",$K$2:$K$7,$L$2:$L$7,,,"Actual360","LogLinear",TRUE)</f>
        <v>QSObject:ContextInput:w1~input.qs_context_add_curve.2359132437744.4505.3.0:36136</v>
      </c>
      <c r="E4506" s="6" t="str">
        <f>_xll.QS.INSTRUMENT.SWAP("swap.4504",H4506,B4506,"USD","SOFR",I4506,J4506,0,"Actual360","Simple","Annual","Annual","Annual")</f>
        <v>QSObject:Swap:w1~swap.4504:12560</v>
      </c>
      <c r="F4506" s="6" t="str">
        <f>_xll.QS.TRADE.CREATE("trade.4504",E4506,A4506,"Receive")</f>
        <v>QSObject:SwapTrade:w1~trade.4504:27351</v>
      </c>
      <c r="G4506" s="3">
        <f>_xll.QS.EVALUATE(C4506,F4506)</f>
        <v>22730.134413336222</v>
      </c>
      <c r="H4506" s="5" t="s">
        <v>4547</v>
      </c>
      <c r="I4506" s="7">
        <v>1450400</v>
      </c>
      <c r="J4506" s="8">
        <v>3.5400000000000001E-2</v>
      </c>
    </row>
    <row r="4507" spans="1:10" x14ac:dyDescent="0.25">
      <c r="A4507" s="5" t="s">
        <v>4541</v>
      </c>
      <c r="B4507" s="5" t="s">
        <v>6374</v>
      </c>
      <c r="C4507" s="6" t="str">
        <f>_xll.QS.CONTEXT.CREATE("market.4505",A4507,"USD","SOFR")</f>
        <v>QSObject:PricingContext:w1~market.4505:12559</v>
      </c>
      <c r="D4507" s="6" t="str">
        <f>_xll.QS.CONTEXT.ADD.CURVE(C4507,"SOFR",$K$2:$K$7,$L$2:$L$7,,,"Actual360","LogLinear",TRUE)</f>
        <v>QSObject:ContextInput:w1~input.qs_context_add_curve.2359132437744.4506.3.0:36135</v>
      </c>
      <c r="E4507" s="6" t="str">
        <f>_xll.QS.INSTRUMENT.SWAP("swap.4505",H4507,B4507,"USD","SOFR",I4507,J4507,0,"Actual360","Simple","Annual","Annual","Annual")</f>
        <v>QSObject:Swap:w1~swap.4505:12558</v>
      </c>
      <c r="F4507" s="6" t="str">
        <f>_xll.QS.TRADE.CREATE("trade.4505",E4507,A4507,"Receive")</f>
        <v>QSObject:SwapTrade:w1~trade.4505:27350</v>
      </c>
      <c r="G4507" s="3">
        <f>_xll.QS.EVALUATE(C4507,F4507)</f>
        <v>23345.613175249171</v>
      </c>
      <c r="H4507" s="5" t="s">
        <v>4548</v>
      </c>
      <c r="I4507" s="7">
        <v>1450500</v>
      </c>
      <c r="J4507" s="8">
        <v>3.5499999999999997E-2</v>
      </c>
    </row>
    <row r="4508" spans="1:10" x14ac:dyDescent="0.25">
      <c r="A4508" s="5" t="s">
        <v>4542</v>
      </c>
      <c r="B4508" s="5" t="s">
        <v>6375</v>
      </c>
      <c r="C4508" s="6" t="str">
        <f>_xll.QS.CONTEXT.CREATE("market.4506",A4508,"USD","SOFR")</f>
        <v>QSObject:PricingContext:w1~market.4506:12557</v>
      </c>
      <c r="D4508" s="6" t="str">
        <f>_xll.QS.CONTEXT.ADD.CURVE(C4508,"SOFR",$K$2:$K$7,$L$2:$L$7,,,"Actual360","LogLinear",TRUE)</f>
        <v>QSObject:ContextInput:w1~input.qs_context_add_curve.2359132437744.4507.3.0:36134</v>
      </c>
      <c r="E4508" s="6" t="str">
        <f>_xll.QS.INSTRUMENT.SWAP("swap.4506",H4508,B4508,"USD","SOFR",I4508,J4508,0,"Actual360","Simple","Annual","Annual","Annual")</f>
        <v>QSObject:Swap:w1~swap.4506:12556</v>
      </c>
      <c r="F4508" s="6" t="str">
        <f>_xll.QS.TRADE.CREATE("trade.4506",E4508,A4508,"Receive")</f>
        <v>QSObject:SwapTrade:w1~trade.4506:27349</v>
      </c>
      <c r="G4508" s="3">
        <f>_xll.QS.EVALUATE(C4508,F4508)</f>
        <v>23926.528879460311</v>
      </c>
      <c r="H4508" s="5" t="s">
        <v>4549</v>
      </c>
      <c r="I4508" s="7">
        <v>1450600</v>
      </c>
      <c r="J4508" s="8">
        <v>3.5600000000000007E-2</v>
      </c>
    </row>
    <row r="4509" spans="1:10" x14ac:dyDescent="0.25">
      <c r="A4509" s="5" t="s">
        <v>4543</v>
      </c>
      <c r="B4509" s="5" t="s">
        <v>6376</v>
      </c>
      <c r="C4509" s="6" t="str">
        <f>_xll.QS.CONTEXT.CREATE("market.4507",A4509,"USD","SOFR")</f>
        <v>QSObject:PricingContext:w1~market.4507:12555</v>
      </c>
      <c r="D4509" s="6" t="str">
        <f>_xll.QS.CONTEXT.ADD.CURVE(C4509,"SOFR",$K$2:$K$7,$L$2:$L$7,,,"Actual360","LogLinear",TRUE)</f>
        <v>QSObject:ContextInput:w1~input.qs_context_add_curve.2359132437744.4508.3.0:36133</v>
      </c>
      <c r="E4509" s="6" t="str">
        <f>_xll.QS.INSTRUMENT.SWAP("swap.4507",H4509,B4509,"USD","SOFR",I4509,J4509,0,"Actual360","Simple","Annual","Annual","Annual")</f>
        <v>QSObject:Swap:w1~swap.4507:12554</v>
      </c>
      <c r="F4509" s="6" t="str">
        <f>_xll.QS.TRADE.CREATE("trade.4507",E4509,A4509,"Receive")</f>
        <v>QSObject:SwapTrade:w1~trade.4507:27348</v>
      </c>
      <c r="G4509" s="3">
        <f>_xll.QS.EVALUATE(C4509,F4509)</f>
        <v>24469.825993887767</v>
      </c>
      <c r="H4509" s="5" t="s">
        <v>4550</v>
      </c>
      <c r="I4509" s="7">
        <v>1450700</v>
      </c>
      <c r="J4509" s="8">
        <v>3.5700000000000003E-2</v>
      </c>
    </row>
    <row r="4510" spans="1:10" x14ac:dyDescent="0.25">
      <c r="A4510" s="5" t="s">
        <v>4544</v>
      </c>
      <c r="B4510" s="5" t="s">
        <v>6377</v>
      </c>
      <c r="C4510" s="6" t="str">
        <f>_xll.QS.CONTEXT.CREATE("market.4508",A4510,"USD","SOFR")</f>
        <v>QSObject:PricingContext:w1~market.4508:12553</v>
      </c>
      <c r="D4510" s="6" t="str">
        <f>_xll.QS.CONTEXT.ADD.CURVE(C4510,"SOFR",$K$2:$K$7,$L$2:$L$7,,,"Actual360","LogLinear",TRUE)</f>
        <v>QSObject:ContextInput:w1~input.qs_context_add_curve.2359132437744.4509.3.0:36132</v>
      </c>
      <c r="E4510" s="6" t="str">
        <f>_xll.QS.INSTRUMENT.SWAP("swap.4508",H4510,B4510,"USD","SOFR",I4510,J4510,0,"Actual360","Simple","Annual","Annual","Annual")</f>
        <v>QSObject:Swap:w1~swap.4508:12552</v>
      </c>
      <c r="F4510" s="6" t="str">
        <f>_xll.QS.TRADE.CREATE("trade.4508",E4510,A4510,"Receive")</f>
        <v>QSObject:SwapTrade:w1~trade.4508:27347</v>
      </c>
      <c r="G4510" s="3">
        <f>_xll.QS.EVALUATE(C4510,F4510)</f>
        <v>25201.429899979412</v>
      </c>
      <c r="H4510" s="5" t="s">
        <v>4551</v>
      </c>
      <c r="I4510" s="7">
        <v>1450800</v>
      </c>
      <c r="J4510" s="8">
        <v>3.5800000000000012E-2</v>
      </c>
    </row>
    <row r="4511" spans="1:10" x14ac:dyDescent="0.25">
      <c r="A4511" s="5" t="s">
        <v>4545</v>
      </c>
      <c r="B4511" s="5" t="s">
        <v>6378</v>
      </c>
      <c r="C4511" s="6" t="str">
        <f>_xll.QS.CONTEXT.CREATE("market.4509",A4511,"USD","SOFR")</f>
        <v>QSObject:PricingContext:w1~market.4509:12551</v>
      </c>
      <c r="D4511" s="6" t="str">
        <f>_xll.QS.CONTEXT.ADD.CURVE(C4511,"SOFR",$K$2:$K$7,$L$2:$L$7,,,"Actual360","LogLinear",TRUE)</f>
        <v>QSObject:ContextInput:w1~input.qs_context_add_curve.2359132437744.4510.3.0:36131</v>
      </c>
      <c r="E4511" s="6" t="str">
        <f>_xll.QS.INSTRUMENT.SWAP("swap.4509",H4511,B4511,"USD","SOFR",I4511,J4511,0,"Actual360","Simple","Annual","Annual","Annual")</f>
        <v>QSObject:Swap:w1~swap.4509:12550</v>
      </c>
      <c r="F4511" s="6" t="str">
        <f>_xll.QS.TRADE.CREATE("trade.4509",E4511,A4511,"Receive")</f>
        <v>QSObject:SwapTrade:w1~trade.4509:27346</v>
      </c>
      <c r="G4511" s="3">
        <f>_xll.QS.EVALUATE(C4511,F4511)</f>
        <v>25914.446703502625</v>
      </c>
      <c r="H4511" s="5" t="s">
        <v>4552</v>
      </c>
      <c r="I4511" s="7">
        <v>1450900</v>
      </c>
      <c r="J4511" s="8">
        <v>3.5900000000000001E-2</v>
      </c>
    </row>
    <row r="4512" spans="1:10" x14ac:dyDescent="0.25">
      <c r="A4512" s="5" t="s">
        <v>4546</v>
      </c>
      <c r="B4512" s="5" t="s">
        <v>6379</v>
      </c>
      <c r="C4512" s="6" t="str">
        <f>_xll.QS.CONTEXT.CREATE("market.4510",A4512,"USD","SOFR")</f>
        <v>QSObject:PricingContext:w1~market.4510:12549</v>
      </c>
      <c r="D4512" s="6" t="str">
        <f>_xll.QS.CONTEXT.ADD.CURVE(C4512,"SOFR",$K$2:$K$7,$L$2:$L$7,,,"Actual360","LogLinear",TRUE)</f>
        <v>QSObject:ContextInput:w1~input.qs_context_add_curve.2359132437744.4511.3.0:36130</v>
      </c>
      <c r="E4512" s="6" t="str">
        <f>_xll.QS.INSTRUMENT.SWAP("swap.4510",H4512,B4512,"USD","SOFR",I4512,J4512,0,"Actual360","Simple","Annual","Annual","Annual")</f>
        <v>QSObject:Swap:w1~swap.4510:12548</v>
      </c>
      <c r="F4512" s="6" t="str">
        <f>_xll.QS.TRADE.CREATE("trade.4510",E4512,A4512,"Receive")</f>
        <v>QSObject:SwapTrade:w1~trade.4510:27345</v>
      </c>
      <c r="G4512" s="3">
        <f>_xll.QS.EVALUATE(C4512,F4512)</f>
        <v>26691.234656639921</v>
      </c>
      <c r="H4512" s="5" t="s">
        <v>4553</v>
      </c>
      <c r="I4512" s="7">
        <v>1451000</v>
      </c>
      <c r="J4512" s="8">
        <v>3.5999999999999997E-2</v>
      </c>
    </row>
    <row r="4513" spans="1:10" x14ac:dyDescent="0.25">
      <c r="A4513" s="5" t="s">
        <v>4547</v>
      </c>
      <c r="B4513" s="5" t="s">
        <v>6380</v>
      </c>
      <c r="C4513" s="6" t="str">
        <f>_xll.QS.CONTEXT.CREATE("market.4511",A4513,"USD","SOFR")</f>
        <v>QSObject:PricingContext:w1~market.4511:12547</v>
      </c>
      <c r="D4513" s="6" t="str">
        <f>_xll.QS.CONTEXT.ADD.CURVE(C4513,"SOFR",$K$2:$K$7,$L$2:$L$7,,,"Actual360","LogLinear",TRUE)</f>
        <v>QSObject:ContextInput:w1~input.qs_context_add_curve.2359132437744.4512.3.0:36129</v>
      </c>
      <c r="E4513" s="6" t="str">
        <f>_xll.QS.INSTRUMENT.SWAP("swap.4511",H4513,B4513,"USD","SOFR",I4513,J4513,0,"Actual360","Simple","Annual","Annual","Annual")</f>
        <v>QSObject:Swap:w1~swap.4511:12546</v>
      </c>
      <c r="F4513" s="6" t="str">
        <f>_xll.QS.TRADE.CREATE("trade.4511",E4513,A4513,"Receive")</f>
        <v>QSObject:SwapTrade:w1~trade.4511:27344</v>
      </c>
      <c r="G4513" s="3">
        <f>_xll.QS.EVALUATE(C4513,F4513)</f>
        <v>27425.260512287598</v>
      </c>
      <c r="H4513" s="5" t="s">
        <v>4554</v>
      </c>
      <c r="I4513" s="7">
        <v>1451100</v>
      </c>
      <c r="J4513" s="8">
        <v>3.61E-2</v>
      </c>
    </row>
    <row r="4514" spans="1:10" x14ac:dyDescent="0.25">
      <c r="A4514" s="5" t="s">
        <v>4548</v>
      </c>
      <c r="B4514" s="5" t="s">
        <v>6381</v>
      </c>
      <c r="C4514" s="6" t="str">
        <f>_xll.QS.CONTEXT.CREATE("market.4512",A4514,"USD","SOFR")</f>
        <v>QSObject:PricingContext:w1~market.4512:12545</v>
      </c>
      <c r="D4514" s="6" t="str">
        <f>_xll.QS.CONTEXT.ADD.CURVE(C4514,"SOFR",$K$2:$K$7,$L$2:$L$7,,,"Actual360","LogLinear",TRUE)</f>
        <v>QSObject:ContextInput:w1~input.qs_context_add_curve.2359132437744.4513.3.0:36128</v>
      </c>
      <c r="E4514" s="6" t="str">
        <f>_xll.QS.INSTRUMENT.SWAP("swap.4512",H4514,B4514,"USD","SOFR",I4514,J4514,0,"Actual360","Simple","Annual","Annual","Annual")</f>
        <v>QSObject:Swap:w1~swap.4512:12544</v>
      </c>
      <c r="F4514" s="6" t="str">
        <f>_xll.QS.TRADE.CREATE("trade.4512",E4514,A4514,"Receive")</f>
        <v>QSObject:SwapTrade:w1~trade.4512:27343</v>
      </c>
      <c r="G4514" s="3">
        <f>_xll.QS.EVALUATE(C4514,F4514)</f>
        <v>28041.320580344247</v>
      </c>
      <c r="H4514" s="5" t="s">
        <v>4555</v>
      </c>
      <c r="I4514" s="7">
        <v>1451200</v>
      </c>
      <c r="J4514" s="8">
        <v>3.6200000000000003E-2</v>
      </c>
    </row>
    <row r="4515" spans="1:10" x14ac:dyDescent="0.25">
      <c r="A4515" s="5" t="s">
        <v>4549</v>
      </c>
      <c r="B4515" s="5" t="s">
        <v>6382</v>
      </c>
      <c r="C4515" s="6" t="str">
        <f>_xll.QS.CONTEXT.CREATE("market.4513",A4515,"USD","SOFR")</f>
        <v>QSObject:PricingContext:w1~market.4513:12543</v>
      </c>
      <c r="D4515" s="6" t="str">
        <f>_xll.QS.CONTEXT.ADD.CURVE(C4515,"SOFR",$K$2:$K$7,$L$2:$L$7,,,"Actual360","LogLinear",TRUE)</f>
        <v>QSObject:ContextInput:w1~input.qs_context_add_curve.2359132437744.4514.3.0:36127</v>
      </c>
      <c r="E4515" s="6" t="str">
        <f>_xll.QS.INSTRUMENT.SWAP("swap.4513",H4515,B4515,"USD","SOFR",I4515,J4515,0,"Actual360","Simple","Annual","Annual","Annual")</f>
        <v>QSObject:Swap:w1~swap.4513:12542</v>
      </c>
      <c r="F4515" s="6" t="str">
        <f>_xll.QS.TRADE.CREATE("trade.4513",E4515,A4515,"Receive")</f>
        <v>QSObject:SwapTrade:w1~trade.4513:27342</v>
      </c>
      <c r="G4515" s="3">
        <f>_xll.QS.EVALUATE(C4515,F4515)</f>
        <v>28617.317790668778</v>
      </c>
      <c r="H4515" s="5" t="s">
        <v>4556</v>
      </c>
      <c r="I4515" s="7">
        <v>1451300</v>
      </c>
      <c r="J4515" s="8">
        <v>3.6300000000000013E-2</v>
      </c>
    </row>
    <row r="4516" spans="1:10" x14ac:dyDescent="0.25">
      <c r="A4516" s="5" t="s">
        <v>4550</v>
      </c>
      <c r="B4516" s="5" t="s">
        <v>6383</v>
      </c>
      <c r="C4516" s="6" t="str">
        <f>_xll.QS.CONTEXT.CREATE("market.4514",A4516,"USD","SOFR")</f>
        <v>QSObject:PricingContext:w1~market.4514:12541</v>
      </c>
      <c r="D4516" s="6" t="str">
        <f>_xll.QS.CONTEXT.ADD.CURVE(C4516,"SOFR",$K$2:$K$7,$L$2:$L$7,,,"Actual360","LogLinear",TRUE)</f>
        <v>QSObject:ContextInput:w1~input.qs_context_add_curve.2359132437744.4515.3.0:36126</v>
      </c>
      <c r="E4516" s="6" t="str">
        <f>_xll.QS.INSTRUMENT.SWAP("swap.4514",H4516,B4516,"USD","SOFR",I4516,J4516,0,"Actual360","Simple","Annual","Annual","Annual")</f>
        <v>QSObject:Swap:w1~swap.4514:12540</v>
      </c>
      <c r="F4516" s="6" t="str">
        <f>_xll.QS.TRADE.CREATE("trade.4514",E4516,A4516,"Receive")</f>
        <v>QSObject:SwapTrade:w1~trade.4514:27341</v>
      </c>
      <c r="G4516" s="3">
        <f>_xll.QS.EVALUATE(C4516,F4516)</f>
        <v>29168.46186136084</v>
      </c>
      <c r="H4516" s="5" t="s">
        <v>4557</v>
      </c>
      <c r="I4516" s="7">
        <v>1451400</v>
      </c>
      <c r="J4516" s="8">
        <v>3.6400000000000002E-2</v>
      </c>
    </row>
    <row r="4517" spans="1:10" x14ac:dyDescent="0.25">
      <c r="A4517" s="5" t="s">
        <v>4551</v>
      </c>
      <c r="B4517" s="5" t="s">
        <v>6384</v>
      </c>
      <c r="C4517" s="6" t="str">
        <f>_xll.QS.CONTEXT.CREATE("market.4515",A4517,"USD","SOFR")</f>
        <v>QSObject:PricingContext:w1~market.4515:12539</v>
      </c>
      <c r="D4517" s="6" t="str">
        <f>_xll.QS.CONTEXT.ADD.CURVE(C4517,"SOFR",$K$2:$K$7,$L$2:$L$7,,,"Actual360","LogLinear",TRUE)</f>
        <v>QSObject:ContextInput:w1~input.qs_context_add_curve.2359132437744.4516.3.0:36125</v>
      </c>
      <c r="E4517" s="6" t="str">
        <f>_xll.QS.INSTRUMENT.SWAP("swap.4515",H4517,B4517,"USD","SOFR",I4517,J4517,0,"Actual360","Simple","Annual","Annual","Annual")</f>
        <v>QSObject:Swap:w1~swap.4515:12538</v>
      </c>
      <c r="F4517" s="6" t="str">
        <f>_xll.QS.TRADE.CREATE("trade.4515",E4517,A4517,"Receive")</f>
        <v>QSObject:SwapTrade:w1~trade.4515:27340</v>
      </c>
      <c r="G4517" s="3">
        <f>_xll.QS.EVALUATE(C4517,F4517)</f>
        <v>29901.211212675371</v>
      </c>
      <c r="H4517" s="5" t="s">
        <v>4558</v>
      </c>
      <c r="I4517" s="7">
        <v>1451500</v>
      </c>
      <c r="J4517" s="8">
        <v>3.6499999999999998E-2</v>
      </c>
    </row>
    <row r="4518" spans="1:10" x14ac:dyDescent="0.25">
      <c r="A4518" s="5" t="s">
        <v>4552</v>
      </c>
      <c r="B4518" s="5" t="s">
        <v>6385</v>
      </c>
      <c r="C4518" s="6" t="str">
        <f>_xll.QS.CONTEXT.CREATE("market.4516",A4518,"USD","SOFR")</f>
        <v>QSObject:PricingContext:w1~market.4516:12537</v>
      </c>
      <c r="D4518" s="6" t="str">
        <f>_xll.QS.CONTEXT.ADD.CURVE(C4518,"SOFR",$K$2:$K$7,$L$2:$L$7,,,"Actual360","LogLinear",TRUE)</f>
        <v>QSObject:ContextInput:w1~input.qs_context_add_curve.2359132437744.4517.3.0:36124</v>
      </c>
      <c r="E4518" s="6" t="str">
        <f>_xll.QS.INSTRUMENT.SWAP("swap.4516",H4518,B4518,"USD","SOFR",I4518,J4518,0,"Actual360","Simple","Annual","Annual","Annual")</f>
        <v>QSObject:Swap:w1~swap.4516:12536</v>
      </c>
      <c r="F4518" s="6" t="str">
        <f>_xll.QS.TRADE.CREATE("trade.4516",E4518,A4518,"Receive")</f>
        <v>QSObject:SwapTrade:w1~trade.4516:27339</v>
      </c>
      <c r="G4518" s="3">
        <f>_xll.QS.EVALUATE(C4518,F4518)</f>
        <v>30612.59892697983</v>
      </c>
      <c r="H4518" s="5" t="s">
        <v>4559</v>
      </c>
      <c r="I4518" s="7">
        <v>1451600</v>
      </c>
      <c r="J4518" s="8">
        <v>3.6600000000000001E-2</v>
      </c>
    </row>
    <row r="4519" spans="1:10" x14ac:dyDescent="0.25">
      <c r="A4519" s="5" t="s">
        <v>4553</v>
      </c>
      <c r="B4519" s="5" t="s">
        <v>6386</v>
      </c>
      <c r="C4519" s="6" t="str">
        <f>_xll.QS.CONTEXT.CREATE("market.4517",A4519,"USD","SOFR")</f>
        <v>QSObject:PricingContext:w1~market.4517:12535</v>
      </c>
      <c r="D4519" s="6" t="str">
        <f>_xll.QS.CONTEXT.ADD.CURVE(C4519,"SOFR",$K$2:$K$7,$L$2:$L$7,,,"Actual360","LogLinear",TRUE)</f>
        <v>QSObject:ContextInput:w1~input.qs_context_add_curve.2359132437744.4518.3.0:36123</v>
      </c>
      <c r="E4519" s="6" t="str">
        <f>_xll.QS.INSTRUMENT.SWAP("swap.4517",H4519,B4519,"USD","SOFR",I4519,J4519,0,"Actual360","Simple","Annual","Annual","Annual")</f>
        <v>QSObject:Swap:w1~swap.4517:12534</v>
      </c>
      <c r="F4519" s="6" t="str">
        <f>_xll.QS.TRADE.CREATE("trade.4517",E4519,A4519,"Receive")</f>
        <v>QSObject:SwapTrade:w1~trade.4517:27338</v>
      </c>
      <c r="G4519" s="3">
        <f>_xll.QS.EVALUATE(C4519,F4519)</f>
        <v>31390.153867515961</v>
      </c>
      <c r="H4519" s="5" t="s">
        <v>4560</v>
      </c>
      <c r="I4519" s="7">
        <v>1451700</v>
      </c>
      <c r="J4519" s="8">
        <v>3.6700000000000003E-2</v>
      </c>
    </row>
    <row r="4520" spans="1:10" x14ac:dyDescent="0.25">
      <c r="A4520" s="5" t="s">
        <v>4554</v>
      </c>
      <c r="B4520" s="5" t="s">
        <v>6387</v>
      </c>
      <c r="C4520" s="6" t="str">
        <f>_xll.QS.CONTEXT.CREATE("market.4518",A4520,"USD","SOFR")</f>
        <v>QSObject:PricingContext:w1~market.4518:12533</v>
      </c>
      <c r="D4520" s="6" t="str">
        <f>_xll.QS.CONTEXT.ADD.CURVE(C4520,"SOFR",$K$2:$K$7,$L$2:$L$7,,,"Actual360","LogLinear",TRUE)</f>
        <v>QSObject:ContextInput:w1~input.qs_context_add_curve.2359132437744.4519.3.0:36122</v>
      </c>
      <c r="E4520" s="6" t="str">
        <f>_xll.QS.INSTRUMENT.SWAP("swap.4518",H4520,B4520,"USD","SOFR",I4520,J4520,0,"Actual360","Simple","Annual","Annual","Annual")</f>
        <v>QSObject:Swap:w1~swap.4518:12532</v>
      </c>
      <c r="F4520" s="6" t="str">
        <f>_xll.QS.TRADE.CREATE("trade.4518",E4520,A4520,"Receive")</f>
        <v>QSObject:SwapTrade:w1~trade.4518:27337</v>
      </c>
      <c r="G4520" s="3">
        <f>_xll.QS.EVALUATE(C4520,F4520)</f>
        <v>32124.905816214065</v>
      </c>
      <c r="H4520" s="5" t="s">
        <v>4561</v>
      </c>
      <c r="I4520" s="7">
        <v>1451800</v>
      </c>
      <c r="J4520" s="8">
        <v>3.6800000000000013E-2</v>
      </c>
    </row>
    <row r="4521" spans="1:10" x14ac:dyDescent="0.25">
      <c r="A4521" s="5" t="s">
        <v>4555</v>
      </c>
      <c r="B4521" s="5" t="s">
        <v>6388</v>
      </c>
      <c r="C4521" s="6" t="str">
        <f>_xll.QS.CONTEXT.CREATE("market.4519",A4521,"USD","SOFR")</f>
        <v>QSObject:PricingContext:w1~market.4519:12531</v>
      </c>
      <c r="D4521" s="6" t="str">
        <f>_xll.QS.CONTEXT.ADD.CURVE(C4521,"SOFR",$K$2:$K$7,$L$2:$L$7,,,"Actual360","LogLinear",TRUE)</f>
        <v>QSObject:ContextInput:w1~input.qs_context_add_curve.2359132437744.4520.3.0:36121</v>
      </c>
      <c r="E4521" s="6" t="str">
        <f>_xll.QS.INSTRUMENT.SWAP("swap.4519",H4521,B4521,"USD","SOFR",I4521,J4521,0,"Actual360","Simple","Annual","Annual","Annual")</f>
        <v>QSObject:Swap:w1~swap.4519:12530</v>
      </c>
      <c r="F4521" s="6" t="str">
        <f>_xll.QS.TRADE.CREATE("trade.4519",E4521,A4521,"Receive")</f>
        <v>QSObject:SwapTrade:w1~trade.4519:27336</v>
      </c>
      <c r="G4521" s="3">
        <f>_xll.QS.EVALUATE(C4521,F4521)</f>
        <v>32741.417506383441</v>
      </c>
      <c r="H4521" s="5" t="s">
        <v>4562</v>
      </c>
      <c r="I4521" s="7">
        <v>1451900</v>
      </c>
      <c r="J4521" s="8">
        <v>3.6900000000000002E-2</v>
      </c>
    </row>
    <row r="4522" spans="1:10" x14ac:dyDescent="0.25">
      <c r="A4522" s="5" t="s">
        <v>4556</v>
      </c>
      <c r="B4522" s="5" t="s">
        <v>6389</v>
      </c>
      <c r="C4522" s="6" t="str">
        <f>_xll.QS.CONTEXT.CREATE("market.4520",A4522,"USD","SOFR")</f>
        <v>QSObject:PricingContext:w1~market.4520:12529</v>
      </c>
      <c r="D4522" s="6" t="str">
        <f>_xll.QS.CONTEXT.ADD.CURVE(C4522,"SOFR",$K$2:$K$7,$L$2:$L$7,,,"Actual360","LogLinear",TRUE)</f>
        <v>QSObject:ContextInput:w1~input.qs_context_add_curve.2359132437744.4521.3.0:36120</v>
      </c>
      <c r="E4522" s="6" t="str">
        <f>_xll.QS.INSTRUMENT.SWAP("swap.4520",H4522,B4522,"USD","SOFR",I4522,J4522,0,"Actual360","Simple","Annual","Annual","Annual")</f>
        <v>QSObject:Swap:w1~swap.4520:12528</v>
      </c>
      <c r="F4522" s="6" t="str">
        <f>_xll.QS.TRADE.CREATE("trade.4520",E4522,A4522,"Receive")</f>
        <v>QSObject:SwapTrade:w1~trade.4520:27335</v>
      </c>
      <c r="G4522" s="3">
        <f>_xll.QS.EVALUATE(C4522,F4522)</f>
        <v>33290.97876830482</v>
      </c>
      <c r="H4522" s="5" t="s">
        <v>4563</v>
      </c>
      <c r="I4522" s="7">
        <v>1452000</v>
      </c>
      <c r="J4522" s="8">
        <v>3.7000000000000012E-2</v>
      </c>
    </row>
    <row r="4523" spans="1:10" x14ac:dyDescent="0.25">
      <c r="A4523" s="5" t="s">
        <v>4557</v>
      </c>
      <c r="B4523" s="5" t="s">
        <v>6390</v>
      </c>
      <c r="C4523" s="6" t="str">
        <f>_xll.QS.CONTEXT.CREATE("market.4521",A4523,"USD","SOFR")</f>
        <v>QSObject:PricingContext:w1~market.4521:12527</v>
      </c>
      <c r="D4523" s="6" t="str">
        <f>_xll.QS.CONTEXT.ADD.CURVE(C4523,"SOFR",$K$2:$K$7,$L$2:$L$7,,,"Actual360","LogLinear",TRUE)</f>
        <v>QSObject:ContextInput:w1~input.qs_context_add_curve.2359132437744.4522.3.0:36119</v>
      </c>
      <c r="E4523" s="6" t="str">
        <f>_xll.QS.INSTRUMENT.SWAP("swap.4521",H4523,B4523,"USD","SOFR",I4523,J4523,0,"Actual360","Simple","Annual","Annual","Annual")</f>
        <v>QSObject:Swap:w1~swap.4521:12526</v>
      </c>
      <c r="F4523" s="6" t="str">
        <f>_xll.QS.TRADE.CREATE("trade.4521",E4523,A4523,"Receive")</f>
        <v>QSObject:SwapTrade:w1~trade.4521:27334</v>
      </c>
      <c r="G4523" s="3">
        <f>_xll.QS.EVALUATE(C4523,F4523)</f>
        <v>33811.300901263319</v>
      </c>
      <c r="H4523" s="5" t="s">
        <v>4564</v>
      </c>
      <c r="I4523" s="7">
        <v>1452100</v>
      </c>
      <c r="J4523" s="8">
        <v>3.7100000000000001E-2</v>
      </c>
    </row>
    <row r="4524" spans="1:10" x14ac:dyDescent="0.25">
      <c r="A4524" s="5" t="s">
        <v>4558</v>
      </c>
      <c r="B4524" s="5" t="s">
        <v>6391</v>
      </c>
      <c r="C4524" s="6" t="str">
        <f>_xll.QS.CONTEXT.CREATE("market.4522",A4524,"USD","SOFR")</f>
        <v>QSObject:PricingContext:w1~market.4522:12525</v>
      </c>
      <c r="D4524" s="6" t="str">
        <f>_xll.QS.CONTEXT.ADD.CURVE(C4524,"SOFR",$K$2:$K$7,$L$2:$L$7,,,"Actual360","LogLinear",TRUE)</f>
        <v>QSObject:ContextInput:w1~input.qs_context_add_curve.2359132437744.4523.3.0:36118</v>
      </c>
      <c r="E4524" s="6" t="str">
        <f>_xll.QS.INSTRUMENT.SWAP("swap.4522",H4524,B4524,"USD","SOFR",I4524,J4524,0,"Actual360","Simple","Annual","Annual","Annual")</f>
        <v>QSObject:Swap:w1~swap.4522:12524</v>
      </c>
      <c r="F4524" s="6" t="str">
        <f>_xll.QS.TRADE.CREATE("trade.4522",E4524,A4524,"Receive")</f>
        <v>QSObject:SwapTrade:w1~trade.4522:27333</v>
      </c>
      <c r="G4524" s="3">
        <f>_xll.QS.EVALUATE(C4524,F4524)</f>
        <v>34545.571299357951</v>
      </c>
      <c r="H4524" s="5" t="s">
        <v>4565</v>
      </c>
      <c r="I4524" s="7">
        <v>1452200</v>
      </c>
      <c r="J4524" s="8">
        <v>3.7199999999999997E-2</v>
      </c>
    </row>
    <row r="4525" spans="1:10" x14ac:dyDescent="0.25">
      <c r="A4525" s="5" t="s">
        <v>4559</v>
      </c>
      <c r="B4525" s="5" t="s">
        <v>6392</v>
      </c>
      <c r="C4525" s="6" t="str">
        <f>_xll.QS.CONTEXT.CREATE("market.4523",A4525,"USD","SOFR")</f>
        <v>QSObject:PricingContext:w1~market.4523:12523</v>
      </c>
      <c r="D4525" s="6" t="str">
        <f>_xll.QS.CONTEXT.ADD.CURVE(C4525,"SOFR",$K$2:$K$7,$L$2:$L$7,,,"Actual360","LogLinear",TRUE)</f>
        <v>QSObject:ContextInput:w1~input.qs_context_add_curve.2359132437744.4524.3.0:36117</v>
      </c>
      <c r="E4525" s="6" t="str">
        <f>_xll.QS.INSTRUMENT.SWAP("swap.4523",H4525,B4525,"USD","SOFR",I4525,J4525,0,"Actual360","Simple","Annual","Annual","Annual")</f>
        <v>QSObject:Swap:w1~swap.4523:12522</v>
      </c>
      <c r="F4525" s="6" t="str">
        <f>_xll.QS.TRADE.CREATE("trade.4523",E4525,A4525,"Receive")</f>
        <v>QSObject:SwapTrade:w1~trade.4523:27332</v>
      </c>
      <c r="G4525" s="3">
        <f>_xll.QS.EVALUATE(C4525,F4525)</f>
        <v>35277.934451724352</v>
      </c>
      <c r="H4525" s="5" t="s">
        <v>4566</v>
      </c>
      <c r="I4525" s="7">
        <v>1452300</v>
      </c>
      <c r="J4525" s="8">
        <v>3.73E-2</v>
      </c>
    </row>
    <row r="4526" spans="1:10" x14ac:dyDescent="0.25">
      <c r="A4526" s="5" t="s">
        <v>4560</v>
      </c>
      <c r="B4526" s="5" t="s">
        <v>6393</v>
      </c>
      <c r="C4526" s="6" t="str">
        <f>_xll.QS.CONTEXT.CREATE("market.4524",A4526,"USD","SOFR")</f>
        <v>QSObject:PricingContext:w1~market.4524:12521</v>
      </c>
      <c r="D4526" s="6" t="str">
        <f>_xll.QS.CONTEXT.ADD.CURVE(C4526,"SOFR",$K$2:$K$7,$L$2:$L$7,,,"Actual360","LogLinear",TRUE)</f>
        <v>QSObject:ContextInput:w1~input.qs_context_add_curve.2359132437744.4525.3.0:36116</v>
      </c>
      <c r="E4526" s="6" t="str">
        <f>_xll.QS.INSTRUMENT.SWAP("swap.4524",H4526,B4526,"USD","SOFR",I4526,J4526,0,"Actual360","Simple","Annual","Annual","Annual")</f>
        <v>QSObject:Swap:w1~swap.4524:12520</v>
      </c>
      <c r="F4526" s="6" t="str">
        <f>_xll.QS.TRADE.CREATE("trade.4524",E4526,A4526,"Receive")</f>
        <v>QSObject:SwapTrade:w1~trade.4524:27331</v>
      </c>
      <c r="G4526" s="3">
        <f>_xll.QS.EVALUATE(C4526,F4526)</f>
        <v>36147.364480241617</v>
      </c>
      <c r="H4526" s="5" t="s">
        <v>4567</v>
      </c>
      <c r="I4526" s="7">
        <v>1452400</v>
      </c>
      <c r="J4526" s="8">
        <v>3.7400000000000003E-2</v>
      </c>
    </row>
    <row r="4527" spans="1:10" x14ac:dyDescent="0.25">
      <c r="A4527" s="5" t="s">
        <v>4561</v>
      </c>
      <c r="B4527" s="5" t="s">
        <v>6394</v>
      </c>
      <c r="C4527" s="6" t="str">
        <f>_xll.QS.CONTEXT.CREATE("market.4525",A4527,"USD","SOFR")</f>
        <v>QSObject:PricingContext:w1~market.4525:12519</v>
      </c>
      <c r="D4527" s="6" t="str">
        <f>_xll.QS.CONTEXT.ADD.CURVE(C4527,"SOFR",$K$2:$K$7,$L$2:$L$7,,,"Actual360","LogLinear",TRUE)</f>
        <v>QSObject:ContextInput:w1~input.qs_context_add_curve.2359132437744.4526.3.0:36115</v>
      </c>
      <c r="E4527" s="6" t="str">
        <f>_xll.QS.INSTRUMENT.SWAP("swap.4525",H4527,B4527,"USD","SOFR",I4527,J4527,0,"Actual360","Simple","Annual","Annual","Annual")</f>
        <v>QSObject:Swap:w1~swap.4525:12518</v>
      </c>
      <c r="F4527" s="6" t="str">
        <f>_xll.QS.TRADE.CREATE("trade.4525",E4527,A4527,"Receive")</f>
        <v>QSObject:SwapTrade:w1~trade.4525:27330</v>
      </c>
      <c r="G4527" s="3">
        <f>_xll.QS.EVALUATE(C4527,F4527)</f>
        <v>36833.965425083617</v>
      </c>
      <c r="H4527" s="5" t="s">
        <v>4568</v>
      </c>
      <c r="I4527" s="7">
        <v>1452500</v>
      </c>
      <c r="J4527" s="8">
        <v>3.7500000000000012E-2</v>
      </c>
    </row>
    <row r="4528" spans="1:10" x14ac:dyDescent="0.25">
      <c r="A4528" s="5" t="s">
        <v>4562</v>
      </c>
      <c r="B4528" s="5" t="s">
        <v>6395</v>
      </c>
      <c r="C4528" s="6" t="str">
        <f>_xll.QS.CONTEXT.CREATE("market.4526",A4528,"USD","SOFR")</f>
        <v>QSObject:PricingContext:w1~market.4526:12517</v>
      </c>
      <c r="D4528" s="6" t="str">
        <f>_xll.QS.CONTEXT.ADD.CURVE(C4528,"SOFR",$K$2:$K$7,$L$2:$L$7,,,"Actual360","LogLinear",TRUE)</f>
        <v>QSObject:ContextInput:w1~input.qs_context_add_curve.2359132437744.4527.3.0:36114</v>
      </c>
      <c r="E4528" s="6" t="str">
        <f>_xll.QS.INSTRUMENT.SWAP("swap.4526",H4528,B4528,"USD","SOFR",I4528,J4528,0,"Actual360","Simple","Annual","Annual","Annual")</f>
        <v>QSObject:Swap:w1~swap.4526:12516</v>
      </c>
      <c r="F4528" s="6" t="str">
        <f>_xll.QS.TRADE.CREATE("trade.4526",E4528,A4528,"Receive")</f>
        <v>QSObject:SwapTrade:w1~trade.4526:27329</v>
      </c>
      <c r="G4528" s="3">
        <f>_xll.QS.EVALUATE(C4528,F4528)</f>
        <v>37504.563413655691</v>
      </c>
      <c r="H4528" s="5" t="s">
        <v>4569</v>
      </c>
      <c r="I4528" s="7">
        <v>1452600</v>
      </c>
      <c r="J4528" s="8">
        <v>3.7600000000000001E-2</v>
      </c>
    </row>
    <row r="4529" spans="1:10" x14ac:dyDescent="0.25">
      <c r="A4529" s="5" t="s">
        <v>4563</v>
      </c>
      <c r="B4529" s="5" t="s">
        <v>6396</v>
      </c>
      <c r="C4529" s="6" t="str">
        <f>_xll.QS.CONTEXT.CREATE("market.4527",A4529,"USD","SOFR")</f>
        <v>QSObject:PricingContext:w1~market.4527:12515</v>
      </c>
      <c r="D4529" s="6" t="str">
        <f>_xll.QS.CONTEXT.ADD.CURVE(C4529,"SOFR",$K$2:$K$7,$L$2:$L$7,,,"Actual360","LogLinear",TRUE)</f>
        <v>QSObject:ContextInput:w1~input.qs_context_add_curve.2359132437744.4528.3.0:36113</v>
      </c>
      <c r="E4529" s="6" t="str">
        <f>_xll.QS.INSTRUMENT.SWAP("swap.4527",H4529,B4529,"USD","SOFR",I4529,J4529,0,"Actual360","Simple","Annual","Annual","Annual")</f>
        <v>QSObject:Swap:w1~swap.4527:12514</v>
      </c>
      <c r="F4529" s="6" t="str">
        <f>_xll.QS.TRADE.CREATE("trade.4527",E4529,A4529,"Receive")</f>
        <v>QSObject:SwapTrade:w1~trade.4527:27328</v>
      </c>
      <c r="G4529" s="3">
        <f>_xll.QS.EVALUATE(C4529,F4529)</f>
        <v>38070.737493795408</v>
      </c>
      <c r="H4529" s="5" t="s">
        <v>4570</v>
      </c>
      <c r="I4529" s="7">
        <v>1452700</v>
      </c>
      <c r="J4529" s="8">
        <v>3.7699999999999997E-2</v>
      </c>
    </row>
    <row r="4530" spans="1:10" x14ac:dyDescent="0.25">
      <c r="A4530" s="5" t="s">
        <v>4564</v>
      </c>
      <c r="B4530" s="5" t="s">
        <v>6397</v>
      </c>
      <c r="C4530" s="6" t="str">
        <f>_xll.QS.CONTEXT.CREATE("market.4528",A4530,"USD","SOFR")</f>
        <v>QSObject:PricingContext:w1~market.4528:12513</v>
      </c>
      <c r="D4530" s="6" t="str">
        <f>_xll.QS.CONTEXT.ADD.CURVE(C4530,"SOFR",$K$2:$K$7,$L$2:$L$7,,,"Actual360","LogLinear",TRUE)</f>
        <v>QSObject:ContextInput:w1~input.qs_context_add_curve.2359132437744.4529.3.0:36112</v>
      </c>
      <c r="E4530" s="6" t="str">
        <f>_xll.QS.INSTRUMENT.SWAP("swap.4528",H4530,B4530,"USD","SOFR",I4530,J4530,0,"Actual360","Simple","Annual","Annual","Annual")</f>
        <v>QSObject:Swap:w1~swap.4528:12512</v>
      </c>
      <c r="F4530" s="6" t="str">
        <f>_xll.QS.TRADE.CREATE("trade.4528",E4530,A4530,"Receive")</f>
        <v>QSObject:SwapTrade:w1~trade.4528:27327</v>
      </c>
      <c r="G4530" s="3">
        <f>_xll.QS.EVALUATE(C4530,F4530)</f>
        <v>38637.451956866702</v>
      </c>
      <c r="H4530" s="5" t="s">
        <v>4571</v>
      </c>
      <c r="I4530" s="7">
        <v>1452800</v>
      </c>
      <c r="J4530" s="8">
        <v>3.78E-2</v>
      </c>
    </row>
    <row r="4531" spans="1:10" x14ac:dyDescent="0.25">
      <c r="A4531" s="5" t="s">
        <v>4565</v>
      </c>
      <c r="B4531" s="5" t="s">
        <v>6398</v>
      </c>
      <c r="C4531" s="6" t="str">
        <f>_xll.QS.CONTEXT.CREATE("market.4529",A4531,"USD","SOFR")</f>
        <v>QSObject:PricingContext:w1~market.4529:12511</v>
      </c>
      <c r="D4531" s="6" t="str">
        <f>_xll.QS.CONTEXT.ADD.CURVE(C4531,"SOFR",$K$2:$K$7,$L$2:$L$7,,,"Actual360","LogLinear",TRUE)</f>
        <v>QSObject:ContextInput:w1~input.qs_context_add_curve.2359132437744.4530.3.0:36111</v>
      </c>
      <c r="E4531" s="6" t="str">
        <f>_xll.QS.INSTRUMENT.SWAP("swap.4529",H4531,B4531,"USD","SOFR",I4531,J4531,0,"Actual360","Simple","Annual","Annual","Annual")</f>
        <v>QSObject:Swap:w1~swap.4529:12510</v>
      </c>
      <c r="F4531" s="6" t="str">
        <f>_xll.QS.TRADE.CREATE("trade.4529",E4531,A4531,"Receive")</f>
        <v>QSObject:SwapTrade:w1~trade.4529:27326</v>
      </c>
      <c r="G4531" s="3">
        <f>_xll.QS.EVALUATE(C4531,F4531)</f>
        <v>39313.331544070381</v>
      </c>
      <c r="H4531" s="5" t="s">
        <v>4572</v>
      </c>
      <c r="I4531" s="7">
        <v>1452900</v>
      </c>
      <c r="J4531" s="8">
        <v>3.7900000000000003E-2</v>
      </c>
    </row>
    <row r="4532" spans="1:10" x14ac:dyDescent="0.25">
      <c r="A4532" s="5" t="s">
        <v>4566</v>
      </c>
      <c r="B4532" s="5" t="s">
        <v>6399</v>
      </c>
      <c r="C4532" s="6" t="str">
        <f>_xll.QS.CONTEXT.CREATE("market.4530",A4532,"USD","SOFR")</f>
        <v>QSObject:PricingContext:w1~market.4530:12509</v>
      </c>
      <c r="D4532" s="6" t="str">
        <f>_xll.QS.CONTEXT.ADD.CURVE(C4532,"SOFR",$K$2:$K$7,$L$2:$L$7,,,"Actual360","LogLinear",TRUE)</f>
        <v>QSObject:ContextInput:w1~input.qs_context_add_curve.2359132437744.4531.3.0:36110</v>
      </c>
      <c r="E4532" s="6" t="str">
        <f>_xll.QS.INSTRUMENT.SWAP("swap.4530",H4532,B4532,"USD","SOFR",I4532,J4532,0,"Actual360","Simple","Annual","Annual","Annual")</f>
        <v>QSObject:Swap:w1~swap.4530:12508</v>
      </c>
      <c r="F4532" s="6" t="str">
        <f>_xll.QS.TRADE.CREATE("trade.4530",E4532,A4532,"Receive")</f>
        <v>QSObject:SwapTrade:w1~trade.4530:27325</v>
      </c>
      <c r="G4532" s="3">
        <f>_xll.QS.EVALUATE(C4532,F4532)</f>
        <v>40021.419510993845</v>
      </c>
      <c r="H4532" s="5" t="s">
        <v>4573</v>
      </c>
      <c r="I4532" s="7">
        <v>1453000</v>
      </c>
      <c r="J4532" s="8">
        <v>3.8000000000000013E-2</v>
      </c>
    </row>
    <row r="4533" spans="1:10" x14ac:dyDescent="0.25">
      <c r="A4533" s="5" t="s">
        <v>4567</v>
      </c>
      <c r="B4533" s="5" t="s">
        <v>6400</v>
      </c>
      <c r="C4533" s="6" t="str">
        <f>_xll.QS.CONTEXT.CREATE("market.4531",A4533,"USD","SOFR")</f>
        <v>QSObject:PricingContext:w1~market.4531:12507</v>
      </c>
      <c r="D4533" s="6" t="str">
        <f>_xll.QS.CONTEXT.ADD.CURVE(C4533,"SOFR",$K$2:$K$7,$L$2:$L$7,,,"Actual360","LogLinear",TRUE)</f>
        <v>QSObject:ContextInput:w1~input.qs_context_add_curve.2359132437744.4532.3.0:36109</v>
      </c>
      <c r="E4533" s="6" t="str">
        <f>_xll.QS.INSTRUMENT.SWAP("swap.4531",H4533,B4533,"USD","SOFR",I4533,J4533,0,"Actual360","Simple","Annual","Annual","Annual")</f>
        <v>QSObject:Swap:w1~swap.4531:12506</v>
      </c>
      <c r="F4533" s="6" t="str">
        <f>_xll.QS.TRADE.CREATE("trade.4531",E4533,A4533,"Receive")</f>
        <v>QSObject:SwapTrade:w1~trade.4531:27324</v>
      </c>
      <c r="G4533" s="3">
        <f>_xll.QS.EVALUATE(C4533,F4533)</f>
        <v>40801.043085257181</v>
      </c>
      <c r="H4533" s="5" t="s">
        <v>4574</v>
      </c>
      <c r="I4533" s="7">
        <v>1453100</v>
      </c>
      <c r="J4533" s="8">
        <v>3.8100000000000002E-2</v>
      </c>
    </row>
    <row r="4534" spans="1:10" x14ac:dyDescent="0.25">
      <c r="A4534" s="5" t="s">
        <v>4568</v>
      </c>
      <c r="B4534" s="5" t="s">
        <v>6401</v>
      </c>
      <c r="C4534" s="6" t="str">
        <f>_xll.QS.CONTEXT.CREATE("market.4532",A4534,"USD","SOFR")</f>
        <v>QSObject:PricingContext:w1~market.4532:12505</v>
      </c>
      <c r="D4534" s="6" t="str">
        <f>_xll.QS.CONTEXT.ADD.CURVE(C4534,"SOFR",$K$2:$K$7,$L$2:$L$7,,,"Actual360","LogLinear",TRUE)</f>
        <v>QSObject:ContextInput:w1~input.qs_context_add_curve.2359132437744.4533.3.0:36108</v>
      </c>
      <c r="E4534" s="6" t="str">
        <f>_xll.QS.INSTRUMENT.SWAP("swap.4532",H4534,B4534,"USD","SOFR",I4534,J4534,0,"Actual360","Simple","Annual","Annual","Annual")</f>
        <v>QSObject:Swap:w1~swap.4532:12504</v>
      </c>
      <c r="F4534" s="6" t="str">
        <f>_xll.QS.TRADE.CREATE("trade.4532",E4534,A4534,"Receive")</f>
        <v>QSObject:SwapTrade:w1~trade.4532:27323</v>
      </c>
      <c r="G4534" s="3">
        <f>_xll.QS.EVALUATE(C4534,F4534)</f>
        <v>41537.754038993029</v>
      </c>
      <c r="H4534" s="5" t="s">
        <v>4575</v>
      </c>
      <c r="I4534" s="7">
        <v>1453200</v>
      </c>
      <c r="J4534" s="8">
        <v>3.8199999999999998E-2</v>
      </c>
    </row>
    <row r="4535" spans="1:10" x14ac:dyDescent="0.25">
      <c r="A4535" s="5" t="s">
        <v>4569</v>
      </c>
      <c r="B4535" s="5" t="s">
        <v>6402</v>
      </c>
      <c r="C4535" s="6" t="str">
        <f>_xll.QS.CONTEXT.CREATE("market.4533",A4535,"USD","SOFR")</f>
        <v>QSObject:PricingContext:w1~market.4533:12503</v>
      </c>
      <c r="D4535" s="6" t="str">
        <f>_xll.QS.CONTEXT.ADD.CURVE(C4535,"SOFR",$K$2:$K$7,$L$2:$L$7,,,"Actual360","LogLinear",TRUE)</f>
        <v>QSObject:ContextInput:w1~input.qs_context_add_curve.2359132437744.4534.3.0:36107</v>
      </c>
      <c r="E4535" s="6" t="str">
        <f>_xll.QS.INSTRUMENT.SWAP("swap.4533",H4535,B4535,"USD","SOFR",I4535,J4535,0,"Actual360","Simple","Annual","Annual","Annual")</f>
        <v>QSObject:Swap:w1~swap.4533:12502</v>
      </c>
      <c r="F4535" s="6" t="str">
        <f>_xll.QS.TRADE.CREATE("trade.4533",E4535,A4535,"Receive")</f>
        <v>QSObject:SwapTrade:w1~trade.4533:27322</v>
      </c>
      <c r="G4535" s="3">
        <f>_xll.QS.EVALUATE(C4535,F4535)</f>
        <v>42155.557806895682</v>
      </c>
      <c r="H4535" s="5" t="s">
        <v>4576</v>
      </c>
      <c r="I4535" s="7">
        <v>1453300</v>
      </c>
      <c r="J4535" s="8">
        <v>3.8300000000000001E-2</v>
      </c>
    </row>
    <row r="4536" spans="1:10" x14ac:dyDescent="0.25">
      <c r="A4536" s="5" t="s">
        <v>4570</v>
      </c>
      <c r="B4536" s="5" t="s">
        <v>6403</v>
      </c>
      <c r="C4536" s="6" t="str">
        <f>_xll.QS.CONTEXT.CREATE("market.4534",A4536,"USD","SOFR")</f>
        <v>QSObject:PricingContext:w1~market.4534:12501</v>
      </c>
      <c r="D4536" s="6" t="str">
        <f>_xll.QS.CONTEXT.ADD.CURVE(C4536,"SOFR",$K$2:$K$7,$L$2:$L$7,,,"Actual360","LogLinear",TRUE)</f>
        <v>QSObject:ContextInput:w1~input.qs_context_add_curve.2359132437744.4535.3.0:36106</v>
      </c>
      <c r="E4536" s="6" t="str">
        <f>_xll.QS.INSTRUMENT.SWAP("swap.4534",H4536,B4536,"USD","SOFR",I4536,J4536,0,"Actual360","Simple","Annual","Annual","Annual")</f>
        <v>QSObject:Swap:w1~swap.4534:12500</v>
      </c>
      <c r="F4536" s="6" t="str">
        <f>_xll.QS.TRADE.CREATE("trade.4534",E4536,A4536,"Receive")</f>
        <v>QSObject:SwapTrade:w1~trade.4534:27321</v>
      </c>
      <c r="G4536" s="3">
        <f>_xll.QS.EVALUATE(C4536,F4536)</f>
        <v>42716.767581405526</v>
      </c>
      <c r="H4536" s="5" t="s">
        <v>4577</v>
      </c>
      <c r="I4536" s="7">
        <v>1453400</v>
      </c>
      <c r="J4536" s="8">
        <v>3.8399999999999997E-2</v>
      </c>
    </row>
    <row r="4537" spans="1:10" x14ac:dyDescent="0.25">
      <c r="A4537" s="5" t="s">
        <v>4571</v>
      </c>
      <c r="B4537" s="5" t="s">
        <v>6404</v>
      </c>
      <c r="C4537" s="6" t="str">
        <f>_xll.QS.CONTEXT.CREATE("market.4535",A4537,"USD","SOFR")</f>
        <v>QSObject:PricingContext:w1~market.4535:12499</v>
      </c>
      <c r="D4537" s="6" t="str">
        <f>_xll.QS.CONTEXT.ADD.CURVE(C4537,"SOFR",$K$2:$K$7,$L$2:$L$7,,,"Actual360","LogLinear",TRUE)</f>
        <v>QSObject:ContextInput:w1~input.qs_context_add_curve.2359132437744.4536.3.0:36105</v>
      </c>
      <c r="E4537" s="6" t="str">
        <f>_xll.QS.INSTRUMENT.SWAP("swap.4535",H4537,B4537,"USD","SOFR",I4537,J4537,0,"Actual360","Simple","Annual","Annual","Annual")</f>
        <v>QSObject:Swap:w1~swap.4535:12498</v>
      </c>
      <c r="F4537" s="6" t="str">
        <f>_xll.QS.TRADE.CREATE("trade.4535",E4537,A4537,"Receive")</f>
        <v>QSObject:SwapTrade:w1~trade.4535:27320</v>
      </c>
      <c r="G4537" s="3">
        <f>_xll.QS.EVALUATE(C4537,F4537)</f>
        <v>43291.494556659185</v>
      </c>
      <c r="H4537" s="5" t="s">
        <v>4578</v>
      </c>
      <c r="I4537" s="7">
        <v>1453500</v>
      </c>
      <c r="J4537" s="8">
        <v>3.8500000000000013E-2</v>
      </c>
    </row>
    <row r="4538" spans="1:10" x14ac:dyDescent="0.25">
      <c r="A4538" s="5" t="s">
        <v>4572</v>
      </c>
      <c r="B4538" s="5" t="s">
        <v>6405</v>
      </c>
      <c r="C4538" s="6" t="str">
        <f>_xll.QS.CONTEXT.CREATE("market.4536",A4538,"USD","SOFR")</f>
        <v>QSObject:PricingContext:w1~market.4536:12497</v>
      </c>
      <c r="D4538" s="6" t="str">
        <f>_xll.QS.CONTEXT.ADD.CURVE(C4538,"SOFR",$K$2:$K$7,$L$2:$L$7,,,"Actual360","LogLinear",TRUE)</f>
        <v>QSObject:ContextInput:w1~input.qs_context_add_curve.2359132437744.4537.3.0:36104</v>
      </c>
      <c r="E4538" s="6" t="str">
        <f>_xll.QS.INSTRUMENT.SWAP("swap.4536",H4538,B4538,"USD","SOFR",I4538,J4538,0,"Actual360","Simple","Annual","Annual","Annual")</f>
        <v>QSObject:Swap:w1~swap.4536:12496</v>
      </c>
      <c r="F4538" s="6" t="str">
        <f>_xll.QS.TRADE.CREATE("trade.4536",E4538,A4538,"Receive")</f>
        <v>QSObject:SwapTrade:w1~trade.4536:27319</v>
      </c>
      <c r="G4538" s="3">
        <f>_xll.QS.EVALUATE(C4538,F4538)</f>
        <v>44027.682965600543</v>
      </c>
      <c r="H4538" s="5" t="s">
        <v>4579</v>
      </c>
      <c r="I4538" s="7">
        <v>1453600</v>
      </c>
      <c r="J4538" s="8">
        <v>3.8600000000000002E-2</v>
      </c>
    </row>
    <row r="4539" spans="1:10" x14ac:dyDescent="0.25">
      <c r="A4539" s="5" t="s">
        <v>4573</v>
      </c>
      <c r="B4539" s="5" t="s">
        <v>6406</v>
      </c>
      <c r="C4539" s="6" t="str">
        <f>_xll.QS.CONTEXT.CREATE("market.4537",A4539,"USD","SOFR")</f>
        <v>QSObject:PricingContext:w1~market.4537:12495</v>
      </c>
      <c r="D4539" s="6" t="str">
        <f>_xll.QS.CONTEXT.ADD.CURVE(C4539,"SOFR",$K$2:$K$7,$L$2:$L$7,,,"Actual360","LogLinear",TRUE)</f>
        <v>QSObject:ContextInput:w1~input.qs_context_add_curve.2359132437744.4538.3.0:36103</v>
      </c>
      <c r="E4539" s="6" t="str">
        <f>_xll.QS.INSTRUMENT.SWAP("swap.4537",H4539,B4539,"USD","SOFR",I4539,J4539,0,"Actual360","Simple","Annual","Annual","Annual")</f>
        <v>QSObject:Swap:w1~swap.4537:12494</v>
      </c>
      <c r="F4539" s="6" t="str">
        <f>_xll.QS.TRADE.CREATE("trade.4537",E4539,A4539,"Receive")</f>
        <v>QSObject:SwapTrade:w1~trade.4537:27318</v>
      </c>
      <c r="G4539" s="3">
        <f>_xll.QS.EVALUATE(C4539,F4539)</f>
        <v>44733.871038851452</v>
      </c>
      <c r="H4539" s="5" t="s">
        <v>4580</v>
      </c>
      <c r="I4539" s="7">
        <v>1453700</v>
      </c>
      <c r="J4539" s="8">
        <v>3.8700000000000012E-2</v>
      </c>
    </row>
    <row r="4540" spans="1:10" x14ac:dyDescent="0.25">
      <c r="A4540" s="5" t="s">
        <v>4574</v>
      </c>
      <c r="B4540" s="5" t="s">
        <v>6407</v>
      </c>
      <c r="C4540" s="6" t="str">
        <f>_xll.QS.CONTEXT.CREATE("market.4538",A4540,"USD","SOFR")</f>
        <v>QSObject:PricingContext:w1~market.4538:12493</v>
      </c>
      <c r="D4540" s="6" t="str">
        <f>_xll.QS.CONTEXT.ADD.CURVE(C4540,"SOFR",$K$2:$K$7,$L$2:$L$7,,,"Actual360","LogLinear",TRUE)</f>
        <v>QSObject:ContextInput:w1~input.qs_context_add_curve.2359132437744.4539.3.0:36102</v>
      </c>
      <c r="E4540" s="6" t="str">
        <f>_xll.QS.INSTRUMENT.SWAP("swap.4538",H4540,B4540,"USD","SOFR",I4540,J4540,0,"Actual360","Simple","Annual","Annual","Annual")</f>
        <v>QSObject:Swap:w1~swap.4538:12492</v>
      </c>
      <c r="F4540" s="6" t="str">
        <f>_xll.QS.TRADE.CREATE("trade.4538",E4540,A4540,"Receive")</f>
        <v>QSObject:SwapTrade:w1~trade.4538:27317</v>
      </c>
      <c r="G4540" s="3">
        <f>_xll.QS.EVALUATE(C4540,F4540)</f>
        <v>45514.026440150345</v>
      </c>
      <c r="H4540" s="5" t="s">
        <v>4581</v>
      </c>
      <c r="I4540" s="7">
        <v>1453800</v>
      </c>
      <c r="J4540" s="8">
        <v>3.8800000000000001E-2</v>
      </c>
    </row>
    <row r="4541" spans="1:10" x14ac:dyDescent="0.25">
      <c r="A4541" s="5" t="s">
        <v>4575</v>
      </c>
      <c r="B4541" s="5" t="s">
        <v>6408</v>
      </c>
      <c r="C4541" s="6" t="str">
        <f>_xll.QS.CONTEXT.CREATE("market.4539",A4541,"USD","SOFR")</f>
        <v>QSObject:PricingContext:w1~market.4539:12491</v>
      </c>
      <c r="D4541" s="6" t="str">
        <f>_xll.QS.CONTEXT.ADD.CURVE(C4541,"SOFR",$K$2:$K$7,$L$2:$L$7,,,"Actual360","LogLinear",TRUE)</f>
        <v>QSObject:ContextInput:w1~input.qs_context_add_curve.2359132437744.4540.3.0:36101</v>
      </c>
      <c r="E4541" s="6" t="str">
        <f>_xll.QS.INSTRUMENT.SWAP("swap.4539",H4541,B4541,"USD","SOFR",I4541,J4541,0,"Actual360","Simple","Annual","Annual","Annual")</f>
        <v>QSObject:Swap:w1~swap.4539:12490</v>
      </c>
      <c r="F4541" s="6" t="str">
        <f>_xll.QS.TRADE.CREATE("trade.4539",E4541,A4541,"Receive")</f>
        <v>QSObject:SwapTrade:w1~trade.4539:27316</v>
      </c>
      <c r="G4541" s="3">
        <f>_xll.QS.EVALUATE(C4541,F4541)</f>
        <v>46250.807820038528</v>
      </c>
      <c r="H4541" s="5" t="s">
        <v>4582</v>
      </c>
      <c r="I4541" s="7">
        <v>1453900</v>
      </c>
      <c r="J4541" s="8">
        <v>3.8899999999999997E-2</v>
      </c>
    </row>
    <row r="4542" spans="1:10" x14ac:dyDescent="0.25">
      <c r="A4542" s="5" t="s">
        <v>4576</v>
      </c>
      <c r="B4542" s="5" t="s">
        <v>6409</v>
      </c>
      <c r="C4542" s="6" t="str">
        <f>_xll.QS.CONTEXT.CREATE("market.4540",A4542,"USD","SOFR")</f>
        <v>QSObject:PricingContext:w1~market.4540:12489</v>
      </c>
      <c r="D4542" s="6" t="str">
        <f>_xll.QS.CONTEXT.ADD.CURVE(C4542,"SOFR",$K$2:$K$7,$L$2:$L$7,,,"Actual360","LogLinear",TRUE)</f>
        <v>QSObject:ContextInput:w1~input.qs_context_add_curve.2359132437744.4541.3.0:36100</v>
      </c>
      <c r="E4542" s="6" t="str">
        <f>_xll.QS.INSTRUMENT.SWAP("swap.4540",H4542,B4542,"USD","SOFR",I4542,J4542,0,"Actual360","Simple","Annual","Annual","Annual")</f>
        <v>QSObject:Swap:w1~swap.4540:12488</v>
      </c>
      <c r="F4542" s="6" t="str">
        <f>_xll.QS.TRADE.CREATE("trade.4540",E4542,A4542,"Receive")</f>
        <v>QSObject:SwapTrade:w1~trade.4540:27315</v>
      </c>
      <c r="G4542" s="3">
        <f>_xll.QS.EVALUATE(C4542,F4542)</f>
        <v>46870.40785759758</v>
      </c>
      <c r="H4542" s="5" t="s">
        <v>4583</v>
      </c>
      <c r="I4542" s="7">
        <v>1454000</v>
      </c>
      <c r="J4542" s="8">
        <v>3.9000000000000007E-2</v>
      </c>
    </row>
    <row r="4543" spans="1:10" x14ac:dyDescent="0.25">
      <c r="A4543" s="5" t="s">
        <v>4577</v>
      </c>
      <c r="B4543" s="5" t="s">
        <v>6410</v>
      </c>
      <c r="C4543" s="6" t="str">
        <f>_xll.QS.CONTEXT.CREATE("market.4541",A4543,"USD","SOFR")</f>
        <v>QSObject:PricingContext:w1~market.4541:12487</v>
      </c>
      <c r="D4543" s="6" t="str">
        <f>_xll.QS.CONTEXT.ADD.CURVE(C4543,"SOFR",$K$2:$K$7,$L$2:$L$7,,,"Actual360","LogLinear",TRUE)</f>
        <v>QSObject:ContextInput:w1~input.qs_context_add_curve.2359132437744.4542.3.0:36099</v>
      </c>
      <c r="E4543" s="6" t="str">
        <f>_xll.QS.INSTRUMENT.SWAP("swap.4541",H4543,B4543,"USD","SOFR",I4543,J4543,0,"Actual360","Simple","Annual","Annual","Annual")</f>
        <v>QSObject:Swap:w1~swap.4541:12486</v>
      </c>
      <c r="F4543" s="6" t="str">
        <f>_xll.QS.TRADE.CREATE("trade.4541",E4543,A4543,"Receive")</f>
        <v>QSObject:SwapTrade:w1~trade.4541:27314</v>
      </c>
      <c r="G4543" s="3">
        <f>_xll.QS.EVALUATE(C4543,F4543)</f>
        <v>47426.682596912106</v>
      </c>
      <c r="H4543" s="5" t="s">
        <v>4584</v>
      </c>
      <c r="I4543" s="7">
        <v>1454100</v>
      </c>
      <c r="J4543" s="8">
        <v>3.9100000000000003E-2</v>
      </c>
    </row>
    <row r="4544" spans="1:10" x14ac:dyDescent="0.25">
      <c r="A4544" s="5" t="s">
        <v>4578</v>
      </c>
      <c r="B4544" s="5" t="s">
        <v>6411</v>
      </c>
      <c r="C4544" s="6" t="str">
        <f>_xll.QS.CONTEXT.CREATE("market.4542",A4544,"USD","SOFR")</f>
        <v>QSObject:PricingContext:w1~market.4542:12485</v>
      </c>
      <c r="D4544" s="6" t="str">
        <f>_xll.QS.CONTEXT.ADD.CURVE(C4544,"SOFR",$K$2:$K$7,$L$2:$L$7,,,"Actual360","LogLinear",TRUE)</f>
        <v>QSObject:ContextInput:w1~input.qs_context_add_curve.2359132437744.4543.3.0:36098</v>
      </c>
      <c r="E4544" s="6" t="str">
        <f>_xll.QS.INSTRUMENT.SWAP("swap.4542",H4544,B4544,"USD","SOFR",I4544,J4544,0,"Actual360","Simple","Annual","Annual","Annual")</f>
        <v>QSObject:Swap:w1~swap.4542:12484</v>
      </c>
      <c r="F4544" s="6" t="str">
        <f>_xll.QS.TRADE.CREATE("trade.4542",E4544,A4544,"Receive")</f>
        <v>QSObject:SwapTrade:w1~trade.4542:27313</v>
      </c>
      <c r="G4544" s="3">
        <f>_xll.QS.EVALUATE(C4544,F4544)</f>
        <v>48009.134455529784</v>
      </c>
      <c r="H4544" s="5" t="s">
        <v>4585</v>
      </c>
      <c r="I4544" s="7">
        <v>1454200</v>
      </c>
      <c r="J4544" s="8">
        <v>3.9200000000000013E-2</v>
      </c>
    </row>
    <row r="4545" spans="1:10" x14ac:dyDescent="0.25">
      <c r="A4545" s="5" t="s">
        <v>4579</v>
      </c>
      <c r="B4545" s="5" t="s">
        <v>6412</v>
      </c>
      <c r="C4545" s="6" t="str">
        <f>_xll.QS.CONTEXT.CREATE("market.4543",A4545,"USD","SOFR")</f>
        <v>QSObject:PricingContext:w1~market.4543:12483</v>
      </c>
      <c r="D4545" s="6" t="str">
        <f>_xll.QS.CONTEXT.ADD.CURVE(C4545,"SOFR",$K$2:$K$7,$L$2:$L$7,,,"Actual360","LogLinear",TRUE)</f>
        <v>QSObject:ContextInput:w1~input.qs_context_add_curve.2359132437744.4544.3.0:36097</v>
      </c>
      <c r="E4545" s="6" t="str">
        <f>_xll.QS.INSTRUMENT.SWAP("swap.4543",H4545,B4545,"USD","SOFR",I4545,J4545,0,"Actual360","Simple","Annual","Annual","Annual")</f>
        <v>QSObject:Swap:w1~swap.4543:12482</v>
      </c>
      <c r="F4545" s="6" t="str">
        <f>_xll.QS.TRADE.CREATE("trade.4543",E4545,A4545,"Receive")</f>
        <v>QSObject:SwapTrade:w1~trade.4543:27312</v>
      </c>
      <c r="G4545" s="3">
        <f>_xll.QS.EVALUATE(C4545,F4545)</f>
        <v>48745.549488187899</v>
      </c>
      <c r="H4545" s="5" t="s">
        <v>4586</v>
      </c>
      <c r="I4545" s="7">
        <v>1454300</v>
      </c>
      <c r="J4545" s="8">
        <v>3.9300000000000002E-2</v>
      </c>
    </row>
    <row r="4546" spans="1:10" x14ac:dyDescent="0.25">
      <c r="A4546" s="5" t="s">
        <v>4580</v>
      </c>
      <c r="B4546" s="5" t="s">
        <v>6413</v>
      </c>
      <c r="C4546" s="6" t="str">
        <f>_xll.QS.CONTEXT.CREATE("market.4544",A4546,"USD","SOFR")</f>
        <v>QSObject:PricingContext:w1~market.4544:12481</v>
      </c>
      <c r="D4546" s="6" t="str">
        <f>_xll.QS.CONTEXT.ADD.CURVE(C4546,"SOFR",$K$2:$K$7,$L$2:$L$7,,,"Actual360","LogLinear",TRUE)</f>
        <v>QSObject:ContextInput:w1~input.qs_context_add_curve.2359132437744.4545.3.0:36096</v>
      </c>
      <c r="E4546" s="6" t="str">
        <f>_xll.QS.INSTRUMENT.SWAP("swap.4544",H4546,B4546,"USD","SOFR",I4546,J4546,0,"Actual360","Simple","Annual","Annual","Annual")</f>
        <v>QSObject:Swap:w1~swap.4544:12480</v>
      </c>
      <c r="F4546" s="6" t="str">
        <f>_xll.QS.TRADE.CREATE("trade.4544",E4546,A4546,"Receive")</f>
        <v>QSObject:SwapTrade:w1~trade.4544:27311</v>
      </c>
      <c r="G4546" s="3">
        <f>_xll.QS.EVALUATE(C4546,F4546)</f>
        <v>49450.398709465102</v>
      </c>
      <c r="H4546" s="5" t="s">
        <v>4587</v>
      </c>
      <c r="I4546" s="7">
        <v>1454400</v>
      </c>
      <c r="J4546" s="8">
        <v>3.9399999999999998E-2</v>
      </c>
    </row>
    <row r="4547" spans="1:10" x14ac:dyDescent="0.25">
      <c r="A4547" s="5" t="s">
        <v>4581</v>
      </c>
      <c r="B4547" s="5" t="s">
        <v>6414</v>
      </c>
      <c r="C4547" s="6" t="str">
        <f>_xll.QS.CONTEXT.CREATE("market.4545",A4547,"USD","SOFR")</f>
        <v>QSObject:PricingContext:w1~market.4545:12479</v>
      </c>
      <c r="D4547" s="6" t="str">
        <f>_xll.QS.CONTEXT.ADD.CURVE(C4547,"SOFR",$K$2:$K$7,$L$2:$L$7,,,"Actual360","LogLinear",TRUE)</f>
        <v>QSObject:ContextInput:w1~input.qs_context_add_curve.2359132437744.4546.3.0:36095</v>
      </c>
      <c r="E4547" s="6" t="str">
        <f>_xll.QS.INSTRUMENT.SWAP("swap.4545",H4547,B4547,"USD","SOFR",I4547,J4547,0,"Actual360","Simple","Annual","Annual","Annual")</f>
        <v>QSObject:Swap:w1~swap.4545:12478</v>
      </c>
      <c r="F4547" s="6" t="str">
        <f>_xll.QS.TRADE.CREATE("trade.4545",E4547,A4547,"Receive")</f>
        <v>QSObject:SwapTrade:w1~trade.4545:27310</v>
      </c>
      <c r="G4547" s="3">
        <f>_xll.QS.EVALUATE(C4547,F4547)</f>
        <v>50231.022277697382</v>
      </c>
      <c r="H4547" s="5" t="s">
        <v>4588</v>
      </c>
      <c r="I4547" s="7">
        <v>1454500</v>
      </c>
      <c r="J4547" s="8">
        <v>3.9500000000000007E-2</v>
      </c>
    </row>
    <row r="4548" spans="1:10" x14ac:dyDescent="0.25">
      <c r="A4548" s="5" t="s">
        <v>4582</v>
      </c>
      <c r="B4548" s="5" t="s">
        <v>6415</v>
      </c>
      <c r="C4548" s="6" t="str">
        <f>_xll.QS.CONTEXT.CREATE("market.4546",A4548,"USD","SOFR")</f>
        <v>QSObject:PricingContext:w1~market.4546:12477</v>
      </c>
      <c r="D4548" s="6" t="str">
        <f>_xll.QS.CONTEXT.ADD.CURVE(C4548,"SOFR",$K$2:$K$7,$L$2:$L$7,,,"Actual360","LogLinear",TRUE)</f>
        <v>QSObject:ContextInput:w1~input.qs_context_add_curve.2359132437744.4547.3.0:36094</v>
      </c>
      <c r="E4548" s="6" t="str">
        <f>_xll.QS.INSTRUMENT.SWAP("swap.4546",H4548,B4548,"USD","SOFR",I4548,J4548,0,"Actual360","Simple","Annual","Annual","Annual")</f>
        <v>QSObject:Swap:w1~swap.4546:12476</v>
      </c>
      <c r="F4548" s="6" t="str">
        <f>_xll.QS.TRADE.CREATE("trade.4546",E4548,A4548,"Receive")</f>
        <v>QSObject:SwapTrade:w1~trade.4546:27309</v>
      </c>
      <c r="G4548" s="3">
        <f>_xll.QS.EVALUATE(C4548,F4548)</f>
        <v>50968.67908167289</v>
      </c>
      <c r="H4548" s="5" t="s">
        <v>4589</v>
      </c>
      <c r="I4548" s="7">
        <v>1454600</v>
      </c>
      <c r="J4548" s="8">
        <v>3.9600000000000003E-2</v>
      </c>
    </row>
    <row r="4549" spans="1:10" x14ac:dyDescent="0.25">
      <c r="A4549" s="5" t="s">
        <v>4583</v>
      </c>
      <c r="B4549" s="5" t="s">
        <v>6416</v>
      </c>
      <c r="C4549" s="6" t="str">
        <f>_xll.QS.CONTEXT.CREATE("market.4547",A4549,"USD","SOFR")</f>
        <v>QSObject:PricingContext:w1~market.4547:12475</v>
      </c>
      <c r="D4549" s="6" t="str">
        <f>_xll.QS.CONTEXT.ADD.CURVE(C4549,"SOFR",$K$2:$K$7,$L$2:$L$7,,,"Actual360","LogLinear",TRUE)</f>
        <v>QSObject:ContextInput:w1~input.qs_context_add_curve.2359132437744.4548.3.0:36093</v>
      </c>
      <c r="E4549" s="6" t="str">
        <f>_xll.QS.INSTRUMENT.SWAP("swap.4547",H4549,B4549,"USD","SOFR",I4549,J4549,0,"Actual360","Simple","Annual","Annual","Annual")</f>
        <v>QSObject:Swap:w1~swap.4547:12474</v>
      </c>
      <c r="F4549" s="6" t="str">
        <f>_xll.QS.TRADE.CREATE("trade.4547",E4549,A4549,"Receive")</f>
        <v>QSObject:SwapTrade:w1~trade.4547:27308</v>
      </c>
      <c r="G4549" s="3">
        <f>_xll.QS.EVALUATE(C4549,F4549)</f>
        <v>51587.645133985498</v>
      </c>
      <c r="H4549" s="5" t="s">
        <v>4590</v>
      </c>
      <c r="I4549" s="7">
        <v>1454700</v>
      </c>
      <c r="J4549" s="8">
        <v>3.9700000000000013E-2</v>
      </c>
    </row>
    <row r="4550" spans="1:10" x14ac:dyDescent="0.25">
      <c r="A4550" s="5" t="s">
        <v>4584</v>
      </c>
      <c r="B4550" s="5" t="s">
        <v>6417</v>
      </c>
      <c r="C4550" s="6" t="str">
        <f>_xll.QS.CONTEXT.CREATE("market.4548",A4550,"USD","SOFR")</f>
        <v>QSObject:PricingContext:w1~market.4548:12473</v>
      </c>
      <c r="D4550" s="6" t="str">
        <f>_xll.QS.CONTEXT.ADD.CURVE(C4550,"SOFR",$K$2:$K$7,$L$2:$L$7,,,"Actual360","LogLinear",TRUE)</f>
        <v>QSObject:ContextInput:w1~input.qs_context_add_curve.2359132437744.4549.3.0:36092</v>
      </c>
      <c r="E4550" s="6" t="str">
        <f>_xll.QS.INSTRUMENT.SWAP("swap.4548",H4550,B4550,"USD","SOFR",I4550,J4550,0,"Actual360","Simple","Annual","Annual","Annual")</f>
        <v>QSObject:Swap:w1~swap.4548:12472</v>
      </c>
      <c r="F4550" s="6" t="str">
        <f>_xll.QS.TRADE.CREATE("trade.4548",E4550,A4550,"Receive")</f>
        <v>QSObject:SwapTrade:w1~trade.4548:27307</v>
      </c>
      <c r="G4550" s="3">
        <f>_xll.QS.EVALUATE(C4550,F4550)</f>
        <v>52138.969989490186</v>
      </c>
      <c r="H4550" s="5" t="s">
        <v>4591</v>
      </c>
      <c r="I4550" s="7">
        <v>1454800</v>
      </c>
      <c r="J4550" s="8">
        <v>3.9800000000000002E-2</v>
      </c>
    </row>
    <row r="4551" spans="1:10" x14ac:dyDescent="0.25">
      <c r="A4551" s="5" t="s">
        <v>4585</v>
      </c>
      <c r="B4551" s="5" t="s">
        <v>6418</v>
      </c>
      <c r="C4551" s="6" t="str">
        <f>_xll.QS.CONTEXT.CREATE("market.4549",A4551,"USD","SOFR")</f>
        <v>QSObject:PricingContext:w1~market.4549:12471</v>
      </c>
      <c r="D4551" s="6" t="str">
        <f>_xll.QS.CONTEXT.ADD.CURVE(C4551,"SOFR",$K$2:$K$7,$L$2:$L$7,,,"Actual360","LogLinear",TRUE)</f>
        <v>QSObject:ContextInput:w1~input.qs_context_add_curve.2359132437744.4550.3.0:36091</v>
      </c>
      <c r="E4551" s="6" t="str">
        <f>_xll.QS.INSTRUMENT.SWAP("swap.4549",H4551,B4551,"USD","SOFR",I4551,J4551,0,"Actual360","Simple","Annual","Annual","Annual")</f>
        <v>QSObject:Swap:w1~swap.4549:12470</v>
      </c>
      <c r="F4551" s="6" t="str">
        <f>_xll.QS.TRADE.CREATE("trade.4549",E4551,A4551,"Receive")</f>
        <v>QSObject:SwapTrade:w1~trade.4549:27306</v>
      </c>
      <c r="G4551" s="3">
        <f>_xll.QS.EVALUATE(C4551,F4551)</f>
        <v>52729.453930923533</v>
      </c>
      <c r="H4551" s="5" t="s">
        <v>4592</v>
      </c>
      <c r="I4551" s="7">
        <v>1454900</v>
      </c>
      <c r="J4551" s="8">
        <v>3.9899999999999998E-2</v>
      </c>
    </row>
    <row r="4552" spans="1:10" x14ac:dyDescent="0.25">
      <c r="A4552" s="5" t="s">
        <v>4586</v>
      </c>
      <c r="B4552" s="5" t="s">
        <v>6419</v>
      </c>
      <c r="C4552" s="6" t="str">
        <f>_xll.QS.CONTEXT.CREATE("market.4550",A4552,"USD","SOFR")</f>
        <v>QSObject:PricingContext:w1~market.4550:12469</v>
      </c>
      <c r="D4552" s="6" t="str">
        <f>_xll.QS.CONTEXT.ADD.CURVE(C4552,"SOFR",$K$2:$K$7,$L$2:$L$7,,,"Actual360","LogLinear",TRUE)</f>
        <v>QSObject:ContextInput:w1~input.qs_context_add_curve.2359132437744.4551.3.0:36090</v>
      </c>
      <c r="E4552" s="6" t="str">
        <f>_xll.QS.INSTRUMENT.SWAP("swap.4550",H4552,B4552,"USD","SOFR",I4552,J4552,0,"Actual360","Simple","Annual","Annual","Annual")</f>
        <v>QSObject:Swap:w1~swap.4550:12468</v>
      </c>
      <c r="F4552" s="6" t="str">
        <f>_xll.QS.TRADE.CREATE("trade.4550",E4552,A4552,"Receive")</f>
        <v>QSObject:SwapTrade:w1~trade.4550:27305</v>
      </c>
      <c r="G4552" s="3">
        <f>_xll.QS.EVALUATE(C4552,F4552)</f>
        <v>19904.186813039414</v>
      </c>
      <c r="H4552" s="5" t="s">
        <v>4593</v>
      </c>
      <c r="I4552" s="7">
        <v>1455000</v>
      </c>
      <c r="J4552" s="8">
        <v>3.5000000000000003E-2</v>
      </c>
    </row>
    <row r="4553" spans="1:10" x14ac:dyDescent="0.25">
      <c r="A4553" s="5" t="s">
        <v>4587</v>
      </c>
      <c r="B4553" s="5" t="s">
        <v>6420</v>
      </c>
      <c r="C4553" s="6" t="str">
        <f>_xll.QS.CONTEXT.CREATE("market.4551",A4553,"USD","SOFR")</f>
        <v>QSObject:PricingContext:w1~market.4551:12467</v>
      </c>
      <c r="D4553" s="6" t="str">
        <f>_xll.QS.CONTEXT.ADD.CURVE(C4553,"SOFR",$K$2:$K$7,$L$2:$L$7,,,"Actual360","LogLinear",TRUE)</f>
        <v>QSObject:ContextInput:w1~input.qs_context_add_curve.2359132437744.4552.3.0:36089</v>
      </c>
      <c r="E4553" s="6" t="str">
        <f>_xll.QS.INSTRUMENT.SWAP("swap.4551",H4553,B4553,"USD","SOFR",I4553,J4553,0,"Actual360","Simple","Annual","Annual","Annual")</f>
        <v>QSObject:Swap:w1~swap.4551:12466</v>
      </c>
      <c r="F4553" s="6" t="str">
        <f>_xll.QS.TRADE.CREATE("trade.4551",E4553,A4553,"Receive")</f>
        <v>QSObject:SwapTrade:w1~trade.4551:27304</v>
      </c>
      <c r="G4553" s="3">
        <f>_xll.QS.EVALUATE(C4553,F4553)</f>
        <v>20621.522924745346</v>
      </c>
      <c r="H4553" s="5" t="s">
        <v>4594</v>
      </c>
      <c r="I4553" s="7">
        <v>1455100</v>
      </c>
      <c r="J4553" s="8">
        <v>3.5100000000000013E-2</v>
      </c>
    </row>
    <row r="4554" spans="1:10" x14ac:dyDescent="0.25">
      <c r="A4554" s="5" t="s">
        <v>4588</v>
      </c>
      <c r="B4554" s="5" t="s">
        <v>6421</v>
      </c>
      <c r="C4554" s="6" t="str">
        <f>_xll.QS.CONTEXT.CREATE("market.4552",A4554,"USD","SOFR")</f>
        <v>QSObject:PricingContext:w1~market.4552:12465</v>
      </c>
      <c r="D4554" s="6" t="str">
        <f>_xll.QS.CONTEXT.ADD.CURVE(C4554,"SOFR",$K$2:$K$7,$L$2:$L$7,,,"Actual360","LogLinear",TRUE)</f>
        <v>QSObject:ContextInput:w1~input.qs_context_add_curve.2359132437744.4553.3.0:36088</v>
      </c>
      <c r="E4554" s="6" t="str">
        <f>_xll.QS.INSTRUMENT.SWAP("swap.4552",H4554,B4554,"USD","SOFR",I4554,J4554,0,"Actual360","Simple","Annual","Annual","Annual")</f>
        <v>QSObject:Swap:w1~swap.4552:12464</v>
      </c>
      <c r="F4554" s="6" t="str">
        <f>_xll.QS.TRADE.CREATE("trade.4552",E4554,A4554,"Receive")</f>
        <v>QSObject:SwapTrade:w1~trade.4552:27303</v>
      </c>
      <c r="G4554" s="3">
        <f>_xll.QS.EVALUATE(C4554,F4554)</f>
        <v>21400.104705535945</v>
      </c>
      <c r="H4554" s="5" t="s">
        <v>4595</v>
      </c>
      <c r="I4554" s="7">
        <v>1455200</v>
      </c>
      <c r="J4554" s="8">
        <v>3.5200000000000002E-2</v>
      </c>
    </row>
    <row r="4555" spans="1:10" x14ac:dyDescent="0.25">
      <c r="A4555" s="5" t="s">
        <v>4589</v>
      </c>
      <c r="B4555" s="5" t="s">
        <v>6422</v>
      </c>
      <c r="C4555" s="6" t="str">
        <f>_xll.QS.CONTEXT.CREATE("market.4553",A4555,"USD","SOFR")</f>
        <v>QSObject:PricingContext:w1~market.4553:12463</v>
      </c>
      <c r="D4555" s="6" t="str">
        <f>_xll.QS.CONTEXT.ADD.CURVE(C4555,"SOFR",$K$2:$K$7,$L$2:$L$7,,,"Actual360","LogLinear",TRUE)</f>
        <v>QSObject:ContextInput:w1~input.qs_context_add_curve.2359132437744.4554.3.0:36087</v>
      </c>
      <c r="E4555" s="6" t="str">
        <f>_xll.QS.INSTRUMENT.SWAP("swap.4553",H4555,B4555,"USD","SOFR",I4555,J4555,0,"Actual360","Simple","Annual","Annual","Annual")</f>
        <v>QSObject:Swap:w1~swap.4553:12462</v>
      </c>
      <c r="F4555" s="6" t="str">
        <f>_xll.QS.TRADE.CREATE("trade.4553",E4555,A4555,"Receive")</f>
        <v>QSObject:SwapTrade:w1~trade.4553:27302</v>
      </c>
      <c r="G4555" s="3">
        <f>_xll.QS.EVALUATE(C4555,F4555)</f>
        <v>22135.823469149283</v>
      </c>
      <c r="H4555" s="5" t="s">
        <v>4596</v>
      </c>
      <c r="I4555" s="7">
        <v>1455300</v>
      </c>
      <c r="J4555" s="8">
        <v>3.5299999999999998E-2</v>
      </c>
    </row>
    <row r="4556" spans="1:10" x14ac:dyDescent="0.25">
      <c r="A4556" s="5" t="s">
        <v>4590</v>
      </c>
      <c r="B4556" s="5" t="s">
        <v>6423</v>
      </c>
      <c r="C4556" s="6" t="str">
        <f>_xll.QS.CONTEXT.CREATE("market.4554",A4556,"USD","SOFR")</f>
        <v>QSObject:PricingContext:w1~market.4554:12461</v>
      </c>
      <c r="D4556" s="6" t="str">
        <f>_xll.QS.CONTEXT.ADD.CURVE(C4556,"SOFR",$K$2:$K$7,$L$2:$L$7,,,"Actual360","LogLinear",TRUE)</f>
        <v>QSObject:ContextInput:w1~input.qs_context_add_curve.2359132437744.4555.3.0:36086</v>
      </c>
      <c r="E4556" s="6" t="str">
        <f>_xll.QS.INSTRUMENT.SWAP("swap.4554",H4556,B4556,"USD","SOFR",I4556,J4556,0,"Actual360","Simple","Annual","Annual","Annual")</f>
        <v>QSObject:Swap:w1~swap.4554:12460</v>
      </c>
      <c r="F4556" s="6" t="str">
        <f>_xll.QS.TRADE.CREATE("trade.4554",E4556,A4556,"Receive")</f>
        <v>QSObject:SwapTrade:w1~trade.4554:27301</v>
      </c>
      <c r="G4556" s="3">
        <f>_xll.QS.EVALUATE(C4556,F4556)</f>
        <v>22753.335409761756</v>
      </c>
      <c r="H4556" s="5" t="s">
        <v>4597</v>
      </c>
      <c r="I4556" s="7">
        <v>1455400</v>
      </c>
      <c r="J4556" s="8">
        <v>3.5400000000000001E-2</v>
      </c>
    </row>
    <row r="4557" spans="1:10" x14ac:dyDescent="0.25">
      <c r="A4557" s="5" t="s">
        <v>4591</v>
      </c>
      <c r="B4557" s="5" t="s">
        <v>6424</v>
      </c>
      <c r="C4557" s="6" t="str">
        <f>_xll.QS.CONTEXT.CREATE("market.4555",A4557,"USD","SOFR")</f>
        <v>QSObject:PricingContext:w1~market.4555:12459</v>
      </c>
      <c r="D4557" s="6" t="str">
        <f>_xll.QS.CONTEXT.ADD.CURVE(C4557,"SOFR",$K$2:$K$7,$L$2:$L$7,,,"Actual360","LogLinear",TRUE)</f>
        <v>QSObject:ContextInput:w1~input.qs_context_add_curve.2359132437744.4556.3.0:36085</v>
      </c>
      <c r="E4557" s="6" t="str">
        <f>_xll.QS.INSTRUMENT.SWAP("swap.4555",H4557,B4557,"USD","SOFR",I4557,J4557,0,"Actual360","Simple","Annual","Annual","Annual")</f>
        <v>QSObject:Swap:w1~swap.4555:12458</v>
      </c>
      <c r="F4557" s="6" t="str">
        <f>_xll.QS.TRADE.CREATE("trade.4555",E4557,A4557,"Receive")</f>
        <v>QSObject:SwapTrade:w1~trade.4555:27300</v>
      </c>
      <c r="G4557" s="3">
        <f>_xll.QS.EVALUATE(C4557,F4557)</f>
        <v>23384.146386980887</v>
      </c>
      <c r="H4557" s="5" t="s">
        <v>4598</v>
      </c>
      <c r="I4557" s="7">
        <v>1455500</v>
      </c>
      <c r="J4557" s="8">
        <v>3.5499999999999997E-2</v>
      </c>
    </row>
    <row r="4558" spans="1:10" x14ac:dyDescent="0.25">
      <c r="A4558" s="5" t="s">
        <v>4592</v>
      </c>
      <c r="B4558" s="5" t="s">
        <v>6425</v>
      </c>
      <c r="C4558" s="6" t="str">
        <f>_xll.QS.CONTEXT.CREATE("market.4556",A4558,"USD","SOFR")</f>
        <v>QSObject:PricingContext:w1~market.4556:12457</v>
      </c>
      <c r="D4558" s="6" t="str">
        <f>_xll.QS.CONTEXT.ADD.CURVE(C4558,"SOFR",$K$2:$K$7,$L$2:$L$7,,,"Actual360","LogLinear",TRUE)</f>
        <v>QSObject:ContextInput:w1~input.qs_context_add_curve.2359132437744.4557.3.0:36084</v>
      </c>
      <c r="E4558" s="6" t="str">
        <f>_xll.QS.INSTRUMENT.SWAP("swap.4556",H4558,B4558,"USD","SOFR",I4558,J4558,0,"Actual360","Simple","Annual","Annual","Annual")</f>
        <v>QSObject:Swap:w1~swap.4556:12456</v>
      </c>
      <c r="F4558" s="6" t="str">
        <f>_xll.QS.TRADE.CREATE("trade.4556",E4558,A4558,"Receive")</f>
        <v>QSObject:SwapTrade:w1~trade.4556:27299</v>
      </c>
      <c r="G4558" s="3">
        <f>_xll.QS.EVALUATE(C4558,F4558)</f>
        <v>24059.213029926927</v>
      </c>
      <c r="H4558" s="5" t="s">
        <v>4599</v>
      </c>
      <c r="I4558" s="7">
        <v>1455600</v>
      </c>
      <c r="J4558" s="8">
        <v>3.5600000000000007E-2</v>
      </c>
    </row>
    <row r="4559" spans="1:10" x14ac:dyDescent="0.25">
      <c r="A4559" s="5" t="s">
        <v>4593</v>
      </c>
      <c r="B4559" s="5" t="s">
        <v>6426</v>
      </c>
      <c r="C4559" s="6" t="str">
        <f>_xll.QS.CONTEXT.CREATE("market.4557",A4559,"USD","SOFR")</f>
        <v>QSObject:PricingContext:w1~market.4557:12455</v>
      </c>
      <c r="D4559" s="6" t="str">
        <f>_xll.QS.CONTEXT.ADD.CURVE(C4559,"SOFR",$K$2:$K$7,$L$2:$L$7,,,"Actual360","LogLinear",TRUE)</f>
        <v>QSObject:ContextInput:w1~input.qs_context_add_curve.2359132437744.4558.3.0:36083</v>
      </c>
      <c r="E4559" s="6" t="str">
        <f>_xll.QS.INSTRUMENT.SWAP("swap.4557",H4559,B4559,"USD","SOFR",I4559,J4559,0,"Actual360","Simple","Annual","Annual","Annual")</f>
        <v>QSObject:Swap:w1~swap.4557:12454</v>
      </c>
      <c r="F4559" s="6" t="str">
        <f>_xll.QS.TRADE.CREATE("trade.4557",E4559,A4559,"Receive")</f>
        <v>QSObject:SwapTrade:w1~trade.4557:27298</v>
      </c>
      <c r="G4559" s="3">
        <f>_xll.QS.EVALUATE(C4559,F4559)</f>
        <v>24614.948431740944</v>
      </c>
      <c r="H4559" s="5" t="s">
        <v>4600</v>
      </c>
      <c r="I4559" s="7">
        <v>1455700</v>
      </c>
      <c r="J4559" s="8">
        <v>3.5700000000000003E-2</v>
      </c>
    </row>
    <row r="4560" spans="1:10" x14ac:dyDescent="0.25">
      <c r="A4560" s="5" t="s">
        <v>4594</v>
      </c>
      <c r="B4560" s="5" t="s">
        <v>6427</v>
      </c>
      <c r="C4560" s="6" t="str">
        <f>_xll.QS.CONTEXT.CREATE("market.4558",A4560,"USD","SOFR")</f>
        <v>QSObject:PricingContext:w1~market.4558:12453</v>
      </c>
      <c r="D4560" s="6" t="str">
        <f>_xll.QS.CONTEXT.ADD.CURVE(C4560,"SOFR",$K$2:$K$7,$L$2:$L$7,,,"Actual360","LogLinear",TRUE)</f>
        <v>QSObject:ContextInput:w1~input.qs_context_add_curve.2359132437744.4559.3.0:36082</v>
      </c>
      <c r="E4560" s="6" t="str">
        <f>_xll.QS.INSTRUMENT.SWAP("swap.4558",H4560,B4560,"USD","SOFR",I4560,J4560,0,"Actual360","Simple","Annual","Annual","Annual")</f>
        <v>QSObject:Swap:w1~swap.4558:12452</v>
      </c>
      <c r="F4560" s="6" t="str">
        <f>_xll.QS.TRADE.CREATE("trade.4558",E4560,A4560,"Receive")</f>
        <v>QSObject:SwapTrade:w1~trade.4558:27297</v>
      </c>
      <c r="G4560" s="3">
        <f>_xll.QS.EVALUATE(C4560,F4560)</f>
        <v>25330.538357284451</v>
      </c>
      <c r="H4560" s="5" t="s">
        <v>4601</v>
      </c>
      <c r="I4560" s="7">
        <v>1455800</v>
      </c>
      <c r="J4560" s="8">
        <v>3.5800000000000012E-2</v>
      </c>
    </row>
    <row r="4561" spans="1:10" x14ac:dyDescent="0.25">
      <c r="A4561" s="5" t="s">
        <v>4595</v>
      </c>
      <c r="B4561" s="5" t="s">
        <v>6428</v>
      </c>
      <c r="C4561" s="6" t="str">
        <f>_xll.QS.CONTEXT.CREATE("market.4559",A4561,"USD","SOFR")</f>
        <v>QSObject:PricingContext:w1~market.4559:12451</v>
      </c>
      <c r="D4561" s="6" t="str">
        <f>_xll.QS.CONTEXT.ADD.CURVE(C4561,"SOFR",$K$2:$K$7,$L$2:$L$7,,,"Actual360","LogLinear",TRUE)</f>
        <v>QSObject:ContextInput:w1~input.qs_context_add_curve.2359132437744.4560.3.0:36081</v>
      </c>
      <c r="E4561" s="6" t="str">
        <f>_xll.QS.INSTRUMENT.SWAP("swap.4559",H4561,B4561,"USD","SOFR",I4561,J4561,0,"Actual360","Simple","Annual","Annual","Annual")</f>
        <v>QSObject:Swap:w1~swap.4559:12450</v>
      </c>
      <c r="F4561" s="6" t="str">
        <f>_xll.QS.TRADE.CREATE("trade.4559",E4561,A4561,"Receive")</f>
        <v>QSObject:SwapTrade:w1~trade.4559:27296</v>
      </c>
      <c r="G4561" s="3">
        <f>_xll.QS.EVALUATE(C4561,F4561)</f>
        <v>26165.57728614418</v>
      </c>
      <c r="H4561" s="5" t="s">
        <v>4602</v>
      </c>
      <c r="I4561" s="7">
        <v>1455900</v>
      </c>
      <c r="J4561" s="8">
        <v>3.5900000000000001E-2</v>
      </c>
    </row>
    <row r="4562" spans="1:10" x14ac:dyDescent="0.25">
      <c r="A4562" s="5" t="s">
        <v>4596</v>
      </c>
      <c r="B4562" s="5" t="s">
        <v>6429</v>
      </c>
      <c r="C4562" s="6" t="str">
        <f>_xll.QS.CONTEXT.CREATE("market.4560",A4562,"USD","SOFR")</f>
        <v>QSObject:PricingContext:w1~market.4560:12449</v>
      </c>
      <c r="D4562" s="6" t="str">
        <f>_xll.QS.CONTEXT.ADD.CURVE(C4562,"SOFR",$K$2:$K$7,$L$2:$L$7,,,"Actual360","LogLinear",TRUE)</f>
        <v>QSObject:ContextInput:w1~input.qs_context_add_curve.2359132437744.4561.3.0:36080</v>
      </c>
      <c r="E4562" s="6" t="str">
        <f>_xll.QS.INSTRUMENT.SWAP("swap.4560",H4562,B4562,"USD","SOFR",I4562,J4562,0,"Actual360","Simple","Annual","Annual","Annual")</f>
        <v>QSObject:Swap:w1~swap.4560:12448</v>
      </c>
      <c r="F4562" s="6" t="str">
        <f>_xll.QS.TRADE.CREATE("trade.4560",E4562,A4562,"Receive")</f>
        <v>QSObject:SwapTrade:w1~trade.4560:27295</v>
      </c>
      <c r="G4562" s="3">
        <f>_xll.QS.EVALUATE(C4562,F4562)</f>
        <v>26839.624722535591</v>
      </c>
      <c r="H4562" s="5" t="s">
        <v>4603</v>
      </c>
      <c r="I4562" s="7">
        <v>1456000</v>
      </c>
      <c r="J4562" s="8">
        <v>3.5999999999999997E-2</v>
      </c>
    </row>
    <row r="4563" spans="1:10" x14ac:dyDescent="0.25">
      <c r="A4563" s="5" t="s">
        <v>4597</v>
      </c>
      <c r="B4563" s="5" t="s">
        <v>6430</v>
      </c>
      <c r="C4563" s="6" t="str">
        <f>_xll.QS.CONTEXT.CREATE("market.4561",A4563,"USD","SOFR")</f>
        <v>QSObject:PricingContext:w1~market.4561:12447</v>
      </c>
      <c r="D4563" s="6" t="str">
        <f>_xll.QS.CONTEXT.ADD.CURVE(C4563,"SOFR",$K$2:$K$7,$L$2:$L$7,,,"Actual360","LogLinear",TRUE)</f>
        <v>QSObject:ContextInput:w1~input.qs_context_add_curve.2359132437744.4562.3.0:36079</v>
      </c>
      <c r="E4563" s="6" t="str">
        <f>_xll.QS.INSTRUMENT.SWAP("swap.4561",H4563,B4563,"USD","SOFR",I4563,J4563,0,"Actual360","Simple","Annual","Annual","Annual")</f>
        <v>QSObject:Swap:w1~swap.4561:12446</v>
      </c>
      <c r="F4563" s="6" t="str">
        <f>_xll.QS.TRADE.CREATE("trade.4561",E4563,A4563,"Receive")</f>
        <v>QSObject:SwapTrade:w1~trade.4561:27294</v>
      </c>
      <c r="G4563" s="3">
        <f>_xll.QS.EVALUATE(C4563,F4563)</f>
        <v>27519.085098900876</v>
      </c>
      <c r="H4563" s="5" t="s">
        <v>4604</v>
      </c>
      <c r="I4563" s="7">
        <v>1456100</v>
      </c>
      <c r="J4563" s="8">
        <v>3.61E-2</v>
      </c>
    </row>
    <row r="4564" spans="1:10" x14ac:dyDescent="0.25">
      <c r="A4564" s="5" t="s">
        <v>4598</v>
      </c>
      <c r="B4564" s="5" t="s">
        <v>6431</v>
      </c>
      <c r="C4564" s="6" t="str">
        <f>_xll.QS.CONTEXT.CREATE("market.4562",A4564,"USD","SOFR")</f>
        <v>QSObject:PricingContext:w1~market.4562:12445</v>
      </c>
      <c r="D4564" s="6" t="str">
        <f>_xll.QS.CONTEXT.ADD.CURVE(C4564,"SOFR",$K$2:$K$7,$L$2:$L$7,,,"Actual360","LogLinear",TRUE)</f>
        <v>QSObject:ContextInput:w1~input.qs_context_add_curve.2359132437744.4563.3.0:36078</v>
      </c>
      <c r="E4564" s="6" t="str">
        <f>_xll.QS.INSTRUMENT.SWAP("swap.4562",H4564,B4564,"USD","SOFR",I4564,J4564,0,"Actual360","Simple","Annual","Annual","Annual")</f>
        <v>QSObject:Swap:w1~swap.4562:12444</v>
      </c>
      <c r="F4564" s="6" t="str">
        <f>_xll.QS.TRADE.CREATE("trade.4562",E4564,A4564,"Receive")</f>
        <v>QSObject:SwapTrade:w1~trade.4562:27293</v>
      </c>
      <c r="G4564" s="3">
        <f>_xll.QS.EVALUATE(C4564,F4564)</f>
        <v>28097.943077548916</v>
      </c>
      <c r="H4564" s="5" t="s">
        <v>4605</v>
      </c>
      <c r="I4564" s="7">
        <v>1456200</v>
      </c>
      <c r="J4564" s="8">
        <v>3.6200000000000003E-2</v>
      </c>
    </row>
    <row r="4565" spans="1:10" x14ac:dyDescent="0.25">
      <c r="A4565" s="5" t="s">
        <v>4599</v>
      </c>
      <c r="B4565" s="5" t="s">
        <v>6432</v>
      </c>
      <c r="C4565" s="6" t="str">
        <f>_xll.QS.CONTEXT.CREATE("market.4563",A4565,"USD","SOFR")</f>
        <v>QSObject:PricingContext:w1~market.4563:12443</v>
      </c>
      <c r="D4565" s="6" t="str">
        <f>_xll.QS.CONTEXT.ADD.CURVE(C4565,"SOFR",$K$2:$K$7,$L$2:$L$7,,,"Actual360","LogLinear",TRUE)</f>
        <v>QSObject:ContextInput:w1~input.qs_context_add_curve.2359132437744.4564.3.0:36077</v>
      </c>
      <c r="E4565" s="6" t="str">
        <f>_xll.QS.INSTRUMENT.SWAP("swap.4563",H4565,B4565,"USD","SOFR",I4565,J4565,0,"Actual360","Simple","Annual","Annual","Annual")</f>
        <v>QSObject:Swap:w1~swap.4563:12442</v>
      </c>
      <c r="F4565" s="6" t="str">
        <f>_xll.QS.TRADE.CREATE("trade.4563",E4565,A4565,"Receive")</f>
        <v>QSObject:SwapTrade:w1~trade.4563:27292</v>
      </c>
      <c r="G4565" s="3">
        <f>_xll.QS.EVALUATE(C4565,F4565)</f>
        <v>28649.616013342478</v>
      </c>
      <c r="H4565" s="5" t="s">
        <v>4606</v>
      </c>
      <c r="I4565" s="7">
        <v>1456300</v>
      </c>
      <c r="J4565" s="8">
        <v>3.6300000000000013E-2</v>
      </c>
    </row>
    <row r="4566" spans="1:10" x14ac:dyDescent="0.25">
      <c r="A4566" s="5" t="s">
        <v>4600</v>
      </c>
      <c r="B4566" s="5" t="s">
        <v>6433</v>
      </c>
      <c r="C4566" s="6" t="str">
        <f>_xll.QS.CONTEXT.CREATE("market.4564",A4566,"USD","SOFR")</f>
        <v>QSObject:PricingContext:w1~market.4564:12441</v>
      </c>
      <c r="D4566" s="6" t="str">
        <f>_xll.QS.CONTEXT.ADD.CURVE(C4566,"SOFR",$K$2:$K$7,$L$2:$L$7,,,"Actual360","LogLinear",TRUE)</f>
        <v>QSObject:ContextInput:w1~input.qs_context_add_curve.2359132437744.4565.3.0:36076</v>
      </c>
      <c r="E4566" s="6" t="str">
        <f>_xll.QS.INSTRUMENT.SWAP("swap.4564",H4566,B4566,"USD","SOFR",I4566,J4566,0,"Actual360","Simple","Annual","Annual","Annual")</f>
        <v>QSObject:Swap:w1~swap.4564:12440</v>
      </c>
      <c r="F4566" s="6" t="str">
        <f>_xll.QS.TRADE.CREATE("trade.4564",E4566,A4566,"Receive")</f>
        <v>QSObject:SwapTrade:w1~trade.4564:27291</v>
      </c>
      <c r="G4566" s="3">
        <f>_xll.QS.EVALUATE(C4566,F4566)</f>
        <v>29384.308799091297</v>
      </c>
      <c r="H4566" s="5" t="s">
        <v>4607</v>
      </c>
      <c r="I4566" s="7">
        <v>1456400</v>
      </c>
      <c r="J4566" s="8">
        <v>3.6400000000000002E-2</v>
      </c>
    </row>
    <row r="4567" spans="1:10" x14ac:dyDescent="0.25">
      <c r="A4567" s="5" t="s">
        <v>4601</v>
      </c>
      <c r="B4567" s="5" t="s">
        <v>6434</v>
      </c>
      <c r="C4567" s="6" t="str">
        <f>_xll.QS.CONTEXT.CREATE("market.4565",A4567,"USD","SOFR")</f>
        <v>QSObject:PricingContext:w1~market.4565:12439</v>
      </c>
      <c r="D4567" s="6" t="str">
        <f>_xll.QS.CONTEXT.ADD.CURVE(C4567,"SOFR",$K$2:$K$7,$L$2:$L$7,,,"Actual360","LogLinear",TRUE)</f>
        <v>QSObject:ContextInput:w1~input.qs_context_add_curve.2359132437744.4566.3.0:36075</v>
      </c>
      <c r="E4567" s="6" t="str">
        <f>_xll.QS.INSTRUMENT.SWAP("swap.4565",H4567,B4567,"USD","SOFR",I4567,J4567,0,"Actual360","Simple","Annual","Annual","Annual")</f>
        <v>QSObject:Swap:w1~swap.4565:12438</v>
      </c>
      <c r="F4567" s="6" t="str">
        <f>_xll.QS.TRADE.CREATE("trade.4565",E4567,A4567,"Receive")</f>
        <v>QSObject:SwapTrade:w1~trade.4565:27290</v>
      </c>
      <c r="G4567" s="3">
        <f>_xll.QS.EVALUATE(C4567,F4567)</f>
        <v>30208.565429339018</v>
      </c>
      <c r="H4567" s="5" t="s">
        <v>4608</v>
      </c>
      <c r="I4567" s="7">
        <v>1456500</v>
      </c>
      <c r="J4567" s="8">
        <v>3.6499999999999998E-2</v>
      </c>
    </row>
    <row r="4568" spans="1:10" x14ac:dyDescent="0.25">
      <c r="A4568" s="5" t="s">
        <v>4602</v>
      </c>
      <c r="B4568" s="5" t="s">
        <v>6435</v>
      </c>
      <c r="C4568" s="6" t="str">
        <f>_xll.QS.CONTEXT.CREATE("market.4566",A4568,"USD","SOFR")</f>
        <v>QSObject:PricingContext:w1~market.4566:12437</v>
      </c>
      <c r="D4568" s="6" t="str">
        <f>_xll.QS.CONTEXT.ADD.CURVE(C4568,"SOFR",$K$2:$K$7,$L$2:$L$7,,,"Actual360","LogLinear",TRUE)</f>
        <v>QSObject:ContextInput:w1~input.qs_context_add_curve.2359132437744.4567.3.0:36074</v>
      </c>
      <c r="E4568" s="6" t="str">
        <f>_xll.QS.INSTRUMENT.SWAP("swap.4566",H4568,B4568,"USD","SOFR",I4568,J4568,0,"Actual360","Simple","Annual","Annual","Annual")</f>
        <v>QSObject:Swap:w1~swap.4566:12436</v>
      </c>
      <c r="F4568" s="6" t="str">
        <f>_xll.QS.TRADE.CREATE("trade.4566",E4568,A4568,"Receive")</f>
        <v>QSObject:SwapTrade:w1~trade.4566:27289</v>
      </c>
      <c r="G4568" s="3">
        <f>_xll.QS.EVALUATE(C4568,F4568)</f>
        <v>30891.672999565562</v>
      </c>
      <c r="H4568" s="5" t="s">
        <v>4609</v>
      </c>
      <c r="I4568" s="7">
        <v>1456600</v>
      </c>
      <c r="J4568" s="8">
        <v>3.6600000000000001E-2</v>
      </c>
    </row>
    <row r="4569" spans="1:10" x14ac:dyDescent="0.25">
      <c r="A4569" s="5" t="s">
        <v>4603</v>
      </c>
      <c r="B4569" s="5" t="s">
        <v>6436</v>
      </c>
      <c r="C4569" s="6" t="str">
        <f>_xll.QS.CONTEXT.CREATE("market.4567",A4569,"USD","SOFR")</f>
        <v>QSObject:PricingContext:w1~market.4567:12435</v>
      </c>
      <c r="D4569" s="6" t="str">
        <f>_xll.QS.CONTEXT.ADD.CURVE(C4569,"SOFR",$K$2:$K$7,$L$2:$L$7,,,"Actual360","LogLinear",TRUE)</f>
        <v>QSObject:ContextInput:w1~input.qs_context_add_curve.2359132437744.4568.3.0:36073</v>
      </c>
      <c r="E4569" s="6" t="str">
        <f>_xll.QS.INSTRUMENT.SWAP("swap.4567",H4569,B4569,"USD","SOFR",I4569,J4569,0,"Actual360","Simple","Annual","Annual","Annual")</f>
        <v>QSObject:Swap:w1~swap.4567:12434</v>
      </c>
      <c r="F4569" s="6" t="str">
        <f>_xll.QS.TRADE.CREATE("trade.4567",E4569,A4569,"Receive")</f>
        <v>QSObject:SwapTrade:w1~trade.4567:27288</v>
      </c>
      <c r="G4569" s="3">
        <f>_xll.QS.EVALUATE(C4569,F4569)</f>
        <v>31561.583706143305</v>
      </c>
      <c r="H4569" s="5" t="s">
        <v>4610</v>
      </c>
      <c r="I4569" s="7">
        <v>1456700</v>
      </c>
      <c r="J4569" s="8">
        <v>3.6700000000000003E-2</v>
      </c>
    </row>
    <row r="4570" spans="1:10" x14ac:dyDescent="0.25">
      <c r="A4570" s="5" t="s">
        <v>4604</v>
      </c>
      <c r="B4570" s="5" t="s">
        <v>6437</v>
      </c>
      <c r="C4570" s="6" t="str">
        <f>_xll.QS.CONTEXT.CREATE("market.4568",A4570,"USD","SOFR")</f>
        <v>QSObject:PricingContext:w1~market.4568:12433</v>
      </c>
      <c r="D4570" s="6" t="str">
        <f>_xll.QS.CONTEXT.ADD.CURVE(C4570,"SOFR",$K$2:$K$7,$L$2:$L$7,,,"Actual360","LogLinear",TRUE)</f>
        <v>QSObject:ContextInput:w1~input.qs_context_add_curve.2359132437744.4569.3.0:36072</v>
      </c>
      <c r="E4570" s="6" t="str">
        <f>_xll.QS.INSTRUMENT.SWAP("swap.4568",H4570,B4570,"USD","SOFR",I4570,J4570,0,"Actual360","Simple","Annual","Annual","Annual")</f>
        <v>QSObject:Swap:w1~swap.4568:12432</v>
      </c>
      <c r="F4570" s="6" t="str">
        <f>_xll.QS.TRADE.CREATE("trade.4568",E4570,A4570,"Receive")</f>
        <v>QSObject:SwapTrade:w1~trade.4568:27287</v>
      </c>
      <c r="G4570" s="3">
        <f>_xll.QS.EVALUATE(C4570,F4570)</f>
        <v>32180.257972800697</v>
      </c>
      <c r="H4570" s="5" t="s">
        <v>4611</v>
      </c>
      <c r="I4570" s="7">
        <v>1456800</v>
      </c>
      <c r="J4570" s="8">
        <v>3.6800000000000013E-2</v>
      </c>
    </row>
    <row r="4571" spans="1:10" x14ac:dyDescent="0.25">
      <c r="A4571" s="5" t="s">
        <v>4605</v>
      </c>
      <c r="B4571" s="5" t="s">
        <v>6438</v>
      </c>
      <c r="C4571" s="6" t="str">
        <f>_xll.QS.CONTEXT.CREATE("market.4569",A4571,"USD","SOFR")</f>
        <v>QSObject:PricingContext:w1~market.4569:12431</v>
      </c>
      <c r="D4571" s="6" t="str">
        <f>_xll.QS.CONTEXT.ADD.CURVE(C4571,"SOFR",$K$2:$K$7,$L$2:$L$7,,,"Actual360","LogLinear",TRUE)</f>
        <v>QSObject:ContextInput:w1~input.qs_context_add_curve.2359132437744.4570.3.0:36071</v>
      </c>
      <c r="E4571" s="6" t="str">
        <f>_xll.QS.INSTRUMENT.SWAP("swap.4569",H4571,B4571,"USD","SOFR",I4571,J4571,0,"Actual360","Simple","Annual","Annual","Annual")</f>
        <v>QSObject:Swap:w1~swap.4569:12430</v>
      </c>
      <c r="F4571" s="6" t="str">
        <f>_xll.QS.TRADE.CREATE("trade.4569",E4571,A4571,"Receive")</f>
        <v>QSObject:SwapTrade:w1~trade.4569:27286</v>
      </c>
      <c r="G4571" s="3">
        <f>_xll.QS.EVALUATE(C4571,F4571)</f>
        <v>32753.996550325595</v>
      </c>
      <c r="H4571" s="5" t="s">
        <v>4612</v>
      </c>
      <c r="I4571" s="7">
        <v>1456900</v>
      </c>
      <c r="J4571" s="8">
        <v>3.6900000000000002E-2</v>
      </c>
    </row>
    <row r="4572" spans="1:10" x14ac:dyDescent="0.25">
      <c r="A4572" s="5" t="s">
        <v>4606</v>
      </c>
      <c r="B4572" s="5" t="s">
        <v>6439</v>
      </c>
      <c r="C4572" s="6" t="str">
        <f>_xll.QS.CONTEXT.CREATE("market.4570",A4572,"USD","SOFR")</f>
        <v>QSObject:PricingContext:w1~market.4570:12429</v>
      </c>
      <c r="D4572" s="6" t="str">
        <f>_xll.QS.CONTEXT.ADD.CURVE(C4572,"SOFR",$K$2:$K$7,$L$2:$L$7,,,"Actual360","LogLinear",TRUE)</f>
        <v>QSObject:ContextInput:w1~input.qs_context_add_curve.2359132437744.4571.3.0:36070</v>
      </c>
      <c r="E4572" s="6" t="str">
        <f>_xll.QS.INSTRUMENT.SWAP("swap.4570",H4572,B4572,"USD","SOFR",I4572,J4572,0,"Actual360","Simple","Annual","Annual","Annual")</f>
        <v>QSObject:Swap:w1~swap.4570:12428</v>
      </c>
      <c r="F4572" s="6" t="str">
        <f>_xll.QS.TRADE.CREATE("trade.4570",E4572,A4572,"Receive")</f>
        <v>QSObject:SwapTrade:w1~trade.4570:27285</v>
      </c>
      <c r="G4572" s="3">
        <f>_xll.QS.EVALUATE(C4572,F4572)</f>
        <v>33313.785477236241</v>
      </c>
      <c r="H4572" s="5" t="s">
        <v>4613</v>
      </c>
      <c r="I4572" s="7">
        <v>1457000</v>
      </c>
      <c r="J4572" s="8">
        <v>3.7000000000000012E-2</v>
      </c>
    </row>
    <row r="4573" spans="1:10" x14ac:dyDescent="0.25">
      <c r="A4573" s="5" t="s">
        <v>4607</v>
      </c>
      <c r="B4573" s="5" t="s">
        <v>6440</v>
      </c>
      <c r="C4573" s="6" t="str">
        <f>_xll.QS.CONTEXT.CREATE("market.4571",A4573,"USD","SOFR")</f>
        <v>QSObject:PricingContext:w1~market.4571:12427</v>
      </c>
      <c r="D4573" s="6" t="str">
        <f>_xll.QS.CONTEXT.ADD.CURVE(C4573,"SOFR",$K$2:$K$7,$L$2:$L$7,,,"Actual360","LogLinear",TRUE)</f>
        <v>QSObject:ContextInput:w1~input.qs_context_add_curve.2359132437744.4572.3.0:36069</v>
      </c>
      <c r="E4573" s="6" t="str">
        <f>_xll.QS.INSTRUMENT.SWAP("swap.4571",H4573,B4573,"USD","SOFR",I4573,J4573,0,"Actual360","Simple","Annual","Annual","Annual")</f>
        <v>QSObject:Swap:w1~swap.4571:12426</v>
      </c>
      <c r="F4573" s="6" t="str">
        <f>_xll.QS.TRADE.CREATE("trade.4571",E4573,A4573,"Receive")</f>
        <v>QSObject:SwapTrade:w1~trade.4571:27284</v>
      </c>
      <c r="G4573" s="3">
        <f>_xll.QS.EVALUATE(C4573,F4573)</f>
        <v>34050.03557656263</v>
      </c>
      <c r="H4573" s="5" t="s">
        <v>4614</v>
      </c>
      <c r="I4573" s="7">
        <v>1457100</v>
      </c>
      <c r="J4573" s="8">
        <v>3.7100000000000001E-2</v>
      </c>
    </row>
    <row r="4574" spans="1:10" x14ac:dyDescent="0.25">
      <c r="A4574" s="5" t="s">
        <v>4608</v>
      </c>
      <c r="B4574" s="5" t="s">
        <v>6441</v>
      </c>
      <c r="C4574" s="6" t="str">
        <f>_xll.QS.CONTEXT.CREATE("market.4572",A4574,"USD","SOFR")</f>
        <v>QSObject:PricingContext:w1~market.4572:12425</v>
      </c>
      <c r="D4574" s="6" t="str">
        <f>_xll.QS.CONTEXT.ADD.CURVE(C4574,"SOFR",$K$2:$K$7,$L$2:$L$7,,,"Actual360","LogLinear",TRUE)</f>
        <v>QSObject:ContextInput:w1~input.qs_context_add_curve.2359132437744.4573.3.0:36068</v>
      </c>
      <c r="E4574" s="6" t="str">
        <f>_xll.QS.INSTRUMENT.SWAP("swap.4572",H4574,B4574,"USD","SOFR",I4574,J4574,0,"Actual360","Simple","Annual","Annual","Annual")</f>
        <v>QSObject:Swap:w1~swap.4572:12424</v>
      </c>
      <c r="F4574" s="6" t="str">
        <f>_xll.QS.TRADE.CREATE("trade.4572",E4574,A4574,"Receive")</f>
        <v>QSObject:SwapTrade:w1~trade.4572:27283</v>
      </c>
      <c r="G4574" s="3">
        <f>_xll.QS.EVALUATE(C4574,F4574)</f>
        <v>34762.461651998223</v>
      </c>
      <c r="H4574" s="5" t="s">
        <v>4615</v>
      </c>
      <c r="I4574" s="7">
        <v>1457200</v>
      </c>
      <c r="J4574" s="8">
        <v>3.7199999999999997E-2</v>
      </c>
    </row>
    <row r="4575" spans="1:10" x14ac:dyDescent="0.25">
      <c r="A4575" s="5" t="s">
        <v>4609</v>
      </c>
      <c r="B4575" s="5" t="s">
        <v>6442</v>
      </c>
      <c r="C4575" s="6" t="str">
        <f>_xll.QS.CONTEXT.CREATE("market.4573",A4575,"USD","SOFR")</f>
        <v>QSObject:PricingContext:w1~market.4573:12423</v>
      </c>
      <c r="D4575" s="6" t="str">
        <f>_xll.QS.CONTEXT.ADD.CURVE(C4575,"SOFR",$K$2:$K$7,$L$2:$L$7,,,"Actual360","LogLinear",TRUE)</f>
        <v>QSObject:ContextInput:w1~input.qs_context_add_curve.2359132437744.4574.3.0:36067</v>
      </c>
      <c r="E4575" s="6" t="str">
        <f>_xll.QS.INSTRUMENT.SWAP("swap.4573",H4575,B4575,"USD","SOFR",I4575,J4575,0,"Actual360","Simple","Annual","Annual","Annual")</f>
        <v>QSObject:Swap:w1~swap.4573:12422</v>
      </c>
      <c r="F4575" s="6" t="str">
        <f>_xll.QS.TRADE.CREATE("trade.4573",E4575,A4575,"Receive")</f>
        <v>QSObject:SwapTrade:w1~trade.4573:27282</v>
      </c>
      <c r="G4575" s="3">
        <f>_xll.QS.EVALUATE(C4575,F4575)</f>
        <v>35543.34509246087</v>
      </c>
      <c r="H4575" s="5" t="s">
        <v>4616</v>
      </c>
      <c r="I4575" s="7">
        <v>1457300</v>
      </c>
      <c r="J4575" s="8">
        <v>3.73E-2</v>
      </c>
    </row>
    <row r="4576" spans="1:10" x14ac:dyDescent="0.25">
      <c r="A4576" s="5" t="s">
        <v>4610</v>
      </c>
      <c r="B4576" s="5" t="s">
        <v>6443</v>
      </c>
      <c r="C4576" s="6" t="str">
        <f>_xll.QS.CONTEXT.CREATE("market.4574",A4576,"USD","SOFR")</f>
        <v>QSObject:PricingContext:w1~market.4574:12421</v>
      </c>
      <c r="D4576" s="6" t="str">
        <f>_xll.QS.CONTEXT.ADD.CURVE(C4576,"SOFR",$K$2:$K$7,$L$2:$L$7,,,"Actual360","LogLinear",TRUE)</f>
        <v>QSObject:ContextInput:w1~input.qs_context_add_curve.2359132437744.4575.3.0:36066</v>
      </c>
      <c r="E4576" s="6" t="str">
        <f>_xll.QS.INSTRUMENT.SWAP("swap.4574",H4576,B4576,"USD","SOFR",I4576,J4576,0,"Actual360","Simple","Annual","Annual","Annual")</f>
        <v>QSObject:Swap:w1~swap.4574:12420</v>
      </c>
      <c r="F4576" s="6" t="str">
        <f>_xll.QS.TRADE.CREATE("trade.4574",E4576,A4576,"Receive")</f>
        <v>QSObject:SwapTrade:w1~trade.4574:27281</v>
      </c>
      <c r="G4576" s="3">
        <f>_xll.QS.EVALUATE(C4576,F4576)</f>
        <v>36281.242632103174</v>
      </c>
      <c r="H4576" s="5" t="s">
        <v>4617</v>
      </c>
      <c r="I4576" s="7">
        <v>1457400</v>
      </c>
      <c r="J4576" s="8">
        <v>3.7400000000000003E-2</v>
      </c>
    </row>
    <row r="4577" spans="1:10" x14ac:dyDescent="0.25">
      <c r="A4577" s="5" t="s">
        <v>4611</v>
      </c>
      <c r="B4577" s="5" t="s">
        <v>6444</v>
      </c>
      <c r="C4577" s="6" t="str">
        <f>_xll.QS.CONTEXT.CREATE("market.4575",A4577,"USD","SOFR")</f>
        <v>QSObject:PricingContext:w1~market.4575:12419</v>
      </c>
      <c r="D4577" s="6" t="str">
        <f>_xll.QS.CONTEXT.ADD.CURVE(C4577,"SOFR",$K$2:$K$7,$L$2:$L$7,,,"Actual360","LogLinear",TRUE)</f>
        <v>QSObject:ContextInput:w1~input.qs_context_add_curve.2359132437744.4576.3.0:36065</v>
      </c>
      <c r="E4577" s="6" t="str">
        <f>_xll.QS.INSTRUMENT.SWAP("swap.4575",H4577,B4577,"USD","SOFR",I4577,J4577,0,"Actual360","Simple","Annual","Annual","Annual")</f>
        <v>QSObject:Swap:w1~swap.4575:12418</v>
      </c>
      <c r="F4577" s="6" t="str">
        <f>_xll.QS.TRADE.CREATE("trade.4575",E4577,A4577,"Receive")</f>
        <v>QSObject:SwapTrade:w1~trade.4575:27280</v>
      </c>
      <c r="G4577" s="3">
        <f>_xll.QS.EVALUATE(C4577,F4577)</f>
        <v>36900.498007137008</v>
      </c>
      <c r="H4577" s="5" t="s">
        <v>4618</v>
      </c>
      <c r="I4577" s="7">
        <v>1457500</v>
      </c>
      <c r="J4577" s="8">
        <v>3.7500000000000012E-2</v>
      </c>
    </row>
    <row r="4578" spans="1:10" x14ac:dyDescent="0.25">
      <c r="A4578" s="5" t="s">
        <v>4612</v>
      </c>
      <c r="B4578" s="5" t="s">
        <v>6445</v>
      </c>
      <c r="C4578" s="6" t="str">
        <f>_xll.QS.CONTEXT.CREATE("market.4576",A4578,"USD","SOFR")</f>
        <v>QSObject:PricingContext:w1~market.4576:12417</v>
      </c>
      <c r="D4578" s="6" t="str">
        <f>_xll.QS.CONTEXT.ADD.CURVE(C4578,"SOFR",$K$2:$K$7,$L$2:$L$7,,,"Actual360","LogLinear",TRUE)</f>
        <v>QSObject:ContextInput:w1~input.qs_context_add_curve.2359132437744.4577.3.0:36064</v>
      </c>
      <c r="E4578" s="6" t="str">
        <f>_xll.QS.INSTRUMENT.SWAP("swap.4576",H4578,B4578,"USD","SOFR",I4578,J4578,0,"Actual360","Simple","Annual","Annual","Annual")</f>
        <v>QSObject:Swap:w1~swap.4576:12416</v>
      </c>
      <c r="F4578" s="6" t="str">
        <f>_xll.QS.TRADE.CREATE("trade.4576",E4578,A4578,"Receive")</f>
        <v>QSObject:SwapTrade:w1~trade.4576:27279</v>
      </c>
      <c r="G4578" s="3">
        <f>_xll.QS.EVALUATE(C4578,F4578)</f>
        <v>37469.289179873405</v>
      </c>
      <c r="H4578" s="5" t="s">
        <v>4619</v>
      </c>
      <c r="I4578" s="7">
        <v>1457600</v>
      </c>
      <c r="J4578" s="8">
        <v>3.7600000000000001E-2</v>
      </c>
    </row>
    <row r="4579" spans="1:10" x14ac:dyDescent="0.25">
      <c r="A4579" s="5" t="s">
        <v>4613</v>
      </c>
      <c r="B4579" s="5" t="s">
        <v>6446</v>
      </c>
      <c r="C4579" s="6" t="str">
        <f>_xll.QS.CONTEXT.CREATE("market.4577",A4579,"USD","SOFR")</f>
        <v>QSObject:PricingContext:w1~market.4577:12415</v>
      </c>
      <c r="D4579" s="6" t="str">
        <f>_xll.QS.CONTEXT.ADD.CURVE(C4579,"SOFR",$K$2:$K$7,$L$2:$L$7,,,"Actual360","LogLinear",TRUE)</f>
        <v>QSObject:ContextInput:w1~input.qs_context_add_curve.2359132437744.4578.3.0:36063</v>
      </c>
      <c r="E4579" s="6" t="str">
        <f>_xll.QS.INSTRUMENT.SWAP("swap.4577",H4579,B4579,"USD","SOFR",I4579,J4579,0,"Actual360","Simple","Annual","Annual","Annual")</f>
        <v>QSObject:Swap:w1~swap.4577:12414</v>
      </c>
      <c r="F4579" s="6" t="str">
        <f>_xll.QS.TRADE.CREATE("trade.4577",E4579,A4579,"Receive")</f>
        <v>QSObject:SwapTrade:w1~trade.4577:27278</v>
      </c>
      <c r="G4579" s="3">
        <f>_xll.QS.EVALUATE(C4579,F4579)</f>
        <v>38036.963095409039</v>
      </c>
      <c r="H4579" s="5" t="s">
        <v>4620</v>
      </c>
      <c r="I4579" s="7">
        <v>1457700</v>
      </c>
      <c r="J4579" s="8">
        <v>3.7699999999999997E-2</v>
      </c>
    </row>
    <row r="4580" spans="1:10" x14ac:dyDescent="0.25">
      <c r="A4580" s="5" t="s">
        <v>4614</v>
      </c>
      <c r="B4580" s="5" t="s">
        <v>6447</v>
      </c>
      <c r="C4580" s="6" t="str">
        <f>_xll.QS.CONTEXT.CREATE("market.4578",A4580,"USD","SOFR")</f>
        <v>QSObject:PricingContext:w1~market.4578:12413</v>
      </c>
      <c r="D4580" s="6" t="str">
        <f>_xll.QS.CONTEXT.ADD.CURVE(C4580,"SOFR",$K$2:$K$7,$L$2:$L$7,,,"Actual360","LogLinear",TRUE)</f>
        <v>QSObject:ContextInput:w1~input.qs_context_add_curve.2359132437744.4579.3.0:36062</v>
      </c>
      <c r="E4580" s="6" t="str">
        <f>_xll.QS.INSTRUMENT.SWAP("swap.4578",H4580,B4580,"USD","SOFR",I4580,J4580,0,"Actual360","Simple","Annual","Annual","Annual")</f>
        <v>QSObject:Swap:w1~swap.4578:12412</v>
      </c>
      <c r="F4580" s="6" t="str">
        <f>_xll.QS.TRADE.CREATE("trade.4578",E4580,A4580,"Receive")</f>
        <v>QSObject:SwapTrade:w1~trade.4578:27277</v>
      </c>
      <c r="G4580" s="3">
        <f>_xll.QS.EVALUATE(C4580,F4580)</f>
        <v>38774.361102682786</v>
      </c>
      <c r="H4580" s="5" t="s">
        <v>4621</v>
      </c>
      <c r="I4580" s="7">
        <v>1457800</v>
      </c>
      <c r="J4580" s="8">
        <v>3.78E-2</v>
      </c>
    </row>
    <row r="4581" spans="1:10" x14ac:dyDescent="0.25">
      <c r="A4581" s="5" t="s">
        <v>4615</v>
      </c>
      <c r="B4581" s="5" t="s">
        <v>6448</v>
      </c>
      <c r="C4581" s="6" t="str">
        <f>_xll.QS.CONTEXT.CREATE("market.4579",A4581,"USD","SOFR")</f>
        <v>QSObject:PricingContext:w1~market.4579:12411</v>
      </c>
      <c r="D4581" s="6" t="str">
        <f>_xll.QS.CONTEXT.ADD.CURVE(C4581,"SOFR",$K$2:$K$7,$L$2:$L$7,,,"Actual360","LogLinear",TRUE)</f>
        <v>QSObject:ContextInput:w1~input.qs_context_add_curve.2359132437744.4580.3.0:36061</v>
      </c>
      <c r="E4581" s="6" t="str">
        <f>_xll.QS.INSTRUMENT.SWAP("swap.4579",H4581,B4581,"USD","SOFR",I4581,J4581,0,"Actual360","Simple","Annual","Annual","Annual")</f>
        <v>QSObject:Swap:w1~swap.4579:12410</v>
      </c>
      <c r="F4581" s="6" t="str">
        <f>_xll.QS.TRADE.CREATE("trade.4579",E4581,A4581,"Receive")</f>
        <v>QSObject:SwapTrade:w1~trade.4579:27276</v>
      </c>
      <c r="G4581" s="3">
        <f>_xll.QS.EVALUATE(C4581,F4581)</f>
        <v>39485.146072131065</v>
      </c>
      <c r="H4581" s="5" t="s">
        <v>4622</v>
      </c>
      <c r="I4581" s="7">
        <v>1457900</v>
      </c>
      <c r="J4581" s="8">
        <v>3.7900000000000003E-2</v>
      </c>
    </row>
    <row r="4582" spans="1:10" x14ac:dyDescent="0.25">
      <c r="A4582" s="5" t="s">
        <v>4616</v>
      </c>
      <c r="B4582" s="5" t="s">
        <v>6449</v>
      </c>
      <c r="C4582" s="6" t="str">
        <f>_xll.QS.CONTEXT.CREATE("market.4580",A4582,"USD","SOFR")</f>
        <v>QSObject:PricingContext:w1~market.4580:12409</v>
      </c>
      <c r="D4582" s="6" t="str">
        <f>_xll.QS.CONTEXT.ADD.CURVE(C4582,"SOFR",$K$2:$K$7,$L$2:$L$7,,,"Actual360","LogLinear",TRUE)</f>
        <v>QSObject:ContextInput:w1~input.qs_context_add_curve.2359132437744.4581.3.0:36060</v>
      </c>
      <c r="E4582" s="6" t="str">
        <f>_xll.QS.INSTRUMENT.SWAP("swap.4580",H4582,B4582,"USD","SOFR",I4582,J4582,0,"Actual360","Simple","Annual","Annual","Annual")</f>
        <v>QSObject:Swap:w1~swap.4580:12408</v>
      </c>
      <c r="F4582" s="6" t="str">
        <f>_xll.QS.TRADE.CREATE("trade.4580",E4582,A4582,"Receive")</f>
        <v>QSObject:SwapTrade:w1~trade.4580:27275</v>
      </c>
      <c r="G4582" s="3">
        <f>_xll.QS.EVALUATE(C4582,F4582)</f>
        <v>40266.796868105026</v>
      </c>
      <c r="H4582" s="5" t="s">
        <v>4623</v>
      </c>
      <c r="I4582" s="7">
        <v>1458000</v>
      </c>
      <c r="J4582" s="8">
        <v>3.8000000000000013E-2</v>
      </c>
    </row>
    <row r="4583" spans="1:10" x14ac:dyDescent="0.25">
      <c r="A4583" s="5" t="s">
        <v>4617</v>
      </c>
      <c r="B4583" s="5" t="s">
        <v>6450</v>
      </c>
      <c r="C4583" s="6" t="str">
        <f>_xll.QS.CONTEXT.CREATE("market.4581",A4583,"USD","SOFR")</f>
        <v>QSObject:PricingContext:w1~market.4581:12407</v>
      </c>
      <c r="D4583" s="6" t="str">
        <f>_xll.QS.CONTEXT.ADD.CURVE(C4583,"SOFR",$K$2:$K$7,$L$2:$L$7,,,"Actual360","LogLinear",TRUE)</f>
        <v>QSObject:ContextInput:w1~input.qs_context_add_curve.2359132437744.4582.3.0:36059</v>
      </c>
      <c r="E4583" s="6" t="str">
        <f>_xll.QS.INSTRUMENT.SWAP("swap.4581",H4583,B4583,"USD","SOFR",I4583,J4583,0,"Actual360","Simple","Annual","Annual","Annual")</f>
        <v>QSObject:Swap:w1~swap.4581:12406</v>
      </c>
      <c r="F4583" s="6" t="str">
        <f>_xll.QS.TRADE.CREATE("trade.4581",E4583,A4583,"Receive")</f>
        <v>QSObject:SwapTrade:w1~trade.4581:27274</v>
      </c>
      <c r="G4583" s="3">
        <f>_xll.QS.EVALUATE(C4583,F4583)</f>
        <v>41005.420763038164</v>
      </c>
      <c r="H4583" s="5" t="s">
        <v>4624</v>
      </c>
      <c r="I4583" s="7">
        <v>1458100</v>
      </c>
      <c r="J4583" s="8">
        <v>3.8100000000000002E-2</v>
      </c>
    </row>
    <row r="4584" spans="1:10" x14ac:dyDescent="0.25">
      <c r="A4584" s="5" t="s">
        <v>4618</v>
      </c>
      <c r="B4584" s="5" t="s">
        <v>6451</v>
      </c>
      <c r="C4584" s="6" t="str">
        <f>_xll.QS.CONTEXT.CREATE("market.4582",A4584,"USD","SOFR")</f>
        <v>QSObject:PricingContext:w1~market.4582:12405</v>
      </c>
      <c r="D4584" s="6" t="str">
        <f>_xll.QS.CONTEXT.ADD.CURVE(C4584,"SOFR",$K$2:$K$7,$L$2:$L$7,,,"Actual360","LogLinear",TRUE)</f>
        <v>QSObject:ContextInput:w1~input.qs_context_add_curve.2359132437744.4583.3.0:36058</v>
      </c>
      <c r="E4584" s="6" t="str">
        <f>_xll.QS.INSTRUMENT.SWAP("swap.4582",H4584,B4584,"USD","SOFR",I4584,J4584,0,"Actual360","Simple","Annual","Annual","Annual")</f>
        <v>QSObject:Swap:w1~swap.4582:12404</v>
      </c>
      <c r="F4584" s="6" t="str">
        <f>_xll.QS.TRADE.CREATE("trade.4582",E4584,A4584,"Receive")</f>
        <v>QSObject:SwapTrade:w1~trade.4582:27273</v>
      </c>
      <c r="G4584" s="3">
        <f>_xll.QS.EVALUATE(C4584,F4584)</f>
        <v>41625.257210017378</v>
      </c>
      <c r="H4584" s="5" t="s">
        <v>4625</v>
      </c>
      <c r="I4584" s="7">
        <v>1458200</v>
      </c>
      <c r="J4584" s="8">
        <v>3.8199999999999998E-2</v>
      </c>
    </row>
    <row r="4585" spans="1:10" x14ac:dyDescent="0.25">
      <c r="A4585" s="5" t="s">
        <v>4619</v>
      </c>
      <c r="B4585" s="5" t="s">
        <v>6452</v>
      </c>
      <c r="C4585" s="6" t="str">
        <f>_xll.QS.CONTEXT.CREATE("market.4583",A4585,"USD","SOFR")</f>
        <v>QSObject:PricingContext:w1~market.4583:12403</v>
      </c>
      <c r="D4585" s="6" t="str">
        <f>_xll.QS.CONTEXT.ADD.CURVE(C4585,"SOFR",$K$2:$K$7,$L$2:$L$7,,,"Actual360","LogLinear",TRUE)</f>
        <v>QSObject:ContextInput:w1~input.qs_context_add_curve.2359132437744.4584.3.0:36057</v>
      </c>
      <c r="E4585" s="6" t="str">
        <f>_xll.QS.INSTRUMENT.SWAP("swap.4583",H4585,B4585,"USD","SOFR",I4585,J4585,0,"Actual360","Simple","Annual","Annual","Annual")</f>
        <v>QSObject:Swap:w1~swap.4583:12402</v>
      </c>
      <c r="F4585" s="6" t="str">
        <f>_xll.QS.TRADE.CREATE("trade.4583",E4585,A4585,"Receive")</f>
        <v>QSObject:SwapTrade:w1~trade.4583:27272</v>
      </c>
      <c r="G4585" s="3">
        <f>_xll.QS.EVALUATE(C4585,F4585)</f>
        <v>42189.095652273012</v>
      </c>
      <c r="H4585" s="5" t="s">
        <v>4626</v>
      </c>
      <c r="I4585" s="7">
        <v>1458300</v>
      </c>
      <c r="J4585" s="8">
        <v>3.8300000000000001E-2</v>
      </c>
    </row>
    <row r="4586" spans="1:10" x14ac:dyDescent="0.25">
      <c r="A4586" s="5" t="s">
        <v>4620</v>
      </c>
      <c r="B4586" s="5" t="s">
        <v>6453</v>
      </c>
      <c r="C4586" s="6" t="str">
        <f>_xll.QS.CONTEXT.CREATE("market.4584",A4586,"USD","SOFR")</f>
        <v>QSObject:PricingContext:w1~market.4584:12401</v>
      </c>
      <c r="D4586" s="6" t="str">
        <f>_xll.QS.CONTEXT.ADD.CURVE(C4586,"SOFR",$K$2:$K$7,$L$2:$L$7,,,"Actual360","LogLinear",TRUE)</f>
        <v>QSObject:ContextInput:w1~input.qs_context_add_curve.2359132437744.4585.3.0:36056</v>
      </c>
      <c r="E4586" s="6" t="str">
        <f>_xll.QS.INSTRUMENT.SWAP("swap.4584",H4586,B4586,"USD","SOFR",I4586,J4586,0,"Actual360","Simple","Annual","Annual","Annual")</f>
        <v>QSObject:Swap:w1~swap.4584:12400</v>
      </c>
      <c r="F4586" s="6" t="str">
        <f>_xll.QS.TRADE.CREATE("trade.4584",E4586,A4586,"Receive")</f>
        <v>QSObject:SwapTrade:w1~trade.4584:27271</v>
      </c>
      <c r="G4586" s="3">
        <f>_xll.QS.EVALUATE(C4586,F4586)</f>
        <v>42764.661562395318</v>
      </c>
      <c r="H4586" s="5" t="s">
        <v>4627</v>
      </c>
      <c r="I4586" s="7">
        <v>1458400</v>
      </c>
      <c r="J4586" s="8">
        <v>3.8399999999999997E-2</v>
      </c>
    </row>
    <row r="4587" spans="1:10" x14ac:dyDescent="0.25">
      <c r="A4587" s="5" t="s">
        <v>4621</v>
      </c>
      <c r="B4587" s="5" t="s">
        <v>6454</v>
      </c>
      <c r="C4587" s="6" t="str">
        <f>_xll.QS.CONTEXT.CREATE("market.4585",A4587,"USD","SOFR")</f>
        <v>QSObject:PricingContext:w1~market.4585:12399</v>
      </c>
      <c r="D4587" s="6" t="str">
        <f>_xll.QS.CONTEXT.ADD.CURVE(C4587,"SOFR",$K$2:$K$7,$L$2:$L$7,,,"Actual360","LogLinear",TRUE)</f>
        <v>QSObject:ContextInput:w1~input.qs_context_add_curve.2359132437744.4586.3.0:36055</v>
      </c>
      <c r="E4587" s="6" t="str">
        <f>_xll.QS.INSTRUMENT.SWAP("swap.4585",H4587,B4587,"USD","SOFR",I4587,J4587,0,"Actual360","Simple","Annual","Annual","Annual")</f>
        <v>QSObject:Swap:w1~swap.4585:12398</v>
      </c>
      <c r="F4587" s="6" t="str">
        <f>_xll.QS.TRADE.CREATE("trade.4585",E4587,A4587,"Receive")</f>
        <v>QSObject:SwapTrade:w1~trade.4585:27270</v>
      </c>
      <c r="G4587" s="3">
        <f>_xll.QS.EVALUATE(C4587,F4587)</f>
        <v>43503.2079312758</v>
      </c>
      <c r="H4587" s="5" t="s">
        <v>4628</v>
      </c>
      <c r="I4587" s="7">
        <v>1458500</v>
      </c>
      <c r="J4587" s="8">
        <v>3.8500000000000013E-2</v>
      </c>
    </row>
    <row r="4588" spans="1:10" x14ac:dyDescent="0.25">
      <c r="A4588" s="5" t="s">
        <v>4622</v>
      </c>
      <c r="B4588" s="5" t="s">
        <v>6455</v>
      </c>
      <c r="C4588" s="6" t="str">
        <f>_xll.QS.CONTEXT.CREATE("market.4586",A4588,"USD","SOFR")</f>
        <v>QSObject:PricingContext:w1~market.4586:12397</v>
      </c>
      <c r="D4588" s="6" t="str">
        <f>_xll.QS.CONTEXT.ADD.CURVE(C4588,"SOFR",$K$2:$K$7,$L$2:$L$7,,,"Actual360","LogLinear",TRUE)</f>
        <v>QSObject:ContextInput:w1~input.qs_context_add_curve.2359132437744.4587.3.0:36054</v>
      </c>
      <c r="E4588" s="6" t="str">
        <f>_xll.QS.INSTRUMENT.SWAP("swap.4586",H4588,B4588,"USD","SOFR",I4588,J4588,0,"Actual360","Simple","Annual","Annual","Annual")</f>
        <v>QSObject:Swap:w1~swap.4586:12396</v>
      </c>
      <c r="F4588" s="6" t="str">
        <f>_xll.QS.TRADE.CREATE("trade.4586",E4588,A4588,"Receive")</f>
        <v>QSObject:SwapTrade:w1~trade.4586:27269</v>
      </c>
      <c r="G4588" s="3">
        <f>_xll.QS.EVALUATE(C4588,F4588)</f>
        <v>44212.564998193484</v>
      </c>
      <c r="H4588" s="5" t="s">
        <v>4629</v>
      </c>
      <c r="I4588" s="7">
        <v>1458600</v>
      </c>
      <c r="J4588" s="8">
        <v>3.8600000000000002E-2</v>
      </c>
    </row>
    <row r="4589" spans="1:10" x14ac:dyDescent="0.25">
      <c r="A4589" s="5" t="s">
        <v>4623</v>
      </c>
      <c r="B4589" s="5" t="s">
        <v>6456</v>
      </c>
      <c r="C4589" s="6" t="str">
        <f>_xll.QS.CONTEXT.CREATE("market.4587",A4589,"USD","SOFR")</f>
        <v>QSObject:PricingContext:w1~market.4587:12395</v>
      </c>
      <c r="D4589" s="6" t="str">
        <f>_xll.QS.CONTEXT.ADD.CURVE(C4589,"SOFR",$K$2:$K$7,$L$2:$L$7,,,"Actual360","LogLinear",TRUE)</f>
        <v>QSObject:ContextInput:w1~input.qs_context_add_curve.2359132437744.4588.3.0:36053</v>
      </c>
      <c r="E4589" s="6" t="str">
        <f>_xll.QS.INSTRUMENT.SWAP("swap.4587",H4589,B4589,"USD","SOFR",I4589,J4589,0,"Actual360","Simple","Annual","Annual","Annual")</f>
        <v>QSObject:Swap:w1~swap.4587:12394</v>
      </c>
      <c r="F4589" s="6" t="str">
        <f>_xll.QS.TRADE.CREATE("trade.4587",E4589,A4589,"Receive")</f>
        <v>QSObject:SwapTrade:w1~trade.4587:27268</v>
      </c>
      <c r="G4589" s="3">
        <f>_xll.QS.EVALUATE(C4589,F4589)</f>
        <v>44995.245366514275</v>
      </c>
      <c r="H4589" s="5" t="s">
        <v>4630</v>
      </c>
      <c r="I4589" s="7">
        <v>1458700</v>
      </c>
      <c r="J4589" s="8">
        <v>3.8700000000000012E-2</v>
      </c>
    </row>
    <row r="4590" spans="1:10" x14ac:dyDescent="0.25">
      <c r="A4590" s="5" t="s">
        <v>4624</v>
      </c>
      <c r="B4590" s="5" t="s">
        <v>6457</v>
      </c>
      <c r="C4590" s="6" t="str">
        <f>_xll.QS.CONTEXT.CREATE("market.4588",A4590,"USD","SOFR")</f>
        <v>QSObject:PricingContext:w1~market.4588:12393</v>
      </c>
      <c r="D4590" s="6" t="str">
        <f>_xll.QS.CONTEXT.ADD.CURVE(C4590,"SOFR",$K$2:$K$7,$L$2:$L$7,,,"Actual360","LogLinear",TRUE)</f>
        <v>QSObject:ContextInput:w1~input.qs_context_add_curve.2359132437744.4589.3.0:36052</v>
      </c>
      <c r="E4590" s="6" t="str">
        <f>_xll.QS.INSTRUMENT.SWAP("swap.4588",H4590,B4590,"USD","SOFR",I4590,J4590,0,"Actual360","Simple","Annual","Annual","Annual")</f>
        <v>QSObject:Swap:w1~swap.4588:12392</v>
      </c>
      <c r="F4590" s="6" t="str">
        <f>_xll.QS.TRADE.CREATE("trade.4588",E4590,A4590,"Receive")</f>
        <v>QSObject:SwapTrade:w1~trade.4588:27267</v>
      </c>
      <c r="G4590" s="3">
        <f>_xll.QS.EVALUATE(C4590,F4590)</f>
        <v>45734.118098948718</v>
      </c>
      <c r="H4590" s="5" t="s">
        <v>4631</v>
      </c>
      <c r="I4590" s="7">
        <v>1458800</v>
      </c>
      <c r="J4590" s="8">
        <v>3.8800000000000001E-2</v>
      </c>
    </row>
    <row r="4591" spans="1:10" x14ac:dyDescent="0.25">
      <c r="A4591" s="5" t="s">
        <v>4625</v>
      </c>
      <c r="B4591" s="5" t="s">
        <v>6458</v>
      </c>
      <c r="C4591" s="6" t="str">
        <f>_xll.QS.CONTEXT.CREATE("market.4589",A4591,"USD","SOFR")</f>
        <v>QSObject:PricingContext:w1~market.4589:12391</v>
      </c>
      <c r="D4591" s="6" t="str">
        <f>_xll.QS.CONTEXT.ADD.CURVE(C4591,"SOFR",$K$2:$K$7,$L$2:$L$7,,,"Actual360","LogLinear",TRUE)</f>
        <v>QSObject:ContextInput:w1~input.qs_context_add_curve.2359132437744.4590.3.0:36051</v>
      </c>
      <c r="E4591" s="6" t="str">
        <f>_xll.QS.INSTRUMENT.SWAP("swap.4589",H4591,B4591,"USD","SOFR",I4591,J4591,0,"Actual360","Simple","Annual","Annual","Annual")</f>
        <v>QSObject:Swap:w1~swap.4589:12390</v>
      </c>
      <c r="F4591" s="6" t="str">
        <f>_xll.QS.TRADE.CREATE("trade.4589",E4591,A4591,"Receive")</f>
        <v>QSObject:SwapTrade:w1~trade.4589:27266</v>
      </c>
      <c r="G4591" s="3">
        <f>_xll.QS.EVALUATE(C4591,F4591)</f>
        <v>46354.352099668104</v>
      </c>
      <c r="H4591" s="5" t="s">
        <v>4632</v>
      </c>
      <c r="I4591" s="7">
        <v>1458900</v>
      </c>
      <c r="J4591" s="8">
        <v>3.8899999999999997E-2</v>
      </c>
    </row>
    <row r="4592" spans="1:10" x14ac:dyDescent="0.25">
      <c r="A4592" s="5" t="s">
        <v>4626</v>
      </c>
      <c r="B4592" s="5" t="s">
        <v>6459</v>
      </c>
      <c r="C4592" s="6" t="str">
        <f>_xll.QS.CONTEXT.CREATE("market.4590",A4592,"USD","SOFR")</f>
        <v>QSObject:PricingContext:w1~market.4590:12389</v>
      </c>
      <c r="D4592" s="6" t="str">
        <f>_xll.QS.CONTEXT.ADD.CURVE(C4592,"SOFR",$K$2:$K$7,$L$2:$L$7,,,"Actual360","LogLinear",TRUE)</f>
        <v>QSObject:ContextInput:w1~input.qs_context_add_curve.2359132437744.4591.3.0:36050</v>
      </c>
      <c r="E4592" s="6" t="str">
        <f>_xll.QS.INSTRUMENT.SWAP("swap.4590",H4592,B4592,"USD","SOFR",I4592,J4592,0,"Actual360","Simple","Annual","Annual","Annual")</f>
        <v>QSObject:Swap:w1~swap.4590:12388</v>
      </c>
      <c r="F4592" s="6" t="str">
        <f>_xll.QS.TRADE.CREATE("trade.4590",E4592,A4592,"Receive")</f>
        <v>QSObject:SwapTrade:w1~trade.4590:27265</v>
      </c>
      <c r="G4592" s="3">
        <f>_xll.QS.EVALUATE(C4592,F4592)</f>
        <v>46913.231741608273</v>
      </c>
      <c r="H4592" s="5" t="s">
        <v>4633</v>
      </c>
      <c r="I4592" s="7">
        <v>1459000</v>
      </c>
      <c r="J4592" s="8">
        <v>3.9000000000000007E-2</v>
      </c>
    </row>
    <row r="4593" spans="1:10" x14ac:dyDescent="0.25">
      <c r="A4593" s="5" t="s">
        <v>4627</v>
      </c>
      <c r="B4593" s="5" t="s">
        <v>6460</v>
      </c>
      <c r="C4593" s="6" t="str">
        <f>_xll.QS.CONTEXT.CREATE("market.4591",A4593,"USD","SOFR")</f>
        <v>QSObject:PricingContext:w1~market.4591:12387</v>
      </c>
      <c r="D4593" s="6" t="str">
        <f>_xll.QS.CONTEXT.ADD.CURVE(C4593,"SOFR",$K$2:$K$7,$L$2:$L$7,,,"Actual360","LogLinear",TRUE)</f>
        <v>QSObject:ContextInput:w1~input.qs_context_add_curve.2359132437744.4592.3.0:36049</v>
      </c>
      <c r="E4593" s="6" t="str">
        <f>_xll.QS.INSTRUMENT.SWAP("swap.4591",H4593,B4593,"USD","SOFR",I4593,J4593,0,"Actual360","Simple","Annual","Annual","Annual")</f>
        <v>QSObject:Swap:w1~swap.4591:12386</v>
      </c>
      <c r="F4593" s="6" t="str">
        <f>_xll.QS.TRADE.CREATE("trade.4591",E4593,A4593,"Receive")</f>
        <v>QSObject:SwapTrade:w1~trade.4591:27264</v>
      </c>
      <c r="G4593" s="3">
        <f>_xll.QS.EVALUATE(C4593,F4593)</f>
        <v>47496.694526903237</v>
      </c>
      <c r="H4593" s="5" t="s">
        <v>4634</v>
      </c>
      <c r="I4593" s="7">
        <v>1459100</v>
      </c>
      <c r="J4593" s="8">
        <v>3.9100000000000003E-2</v>
      </c>
    </row>
    <row r="4594" spans="1:10" x14ac:dyDescent="0.25">
      <c r="A4594" s="5" t="s">
        <v>4628</v>
      </c>
      <c r="B4594" s="5" t="s">
        <v>6461</v>
      </c>
      <c r="C4594" s="6" t="str">
        <f>_xll.QS.CONTEXT.CREATE("market.4592",A4594,"USD","SOFR")</f>
        <v>QSObject:PricingContext:w1~market.4592:12385</v>
      </c>
      <c r="D4594" s="6" t="str">
        <f>_xll.QS.CONTEXT.ADD.CURVE(C4594,"SOFR",$K$2:$K$7,$L$2:$L$7,,,"Actual360","LogLinear",TRUE)</f>
        <v>QSObject:ContextInput:w1~input.qs_context_add_curve.2359132437744.4593.3.0:36048</v>
      </c>
      <c r="E4594" s="6" t="str">
        <f>_xll.QS.INSTRUMENT.SWAP("swap.4592",H4594,B4594,"USD","SOFR",I4594,J4594,0,"Actual360","Simple","Annual","Annual","Annual")</f>
        <v>QSObject:Swap:w1~swap.4592:12384</v>
      </c>
      <c r="F4594" s="6" t="str">
        <f>_xll.QS.TRADE.CREATE("trade.4592",E4594,A4594,"Receive")</f>
        <v>QSObject:SwapTrade:w1~trade.4592:27263</v>
      </c>
      <c r="G4594" s="3">
        <f>_xll.QS.EVALUATE(C4594,F4594)</f>
        <v>48235.490665900325</v>
      </c>
      <c r="H4594" s="5" t="s">
        <v>4635</v>
      </c>
      <c r="I4594" s="7">
        <v>1459200</v>
      </c>
      <c r="J4594" s="8">
        <v>3.9200000000000013E-2</v>
      </c>
    </row>
    <row r="4595" spans="1:10" x14ac:dyDescent="0.25">
      <c r="A4595" s="5" t="s">
        <v>4629</v>
      </c>
      <c r="B4595" s="5" t="s">
        <v>6462</v>
      </c>
      <c r="C4595" s="6" t="str">
        <f>_xll.QS.CONTEXT.CREATE("market.4593",A4595,"USD","SOFR")</f>
        <v>QSObject:PricingContext:w1~market.4593:12383</v>
      </c>
      <c r="D4595" s="6" t="str">
        <f>_xll.QS.CONTEXT.ADD.CURVE(C4595,"SOFR",$K$2:$K$7,$L$2:$L$7,,,"Actual360","LogLinear",TRUE)</f>
        <v>QSObject:ContextInput:w1~input.qs_context_add_curve.2359132437744.4594.3.0:36047</v>
      </c>
      <c r="E4595" s="6" t="str">
        <f>_xll.QS.INSTRUMENT.SWAP("swap.4593",H4595,B4595,"USD","SOFR",I4595,J4595,0,"Actual360","Simple","Annual","Annual","Annual")</f>
        <v>QSObject:Swap:w1~swap.4593:12382</v>
      </c>
      <c r="F4595" s="6" t="str">
        <f>_xll.QS.TRADE.CREATE("trade.4593",E4595,A4595,"Receive")</f>
        <v>QSObject:SwapTrade:w1~trade.4593:27262</v>
      </c>
      <c r="G4595" s="3">
        <f>_xll.QS.EVALUATE(C4595,F4595)</f>
        <v>48944.072178969458</v>
      </c>
      <c r="H4595" s="5" t="s">
        <v>4636</v>
      </c>
      <c r="I4595" s="7">
        <v>1459300</v>
      </c>
      <c r="J4595" s="8">
        <v>3.9300000000000002E-2</v>
      </c>
    </row>
    <row r="4596" spans="1:10" x14ac:dyDescent="0.25">
      <c r="A4596" s="5" t="s">
        <v>4630</v>
      </c>
      <c r="B4596" s="5" t="s">
        <v>6463</v>
      </c>
      <c r="C4596" s="6" t="str">
        <f>_xll.QS.CONTEXT.CREATE("market.4594",A4596,"USD","SOFR")</f>
        <v>QSObject:PricingContext:w1~market.4594:12381</v>
      </c>
      <c r="D4596" s="6" t="str">
        <f>_xll.QS.CONTEXT.ADD.CURVE(C4596,"SOFR",$K$2:$K$7,$L$2:$L$7,,,"Actual360","LogLinear",TRUE)</f>
        <v>QSObject:ContextInput:w1~input.qs_context_add_curve.2359132437744.4595.3.0:36046</v>
      </c>
      <c r="E4596" s="6" t="str">
        <f>_xll.QS.INSTRUMENT.SWAP("swap.4594",H4596,B4596,"USD","SOFR",I4596,J4596,0,"Actual360","Simple","Annual","Annual","Annual")</f>
        <v>QSObject:Swap:w1~swap.4594:12380</v>
      </c>
      <c r="F4596" s="6" t="str">
        <f>_xll.QS.TRADE.CREATE("trade.4594",E4596,A4596,"Receive")</f>
        <v>QSObject:SwapTrade:w1~trade.4594:27261</v>
      </c>
      <c r="G4596" s="3">
        <f>_xll.QS.EVALUATE(C4596,F4596)</f>
        <v>49727.25788939646</v>
      </c>
      <c r="H4596" s="5" t="s">
        <v>4637</v>
      </c>
      <c r="I4596" s="7">
        <v>1459400</v>
      </c>
      <c r="J4596" s="8">
        <v>3.9399999999999998E-2</v>
      </c>
    </row>
    <row r="4597" spans="1:10" x14ac:dyDescent="0.25">
      <c r="A4597" s="5" t="s">
        <v>4631</v>
      </c>
      <c r="B4597" s="5" t="s">
        <v>6464</v>
      </c>
      <c r="C4597" s="6" t="str">
        <f>_xll.QS.CONTEXT.CREATE("market.4595",A4597,"USD","SOFR")</f>
        <v>QSObject:PricingContext:w1~market.4595:12379</v>
      </c>
      <c r="D4597" s="6" t="str">
        <f>_xll.QS.CONTEXT.ADD.CURVE(C4597,"SOFR",$K$2:$K$7,$L$2:$L$7,,,"Actual360","LogLinear",TRUE)</f>
        <v>QSObject:ContextInput:w1~input.qs_context_add_curve.2359132437744.4596.3.0:36045</v>
      </c>
      <c r="E4597" s="6" t="str">
        <f>_xll.QS.INSTRUMENT.SWAP("swap.4595",H4597,B4597,"USD","SOFR",I4597,J4597,0,"Actual360","Simple","Annual","Annual","Annual")</f>
        <v>QSObject:Swap:w1~swap.4595:12378</v>
      </c>
      <c r="F4597" s="6" t="str">
        <f>_xll.QS.TRADE.CREATE("trade.4595",E4597,A4597,"Receive")</f>
        <v>QSObject:SwapTrade:w1~trade.4595:27260</v>
      </c>
      <c r="G4597" s="3">
        <f>_xll.QS.EVALUATE(C4597,F4597)</f>
        <v>50467.334639834371</v>
      </c>
      <c r="H4597" s="5" t="s">
        <v>4638</v>
      </c>
      <c r="I4597" s="7">
        <v>1459500</v>
      </c>
      <c r="J4597" s="8">
        <v>3.9500000000000007E-2</v>
      </c>
    </row>
    <row r="4598" spans="1:10" x14ac:dyDescent="0.25">
      <c r="A4598" s="5" t="s">
        <v>4632</v>
      </c>
      <c r="B4598" s="5" t="s">
        <v>6465</v>
      </c>
      <c r="C4598" s="6" t="str">
        <f>_xll.QS.CONTEXT.CREATE("market.4596",A4598,"USD","SOFR")</f>
        <v>QSObject:PricingContext:w1~market.4596:12377</v>
      </c>
      <c r="D4598" s="6" t="str">
        <f>_xll.QS.CONTEXT.ADD.CURVE(C4598,"SOFR",$K$2:$K$7,$L$2:$L$7,,,"Actual360","LogLinear",TRUE)</f>
        <v>QSObject:ContextInput:w1~input.qs_context_add_curve.2359132437744.4597.3.0:36044</v>
      </c>
      <c r="E4598" s="6" t="str">
        <f>_xll.QS.INSTRUMENT.SWAP("swap.4596",H4598,B4598,"USD","SOFR",I4598,J4598,0,"Actual360","Simple","Annual","Annual","Annual")</f>
        <v>QSObject:Swap:w1~swap.4596:12376</v>
      </c>
      <c r="F4598" s="6" t="str">
        <f>_xll.QS.TRADE.CREATE("trade.4596",E4598,A4598,"Receive")</f>
        <v>QSObject:SwapTrade:w1~trade.4596:27259</v>
      </c>
      <c r="G4598" s="3">
        <f>_xll.QS.EVALUATE(C4598,F4598)</f>
        <v>51088.333121411895</v>
      </c>
      <c r="H4598" s="5" t="s">
        <v>4639</v>
      </c>
      <c r="I4598" s="7">
        <v>1459600</v>
      </c>
      <c r="J4598" s="8">
        <v>3.9600000000000003E-2</v>
      </c>
    </row>
    <row r="4599" spans="1:10" x14ac:dyDescent="0.25">
      <c r="A4599" s="5" t="s">
        <v>4633</v>
      </c>
      <c r="B4599" s="5" t="s">
        <v>6466</v>
      </c>
      <c r="C4599" s="6" t="str">
        <f>_xll.QS.CONTEXT.CREATE("market.4597",A4599,"USD","SOFR")</f>
        <v>QSObject:PricingContext:w1~market.4597:12375</v>
      </c>
      <c r="D4599" s="6" t="str">
        <f>_xll.QS.CONTEXT.ADD.CURVE(C4599,"SOFR",$K$2:$K$7,$L$2:$L$7,,,"Actual360","LogLinear",TRUE)</f>
        <v>QSObject:ContextInput:w1~input.qs_context_add_curve.2359132437744.4598.3.0:36043</v>
      </c>
      <c r="E4599" s="6" t="str">
        <f>_xll.QS.INSTRUMENT.SWAP("swap.4597",H4599,B4599,"USD","SOFR",I4599,J4599,0,"Actual360","Simple","Annual","Annual","Annual")</f>
        <v>QSObject:Swap:w1~swap.4597:12374</v>
      </c>
      <c r="F4599" s="6" t="str">
        <f>_xll.QS.TRADE.CREATE("trade.4597",E4599,A4599,"Receive")</f>
        <v>QSObject:SwapTrade:w1~trade.4597:27258</v>
      </c>
      <c r="G4599" s="3">
        <f>_xll.QS.EVALUATE(C4599,F4599)</f>
        <v>51642.250125628554</v>
      </c>
      <c r="H4599" s="5" t="s">
        <v>4640</v>
      </c>
      <c r="I4599" s="7">
        <v>1459700</v>
      </c>
      <c r="J4599" s="8">
        <v>3.9700000000000013E-2</v>
      </c>
    </row>
    <row r="4600" spans="1:10" x14ac:dyDescent="0.25">
      <c r="A4600" s="5" t="s">
        <v>4634</v>
      </c>
      <c r="B4600" s="5" t="s">
        <v>6467</v>
      </c>
      <c r="C4600" s="6" t="str">
        <f>_xll.QS.CONTEXT.CREATE("market.4598",A4600,"USD","SOFR")</f>
        <v>QSObject:PricingContext:w1~market.4598:12373</v>
      </c>
      <c r="D4600" s="6" t="str">
        <f>_xll.QS.CONTEXT.ADD.CURVE(C4600,"SOFR",$K$2:$K$7,$L$2:$L$7,,,"Actual360","LogLinear",TRUE)</f>
        <v>QSObject:ContextInput:w1~input.qs_context_add_curve.2359132437744.4599.3.0:36042</v>
      </c>
      <c r="E4600" s="6" t="str">
        <f>_xll.QS.INSTRUMENT.SWAP("swap.4598",H4600,B4600,"USD","SOFR",I4600,J4600,0,"Actual360","Simple","Annual","Annual","Annual")</f>
        <v>QSObject:Swap:w1~swap.4598:12372</v>
      </c>
      <c r="F4600" s="6" t="str">
        <f>_xll.QS.TRADE.CREATE("trade.4598",E4600,A4600,"Receive")</f>
        <v>QSObject:SwapTrade:w1~trade.4598:27257</v>
      </c>
      <c r="G4600" s="3">
        <f>_xll.QS.EVALUATE(C4600,F4600)</f>
        <v>52233.621042806873</v>
      </c>
      <c r="H4600" s="5" t="s">
        <v>4641</v>
      </c>
      <c r="I4600" s="7">
        <v>1459800</v>
      </c>
      <c r="J4600" s="8">
        <v>3.9800000000000002E-2</v>
      </c>
    </row>
    <row r="4601" spans="1:10" x14ac:dyDescent="0.25">
      <c r="A4601" s="5" t="s">
        <v>4635</v>
      </c>
      <c r="B4601" s="5" t="s">
        <v>6468</v>
      </c>
      <c r="C4601" s="6" t="str">
        <f>_xll.QS.CONTEXT.CREATE("market.4599",A4601,"USD","SOFR")</f>
        <v>QSObject:PricingContext:w1~market.4599:12371</v>
      </c>
      <c r="D4601" s="6" t="str">
        <f>_xll.QS.CONTEXT.ADD.CURVE(C4601,"SOFR",$K$2:$K$7,$L$2:$L$7,,,"Actual360","LogLinear",TRUE)</f>
        <v>QSObject:ContextInput:w1~input.qs_context_add_curve.2359132437744.4600.3.0:36041</v>
      </c>
      <c r="E4601" s="6" t="str">
        <f>_xll.QS.INSTRUMENT.SWAP("swap.4599",H4601,B4601,"USD","SOFR",I4601,J4601,0,"Actual360","Simple","Annual","Annual","Annual")</f>
        <v>QSObject:Swap:w1~swap.4599:12370</v>
      </c>
      <c r="F4601" s="6" t="str">
        <f>_xll.QS.TRADE.CREATE("trade.4599",E4601,A4601,"Receive")</f>
        <v>QSObject:SwapTrade:w1~trade.4599:27256</v>
      </c>
      <c r="G4601" s="3">
        <f>_xll.QS.EVALUATE(C4601,F4601)</f>
        <v>52974.465495880366</v>
      </c>
      <c r="H4601" s="5" t="s">
        <v>4642</v>
      </c>
      <c r="I4601" s="7">
        <v>1459900</v>
      </c>
      <c r="J4601" s="8">
        <v>3.9899999999999998E-2</v>
      </c>
    </row>
    <row r="4602" spans="1:10" x14ac:dyDescent="0.25">
      <c r="A4602" s="5" t="s">
        <v>4636</v>
      </c>
      <c r="B4602" s="5" t="s">
        <v>6469</v>
      </c>
      <c r="C4602" s="6" t="str">
        <f>_xll.QS.CONTEXT.CREATE("market.4600",A4602,"USD","SOFR")</f>
        <v>QSObject:PricingContext:w1~market.4600:12369</v>
      </c>
      <c r="D4602" s="6" t="str">
        <f>_xll.QS.CONTEXT.ADD.CURVE(C4602,"SOFR",$K$2:$K$7,$L$2:$L$7,,,"Actual360","LogLinear",TRUE)</f>
        <v>QSObject:ContextInput:w1~input.qs_context_add_curve.2359132437744.4601.3.0:36040</v>
      </c>
      <c r="E4602" s="6" t="str">
        <f>_xll.QS.INSTRUMENT.SWAP("swap.4600",H4602,B4602,"USD","SOFR",I4602,J4602,0,"Actual360","Simple","Annual","Annual","Annual")</f>
        <v>QSObject:Swap:w1~swap.4600:12368</v>
      </c>
      <c r="F4602" s="6" t="str">
        <f>_xll.QS.TRADE.CREATE("trade.4600",E4602,A4602,"Receive")</f>
        <v>QSObject:SwapTrade:w1~trade.4600:27255</v>
      </c>
      <c r="G4602" s="3">
        <f>_xll.QS.EVALUATE(C4602,F4602)</f>
        <v>20017.713191750154</v>
      </c>
      <c r="H4602" s="5" t="s">
        <v>4643</v>
      </c>
      <c r="I4602" s="7">
        <v>1460000</v>
      </c>
      <c r="J4602" s="8">
        <v>3.5000000000000003E-2</v>
      </c>
    </row>
    <row r="4603" spans="1:10" x14ac:dyDescent="0.25">
      <c r="A4603" s="5" t="s">
        <v>4637</v>
      </c>
      <c r="B4603" s="5" t="s">
        <v>6470</v>
      </c>
      <c r="C4603" s="6" t="str">
        <f>_xll.QS.CONTEXT.CREATE("market.4601",A4603,"USD","SOFR")</f>
        <v>QSObject:PricingContext:w1~market.4601:12367</v>
      </c>
      <c r="D4603" s="6" t="str">
        <f>_xll.QS.CONTEXT.ADD.CURVE(C4603,"SOFR",$K$2:$K$7,$L$2:$L$7,,,"Actual360","LogLinear",TRUE)</f>
        <v>QSObject:ContextInput:w1~input.qs_context_add_curve.2359132437744.4602.3.0:36039</v>
      </c>
      <c r="E4603" s="6" t="str">
        <f>_xll.QS.INSTRUMENT.SWAP("swap.4601",H4603,B4603,"USD","SOFR",I4603,J4603,0,"Actual360","Simple","Annual","Annual","Annual")</f>
        <v>QSObject:Swap:w1~swap.4601:12366</v>
      </c>
      <c r="F4603" s="6" t="str">
        <f>_xll.QS.TRADE.CREATE("trade.4601",E4603,A4603,"Receive")</f>
        <v>QSObject:SwapTrade:w1~trade.4601:27254</v>
      </c>
      <c r="G4603" s="3">
        <f>_xll.QS.EVALUATE(C4603,F4603)</f>
        <v>20798.855651971993</v>
      </c>
      <c r="H4603" s="5" t="s">
        <v>4644</v>
      </c>
      <c r="I4603" s="7">
        <v>1460100</v>
      </c>
      <c r="J4603" s="8">
        <v>3.5100000000000013E-2</v>
      </c>
    </row>
    <row r="4604" spans="1:10" x14ac:dyDescent="0.25">
      <c r="A4604" s="5" t="s">
        <v>4638</v>
      </c>
      <c r="B4604" s="5" t="s">
        <v>6471</v>
      </c>
      <c r="C4604" s="6" t="str">
        <f>_xll.QS.CONTEXT.CREATE("market.4602",A4604,"USD","SOFR")</f>
        <v>QSObject:PricingContext:w1~market.4602:12365</v>
      </c>
      <c r="D4604" s="6" t="str">
        <f>_xll.QS.CONTEXT.ADD.CURVE(C4604,"SOFR",$K$2:$K$7,$L$2:$L$7,,,"Actual360","LogLinear",TRUE)</f>
        <v>QSObject:ContextInput:w1~input.qs_context_add_curve.2359132437744.4603.3.0:36038</v>
      </c>
      <c r="E4604" s="6" t="str">
        <f>_xll.QS.INSTRUMENT.SWAP("swap.4602",H4604,B4604,"USD","SOFR",I4604,J4604,0,"Actual360","Simple","Annual","Annual","Annual")</f>
        <v>QSObject:Swap:w1~swap.4602:12364</v>
      </c>
      <c r="F4604" s="6" t="str">
        <f>_xll.QS.TRADE.CREATE("trade.4602",E4604,A4604,"Receive")</f>
        <v>QSObject:SwapTrade:w1~trade.4602:27253</v>
      </c>
      <c r="G4604" s="3">
        <f>_xll.QS.EVALUATE(C4604,F4604)</f>
        <v>21536.993319987283</v>
      </c>
      <c r="H4604" s="5" t="s">
        <v>4645</v>
      </c>
      <c r="I4604" s="7">
        <v>1460200</v>
      </c>
      <c r="J4604" s="8">
        <v>3.5200000000000002E-2</v>
      </c>
    </row>
    <row r="4605" spans="1:10" x14ac:dyDescent="0.25">
      <c r="A4605" s="5" t="s">
        <v>4639</v>
      </c>
      <c r="B4605" s="5" t="s">
        <v>6472</v>
      </c>
      <c r="C4605" s="6" t="str">
        <f>_xll.QS.CONTEXT.CREATE("market.4603",A4605,"USD","SOFR")</f>
        <v>QSObject:PricingContext:w1~market.4603:12363</v>
      </c>
      <c r="D4605" s="6" t="str">
        <f>_xll.QS.CONTEXT.ADD.CURVE(C4605,"SOFR",$K$2:$K$7,$L$2:$L$7,,,"Actual360","LogLinear",TRUE)</f>
        <v>QSObject:ContextInput:w1~input.qs_context_add_curve.2359132437744.4604.3.0:36037</v>
      </c>
      <c r="E4605" s="6" t="str">
        <f>_xll.QS.INSTRUMENT.SWAP("swap.4603",H4605,B4605,"USD","SOFR",I4605,J4605,0,"Actual360","Simple","Annual","Annual","Annual")</f>
        <v>QSObject:Swap:w1~swap.4603:12362</v>
      </c>
      <c r="F4605" s="6" t="str">
        <f>_xll.QS.TRADE.CREATE("trade.4603",E4605,A4605,"Receive")</f>
        <v>QSObject:SwapTrade:w1~trade.4603:27252</v>
      </c>
      <c r="G4605" s="3">
        <f>_xll.QS.EVALUATE(C4605,F4605)</f>
        <v>22156.53847572978</v>
      </c>
      <c r="H4605" s="5" t="s">
        <v>4646</v>
      </c>
      <c r="I4605" s="7">
        <v>1460300</v>
      </c>
      <c r="J4605" s="8">
        <v>3.5299999999999998E-2</v>
      </c>
    </row>
    <row r="4606" spans="1:10" x14ac:dyDescent="0.25">
      <c r="A4606" s="5" t="s">
        <v>4640</v>
      </c>
      <c r="B4606" s="5" t="s">
        <v>6473</v>
      </c>
      <c r="C4606" s="6" t="str">
        <f>_xll.QS.CONTEXT.CREATE("market.4604",A4606,"USD","SOFR")</f>
        <v>QSObject:PricingContext:w1~market.4604:12361</v>
      </c>
      <c r="D4606" s="6" t="str">
        <f>_xll.QS.CONTEXT.ADD.CURVE(C4606,"SOFR",$K$2:$K$7,$L$2:$L$7,,,"Actual360","LogLinear",TRUE)</f>
        <v>QSObject:ContextInput:w1~input.qs_context_add_curve.2359132437744.4605.3.0:36036</v>
      </c>
      <c r="E4606" s="6" t="str">
        <f>_xll.QS.INSTRUMENT.SWAP("swap.4604",H4606,B4606,"USD","SOFR",I4606,J4606,0,"Actual360","Simple","Annual","Annual","Annual")</f>
        <v>QSObject:Swap:w1~swap.4604:12360</v>
      </c>
      <c r="F4606" s="6" t="str">
        <f>_xll.QS.TRADE.CREATE("trade.4604",E4606,A4606,"Receive")</f>
        <v>QSObject:SwapTrade:w1~trade.4604:27251</v>
      </c>
      <c r="G4606" s="3">
        <f>_xll.QS.EVALUATE(C4606,F4606)</f>
        <v>22742.862917260223</v>
      </c>
      <c r="H4606" s="5" t="s">
        <v>4647</v>
      </c>
      <c r="I4606" s="7">
        <v>1460400</v>
      </c>
      <c r="J4606" s="8">
        <v>3.5400000000000001E-2</v>
      </c>
    </row>
    <row r="4607" spans="1:10" x14ac:dyDescent="0.25">
      <c r="A4607" s="5" t="s">
        <v>4641</v>
      </c>
      <c r="B4607" s="5" t="s">
        <v>6474</v>
      </c>
      <c r="C4607" s="6" t="str">
        <f>_xll.QS.CONTEXT.CREATE("market.4605",A4607,"USD","SOFR")</f>
        <v>QSObject:PricingContext:w1~market.4605:12359</v>
      </c>
      <c r="D4607" s="6" t="str">
        <f>_xll.QS.CONTEXT.ADD.CURVE(C4607,"SOFR",$K$2:$K$7,$L$2:$L$7,,,"Actual360","LogLinear",TRUE)</f>
        <v>QSObject:ContextInput:w1~input.qs_context_add_curve.2359132437744.4606.3.0:36035</v>
      </c>
      <c r="E4607" s="6" t="str">
        <f>_xll.QS.INSTRUMENT.SWAP("swap.4605",H4607,B4607,"USD","SOFR",I4607,J4607,0,"Actual360","Simple","Annual","Annual","Annual")</f>
        <v>QSObject:Swap:w1~swap.4605:12358</v>
      </c>
      <c r="F4607" s="6" t="str">
        <f>_xll.QS.TRADE.CREATE("trade.4605",E4607,A4607,"Receive")</f>
        <v>QSObject:SwapTrade:w1~trade.4605:27250</v>
      </c>
      <c r="G4607" s="3">
        <f>_xll.QS.EVALUATE(C4607,F4607)</f>
        <v>23287.638731958221</v>
      </c>
      <c r="H4607" s="5" t="s">
        <v>4648</v>
      </c>
      <c r="I4607" s="7">
        <v>1460500</v>
      </c>
      <c r="J4607" s="8">
        <v>3.5499999999999997E-2</v>
      </c>
    </row>
    <row r="4608" spans="1:10" x14ac:dyDescent="0.25">
      <c r="A4608" s="5" t="s">
        <v>4642</v>
      </c>
      <c r="B4608" s="5" t="s">
        <v>6475</v>
      </c>
      <c r="C4608" s="6" t="str">
        <f>_xll.QS.CONTEXT.CREATE("market.4606",A4608,"USD","SOFR")</f>
        <v>QSObject:PricingContext:w1~market.4606:12357</v>
      </c>
      <c r="D4608" s="6" t="str">
        <f>_xll.QS.CONTEXT.ADD.CURVE(C4608,"SOFR",$K$2:$K$7,$L$2:$L$7,,,"Actual360","LogLinear",TRUE)</f>
        <v>QSObject:ContextInput:w1~input.qs_context_add_curve.2359132437744.4607.3.0:36034</v>
      </c>
      <c r="E4608" s="6" t="str">
        <f>_xll.QS.INSTRUMENT.SWAP("swap.4606",H4608,B4608,"USD","SOFR",I4608,J4608,0,"Actual360","Simple","Annual","Annual","Annual")</f>
        <v>QSObject:Swap:w1~swap.4606:12356</v>
      </c>
      <c r="F4608" s="6" t="str">
        <f>_xll.QS.TRADE.CREATE("trade.4606",E4608,A4608,"Receive")</f>
        <v>QSObject:SwapTrade:w1~trade.4606:27249</v>
      </c>
      <c r="G4608" s="3">
        <f>_xll.QS.EVALUATE(C4608,F4608)</f>
        <v>24023.945661029436</v>
      </c>
      <c r="H4608" s="5" t="s">
        <v>4649</v>
      </c>
      <c r="I4608" s="7">
        <v>1460600</v>
      </c>
      <c r="J4608" s="8">
        <v>3.5600000000000007E-2</v>
      </c>
    </row>
    <row r="4609" spans="1:10" x14ac:dyDescent="0.25">
      <c r="A4609" s="5" t="s">
        <v>4643</v>
      </c>
      <c r="B4609" s="5" t="s">
        <v>6476</v>
      </c>
      <c r="C4609" s="6" t="str">
        <f>_xll.QS.CONTEXT.CREATE("market.4607",A4609,"USD","SOFR")</f>
        <v>QSObject:PricingContext:w1~market.4607:12355</v>
      </c>
      <c r="D4609" s="6" t="str">
        <f>_xll.QS.CONTEXT.ADD.CURVE(C4609,"SOFR",$K$2:$K$7,$L$2:$L$7,,,"Actual360","LogLinear",TRUE)</f>
        <v>QSObject:ContextInput:w1~input.qs_context_add_curve.2359132437744.4608.3.0:36033</v>
      </c>
      <c r="E4609" s="6" t="str">
        <f>_xll.QS.INSTRUMENT.SWAP("swap.4607",H4609,B4609,"USD","SOFR",I4609,J4609,0,"Actual360","Simple","Annual","Annual","Annual")</f>
        <v>QSObject:Swap:w1~swap.4607:12354</v>
      </c>
      <c r="F4609" s="6" t="str">
        <f>_xll.QS.TRADE.CREATE("trade.4607",E4609,A4609,"Receive")</f>
        <v>QSObject:SwapTrade:w1~trade.4607:27248</v>
      </c>
      <c r="G4609" s="3">
        <f>_xll.QS.EVALUATE(C4609,F4609)</f>
        <v>24742.334364250528</v>
      </c>
      <c r="H4609" s="5" t="s">
        <v>4650</v>
      </c>
      <c r="I4609" s="7">
        <v>1460700</v>
      </c>
      <c r="J4609" s="8">
        <v>3.5700000000000003E-2</v>
      </c>
    </row>
    <row r="4610" spans="1:10" x14ac:dyDescent="0.25">
      <c r="A4610" s="5" t="s">
        <v>4644</v>
      </c>
      <c r="B4610" s="5" t="s">
        <v>6477</v>
      </c>
      <c r="C4610" s="6" t="str">
        <f>_xll.QS.CONTEXT.CREATE("market.4608",A4610,"USD","SOFR")</f>
        <v>QSObject:PricingContext:w1~market.4608:12353</v>
      </c>
      <c r="D4610" s="6" t="str">
        <f>_xll.QS.CONTEXT.ADD.CURVE(C4610,"SOFR",$K$2:$K$7,$L$2:$L$7,,,"Actual360","LogLinear",TRUE)</f>
        <v>QSObject:ContextInput:w1~input.qs_context_add_curve.2359132437744.4609.3.0:36032</v>
      </c>
      <c r="E4610" s="6" t="str">
        <f>_xll.QS.INSTRUMENT.SWAP("swap.4608",H4610,B4610,"USD","SOFR",I4610,J4610,0,"Actual360","Simple","Annual","Annual","Annual")</f>
        <v>QSObject:Swap:w1~swap.4608:12352</v>
      </c>
      <c r="F4610" s="6" t="str">
        <f>_xll.QS.TRADE.CREATE("trade.4608",E4610,A4610,"Receive")</f>
        <v>QSObject:SwapTrade:w1~trade.4608:27247</v>
      </c>
      <c r="G4610" s="3">
        <f>_xll.QS.EVALUATE(C4610,F4610)</f>
        <v>25524.24420904513</v>
      </c>
      <c r="H4610" s="5" t="s">
        <v>4651</v>
      </c>
      <c r="I4610" s="7">
        <v>1460800</v>
      </c>
      <c r="J4610" s="8">
        <v>3.5800000000000012E-2</v>
      </c>
    </row>
    <row r="4611" spans="1:10" x14ac:dyDescent="0.25">
      <c r="A4611" s="5" t="s">
        <v>4645</v>
      </c>
      <c r="B4611" s="5" t="s">
        <v>6478</v>
      </c>
      <c r="C4611" s="6" t="str">
        <f>_xll.QS.CONTEXT.CREATE("market.4609",A4611,"USD","SOFR")</f>
        <v>QSObject:PricingContext:w1~market.4609:12351</v>
      </c>
      <c r="D4611" s="6" t="str">
        <f>_xll.QS.CONTEXT.ADD.CURVE(C4611,"SOFR",$K$2:$K$7,$L$2:$L$7,,,"Actual360","LogLinear",TRUE)</f>
        <v>QSObject:ContextInput:w1~input.qs_context_add_curve.2359132437744.4610.3.0:36031</v>
      </c>
      <c r="E4611" s="6" t="str">
        <f>_xll.QS.INSTRUMENT.SWAP("swap.4609",H4611,B4611,"USD","SOFR",I4611,J4611,0,"Actual360","Simple","Annual","Annual","Annual")</f>
        <v>QSObject:Swap:w1~swap.4609:12350</v>
      </c>
      <c r="F4611" s="6" t="str">
        <f>_xll.QS.TRADE.CREATE("trade.4609",E4611,A4611,"Receive")</f>
        <v>QSObject:SwapTrade:w1~trade.4609:27246</v>
      </c>
      <c r="G4611" s="3">
        <f>_xll.QS.EVALUATE(C4611,F4611)</f>
        <v>26263.108253054539</v>
      </c>
      <c r="H4611" s="5" t="s">
        <v>4652</v>
      </c>
      <c r="I4611" s="7">
        <v>1460900</v>
      </c>
      <c r="J4611" s="8">
        <v>3.5900000000000001E-2</v>
      </c>
    </row>
    <row r="4612" spans="1:10" x14ac:dyDescent="0.25">
      <c r="A4612" s="5" t="s">
        <v>4646</v>
      </c>
      <c r="B4612" s="5" t="s">
        <v>6479</v>
      </c>
      <c r="C4612" s="6" t="str">
        <f>_xll.QS.CONTEXT.CREATE("market.4610",A4612,"USD","SOFR")</f>
        <v>QSObject:PricingContext:w1~market.4610:12349</v>
      </c>
      <c r="D4612" s="6" t="str">
        <f>_xll.QS.CONTEXT.ADD.CURVE(C4612,"SOFR",$K$2:$K$7,$L$2:$L$7,,,"Actual360","LogLinear",TRUE)</f>
        <v>QSObject:ContextInput:w1~input.qs_context_add_curve.2359132437744.4611.3.0:36030</v>
      </c>
      <c r="E4612" s="6" t="str">
        <f>_xll.QS.INSTRUMENT.SWAP("swap.4610",H4612,B4612,"USD","SOFR",I4612,J4612,0,"Actual360","Simple","Annual","Annual","Annual")</f>
        <v>QSObject:Swap:w1~swap.4610:12348</v>
      </c>
      <c r="F4612" s="6" t="str">
        <f>_xll.QS.TRADE.CREATE("trade.4610",E4612,A4612,"Receive")</f>
        <v>QSObject:SwapTrade:w1~trade.4610:27245</v>
      </c>
      <c r="G4612" s="3">
        <f>_xll.QS.EVALUATE(C4612,F4612)</f>
        <v>26883.23446512931</v>
      </c>
      <c r="H4612" s="5" t="s">
        <v>4653</v>
      </c>
      <c r="I4612" s="7">
        <v>1461000</v>
      </c>
      <c r="J4612" s="8">
        <v>3.5999999999999997E-2</v>
      </c>
    </row>
    <row r="4613" spans="1:10" x14ac:dyDescent="0.25">
      <c r="A4613" s="5" t="s">
        <v>4647</v>
      </c>
      <c r="B4613" s="5" t="s">
        <v>6480</v>
      </c>
      <c r="C4613" s="6" t="str">
        <f>_xll.QS.CONTEXT.CREATE("market.4611",A4613,"USD","SOFR")</f>
        <v>QSObject:PricingContext:w1~market.4611:12347</v>
      </c>
      <c r="D4613" s="6" t="str">
        <f>_xll.QS.CONTEXT.ADD.CURVE(C4613,"SOFR",$K$2:$K$7,$L$2:$L$7,,,"Actual360","LogLinear",TRUE)</f>
        <v>QSObject:ContextInput:w1~input.qs_context_add_curve.2359132437744.4612.3.0:36029</v>
      </c>
      <c r="E4613" s="6" t="str">
        <f>_xll.QS.INSTRUMENT.SWAP("swap.4611",H4613,B4613,"USD","SOFR",I4613,J4613,0,"Actual360","Simple","Annual","Annual","Annual")</f>
        <v>QSObject:Swap:w1~swap.4611:12346</v>
      </c>
      <c r="F4613" s="6" t="str">
        <f>_xll.QS.TRADE.CREATE("trade.4611",E4613,A4613,"Receive")</f>
        <v>QSObject:SwapTrade:w1~trade.4611:27244</v>
      </c>
      <c r="G4613" s="3">
        <f>_xll.QS.EVALUATE(C4613,F4613)</f>
        <v>27464.603893739521</v>
      </c>
      <c r="H4613" s="5" t="s">
        <v>4654</v>
      </c>
      <c r="I4613" s="7">
        <v>1461100</v>
      </c>
      <c r="J4613" s="8">
        <v>3.61E-2</v>
      </c>
    </row>
    <row r="4614" spans="1:10" x14ac:dyDescent="0.25">
      <c r="A4614" s="5" t="s">
        <v>4648</v>
      </c>
      <c r="B4614" s="5" t="s">
        <v>6481</v>
      </c>
      <c r="C4614" s="6" t="str">
        <f>_xll.QS.CONTEXT.CREATE("market.4612",A4614,"USD","SOFR")</f>
        <v>QSObject:PricingContext:w1~market.4612:12345</v>
      </c>
      <c r="D4614" s="6" t="str">
        <f>_xll.QS.CONTEXT.ADD.CURVE(C4614,"SOFR",$K$2:$K$7,$L$2:$L$7,,,"Actual360","LogLinear",TRUE)</f>
        <v>QSObject:ContextInput:w1~input.qs_context_add_curve.2359132437744.4613.3.0:36028</v>
      </c>
      <c r="E4614" s="6" t="str">
        <f>_xll.QS.INSTRUMENT.SWAP("swap.4612",H4614,B4614,"USD","SOFR",I4614,J4614,0,"Actual360","Simple","Annual","Annual","Annual")</f>
        <v>QSObject:Swap:w1~swap.4612:12344</v>
      </c>
      <c r="F4614" s="6" t="str">
        <f>_xll.QS.TRADE.CREATE("trade.4612",E4614,A4614,"Receive")</f>
        <v>QSObject:SwapTrade:w1~trade.4612:27243</v>
      </c>
      <c r="G4614" s="3">
        <f>_xll.QS.EVALUATE(C4614,F4614)</f>
        <v>28017.274705578544</v>
      </c>
      <c r="H4614" s="5" t="s">
        <v>4655</v>
      </c>
      <c r="I4614" s="7">
        <v>1461200</v>
      </c>
      <c r="J4614" s="8">
        <v>3.6200000000000003E-2</v>
      </c>
    </row>
    <row r="4615" spans="1:10" x14ac:dyDescent="0.25">
      <c r="A4615" s="5" t="s">
        <v>4649</v>
      </c>
      <c r="B4615" s="5" t="s">
        <v>6482</v>
      </c>
      <c r="C4615" s="6" t="str">
        <f>_xll.QS.CONTEXT.CREATE("market.4613",A4615,"USD","SOFR")</f>
        <v>QSObject:PricingContext:w1~market.4613:12343</v>
      </c>
      <c r="D4615" s="6" t="str">
        <f>_xll.QS.CONTEXT.ADD.CURVE(C4615,"SOFR",$K$2:$K$7,$L$2:$L$7,,,"Actual360","LogLinear",TRUE)</f>
        <v>QSObject:ContextInput:w1~input.qs_context_add_curve.2359132437744.4614.3.0:36027</v>
      </c>
      <c r="E4615" s="6" t="str">
        <f>_xll.QS.INSTRUMENT.SWAP("swap.4613",H4615,B4615,"USD","SOFR",I4615,J4615,0,"Actual360","Simple","Annual","Annual","Annual")</f>
        <v>QSObject:Swap:w1~swap.4613:12342</v>
      </c>
      <c r="F4615" s="6" t="str">
        <f>_xll.QS.TRADE.CREATE("trade.4613",E4615,A4615,"Receive")</f>
        <v>QSObject:SwapTrade:w1~trade.4613:27242</v>
      </c>
      <c r="G4615" s="3">
        <f>_xll.QS.EVALUATE(C4615,F4615)</f>
        <v>28754.73019068237</v>
      </c>
      <c r="H4615" s="5" t="s">
        <v>4656</v>
      </c>
      <c r="I4615" s="7">
        <v>1461300</v>
      </c>
      <c r="J4615" s="8">
        <v>3.6300000000000013E-2</v>
      </c>
    </row>
    <row r="4616" spans="1:10" x14ac:dyDescent="0.25">
      <c r="A4616" s="5" t="s">
        <v>4650</v>
      </c>
      <c r="B4616" s="5" t="s">
        <v>6483</v>
      </c>
      <c r="C4616" s="6" t="str">
        <f>_xll.QS.CONTEXT.CREATE("market.4614",A4616,"USD","SOFR")</f>
        <v>QSObject:PricingContext:w1~market.4614:12341</v>
      </c>
      <c r="D4616" s="6" t="str">
        <f>_xll.QS.CONTEXT.ADD.CURVE(C4616,"SOFR",$K$2:$K$7,$L$2:$L$7,,,"Actual360","LogLinear",TRUE)</f>
        <v>QSObject:ContextInput:w1~input.qs_context_add_curve.2359132437744.4615.3.0:36026</v>
      </c>
      <c r="E4616" s="6" t="str">
        <f>_xll.QS.INSTRUMENT.SWAP("swap.4614",H4616,B4616,"USD","SOFR",I4616,J4616,0,"Actual360","Simple","Annual","Annual","Annual")</f>
        <v>QSObject:Swap:w1~swap.4614:12340</v>
      </c>
      <c r="F4616" s="6" t="str">
        <f>_xll.QS.TRADE.CREATE("trade.4614",E4616,A4616,"Receive")</f>
        <v>QSObject:SwapTrade:w1~trade.4614:27241</v>
      </c>
      <c r="G4616" s="3">
        <f>_xll.QS.EVALUATE(C4616,F4616)</f>
        <v>29471.474625608476</v>
      </c>
      <c r="H4616" s="5" t="s">
        <v>4657</v>
      </c>
      <c r="I4616" s="7">
        <v>1461400</v>
      </c>
      <c r="J4616" s="8">
        <v>3.6400000000000002E-2</v>
      </c>
    </row>
    <row r="4617" spans="1:10" x14ac:dyDescent="0.25">
      <c r="A4617" s="5" t="s">
        <v>4651</v>
      </c>
      <c r="B4617" s="5" t="s">
        <v>6484</v>
      </c>
      <c r="C4617" s="6" t="str">
        <f>_xll.QS.CONTEXT.CREATE("market.4615",A4617,"USD","SOFR")</f>
        <v>QSObject:PricingContext:w1~market.4615:12339</v>
      </c>
      <c r="D4617" s="6" t="str">
        <f>_xll.QS.CONTEXT.ADD.CURVE(C4617,"SOFR",$K$2:$K$7,$L$2:$L$7,,,"Actual360","LogLinear",TRUE)</f>
        <v>QSObject:ContextInput:w1~input.qs_context_add_curve.2359132437744.4616.3.0:36025</v>
      </c>
      <c r="E4617" s="6" t="str">
        <f>_xll.QS.INSTRUMENT.SWAP("swap.4615",H4617,B4617,"USD","SOFR",I4617,J4617,0,"Actual360","Simple","Annual","Annual","Annual")</f>
        <v>QSObject:Swap:w1~swap.4615:12338</v>
      </c>
      <c r="F4617" s="6" t="str">
        <f>_xll.QS.TRADE.CREATE("trade.4615",E4617,A4617,"Receive")</f>
        <v>QSObject:SwapTrade:w1~trade.4615:27240</v>
      </c>
      <c r="G4617" s="3">
        <f>_xll.QS.EVALUATE(C4617,F4617)</f>
        <v>30254.15192278591</v>
      </c>
      <c r="H4617" s="5" t="s">
        <v>4658</v>
      </c>
      <c r="I4617" s="7">
        <v>1461500</v>
      </c>
      <c r="J4617" s="8">
        <v>3.6499999999999998E-2</v>
      </c>
    </row>
    <row r="4618" spans="1:10" x14ac:dyDescent="0.25">
      <c r="A4618" s="5" t="s">
        <v>4652</v>
      </c>
      <c r="B4618" s="5" t="s">
        <v>6485</v>
      </c>
      <c r="C4618" s="6" t="str">
        <f>_xll.QS.CONTEXT.CREATE("market.4616",A4618,"USD","SOFR")</f>
        <v>QSObject:PricingContext:w1~market.4616:12337</v>
      </c>
      <c r="D4618" s="6" t="str">
        <f>_xll.QS.CONTEXT.ADD.CURVE(C4618,"SOFR",$K$2:$K$7,$L$2:$L$7,,,"Actual360","LogLinear",TRUE)</f>
        <v>QSObject:ContextInput:w1~input.qs_context_add_curve.2359132437744.4617.3.0:36024</v>
      </c>
      <c r="E4618" s="6" t="str">
        <f>_xll.QS.INSTRUMENT.SWAP("swap.4616",H4618,B4618,"USD","SOFR",I4618,J4618,0,"Actual360","Simple","Annual","Annual","Annual")</f>
        <v>QSObject:Swap:w1~swap.4616:12336</v>
      </c>
      <c r="F4618" s="6" t="str">
        <f>_xll.QS.TRADE.CREATE("trade.4616",E4618,A4618,"Receive")</f>
        <v>QSObject:SwapTrade:w1~trade.4616:27239</v>
      </c>
      <c r="G4618" s="3">
        <f>_xll.QS.EVALUATE(C4618,F4618)</f>
        <v>30993.742391097156</v>
      </c>
      <c r="H4618" s="5" t="s">
        <v>4659</v>
      </c>
      <c r="I4618" s="7">
        <v>1461600</v>
      </c>
      <c r="J4618" s="8">
        <v>3.6600000000000001E-2</v>
      </c>
    </row>
    <row r="4619" spans="1:10" x14ac:dyDescent="0.25">
      <c r="A4619" s="5" t="s">
        <v>4653</v>
      </c>
      <c r="B4619" s="5" t="s">
        <v>6486</v>
      </c>
      <c r="C4619" s="6" t="str">
        <f>_xll.QS.CONTEXT.CREATE("market.4617",A4619,"USD","SOFR")</f>
        <v>QSObject:PricingContext:w1~market.4617:12335</v>
      </c>
      <c r="D4619" s="6" t="str">
        <f>_xll.QS.CONTEXT.ADD.CURVE(C4619,"SOFR",$K$2:$K$7,$L$2:$L$7,,,"Actual360","LogLinear",TRUE)</f>
        <v>QSObject:ContextInput:w1~input.qs_context_add_curve.2359132437744.4618.3.0:36023</v>
      </c>
      <c r="E4619" s="6" t="str">
        <f>_xll.QS.INSTRUMENT.SWAP("swap.4617",H4619,B4619,"USD","SOFR",I4619,J4619,0,"Actual360","Simple","Annual","Annual","Annual")</f>
        <v>QSObject:Swap:w1~swap.4617:12334</v>
      </c>
      <c r="F4619" s="6" t="str">
        <f>_xll.QS.TRADE.CREATE("trade.4617",E4619,A4619,"Receive")</f>
        <v>QSObject:SwapTrade:w1~trade.4617:27238</v>
      </c>
      <c r="G4619" s="3">
        <f>_xll.QS.EVALUATE(C4619,F4619)</f>
        <v>31614.682828719808</v>
      </c>
      <c r="H4619" s="5" t="s">
        <v>4660</v>
      </c>
      <c r="I4619" s="7">
        <v>1461700</v>
      </c>
      <c r="J4619" s="8">
        <v>3.6700000000000003E-2</v>
      </c>
    </row>
    <row r="4620" spans="1:10" x14ac:dyDescent="0.25">
      <c r="A4620" s="5" t="s">
        <v>4654</v>
      </c>
      <c r="B4620" s="5" t="s">
        <v>6487</v>
      </c>
      <c r="C4620" s="6" t="str">
        <f>_xll.QS.CONTEXT.CREATE("market.4618",A4620,"USD","SOFR")</f>
        <v>QSObject:PricingContext:w1~market.4618:12333</v>
      </c>
      <c r="D4620" s="6" t="str">
        <f>_xll.QS.CONTEXT.ADD.CURVE(C4620,"SOFR",$K$2:$K$7,$L$2:$L$7,,,"Actual360","LogLinear",TRUE)</f>
        <v>QSObject:ContextInput:w1~input.qs_context_add_curve.2359132437744.4619.3.0:36022</v>
      </c>
      <c r="E4620" s="6" t="str">
        <f>_xll.QS.INSTRUMENT.SWAP("swap.4618",H4620,B4620,"USD","SOFR",I4620,J4620,0,"Actual360","Simple","Annual","Annual","Annual")</f>
        <v>QSObject:Swap:w1~swap.4618:12332</v>
      </c>
      <c r="F4620" s="6" t="str">
        <f>_xll.QS.TRADE.CREATE("trade.4618",E4620,A4620,"Receive")</f>
        <v>QSObject:SwapTrade:w1~trade.4618:27237</v>
      </c>
      <c r="G4620" s="3">
        <f>_xll.QS.EVALUATE(C4620,F4620)</f>
        <v>32253.79542303663</v>
      </c>
      <c r="H4620" s="5" t="s">
        <v>4661</v>
      </c>
      <c r="I4620" s="7">
        <v>1461800</v>
      </c>
      <c r="J4620" s="8">
        <v>3.6800000000000013E-2</v>
      </c>
    </row>
    <row r="4621" spans="1:10" x14ac:dyDescent="0.25">
      <c r="A4621" s="5" t="s">
        <v>4655</v>
      </c>
      <c r="B4621" s="5" t="s">
        <v>6488</v>
      </c>
      <c r="C4621" s="6" t="str">
        <f>_xll.QS.CONTEXT.CREATE("market.4619",A4621,"USD","SOFR")</f>
        <v>QSObject:PricingContext:w1~market.4619:12331</v>
      </c>
      <c r="D4621" s="6" t="str">
        <f>_xll.QS.CONTEXT.ADD.CURVE(C4621,"SOFR",$K$2:$K$7,$L$2:$L$7,,,"Actual360","LogLinear",TRUE)</f>
        <v>QSObject:ContextInput:w1~input.qs_context_add_curve.2359132437744.4620.3.0:36021</v>
      </c>
      <c r="E4621" s="6" t="str">
        <f>_xll.QS.INSTRUMENT.SWAP("swap.4619",H4621,B4621,"USD","SOFR",I4621,J4621,0,"Actual360","Simple","Annual","Annual","Annual")</f>
        <v>QSObject:Swap:w1~swap.4619:12330</v>
      </c>
      <c r="F4621" s="6" t="str">
        <f>_xll.QS.TRADE.CREATE("trade.4619",E4621,A4621,"Receive")</f>
        <v>QSObject:SwapTrade:w1~trade.4619:27236</v>
      </c>
      <c r="G4621" s="3">
        <f>_xll.QS.EVALUATE(C4621,F4621)</f>
        <v>32690.840189526585</v>
      </c>
      <c r="H4621" s="5" t="s">
        <v>4662</v>
      </c>
      <c r="I4621" s="7">
        <v>1461900</v>
      </c>
      <c r="J4621" s="8">
        <v>3.6900000000000002E-2</v>
      </c>
    </row>
    <row r="4622" spans="1:10" x14ac:dyDescent="0.25">
      <c r="A4622" s="5" t="s">
        <v>4656</v>
      </c>
      <c r="B4622" s="5" t="s">
        <v>6489</v>
      </c>
      <c r="C4622" s="6" t="str">
        <f>_xll.QS.CONTEXT.CREATE("market.4620",A4622,"USD","SOFR")</f>
        <v>QSObject:PricingContext:w1~market.4620:12329</v>
      </c>
      <c r="D4622" s="6" t="str">
        <f>_xll.QS.CONTEXT.ADD.CURVE(C4622,"SOFR",$K$2:$K$7,$L$2:$L$7,,,"Actual360","LogLinear",TRUE)</f>
        <v>QSObject:ContextInput:w1~input.qs_context_add_curve.2359132437744.4621.3.0:36020</v>
      </c>
      <c r="E4622" s="6" t="str">
        <f>_xll.QS.INSTRUMENT.SWAP("swap.4620",H4622,B4622,"USD","SOFR",I4622,J4622,0,"Actual360","Simple","Annual","Annual","Annual")</f>
        <v>QSObject:Swap:w1~swap.4620:12328</v>
      </c>
      <c r="F4622" s="6" t="str">
        <f>_xll.QS.TRADE.CREATE("trade.4620",E4622,A4622,"Receive")</f>
        <v>QSObject:SwapTrade:w1~trade.4620:27235</v>
      </c>
      <c r="G4622" s="3">
        <f>_xll.QS.EVALUATE(C4622,F4622)</f>
        <v>33429.819709913667</v>
      </c>
      <c r="H4622" s="5" t="s">
        <v>4663</v>
      </c>
      <c r="I4622" s="7">
        <v>1462000</v>
      </c>
      <c r="J4622" s="8">
        <v>3.7000000000000012E-2</v>
      </c>
    </row>
    <row r="4623" spans="1:10" x14ac:dyDescent="0.25">
      <c r="A4623" s="5" t="s">
        <v>4657</v>
      </c>
      <c r="B4623" s="5" t="s">
        <v>6490</v>
      </c>
      <c r="C4623" s="6" t="str">
        <f>_xll.QS.CONTEXT.CREATE("market.4621",A4623,"USD","SOFR")</f>
        <v>QSObject:PricingContext:w1~market.4621:12327</v>
      </c>
      <c r="D4623" s="6" t="str">
        <f>_xll.QS.CONTEXT.ADD.CURVE(C4623,"SOFR",$K$2:$K$7,$L$2:$L$7,,,"Actual360","LogLinear",TRUE)</f>
        <v>QSObject:ContextInput:w1~input.qs_context_add_curve.2359132437744.4622.3.0:36019</v>
      </c>
      <c r="E4623" s="6" t="str">
        <f>_xll.QS.INSTRUMENT.SWAP("swap.4621",H4623,B4623,"USD","SOFR",I4623,J4623,0,"Actual360","Simple","Annual","Annual","Annual")</f>
        <v>QSObject:Swap:w1~swap.4621:12326</v>
      </c>
      <c r="F4623" s="6" t="str">
        <f>_xll.QS.TRADE.CREATE("trade.4621",E4623,A4623,"Receive")</f>
        <v>QSObject:SwapTrade:w1~trade.4621:27234</v>
      </c>
      <c r="G4623" s="3">
        <f>_xll.QS.EVALUATE(C4623,F4623)</f>
        <v>34166.885670080963</v>
      </c>
      <c r="H4623" s="5" t="s">
        <v>4664</v>
      </c>
      <c r="I4623" s="7">
        <v>1462100</v>
      </c>
      <c r="J4623" s="8">
        <v>3.7100000000000001E-2</v>
      </c>
    </row>
    <row r="4624" spans="1:10" x14ac:dyDescent="0.25">
      <c r="A4624" s="5" t="s">
        <v>4658</v>
      </c>
      <c r="B4624" s="5" t="s">
        <v>6491</v>
      </c>
      <c r="C4624" s="6" t="str">
        <f>_xll.QS.CONTEXT.CREATE("market.4622",A4624,"USD","SOFR")</f>
        <v>QSObject:PricingContext:w1~market.4622:12325</v>
      </c>
      <c r="D4624" s="6" t="str">
        <f>_xll.QS.CONTEXT.ADD.CURVE(C4624,"SOFR",$K$2:$K$7,$L$2:$L$7,,,"Actual360","LogLinear",TRUE)</f>
        <v>QSObject:ContextInput:w1~input.qs_context_add_curve.2359132437744.4623.3.0:36018</v>
      </c>
      <c r="E4624" s="6" t="str">
        <f>_xll.QS.INSTRUMENT.SWAP("swap.4622",H4624,B4624,"USD","SOFR",I4624,J4624,0,"Actual360","Simple","Annual","Annual","Annual")</f>
        <v>QSObject:Swap:w1~swap.4622:12324</v>
      </c>
      <c r="F4624" s="6" t="str">
        <f>_xll.QS.TRADE.CREATE("trade.4622",E4624,A4624,"Receive")</f>
        <v>QSObject:SwapTrade:w1~trade.4622:27233</v>
      </c>
      <c r="G4624" s="3">
        <f>_xll.QS.EVALUATE(C4624,F4624)</f>
        <v>35045.23559904984</v>
      </c>
      <c r="H4624" s="5" t="s">
        <v>4665</v>
      </c>
      <c r="I4624" s="7">
        <v>1462200</v>
      </c>
      <c r="J4624" s="8">
        <v>3.7199999999999997E-2</v>
      </c>
    </row>
    <row r="4625" spans="1:10" x14ac:dyDescent="0.25">
      <c r="A4625" s="5" t="s">
        <v>4659</v>
      </c>
      <c r="B4625" s="5" t="s">
        <v>6492</v>
      </c>
      <c r="C4625" s="6" t="str">
        <f>_xll.QS.CONTEXT.CREATE("market.4623",A4625,"USD","SOFR")</f>
        <v>QSObject:PricingContext:w1~market.4623:12323</v>
      </c>
      <c r="D4625" s="6" t="str">
        <f>_xll.QS.CONTEXT.ADD.CURVE(C4625,"SOFR",$K$2:$K$7,$L$2:$L$7,,,"Actual360","LogLinear",TRUE)</f>
        <v>QSObject:ContextInput:w1~input.qs_context_add_curve.2359132437744.4624.3.0:36017</v>
      </c>
      <c r="E4625" s="6" t="str">
        <f>_xll.QS.INSTRUMENT.SWAP("swap.4623",H4625,B4625,"USD","SOFR",I4625,J4625,0,"Actual360","Simple","Annual","Annual","Annual")</f>
        <v>QSObject:Swap:w1~swap.4623:12322</v>
      </c>
      <c r="F4625" s="6" t="str">
        <f>_xll.QS.TRADE.CREATE("trade.4623",E4625,A4625,"Receive")</f>
        <v>QSObject:SwapTrade:w1~trade.4623:27232</v>
      </c>
      <c r="G4625" s="3">
        <f>_xll.QS.EVALUATE(C4625,F4625)</f>
        <v>35732.948097763743</v>
      </c>
      <c r="H4625" s="5" t="s">
        <v>4666</v>
      </c>
      <c r="I4625" s="7">
        <v>1462300</v>
      </c>
      <c r="J4625" s="8">
        <v>3.73E-2</v>
      </c>
    </row>
    <row r="4626" spans="1:10" x14ac:dyDescent="0.25">
      <c r="A4626" s="5" t="s">
        <v>4660</v>
      </c>
      <c r="B4626" s="5" t="s">
        <v>6493</v>
      </c>
      <c r="C4626" s="6" t="str">
        <f>_xll.QS.CONTEXT.CREATE("market.4624",A4626,"USD","SOFR")</f>
        <v>QSObject:PricingContext:w1~market.4624:12321</v>
      </c>
      <c r="D4626" s="6" t="str">
        <f>_xll.QS.CONTEXT.ADD.CURVE(C4626,"SOFR",$K$2:$K$7,$L$2:$L$7,,,"Actual360","LogLinear",TRUE)</f>
        <v>QSObject:ContextInput:w1~input.qs_context_add_curve.2359132437744.4625.3.0:36016</v>
      </c>
      <c r="E4626" s="6" t="str">
        <f>_xll.QS.INSTRUMENT.SWAP("swap.4624",H4626,B4626,"USD","SOFR",I4626,J4626,0,"Actual360","Simple","Annual","Annual","Annual")</f>
        <v>QSObject:Swap:w1~swap.4624:12320</v>
      </c>
      <c r="F4626" s="6" t="str">
        <f>_xll.QS.TRADE.CREATE("trade.4624",E4626,A4626,"Receive")</f>
        <v>QSObject:SwapTrade:w1~trade.4624:27231</v>
      </c>
      <c r="G4626" s="3">
        <f>_xll.QS.EVALUATE(C4626,F4626)</f>
        <v>36410.015479752852</v>
      </c>
      <c r="H4626" s="5" t="s">
        <v>4667</v>
      </c>
      <c r="I4626" s="7">
        <v>1462400</v>
      </c>
      <c r="J4626" s="8">
        <v>3.7400000000000003E-2</v>
      </c>
    </row>
    <row r="4627" spans="1:10" x14ac:dyDescent="0.25">
      <c r="A4627" s="5" t="s">
        <v>4661</v>
      </c>
      <c r="B4627" s="5" t="s">
        <v>6494</v>
      </c>
      <c r="C4627" s="6" t="str">
        <f>_xll.QS.CONTEXT.CREATE("market.4625",A4627,"USD","SOFR")</f>
        <v>QSObject:PricingContext:w1~market.4625:12319</v>
      </c>
      <c r="D4627" s="6" t="str">
        <f>_xll.QS.CONTEXT.ADD.CURVE(C4627,"SOFR",$K$2:$K$7,$L$2:$L$7,,,"Actual360","LogLinear",TRUE)</f>
        <v>QSObject:ContextInput:w1~input.qs_context_add_curve.2359132437744.4626.3.0:36015</v>
      </c>
      <c r="E4627" s="6" t="str">
        <f>_xll.QS.INSTRUMENT.SWAP("swap.4625",H4627,B4627,"USD","SOFR",I4627,J4627,0,"Actual360","Simple","Annual","Annual","Annual")</f>
        <v>QSObject:Swap:w1~swap.4625:12318</v>
      </c>
      <c r="F4627" s="6" t="str">
        <f>_xll.QS.TRADE.CREATE("trade.4625",E4627,A4627,"Receive")</f>
        <v>QSObject:SwapTrade:w1~trade.4625:27230</v>
      </c>
      <c r="G4627" s="3">
        <f>_xll.QS.EVALUATE(C4627,F4627)</f>
        <v>36981.68283428398</v>
      </c>
      <c r="H4627" s="5" t="s">
        <v>4668</v>
      </c>
      <c r="I4627" s="7">
        <v>1462500</v>
      </c>
      <c r="J4627" s="8">
        <v>3.7500000000000012E-2</v>
      </c>
    </row>
    <row r="4628" spans="1:10" x14ac:dyDescent="0.25">
      <c r="A4628" s="5" t="s">
        <v>4662</v>
      </c>
      <c r="B4628" s="5" t="s">
        <v>6495</v>
      </c>
      <c r="C4628" s="6" t="str">
        <f>_xll.QS.CONTEXT.CREATE("market.4626",A4628,"USD","SOFR")</f>
        <v>QSObject:PricingContext:w1~market.4626:12317</v>
      </c>
      <c r="D4628" s="6" t="str">
        <f>_xll.QS.CONTEXT.ADD.CURVE(C4628,"SOFR",$K$2:$K$7,$L$2:$L$7,,,"Actual360","LogLinear",TRUE)</f>
        <v>QSObject:ContextInput:w1~input.qs_context_add_curve.2359132437744.4627.3.0:36014</v>
      </c>
      <c r="E4628" s="6" t="str">
        <f>_xll.QS.INSTRUMENT.SWAP("swap.4626",H4628,B4628,"USD","SOFR",I4628,J4628,0,"Actual360","Simple","Annual","Annual","Annual")</f>
        <v>QSObject:Swap:w1~swap.4626:12316</v>
      </c>
      <c r="F4628" s="6" t="str">
        <f>_xll.QS.TRADE.CREATE("trade.4626",E4628,A4628,"Receive")</f>
        <v>QSObject:SwapTrade:w1~trade.4626:27229</v>
      </c>
      <c r="G4628" s="3">
        <f>_xll.QS.EVALUATE(C4628,F4628)</f>
        <v>37550.028114563647</v>
      </c>
      <c r="H4628" s="5" t="s">
        <v>4669</v>
      </c>
      <c r="I4628" s="7">
        <v>1462600</v>
      </c>
      <c r="J4628" s="8">
        <v>3.7600000000000001E-2</v>
      </c>
    </row>
    <row r="4629" spans="1:10" x14ac:dyDescent="0.25">
      <c r="A4629" s="5" t="s">
        <v>4663</v>
      </c>
      <c r="B4629" s="5" t="s">
        <v>6496</v>
      </c>
      <c r="C4629" s="6" t="str">
        <f>_xll.QS.CONTEXT.CREATE("market.4627",A4629,"USD","SOFR")</f>
        <v>QSObject:PricingContext:w1~market.4627:12315</v>
      </c>
      <c r="D4629" s="6" t="str">
        <f>_xll.QS.CONTEXT.ADD.CURVE(C4629,"SOFR",$K$2:$K$7,$L$2:$L$7,,,"Actual360","LogLinear",TRUE)</f>
        <v>QSObject:ContextInput:w1~input.qs_context_add_curve.2359132437744.4628.3.0:36013</v>
      </c>
      <c r="E4629" s="6" t="str">
        <f>_xll.QS.INSTRUMENT.SWAP("swap.4627",H4629,B4629,"USD","SOFR",I4629,J4629,0,"Actual360","Simple","Annual","Annual","Annual")</f>
        <v>QSObject:Swap:w1~swap.4627:12314</v>
      </c>
      <c r="F4629" s="6" t="str">
        <f>_xll.QS.TRADE.CREATE("trade.4627",E4629,A4629,"Receive")</f>
        <v>QSObject:SwapTrade:w1~trade.4627:27228</v>
      </c>
      <c r="G4629" s="3">
        <f>_xll.QS.EVALUATE(C4629,F4629)</f>
        <v>38230.101847046106</v>
      </c>
      <c r="H4629" s="5" t="s">
        <v>4670</v>
      </c>
      <c r="I4629" s="7">
        <v>1462700</v>
      </c>
      <c r="J4629" s="8">
        <v>3.7699999999999997E-2</v>
      </c>
    </row>
    <row r="4630" spans="1:10" x14ac:dyDescent="0.25">
      <c r="A4630" s="5" t="s">
        <v>4664</v>
      </c>
      <c r="B4630" s="5" t="s">
        <v>6497</v>
      </c>
      <c r="C4630" s="6" t="str">
        <f>_xll.QS.CONTEXT.CREATE("market.4628",A4630,"USD","SOFR")</f>
        <v>QSObject:PricingContext:w1~market.4628:12313</v>
      </c>
      <c r="D4630" s="6" t="str">
        <f>_xll.QS.CONTEXT.ADD.CURVE(C4630,"SOFR",$K$2:$K$7,$L$2:$L$7,,,"Actual360","LogLinear",TRUE)</f>
        <v>QSObject:ContextInput:w1~input.qs_context_add_curve.2359132437744.4629.3.0:36012</v>
      </c>
      <c r="E4630" s="6" t="str">
        <f>_xll.QS.INSTRUMENT.SWAP("swap.4628",H4630,B4630,"USD","SOFR",I4630,J4630,0,"Actual360","Simple","Annual","Annual","Annual")</f>
        <v>QSObject:Swap:w1~swap.4628:12312</v>
      </c>
      <c r="F4630" s="6" t="str">
        <f>_xll.QS.TRADE.CREATE("trade.4628",E4630,A4630,"Receive")</f>
        <v>QSObject:SwapTrade:w1~trade.4628:27227</v>
      </c>
      <c r="G4630" s="3">
        <f>_xll.QS.EVALUATE(C4630,F4630)</f>
        <v>38943.485598324667</v>
      </c>
      <c r="H4630" s="5" t="s">
        <v>4671</v>
      </c>
      <c r="I4630" s="7">
        <v>1462800</v>
      </c>
      <c r="J4630" s="8">
        <v>3.78E-2</v>
      </c>
    </row>
    <row r="4631" spans="1:10" x14ac:dyDescent="0.25">
      <c r="A4631" s="5" t="s">
        <v>4665</v>
      </c>
      <c r="B4631" s="5" t="s">
        <v>6498</v>
      </c>
      <c r="C4631" s="6" t="str">
        <f>_xll.QS.CONTEXT.CREATE("market.4629",A4631,"USD","SOFR")</f>
        <v>QSObject:PricingContext:w1~market.4629:12311</v>
      </c>
      <c r="D4631" s="6" t="str">
        <f>_xll.QS.CONTEXT.ADD.CURVE(C4631,"SOFR",$K$2:$K$7,$L$2:$L$7,,,"Actual360","LogLinear",TRUE)</f>
        <v>QSObject:ContextInput:w1~input.qs_context_add_curve.2359132437744.4630.3.0:36011</v>
      </c>
      <c r="E4631" s="6" t="str">
        <f>_xll.QS.INSTRUMENT.SWAP("swap.4629",H4631,B4631,"USD","SOFR",I4631,J4631,0,"Actual360","Simple","Annual","Annual","Annual")</f>
        <v>QSObject:Swap:w1~swap.4629:12310</v>
      </c>
      <c r="F4631" s="6" t="str">
        <f>_xll.QS.TRADE.CREATE("trade.4629",E4631,A4631,"Receive")</f>
        <v>QSObject:SwapTrade:w1~trade.4629:27226</v>
      </c>
      <c r="G4631" s="3">
        <f>_xll.QS.EVALUATE(C4631,F4631)</f>
        <v>39727.601653287325</v>
      </c>
      <c r="H4631" s="5" t="s">
        <v>4672</v>
      </c>
      <c r="I4631" s="7">
        <v>1462900</v>
      </c>
      <c r="J4631" s="8">
        <v>3.7900000000000003E-2</v>
      </c>
    </row>
    <row r="4632" spans="1:10" x14ac:dyDescent="0.25">
      <c r="A4632" s="5" t="s">
        <v>4666</v>
      </c>
      <c r="B4632" s="5" t="s">
        <v>6499</v>
      </c>
      <c r="C4632" s="6" t="str">
        <f>_xll.QS.CONTEXT.CREATE("market.4630",A4632,"USD","SOFR")</f>
        <v>QSObject:PricingContext:w1~market.4630:12309</v>
      </c>
      <c r="D4632" s="6" t="str">
        <f>_xll.QS.CONTEXT.ADD.CURVE(C4632,"SOFR",$K$2:$K$7,$L$2:$L$7,,,"Actual360","LogLinear",TRUE)</f>
        <v>QSObject:ContextInput:w1~input.qs_context_add_curve.2359132437744.4631.3.0:36010</v>
      </c>
      <c r="E4632" s="6" t="str">
        <f>_xll.QS.INSTRUMENT.SWAP("swap.4630",H4632,B4632,"USD","SOFR",I4632,J4632,0,"Actual360","Simple","Annual","Annual","Annual")</f>
        <v>QSObject:Swap:w1~swap.4630:12308</v>
      </c>
      <c r="F4632" s="6" t="str">
        <f>_xll.QS.TRADE.CREATE("trade.4630",E4632,A4632,"Receive")</f>
        <v>QSObject:SwapTrade:w1~trade.4630:27225</v>
      </c>
      <c r="G4632" s="3">
        <f>_xll.QS.EVALUATE(C4632,F4632)</f>
        <v>40468.568282108427</v>
      </c>
      <c r="H4632" s="5" t="s">
        <v>4673</v>
      </c>
      <c r="I4632" s="7">
        <v>1463000</v>
      </c>
      <c r="J4632" s="8">
        <v>3.8000000000000013E-2</v>
      </c>
    </row>
    <row r="4633" spans="1:10" x14ac:dyDescent="0.25">
      <c r="A4633" s="5" t="s">
        <v>4667</v>
      </c>
      <c r="B4633" s="5" t="s">
        <v>6500</v>
      </c>
      <c r="C4633" s="6" t="str">
        <f>_xll.QS.CONTEXT.CREATE("market.4631",A4633,"USD","SOFR")</f>
        <v>QSObject:PricingContext:w1~market.4631:12307</v>
      </c>
      <c r="D4633" s="6" t="str">
        <f>_xll.QS.CONTEXT.ADD.CURVE(C4633,"SOFR",$K$2:$K$7,$L$2:$L$7,,,"Actual360","LogLinear",TRUE)</f>
        <v>QSObject:ContextInput:w1~input.qs_context_add_curve.2359132437744.4632.3.0:36009</v>
      </c>
      <c r="E4633" s="6" t="str">
        <f>_xll.QS.INSTRUMENT.SWAP("swap.4631",H4633,B4633,"USD","SOFR",I4633,J4633,0,"Actual360","Simple","Annual","Annual","Annual")</f>
        <v>QSObject:Swap:w1~swap.4631:12306</v>
      </c>
      <c r="F4633" s="6" t="str">
        <f>_xll.QS.TRADE.CREATE("trade.4631",E4633,A4633,"Receive")</f>
        <v>QSObject:SwapTrade:w1~trade.4631:27224</v>
      </c>
      <c r="G4633" s="3">
        <f>_xll.QS.EVALUATE(C4633,F4633)</f>
        <v>41090.437444594812</v>
      </c>
      <c r="H4633" s="5" t="s">
        <v>4674</v>
      </c>
      <c r="I4633" s="7">
        <v>1463100</v>
      </c>
      <c r="J4633" s="8">
        <v>3.8100000000000002E-2</v>
      </c>
    </row>
    <row r="4634" spans="1:10" x14ac:dyDescent="0.25">
      <c r="A4634" s="5" t="s">
        <v>4668</v>
      </c>
      <c r="B4634" s="5" t="s">
        <v>6501</v>
      </c>
      <c r="C4634" s="6" t="str">
        <f>_xll.QS.CONTEXT.CREATE("market.4632",A4634,"USD","SOFR")</f>
        <v>QSObject:PricingContext:w1~market.4632:12305</v>
      </c>
      <c r="D4634" s="6" t="str">
        <f>_xll.QS.CONTEXT.ADD.CURVE(C4634,"SOFR",$K$2:$K$7,$L$2:$L$7,,,"Actual360","LogLinear",TRUE)</f>
        <v>QSObject:ContextInput:w1~input.qs_context_add_curve.2359132437744.4633.3.0:36008</v>
      </c>
      <c r="E4634" s="6" t="str">
        <f>_xll.QS.INSTRUMENT.SWAP("swap.4632",H4634,B4634,"USD","SOFR",I4634,J4634,0,"Actual360","Simple","Annual","Annual","Annual")</f>
        <v>QSObject:Swap:w1~swap.4632:12304</v>
      </c>
      <c r="F4634" s="6" t="str">
        <f>_xll.QS.TRADE.CREATE("trade.4632",E4634,A4634,"Receive")</f>
        <v>QSObject:SwapTrade:w1~trade.4632:27223</v>
      </c>
      <c r="G4634" s="3">
        <f>_xll.QS.EVALUATE(C4634,F4634)</f>
        <v>41656.909880288644</v>
      </c>
      <c r="H4634" s="5" t="s">
        <v>4675</v>
      </c>
      <c r="I4634" s="7">
        <v>1463200</v>
      </c>
      <c r="J4634" s="8">
        <v>3.8199999999999998E-2</v>
      </c>
    </row>
    <row r="4635" spans="1:10" x14ac:dyDescent="0.25">
      <c r="A4635" s="5" t="s">
        <v>4669</v>
      </c>
      <c r="B4635" s="5" t="s">
        <v>6502</v>
      </c>
      <c r="C4635" s="6" t="str">
        <f>_xll.QS.CONTEXT.CREATE("market.4633",A4635,"USD","SOFR")</f>
        <v>QSObject:PricingContext:w1~market.4633:12303</v>
      </c>
      <c r="D4635" s="6" t="str">
        <f>_xll.QS.CONTEXT.ADD.CURVE(C4635,"SOFR",$K$2:$K$7,$L$2:$L$7,,,"Actual360","LogLinear",TRUE)</f>
        <v>QSObject:ContextInput:w1~input.qs_context_add_curve.2359132437744.4634.3.0:36007</v>
      </c>
      <c r="E4635" s="6" t="str">
        <f>_xll.QS.INSTRUMENT.SWAP("swap.4633",H4635,B4635,"USD","SOFR",I4635,J4635,0,"Actual360","Simple","Annual","Annual","Annual")</f>
        <v>QSObject:Swap:w1~swap.4633:12302</v>
      </c>
      <c r="F4635" s="6" t="str">
        <f>_xll.QS.TRADE.CREATE("trade.4633",E4635,A4635,"Receive")</f>
        <v>QSObject:SwapTrade:w1~trade.4633:27222</v>
      </c>
      <c r="G4635" s="3">
        <f>_xll.QS.EVALUATE(C4635,F4635)</f>
        <v>42233.307719318196</v>
      </c>
      <c r="H4635" s="5" t="s">
        <v>4676</v>
      </c>
      <c r="I4635" s="7">
        <v>1463300</v>
      </c>
      <c r="J4635" s="8">
        <v>3.8300000000000001E-2</v>
      </c>
    </row>
    <row r="4636" spans="1:10" x14ac:dyDescent="0.25">
      <c r="A4636" s="5" t="s">
        <v>4670</v>
      </c>
      <c r="B4636" s="5" t="s">
        <v>6503</v>
      </c>
      <c r="C4636" s="6" t="str">
        <f>_xll.QS.CONTEXT.CREATE("market.4634",A4636,"USD","SOFR")</f>
        <v>QSObject:PricingContext:w1~market.4634:12301</v>
      </c>
      <c r="D4636" s="6" t="str">
        <f>_xll.QS.CONTEXT.ADD.CURVE(C4636,"SOFR",$K$2:$K$7,$L$2:$L$7,,,"Actual360","LogLinear",TRUE)</f>
        <v>QSObject:ContextInput:w1~input.qs_context_add_curve.2359132437744.4635.3.0:36006</v>
      </c>
      <c r="E4636" s="6" t="str">
        <f>_xll.QS.INSTRUMENT.SWAP("swap.4634",H4636,B4636,"USD","SOFR",I4636,J4636,0,"Actual360","Simple","Annual","Annual","Annual")</f>
        <v>QSObject:Swap:w1~swap.4634:12300</v>
      </c>
      <c r="F4636" s="6" t="str">
        <f>_xll.QS.TRADE.CREATE("trade.4634",E4636,A4636,"Receive")</f>
        <v>QSObject:SwapTrade:w1~trade.4634:27221</v>
      </c>
      <c r="G4636" s="3">
        <f>_xll.QS.EVALUATE(C4636,F4636)</f>
        <v>42974.211594478184</v>
      </c>
      <c r="H4636" s="5" t="s">
        <v>4677</v>
      </c>
      <c r="I4636" s="7">
        <v>1463400</v>
      </c>
      <c r="J4636" s="8">
        <v>3.8399999999999997E-2</v>
      </c>
    </row>
    <row r="4637" spans="1:10" x14ac:dyDescent="0.25">
      <c r="A4637" s="5" t="s">
        <v>4671</v>
      </c>
      <c r="B4637" s="5" t="s">
        <v>6504</v>
      </c>
      <c r="C4637" s="6" t="str">
        <f>_xll.QS.CONTEXT.CREATE("market.4635",A4637,"USD","SOFR")</f>
        <v>QSObject:PricingContext:w1~market.4635:12299</v>
      </c>
      <c r="D4637" s="6" t="str">
        <f>_xll.QS.CONTEXT.ADD.CURVE(C4637,"SOFR",$K$2:$K$7,$L$2:$L$7,,,"Actual360","LogLinear",TRUE)</f>
        <v>QSObject:ContextInput:w1~input.qs_context_add_curve.2359132437744.4636.3.0:36005</v>
      </c>
      <c r="E4637" s="6" t="str">
        <f>_xll.QS.INSTRUMENT.SWAP("swap.4635",H4637,B4637,"USD","SOFR",I4637,J4637,0,"Actual360","Simple","Annual","Annual","Annual")</f>
        <v>QSObject:Swap:w1~swap.4635:12298</v>
      </c>
      <c r="F4637" s="6" t="str">
        <f>_xll.QS.TRADE.CREATE("trade.4635",E4637,A4637,"Receive")</f>
        <v>QSObject:SwapTrade:w1~trade.4635:27220</v>
      </c>
      <c r="G4637" s="3">
        <f>_xll.QS.EVALUATE(C4637,F4637)</f>
        <v>43686.009942828008</v>
      </c>
      <c r="H4637" s="5" t="s">
        <v>4678</v>
      </c>
      <c r="I4637" s="7">
        <v>1463500</v>
      </c>
      <c r="J4637" s="8">
        <v>3.8500000000000013E-2</v>
      </c>
    </row>
    <row r="4638" spans="1:10" x14ac:dyDescent="0.25">
      <c r="A4638" s="5" t="s">
        <v>4672</v>
      </c>
      <c r="B4638" s="5" t="s">
        <v>6505</v>
      </c>
      <c r="C4638" s="6" t="str">
        <f>_xll.QS.CONTEXT.CREATE("market.4636",A4638,"USD","SOFR")</f>
        <v>QSObject:PricingContext:w1~market.4636:12297</v>
      </c>
      <c r="D4638" s="6" t="str">
        <f>_xll.QS.CONTEXT.ADD.CURVE(C4638,"SOFR",$K$2:$K$7,$L$2:$L$7,,,"Actual360","LogLinear",TRUE)</f>
        <v>QSObject:ContextInput:w1~input.qs_context_add_curve.2359132437744.4637.3.0:36004</v>
      </c>
      <c r="E4638" s="6" t="str">
        <f>_xll.QS.INSTRUMENT.SWAP("swap.4636",H4638,B4638,"USD","SOFR",I4638,J4638,0,"Actual360","Simple","Annual","Annual","Annual")</f>
        <v>QSObject:Swap:w1~swap.4636:12296</v>
      </c>
      <c r="F4638" s="6" t="str">
        <f>_xll.QS.TRADE.CREATE("trade.4636",E4638,A4638,"Receive")</f>
        <v>QSObject:SwapTrade:w1~trade.4636:27219</v>
      </c>
      <c r="G4638" s="3">
        <f>_xll.QS.EVALUATE(C4638,F4638)</f>
        <v>44470.99000401565</v>
      </c>
      <c r="H4638" s="5" t="s">
        <v>4679</v>
      </c>
      <c r="I4638" s="7">
        <v>1463600</v>
      </c>
      <c r="J4638" s="8">
        <v>3.8600000000000002E-2</v>
      </c>
    </row>
    <row r="4639" spans="1:10" x14ac:dyDescent="0.25">
      <c r="A4639" s="5" t="s">
        <v>4673</v>
      </c>
      <c r="B4639" s="5" t="s">
        <v>6506</v>
      </c>
      <c r="C4639" s="6" t="str">
        <f>_xll.QS.CONTEXT.CREATE("market.4637",A4639,"USD","SOFR")</f>
        <v>QSObject:PricingContext:w1~market.4637:12295</v>
      </c>
      <c r="D4639" s="6" t="str">
        <f>_xll.QS.CONTEXT.ADD.CURVE(C4639,"SOFR",$K$2:$K$7,$L$2:$L$7,,,"Actual360","LogLinear",TRUE)</f>
        <v>QSObject:ContextInput:w1~input.qs_context_add_curve.2359132437744.4638.3.0:36003</v>
      </c>
      <c r="E4639" s="6" t="str">
        <f>_xll.QS.INSTRUMENT.SWAP("swap.4637",H4639,B4639,"USD","SOFR",I4639,J4639,0,"Actual360","Simple","Annual","Annual","Annual")</f>
        <v>QSObject:Swap:w1~swap.4637:12294</v>
      </c>
      <c r="F4639" s="6" t="str">
        <f>_xll.QS.TRADE.CREATE("trade.4637",E4639,A4639,"Receive")</f>
        <v>QSObject:SwapTrade:w1~trade.4637:27218</v>
      </c>
      <c r="G4639" s="3">
        <f>_xll.QS.EVALUATE(C4639,F4639)</f>
        <v>45212.760035076833</v>
      </c>
      <c r="H4639" s="5" t="s">
        <v>4680</v>
      </c>
      <c r="I4639" s="7">
        <v>1463700</v>
      </c>
      <c r="J4639" s="8">
        <v>3.8700000000000012E-2</v>
      </c>
    </row>
    <row r="4640" spans="1:10" x14ac:dyDescent="0.25">
      <c r="A4640" s="5" t="s">
        <v>4674</v>
      </c>
      <c r="B4640" s="5" t="s">
        <v>6507</v>
      </c>
      <c r="C4640" s="6" t="str">
        <f>_xll.QS.CONTEXT.CREATE("market.4638",A4640,"USD","SOFR")</f>
        <v>QSObject:PricingContext:w1~market.4638:12293</v>
      </c>
      <c r="D4640" s="6" t="str">
        <f>_xll.QS.CONTEXT.ADD.CURVE(C4640,"SOFR",$K$2:$K$7,$L$2:$L$7,,,"Actual360","LogLinear",TRUE)</f>
        <v>QSObject:ContextInput:w1~input.qs_context_add_curve.2359132437744.4639.3.0:36002</v>
      </c>
      <c r="E4640" s="6" t="str">
        <f>_xll.QS.INSTRUMENT.SWAP("swap.4638",H4640,B4640,"USD","SOFR",I4640,J4640,0,"Actual360","Simple","Annual","Annual","Annual")</f>
        <v>QSObject:Swap:w1~swap.4638:12292</v>
      </c>
      <c r="F4640" s="6" t="str">
        <f>_xll.QS.TRADE.CREATE("trade.4638",E4640,A4640,"Receive")</f>
        <v>QSObject:SwapTrade:w1~trade.4638:27217</v>
      </c>
      <c r="G4640" s="3">
        <f>_xll.QS.EVALUATE(C4640,F4640)</f>
        <v>45835.210108172134</v>
      </c>
      <c r="H4640" s="5" t="s">
        <v>4681</v>
      </c>
      <c r="I4640" s="7">
        <v>1463800</v>
      </c>
      <c r="J4640" s="8">
        <v>3.8800000000000001E-2</v>
      </c>
    </row>
    <row r="4641" spans="1:10" x14ac:dyDescent="0.25">
      <c r="A4641" s="5" t="s">
        <v>4675</v>
      </c>
      <c r="B4641" s="5" t="s">
        <v>6508</v>
      </c>
      <c r="C4641" s="6" t="str">
        <f>_xll.QS.CONTEXT.CREATE("market.4639",A4641,"USD","SOFR")</f>
        <v>QSObject:PricingContext:w1~market.4639:12291</v>
      </c>
      <c r="D4641" s="6" t="str">
        <f>_xll.QS.CONTEXT.ADD.CURVE(C4641,"SOFR",$K$2:$K$7,$L$2:$L$7,,,"Actual360","LogLinear",TRUE)</f>
        <v>QSObject:ContextInput:w1~input.qs_context_add_curve.2359132437744.4640.3.0:36001</v>
      </c>
      <c r="E4641" s="6" t="str">
        <f>_xll.QS.INSTRUMENT.SWAP("swap.4639",H4641,B4641,"USD","SOFR",I4641,J4641,0,"Actual360","Simple","Annual","Annual","Annual")</f>
        <v>QSObject:Swap:w1~swap.4639:12290</v>
      </c>
      <c r="F4641" s="6" t="str">
        <f>_xll.QS.TRADE.CREATE("trade.4639",E4641,A4641,"Receive")</f>
        <v>QSObject:SwapTrade:w1~trade.4639:27216</v>
      </c>
      <c r="G4641" s="3">
        <f>_xll.QS.EVALUATE(C4641,F4641)</f>
        <v>46396.70622817555</v>
      </c>
      <c r="H4641" s="5" t="s">
        <v>4682</v>
      </c>
      <c r="I4641" s="7">
        <v>1463900</v>
      </c>
      <c r="J4641" s="8">
        <v>3.8899999999999997E-2</v>
      </c>
    </row>
    <row r="4642" spans="1:10" x14ac:dyDescent="0.25">
      <c r="A4642" s="5" t="s">
        <v>4676</v>
      </c>
      <c r="B4642" s="5" t="s">
        <v>6509</v>
      </c>
      <c r="C4642" s="6" t="str">
        <f>_xll.QS.CONTEXT.CREATE("market.4640",A4642,"USD","SOFR")</f>
        <v>QSObject:PricingContext:w1~market.4640:12289</v>
      </c>
      <c r="D4642" s="6" t="str">
        <f>_xll.QS.CONTEXT.ADD.CURVE(C4642,"SOFR",$K$2:$K$7,$L$2:$L$7,,,"Actual360","LogLinear",TRUE)</f>
        <v>QSObject:ContextInput:w1~input.qs_context_add_curve.2359132437744.4641.3.0:36000</v>
      </c>
      <c r="E4642" s="6" t="str">
        <f>_xll.QS.INSTRUMENT.SWAP("swap.4640",H4642,B4642,"USD","SOFR",I4642,J4642,0,"Actual360","Simple","Annual","Annual","Annual")</f>
        <v>QSObject:Swap:w1~swap.4640:12288</v>
      </c>
      <c r="F4642" s="6" t="str">
        <f>_xll.QS.TRADE.CREATE("trade.4640",E4642,A4642,"Receive")</f>
        <v>QSObject:SwapTrade:w1~trade.4640:27215</v>
      </c>
      <c r="G4642" s="3">
        <f>_xll.QS.EVALUATE(C4642,F4642)</f>
        <v>46981.027088191018</v>
      </c>
      <c r="H4642" s="5" t="s">
        <v>4683</v>
      </c>
      <c r="I4642" s="7">
        <v>1464000</v>
      </c>
      <c r="J4642" s="8">
        <v>3.9000000000000007E-2</v>
      </c>
    </row>
    <row r="4643" spans="1:10" x14ac:dyDescent="0.25">
      <c r="A4643" s="5" t="s">
        <v>4677</v>
      </c>
      <c r="B4643" s="5" t="s">
        <v>6510</v>
      </c>
      <c r="C4643" s="6" t="str">
        <f>_xll.QS.CONTEXT.CREATE("market.4641",A4643,"USD","SOFR")</f>
        <v>QSObject:PricingContext:w1~market.4641:12287</v>
      </c>
      <c r="D4643" s="6" t="str">
        <f>_xll.QS.CONTEXT.ADD.CURVE(C4643,"SOFR",$K$2:$K$7,$L$2:$L$7,,,"Actual360","LogLinear",TRUE)</f>
        <v>QSObject:ContextInput:w1~input.qs_context_add_curve.2359132437744.4642.3.0:35999</v>
      </c>
      <c r="E4643" s="6" t="str">
        <f>_xll.QS.INSTRUMENT.SWAP("swap.4641",H4643,B4643,"USD","SOFR",I4643,J4643,0,"Actual360","Simple","Annual","Annual","Annual")</f>
        <v>QSObject:Swap:w1~swap.4641:12286</v>
      </c>
      <c r="F4643" s="6" t="str">
        <f>_xll.QS.TRADE.CREATE("trade.4641",E4643,A4643,"Receive")</f>
        <v>QSObject:SwapTrade:w1~trade.4641:27214</v>
      </c>
      <c r="G4643" s="3">
        <f>_xll.QS.EVALUATE(C4643,F4643)</f>
        <v>47723.081334022558</v>
      </c>
      <c r="H4643" s="5" t="s">
        <v>4684</v>
      </c>
      <c r="I4643" s="7">
        <v>1464100</v>
      </c>
      <c r="J4643" s="8">
        <v>3.9100000000000003E-2</v>
      </c>
    </row>
    <row r="4644" spans="1:10" x14ac:dyDescent="0.25">
      <c r="A4644" s="5" t="s">
        <v>4678</v>
      </c>
      <c r="B4644" s="5" t="s">
        <v>6511</v>
      </c>
      <c r="C4644" s="6" t="str">
        <f>_xll.QS.CONTEXT.CREATE("market.4642",A4644,"USD","SOFR")</f>
        <v>QSObject:PricingContext:w1~market.4642:12285</v>
      </c>
      <c r="D4644" s="6" t="str">
        <f>_xll.QS.CONTEXT.ADD.CURVE(C4644,"SOFR",$K$2:$K$7,$L$2:$L$7,,,"Actual360","LogLinear",TRUE)</f>
        <v>QSObject:ContextInput:w1~input.qs_context_add_curve.2359132437744.4643.3.0:35998</v>
      </c>
      <c r="E4644" s="6" t="str">
        <f>_xll.QS.INSTRUMENT.SWAP("swap.4642",H4644,B4644,"USD","SOFR",I4644,J4644,0,"Actual360","Simple","Annual","Annual","Annual")</f>
        <v>QSObject:Swap:w1~swap.4642:12284</v>
      </c>
      <c r="F4644" s="6" t="str">
        <f>_xll.QS.TRADE.CREATE("trade.4642",E4644,A4644,"Receive")</f>
        <v>QSObject:SwapTrade:w1~trade.4642:27213</v>
      </c>
      <c r="G4644" s="3">
        <f>_xll.QS.EVALUATE(C4644,F4644)</f>
        <v>48433.226559616269</v>
      </c>
      <c r="H4644" s="5" t="s">
        <v>4685</v>
      </c>
      <c r="I4644" s="7">
        <v>1464200</v>
      </c>
      <c r="J4644" s="8">
        <v>3.9200000000000013E-2</v>
      </c>
    </row>
    <row r="4645" spans="1:10" x14ac:dyDescent="0.25">
      <c r="A4645" s="5" t="s">
        <v>4679</v>
      </c>
      <c r="B4645" s="5" t="s">
        <v>6512</v>
      </c>
      <c r="C4645" s="6" t="str">
        <f>_xll.QS.CONTEXT.CREATE("market.4643",A4645,"USD","SOFR")</f>
        <v>QSObject:PricingContext:w1~market.4643:12283</v>
      </c>
      <c r="D4645" s="6" t="str">
        <f>_xll.QS.CONTEXT.ADD.CURVE(C4645,"SOFR",$K$2:$K$7,$L$2:$L$7,,,"Actual360","LogLinear",TRUE)</f>
        <v>QSObject:ContextInput:w1~input.qs_context_add_curve.2359132437744.4644.3.0:35997</v>
      </c>
      <c r="E4645" s="6" t="str">
        <f>_xll.QS.INSTRUMENT.SWAP("swap.4643",H4645,B4645,"USD","SOFR",I4645,J4645,0,"Actual360","Simple","Annual","Annual","Annual")</f>
        <v>QSObject:Swap:w1~swap.4643:12282</v>
      </c>
      <c r="F4645" s="6" t="str">
        <f>_xll.QS.TRADE.CREATE("trade.4643",E4645,A4645,"Receive")</f>
        <v>QSObject:SwapTrade:w1~trade.4643:27212</v>
      </c>
      <c r="G4645" s="3">
        <f>_xll.QS.EVALUATE(C4645,F4645)</f>
        <v>49218.974344427676</v>
      </c>
      <c r="H4645" s="5" t="s">
        <v>4686</v>
      </c>
      <c r="I4645" s="7">
        <v>1464300</v>
      </c>
      <c r="J4645" s="8">
        <v>3.9300000000000002E-2</v>
      </c>
    </row>
    <row r="4646" spans="1:10" x14ac:dyDescent="0.25">
      <c r="A4646" s="5" t="s">
        <v>4680</v>
      </c>
      <c r="B4646" s="5" t="s">
        <v>6513</v>
      </c>
      <c r="C4646" s="6" t="str">
        <f>_xll.QS.CONTEXT.CREATE("market.4644",A4646,"USD","SOFR")</f>
        <v>QSObject:PricingContext:w1~market.4644:12281</v>
      </c>
      <c r="D4646" s="6" t="str">
        <f>_xll.QS.CONTEXT.ADD.CURVE(C4646,"SOFR",$K$2:$K$7,$L$2:$L$7,,,"Actual360","LogLinear",TRUE)</f>
        <v>QSObject:ContextInput:w1~input.qs_context_add_curve.2359132437744.4645.3.0:35996</v>
      </c>
      <c r="E4646" s="6" t="str">
        <f>_xll.QS.INSTRUMENT.SWAP("swap.4644",H4646,B4646,"USD","SOFR",I4646,J4646,0,"Actual360","Simple","Annual","Annual","Annual")</f>
        <v>QSObject:Swap:w1~swap.4644:12280</v>
      </c>
      <c r="F4646" s="6" t="str">
        <f>_xll.QS.TRADE.CREATE("trade.4644",E4646,A4646,"Receive")</f>
        <v>QSObject:SwapTrade:w1~trade.4644:27211</v>
      </c>
      <c r="G4646" s="3">
        <f>_xll.QS.EVALUATE(C4646,F4646)</f>
        <v>49961.470993020303</v>
      </c>
      <c r="H4646" s="5" t="s">
        <v>4687</v>
      </c>
      <c r="I4646" s="7">
        <v>1464400</v>
      </c>
      <c r="J4646" s="8">
        <v>3.9399999999999998E-2</v>
      </c>
    </row>
    <row r="4647" spans="1:10" x14ac:dyDescent="0.25">
      <c r="A4647" s="5" t="s">
        <v>4681</v>
      </c>
      <c r="B4647" s="5" t="s">
        <v>6514</v>
      </c>
      <c r="C4647" s="6" t="str">
        <f>_xll.QS.CONTEXT.CREATE("market.4645",A4647,"USD","SOFR")</f>
        <v>QSObject:PricingContext:w1~market.4645:12279</v>
      </c>
      <c r="D4647" s="6" t="str">
        <f>_xll.QS.CONTEXT.ADD.CURVE(C4647,"SOFR",$K$2:$K$7,$L$2:$L$7,,,"Actual360","LogLinear",TRUE)</f>
        <v>QSObject:ContextInput:w1~input.qs_context_add_curve.2359132437744.4646.3.0:35995</v>
      </c>
      <c r="E4647" s="6" t="str">
        <f>_xll.QS.INSTRUMENT.SWAP("swap.4645",H4647,B4647,"USD","SOFR",I4647,J4647,0,"Actual360","Simple","Annual","Annual","Annual")</f>
        <v>QSObject:Swap:w1~swap.4645:12278</v>
      </c>
      <c r="F4647" s="6" t="str">
        <f>_xll.QS.TRADE.CREATE("trade.4645",E4647,A4647,"Receive")</f>
        <v>QSObject:SwapTrade:w1~trade.4645:27210</v>
      </c>
      <c r="G4647" s="3">
        <f>_xll.QS.EVALUATE(C4647,F4647)</f>
        <v>50584.501940293783</v>
      </c>
      <c r="H4647" s="5" t="s">
        <v>4688</v>
      </c>
      <c r="I4647" s="7">
        <v>1464500</v>
      </c>
      <c r="J4647" s="8">
        <v>3.9500000000000007E-2</v>
      </c>
    </row>
    <row r="4648" spans="1:10" x14ac:dyDescent="0.25">
      <c r="A4648" s="5" t="s">
        <v>4682</v>
      </c>
      <c r="B4648" s="5" t="s">
        <v>6515</v>
      </c>
      <c r="C4648" s="6" t="str">
        <f>_xll.QS.CONTEXT.CREATE("market.4646",A4648,"USD","SOFR")</f>
        <v>QSObject:PricingContext:w1~market.4646:12277</v>
      </c>
      <c r="D4648" s="6" t="str">
        <f>_xll.QS.CONTEXT.ADD.CURVE(C4648,"SOFR",$K$2:$K$7,$L$2:$L$7,,,"Actual360","LogLinear",TRUE)</f>
        <v>QSObject:ContextInput:w1~input.qs_context_add_curve.2359132437744.4647.3.0:35994</v>
      </c>
      <c r="E4648" s="6" t="str">
        <f>_xll.QS.INSTRUMENT.SWAP("swap.4646",H4648,B4648,"USD","SOFR",I4648,J4648,0,"Actual360","Simple","Annual","Annual","Annual")</f>
        <v>QSObject:Swap:w1~swap.4646:12276</v>
      </c>
      <c r="F4648" s="6" t="str">
        <f>_xll.QS.TRADE.CREATE("trade.4646",E4648,A4648,"Receive")</f>
        <v>QSObject:SwapTrade:w1~trade.4646:27209</v>
      </c>
      <c r="G4648" s="3">
        <f>_xll.QS.EVALUATE(C4648,F4648)</f>
        <v>51141.01641891458</v>
      </c>
      <c r="H4648" s="5" t="s">
        <v>4689</v>
      </c>
      <c r="I4648" s="7">
        <v>1464600</v>
      </c>
      <c r="J4648" s="8">
        <v>3.9600000000000003E-2</v>
      </c>
    </row>
    <row r="4649" spans="1:10" x14ac:dyDescent="0.25">
      <c r="A4649" s="5" t="s">
        <v>4683</v>
      </c>
      <c r="B4649" s="5" t="s">
        <v>6516</v>
      </c>
      <c r="C4649" s="6" t="str">
        <f>_xll.QS.CONTEXT.CREATE("market.4647",A4649,"USD","SOFR")</f>
        <v>QSObject:PricingContext:w1~market.4647:12275</v>
      </c>
      <c r="D4649" s="6" t="str">
        <f>_xll.QS.CONTEXT.ADD.CURVE(C4649,"SOFR",$K$2:$K$7,$L$2:$L$7,,,"Actual360","LogLinear",TRUE)</f>
        <v>QSObject:ContextInput:w1~input.qs_context_add_curve.2359132437744.4648.3.0:35993</v>
      </c>
      <c r="E4649" s="6" t="str">
        <f>_xll.QS.INSTRUMENT.SWAP("swap.4647",H4649,B4649,"USD","SOFR",I4649,J4649,0,"Actual360","Simple","Annual","Annual","Annual")</f>
        <v>QSObject:Swap:w1~swap.4647:12274</v>
      </c>
      <c r="F4649" s="6" t="str">
        <f>_xll.QS.TRADE.CREATE("trade.4647",E4649,A4649,"Receive")</f>
        <v>QSObject:SwapTrade:w1~trade.4647:27208</v>
      </c>
      <c r="G4649" s="3">
        <f>_xll.QS.EVALUATE(C4649,F4649)</f>
        <v>51823.314081514698</v>
      </c>
      <c r="H4649" s="5" t="s">
        <v>4690</v>
      </c>
      <c r="I4649" s="7">
        <v>1464700</v>
      </c>
      <c r="J4649" s="8">
        <v>3.9700000000000013E-2</v>
      </c>
    </row>
    <row r="4650" spans="1:10" x14ac:dyDescent="0.25">
      <c r="A4650" s="5" t="s">
        <v>4684</v>
      </c>
      <c r="B4650" s="5" t="s">
        <v>6517</v>
      </c>
      <c r="C4650" s="6" t="str">
        <f>_xll.QS.CONTEXT.CREATE("market.4648",A4650,"USD","SOFR")</f>
        <v>QSObject:PricingContext:w1~market.4648:12273</v>
      </c>
      <c r="D4650" s="6" t="str">
        <f>_xll.QS.CONTEXT.ADD.CURVE(C4650,"SOFR",$K$2:$K$7,$L$2:$L$7,,,"Actual360","LogLinear",TRUE)</f>
        <v>QSObject:ContextInput:w1~input.qs_context_add_curve.2359132437744.4649.3.0:35992</v>
      </c>
      <c r="E4650" s="6" t="str">
        <f>_xll.QS.INSTRUMENT.SWAP("swap.4648",H4650,B4650,"USD","SOFR",I4650,J4650,0,"Actual360","Simple","Annual","Annual","Annual")</f>
        <v>QSObject:Swap:w1~swap.4648:12272</v>
      </c>
      <c r="F4650" s="6" t="str">
        <f>_xll.QS.TRADE.CREATE("trade.4648",E4650,A4650,"Receive")</f>
        <v>QSObject:SwapTrade:w1~trade.4648:27207</v>
      </c>
      <c r="G4650" s="3">
        <f>_xll.QS.EVALUATE(C4650,F4650)</f>
        <v>52565.693813097765</v>
      </c>
      <c r="H4650" s="5" t="s">
        <v>4691</v>
      </c>
      <c r="I4650" s="7">
        <v>1464800</v>
      </c>
      <c r="J4650" s="8">
        <v>3.9800000000000002E-2</v>
      </c>
    </row>
    <row r="4651" spans="1:10" x14ac:dyDescent="0.25">
      <c r="A4651" s="5" t="s">
        <v>4685</v>
      </c>
      <c r="B4651" s="5" t="s">
        <v>6518</v>
      </c>
      <c r="C4651" s="6" t="str">
        <f>_xll.QS.CONTEXT.CREATE("market.4649",A4651,"USD","SOFR")</f>
        <v>QSObject:PricingContext:w1~market.4649:12271</v>
      </c>
      <c r="D4651" s="6" t="str">
        <f>_xll.QS.CONTEXT.ADD.CURVE(C4651,"SOFR",$K$2:$K$7,$L$2:$L$7,,,"Actual360","LogLinear",TRUE)</f>
        <v>QSObject:ContextInput:w1~input.qs_context_add_curve.2359132437744.4650.3.0:35991</v>
      </c>
      <c r="E4651" s="6" t="str">
        <f>_xll.QS.INSTRUMENT.SWAP("swap.4649",H4651,B4651,"USD","SOFR",I4651,J4651,0,"Actual360","Simple","Annual","Annual","Annual")</f>
        <v>QSObject:Swap:w1~swap.4649:12270</v>
      </c>
      <c r="F4651" s="6" t="str">
        <f>_xll.QS.TRADE.CREATE("trade.4649",E4651,A4651,"Receive")</f>
        <v>QSObject:SwapTrade:w1~trade.4649:27206</v>
      </c>
      <c r="G4651" s="3">
        <f>_xll.QS.EVALUATE(C4651,F4651)</f>
        <v>53184.962265262089</v>
      </c>
      <c r="H4651" s="5" t="s">
        <v>4692</v>
      </c>
      <c r="I4651" s="7">
        <v>1464900</v>
      </c>
      <c r="J4651" s="8">
        <v>3.9899999999999998E-2</v>
      </c>
    </row>
    <row r="4652" spans="1:10" x14ac:dyDescent="0.25">
      <c r="A4652" s="5" t="s">
        <v>4686</v>
      </c>
      <c r="B4652" s="5" t="s">
        <v>6519</v>
      </c>
      <c r="C4652" s="6" t="str">
        <f>_xll.QS.CONTEXT.CREATE("market.4650",A4652,"USD","SOFR")</f>
        <v>QSObject:PricingContext:w1~market.4650:12269</v>
      </c>
      <c r="D4652" s="6" t="str">
        <f>_xll.QS.CONTEXT.ADD.CURVE(C4652,"SOFR",$K$2:$K$7,$L$2:$L$7,,,"Actual360","LogLinear",TRUE)</f>
        <v>QSObject:ContextInput:w1~input.qs_context_add_curve.2359132437744.4651.3.0:35990</v>
      </c>
      <c r="E4652" s="6" t="str">
        <f>_xll.QS.INSTRUMENT.SWAP("swap.4650",H4652,B4652,"USD","SOFR",I4652,J4652,0,"Actual360","Simple","Annual","Annual","Annual")</f>
        <v>QSObject:Swap:w1~swap.4650:12268</v>
      </c>
      <c r="F4652" s="6" t="str">
        <f>_xll.QS.TRADE.CREATE("trade.4650",E4652,A4652,"Receive")</f>
        <v>QSObject:SwapTrade:w1~trade.4650:27205</v>
      </c>
      <c r="G4652" s="3">
        <f>_xll.QS.EVALUATE(C4652,F4652)</f>
        <v>20193.087441740216</v>
      </c>
      <c r="H4652" s="5" t="s">
        <v>4693</v>
      </c>
      <c r="I4652" s="7">
        <v>1465000</v>
      </c>
      <c r="J4652" s="8">
        <v>3.5000000000000003E-2</v>
      </c>
    </row>
    <row r="4653" spans="1:10" x14ac:dyDescent="0.25">
      <c r="A4653" s="5" t="s">
        <v>4687</v>
      </c>
      <c r="B4653" s="5" t="s">
        <v>6520</v>
      </c>
      <c r="C4653" s="6" t="str">
        <f>_xll.QS.CONTEXT.CREATE("market.4651",A4653,"USD","SOFR")</f>
        <v>QSObject:PricingContext:w1~market.4651:12267</v>
      </c>
      <c r="D4653" s="6" t="str">
        <f>_xll.QS.CONTEXT.ADD.CURVE(C4653,"SOFR",$K$2:$K$7,$L$2:$L$7,,,"Actual360","LogLinear",TRUE)</f>
        <v>QSObject:ContextInput:w1~input.qs_context_add_curve.2359132437744.4652.3.0:35989</v>
      </c>
      <c r="E4653" s="6" t="str">
        <f>_xll.QS.INSTRUMENT.SWAP("swap.4651",H4653,B4653,"USD","SOFR",I4653,J4653,0,"Actual360","Simple","Annual","Annual","Annual")</f>
        <v>QSObject:Swap:w1~swap.4651:12266</v>
      </c>
      <c r="F4653" s="6" t="str">
        <f>_xll.QS.TRADE.CREATE("trade.4651",E4653,A4653,"Receive")</f>
        <v>QSObject:SwapTrade:w1~trade.4651:27204</v>
      </c>
      <c r="G4653" s="3">
        <f>_xll.QS.EVALUATE(C4653,F4653)</f>
        <v>20874.228585267199</v>
      </c>
      <c r="H4653" s="5" t="s">
        <v>4694</v>
      </c>
      <c r="I4653" s="7">
        <v>1465100</v>
      </c>
      <c r="J4653" s="8">
        <v>3.5100000000000013E-2</v>
      </c>
    </row>
    <row r="4654" spans="1:10" x14ac:dyDescent="0.25">
      <c r="A4654" s="5" t="s">
        <v>4688</v>
      </c>
      <c r="B4654" s="5" t="s">
        <v>6521</v>
      </c>
      <c r="C4654" s="6" t="str">
        <f>_xll.QS.CONTEXT.CREATE("market.4652",A4654,"USD","SOFR")</f>
        <v>QSObject:PricingContext:w1~market.4652:12265</v>
      </c>
      <c r="D4654" s="6" t="str">
        <f>_xll.QS.CONTEXT.ADD.CURVE(C4654,"SOFR",$K$2:$K$7,$L$2:$L$7,,,"Actual360","LogLinear",TRUE)</f>
        <v>QSObject:ContextInput:w1~input.qs_context_add_curve.2359132437744.4653.3.0:35988</v>
      </c>
      <c r="E4654" s="6" t="str">
        <f>_xll.QS.INSTRUMENT.SWAP("swap.4652",H4654,B4654,"USD","SOFR",I4654,J4654,0,"Actual360","Simple","Annual","Annual","Annual")</f>
        <v>QSObject:Swap:w1~swap.4652:12264</v>
      </c>
      <c r="F4654" s="6" t="str">
        <f>_xll.QS.TRADE.CREATE("trade.4652",E4654,A4654,"Receive")</f>
        <v>QSObject:SwapTrade:w1~trade.4652:27203</v>
      </c>
      <c r="G4654" s="3">
        <f>_xll.QS.EVALUATE(C4654,F4654)</f>
        <v>21555.222373153461</v>
      </c>
      <c r="H4654" s="5" t="s">
        <v>4695</v>
      </c>
      <c r="I4654" s="7">
        <v>1465200</v>
      </c>
      <c r="J4654" s="8">
        <v>3.5200000000000002E-2</v>
      </c>
    </row>
    <row r="4655" spans="1:10" x14ac:dyDescent="0.25">
      <c r="A4655" s="5" t="s">
        <v>4689</v>
      </c>
      <c r="B4655" s="5" t="s">
        <v>6522</v>
      </c>
      <c r="C4655" s="6" t="str">
        <f>_xll.QS.CONTEXT.CREATE("market.4653",A4655,"USD","SOFR")</f>
        <v>QSObject:PricingContext:w1~market.4653:12263</v>
      </c>
      <c r="D4655" s="6" t="str">
        <f>_xll.QS.CONTEXT.ADD.CURVE(C4655,"SOFR",$K$2:$K$7,$L$2:$L$7,,,"Actual360","LogLinear",TRUE)</f>
        <v>QSObject:ContextInput:w1~input.qs_context_add_curve.2359132437744.4654.3.0:35987</v>
      </c>
      <c r="E4655" s="6" t="str">
        <f>_xll.QS.INSTRUMENT.SWAP("swap.4653",H4655,B4655,"USD","SOFR",I4655,J4655,0,"Actual360","Simple","Annual","Annual","Annual")</f>
        <v>QSObject:Swap:w1~swap.4653:12262</v>
      </c>
      <c r="F4655" s="6" t="str">
        <f>_xll.QS.TRADE.CREATE("trade.4653",E4655,A4655,"Receive")</f>
        <v>QSObject:SwapTrade:w1~trade.4653:27202</v>
      </c>
      <c r="G4655" s="3">
        <f>_xll.QS.EVALUATE(C4655,F4655)</f>
        <v>22144.259171882528</v>
      </c>
      <c r="H4655" s="5" t="s">
        <v>4696</v>
      </c>
      <c r="I4655" s="7">
        <v>1465300</v>
      </c>
      <c r="J4655" s="8">
        <v>3.5299999999999998E-2</v>
      </c>
    </row>
    <row r="4656" spans="1:10" x14ac:dyDescent="0.25">
      <c r="A4656" s="5" t="s">
        <v>4690</v>
      </c>
      <c r="B4656" s="5" t="s">
        <v>6523</v>
      </c>
      <c r="C4656" s="6" t="str">
        <f>_xll.QS.CONTEXT.CREATE("market.4654",A4656,"USD","SOFR")</f>
        <v>QSObject:PricingContext:w1~market.4654:12261</v>
      </c>
      <c r="D4656" s="6" t="str">
        <f>_xll.QS.CONTEXT.ADD.CURVE(C4656,"SOFR",$K$2:$K$7,$L$2:$L$7,,,"Actual360","LogLinear",TRUE)</f>
        <v>QSObject:ContextInput:w1~input.qs_context_add_curve.2359132437744.4655.3.0:35986</v>
      </c>
      <c r="E4656" s="6" t="str">
        <f>_xll.QS.INSTRUMENT.SWAP("swap.4654",H4656,B4656,"USD","SOFR",I4656,J4656,0,"Actual360","Simple","Annual","Annual","Annual")</f>
        <v>QSObject:Swap:w1~swap.4654:12260</v>
      </c>
      <c r="F4656" s="6" t="str">
        <f>_xll.QS.TRADE.CREATE("trade.4654",E4656,A4656,"Receive")</f>
        <v>QSObject:SwapTrade:w1~trade.4654:27201</v>
      </c>
      <c r="G4656" s="3">
        <f>_xll.QS.EVALUATE(C4656,F4656)</f>
        <v>22645.510168431501</v>
      </c>
      <c r="H4656" s="5" t="s">
        <v>4697</v>
      </c>
      <c r="I4656" s="7">
        <v>1465400</v>
      </c>
      <c r="J4656" s="8">
        <v>3.5400000000000001E-2</v>
      </c>
    </row>
    <row r="4657" spans="1:10" x14ac:dyDescent="0.25">
      <c r="A4657" s="5" t="s">
        <v>4691</v>
      </c>
      <c r="B4657" s="5" t="s">
        <v>6524</v>
      </c>
      <c r="C4657" s="6" t="str">
        <f>_xll.QS.CONTEXT.CREATE("market.4655",A4657,"USD","SOFR")</f>
        <v>QSObject:PricingContext:w1~market.4655:12259</v>
      </c>
      <c r="D4657" s="6" t="str">
        <f>_xll.QS.CONTEXT.ADD.CURVE(C4657,"SOFR",$K$2:$K$7,$L$2:$L$7,,,"Actual360","LogLinear",TRUE)</f>
        <v>QSObject:ContextInput:w1~input.qs_context_add_curve.2359132437744.4656.3.0:35985</v>
      </c>
      <c r="E4657" s="6" t="str">
        <f>_xll.QS.INSTRUMENT.SWAP("swap.4655",H4657,B4657,"USD","SOFR",I4657,J4657,0,"Actual360","Simple","Annual","Annual","Annual")</f>
        <v>QSObject:Swap:w1~swap.4655:12258</v>
      </c>
      <c r="F4657" s="6" t="str">
        <f>_xll.QS.TRADE.CREATE("trade.4655",E4657,A4657,"Receive")</f>
        <v>QSObject:SwapTrade:w1~trade.4655:27200</v>
      </c>
      <c r="G4657" s="3">
        <f>_xll.QS.EVALUATE(C4657,F4657)</f>
        <v>23384.465305909805</v>
      </c>
      <c r="H4657" s="5" t="s">
        <v>4698</v>
      </c>
      <c r="I4657" s="7">
        <v>1465500</v>
      </c>
      <c r="J4657" s="8">
        <v>3.5499999999999997E-2</v>
      </c>
    </row>
    <row r="4658" spans="1:10" x14ac:dyDescent="0.25">
      <c r="A4658" s="5" t="s">
        <v>4692</v>
      </c>
      <c r="B4658" s="5" t="s">
        <v>6525</v>
      </c>
      <c r="C4658" s="6" t="str">
        <f>_xll.QS.CONTEXT.CREATE("market.4656",A4658,"USD","SOFR")</f>
        <v>QSObject:PricingContext:w1~market.4656:12257</v>
      </c>
      <c r="D4658" s="6" t="str">
        <f>_xll.QS.CONTEXT.ADD.CURVE(C4658,"SOFR",$K$2:$K$7,$L$2:$L$7,,,"Actual360","LogLinear",TRUE)</f>
        <v>QSObject:ContextInput:w1~input.qs_context_add_curve.2359132437744.4657.3.0:35984</v>
      </c>
      <c r="E4658" s="6" t="str">
        <f>_xll.QS.INSTRUMENT.SWAP("swap.4656",H4658,B4658,"USD","SOFR",I4658,J4658,0,"Actual360","Simple","Annual","Annual","Annual")</f>
        <v>QSObject:Swap:w1~swap.4656:12256</v>
      </c>
      <c r="F4658" s="6" t="str">
        <f>_xll.QS.TRADE.CREATE("trade.4656",E4658,A4658,"Receive")</f>
        <v>QSObject:SwapTrade:w1~trade.4656:27199</v>
      </c>
      <c r="G4658" s="3">
        <f>_xll.QS.EVALUATE(C4658,F4658)</f>
        <v>24105.794063207541</v>
      </c>
      <c r="H4658" s="5" t="s">
        <v>4699</v>
      </c>
      <c r="I4658" s="7">
        <v>1465600</v>
      </c>
      <c r="J4658" s="8">
        <v>3.5600000000000007E-2</v>
      </c>
    </row>
    <row r="4659" spans="1:10" x14ac:dyDescent="0.25">
      <c r="A4659" s="5" t="s">
        <v>4693</v>
      </c>
      <c r="B4659" s="5" t="s">
        <v>6526</v>
      </c>
      <c r="C4659" s="6" t="str">
        <f>_xll.QS.CONTEXT.CREATE("market.4657",A4659,"USD","SOFR")</f>
        <v>QSObject:PricingContext:w1~market.4657:12255</v>
      </c>
      <c r="D4659" s="6" t="str">
        <f>_xll.QS.CONTEXT.ADD.CURVE(C4659,"SOFR",$K$2:$K$7,$L$2:$L$7,,,"Actual360","LogLinear",TRUE)</f>
        <v>QSObject:ContextInput:w1~input.qs_context_add_curve.2359132437744.4658.3.0:35983</v>
      </c>
      <c r="E4659" s="6" t="str">
        <f>_xll.QS.INSTRUMENT.SWAP("swap.4657",H4659,B4659,"USD","SOFR",I4659,J4659,0,"Actual360","Simple","Annual","Annual","Annual")</f>
        <v>QSObject:Swap:w1~swap.4657:12254</v>
      </c>
      <c r="F4659" s="6" t="str">
        <f>_xll.QS.TRADE.CREATE("trade.4657",E4659,A4659,"Receive")</f>
        <v>QSObject:SwapTrade:w1~trade.4657:27198</v>
      </c>
      <c r="G4659" s="3">
        <f>_xll.QS.EVALUATE(C4659,F4659)</f>
        <v>24987.684389555026</v>
      </c>
      <c r="H4659" s="5" t="s">
        <v>4700</v>
      </c>
      <c r="I4659" s="7">
        <v>1465700</v>
      </c>
      <c r="J4659" s="8">
        <v>3.5700000000000003E-2</v>
      </c>
    </row>
    <row r="4660" spans="1:10" x14ac:dyDescent="0.25">
      <c r="A4660" s="5" t="s">
        <v>4694</v>
      </c>
      <c r="B4660" s="5" t="s">
        <v>6527</v>
      </c>
      <c r="C4660" s="6" t="str">
        <f>_xll.QS.CONTEXT.CREATE("market.4658",A4660,"USD","SOFR")</f>
        <v>QSObject:PricingContext:w1~market.4658:12253</v>
      </c>
      <c r="D4660" s="6" t="str">
        <f>_xll.QS.CONTEXT.ADD.CURVE(C4660,"SOFR",$K$2:$K$7,$L$2:$L$7,,,"Actual360","LogLinear",TRUE)</f>
        <v>QSObject:ContextInput:w1~input.qs_context_add_curve.2359132437744.4659.3.0:35982</v>
      </c>
      <c r="E4660" s="6" t="str">
        <f>_xll.QS.INSTRUMENT.SWAP("swap.4658",H4660,B4660,"USD","SOFR",I4660,J4660,0,"Actual360","Simple","Annual","Annual","Annual")</f>
        <v>QSObject:Swap:w1~swap.4658:12252</v>
      </c>
      <c r="F4660" s="6" t="str">
        <f>_xll.QS.TRADE.CREATE("trade.4658",E4660,A4660,"Receive")</f>
        <v>QSObject:SwapTrade:w1~trade.4658:27197</v>
      </c>
      <c r="G4660" s="3">
        <f>_xll.QS.EVALUATE(C4660,F4660)</f>
        <v>25676.662876103059</v>
      </c>
      <c r="H4660" s="5" t="s">
        <v>4701</v>
      </c>
      <c r="I4660" s="7">
        <v>1465800</v>
      </c>
      <c r="J4660" s="8">
        <v>3.5800000000000012E-2</v>
      </c>
    </row>
    <row r="4661" spans="1:10" x14ac:dyDescent="0.25">
      <c r="A4661" s="5" t="s">
        <v>4695</v>
      </c>
      <c r="B4661" s="5" t="s">
        <v>6528</v>
      </c>
      <c r="C4661" s="6" t="str">
        <f>_xll.QS.CONTEXT.CREATE("market.4659",A4661,"USD","SOFR")</f>
        <v>QSObject:PricingContext:w1~market.4659:12251</v>
      </c>
      <c r="D4661" s="6" t="str">
        <f>_xll.QS.CONTEXT.ADD.CURVE(C4661,"SOFR",$K$2:$K$7,$L$2:$L$7,,,"Actual360","LogLinear",TRUE)</f>
        <v>QSObject:ContextInput:w1~input.qs_context_add_curve.2359132437744.4660.3.0:35981</v>
      </c>
      <c r="E4661" s="6" t="str">
        <f>_xll.QS.INSTRUMENT.SWAP("swap.4659",H4661,B4661,"USD","SOFR",I4661,J4661,0,"Actual360","Simple","Annual","Annual","Annual")</f>
        <v>QSObject:Swap:w1~swap.4659:12250</v>
      </c>
      <c r="F4661" s="6" t="str">
        <f>_xll.QS.TRADE.CREATE("trade.4659",E4661,A4661,"Receive")</f>
        <v>QSObject:SwapTrade:w1~trade.4659:27196</v>
      </c>
      <c r="G4661" s="3">
        <f>_xll.QS.EVALUATE(C4661,F4661)</f>
        <v>26352.804083204435</v>
      </c>
      <c r="H4661" s="5" t="s">
        <v>4702</v>
      </c>
      <c r="I4661" s="7">
        <v>1465900</v>
      </c>
      <c r="J4661" s="8">
        <v>3.5900000000000001E-2</v>
      </c>
    </row>
    <row r="4662" spans="1:10" x14ac:dyDescent="0.25">
      <c r="A4662" s="5" t="s">
        <v>4696</v>
      </c>
      <c r="B4662" s="5" t="s">
        <v>6529</v>
      </c>
      <c r="C4662" s="6" t="str">
        <f>_xll.QS.CONTEXT.CREATE("market.4660",A4662,"USD","SOFR")</f>
        <v>QSObject:PricingContext:w1~market.4660:12249</v>
      </c>
      <c r="D4662" s="6" t="str">
        <f>_xll.QS.CONTEXT.ADD.CURVE(C4662,"SOFR",$K$2:$K$7,$L$2:$L$7,,,"Actual360","LogLinear",TRUE)</f>
        <v>QSObject:ContextInput:w1~input.qs_context_add_curve.2359132437744.4661.3.0:35980</v>
      </c>
      <c r="E4662" s="6" t="str">
        <f>_xll.QS.INSTRUMENT.SWAP("swap.4660",H4662,B4662,"USD","SOFR",I4662,J4662,0,"Actual360","Simple","Annual","Annual","Annual")</f>
        <v>QSObject:Swap:w1~swap.4660:12248</v>
      </c>
      <c r="F4662" s="6" t="str">
        <f>_xll.QS.TRADE.CREATE("trade.4660",E4662,A4662,"Receive")</f>
        <v>QSObject:SwapTrade:w1~trade.4660:27195</v>
      </c>
      <c r="G4662" s="3">
        <f>_xll.QS.EVALUATE(C4662,F4662)</f>
        <v>26919.277057643252</v>
      </c>
      <c r="H4662" s="5" t="s">
        <v>4703</v>
      </c>
      <c r="I4662" s="7">
        <v>1466000</v>
      </c>
      <c r="J4662" s="8">
        <v>3.5999999999999997E-2</v>
      </c>
    </row>
    <row r="4663" spans="1:10" x14ac:dyDescent="0.25">
      <c r="A4663" s="5" t="s">
        <v>4697</v>
      </c>
      <c r="B4663" s="5" t="s">
        <v>6530</v>
      </c>
      <c r="C4663" s="6" t="str">
        <f>_xll.QS.CONTEXT.CREATE("market.4661",A4663,"USD","SOFR")</f>
        <v>QSObject:PricingContext:w1~market.4661:12247</v>
      </c>
      <c r="D4663" s="6" t="str">
        <f>_xll.QS.CONTEXT.ADD.CURVE(C4663,"SOFR",$K$2:$K$7,$L$2:$L$7,,,"Actual360","LogLinear",TRUE)</f>
        <v>QSObject:ContextInput:w1~input.qs_context_add_curve.2359132437744.4662.3.0:35979</v>
      </c>
      <c r="E4663" s="6" t="str">
        <f>_xll.QS.INSTRUMENT.SWAP("swap.4661",H4663,B4663,"USD","SOFR",I4663,J4663,0,"Actual360","Simple","Annual","Annual","Annual")</f>
        <v>QSObject:Swap:w1~swap.4661:12246</v>
      </c>
      <c r="F4663" s="6" t="str">
        <f>_xll.QS.TRADE.CREATE("trade.4661",E4663,A4663,"Receive")</f>
        <v>QSObject:SwapTrade:w1~trade.4661:27194</v>
      </c>
      <c r="G4663" s="3">
        <f>_xll.QS.EVALUATE(C4663,F4663)</f>
        <v>27472.120679617583</v>
      </c>
      <c r="H4663" s="5" t="s">
        <v>4704</v>
      </c>
      <c r="I4663" s="7">
        <v>1466100</v>
      </c>
      <c r="J4663" s="8">
        <v>3.61E-2</v>
      </c>
    </row>
    <row r="4664" spans="1:10" x14ac:dyDescent="0.25">
      <c r="A4664" s="5" t="s">
        <v>4698</v>
      </c>
      <c r="B4664" s="5" t="s">
        <v>6531</v>
      </c>
      <c r="C4664" s="6" t="str">
        <f>_xll.QS.CONTEXT.CREATE("market.4662",A4664,"USD","SOFR")</f>
        <v>QSObject:PricingContext:w1~market.4662:12245</v>
      </c>
      <c r="D4664" s="6" t="str">
        <f>_xll.QS.CONTEXT.ADD.CURVE(C4664,"SOFR",$K$2:$K$7,$L$2:$L$7,,,"Actual360","LogLinear",TRUE)</f>
        <v>QSObject:ContextInput:w1~input.qs_context_add_curve.2359132437744.4663.3.0:35978</v>
      </c>
      <c r="E4664" s="6" t="str">
        <f>_xll.QS.INSTRUMENT.SWAP("swap.4662",H4664,B4664,"USD","SOFR",I4664,J4664,0,"Actual360","Simple","Annual","Annual","Annual")</f>
        <v>QSObject:Swap:w1~swap.4662:12244</v>
      </c>
      <c r="F4664" s="6" t="str">
        <f>_xll.QS.TRADE.CREATE("trade.4662",E4664,A4664,"Receive")</f>
        <v>QSObject:SwapTrade:w1~trade.4662:27193</v>
      </c>
      <c r="G4664" s="3">
        <f>_xll.QS.EVALUATE(C4664,F4664)</f>
        <v>28156.72455507447</v>
      </c>
      <c r="H4664" s="5" t="s">
        <v>4705</v>
      </c>
      <c r="I4664" s="7">
        <v>1466200</v>
      </c>
      <c r="J4664" s="8">
        <v>3.6200000000000003E-2</v>
      </c>
    </row>
    <row r="4665" spans="1:10" x14ac:dyDescent="0.25">
      <c r="A4665" s="5" t="s">
        <v>4699</v>
      </c>
      <c r="B4665" s="5" t="s">
        <v>6532</v>
      </c>
      <c r="C4665" s="6" t="str">
        <f>_xll.QS.CONTEXT.CREATE("market.4663",A4665,"USD","SOFR")</f>
        <v>QSObject:PricingContext:w1~market.4663:12243</v>
      </c>
      <c r="D4665" s="6" t="str">
        <f>_xll.QS.CONTEXT.ADD.CURVE(C4665,"SOFR",$K$2:$K$7,$L$2:$L$7,,,"Actual360","LogLinear",TRUE)</f>
        <v>QSObject:ContextInput:w1~input.qs_context_add_curve.2359132437744.4664.3.0:35977</v>
      </c>
      <c r="E4665" s="6" t="str">
        <f>_xll.QS.INSTRUMENT.SWAP("swap.4663",H4665,B4665,"USD","SOFR",I4665,J4665,0,"Actual360","Simple","Annual","Annual","Annual")</f>
        <v>QSObject:Swap:w1~swap.4663:12242</v>
      </c>
      <c r="F4665" s="6" t="str">
        <f>_xll.QS.TRADE.CREATE("trade.4663",E4665,A4665,"Receive")</f>
        <v>QSObject:SwapTrade:w1~trade.4663:27192</v>
      </c>
      <c r="G4665" s="3">
        <f>_xll.QS.EVALUATE(C4665,F4665)</f>
        <v>28894.710452485844</v>
      </c>
      <c r="H4665" s="5" t="s">
        <v>4706</v>
      </c>
      <c r="I4665" s="7">
        <v>1466300</v>
      </c>
      <c r="J4665" s="8">
        <v>3.6300000000000013E-2</v>
      </c>
    </row>
    <row r="4666" spans="1:10" x14ac:dyDescent="0.25">
      <c r="A4666" s="5" t="s">
        <v>4700</v>
      </c>
      <c r="B4666" s="5" t="s">
        <v>6533</v>
      </c>
      <c r="C4666" s="6" t="str">
        <f>_xll.QS.CONTEXT.CREATE("market.4664",A4666,"USD","SOFR")</f>
        <v>QSObject:PricingContext:w1~market.4664:12241</v>
      </c>
      <c r="D4666" s="6" t="str">
        <f>_xll.QS.CONTEXT.ADD.CURVE(C4666,"SOFR",$K$2:$K$7,$L$2:$L$7,,,"Actual360","LogLinear",TRUE)</f>
        <v>QSObject:ContextInput:w1~input.qs_context_add_curve.2359132437744.4665.3.0:35976</v>
      </c>
      <c r="E4666" s="6" t="str">
        <f>_xll.QS.INSTRUMENT.SWAP("swap.4664",H4666,B4666,"USD","SOFR",I4666,J4666,0,"Actual360","Simple","Annual","Annual","Annual")</f>
        <v>QSObject:Swap:w1~swap.4664:12240</v>
      </c>
      <c r="F4666" s="6" t="str">
        <f>_xll.QS.TRADE.CREATE("trade.4664",E4666,A4666,"Receive")</f>
        <v>QSObject:SwapTrade:w1~trade.4664:27191</v>
      </c>
      <c r="G4666" s="3">
        <f>_xll.QS.EVALUATE(C4666,F4666)</f>
        <v>29679.556571087422</v>
      </c>
      <c r="H4666" s="5" t="s">
        <v>4707</v>
      </c>
      <c r="I4666" s="7">
        <v>1466400</v>
      </c>
      <c r="J4666" s="8">
        <v>3.6400000000000002E-2</v>
      </c>
    </row>
    <row r="4667" spans="1:10" x14ac:dyDescent="0.25">
      <c r="A4667" s="5" t="s">
        <v>4701</v>
      </c>
      <c r="B4667" s="5" t="s">
        <v>6534</v>
      </c>
      <c r="C4667" s="6" t="str">
        <f>_xll.QS.CONTEXT.CREATE("market.4665",A4667,"USD","SOFR")</f>
        <v>QSObject:PricingContext:w1~market.4665:12239</v>
      </c>
      <c r="D4667" s="6" t="str">
        <f>_xll.QS.CONTEXT.ADD.CURVE(C4667,"SOFR",$K$2:$K$7,$L$2:$L$7,,,"Actual360","LogLinear",TRUE)</f>
        <v>QSObject:ContextInput:w1~input.qs_context_add_curve.2359132437744.4666.3.0:35975</v>
      </c>
      <c r="E4667" s="6" t="str">
        <f>_xll.QS.INSTRUMENT.SWAP("swap.4665",H4667,B4667,"USD","SOFR",I4667,J4667,0,"Actual360","Simple","Annual","Annual","Annual")</f>
        <v>QSObject:Swap:w1~swap.4665:12238</v>
      </c>
      <c r="F4667" s="6" t="str">
        <f>_xll.QS.TRADE.CREATE("trade.4665",E4667,A4667,"Receive")</f>
        <v>QSObject:SwapTrade:w1~trade.4665:27190</v>
      </c>
      <c r="G4667" s="3">
        <f>_xll.QS.EVALUATE(C4667,F4667)</f>
        <v>30423.966800496943</v>
      </c>
      <c r="H4667" s="5" t="s">
        <v>4708</v>
      </c>
      <c r="I4667" s="7">
        <v>1466500</v>
      </c>
      <c r="J4667" s="8">
        <v>3.6499999999999998E-2</v>
      </c>
    </row>
    <row r="4668" spans="1:10" x14ac:dyDescent="0.25">
      <c r="A4668" s="5" t="s">
        <v>4702</v>
      </c>
      <c r="B4668" s="5" t="s">
        <v>6535</v>
      </c>
      <c r="C4668" s="6" t="str">
        <f>_xll.QS.CONTEXT.CREATE("market.4666",A4668,"USD","SOFR")</f>
        <v>QSObject:PricingContext:w1~market.4666:12237</v>
      </c>
      <c r="D4668" s="6" t="str">
        <f>_xll.QS.CONTEXT.ADD.CURVE(C4668,"SOFR",$K$2:$K$7,$L$2:$L$7,,,"Actual360","LogLinear",TRUE)</f>
        <v>QSObject:ContextInput:w1~input.qs_context_add_curve.2359132437744.4667.3.0:35974</v>
      </c>
      <c r="E4668" s="6" t="str">
        <f>_xll.QS.INSTRUMENT.SWAP("swap.4666",H4668,B4668,"USD","SOFR",I4668,J4668,0,"Actual360","Simple","Annual","Annual","Annual")</f>
        <v>QSObject:Swap:w1~swap.4666:12236</v>
      </c>
      <c r="F4668" s="6" t="str">
        <f>_xll.QS.TRADE.CREATE("trade.4666",E4668,A4668,"Receive")</f>
        <v>QSObject:SwapTrade:w1~trade.4666:27189</v>
      </c>
      <c r="G4668" s="3">
        <f>_xll.QS.EVALUATE(C4668,F4668)</f>
        <v>31103.862862827234</v>
      </c>
      <c r="H4668" s="5" t="s">
        <v>4709</v>
      </c>
      <c r="I4668" s="7">
        <v>1466600</v>
      </c>
      <c r="J4668" s="8">
        <v>3.6600000000000001E-2</v>
      </c>
    </row>
    <row r="4669" spans="1:10" x14ac:dyDescent="0.25">
      <c r="A4669" s="5" t="s">
        <v>4703</v>
      </c>
      <c r="B4669" s="5" t="s">
        <v>6536</v>
      </c>
      <c r="C4669" s="6" t="str">
        <f>_xll.QS.CONTEXT.CREATE("market.4667",A4669,"USD","SOFR")</f>
        <v>QSObject:PricingContext:w1~market.4667:12235</v>
      </c>
      <c r="D4669" s="6" t="str">
        <f>_xll.QS.CONTEXT.ADD.CURVE(C4669,"SOFR",$K$2:$K$7,$L$2:$L$7,,,"Actual360","LogLinear",TRUE)</f>
        <v>QSObject:ContextInput:w1~input.qs_context_add_curve.2359132437744.4668.3.0:35973</v>
      </c>
      <c r="E4669" s="6" t="str">
        <f>_xll.QS.INSTRUMENT.SWAP("swap.4667",H4669,B4669,"USD","SOFR",I4669,J4669,0,"Actual360","Simple","Annual","Annual","Annual")</f>
        <v>QSObject:Swap:w1~swap.4667:12234</v>
      </c>
      <c r="F4669" s="6" t="str">
        <f>_xll.QS.TRADE.CREATE("trade.4667",E4669,A4669,"Receive")</f>
        <v>QSObject:SwapTrade:w1~trade.4667:27188</v>
      </c>
      <c r="G4669" s="3">
        <f>_xll.QS.EVALUATE(C4669,F4669)</f>
        <v>31682.954844342559</v>
      </c>
      <c r="H4669" s="5" t="s">
        <v>4710</v>
      </c>
      <c r="I4669" s="7">
        <v>1466700</v>
      </c>
      <c r="J4669" s="8">
        <v>3.6700000000000003E-2</v>
      </c>
    </row>
    <row r="4670" spans="1:10" x14ac:dyDescent="0.25">
      <c r="A4670" s="5" t="s">
        <v>4704</v>
      </c>
      <c r="B4670" s="5" t="s">
        <v>6537</v>
      </c>
      <c r="C4670" s="6" t="str">
        <f>_xll.QS.CONTEXT.CREATE("market.4668",A4670,"USD","SOFR")</f>
        <v>QSObject:PricingContext:w1~market.4668:12233</v>
      </c>
      <c r="D4670" s="6" t="str">
        <f>_xll.QS.CONTEXT.ADD.CURVE(C4670,"SOFR",$K$2:$K$7,$L$2:$L$7,,,"Actual360","LogLinear",TRUE)</f>
        <v>QSObject:ContextInput:w1~input.qs_context_add_curve.2359132437744.4669.3.0:35972</v>
      </c>
      <c r="E4670" s="6" t="str">
        <f>_xll.QS.INSTRUMENT.SWAP("swap.4668",H4670,B4670,"USD","SOFR",I4670,J4670,0,"Actual360","Simple","Annual","Annual","Annual")</f>
        <v>QSObject:Swap:w1~swap.4668:12232</v>
      </c>
      <c r="F4670" s="6" t="str">
        <f>_xll.QS.TRADE.CREATE("trade.4668",E4670,A4670,"Receive")</f>
        <v>QSObject:SwapTrade:w1~trade.4668:27187</v>
      </c>
      <c r="G4670" s="3">
        <f>_xll.QS.EVALUATE(C4670,F4670)</f>
        <v>32244.170413582142</v>
      </c>
      <c r="H4670" s="5" t="s">
        <v>4711</v>
      </c>
      <c r="I4670" s="7">
        <v>1466800</v>
      </c>
      <c r="J4670" s="8">
        <v>3.6800000000000013E-2</v>
      </c>
    </row>
    <row r="4671" spans="1:10" x14ac:dyDescent="0.25">
      <c r="A4671" s="5" t="s">
        <v>4705</v>
      </c>
      <c r="B4671" s="5" t="s">
        <v>6538</v>
      </c>
      <c r="C4671" s="6" t="str">
        <f>_xll.QS.CONTEXT.CREATE("market.4669",A4671,"USD","SOFR")</f>
        <v>QSObject:PricingContext:w1~market.4669:12231</v>
      </c>
      <c r="D4671" s="6" t="str">
        <f>_xll.QS.CONTEXT.ADD.CURVE(C4671,"SOFR",$K$2:$K$7,$L$2:$L$7,,,"Actual360","LogLinear",TRUE)</f>
        <v>QSObject:ContextInput:w1~input.qs_context_add_curve.2359132437744.4670.3.0:35971</v>
      </c>
      <c r="E4671" s="6" t="str">
        <f>_xll.QS.INSTRUMENT.SWAP("swap.4669",H4671,B4671,"USD","SOFR",I4671,J4671,0,"Actual360","Simple","Annual","Annual","Annual")</f>
        <v>QSObject:Swap:w1~swap.4669:12230</v>
      </c>
      <c r="F4671" s="6" t="str">
        <f>_xll.QS.TRADE.CREATE("trade.4669",E4671,A4671,"Receive")</f>
        <v>QSObject:SwapTrade:w1~trade.4669:27186</v>
      </c>
      <c r="G4671" s="3">
        <f>_xll.QS.EVALUATE(C4671,F4671)</f>
        <v>32925.515166580553</v>
      </c>
      <c r="H4671" s="5" t="s">
        <v>4712</v>
      </c>
      <c r="I4671" s="7">
        <v>1466900</v>
      </c>
      <c r="J4671" s="8">
        <v>3.6900000000000002E-2</v>
      </c>
    </row>
    <row r="4672" spans="1:10" x14ac:dyDescent="0.25">
      <c r="A4672" s="5" t="s">
        <v>4706</v>
      </c>
      <c r="B4672" s="5" t="s">
        <v>6539</v>
      </c>
      <c r="C4672" s="6" t="str">
        <f>_xll.QS.CONTEXT.CREATE("market.4670",A4672,"USD","SOFR")</f>
        <v>QSObject:PricingContext:w1~market.4670:12229</v>
      </c>
      <c r="D4672" s="6" t="str">
        <f>_xll.QS.CONTEXT.ADD.CURVE(C4672,"SOFR",$K$2:$K$7,$L$2:$L$7,,,"Actual360","LogLinear",TRUE)</f>
        <v>QSObject:ContextInput:w1~input.qs_context_add_curve.2359132437744.4671.3.0:35970</v>
      </c>
      <c r="E4672" s="6" t="str">
        <f>_xll.QS.INSTRUMENT.SWAP("swap.4670",H4672,B4672,"USD","SOFR",I4672,J4672,0,"Actual360","Simple","Annual","Annual","Annual")</f>
        <v>QSObject:Swap:w1~swap.4670:12228</v>
      </c>
      <c r="F4672" s="6" t="str">
        <f>_xll.QS.TRADE.CREATE("trade.4670",E4672,A4672,"Receive")</f>
        <v>QSObject:SwapTrade:w1~trade.4670:27185</v>
      </c>
      <c r="G4672" s="3">
        <f>_xll.QS.EVALUATE(C4672,F4672)</f>
        <v>33643.287210792165</v>
      </c>
      <c r="H4672" s="5" t="s">
        <v>4713</v>
      </c>
      <c r="I4672" s="7">
        <v>1467000</v>
      </c>
      <c r="J4672" s="8">
        <v>3.7000000000000012E-2</v>
      </c>
    </row>
    <row r="4673" spans="1:10" x14ac:dyDescent="0.25">
      <c r="A4673" s="5" t="s">
        <v>4707</v>
      </c>
      <c r="B4673" s="5" t="s">
        <v>6540</v>
      </c>
      <c r="C4673" s="6" t="str">
        <f>_xll.QS.CONTEXT.CREATE("market.4671",A4673,"USD","SOFR")</f>
        <v>QSObject:PricingContext:w1~market.4671:12227</v>
      </c>
      <c r="D4673" s="6" t="str">
        <f>_xll.QS.CONTEXT.ADD.CURVE(C4673,"SOFR",$K$2:$K$7,$L$2:$L$7,,,"Actual360","LogLinear",TRUE)</f>
        <v>QSObject:ContextInput:w1~input.qs_context_add_curve.2359132437744.4672.3.0:35969</v>
      </c>
      <c r="E4673" s="6" t="str">
        <f>_xll.QS.INSTRUMENT.SWAP("swap.4671",H4673,B4673,"USD","SOFR",I4673,J4673,0,"Actual360","Simple","Annual","Annual","Annual")</f>
        <v>QSObject:Swap:w1~swap.4671:12226</v>
      </c>
      <c r="F4673" s="6" t="str">
        <f>_xll.QS.TRADE.CREATE("trade.4671",E4673,A4673,"Receive")</f>
        <v>QSObject:SwapTrade:w1~trade.4671:27184</v>
      </c>
      <c r="G4673" s="3">
        <f>_xll.QS.EVALUATE(C4673,F4673)</f>
        <v>34429.293337260533</v>
      </c>
      <c r="H4673" s="5" t="s">
        <v>4714</v>
      </c>
      <c r="I4673" s="7">
        <v>1467100</v>
      </c>
      <c r="J4673" s="8">
        <v>3.7100000000000001E-2</v>
      </c>
    </row>
    <row r="4674" spans="1:10" x14ac:dyDescent="0.25">
      <c r="A4674" s="5" t="s">
        <v>4708</v>
      </c>
      <c r="B4674" s="5" t="s">
        <v>6541</v>
      </c>
      <c r="C4674" s="6" t="str">
        <f>_xll.QS.CONTEXT.CREATE("market.4672",A4674,"USD","SOFR")</f>
        <v>QSObject:PricingContext:w1~market.4672:12225</v>
      </c>
      <c r="D4674" s="6" t="str">
        <f>_xll.QS.CONTEXT.ADD.CURVE(C4674,"SOFR",$K$2:$K$7,$L$2:$L$7,,,"Actual360","LogLinear",TRUE)</f>
        <v>QSObject:ContextInput:w1~input.qs_context_add_curve.2359132437744.4673.3.0:35968</v>
      </c>
      <c r="E4674" s="6" t="str">
        <f>_xll.QS.INSTRUMENT.SWAP("swap.4672",H4674,B4674,"USD","SOFR",I4674,J4674,0,"Actual360","Simple","Annual","Annual","Annual")</f>
        <v>QSObject:Swap:w1~swap.4672:12224</v>
      </c>
      <c r="F4674" s="6" t="str">
        <f>_xll.QS.TRADE.CREATE("trade.4672",E4674,A4674,"Receive")</f>
        <v>QSObject:SwapTrade:w1~trade.4672:27183</v>
      </c>
      <c r="G4674" s="3">
        <f>_xll.QS.EVALUATE(C4674,F4674)</f>
        <v>35172.029631151949</v>
      </c>
      <c r="H4674" s="5" t="s">
        <v>4715</v>
      </c>
      <c r="I4674" s="7">
        <v>1467200</v>
      </c>
      <c r="J4674" s="8">
        <v>3.7199999999999997E-2</v>
      </c>
    </row>
    <row r="4675" spans="1:10" x14ac:dyDescent="0.25">
      <c r="A4675" s="5" t="s">
        <v>4709</v>
      </c>
      <c r="B4675" s="5" t="s">
        <v>6542</v>
      </c>
      <c r="C4675" s="6" t="str">
        <f>_xll.QS.CONTEXT.CREATE("market.4673",A4675,"USD","SOFR")</f>
        <v>QSObject:PricingContext:w1~market.4673:12223</v>
      </c>
      <c r="D4675" s="6" t="str">
        <f>_xll.QS.CONTEXT.ADD.CURVE(C4675,"SOFR",$K$2:$K$7,$L$2:$L$7,,,"Actual360","LogLinear",TRUE)</f>
        <v>QSObject:ContextInput:w1~input.qs_context_add_curve.2359132437744.4674.3.0:35967</v>
      </c>
      <c r="E4675" s="6" t="str">
        <f>_xll.QS.INSTRUMENT.SWAP("swap.4673",H4675,B4675,"USD","SOFR",I4675,J4675,0,"Actual360","Simple","Annual","Annual","Annual")</f>
        <v>QSObject:Swap:w1~swap.4673:12222</v>
      </c>
      <c r="F4675" s="6" t="str">
        <f>_xll.QS.TRADE.CREATE("trade.4673",E4675,A4675,"Receive")</f>
        <v>QSObject:SwapTrade:w1~trade.4673:27182</v>
      </c>
      <c r="G4675" s="3">
        <f>_xll.QS.EVALUATE(C4675,F4675)</f>
        <v>35795.350723442345</v>
      </c>
      <c r="H4675" s="5" t="s">
        <v>4716</v>
      </c>
      <c r="I4675" s="7">
        <v>1467300</v>
      </c>
      <c r="J4675" s="8">
        <v>3.73E-2</v>
      </c>
    </row>
    <row r="4676" spans="1:10" x14ac:dyDescent="0.25">
      <c r="A4676" s="5" t="s">
        <v>4710</v>
      </c>
      <c r="B4676" s="5" t="s">
        <v>6543</v>
      </c>
      <c r="C4676" s="6" t="str">
        <f>_xll.QS.CONTEXT.CREATE("market.4674",A4676,"USD","SOFR")</f>
        <v>QSObject:PricingContext:w1~market.4674:12221</v>
      </c>
      <c r="D4676" s="6" t="str">
        <f>_xll.QS.CONTEXT.ADD.CURVE(C4676,"SOFR",$K$2:$K$7,$L$2:$L$7,,,"Actual360","LogLinear",TRUE)</f>
        <v>QSObject:ContextInput:w1~input.qs_context_add_curve.2359132437744.4675.3.0:35966</v>
      </c>
      <c r="E4676" s="6" t="str">
        <f>_xll.QS.INSTRUMENT.SWAP("swap.4674",H4676,B4676,"USD","SOFR",I4676,J4676,0,"Actual360","Simple","Annual","Annual","Annual")</f>
        <v>QSObject:Swap:w1~swap.4674:12220</v>
      </c>
      <c r="F4676" s="6" t="str">
        <f>_xll.QS.TRADE.CREATE("trade.4674",E4676,A4676,"Receive")</f>
        <v>QSObject:SwapTrade:w1~trade.4674:27181</v>
      </c>
      <c r="G4676" s="3">
        <f>_xll.QS.EVALUATE(C4676,F4676)</f>
        <v>36369.451727781707</v>
      </c>
      <c r="H4676" s="5" t="s">
        <v>4717</v>
      </c>
      <c r="I4676" s="7">
        <v>1467400</v>
      </c>
      <c r="J4676" s="8">
        <v>3.7400000000000003E-2</v>
      </c>
    </row>
    <row r="4677" spans="1:10" x14ac:dyDescent="0.25">
      <c r="A4677" s="5" t="s">
        <v>4711</v>
      </c>
      <c r="B4677" s="5" t="s">
        <v>6544</v>
      </c>
      <c r="C4677" s="6" t="str">
        <f>_xll.QS.CONTEXT.CREATE("market.4675",A4677,"USD","SOFR")</f>
        <v>QSObject:PricingContext:w1~market.4675:12219</v>
      </c>
      <c r="D4677" s="6" t="str">
        <f>_xll.QS.CONTEXT.ADD.CURVE(C4677,"SOFR",$K$2:$K$7,$L$2:$L$7,,,"Actual360","LogLinear",TRUE)</f>
        <v>QSObject:ContextInput:w1~input.qs_context_add_curve.2359132437744.4676.3.0:35965</v>
      </c>
      <c r="E4677" s="6" t="str">
        <f>_xll.QS.INSTRUMENT.SWAP("swap.4675",H4677,B4677,"USD","SOFR",I4677,J4677,0,"Actual360","Simple","Annual","Annual","Annual")</f>
        <v>QSObject:Swap:w1~swap.4675:12218</v>
      </c>
      <c r="F4677" s="6" t="str">
        <f>_xll.QS.TRADE.CREATE("trade.4675",E4677,A4677,"Receive")</f>
        <v>QSObject:SwapTrade:w1~trade.4675:27180</v>
      </c>
      <c r="G4677" s="3">
        <f>_xll.QS.EVALUATE(C4677,F4677)</f>
        <v>36938.734454295023</v>
      </c>
      <c r="H4677" s="5" t="s">
        <v>4718</v>
      </c>
      <c r="I4677" s="7">
        <v>1467500</v>
      </c>
      <c r="J4677" s="8">
        <v>3.7500000000000012E-2</v>
      </c>
    </row>
    <row r="4678" spans="1:10" x14ac:dyDescent="0.25">
      <c r="A4678" s="5" t="s">
        <v>4712</v>
      </c>
      <c r="B4678" s="5" t="s">
        <v>6545</v>
      </c>
      <c r="C4678" s="6" t="str">
        <f>_xll.QS.CONTEXT.CREATE("market.4676",A4678,"USD","SOFR")</f>
        <v>QSObject:PricingContext:w1~market.4676:12217</v>
      </c>
      <c r="D4678" s="6" t="str">
        <f>_xll.QS.CONTEXT.ADD.CURVE(C4678,"SOFR",$K$2:$K$7,$L$2:$L$7,,,"Actual360","LogLinear",TRUE)</f>
        <v>QSObject:ContextInput:w1~input.qs_context_add_curve.2359132437744.4677.3.0:35964</v>
      </c>
      <c r="E4678" s="6" t="str">
        <f>_xll.QS.INSTRUMENT.SWAP("swap.4676",H4678,B4678,"USD","SOFR",I4678,J4678,0,"Actual360","Simple","Annual","Annual","Annual")</f>
        <v>QSObject:Swap:w1~swap.4676:12216</v>
      </c>
      <c r="F4678" s="6" t="str">
        <f>_xll.QS.TRADE.CREATE("trade.4676",E4678,A4678,"Receive")</f>
        <v>QSObject:SwapTrade:w1~trade.4676:27179</v>
      </c>
      <c r="G4678" s="3">
        <f>_xll.QS.EVALUATE(C4678,F4678)</f>
        <v>37680.843909657655</v>
      </c>
      <c r="H4678" s="5" t="s">
        <v>4719</v>
      </c>
      <c r="I4678" s="7">
        <v>1467600</v>
      </c>
      <c r="J4678" s="8">
        <v>3.7600000000000001E-2</v>
      </c>
    </row>
    <row r="4679" spans="1:10" x14ac:dyDescent="0.25">
      <c r="A4679" s="5" t="s">
        <v>4713</v>
      </c>
      <c r="B4679" s="5" t="s">
        <v>6546</v>
      </c>
      <c r="C4679" s="6" t="str">
        <f>_xll.QS.CONTEXT.CREATE("market.4677",A4679,"USD","SOFR")</f>
        <v>QSObject:PricingContext:w1~market.4677:12215</v>
      </c>
      <c r="D4679" s="6" t="str">
        <f>_xll.QS.CONTEXT.ADD.CURVE(C4679,"SOFR",$K$2:$K$7,$L$2:$L$7,,,"Actual360","LogLinear",TRUE)</f>
        <v>QSObject:ContextInput:w1~input.qs_context_add_curve.2359132437744.4678.3.0:35963</v>
      </c>
      <c r="E4679" s="6" t="str">
        <f>_xll.QS.INSTRUMENT.SWAP("swap.4677",H4679,B4679,"USD","SOFR",I4679,J4679,0,"Actual360","Simple","Annual","Annual","Annual")</f>
        <v>QSObject:Swap:w1~swap.4677:12214</v>
      </c>
      <c r="F4679" s="6" t="str">
        <f>_xll.QS.TRADE.CREATE("trade.4677",E4679,A4679,"Receive")</f>
        <v>QSObject:SwapTrade:w1~trade.4677:27178</v>
      </c>
      <c r="G4679" s="3">
        <f>_xll.QS.EVALUATE(C4679,F4679)</f>
        <v>38396.959668805575</v>
      </c>
      <c r="H4679" s="5" t="s">
        <v>4720</v>
      </c>
      <c r="I4679" s="7">
        <v>1467700</v>
      </c>
      <c r="J4679" s="8">
        <v>3.7699999999999997E-2</v>
      </c>
    </row>
    <row r="4680" spans="1:10" x14ac:dyDescent="0.25">
      <c r="A4680" s="5" t="s">
        <v>4714</v>
      </c>
      <c r="B4680" s="5" t="s">
        <v>6547</v>
      </c>
      <c r="C4680" s="6" t="str">
        <f>_xll.QS.CONTEXT.CREATE("market.4678",A4680,"USD","SOFR")</f>
        <v>QSObject:PricingContext:w1~market.4678:12213</v>
      </c>
      <c r="D4680" s="6" t="str">
        <f>_xll.QS.CONTEXT.ADD.CURVE(C4680,"SOFR",$K$2:$K$7,$L$2:$L$7,,,"Actual360","LogLinear",TRUE)</f>
        <v>QSObject:ContextInput:w1~input.qs_context_add_curve.2359132437744.4679.3.0:35962</v>
      </c>
      <c r="E4680" s="6" t="str">
        <f>_xll.QS.INSTRUMENT.SWAP("swap.4678",H4680,B4680,"USD","SOFR",I4680,J4680,0,"Actual360","Simple","Annual","Annual","Annual")</f>
        <v>QSObject:Swap:w1~swap.4678:12212</v>
      </c>
      <c r="F4680" s="6" t="str">
        <f>_xll.QS.TRADE.CREATE("trade.4678",E4680,A4680,"Receive")</f>
        <v>QSObject:SwapTrade:w1~trade.4678:27177</v>
      </c>
      <c r="G4680" s="3">
        <f>_xll.QS.EVALUATE(C4680,F4680)</f>
        <v>39183.99069080862</v>
      </c>
      <c r="H4680" s="5" t="s">
        <v>4721</v>
      </c>
      <c r="I4680" s="7">
        <v>1467800</v>
      </c>
      <c r="J4680" s="8">
        <v>3.78E-2</v>
      </c>
    </row>
    <row r="4681" spans="1:10" x14ac:dyDescent="0.25">
      <c r="A4681" s="5" t="s">
        <v>4715</v>
      </c>
      <c r="B4681" s="5" t="s">
        <v>6548</v>
      </c>
      <c r="C4681" s="6" t="str">
        <f>_xll.QS.CONTEXT.CREATE("market.4679",A4681,"USD","SOFR")</f>
        <v>QSObject:PricingContext:w1~market.4679:12211</v>
      </c>
      <c r="D4681" s="6" t="str">
        <f>_xll.QS.CONTEXT.ADD.CURVE(C4681,"SOFR",$K$2:$K$7,$L$2:$L$7,,,"Actual360","LogLinear",TRUE)</f>
        <v>QSObject:ContextInput:w1~input.qs_context_add_curve.2359132437744.4680.3.0:35961</v>
      </c>
      <c r="E4681" s="6" t="str">
        <f>_xll.QS.INSTRUMENT.SWAP("swap.4679",H4681,B4681,"USD","SOFR",I4681,J4681,0,"Actual360","Simple","Annual","Annual","Annual")</f>
        <v>QSObject:Swap:w1~swap.4679:12210</v>
      </c>
      <c r="F4681" s="6" t="str">
        <f>_xll.QS.TRADE.CREATE("trade.4679",E4681,A4681,"Receive")</f>
        <v>QSObject:SwapTrade:w1~trade.4679:27176</v>
      </c>
      <c r="G4681" s="3">
        <f>_xll.QS.EVALUATE(C4681,F4681)</f>
        <v>39927.860998884615</v>
      </c>
      <c r="H4681" s="5" t="s">
        <v>4722</v>
      </c>
      <c r="I4681" s="7">
        <v>1467900</v>
      </c>
      <c r="J4681" s="8">
        <v>3.7900000000000003E-2</v>
      </c>
    </row>
    <row r="4682" spans="1:10" x14ac:dyDescent="0.25">
      <c r="A4682" s="5" t="s">
        <v>4716</v>
      </c>
      <c r="B4682" s="5" t="s">
        <v>6549</v>
      </c>
      <c r="C4682" s="6" t="str">
        <f>_xll.QS.CONTEXT.CREATE("market.4680",A4682,"USD","SOFR")</f>
        <v>QSObject:PricingContext:w1~market.4680:12209</v>
      </c>
      <c r="D4682" s="6" t="str">
        <f>_xll.QS.CONTEXT.ADD.CURVE(C4682,"SOFR",$K$2:$K$7,$L$2:$L$7,,,"Actual360","LogLinear",TRUE)</f>
        <v>QSObject:ContextInput:w1~input.qs_context_add_curve.2359132437744.4681.3.0:35960</v>
      </c>
      <c r="E4682" s="6" t="str">
        <f>_xll.QS.INSTRUMENT.SWAP("swap.4680",H4682,B4682,"USD","SOFR",I4682,J4682,0,"Actual360","Simple","Annual","Annual","Annual")</f>
        <v>QSObject:Swap:w1~swap.4680:12208</v>
      </c>
      <c r="F4682" s="6" t="str">
        <f>_xll.QS.TRADE.CREATE("trade.4680",E4682,A4682,"Receive")</f>
        <v>QSObject:SwapTrade:w1~trade.4680:27175</v>
      </c>
      <c r="G4682" s="3">
        <f>_xll.QS.EVALUATE(C4682,F4682)</f>
        <v>40551.097801428041</v>
      </c>
      <c r="H4682" s="5" t="s">
        <v>4723</v>
      </c>
      <c r="I4682" s="7">
        <v>1468000</v>
      </c>
      <c r="J4682" s="8">
        <v>3.8000000000000013E-2</v>
      </c>
    </row>
    <row r="4683" spans="1:10" x14ac:dyDescent="0.25">
      <c r="A4683" s="5" t="s">
        <v>4717</v>
      </c>
      <c r="B4683" s="5" t="s">
        <v>6550</v>
      </c>
      <c r="C4683" s="6" t="str">
        <f>_xll.QS.CONTEXT.CREATE("market.4681",A4683,"USD","SOFR")</f>
        <v>QSObject:PricingContext:w1~market.4681:12207</v>
      </c>
      <c r="D4683" s="6" t="str">
        <f>_xll.QS.CONTEXT.ADD.CURVE(C4683,"SOFR",$K$2:$K$7,$L$2:$L$7,,,"Actual360","LogLinear",TRUE)</f>
        <v>QSObject:ContextInput:w1~input.qs_context_add_curve.2359132437744.4682.3.0:35959</v>
      </c>
      <c r="E4683" s="6" t="str">
        <f>_xll.QS.INSTRUMENT.SWAP("swap.4681",H4683,B4683,"USD","SOFR",I4683,J4683,0,"Actual360","Simple","Annual","Annual","Annual")</f>
        <v>QSObject:Swap:w1~swap.4681:12206</v>
      </c>
      <c r="F4683" s="6" t="str">
        <f>_xll.QS.TRADE.CREATE("trade.4681",E4683,A4683,"Receive")</f>
        <v>QSObject:SwapTrade:w1~trade.4681:27174</v>
      </c>
      <c r="G4683" s="3">
        <f>_xll.QS.EVALUATE(C4683,F4683)</f>
        <v>41120.208846879999</v>
      </c>
      <c r="H4683" s="5" t="s">
        <v>4724</v>
      </c>
      <c r="I4683" s="7">
        <v>1468100</v>
      </c>
      <c r="J4683" s="8">
        <v>3.8100000000000002E-2</v>
      </c>
    </row>
    <row r="4684" spans="1:10" x14ac:dyDescent="0.25">
      <c r="A4684" s="5" t="s">
        <v>4718</v>
      </c>
      <c r="B4684" s="5" t="s">
        <v>6551</v>
      </c>
      <c r="C4684" s="6" t="str">
        <f>_xll.QS.CONTEXT.CREATE("market.4682",A4684,"USD","SOFR")</f>
        <v>QSObject:PricingContext:w1~market.4682:12205</v>
      </c>
      <c r="D4684" s="6" t="str">
        <f>_xll.QS.CONTEXT.ADD.CURVE(C4684,"SOFR",$K$2:$K$7,$L$2:$L$7,,,"Actual360","LogLinear",TRUE)</f>
        <v>QSObject:ContextInput:w1~input.qs_context_add_curve.2359132437744.4683.3.0:35958</v>
      </c>
      <c r="E4684" s="6" t="str">
        <f>_xll.QS.INSTRUMENT.SWAP("swap.4682",H4684,B4684,"USD","SOFR",I4684,J4684,0,"Actual360","Simple","Annual","Annual","Annual")</f>
        <v>QSObject:Swap:w1~swap.4682:12204</v>
      </c>
      <c r="F4684" s="6" t="str">
        <f>_xll.QS.TRADE.CREATE("trade.4682",E4684,A4684,"Receive")</f>
        <v>QSObject:SwapTrade:w1~trade.4682:27173</v>
      </c>
      <c r="G4684" s="3">
        <f>_xll.QS.EVALUATE(C4684,F4684)</f>
        <v>41697.429480758772</v>
      </c>
      <c r="H4684" s="5" t="s">
        <v>4725</v>
      </c>
      <c r="I4684" s="7">
        <v>1468200</v>
      </c>
      <c r="J4684" s="8">
        <v>3.8199999999999998E-2</v>
      </c>
    </row>
    <row r="4685" spans="1:10" x14ac:dyDescent="0.25">
      <c r="A4685" s="5" t="s">
        <v>4719</v>
      </c>
      <c r="B4685" s="5" t="s">
        <v>6552</v>
      </c>
      <c r="C4685" s="6" t="str">
        <f>_xll.QS.CONTEXT.CREATE("market.4683",A4685,"USD","SOFR")</f>
        <v>QSObject:PricingContext:w1~market.4683:12203</v>
      </c>
      <c r="D4685" s="6" t="str">
        <f>_xll.QS.CONTEXT.ADD.CURVE(C4685,"SOFR",$K$2:$K$7,$L$2:$L$7,,,"Actual360","LogLinear",TRUE)</f>
        <v>QSObject:ContextInput:w1~input.qs_context_add_curve.2359132437744.4684.3.0:35957</v>
      </c>
      <c r="E4685" s="6" t="str">
        <f>_xll.QS.INSTRUMENT.SWAP("swap.4683",H4685,B4685,"USD","SOFR",I4685,J4685,0,"Actual360","Simple","Annual","Annual","Annual")</f>
        <v>QSObject:Swap:w1~swap.4683:12202</v>
      </c>
      <c r="F4685" s="6" t="str">
        <f>_xll.QS.TRADE.CREATE("trade.4683",E4685,A4685,"Receive")</f>
        <v>QSObject:SwapTrade:w1~trade.4683:27172</v>
      </c>
      <c r="G4685" s="3">
        <f>_xll.QS.EVALUATE(C4685,F4685)</f>
        <v>42439.87851186483</v>
      </c>
      <c r="H4685" s="5" t="s">
        <v>4726</v>
      </c>
      <c r="I4685" s="7">
        <v>1468300</v>
      </c>
      <c r="J4685" s="8">
        <v>3.8300000000000001E-2</v>
      </c>
    </row>
    <row r="4686" spans="1:10" x14ac:dyDescent="0.25">
      <c r="A4686" s="5" t="s">
        <v>4720</v>
      </c>
      <c r="B4686" s="5" t="s">
        <v>6553</v>
      </c>
      <c r="C4686" s="6" t="str">
        <f>_xll.QS.CONTEXT.CREATE("market.4684",A4686,"USD","SOFR")</f>
        <v>QSObject:PricingContext:w1~market.4684:12201</v>
      </c>
      <c r="D4686" s="6" t="str">
        <f>_xll.QS.CONTEXT.ADD.CURVE(C4686,"SOFR",$K$2:$K$7,$L$2:$L$7,,,"Actual360","LogLinear",TRUE)</f>
        <v>QSObject:ContextInput:w1~input.qs_context_add_curve.2359132437744.4685.3.0:34081</v>
      </c>
      <c r="E4686" s="6" t="str">
        <f>_xll.QS.INSTRUMENT.SWAP("swap.4684",H4686,B4686,"USD","SOFR",I4686,J4686,0,"Actual360","Simple","Annual","Annual","Annual")</f>
        <v>QSObject:Swap:w1~swap.4684:12200</v>
      </c>
      <c r="F4686" s="6" t="str">
        <f>_xll.QS.TRADE.CREATE("trade.4684",E4686,A4686,"Receive")</f>
        <v>QSObject:SwapTrade:w1~trade.4684:27171</v>
      </c>
      <c r="G4686" s="3">
        <f>_xll.QS.EVALUATE(C4686,F4686)</f>
        <v>43154.294680512641</v>
      </c>
      <c r="H4686" s="5" t="s">
        <v>4727</v>
      </c>
      <c r="I4686" s="7">
        <v>1468400</v>
      </c>
      <c r="J4686" s="8">
        <v>3.8399999999999997E-2</v>
      </c>
    </row>
    <row r="4687" spans="1:10" x14ac:dyDescent="0.25">
      <c r="A4687" s="5" t="s">
        <v>4721</v>
      </c>
      <c r="B4687" s="5" t="s">
        <v>6554</v>
      </c>
      <c r="C4687" s="6" t="str">
        <f>_xll.QS.CONTEXT.CREATE("market.4685",A4687,"USD","SOFR")</f>
        <v>QSObject:PricingContext:w1~market.4685:12199</v>
      </c>
      <c r="D4687" s="6" t="str">
        <f>_xll.QS.CONTEXT.ADD.CURVE(C4687,"SOFR",$K$2:$K$7,$L$2:$L$7,,,"Actual360","LogLinear",TRUE)</f>
        <v>QSObject:ContextInput:w1~input.qs_context_add_curve.2359132437744.4686.3.0:35907</v>
      </c>
      <c r="E4687" s="6" t="str">
        <f>_xll.QS.INSTRUMENT.SWAP("swap.4685",H4687,B4687,"USD","SOFR",I4687,J4687,0,"Actual360","Simple","Annual","Annual","Annual")</f>
        <v>QSObject:Swap:w1~swap.4685:12198</v>
      </c>
      <c r="F4687" s="6" t="str">
        <f>_xll.QS.TRADE.CREATE("trade.4685",E4687,A4687,"Receive")</f>
        <v>QSObject:SwapTrade:w1~trade.4685:27170</v>
      </c>
      <c r="G4687" s="3">
        <f>_xll.QS.EVALUATE(C4687,F4687)</f>
        <v>43942.693050946633</v>
      </c>
      <c r="H4687" s="5" t="s">
        <v>4728</v>
      </c>
      <c r="I4687" s="7">
        <v>1468500</v>
      </c>
      <c r="J4687" s="8">
        <v>3.8500000000000013E-2</v>
      </c>
    </row>
    <row r="4688" spans="1:10" x14ac:dyDescent="0.25">
      <c r="A4688" s="5" t="s">
        <v>4722</v>
      </c>
      <c r="B4688" s="5" t="s">
        <v>6555</v>
      </c>
      <c r="C4688" s="6" t="str">
        <f>_xll.QS.CONTEXT.CREATE("market.4686",A4688,"USD","SOFR")</f>
        <v>QSObject:PricingContext:w1~market.4686:12197</v>
      </c>
      <c r="D4688" s="6" t="str">
        <f>_xll.QS.CONTEXT.ADD.CURVE(C4688,"SOFR",$K$2:$K$7,$L$2:$L$7,,,"Actual360","LogLinear",TRUE)</f>
        <v>QSObject:ContextInput:w1~input.qs_context_add_curve.2359132437744.4687.3.0:35906</v>
      </c>
      <c r="E4688" s="6" t="str">
        <f>_xll.QS.INSTRUMENT.SWAP("swap.4686",H4688,B4688,"USD","SOFR",I4688,J4688,0,"Actual360","Simple","Annual","Annual","Annual")</f>
        <v>QSObject:Swap:w1~swap.4686:12196</v>
      </c>
      <c r="F4688" s="6" t="str">
        <f>_xll.QS.TRADE.CREATE("trade.4686",E4688,A4688,"Receive")</f>
        <v>QSObject:SwapTrade:w1~trade.4686:27169</v>
      </c>
      <c r="G4688" s="3">
        <f>_xll.QS.EVALUATE(C4688,F4688)</f>
        <v>44686.882766229581</v>
      </c>
      <c r="H4688" s="5" t="s">
        <v>4729</v>
      </c>
      <c r="I4688" s="7">
        <v>1468600</v>
      </c>
      <c r="J4688" s="8">
        <v>3.8600000000000002E-2</v>
      </c>
    </row>
    <row r="4689" spans="1:10" x14ac:dyDescent="0.25">
      <c r="A4689" s="5" t="s">
        <v>4723</v>
      </c>
      <c r="B4689" s="5" t="s">
        <v>6556</v>
      </c>
      <c r="C4689" s="6" t="str">
        <f>_xll.QS.CONTEXT.CREATE("market.4687",A4689,"USD","SOFR")</f>
        <v>QSObject:PricingContext:w1~market.4687:12195</v>
      </c>
      <c r="D4689" s="6" t="str">
        <f>_xll.QS.CONTEXT.ADD.CURVE(C4689,"SOFR",$K$2:$K$7,$L$2:$L$7,,,"Actual360","LogLinear",TRUE)</f>
        <v>QSObject:ContextInput:w1~input.qs_context_add_curve.2359132437744.4688.3.0:33503</v>
      </c>
      <c r="E4689" s="6" t="str">
        <f>_xll.QS.INSTRUMENT.SWAP("swap.4687",H4689,B4689,"USD","SOFR",I4689,J4689,0,"Actual360","Simple","Annual","Annual","Annual")</f>
        <v>QSObject:Swap:w1~swap.4687:12194</v>
      </c>
      <c r="F4689" s="6" t="str">
        <f>_xll.QS.TRADE.CREATE("trade.4687",E4689,A4689,"Receive")</f>
        <v>QSObject:SwapTrade:w1~trade.4687:27168</v>
      </c>
      <c r="G4689" s="3">
        <f>_xll.QS.EVALUATE(C4689,F4689)</f>
        <v>45311.365466357311</v>
      </c>
      <c r="H4689" s="5" t="s">
        <v>4730</v>
      </c>
      <c r="I4689" s="7">
        <v>1468700</v>
      </c>
      <c r="J4689" s="8">
        <v>3.8700000000000012E-2</v>
      </c>
    </row>
    <row r="4690" spans="1:10" x14ac:dyDescent="0.25">
      <c r="A4690" s="5" t="s">
        <v>4724</v>
      </c>
      <c r="B4690" s="5" t="s">
        <v>6557</v>
      </c>
      <c r="C4690" s="6" t="str">
        <f>_xll.QS.CONTEXT.CREATE("market.4688",A4690,"USD","SOFR")</f>
        <v>QSObject:PricingContext:w1~market.4688:12193</v>
      </c>
      <c r="D4690" s="6" t="str">
        <f>_xll.QS.CONTEXT.ADD.CURVE(C4690,"SOFR",$K$2:$K$7,$L$2:$L$7,,,"Actual360","LogLinear",TRUE)</f>
        <v>QSObject:ContextInput:w1~input.qs_context_add_curve.2359132437744.4689.3.0:34080</v>
      </c>
      <c r="E4690" s="6" t="str">
        <f>_xll.QS.INSTRUMENT.SWAP("swap.4688",H4690,B4690,"USD","SOFR",I4690,J4690,0,"Actual360","Simple","Annual","Annual","Annual")</f>
        <v>QSObject:Swap:w1~swap.4688:12192</v>
      </c>
      <c r="F4690" s="6" t="str">
        <f>_xll.QS.TRADE.CREATE("trade.4688",E4690,A4690,"Receive")</f>
        <v>QSObject:SwapTrade:w1~trade.4688:27167</v>
      </c>
      <c r="G4690" s="3">
        <f>_xll.QS.EVALUATE(C4690,F4690)</f>
        <v>45846.541957502923</v>
      </c>
      <c r="H4690" s="5" t="s">
        <v>4731</v>
      </c>
      <c r="I4690" s="7">
        <v>1468800</v>
      </c>
      <c r="J4690" s="8">
        <v>3.8800000000000001E-2</v>
      </c>
    </row>
    <row r="4691" spans="1:10" x14ac:dyDescent="0.25">
      <c r="A4691" s="5" t="s">
        <v>4725</v>
      </c>
      <c r="B4691" s="5" t="s">
        <v>6558</v>
      </c>
      <c r="C4691" s="6" t="str">
        <f>_xll.QS.CONTEXT.CREATE("market.4689",A4691,"USD","SOFR")</f>
        <v>QSObject:PricingContext:w1~market.4689:12191</v>
      </c>
      <c r="D4691" s="6" t="str">
        <f>_xll.QS.CONTEXT.ADD.CURVE(C4691,"SOFR",$K$2:$K$7,$L$2:$L$7,,,"Actual360","LogLinear",TRUE)</f>
        <v>QSObject:ContextInput:w1~input.qs_context_add_curve.2359132437744.4690.3.0:32968</v>
      </c>
      <c r="E4691" s="6" t="str">
        <f>_xll.QS.INSTRUMENT.SWAP("swap.4689",H4691,B4691,"USD","SOFR",I4691,J4691,0,"Actual360","Simple","Annual","Annual","Annual")</f>
        <v>QSObject:Swap:w1~swap.4689:12190</v>
      </c>
      <c r="F4691" s="6" t="str">
        <f>_xll.QS.TRADE.CREATE("trade.4689",E4691,A4691,"Receive")</f>
        <v>QSObject:SwapTrade:w1~trade.4689:27166</v>
      </c>
      <c r="G4691" s="3">
        <f>_xll.QS.EVALUATE(C4691,F4691)</f>
        <v>46398.535060139722</v>
      </c>
      <c r="H4691" s="5" t="s">
        <v>4732</v>
      </c>
      <c r="I4691" s="7">
        <v>1468900</v>
      </c>
      <c r="J4691" s="8">
        <v>3.8899999999999997E-2</v>
      </c>
    </row>
    <row r="4692" spans="1:10" x14ac:dyDescent="0.25">
      <c r="A4692" s="5" t="s">
        <v>4726</v>
      </c>
      <c r="B4692" s="5" t="s">
        <v>6559</v>
      </c>
      <c r="C4692" s="6" t="str">
        <f>_xll.QS.CONTEXT.CREATE("market.4690",A4692,"USD","SOFR")</f>
        <v>QSObject:PricingContext:w1~market.4690:12189</v>
      </c>
      <c r="D4692" s="6" t="str">
        <f>_xll.QS.CONTEXT.ADD.CURVE(C4692,"SOFR",$K$2:$K$7,$L$2:$L$7,,,"Actual360","LogLinear",TRUE)</f>
        <v>QSObject:ContextInput:w1~input.qs_context_add_curve.2359132437744.4691.3.0:32967</v>
      </c>
      <c r="E4692" s="6" t="str">
        <f>_xll.QS.INSTRUMENT.SWAP("swap.4690",H4692,B4692,"USD","SOFR",I4692,J4692,0,"Actual360","Simple","Annual","Annual","Annual")</f>
        <v>QSObject:Swap:w1~swap.4690:12188</v>
      </c>
      <c r="F4692" s="6" t="str">
        <f>_xll.QS.TRADE.CREATE("trade.4690",E4692,A4692,"Receive")</f>
        <v>QSObject:SwapTrade:w1~trade.4690:27165</v>
      </c>
      <c r="G4692" s="3">
        <f>_xll.QS.EVALUATE(C4692,F4692)</f>
        <v>47142.559478871459</v>
      </c>
      <c r="H4692" s="5" t="s">
        <v>4733</v>
      </c>
      <c r="I4692" s="7">
        <v>1469000</v>
      </c>
      <c r="J4692" s="8">
        <v>3.9000000000000007E-2</v>
      </c>
    </row>
    <row r="4693" spans="1:10" x14ac:dyDescent="0.25">
      <c r="A4693" s="5" t="s">
        <v>4727</v>
      </c>
      <c r="B4693" s="5" t="s">
        <v>6560</v>
      </c>
      <c r="C4693" s="6" t="str">
        <f>_xll.QS.CONTEXT.CREATE("market.4691",A4693,"USD","SOFR")</f>
        <v>QSObject:PricingContext:w1~market.4691:12187</v>
      </c>
      <c r="D4693" s="6" t="str">
        <f>_xll.QS.CONTEXT.ADD.CURVE(C4693,"SOFR",$K$2:$K$7,$L$2:$L$7,,,"Actual360","LogLinear",TRUE)</f>
        <v>QSObject:ContextInput:w1~input.qs_context_add_curve.2359132437744.4692.3.0:33502</v>
      </c>
      <c r="E4693" s="6" t="str">
        <f>_xll.QS.INSTRUMENT.SWAP("swap.4691",H4693,B4693,"USD","SOFR",I4693,J4693,0,"Actual360","Simple","Annual","Annual","Annual")</f>
        <v>QSObject:Swap:w1~swap.4691:12186</v>
      </c>
      <c r="F4693" s="6" t="str">
        <f>_xll.QS.TRADE.CREATE("trade.4691",E4693,A4693,"Receive")</f>
        <v>QSObject:SwapTrade:w1~trade.4691:27164</v>
      </c>
      <c r="G4693" s="3">
        <f>_xll.QS.EVALUATE(C4693,F4693)</f>
        <v>47886.218278510751</v>
      </c>
      <c r="H4693" s="5" t="s">
        <v>4734</v>
      </c>
      <c r="I4693" s="7">
        <v>1469100</v>
      </c>
      <c r="J4693" s="8">
        <v>3.9100000000000003E-2</v>
      </c>
    </row>
    <row r="4694" spans="1:10" x14ac:dyDescent="0.25">
      <c r="A4694" s="5" t="s">
        <v>4728</v>
      </c>
      <c r="B4694" s="5" t="s">
        <v>6561</v>
      </c>
      <c r="C4694" s="6" t="str">
        <f>_xll.QS.CONTEXT.CREATE("market.4692",A4694,"USD","SOFR")</f>
        <v>QSObject:PricingContext:w1~market.4692:12185</v>
      </c>
      <c r="D4694" s="6" t="str">
        <f>_xll.QS.CONTEXT.ADD.CURVE(C4694,"SOFR",$K$2:$K$7,$L$2:$L$7,,,"Actual360","LogLinear",TRUE)</f>
        <v>QSObject:ContextInput:w1~input.qs_context_add_curve.2359132437744.4693.3.0:34712</v>
      </c>
      <c r="E4694" s="6" t="str">
        <f>_xll.QS.INSTRUMENT.SWAP("swap.4692",H4694,B4694,"USD","SOFR",I4694,J4694,0,"Actual360","Simple","Annual","Annual","Annual")</f>
        <v>QSObject:Swap:w1~swap.4692:12184</v>
      </c>
      <c r="F4694" s="6" t="str">
        <f>_xll.QS.TRADE.CREATE("trade.4692",E4694,A4694,"Receive")</f>
        <v>QSObject:SwapTrade:w1~trade.4692:27163</v>
      </c>
      <c r="G4694" s="3">
        <f>_xll.QS.EVALUATE(C4694,F4694)</f>
        <v>48760.884470392986</v>
      </c>
      <c r="H4694" s="5" t="s">
        <v>4735</v>
      </c>
      <c r="I4694" s="7">
        <v>1469200</v>
      </c>
      <c r="J4694" s="8">
        <v>3.9200000000000013E-2</v>
      </c>
    </row>
    <row r="4695" spans="1:10" x14ac:dyDescent="0.25">
      <c r="A4695" s="5" t="s">
        <v>4729</v>
      </c>
      <c r="B4695" s="5" t="s">
        <v>6562</v>
      </c>
      <c r="C4695" s="6" t="str">
        <f>_xll.QS.CONTEXT.CREATE("market.4693",A4695,"USD","SOFR")</f>
        <v>QSObject:PricingContext:w1~market.4693:12183</v>
      </c>
      <c r="D4695" s="6" t="str">
        <f>_xll.QS.CONTEXT.ADD.CURVE(C4695,"SOFR",$K$2:$K$7,$L$2:$L$7,,,"Actual360","LogLinear",TRUE)</f>
        <v>QSObject:ContextInput:w1~input.qs_context_add_curve.2359132437744.4694.3.0:34079</v>
      </c>
      <c r="E4695" s="6" t="str">
        <f>_xll.QS.INSTRUMENT.SWAP("swap.4693",H4695,B4695,"USD","SOFR",I4695,J4695,0,"Actual360","Simple","Annual","Annual","Annual")</f>
        <v>QSObject:Swap:w1~swap.4693:12182</v>
      </c>
      <c r="F4695" s="6" t="str">
        <f>_xll.QS.TRADE.CREATE("trade.4693",E4695,A4695,"Receive")</f>
        <v>QSObject:SwapTrade:w1~trade.4693:27162</v>
      </c>
      <c r="G4695" s="3">
        <f>_xll.QS.EVALUATE(C4695,F4695)</f>
        <v>49455.53552263607</v>
      </c>
      <c r="H4695" s="5" t="s">
        <v>4736</v>
      </c>
      <c r="I4695" s="7">
        <v>1469300</v>
      </c>
      <c r="J4695" s="8">
        <v>3.9300000000000002E-2</v>
      </c>
    </row>
    <row r="4696" spans="1:10" x14ac:dyDescent="0.25">
      <c r="A4696" s="5" t="s">
        <v>4730</v>
      </c>
      <c r="B4696" s="5" t="s">
        <v>6563</v>
      </c>
      <c r="C4696" s="6" t="str">
        <f>_xll.QS.CONTEXT.CREATE("market.4694",A4696,"USD","SOFR")</f>
        <v>QSObject:PricingContext:w1~market.4694:12181</v>
      </c>
      <c r="D4696" s="6" t="str">
        <f>_xll.QS.CONTEXT.ADD.CURVE(C4696,"SOFR",$K$2:$K$7,$L$2:$L$7,,,"Actual360","LogLinear",TRUE)</f>
        <v>QSObject:ContextInput:w1~input.qs_context_add_curve.2359132437744.4695.3.0:35905</v>
      </c>
      <c r="E4696" s="6" t="str">
        <f>_xll.QS.INSTRUMENT.SWAP("swap.4694",H4696,B4696,"USD","SOFR",I4696,J4696,0,"Actual360","Simple","Annual","Annual","Annual")</f>
        <v>QSObject:Swap:w1~swap.4694:12180</v>
      </c>
      <c r="F4696" s="6" t="str">
        <f>_xll.QS.TRADE.CREATE("trade.4694",E4696,A4696,"Receive")</f>
        <v>QSObject:SwapTrade:w1~trade.4694:27161</v>
      </c>
      <c r="G4696" s="3">
        <f>_xll.QS.EVALUATE(C4696,F4696)</f>
        <v>50136.339185884368</v>
      </c>
      <c r="H4696" s="5" t="s">
        <v>4737</v>
      </c>
      <c r="I4696" s="7">
        <v>1469400</v>
      </c>
      <c r="J4696" s="8">
        <v>3.9399999999999998E-2</v>
      </c>
    </row>
    <row r="4697" spans="1:10" x14ac:dyDescent="0.25">
      <c r="A4697" s="5" t="s">
        <v>4731</v>
      </c>
      <c r="B4697" s="5" t="s">
        <v>6564</v>
      </c>
      <c r="C4697" s="6" t="str">
        <f>_xll.QS.CONTEXT.CREATE("market.4695",A4697,"USD","SOFR")</f>
        <v>QSObject:PricingContext:w1~market.4695:12179</v>
      </c>
      <c r="D4697" s="6" t="str">
        <f>_xll.QS.CONTEXT.ADD.CURVE(C4697,"SOFR",$K$2:$K$7,$L$2:$L$7,,,"Actual360","LogLinear",TRUE)</f>
        <v>QSObject:ContextInput:w1~input.qs_context_add_curve.2359132437744.4696.3.0:33501</v>
      </c>
      <c r="E4697" s="6" t="str">
        <f>_xll.QS.INSTRUMENT.SWAP("swap.4695",H4697,B4697,"USD","SOFR",I4697,J4697,0,"Actual360","Simple","Annual","Annual","Annual")</f>
        <v>QSObject:Swap:w1~swap.4695:12178</v>
      </c>
      <c r="F4697" s="6" t="str">
        <f>_xll.QS.TRADE.CREATE("trade.4695",E4697,A4697,"Receive")</f>
        <v>QSObject:SwapTrade:w1~trade.4695:27160</v>
      </c>
      <c r="G4697" s="3">
        <f>_xll.QS.EVALUATE(C4697,F4697)</f>
        <v>50695.46306587688</v>
      </c>
      <c r="H4697" s="5" t="s">
        <v>4738</v>
      </c>
      <c r="I4697" s="7">
        <v>1469500</v>
      </c>
      <c r="J4697" s="8">
        <v>3.9500000000000007E-2</v>
      </c>
    </row>
    <row r="4698" spans="1:10" x14ac:dyDescent="0.25">
      <c r="A4698" s="5" t="s">
        <v>4732</v>
      </c>
      <c r="B4698" s="5" t="s">
        <v>6565</v>
      </c>
      <c r="C4698" s="6" t="str">
        <f>_xll.QS.CONTEXT.CREATE("market.4696",A4698,"USD","SOFR")</f>
        <v>QSObject:PricingContext:w1~market.4696:12177</v>
      </c>
      <c r="D4698" s="6" t="str">
        <f>_xll.QS.CONTEXT.ADD.CURVE(C4698,"SOFR",$K$2:$K$7,$L$2:$L$7,,,"Actual360","LogLinear",TRUE)</f>
        <v>QSObject:ContextInput:w1~input.qs_context_add_curve.2359132437744.4697.3.0:32966</v>
      </c>
      <c r="E4698" s="6" t="str">
        <f>_xll.QS.INSTRUMENT.SWAP("swap.4696",H4698,B4698,"USD","SOFR",I4698,J4698,0,"Actual360","Simple","Annual","Annual","Annual")</f>
        <v>QSObject:Swap:w1~swap.4696:12176</v>
      </c>
      <c r="F4698" s="6" t="str">
        <f>_xll.QS.TRADE.CREATE("trade.4696",E4698,A4698,"Receive")</f>
        <v>QSObject:SwapTrade:w1~trade.4696:27159</v>
      </c>
      <c r="G4698" s="3">
        <f>_xll.QS.EVALUATE(C4698,F4698)</f>
        <v>51288.442419445404</v>
      </c>
      <c r="H4698" s="5" t="s">
        <v>4739</v>
      </c>
      <c r="I4698" s="7">
        <v>1469600</v>
      </c>
      <c r="J4698" s="8">
        <v>3.9600000000000003E-2</v>
      </c>
    </row>
    <row r="4699" spans="1:10" x14ac:dyDescent="0.25">
      <c r="A4699" s="5" t="s">
        <v>4733</v>
      </c>
      <c r="B4699" s="5" t="s">
        <v>6566</v>
      </c>
      <c r="C4699" s="6" t="str">
        <f>_xll.QS.CONTEXT.CREATE("market.4697",A4699,"USD","SOFR")</f>
        <v>QSObject:PricingContext:w1~market.4697:12175</v>
      </c>
      <c r="D4699" s="6" t="str">
        <f>_xll.QS.CONTEXT.ADD.CURVE(C4699,"SOFR",$K$2:$K$7,$L$2:$L$7,,,"Actual360","LogLinear",TRUE)</f>
        <v>QSObject:ContextInput:w1~input.qs_context_add_curve.2359132437744.4698.3.0:34711</v>
      </c>
      <c r="E4699" s="6" t="str">
        <f>_xll.QS.INSTRUMENT.SWAP("swap.4697",H4699,B4699,"USD","SOFR",I4699,J4699,0,"Actual360","Simple","Annual","Annual","Annual")</f>
        <v>QSObject:Swap:w1~swap.4697:12174</v>
      </c>
      <c r="F4699" s="6" t="str">
        <f>_xll.QS.TRADE.CREATE("trade.4697",E4699,A4699,"Receive")</f>
        <v>QSObject:SwapTrade:w1~trade.4697:27158</v>
      </c>
      <c r="G4699" s="3">
        <f>_xll.QS.EVALUATE(C4699,F4699)</f>
        <v>51973.957953726094</v>
      </c>
      <c r="H4699" s="5" t="s">
        <v>4740</v>
      </c>
      <c r="I4699" s="7">
        <v>1469700</v>
      </c>
      <c r="J4699" s="8">
        <v>3.9700000000000013E-2</v>
      </c>
    </row>
    <row r="4700" spans="1:10" x14ac:dyDescent="0.25">
      <c r="A4700" s="5" t="s">
        <v>4734</v>
      </c>
      <c r="B4700" s="5" t="s">
        <v>6567</v>
      </c>
      <c r="C4700" s="6" t="str">
        <f>_xll.QS.CONTEXT.CREATE("market.4698",A4700,"USD","SOFR")</f>
        <v>QSObject:PricingContext:w1~market.4698:12173</v>
      </c>
      <c r="D4700" s="6" t="str">
        <f>_xll.QS.CONTEXT.ADD.CURVE(C4700,"SOFR",$K$2:$K$7,$L$2:$L$7,,,"Actual360","LogLinear",TRUE)</f>
        <v>QSObject:ContextInput:w1~input.qs_context_add_curve.2359132437744.4699.3.0:32965</v>
      </c>
      <c r="E4700" s="6" t="str">
        <f>_xll.QS.INSTRUMENT.SWAP("swap.4698",H4700,B4700,"USD","SOFR",I4700,J4700,0,"Actual360","Simple","Annual","Annual","Annual")</f>
        <v>QSObject:Swap:w1~swap.4698:12172</v>
      </c>
      <c r="F4700" s="6" t="str">
        <f>_xll.QS.TRADE.CREATE("trade.4698",E4700,A4700,"Receive")</f>
        <v>QSObject:SwapTrade:w1~trade.4698:27157</v>
      </c>
      <c r="G4700" s="3">
        <f>_xll.QS.EVALUATE(C4700,F4700)</f>
        <v>52685.091575991537</v>
      </c>
      <c r="H4700" s="5" t="s">
        <v>4741</v>
      </c>
      <c r="I4700" s="7">
        <v>1469800</v>
      </c>
      <c r="J4700" s="8">
        <v>3.9800000000000002E-2</v>
      </c>
    </row>
    <row r="4701" spans="1:10" x14ac:dyDescent="0.25">
      <c r="A4701" s="5" t="s">
        <v>4735</v>
      </c>
      <c r="B4701" s="5" t="s">
        <v>6568</v>
      </c>
      <c r="C4701" s="6" t="str">
        <f>_xll.QS.CONTEXT.CREATE("market.4699",A4701,"USD","SOFR")</f>
        <v>QSObject:PricingContext:w1~market.4699:12171</v>
      </c>
      <c r="D4701" s="6" t="str">
        <f>_xll.QS.CONTEXT.ADD.CURVE(C4701,"SOFR",$K$2:$K$7,$L$2:$L$7,,,"Actual360","LogLinear",TRUE)</f>
        <v>QSObject:ContextInput:w1~input.qs_context_add_curve.2359132437744.4700.3.0:34078</v>
      </c>
      <c r="E4701" s="6" t="str">
        <f>_xll.QS.INSTRUMENT.SWAP("swap.4699",H4701,B4701,"USD","SOFR",I4701,J4701,0,"Actual360","Simple","Annual","Annual","Annual")</f>
        <v>QSObject:Swap:w1~swap.4699:12170</v>
      </c>
      <c r="F4701" s="6" t="str">
        <f>_xll.QS.TRADE.CREATE("trade.4699",E4701,A4701,"Receive")</f>
        <v>QSObject:SwapTrade:w1~trade.4699:27156</v>
      </c>
      <c r="G4701" s="3">
        <f>_xll.QS.EVALUATE(C4701,F4701)</f>
        <v>53474.16939130368</v>
      </c>
      <c r="H4701" s="5" t="s">
        <v>4742</v>
      </c>
      <c r="I4701" s="7">
        <v>1469900</v>
      </c>
      <c r="J4701" s="8">
        <v>3.9899999999999998E-2</v>
      </c>
    </row>
    <row r="4702" spans="1:10" x14ac:dyDescent="0.25">
      <c r="A4702" s="5" t="s">
        <v>4736</v>
      </c>
      <c r="B4702" s="5" t="s">
        <v>6569</v>
      </c>
      <c r="C4702" s="6" t="str">
        <f>_xll.QS.CONTEXT.CREATE("market.4700",A4702,"USD","SOFR")</f>
        <v>QSObject:PricingContext:w1~market.4700:12169</v>
      </c>
      <c r="D4702" s="6" t="str">
        <f>_xll.QS.CONTEXT.ADD.CURVE(C4702,"SOFR",$K$2:$K$7,$L$2:$L$7,,,"Actual360","LogLinear",TRUE)</f>
        <v>QSObject:ContextInput:w1~input.qs_context_add_curve.2359132437744.4701.3.0:32964</v>
      </c>
      <c r="E4702" s="6" t="str">
        <f>_xll.QS.INSTRUMENT.SWAP("swap.4700",H4702,B4702,"USD","SOFR",I4702,J4702,0,"Actual360","Simple","Annual","Annual","Annual")</f>
        <v>QSObject:Swap:w1~swap.4700:12168</v>
      </c>
      <c r="F4702" s="6" t="str">
        <f>_xll.QS.TRADE.CREATE("trade.4700",E4702,A4702,"Receive")</f>
        <v>QSObject:SwapTrade:w1~trade.4700:27155</v>
      </c>
      <c r="G4702" s="3">
        <f>_xll.QS.EVALUATE(C4702,F4702)</f>
        <v>20325.775406737179</v>
      </c>
      <c r="H4702" s="5" t="s">
        <v>4743</v>
      </c>
      <c r="I4702" s="7">
        <v>1470000</v>
      </c>
      <c r="J4702" s="8">
        <v>3.5000000000000003E-2</v>
      </c>
    </row>
    <row r="4703" spans="1:10" x14ac:dyDescent="0.25">
      <c r="A4703" s="5" t="s">
        <v>4737</v>
      </c>
      <c r="B4703" s="5" t="s">
        <v>6570</v>
      </c>
      <c r="C4703" s="6" t="str">
        <f>_xll.QS.CONTEXT.CREATE("market.4701",A4703,"USD","SOFR")</f>
        <v>QSObject:PricingContext:w1~market.4701:12167</v>
      </c>
      <c r="D4703" s="6" t="str">
        <f>_xll.QS.CONTEXT.ADD.CURVE(C4703,"SOFR",$K$2:$K$7,$L$2:$L$7,,,"Actual360","LogLinear",TRUE)</f>
        <v>QSObject:ContextInput:w1~input.qs_context_add_curve.2359132437744.4702.3.0:32963</v>
      </c>
      <c r="E4703" s="6" t="str">
        <f>_xll.QS.INSTRUMENT.SWAP("swap.4701",H4703,B4703,"USD","SOFR",I4703,J4703,0,"Actual360","Simple","Annual","Annual","Annual")</f>
        <v>QSObject:Swap:w1~swap.4701:12166</v>
      </c>
      <c r="F4703" s="6" t="str">
        <f>_xll.QS.TRADE.CREATE("trade.4701",E4703,A4703,"Receive")</f>
        <v>QSObject:SwapTrade:w1~trade.4701:27154</v>
      </c>
      <c r="G4703" s="3">
        <f>_xll.QS.EVALUATE(C4703,F4703)</f>
        <v>20904.013695591035</v>
      </c>
      <c r="H4703" s="5" t="s">
        <v>4744</v>
      </c>
      <c r="I4703" s="7">
        <v>1470100</v>
      </c>
      <c r="J4703" s="8">
        <v>3.5100000000000013E-2</v>
      </c>
    </row>
    <row r="4704" spans="1:10" x14ac:dyDescent="0.25">
      <c r="A4704" s="5" t="s">
        <v>4738</v>
      </c>
      <c r="B4704" s="5" t="s">
        <v>6571</v>
      </c>
      <c r="C4704" s="6" t="str">
        <f>_xll.QS.CONTEXT.CREATE("market.4702",A4704,"USD","SOFR")</f>
        <v>QSObject:PricingContext:w1~market.4702:12165</v>
      </c>
      <c r="D4704" s="6" t="str">
        <f>_xll.QS.CONTEXT.ADD.CURVE(C4704,"SOFR",$K$2:$K$7,$L$2:$L$7,,,"Actual360","LogLinear",TRUE)</f>
        <v>QSObject:ContextInput:w1~input.qs_context_add_curve.2359132437744.4703.3.0:32962</v>
      </c>
      <c r="E4704" s="6" t="str">
        <f>_xll.QS.INSTRUMENT.SWAP("swap.4702",H4704,B4704,"USD","SOFR",I4704,J4704,0,"Actual360","Simple","Annual","Annual","Annual")</f>
        <v>QSObject:Swap:w1~swap.4702:12164</v>
      </c>
      <c r="F4704" s="6" t="str">
        <f>_xll.QS.TRADE.CREATE("trade.4702",E4704,A4704,"Receive")</f>
        <v>QSObject:SwapTrade:w1~trade.4702:27153</v>
      </c>
      <c r="G4704" s="3">
        <f>_xll.QS.EVALUATE(C4704,F4704)</f>
        <v>21541.077159077817</v>
      </c>
      <c r="H4704" s="5" t="s">
        <v>4745</v>
      </c>
      <c r="I4704" s="7">
        <v>1470200</v>
      </c>
      <c r="J4704" s="8">
        <v>3.5200000000000002E-2</v>
      </c>
    </row>
    <row r="4705" spans="1:10" x14ac:dyDescent="0.25">
      <c r="A4705" s="5" t="s">
        <v>4739</v>
      </c>
      <c r="B4705" s="5" t="s">
        <v>6572</v>
      </c>
      <c r="C4705" s="6" t="str">
        <f>_xll.QS.CONTEXT.CREATE("market.4703",A4705,"USD","SOFR")</f>
        <v>QSObject:PricingContext:w1~market.4703:12163</v>
      </c>
      <c r="D4705" s="6" t="str">
        <f>_xll.QS.CONTEXT.ADD.CURVE(C4705,"SOFR",$K$2:$K$7,$L$2:$L$7,,,"Actual360","LogLinear",TRUE)</f>
        <v>QSObject:ContextInput:w1~input.qs_context_add_curve.2359132437744.4704.3.0:34077</v>
      </c>
      <c r="E4705" s="6" t="str">
        <f>_xll.QS.INSTRUMENT.SWAP("swap.4703",H4705,B4705,"USD","SOFR",I4705,J4705,0,"Actual360","Simple","Annual","Annual","Annual")</f>
        <v>QSObject:Swap:w1~swap.4703:12162</v>
      </c>
      <c r="F4705" s="6" t="str">
        <f>_xll.QS.TRADE.CREATE("trade.4703",E4705,A4705,"Receive")</f>
        <v>QSObject:SwapTrade:w1~trade.4703:27152</v>
      </c>
      <c r="G4705" s="3">
        <f>_xll.QS.EVALUATE(C4705,F4705)</f>
        <v>22087.290800944189</v>
      </c>
      <c r="H4705" s="5" t="s">
        <v>4746</v>
      </c>
      <c r="I4705" s="7">
        <v>1470300</v>
      </c>
      <c r="J4705" s="8">
        <v>3.5299999999999998E-2</v>
      </c>
    </row>
    <row r="4706" spans="1:10" x14ac:dyDescent="0.25">
      <c r="A4706" s="5" t="s">
        <v>4740</v>
      </c>
      <c r="B4706" s="5" t="s">
        <v>6573</v>
      </c>
      <c r="C4706" s="6" t="str">
        <f>_xll.QS.CONTEXT.CREATE("market.4704",A4706,"USD","SOFR")</f>
        <v>QSObject:PricingContext:w1~market.4704:12161</v>
      </c>
      <c r="D4706" s="6" t="str">
        <f>_xll.QS.CONTEXT.ADD.CURVE(C4706,"SOFR",$K$2:$K$7,$L$2:$L$7,,,"Actual360","LogLinear",TRUE)</f>
        <v>QSObject:ContextInput:w1~input.qs_context_add_curve.2359132437744.4705.3.0:35325</v>
      </c>
      <c r="E4706" s="6" t="str">
        <f>_xll.QS.INSTRUMENT.SWAP("swap.4704",H4706,B4706,"USD","SOFR",I4706,J4706,0,"Actual360","Simple","Annual","Annual","Annual")</f>
        <v>QSObject:Swap:w1~swap.4704:12160</v>
      </c>
      <c r="F4706" s="6" t="str">
        <f>_xll.QS.TRADE.CREATE("trade.4704",E4706,A4706,"Receive")</f>
        <v>QSObject:SwapTrade:w1~trade.4704:27151</v>
      </c>
      <c r="G4706" s="3">
        <f>_xll.QS.EVALUATE(C4706,F4706)</f>
        <v>22882.223291066744</v>
      </c>
      <c r="H4706" s="5" t="s">
        <v>4747</v>
      </c>
      <c r="I4706" s="7">
        <v>1470400</v>
      </c>
      <c r="J4706" s="8">
        <v>3.5400000000000001E-2</v>
      </c>
    </row>
    <row r="4707" spans="1:10" x14ac:dyDescent="0.25">
      <c r="A4707" s="5" t="s">
        <v>4741</v>
      </c>
      <c r="B4707" s="5" t="s">
        <v>6574</v>
      </c>
      <c r="C4707" s="6" t="str">
        <f>_xll.QS.CONTEXT.CREATE("market.4705",A4707,"USD","SOFR")</f>
        <v>QSObject:PricingContext:w1~market.4705:12159</v>
      </c>
      <c r="D4707" s="6" t="str">
        <f>_xll.QS.CONTEXT.ADD.CURVE(C4707,"SOFR",$K$2:$K$7,$L$2:$L$7,,,"Actual360","LogLinear",TRUE)</f>
        <v>QSObject:ContextInput:w1~input.qs_context_add_curve.2359132437744.4706.3.0:35324</v>
      </c>
      <c r="E4707" s="6" t="str">
        <f>_xll.QS.INSTRUMENT.SWAP("swap.4705",H4707,B4707,"USD","SOFR",I4707,J4707,0,"Actual360","Simple","Annual","Annual","Annual")</f>
        <v>QSObject:Swap:w1~swap.4705:12158</v>
      </c>
      <c r="F4707" s="6" t="str">
        <f>_xll.QS.TRADE.CREATE("trade.4705",E4707,A4707,"Receive")</f>
        <v>QSObject:SwapTrade:w1~trade.4705:27150</v>
      </c>
      <c r="G4707" s="3">
        <f>_xll.QS.EVALUATE(C4707,F4707)</f>
        <v>23714.307648932452</v>
      </c>
      <c r="H4707" s="5" t="s">
        <v>4748</v>
      </c>
      <c r="I4707" s="7">
        <v>1470500</v>
      </c>
      <c r="J4707" s="8">
        <v>3.5499999999999997E-2</v>
      </c>
    </row>
    <row r="4708" spans="1:10" x14ac:dyDescent="0.25">
      <c r="A4708" s="5" t="s">
        <v>4742</v>
      </c>
      <c r="B4708" s="5" t="s">
        <v>6575</v>
      </c>
      <c r="C4708" s="6" t="str">
        <f>_xll.QS.CONTEXT.CREATE("market.4706",A4708,"USD","SOFR")</f>
        <v>QSObject:PricingContext:w1~market.4706:12157</v>
      </c>
      <c r="D4708" s="6" t="str">
        <f>_xll.QS.CONTEXT.ADD.CURVE(C4708,"SOFR",$K$2:$K$7,$L$2:$L$7,,,"Actual360","LogLinear",TRUE)</f>
        <v>QSObject:ContextInput:w1~input.qs_context_add_curve.2359132437744.4707.3.0:35904</v>
      </c>
      <c r="E4708" s="6" t="str">
        <f>_xll.QS.INSTRUMENT.SWAP("swap.4706",H4708,B4708,"USD","SOFR",I4708,J4708,0,"Actual360","Simple","Annual","Annual","Annual")</f>
        <v>QSObject:Swap:w1~swap.4706:12156</v>
      </c>
      <c r="F4708" s="6" t="str">
        <f>_xll.QS.TRADE.CREATE("trade.4706",E4708,A4708,"Receive")</f>
        <v>QSObject:SwapTrade:w1~trade.4706:27149</v>
      </c>
      <c r="G4708" s="3">
        <f>_xll.QS.EVALUATE(C4708,F4708)</f>
        <v>24395.064549321156</v>
      </c>
      <c r="H4708" s="5" t="s">
        <v>4749</v>
      </c>
      <c r="I4708" s="7">
        <v>1470600</v>
      </c>
      <c r="J4708" s="8">
        <v>3.5600000000000007E-2</v>
      </c>
    </row>
    <row r="4709" spans="1:10" x14ac:dyDescent="0.25">
      <c r="A4709" s="5" t="s">
        <v>4743</v>
      </c>
      <c r="B4709" s="5" t="s">
        <v>6576</v>
      </c>
      <c r="C4709" s="6" t="str">
        <f>_xll.QS.CONTEXT.CREATE("market.4707",A4709,"USD","SOFR")</f>
        <v>QSObject:PricingContext:w1~market.4707:12155</v>
      </c>
      <c r="D4709" s="6" t="str">
        <f>_xll.QS.CONTEXT.ADD.CURVE(C4709,"SOFR",$K$2:$K$7,$L$2:$L$7,,,"Actual360","LogLinear",TRUE)</f>
        <v>QSObject:ContextInput:w1~input.qs_context_add_curve.2359132437744.4708.3.0:32961</v>
      </c>
      <c r="E4709" s="6" t="str">
        <f>_xll.QS.INSTRUMENT.SWAP("swap.4707",H4709,B4709,"USD","SOFR",I4709,J4709,0,"Actual360","Simple","Annual","Annual","Annual")</f>
        <v>QSObject:Swap:w1~swap.4707:12154</v>
      </c>
      <c r="F4709" s="6" t="str">
        <f>_xll.QS.TRADE.CREATE("trade.4707",E4709,A4709,"Receive")</f>
        <v>QSObject:SwapTrade:w1~trade.4707:27148</v>
      </c>
      <c r="G4709" s="3">
        <f>_xll.QS.EVALUATE(C4709,F4709)</f>
        <v>25066.817624150681</v>
      </c>
      <c r="H4709" s="5" t="s">
        <v>4750</v>
      </c>
      <c r="I4709" s="7">
        <v>1470700</v>
      </c>
      <c r="J4709" s="8">
        <v>3.5700000000000003E-2</v>
      </c>
    </row>
    <row r="4710" spans="1:10" x14ac:dyDescent="0.25">
      <c r="A4710" s="5" t="s">
        <v>4744</v>
      </c>
      <c r="B4710" s="5" t="s">
        <v>6577</v>
      </c>
      <c r="C4710" s="6" t="str">
        <f>_xll.QS.CONTEXT.CREATE("market.4708",A4710,"USD","SOFR")</f>
        <v>QSObject:PricingContext:w1~market.4708:12153</v>
      </c>
      <c r="D4710" s="6" t="str">
        <f>_xll.QS.CONTEXT.ADD.CURVE(C4710,"SOFR",$K$2:$K$7,$L$2:$L$7,,,"Actual360","LogLinear",TRUE)</f>
        <v>QSObject:ContextInput:w1~input.qs_context_add_curve.2359132437744.4709.3.0:35903</v>
      </c>
      <c r="E4710" s="6" t="str">
        <f>_xll.QS.INSTRUMENT.SWAP("swap.4708",H4710,B4710,"USD","SOFR",I4710,J4710,0,"Actual360","Simple","Annual","Annual","Annual")</f>
        <v>QSObject:Swap:w1~swap.4708:12152</v>
      </c>
      <c r="F4710" s="6" t="str">
        <f>_xll.QS.TRADE.CREATE("trade.4708",E4710,A4710,"Receive")</f>
        <v>QSObject:SwapTrade:w1~trade.4708:27147</v>
      </c>
      <c r="G4710" s="3">
        <f>_xll.QS.EVALUATE(C4710,F4710)</f>
        <v>25707.665152123867</v>
      </c>
      <c r="H4710" s="5" t="s">
        <v>4751</v>
      </c>
      <c r="I4710" s="7">
        <v>1470800</v>
      </c>
      <c r="J4710" s="8">
        <v>3.5800000000000012E-2</v>
      </c>
    </row>
    <row r="4711" spans="1:10" x14ac:dyDescent="0.25">
      <c r="A4711" s="5" t="s">
        <v>4745</v>
      </c>
      <c r="B4711" s="5" t="s">
        <v>6578</v>
      </c>
      <c r="C4711" s="6" t="str">
        <f>_xll.QS.CONTEXT.CREATE("market.4709",A4711,"USD","SOFR")</f>
        <v>QSObject:PricingContext:w1~market.4709:12151</v>
      </c>
      <c r="D4711" s="6" t="str">
        <f>_xll.QS.CONTEXT.ADD.CURVE(C4711,"SOFR",$K$2:$K$7,$L$2:$L$7,,,"Actual360","LogLinear",TRUE)</f>
        <v>QSObject:ContextInput:w1~input.qs_context_add_curve.2359132437744.4710.3.0:35323</v>
      </c>
      <c r="E4711" s="6" t="str">
        <f>_xll.QS.INSTRUMENT.SWAP("swap.4709",H4711,B4711,"USD","SOFR",I4711,J4711,0,"Actual360","Simple","Annual","Annual","Annual")</f>
        <v>QSObject:Swap:w1~swap.4709:12150</v>
      </c>
      <c r="F4711" s="6" t="str">
        <f>_xll.QS.TRADE.CREATE("trade.4709",E4711,A4711,"Receive")</f>
        <v>QSObject:SwapTrade:w1~trade.4709:27146</v>
      </c>
      <c r="G4711" s="3">
        <f>_xll.QS.EVALUATE(C4711,F4711)</f>
        <v>26346.831775736289</v>
      </c>
      <c r="H4711" s="5" t="s">
        <v>4752</v>
      </c>
      <c r="I4711" s="7">
        <v>1470900</v>
      </c>
      <c r="J4711" s="8">
        <v>3.5900000000000001E-2</v>
      </c>
    </row>
    <row r="4712" spans="1:10" x14ac:dyDescent="0.25">
      <c r="A4712" s="5" t="s">
        <v>4746</v>
      </c>
      <c r="B4712" s="5" t="s">
        <v>6579</v>
      </c>
      <c r="C4712" s="6" t="str">
        <f>_xll.QS.CONTEXT.CREATE("market.4710",A4712,"USD","SOFR")</f>
        <v>QSObject:PricingContext:w1~market.4710:12149</v>
      </c>
      <c r="D4712" s="6" t="str">
        <f>_xll.QS.CONTEXT.ADD.CURVE(C4712,"SOFR",$K$2:$K$7,$L$2:$L$7,,,"Actual360","LogLinear",TRUE)</f>
        <v>QSObject:ContextInput:w1~input.qs_context_add_curve.2359132437744.4711.3.0:35322</v>
      </c>
      <c r="E4712" s="6" t="str">
        <f>_xll.QS.INSTRUMENT.SWAP("swap.4710",H4712,B4712,"USD","SOFR",I4712,J4712,0,"Actual360","Simple","Annual","Annual","Annual")</f>
        <v>QSObject:Swap:w1~swap.4710:12148</v>
      </c>
      <c r="F4712" s="6" t="str">
        <f>_xll.QS.TRADE.CREATE("trade.4710",E4712,A4712,"Receive")</f>
        <v>QSObject:SwapTrade:w1~trade.4710:27145</v>
      </c>
      <c r="G4712" s="3">
        <f>_xll.QS.EVALUATE(C4712,F4712)</f>
        <v>26849.217918113165</v>
      </c>
      <c r="H4712" s="5" t="s">
        <v>4753</v>
      </c>
      <c r="I4712" s="7">
        <v>1471000</v>
      </c>
      <c r="J4712" s="8">
        <v>3.5999999999999997E-2</v>
      </c>
    </row>
    <row r="4713" spans="1:10" x14ac:dyDescent="0.25">
      <c r="A4713" s="5" t="s">
        <v>4747</v>
      </c>
      <c r="B4713" s="5" t="s">
        <v>6580</v>
      </c>
      <c r="C4713" s="6" t="str">
        <f>_xll.QS.CONTEXT.CREATE("market.4711",A4713,"USD","SOFR")</f>
        <v>QSObject:PricingContext:w1~market.4711:12147</v>
      </c>
      <c r="D4713" s="6" t="str">
        <f>_xll.QS.CONTEXT.ADD.CURVE(C4713,"SOFR",$K$2:$K$7,$L$2:$L$7,,,"Actual360","LogLinear",TRUE)</f>
        <v>QSObject:ContextInput:w1~input.qs_context_add_curve.2359132437744.4712.3.0:34710</v>
      </c>
      <c r="E4713" s="6" t="str">
        <f>_xll.QS.INSTRUMENT.SWAP("swap.4711",H4713,B4713,"USD","SOFR",I4713,J4713,0,"Actual360","Simple","Annual","Annual","Annual")</f>
        <v>QSObject:Swap:w1~swap.4711:12146</v>
      </c>
      <c r="F4713" s="6" t="str">
        <f>_xll.QS.TRADE.CREATE("trade.4711",E4713,A4713,"Receive")</f>
        <v>QSObject:SwapTrade:w1~trade.4711:27144</v>
      </c>
      <c r="G4713" s="3">
        <f>_xll.QS.EVALUATE(C4713,F4713)</f>
        <v>27590.221609664964</v>
      </c>
      <c r="H4713" s="5" t="s">
        <v>4754</v>
      </c>
      <c r="I4713" s="7">
        <v>1471100</v>
      </c>
      <c r="J4713" s="8">
        <v>3.61E-2</v>
      </c>
    </row>
    <row r="4714" spans="1:10" x14ac:dyDescent="0.25">
      <c r="A4714" s="5" t="s">
        <v>4748</v>
      </c>
      <c r="B4714" s="5" t="s">
        <v>6581</v>
      </c>
      <c r="C4714" s="6" t="str">
        <f>_xll.QS.CONTEXT.CREATE("market.4712",A4714,"USD","SOFR")</f>
        <v>QSObject:PricingContext:w1~market.4712:12145</v>
      </c>
      <c r="D4714" s="6" t="str">
        <f>_xll.QS.CONTEXT.ADD.CURVE(C4714,"SOFR",$K$2:$K$7,$L$2:$L$7,,,"Actual360","LogLinear",TRUE)</f>
        <v>QSObject:ContextInput:w1~input.qs_context_add_curve.2359132437744.4713.3.0:35902</v>
      </c>
      <c r="E4714" s="6" t="str">
        <f>_xll.QS.INSTRUMENT.SWAP("swap.4712",H4714,B4714,"USD","SOFR",I4714,J4714,0,"Actual360","Simple","Annual","Annual","Annual")</f>
        <v>QSObject:Swap:w1~swap.4712:12144</v>
      </c>
      <c r="F4714" s="6" t="str">
        <f>_xll.QS.TRADE.CREATE("trade.4712",E4714,A4714,"Receive")</f>
        <v>QSObject:SwapTrade:w1~trade.4712:27143</v>
      </c>
      <c r="G4714" s="3">
        <f>_xll.QS.EVALUATE(C4714,F4714)</f>
        <v>28480.66389737268</v>
      </c>
      <c r="H4714" s="5" t="s">
        <v>4755</v>
      </c>
      <c r="I4714" s="7">
        <v>1471200</v>
      </c>
      <c r="J4714" s="8">
        <v>3.6200000000000003E-2</v>
      </c>
    </row>
    <row r="4715" spans="1:10" x14ac:dyDescent="0.25">
      <c r="A4715" s="5" t="s">
        <v>4749</v>
      </c>
      <c r="B4715" s="5" t="s">
        <v>6582</v>
      </c>
      <c r="C4715" s="6" t="str">
        <f>_xll.QS.CONTEXT.CREATE("market.4713",A4715,"USD","SOFR")</f>
        <v>QSObject:PricingContext:w1~market.4713:12143</v>
      </c>
      <c r="D4715" s="6" t="str">
        <f>_xll.QS.CONTEXT.ADD.CURVE(C4715,"SOFR",$K$2:$K$7,$L$2:$L$7,,,"Actual360","LogLinear",TRUE)</f>
        <v>QSObject:ContextInput:w1~input.qs_context_add_curve.2359132437744.4714.3.0:34709</v>
      </c>
      <c r="E4715" s="6" t="str">
        <f>_xll.QS.INSTRUMENT.SWAP("swap.4713",H4715,B4715,"USD","SOFR",I4715,J4715,0,"Actual360","Simple","Annual","Annual","Annual")</f>
        <v>QSObject:Swap:w1~swap.4713:12142</v>
      </c>
      <c r="F4715" s="6" t="str">
        <f>_xll.QS.TRADE.CREATE("trade.4713",E4715,A4715,"Receive")</f>
        <v>QSObject:SwapTrade:w1~trade.4713:27142</v>
      </c>
      <c r="G4715" s="3">
        <f>_xll.QS.EVALUATE(C4715,F4715)</f>
        <v>29167.985678634344</v>
      </c>
      <c r="H4715" s="5" t="s">
        <v>4756</v>
      </c>
      <c r="I4715" s="7">
        <v>1471300</v>
      </c>
      <c r="J4715" s="8">
        <v>3.6300000000000013E-2</v>
      </c>
    </row>
    <row r="4716" spans="1:10" x14ac:dyDescent="0.25">
      <c r="A4716" s="5" t="s">
        <v>4750</v>
      </c>
      <c r="B4716" s="5" t="s">
        <v>6583</v>
      </c>
      <c r="C4716" s="6" t="str">
        <f>_xll.QS.CONTEXT.CREATE("market.4714",A4716,"USD","SOFR")</f>
        <v>QSObject:PricingContext:w1~market.4714:12141</v>
      </c>
      <c r="D4716" s="6" t="str">
        <f>_xll.QS.CONTEXT.ADD.CURVE(C4716,"SOFR",$K$2:$K$7,$L$2:$L$7,,,"Actual360","LogLinear",TRUE)</f>
        <v>QSObject:ContextInput:w1~input.qs_context_add_curve.2359132437744.4715.3.0:35901</v>
      </c>
      <c r="E4716" s="6" t="str">
        <f>_xll.QS.INSTRUMENT.SWAP("swap.4714",H4716,B4716,"USD","SOFR",I4716,J4716,0,"Actual360","Simple","Annual","Annual","Annual")</f>
        <v>QSObject:Swap:w1~swap.4714:12140</v>
      </c>
      <c r="F4716" s="6" t="str">
        <f>_xll.QS.TRADE.CREATE("trade.4714",E4716,A4716,"Receive")</f>
        <v>QSObject:SwapTrade:w1~trade.4714:27141</v>
      </c>
      <c r="G4716" s="3">
        <f>_xll.QS.EVALUATE(C4716,F4716)</f>
        <v>29844.502146079336</v>
      </c>
      <c r="H4716" s="5" t="s">
        <v>4757</v>
      </c>
      <c r="I4716" s="7">
        <v>1471400</v>
      </c>
      <c r="J4716" s="8">
        <v>3.6400000000000002E-2</v>
      </c>
    </row>
    <row r="4717" spans="1:10" x14ac:dyDescent="0.25">
      <c r="A4717" s="5" t="s">
        <v>4751</v>
      </c>
      <c r="B4717" s="5" t="s">
        <v>6584</v>
      </c>
      <c r="C4717" s="6" t="str">
        <f>_xll.QS.CONTEXT.CREATE("market.4715",A4717,"USD","SOFR")</f>
        <v>QSObject:PricingContext:w1~market.4715:12139</v>
      </c>
      <c r="D4717" s="6" t="str">
        <f>_xll.QS.CONTEXT.ADD.CURVE(C4717,"SOFR",$K$2:$K$7,$L$2:$L$7,,,"Actual360","LogLinear",TRUE)</f>
        <v>QSObject:ContextInput:w1~input.qs_context_add_curve.2359132437744.4716.3.0:35900</v>
      </c>
      <c r="E4717" s="6" t="str">
        <f>_xll.QS.INSTRUMENT.SWAP("swap.4715",H4717,B4717,"USD","SOFR",I4717,J4717,0,"Actual360","Simple","Annual","Annual","Annual")</f>
        <v>QSObject:Swap:w1~swap.4715:12138</v>
      </c>
      <c r="F4717" s="6" t="str">
        <f>_xll.QS.TRADE.CREATE("trade.4715",E4717,A4717,"Receive")</f>
        <v>QSObject:SwapTrade:w1~trade.4715:27140</v>
      </c>
      <c r="G4717" s="3">
        <f>_xll.QS.EVALUATE(C4717,F4717)</f>
        <v>30469.27541798538</v>
      </c>
      <c r="H4717" s="5" t="s">
        <v>4758</v>
      </c>
      <c r="I4717" s="7">
        <v>1471500</v>
      </c>
      <c r="J4717" s="8">
        <v>3.6499999999999998E-2</v>
      </c>
    </row>
    <row r="4718" spans="1:10" x14ac:dyDescent="0.25">
      <c r="A4718" s="5" t="s">
        <v>4752</v>
      </c>
      <c r="B4718" s="5" t="s">
        <v>6585</v>
      </c>
      <c r="C4718" s="6" t="str">
        <f>_xll.QS.CONTEXT.CREATE("market.4716",A4718,"USD","SOFR")</f>
        <v>QSObject:PricingContext:w1~market.4716:12137</v>
      </c>
      <c r="D4718" s="6" t="str">
        <f>_xll.QS.CONTEXT.ADD.CURVE(C4718,"SOFR",$K$2:$K$7,$L$2:$L$7,,,"Actual360","LogLinear",TRUE)</f>
        <v>QSObject:ContextInput:w1~input.qs_context_add_curve.2359132437744.4717.3.0:34708</v>
      </c>
      <c r="E4718" s="6" t="str">
        <f>_xll.QS.INSTRUMENT.SWAP("swap.4716",H4718,B4718,"USD","SOFR",I4718,J4718,0,"Actual360","Simple","Annual","Annual","Annual")</f>
        <v>QSObject:Swap:w1~swap.4716:12136</v>
      </c>
      <c r="F4718" s="6" t="str">
        <f>_xll.QS.TRADE.CREATE("trade.4716",E4718,A4718,"Receive")</f>
        <v>QSObject:SwapTrade:w1~trade.4716:27139</v>
      </c>
      <c r="G4718" s="3">
        <f>_xll.QS.EVALUATE(C4718,F4718)</f>
        <v>31051.041510004135</v>
      </c>
      <c r="H4718" s="5" t="s">
        <v>4759</v>
      </c>
      <c r="I4718" s="7">
        <v>1471600</v>
      </c>
      <c r="J4718" s="8">
        <v>3.6600000000000001E-2</v>
      </c>
    </row>
    <row r="4719" spans="1:10" x14ac:dyDescent="0.25">
      <c r="A4719" s="5" t="s">
        <v>4753</v>
      </c>
      <c r="B4719" s="5" t="s">
        <v>6586</v>
      </c>
      <c r="C4719" s="6" t="str">
        <f>_xll.QS.CONTEXT.CREATE("market.4717",A4719,"USD","SOFR")</f>
        <v>QSObject:PricingContext:w1~market.4717:12135</v>
      </c>
      <c r="D4719" s="6" t="str">
        <f>_xll.QS.CONTEXT.ADD.CURVE(C4719,"SOFR",$K$2:$K$7,$L$2:$L$7,,,"Actual360","LogLinear",TRUE)</f>
        <v>QSObject:ContextInput:w1~input.qs_context_add_curve.2359132437744.4718.3.0:35899</v>
      </c>
      <c r="E4719" s="6" t="str">
        <f>_xll.QS.INSTRUMENT.SWAP("swap.4717",H4719,B4719,"USD","SOFR",I4719,J4719,0,"Actual360","Simple","Annual","Annual","Annual")</f>
        <v>QSObject:Swap:w1~swap.4717:12134</v>
      </c>
      <c r="F4719" s="6" t="str">
        <f>_xll.QS.TRADE.CREATE("trade.4717",E4719,A4719,"Receive")</f>
        <v>QSObject:SwapTrade:w1~trade.4717:27138</v>
      </c>
      <c r="G4719" s="3">
        <f>_xll.QS.EVALUATE(C4719,F4719)</f>
        <v>31613.161083124331</v>
      </c>
      <c r="H4719" s="5" t="s">
        <v>4760</v>
      </c>
      <c r="I4719" s="7">
        <v>1471700</v>
      </c>
      <c r="J4719" s="8">
        <v>3.6700000000000003E-2</v>
      </c>
    </row>
    <row r="4720" spans="1:10" x14ac:dyDescent="0.25">
      <c r="A4720" s="5" t="s">
        <v>4754</v>
      </c>
      <c r="B4720" s="5" t="s">
        <v>6587</v>
      </c>
      <c r="C4720" s="6" t="str">
        <f>_xll.QS.CONTEXT.CREATE("market.4718",A4720,"USD","SOFR")</f>
        <v>QSObject:PricingContext:w1~market.4718:12133</v>
      </c>
      <c r="D4720" s="6" t="str">
        <f>_xll.QS.CONTEXT.ADD.CURVE(C4720,"SOFR",$K$2:$K$7,$L$2:$L$7,,,"Actual360","LogLinear",TRUE)</f>
        <v>QSObject:ContextInput:w1~input.qs_context_add_curve.2359132437744.4719.3.0:35321</v>
      </c>
      <c r="E4720" s="6" t="str">
        <f>_xll.QS.INSTRUMENT.SWAP("swap.4718",H4720,B4720,"USD","SOFR",I4720,J4720,0,"Actual360","Simple","Annual","Annual","Annual")</f>
        <v>QSObject:Swap:w1~swap.4718:12132</v>
      </c>
      <c r="F4720" s="6" t="str">
        <f>_xll.QS.TRADE.CREATE("trade.4718",E4720,A4720,"Receive")</f>
        <v>QSObject:SwapTrade:w1~trade.4718:27137</v>
      </c>
      <c r="G4720" s="3">
        <f>_xll.QS.EVALUATE(C4720,F4720)</f>
        <v>32356.473007880399</v>
      </c>
      <c r="H4720" s="5" t="s">
        <v>4761</v>
      </c>
      <c r="I4720" s="7">
        <v>1471800</v>
      </c>
      <c r="J4720" s="8">
        <v>3.6800000000000013E-2</v>
      </c>
    </row>
    <row r="4721" spans="1:10" x14ac:dyDescent="0.25">
      <c r="A4721" s="5" t="s">
        <v>4755</v>
      </c>
      <c r="B4721" s="5" t="s">
        <v>6588</v>
      </c>
      <c r="C4721" s="6" t="str">
        <f>_xll.QS.CONTEXT.CREATE("market.4719",A4721,"USD","SOFR")</f>
        <v>QSObject:PricingContext:w1~market.4719:12131</v>
      </c>
      <c r="D4721" s="6" t="str">
        <f>_xll.QS.CONTEXT.ADD.CURVE(C4721,"SOFR",$K$2:$K$7,$L$2:$L$7,,,"Actual360","LogLinear",TRUE)</f>
        <v>QSObject:ContextInput:w1~input.qs_context_add_curve.2359132437744.4720.3.0:35320</v>
      </c>
      <c r="E4721" s="6" t="str">
        <f>_xll.QS.INSTRUMENT.SWAP("swap.4719",H4721,B4721,"USD","SOFR",I4721,J4721,0,"Actual360","Simple","Annual","Annual","Annual")</f>
        <v>QSObject:Swap:w1~swap.4719:12130</v>
      </c>
      <c r="F4721" s="6" t="str">
        <f>_xll.QS.TRADE.CREATE("trade.4719",E4721,A4721,"Receive")</f>
        <v>QSObject:SwapTrade:w1~trade.4719:27136</v>
      </c>
      <c r="G4721" s="3">
        <f>_xll.QS.EVALUATE(C4721,F4721)</f>
        <v>33076.921356902611</v>
      </c>
      <c r="H4721" s="5" t="s">
        <v>4762</v>
      </c>
      <c r="I4721" s="7">
        <v>1471900</v>
      </c>
      <c r="J4721" s="8">
        <v>3.6900000000000002E-2</v>
      </c>
    </row>
    <row r="4722" spans="1:10" x14ac:dyDescent="0.25">
      <c r="A4722" s="5" t="s">
        <v>4756</v>
      </c>
      <c r="B4722" s="5" t="s">
        <v>6589</v>
      </c>
      <c r="C4722" s="6" t="str">
        <f>_xll.QS.CONTEXT.CREATE("market.4720",A4722,"USD","SOFR")</f>
        <v>QSObject:PricingContext:w1~market.4720:12129</v>
      </c>
      <c r="D4722" s="6" t="str">
        <f>_xll.QS.CONTEXT.ADD.CURVE(C4722,"SOFR",$K$2:$K$7,$L$2:$L$7,,,"Actual360","LogLinear",TRUE)</f>
        <v>QSObject:ContextInput:w1~input.qs_context_add_curve.2359132437744.4721.3.0:35898</v>
      </c>
      <c r="E4722" s="6" t="str">
        <f>_xll.QS.INSTRUMENT.SWAP("swap.4720",H4722,B4722,"USD","SOFR",I4722,J4722,0,"Actual360","Simple","Annual","Annual","Annual")</f>
        <v>QSObject:Swap:w1~swap.4720:12128</v>
      </c>
      <c r="F4722" s="6" t="str">
        <f>_xll.QS.TRADE.CREATE("trade.4720",E4722,A4722,"Receive")</f>
        <v>QSObject:SwapTrade:w1~trade.4720:27135</v>
      </c>
      <c r="G4722" s="3">
        <f>_xll.QS.EVALUATE(C4722,F4722)</f>
        <v>33865.488724658651</v>
      </c>
      <c r="H4722" s="5" t="s">
        <v>4763</v>
      </c>
      <c r="I4722" s="7">
        <v>1472000</v>
      </c>
      <c r="J4722" s="8">
        <v>3.7000000000000012E-2</v>
      </c>
    </row>
    <row r="4723" spans="1:10" x14ac:dyDescent="0.25">
      <c r="A4723" s="5" t="s">
        <v>4757</v>
      </c>
      <c r="B4723" s="5" t="s">
        <v>6590</v>
      </c>
      <c r="C4723" s="6" t="str">
        <f>_xll.QS.CONTEXT.CREATE("market.4721",A4723,"USD","SOFR")</f>
        <v>QSObject:PricingContext:w1~market.4721:12127</v>
      </c>
      <c r="D4723" s="6" t="str">
        <f>_xll.QS.CONTEXT.ADD.CURVE(C4723,"SOFR",$K$2:$K$7,$L$2:$L$7,,,"Actual360","LogLinear",TRUE)</f>
        <v>QSObject:ContextInput:w1~input.qs_context_add_curve.2359132437744.4722.3.0:34707</v>
      </c>
      <c r="E4723" s="6" t="str">
        <f>_xll.QS.INSTRUMENT.SWAP("swap.4721",H4723,B4723,"USD","SOFR",I4723,J4723,0,"Actual360","Simple","Annual","Annual","Annual")</f>
        <v>QSObject:Swap:w1~swap.4721:12126</v>
      </c>
      <c r="F4723" s="6" t="str">
        <f>_xll.QS.TRADE.CREATE("trade.4721",E4723,A4723,"Receive")</f>
        <v>QSObject:SwapTrade:w1~trade.4721:27134</v>
      </c>
      <c r="G4723" s="3">
        <f>_xll.QS.EVALUATE(C4723,F4723)</f>
        <v>34610.644323213201</v>
      </c>
      <c r="H4723" s="5" t="s">
        <v>4764</v>
      </c>
      <c r="I4723" s="7">
        <v>1472100</v>
      </c>
      <c r="J4723" s="8">
        <v>3.7100000000000001E-2</v>
      </c>
    </row>
    <row r="4724" spans="1:10" x14ac:dyDescent="0.25">
      <c r="A4724" s="5" t="s">
        <v>4758</v>
      </c>
      <c r="B4724" s="5" t="s">
        <v>6591</v>
      </c>
      <c r="C4724" s="6" t="str">
        <f>_xll.QS.CONTEXT.CREATE("market.4722",A4724,"USD","SOFR")</f>
        <v>QSObject:PricingContext:w1~market.4722:12125</v>
      </c>
      <c r="D4724" s="6" t="str">
        <f>_xll.QS.CONTEXT.ADD.CURVE(C4724,"SOFR",$K$2:$K$7,$L$2:$L$7,,,"Actual360","LogLinear",TRUE)</f>
        <v>QSObject:ContextInput:w1~input.qs_context_add_curve.2359132437744.4723.3.0:35319</v>
      </c>
      <c r="E4724" s="6" t="str">
        <f>_xll.QS.INSTRUMENT.SWAP("swap.4722",H4724,B4724,"USD","SOFR",I4724,J4724,0,"Actual360","Simple","Annual","Annual","Annual")</f>
        <v>QSObject:Swap:w1~swap.4722:12124</v>
      </c>
      <c r="F4724" s="6" t="str">
        <f>_xll.QS.TRADE.CREATE("trade.4722",E4724,A4724,"Receive")</f>
        <v>QSObject:SwapTrade:w1~trade.4722:27133</v>
      </c>
      <c r="G4724" s="3">
        <f>_xll.QS.EVALUATE(C4724,F4724)</f>
        <v>35235.998328778485</v>
      </c>
      <c r="H4724" s="5" t="s">
        <v>4765</v>
      </c>
      <c r="I4724" s="7">
        <v>1472200</v>
      </c>
      <c r="J4724" s="8">
        <v>3.7199999999999997E-2</v>
      </c>
    </row>
    <row r="4725" spans="1:10" x14ac:dyDescent="0.25">
      <c r="A4725" s="5" t="s">
        <v>4759</v>
      </c>
      <c r="B4725" s="5" t="s">
        <v>6592</v>
      </c>
      <c r="C4725" s="6" t="str">
        <f>_xll.QS.CONTEXT.CREATE("market.4723",A4725,"USD","SOFR")</f>
        <v>QSObject:PricingContext:w1~market.4723:12123</v>
      </c>
      <c r="D4725" s="6" t="str">
        <f>_xll.QS.CONTEXT.ADD.CURVE(C4725,"SOFR",$K$2:$K$7,$L$2:$L$7,,,"Actual360","LogLinear",TRUE)</f>
        <v>QSObject:ContextInput:w1~input.qs_context_add_curve.2359132437744.4724.3.0:35318</v>
      </c>
      <c r="E4725" s="6" t="str">
        <f>_xll.QS.INSTRUMENT.SWAP("swap.4723",H4725,B4725,"USD","SOFR",I4725,J4725,0,"Actual360","Simple","Annual","Annual","Annual")</f>
        <v>QSObject:Swap:w1~swap.4723:12122</v>
      </c>
      <c r="F4725" s="6" t="str">
        <f>_xll.QS.TRADE.CREATE("trade.4723",E4725,A4725,"Receive")</f>
        <v>QSObject:SwapTrade:w1~trade.4723:27132</v>
      </c>
      <c r="G4725" s="3">
        <f>_xll.QS.EVALUATE(C4725,F4725)</f>
        <v>35812.762237457973</v>
      </c>
      <c r="H4725" s="5" t="s">
        <v>4766</v>
      </c>
      <c r="I4725" s="7">
        <v>1472300</v>
      </c>
      <c r="J4725" s="8">
        <v>3.73E-2</v>
      </c>
    </row>
    <row r="4726" spans="1:10" x14ac:dyDescent="0.25">
      <c r="A4726" s="5" t="s">
        <v>4760</v>
      </c>
      <c r="B4726" s="5" t="s">
        <v>6593</v>
      </c>
      <c r="C4726" s="6" t="str">
        <f>_xll.QS.CONTEXT.CREATE("market.4724",A4726,"USD","SOFR")</f>
        <v>QSObject:PricingContext:w1~market.4724:12121</v>
      </c>
      <c r="D4726" s="6" t="str">
        <f>_xll.QS.CONTEXT.ADD.CURVE(C4726,"SOFR",$K$2:$K$7,$L$2:$L$7,,,"Actual360","LogLinear",TRUE)</f>
        <v>QSObject:ContextInput:w1~input.qs_context_add_curve.2359132437744.4725.3.0:35317</v>
      </c>
      <c r="E4726" s="6" t="str">
        <f>_xll.QS.INSTRUMENT.SWAP("swap.4724",H4726,B4726,"USD","SOFR",I4726,J4726,0,"Actual360","Simple","Annual","Annual","Annual")</f>
        <v>QSObject:Swap:w1~swap.4724:12120</v>
      </c>
      <c r="F4726" s="6" t="str">
        <f>_xll.QS.TRADE.CREATE("trade.4724",E4726,A4726,"Receive")</f>
        <v>QSObject:SwapTrade:w1~trade.4724:27131</v>
      </c>
      <c r="G4726" s="3">
        <f>_xll.QS.EVALUATE(C4726,F4726)</f>
        <v>36382.838860518168</v>
      </c>
      <c r="H4726" s="5" t="s">
        <v>4767</v>
      </c>
      <c r="I4726" s="7">
        <v>1472400</v>
      </c>
      <c r="J4726" s="8">
        <v>3.7400000000000003E-2</v>
      </c>
    </row>
    <row r="4727" spans="1:10" x14ac:dyDescent="0.25">
      <c r="A4727" s="5" t="s">
        <v>4761</v>
      </c>
      <c r="B4727" s="5" t="s">
        <v>6594</v>
      </c>
      <c r="C4727" s="6" t="str">
        <f>_xll.QS.CONTEXT.CREATE("market.4725",A4727,"USD","SOFR")</f>
        <v>QSObject:PricingContext:w1~market.4725:12119</v>
      </c>
      <c r="D4727" s="6" t="str">
        <f>_xll.QS.CONTEXT.ADD.CURVE(C4727,"SOFR",$K$2:$K$7,$L$2:$L$7,,,"Actual360","LogLinear",TRUE)</f>
        <v>QSObject:ContextInput:w1~input.qs_context_add_curve.2359132437744.4726.3.0:35316</v>
      </c>
      <c r="E4727" s="6" t="str">
        <f>_xll.QS.INSTRUMENT.SWAP("swap.4725",H4727,B4727,"USD","SOFR",I4727,J4727,0,"Actual360","Simple","Annual","Annual","Annual")</f>
        <v>QSObject:Swap:w1~swap.4725:12118</v>
      </c>
      <c r="F4727" s="6" t="str">
        <f>_xll.QS.TRADE.CREATE("trade.4725",E4727,A4727,"Receive")</f>
        <v>QSObject:SwapTrade:w1~trade.4725:27130</v>
      </c>
      <c r="G4727" s="3">
        <f>_xll.QS.EVALUATE(C4727,F4727)</f>
        <v>37127.303359435951</v>
      </c>
      <c r="H4727" s="5" t="s">
        <v>4768</v>
      </c>
      <c r="I4727" s="7">
        <v>1472500</v>
      </c>
      <c r="J4727" s="8">
        <v>3.7500000000000012E-2</v>
      </c>
    </row>
    <row r="4728" spans="1:10" x14ac:dyDescent="0.25">
      <c r="A4728" s="5" t="s">
        <v>4762</v>
      </c>
      <c r="B4728" s="5" t="s">
        <v>6595</v>
      </c>
      <c r="C4728" s="6" t="str">
        <f>_xll.QS.CONTEXT.CREATE("market.4726",A4728,"USD","SOFR")</f>
        <v>QSObject:PricingContext:w1~market.4726:12117</v>
      </c>
      <c r="D4728" s="6" t="str">
        <f>_xll.QS.CONTEXT.ADD.CURVE(C4728,"SOFR",$K$2:$K$7,$L$2:$L$7,,,"Actual360","LogLinear",TRUE)</f>
        <v>QSObject:ContextInput:w1~input.qs_context_add_curve.2359132437744.4727.3.0:35315</v>
      </c>
      <c r="E4728" s="6" t="str">
        <f>_xll.QS.INSTRUMENT.SWAP("swap.4726",H4728,B4728,"USD","SOFR",I4728,J4728,0,"Actual360","Simple","Annual","Annual","Annual")</f>
        <v>QSObject:Swap:w1~swap.4726:12116</v>
      </c>
      <c r="F4728" s="6" t="str">
        <f>_xll.QS.TRADE.CREATE("trade.4726",E4728,A4728,"Receive")</f>
        <v>QSObject:SwapTrade:w1~trade.4726:27129</v>
      </c>
      <c r="G4728" s="3">
        <f>_xll.QS.EVALUATE(C4728,F4728)</f>
        <v>37846.087833856451</v>
      </c>
      <c r="H4728" s="5" t="s">
        <v>4769</v>
      </c>
      <c r="I4728" s="7">
        <v>1472600</v>
      </c>
      <c r="J4728" s="8">
        <v>3.7600000000000001E-2</v>
      </c>
    </row>
    <row r="4729" spans="1:10" x14ac:dyDescent="0.25">
      <c r="A4729" s="5" t="s">
        <v>4763</v>
      </c>
      <c r="B4729" s="5" t="s">
        <v>6596</v>
      </c>
      <c r="C4729" s="6" t="str">
        <f>_xll.QS.CONTEXT.CREATE("market.4727",A4729,"USD","SOFR")</f>
        <v>QSObject:PricingContext:w1~market.4727:12115</v>
      </c>
      <c r="D4729" s="6" t="str">
        <f>_xll.QS.CONTEXT.ADD.CURVE(C4729,"SOFR",$K$2:$K$7,$L$2:$L$7,,,"Actual360","LogLinear",TRUE)</f>
        <v>QSObject:ContextInput:w1~input.qs_context_add_curve.2359132437744.4728.3.0:35314</v>
      </c>
      <c r="E4729" s="6" t="str">
        <f>_xll.QS.INSTRUMENT.SWAP("swap.4727",H4729,B4729,"USD","SOFR",I4729,J4729,0,"Actual360","Simple","Annual","Annual","Annual")</f>
        <v>QSObject:Swap:w1~swap.4727:12114</v>
      </c>
      <c r="F4729" s="6" t="str">
        <f>_xll.QS.TRADE.CREATE("trade.4727",E4729,A4729,"Receive")</f>
        <v>QSObject:SwapTrade:w1~trade.4727:27128</v>
      </c>
      <c r="G4729" s="3">
        <f>_xll.QS.EVALUATE(C4729,F4729)</f>
        <v>38635.423254600115</v>
      </c>
      <c r="H4729" s="5" t="s">
        <v>4770</v>
      </c>
      <c r="I4729" s="7">
        <v>1472700</v>
      </c>
      <c r="J4729" s="8">
        <v>3.7699999999999997E-2</v>
      </c>
    </row>
    <row r="4730" spans="1:10" x14ac:dyDescent="0.25">
      <c r="A4730" s="5" t="s">
        <v>4764</v>
      </c>
      <c r="B4730" s="5" t="s">
        <v>6597</v>
      </c>
      <c r="C4730" s="6" t="str">
        <f>_xll.QS.CONTEXT.CREATE("market.4728",A4730,"USD","SOFR")</f>
        <v>QSObject:PricingContext:w1~market.4728:12113</v>
      </c>
      <c r="D4730" s="6" t="str">
        <f>_xll.QS.CONTEXT.ADD.CURVE(C4730,"SOFR",$K$2:$K$7,$L$2:$L$7,,,"Actual360","LogLinear",TRUE)</f>
        <v>QSObject:ContextInput:w1~input.qs_context_add_curve.2359132437744.4729.3.0:35897</v>
      </c>
      <c r="E4730" s="6" t="str">
        <f>_xll.QS.INSTRUMENT.SWAP("swap.4728",H4730,B4730,"USD","SOFR",I4730,J4730,0,"Actual360","Simple","Annual","Annual","Annual")</f>
        <v>QSObject:Swap:w1~swap.4728:12112</v>
      </c>
      <c r="F4730" s="6" t="str">
        <f>_xll.QS.TRADE.CREATE("trade.4728",E4730,A4730,"Receive")</f>
        <v>QSObject:SwapTrade:w1~trade.4728:27127</v>
      </c>
      <c r="G4730" s="3">
        <f>_xll.QS.EVALUATE(C4730,F4730)</f>
        <v>39381.305705322673</v>
      </c>
      <c r="H4730" s="5" t="s">
        <v>4771</v>
      </c>
      <c r="I4730" s="7">
        <v>1472800</v>
      </c>
      <c r="J4730" s="8">
        <v>3.78E-2</v>
      </c>
    </row>
    <row r="4731" spans="1:10" x14ac:dyDescent="0.25">
      <c r="A4731" s="5" t="s">
        <v>4765</v>
      </c>
      <c r="B4731" s="5" t="s">
        <v>6598</v>
      </c>
      <c r="C4731" s="6" t="str">
        <f>_xll.QS.CONTEXT.CREATE("market.4729",A4731,"USD","SOFR")</f>
        <v>QSObject:PricingContext:w1~market.4729:12111</v>
      </c>
      <c r="D4731" s="6" t="str">
        <f>_xll.QS.CONTEXT.ADD.CURVE(C4731,"SOFR",$K$2:$K$7,$L$2:$L$7,,,"Actual360","LogLinear",TRUE)</f>
        <v>QSObject:ContextInput:w1~input.qs_context_add_curve.2359132437744.4730.3.0:35896</v>
      </c>
      <c r="E4731" s="6" t="str">
        <f>_xll.QS.INSTRUMENT.SWAP("swap.4729",H4731,B4731,"USD","SOFR",I4731,J4731,0,"Actual360","Simple","Annual","Annual","Annual")</f>
        <v>QSObject:Swap:w1~swap.4729:12110</v>
      </c>
      <c r="F4731" s="6" t="str">
        <f>_xll.QS.TRADE.CREATE("trade.4729",E4731,A4731,"Receive")</f>
        <v>QSObject:SwapTrade:w1~trade.4729:27126</v>
      </c>
      <c r="G4731" s="3">
        <f>_xll.QS.EVALUATE(C4731,F4731)</f>
        <v>40007.240408115977</v>
      </c>
      <c r="H4731" s="5" t="s">
        <v>4772</v>
      </c>
      <c r="I4731" s="7">
        <v>1472900</v>
      </c>
      <c r="J4731" s="8">
        <v>3.7900000000000003E-2</v>
      </c>
    </row>
    <row r="4732" spans="1:10" x14ac:dyDescent="0.25">
      <c r="A4732" s="5" t="s">
        <v>4766</v>
      </c>
      <c r="B4732" s="5" t="s">
        <v>6599</v>
      </c>
      <c r="C4732" s="6" t="str">
        <f>_xll.QS.CONTEXT.CREATE("market.4730",A4732,"USD","SOFR")</f>
        <v>QSObject:PricingContext:w1~market.4730:12109</v>
      </c>
      <c r="D4732" s="6" t="str">
        <f>_xll.QS.CONTEXT.ADD.CURVE(C4732,"SOFR",$K$2:$K$7,$L$2:$L$7,,,"Actual360","LogLinear",TRUE)</f>
        <v>QSObject:ContextInput:w1~input.qs_context_add_curve.2359132437744.4731.3.0:35895</v>
      </c>
      <c r="E4732" s="6" t="str">
        <f>_xll.QS.INSTRUMENT.SWAP("swap.4730",H4732,B4732,"USD","SOFR",I4732,J4732,0,"Actual360","Simple","Annual","Annual","Annual")</f>
        <v>QSObject:Swap:w1~swap.4730:12108</v>
      </c>
      <c r="F4732" s="6" t="str">
        <f>_xll.QS.TRADE.CREATE("trade.4730",E4732,A4732,"Receive")</f>
        <v>QSObject:SwapTrade:w1~trade.4730:27125</v>
      </c>
      <c r="G4732" s="3">
        <f>_xll.QS.EVALUATE(C4732,F4732)</f>
        <v>40578.996807763651</v>
      </c>
      <c r="H4732" s="5" t="s">
        <v>4773</v>
      </c>
      <c r="I4732" s="7">
        <v>1473000</v>
      </c>
      <c r="J4732" s="8">
        <v>3.8000000000000013E-2</v>
      </c>
    </row>
    <row r="4733" spans="1:10" x14ac:dyDescent="0.25">
      <c r="A4733" s="5" t="s">
        <v>4767</v>
      </c>
      <c r="B4733" s="5" t="s">
        <v>6600</v>
      </c>
      <c r="C4733" s="6" t="str">
        <f>_xll.QS.CONTEXT.CREATE("market.4731",A4733,"USD","SOFR")</f>
        <v>QSObject:PricingContext:w1~market.4731:12107</v>
      </c>
      <c r="D4733" s="6" t="str">
        <f>_xll.QS.CONTEXT.ADD.CURVE(C4733,"SOFR",$K$2:$K$7,$L$2:$L$7,,,"Actual360","LogLinear",TRUE)</f>
        <v>QSObject:ContextInput:w1~input.qs_context_add_curve.2359132437744.4732.3.0:35894</v>
      </c>
      <c r="E4733" s="6" t="str">
        <f>_xll.QS.INSTRUMENT.SWAP("swap.4731",H4733,B4733,"USD","SOFR",I4733,J4733,0,"Actual360","Simple","Annual","Annual","Annual")</f>
        <v>QSObject:Swap:w1~swap.4731:12106</v>
      </c>
      <c r="F4733" s="6" t="str">
        <f>_xll.QS.TRADE.CREATE("trade.4731",E4733,A4733,"Receive")</f>
        <v>QSObject:SwapTrade:w1~trade.4731:27124</v>
      </c>
      <c r="G4733" s="3">
        <f>_xll.QS.EVALUATE(C4733,F4733)</f>
        <v>41157.037486724723</v>
      </c>
      <c r="H4733" s="5" t="s">
        <v>4774</v>
      </c>
      <c r="I4733" s="7">
        <v>1473100</v>
      </c>
      <c r="J4733" s="8">
        <v>3.8100000000000002E-2</v>
      </c>
    </row>
    <row r="4734" spans="1:10" x14ac:dyDescent="0.25">
      <c r="A4734" s="5" t="s">
        <v>4768</v>
      </c>
      <c r="B4734" s="5" t="s">
        <v>6601</v>
      </c>
      <c r="C4734" s="6" t="str">
        <f>_xll.QS.CONTEXT.CREATE("market.4732",A4734,"USD","SOFR")</f>
        <v>QSObject:PricingContext:w1~market.4732:12105</v>
      </c>
      <c r="D4734" s="6" t="str">
        <f>_xll.QS.CONTEXT.ADD.CURVE(C4734,"SOFR",$K$2:$K$7,$L$2:$L$7,,,"Actual360","LogLinear",TRUE)</f>
        <v>QSObject:ContextInput:w1~input.qs_context_add_curve.2359132437744.4733.3.0:35893</v>
      </c>
      <c r="E4734" s="6" t="str">
        <f>_xll.QS.INSTRUMENT.SWAP("swap.4732",H4734,B4734,"USD","SOFR",I4734,J4734,0,"Actual360","Simple","Annual","Annual","Annual")</f>
        <v>QSObject:Swap:w1~swap.4732:12104</v>
      </c>
      <c r="F4734" s="6" t="str">
        <f>_xll.QS.TRADE.CREATE("trade.4732",E4734,A4734,"Receive")</f>
        <v>QSObject:SwapTrade:w1~trade.4732:27123</v>
      </c>
      <c r="G4734" s="3">
        <f>_xll.QS.EVALUATE(C4734,F4734)</f>
        <v>41902.560352055225</v>
      </c>
      <c r="H4734" s="5" t="s">
        <v>4775</v>
      </c>
      <c r="I4734" s="7">
        <v>1473200</v>
      </c>
      <c r="J4734" s="8">
        <v>3.8199999999999998E-2</v>
      </c>
    </row>
    <row r="4735" spans="1:10" x14ac:dyDescent="0.25">
      <c r="A4735" s="5" t="s">
        <v>4769</v>
      </c>
      <c r="B4735" s="5" t="s">
        <v>6602</v>
      </c>
      <c r="C4735" s="6" t="str">
        <f>_xll.QS.CONTEXT.CREATE("market.4733",A4735,"USD","SOFR")</f>
        <v>QSObject:PricingContext:w1~market.4733:12103</v>
      </c>
      <c r="D4735" s="6" t="str">
        <f>_xll.QS.CONTEXT.ADD.CURVE(C4735,"SOFR",$K$2:$K$7,$L$2:$L$7,,,"Actual360","LogLinear",TRUE)</f>
        <v>QSObject:ContextInput:w1~input.qs_context_add_curve.2359132437744.4734.3.0:35892</v>
      </c>
      <c r="E4735" s="6" t="str">
        <f>_xll.QS.INSTRUMENT.SWAP("swap.4733",H4735,B4735,"USD","SOFR",I4735,J4735,0,"Actual360","Simple","Annual","Annual","Annual")</f>
        <v>QSObject:Swap:w1~swap.4733:12102</v>
      </c>
      <c r="F4735" s="6" t="str">
        <f>_xll.QS.TRADE.CREATE("trade.4733",E4735,A4735,"Receive")</f>
        <v>QSObject:SwapTrade:w1~trade.4733:27122</v>
      </c>
      <c r="G4735" s="3">
        <f>_xll.QS.EVALUATE(C4735,F4735)</f>
        <v>42619.337532388054</v>
      </c>
      <c r="H4735" s="5" t="s">
        <v>4776</v>
      </c>
      <c r="I4735" s="7">
        <v>1473300</v>
      </c>
      <c r="J4735" s="8">
        <v>3.8300000000000001E-2</v>
      </c>
    </row>
    <row r="4736" spans="1:10" x14ac:dyDescent="0.25">
      <c r="A4736" s="5" t="s">
        <v>4770</v>
      </c>
      <c r="B4736" s="5" t="s">
        <v>6603</v>
      </c>
      <c r="C4736" s="6" t="str">
        <f>_xll.QS.CONTEXT.CREATE("market.4734",A4736,"USD","SOFR")</f>
        <v>QSObject:PricingContext:w1~market.4734:12101</v>
      </c>
      <c r="D4736" s="6" t="str">
        <f>_xll.QS.CONTEXT.ADD.CURVE(C4736,"SOFR",$K$2:$K$7,$L$2:$L$7,,,"Actual360","LogLinear",TRUE)</f>
        <v>QSObject:ContextInput:w1~input.qs_context_add_curve.2359132437744.4735.3.0:35891</v>
      </c>
      <c r="E4736" s="6" t="str">
        <f>_xll.QS.INSTRUMENT.SWAP("swap.4734",H4736,B4736,"USD","SOFR",I4736,J4736,0,"Actual360","Simple","Annual","Annual","Annual")</f>
        <v>QSObject:Swap:w1~swap.4734:12100</v>
      </c>
      <c r="F4736" s="6" t="str">
        <f>_xll.QS.TRADE.CREATE("trade.4734",E4736,A4736,"Receive")</f>
        <v>QSObject:SwapTrade:w1~trade.4734:27121</v>
      </c>
      <c r="G4736" s="3">
        <f>_xll.QS.EVALUATE(C4736,F4736)</f>
        <v>43347.688249856226</v>
      </c>
      <c r="H4736" s="5" t="s">
        <v>4777</v>
      </c>
      <c r="I4736" s="7">
        <v>1473400</v>
      </c>
      <c r="J4736" s="8">
        <v>3.8399999999999997E-2</v>
      </c>
    </row>
    <row r="4737" spans="1:10" x14ac:dyDescent="0.25">
      <c r="A4737" s="5" t="s">
        <v>4771</v>
      </c>
      <c r="B4737" s="5" t="s">
        <v>6604</v>
      </c>
      <c r="C4737" s="6" t="str">
        <f>_xll.QS.CONTEXT.CREATE("market.4735",A4737,"USD","SOFR")</f>
        <v>QSObject:PricingContext:w1~market.4735:12099</v>
      </c>
      <c r="D4737" s="6" t="str">
        <f>_xll.QS.CONTEXT.ADD.CURVE(C4737,"SOFR",$K$2:$K$7,$L$2:$L$7,,,"Actual360","LogLinear",TRUE)</f>
        <v>QSObject:ContextInput:w1~input.qs_context_add_curve.2359132437744.4736.3.0:35890</v>
      </c>
      <c r="E4737" s="6" t="str">
        <f>_xll.QS.INSTRUMENT.SWAP("swap.4735",H4737,B4737,"USD","SOFR",I4737,J4737,0,"Actual360","Simple","Annual","Annual","Annual")</f>
        <v>QSObject:Swap:w1~swap.4735:12098</v>
      </c>
      <c r="F4737" s="6" t="str">
        <f>_xll.QS.TRADE.CREATE("trade.4735",E4737,A4737,"Receive")</f>
        <v>QSObject:SwapTrade:w1~trade.4735:27120</v>
      </c>
      <c r="G4737" s="3">
        <f>_xll.QS.EVALUATE(C4737,F4737)</f>
        <v>44156.791968226869</v>
      </c>
      <c r="H4737" s="5" t="s">
        <v>4778</v>
      </c>
      <c r="I4737" s="7">
        <v>1473500</v>
      </c>
      <c r="J4737" s="8">
        <v>3.8500000000000013E-2</v>
      </c>
    </row>
    <row r="4738" spans="1:10" x14ac:dyDescent="0.25">
      <c r="A4738" s="5" t="s">
        <v>4772</v>
      </c>
      <c r="B4738" s="5" t="s">
        <v>6605</v>
      </c>
      <c r="C4738" s="6" t="str">
        <f>_xll.QS.CONTEXT.CREATE("market.4736",A4738,"USD","SOFR")</f>
        <v>QSObject:PricingContext:w1~market.4736:12097</v>
      </c>
      <c r="D4738" s="6" t="str">
        <f>_xll.QS.CONTEXT.ADD.CURVE(C4738,"SOFR",$K$2:$K$7,$L$2:$L$7,,,"Actual360","LogLinear",TRUE)</f>
        <v>QSObject:ContextInput:w1~input.qs_context_add_curve.2359132437744.4737.3.0:35889</v>
      </c>
      <c r="E4738" s="6" t="str">
        <f>_xll.QS.INSTRUMENT.SWAP("swap.4736",H4738,B4738,"USD","SOFR",I4738,J4738,0,"Actual360","Simple","Annual","Annual","Annual")</f>
        <v>QSObject:Swap:w1~swap.4736:12096</v>
      </c>
      <c r="F4738" s="6" t="str">
        <f>_xll.QS.TRADE.CREATE("trade.4736",E4738,A4738,"Receive")</f>
        <v>QSObject:SwapTrade:w1~trade.4736:27119</v>
      </c>
      <c r="G4738" s="3">
        <f>_xll.QS.EVALUATE(C4738,F4738)</f>
        <v>44839.834576143388</v>
      </c>
      <c r="H4738" s="5" t="s">
        <v>4779</v>
      </c>
      <c r="I4738" s="7">
        <v>1473600</v>
      </c>
      <c r="J4738" s="8">
        <v>3.8600000000000002E-2</v>
      </c>
    </row>
    <row r="4739" spans="1:10" x14ac:dyDescent="0.25">
      <c r="A4739" s="5" t="s">
        <v>4773</v>
      </c>
      <c r="B4739" s="5" t="s">
        <v>6606</v>
      </c>
      <c r="C4739" s="6" t="str">
        <f>_xll.QS.CONTEXT.CREATE("market.4737",A4739,"USD","SOFR")</f>
        <v>QSObject:PricingContext:w1~market.4737:12095</v>
      </c>
      <c r="D4739" s="6" t="str">
        <f>_xll.QS.CONTEXT.ADD.CURVE(C4739,"SOFR",$K$2:$K$7,$L$2:$L$7,,,"Actual360","LogLinear",TRUE)</f>
        <v>QSObject:ContextInput:w1~input.qs_context_add_curve.2359132437744.4738.3.0:35888</v>
      </c>
      <c r="E4739" s="6" t="str">
        <f>_xll.QS.INSTRUMENT.SWAP("swap.4737",H4739,B4739,"USD","SOFR",I4739,J4739,0,"Actual360","Simple","Annual","Annual","Annual")</f>
        <v>QSObject:Swap:w1~swap.4737:12094</v>
      </c>
      <c r="F4739" s="6" t="str">
        <f>_xll.QS.TRADE.CREATE("trade.4737",E4739,A4739,"Receive")</f>
        <v>QSObject:SwapTrade:w1~trade.4737:27118</v>
      </c>
      <c r="G4739" s="3">
        <f>_xll.QS.EVALUATE(C4739,F4739)</f>
        <v>45406.550114226753</v>
      </c>
      <c r="H4739" s="5" t="s">
        <v>4780</v>
      </c>
      <c r="I4739" s="7">
        <v>1473700</v>
      </c>
      <c r="J4739" s="8">
        <v>3.8700000000000012E-2</v>
      </c>
    </row>
    <row r="4740" spans="1:10" x14ac:dyDescent="0.25">
      <c r="A4740" s="5" t="s">
        <v>4774</v>
      </c>
      <c r="B4740" s="5" t="s">
        <v>6607</v>
      </c>
      <c r="C4740" s="6" t="str">
        <f>_xll.QS.CONTEXT.CREATE("market.4738",A4740,"USD","SOFR")</f>
        <v>QSObject:PricingContext:w1~market.4738:12093</v>
      </c>
      <c r="D4740" s="6" t="str">
        <f>_xll.QS.CONTEXT.ADD.CURVE(C4740,"SOFR",$K$2:$K$7,$L$2:$L$7,,,"Actual360","LogLinear",TRUE)</f>
        <v>QSObject:ContextInput:w1~input.qs_context_add_curve.2359132437744.4739.3.0:35887</v>
      </c>
      <c r="E4740" s="6" t="str">
        <f>_xll.QS.INSTRUMENT.SWAP("swap.4738",H4740,B4740,"USD","SOFR",I4740,J4740,0,"Actual360","Simple","Annual","Annual","Annual")</f>
        <v>QSObject:Swap:w1~swap.4738:12092</v>
      </c>
      <c r="F4740" s="6" t="str">
        <f>_xll.QS.TRADE.CREATE("trade.4738",E4740,A4740,"Receive")</f>
        <v>QSObject:SwapTrade:w1~trade.4738:27117</v>
      </c>
      <c r="G4740" s="3">
        <f>_xll.QS.EVALUATE(C4740,F4740)</f>
        <v>45992.318731732237</v>
      </c>
      <c r="H4740" s="5" t="s">
        <v>4781</v>
      </c>
      <c r="I4740" s="7">
        <v>1473800</v>
      </c>
      <c r="J4740" s="8">
        <v>3.8800000000000001E-2</v>
      </c>
    </row>
    <row r="4741" spans="1:10" x14ac:dyDescent="0.25">
      <c r="A4741" s="5" t="s">
        <v>4775</v>
      </c>
      <c r="B4741" s="5" t="s">
        <v>6608</v>
      </c>
      <c r="C4741" s="6" t="str">
        <f>_xll.QS.CONTEXT.CREATE("market.4739",A4741,"USD","SOFR")</f>
        <v>QSObject:PricingContext:w1~market.4739:12091</v>
      </c>
      <c r="D4741" s="6" t="str">
        <f>_xll.QS.CONTEXT.ADD.CURVE(C4741,"SOFR",$K$2:$K$7,$L$2:$L$7,,,"Actual360","LogLinear",TRUE)</f>
        <v>QSObject:ContextInput:w1~input.qs_context_add_curve.2359132437744.4740.3.0:35886</v>
      </c>
      <c r="E4741" s="6" t="str">
        <f>_xll.QS.INSTRUMENT.SWAP("swap.4739",H4741,B4741,"USD","SOFR",I4741,J4741,0,"Actual360","Simple","Annual","Annual","Annual")</f>
        <v>QSObject:Swap:w1~swap.4739:12090</v>
      </c>
      <c r="F4741" s="6" t="str">
        <f>_xll.QS.TRADE.CREATE("trade.4739",E4741,A4741,"Receive")</f>
        <v>QSObject:SwapTrade:w1~trade.4739:27116</v>
      </c>
      <c r="G4741" s="3">
        <f>_xll.QS.EVALUATE(C4741,F4741)</f>
        <v>46741.172106857179</v>
      </c>
      <c r="H4741" s="5" t="s">
        <v>4782</v>
      </c>
      <c r="I4741" s="7">
        <v>1473900</v>
      </c>
      <c r="J4741" s="8">
        <v>3.8899999999999997E-2</v>
      </c>
    </row>
    <row r="4742" spans="1:10" x14ac:dyDescent="0.25">
      <c r="A4742" s="5" t="s">
        <v>4776</v>
      </c>
      <c r="B4742" s="5" t="s">
        <v>6609</v>
      </c>
      <c r="C4742" s="6" t="str">
        <f>_xll.QS.CONTEXT.CREATE("market.4740",A4742,"USD","SOFR")</f>
        <v>QSObject:PricingContext:w1~market.4740:12089</v>
      </c>
      <c r="D4742" s="6" t="str">
        <f>_xll.QS.CONTEXT.ADD.CURVE(C4742,"SOFR",$K$2:$K$7,$L$2:$L$7,,,"Actual360","LogLinear",TRUE)</f>
        <v>QSObject:ContextInput:w1~input.qs_context_add_curve.2359132437744.4741.3.0:35885</v>
      </c>
      <c r="E4742" s="6" t="str">
        <f>_xll.QS.INSTRUMENT.SWAP("swap.4740",H4742,B4742,"USD","SOFR",I4742,J4742,0,"Actual360","Simple","Annual","Annual","Annual")</f>
        <v>QSObject:Swap:w1~swap.4740:12088</v>
      </c>
      <c r="F4742" s="6" t="str">
        <f>_xll.QS.TRADE.CREATE("trade.4740",E4742,A4742,"Receive")</f>
        <v>QSObject:SwapTrade:w1~trade.4740:27115</v>
      </c>
      <c r="G4742" s="3">
        <f>_xll.QS.EVALUATE(C4742,F4742)</f>
        <v>47565.0282188985</v>
      </c>
      <c r="H4742" s="5" t="s">
        <v>4783</v>
      </c>
      <c r="I4742" s="7">
        <v>1474000</v>
      </c>
      <c r="J4742" s="8">
        <v>3.9000000000000007E-2</v>
      </c>
    </row>
    <row r="4743" spans="1:10" x14ac:dyDescent="0.25">
      <c r="A4743" s="5" t="s">
        <v>4777</v>
      </c>
      <c r="B4743" s="5" t="s">
        <v>6610</v>
      </c>
      <c r="C4743" s="6" t="str">
        <f>_xll.QS.CONTEXT.CREATE("market.4741",A4743,"USD","SOFR")</f>
        <v>QSObject:PricingContext:w1~market.4741:12087</v>
      </c>
      <c r="D4743" s="6" t="str">
        <f>_xll.QS.CONTEXT.ADD.CURVE(C4743,"SOFR",$K$2:$K$7,$L$2:$L$7,,,"Actual360","LogLinear",TRUE)</f>
        <v>QSObject:ContextInput:w1~input.qs_context_add_curve.2359132437744.4742.3.0:35884</v>
      </c>
      <c r="E4743" s="6" t="str">
        <f>_xll.QS.INSTRUMENT.SWAP("swap.4741",H4743,B4743,"USD","SOFR",I4743,J4743,0,"Actual360","Simple","Annual","Annual","Annual")</f>
        <v>QSObject:Swap:w1~swap.4741:12086</v>
      </c>
      <c r="F4743" s="6" t="str">
        <f>_xll.QS.TRADE.CREATE("trade.4741",E4743,A4743,"Receive")</f>
        <v>QSObject:SwapTrade:w1~trade.4741:27114</v>
      </c>
      <c r="G4743" s="3">
        <f>_xll.QS.EVALUATE(C4743,F4743)</f>
        <v>48126.17735290491</v>
      </c>
      <c r="H4743" s="5" t="s">
        <v>4784</v>
      </c>
      <c r="I4743" s="7">
        <v>1474100</v>
      </c>
      <c r="J4743" s="8">
        <v>3.9100000000000003E-2</v>
      </c>
    </row>
    <row r="4744" spans="1:10" x14ac:dyDescent="0.25">
      <c r="A4744" s="5" t="s">
        <v>4778</v>
      </c>
      <c r="B4744" s="5" t="s">
        <v>6611</v>
      </c>
      <c r="C4744" s="6" t="str">
        <f>_xll.QS.CONTEXT.CREATE("market.4742",A4744,"USD","SOFR")</f>
        <v>QSObject:PricingContext:w1~market.4742:12085</v>
      </c>
      <c r="D4744" s="6" t="str">
        <f>_xll.QS.CONTEXT.ADD.CURVE(C4744,"SOFR",$K$2:$K$7,$L$2:$L$7,,,"Actual360","LogLinear",TRUE)</f>
        <v>QSObject:ContextInput:w1~input.qs_context_add_curve.2359132437744.4743.3.0:35883</v>
      </c>
      <c r="E4744" s="6" t="str">
        <f>_xll.QS.INSTRUMENT.SWAP("swap.4742",H4744,B4744,"USD","SOFR",I4744,J4744,0,"Actual360","Simple","Annual","Annual","Annual")</f>
        <v>QSObject:Swap:w1~swap.4742:12084</v>
      </c>
      <c r="F4744" s="6" t="str">
        <f>_xll.QS.TRADE.CREATE("trade.4742",E4744,A4744,"Receive")</f>
        <v>QSObject:SwapTrade:w1~trade.4742:27113</v>
      </c>
      <c r="G4744" s="3">
        <f>_xll.QS.EVALUATE(C4744,F4744)</f>
        <v>48936.370614517655</v>
      </c>
      <c r="H4744" s="5" t="s">
        <v>4785</v>
      </c>
      <c r="I4744" s="7">
        <v>1474200</v>
      </c>
      <c r="J4744" s="8">
        <v>3.9200000000000013E-2</v>
      </c>
    </row>
    <row r="4745" spans="1:10" x14ac:dyDescent="0.25">
      <c r="A4745" s="5" t="s">
        <v>4779</v>
      </c>
      <c r="B4745" s="5" t="s">
        <v>6612</v>
      </c>
      <c r="C4745" s="6" t="str">
        <f>_xll.QS.CONTEXT.CREATE("market.4743",A4745,"USD","SOFR")</f>
        <v>QSObject:PricingContext:w1~market.4743:12083</v>
      </c>
      <c r="D4745" s="6" t="str">
        <f>_xll.QS.CONTEXT.ADD.CURVE(C4745,"SOFR",$K$2:$K$7,$L$2:$L$7,,,"Actual360","LogLinear",TRUE)</f>
        <v>QSObject:ContextInput:w1~input.qs_context_add_curve.2359132437744.4744.3.0:35882</v>
      </c>
      <c r="E4745" s="6" t="str">
        <f>_xll.QS.INSTRUMENT.SWAP("swap.4743",H4745,B4745,"USD","SOFR",I4745,J4745,0,"Actual360","Simple","Annual","Annual","Annual")</f>
        <v>QSObject:Swap:w1~swap.4743:12082</v>
      </c>
      <c r="F4745" s="6" t="str">
        <f>_xll.QS.TRADE.CREATE("trade.4743",E4745,A4745,"Receive")</f>
        <v>QSObject:SwapTrade:w1~trade.4743:27112</v>
      </c>
      <c r="G4745" s="3">
        <f>_xll.QS.EVALUATE(C4745,F4745)</f>
        <v>49618.645762559128</v>
      </c>
      <c r="H4745" s="5" t="s">
        <v>4786</v>
      </c>
      <c r="I4745" s="7">
        <v>1474300</v>
      </c>
      <c r="J4745" s="8">
        <v>3.9300000000000002E-2</v>
      </c>
    </row>
    <row r="4746" spans="1:10" x14ac:dyDescent="0.25">
      <c r="A4746" s="5" t="s">
        <v>4780</v>
      </c>
      <c r="B4746" s="5" t="s">
        <v>6613</v>
      </c>
      <c r="C4746" s="6" t="str">
        <f>_xll.QS.CONTEXT.CREATE("market.4744",A4746,"USD","SOFR")</f>
        <v>QSObject:PricingContext:w1~market.4744:12081</v>
      </c>
      <c r="D4746" s="6" t="str">
        <f>_xll.QS.CONTEXT.ADD.CURVE(C4746,"SOFR",$K$2:$K$7,$L$2:$L$7,,,"Actual360","LogLinear",TRUE)</f>
        <v>QSObject:ContextInput:w1~input.qs_context_add_curve.2359132437744.4745.3.0:35881</v>
      </c>
      <c r="E4746" s="6" t="str">
        <f>_xll.QS.INSTRUMENT.SWAP("swap.4744",H4746,B4746,"USD","SOFR",I4746,J4746,0,"Actual360","Simple","Annual","Annual","Annual")</f>
        <v>QSObject:Swap:w1~swap.4744:12080</v>
      </c>
      <c r="F4746" s="6" t="str">
        <f>_xll.QS.TRADE.CREATE("trade.4744",E4746,A4746,"Receive")</f>
        <v>QSObject:SwapTrade:w1~trade.4744:27111</v>
      </c>
      <c r="G4746" s="3">
        <f>_xll.QS.EVALUATE(C4746,F4746)</f>
        <v>50180.336505811749</v>
      </c>
      <c r="H4746" s="5" t="s">
        <v>4787</v>
      </c>
      <c r="I4746" s="7">
        <v>1474400</v>
      </c>
      <c r="J4746" s="8">
        <v>3.9399999999999998E-2</v>
      </c>
    </row>
    <row r="4747" spans="1:10" x14ac:dyDescent="0.25">
      <c r="A4747" s="5" t="s">
        <v>4781</v>
      </c>
      <c r="B4747" s="5" t="s">
        <v>6614</v>
      </c>
      <c r="C4747" s="6" t="str">
        <f>_xll.QS.CONTEXT.CREATE("market.4745",A4747,"USD","SOFR")</f>
        <v>QSObject:PricingContext:w1~market.4745:12079</v>
      </c>
      <c r="D4747" s="6" t="str">
        <f>_xll.QS.CONTEXT.ADD.CURVE(C4747,"SOFR",$K$2:$K$7,$L$2:$L$7,,,"Actual360","LogLinear",TRUE)</f>
        <v>QSObject:ContextInput:w1~input.qs_context_add_curve.2359132437744.4746.3.0:35880</v>
      </c>
      <c r="E4747" s="6" t="str">
        <f>_xll.QS.INSTRUMENT.SWAP("swap.4745",H4747,B4747,"USD","SOFR",I4747,J4747,0,"Actual360","Simple","Annual","Annual","Annual")</f>
        <v>QSObject:Swap:w1~swap.4745:12078</v>
      </c>
      <c r="F4747" s="6" t="str">
        <f>_xll.QS.TRADE.CREATE("trade.4745",E4747,A4747,"Receive")</f>
        <v>QSObject:SwapTrade:w1~trade.4745:27110</v>
      </c>
      <c r="G4747" s="3">
        <f>_xll.QS.EVALUATE(C4747,F4747)</f>
        <v>50774.231994928807</v>
      </c>
      <c r="H4747" s="5" t="s">
        <v>4788</v>
      </c>
      <c r="I4747" s="7">
        <v>1474500</v>
      </c>
      <c r="J4747" s="8">
        <v>3.9500000000000007E-2</v>
      </c>
    </row>
    <row r="4748" spans="1:10" x14ac:dyDescent="0.25">
      <c r="A4748" s="5" t="s">
        <v>4782</v>
      </c>
      <c r="B4748" s="5" t="s">
        <v>6615</v>
      </c>
      <c r="C4748" s="6" t="str">
        <f>_xll.QS.CONTEXT.CREATE("market.4746",A4748,"USD","SOFR")</f>
        <v>QSObject:PricingContext:w1~market.4746:12077</v>
      </c>
      <c r="D4748" s="6" t="str">
        <f>_xll.QS.CONTEXT.ADD.CURVE(C4748,"SOFR",$K$2:$K$7,$L$2:$L$7,,,"Actual360","LogLinear",TRUE)</f>
        <v>QSObject:ContextInput:w1~input.qs_context_add_curve.2359132437744.4747.3.0:35879</v>
      </c>
      <c r="E4748" s="6" t="str">
        <f>_xll.QS.INSTRUMENT.SWAP("swap.4746",H4748,B4748,"USD","SOFR",I4748,J4748,0,"Actual360","Simple","Annual","Annual","Annual")</f>
        <v>QSObject:Swap:w1~swap.4746:12076</v>
      </c>
      <c r="F4748" s="6" t="str">
        <f>_xll.QS.TRADE.CREATE("trade.4746",E4748,A4748,"Receive")</f>
        <v>QSObject:SwapTrade:w1~trade.4746:27109</v>
      </c>
      <c r="G4748" s="3">
        <f>_xll.QS.EVALUATE(C4748,F4748)</f>
        <v>51525.482527643057</v>
      </c>
      <c r="H4748" s="5" t="s">
        <v>4789</v>
      </c>
      <c r="I4748" s="7">
        <v>1474600</v>
      </c>
      <c r="J4748" s="8">
        <v>3.9600000000000003E-2</v>
      </c>
    </row>
    <row r="4749" spans="1:10" x14ac:dyDescent="0.25">
      <c r="A4749" s="5" t="s">
        <v>4783</v>
      </c>
      <c r="B4749" s="5" t="s">
        <v>6616</v>
      </c>
      <c r="C4749" s="6" t="str">
        <f>_xll.QS.CONTEXT.CREATE("market.4747",A4749,"USD","SOFR")</f>
        <v>QSObject:PricingContext:w1~market.4747:12075</v>
      </c>
      <c r="D4749" s="6" t="str">
        <f>_xll.QS.CONTEXT.ADD.CURVE(C4749,"SOFR",$K$2:$K$7,$L$2:$L$7,,,"Actual360","LogLinear",TRUE)</f>
        <v>QSObject:ContextInput:w1~input.qs_context_add_curve.2359132437744.4748.3.0:35878</v>
      </c>
      <c r="E4749" s="6" t="str">
        <f>_xll.QS.INSTRUMENT.SWAP("swap.4747",H4749,B4749,"USD","SOFR",I4749,J4749,0,"Actual360","Simple","Annual","Annual","Annual")</f>
        <v>QSObject:Swap:w1~swap.4747:12074</v>
      </c>
      <c r="F4749" s="6" t="str">
        <f>_xll.QS.TRADE.CREATE("trade.4747",E4749,A4749,"Receive")</f>
        <v>QSObject:SwapTrade:w1~trade.4747:27108</v>
      </c>
      <c r="G4749" s="3">
        <f>_xll.QS.EVALUATE(C4749,F4749)</f>
        <v>52347.523036640559</v>
      </c>
      <c r="H4749" s="5" t="s">
        <v>4790</v>
      </c>
      <c r="I4749" s="7">
        <v>1474700</v>
      </c>
      <c r="J4749" s="8">
        <v>3.9700000000000013E-2</v>
      </c>
    </row>
    <row r="4750" spans="1:10" x14ac:dyDescent="0.25">
      <c r="A4750" s="5" t="s">
        <v>4784</v>
      </c>
      <c r="B4750" s="5" t="s">
        <v>6617</v>
      </c>
      <c r="C4750" s="6" t="str">
        <f>_xll.QS.CONTEXT.CREATE("market.4748",A4750,"USD","SOFR")</f>
        <v>QSObject:PricingContext:w1~market.4748:12073</v>
      </c>
      <c r="D4750" s="6" t="str">
        <f>_xll.QS.CONTEXT.ADD.CURVE(C4750,"SOFR",$K$2:$K$7,$L$2:$L$7,,,"Actual360","LogLinear",TRUE)</f>
        <v>QSObject:ContextInput:w1~input.qs_context_add_curve.2359132437744.4749.3.0:35877</v>
      </c>
      <c r="E4750" s="6" t="str">
        <f>_xll.QS.INSTRUMENT.SWAP("swap.4748",H4750,B4750,"USD","SOFR",I4750,J4750,0,"Actual360","Simple","Annual","Annual","Annual")</f>
        <v>QSObject:Swap:w1~swap.4748:12072</v>
      </c>
      <c r="F4750" s="6" t="str">
        <f>_xll.QS.TRADE.CREATE("trade.4748",E4750,A4750,"Receive")</f>
        <v>QSObject:SwapTrade:w1~trade.4748:27107</v>
      </c>
      <c r="G4750" s="3">
        <f>_xll.QS.EVALUATE(C4750,F4750)</f>
        <v>52972.34178443173</v>
      </c>
      <c r="H4750" s="5" t="s">
        <v>4791</v>
      </c>
      <c r="I4750" s="7">
        <v>1474800</v>
      </c>
      <c r="J4750" s="8">
        <v>3.9800000000000002E-2</v>
      </c>
    </row>
    <row r="4751" spans="1:10" x14ac:dyDescent="0.25">
      <c r="A4751" s="5" t="s">
        <v>4785</v>
      </c>
      <c r="B4751" s="5" t="s">
        <v>6618</v>
      </c>
      <c r="C4751" s="6" t="str">
        <f>_xll.QS.CONTEXT.CREATE("market.4749",A4751,"USD","SOFR")</f>
        <v>QSObject:PricingContext:w1~market.4749:12071</v>
      </c>
      <c r="D4751" s="6" t="str">
        <f>_xll.QS.CONTEXT.ADD.CURVE(C4751,"SOFR",$K$2:$K$7,$L$2:$L$7,,,"Actual360","LogLinear",TRUE)</f>
        <v>QSObject:ContextInput:w1~input.qs_context_add_curve.2359132437744.4750.3.0:35876</v>
      </c>
      <c r="E4751" s="6" t="str">
        <f>_xll.QS.INSTRUMENT.SWAP("swap.4749",H4751,B4751,"USD","SOFR",I4751,J4751,0,"Actual360","Simple","Annual","Annual","Annual")</f>
        <v>QSObject:Swap:w1~swap.4749:12070</v>
      </c>
      <c r="F4751" s="6" t="str">
        <f>_xll.QS.TRADE.CREATE("trade.4749",E4751,A4751,"Receive")</f>
        <v>QSObject:SwapTrade:w1~trade.4749:27106</v>
      </c>
      <c r="G4751" s="3">
        <f>_xll.QS.EVALUATE(C4751,F4751)</f>
        <v>53720.405081501842</v>
      </c>
      <c r="H4751" s="5" t="s">
        <v>4792</v>
      </c>
      <c r="I4751" s="7">
        <v>1474900</v>
      </c>
      <c r="J4751" s="8">
        <v>3.9899999999999998E-2</v>
      </c>
    </row>
    <row r="4752" spans="1:10" x14ac:dyDescent="0.25">
      <c r="A4752" s="5" t="s">
        <v>4786</v>
      </c>
      <c r="B4752" s="5" t="s">
        <v>6619</v>
      </c>
      <c r="C4752" s="6" t="str">
        <f>_xll.QS.CONTEXT.CREATE("market.4750",A4752,"USD","SOFR")</f>
        <v>QSObject:PricingContext:w1~market.4750:12069</v>
      </c>
      <c r="D4752" s="6" t="str">
        <f>_xll.QS.CONTEXT.ADD.CURVE(C4752,"SOFR",$K$2:$K$7,$L$2:$L$7,,,"Actual360","LogLinear",TRUE)</f>
        <v>QSObject:ContextInput:w1~input.qs_context_add_curve.2359132437744.4751.3.0:35875</v>
      </c>
      <c r="E4752" s="6" t="str">
        <f>_xll.QS.INSTRUMENT.SWAP("swap.4750",H4752,B4752,"USD","SOFR",I4752,J4752,0,"Actual360","Simple","Annual","Annual","Annual")</f>
        <v>QSObject:Swap:w1~swap.4750:12068</v>
      </c>
      <c r="F4752" s="6" t="str">
        <f>_xll.QS.TRADE.CREATE("trade.4750",E4752,A4752,"Receive")</f>
        <v>QSObject:SwapTrade:w1~trade.4750:27105</v>
      </c>
      <c r="G4752" s="3">
        <f>_xll.QS.EVALUATE(C4752,F4752)</f>
        <v>20339.032662367383</v>
      </c>
      <c r="H4752" s="5" t="s">
        <v>4793</v>
      </c>
      <c r="I4752" s="7">
        <v>1475000</v>
      </c>
      <c r="J4752" s="8">
        <v>3.5000000000000003E-2</v>
      </c>
    </row>
    <row r="4753" spans="1:10" x14ac:dyDescent="0.25">
      <c r="A4753" s="5" t="s">
        <v>4787</v>
      </c>
      <c r="B4753" s="5" t="s">
        <v>6620</v>
      </c>
      <c r="C4753" s="6" t="str">
        <f>_xll.QS.CONTEXT.CREATE("market.4751",A4753,"USD","SOFR")</f>
        <v>QSObject:PricingContext:w1~market.4751:12067</v>
      </c>
      <c r="D4753" s="6" t="str">
        <f>_xll.QS.CONTEXT.ADD.CURVE(C4753,"SOFR",$K$2:$K$7,$L$2:$L$7,,,"Actual360","LogLinear",TRUE)</f>
        <v>QSObject:ContextInput:w1~input.qs_context_add_curve.2359132437744.4752.3.0:35874</v>
      </c>
      <c r="E4753" s="6" t="str">
        <f>_xll.QS.INSTRUMENT.SWAP("swap.4751",H4753,B4753,"USD","SOFR",I4753,J4753,0,"Actual360","Simple","Annual","Annual","Annual")</f>
        <v>QSObject:Swap:w1~swap.4751:12066</v>
      </c>
      <c r="F4753" s="6" t="str">
        <f>_xll.QS.TRADE.CREATE("trade.4751",E4753,A4753,"Receive")</f>
        <v>QSObject:SwapTrade:w1~trade.4751:27104</v>
      </c>
      <c r="G4753" s="3">
        <f>_xll.QS.EVALUATE(C4753,F4753)</f>
        <v>20933.510152570831</v>
      </c>
      <c r="H4753" s="5" t="s">
        <v>4794</v>
      </c>
      <c r="I4753" s="7">
        <v>1475100</v>
      </c>
      <c r="J4753" s="8">
        <v>3.5100000000000013E-2</v>
      </c>
    </row>
    <row r="4754" spans="1:10" x14ac:dyDescent="0.25">
      <c r="A4754" s="5" t="s">
        <v>4788</v>
      </c>
      <c r="B4754" s="5" t="s">
        <v>6621</v>
      </c>
      <c r="C4754" s="6" t="str">
        <f>_xll.QS.CONTEXT.CREATE("market.4752",A4754,"USD","SOFR")</f>
        <v>QSObject:PricingContext:w1~market.4752:12065</v>
      </c>
      <c r="D4754" s="6" t="str">
        <f>_xll.QS.CONTEXT.ADD.CURVE(C4754,"SOFR",$K$2:$K$7,$L$2:$L$7,,,"Actual360","LogLinear",TRUE)</f>
        <v>QSObject:ContextInput:w1~input.qs_context_add_curve.2359132437744.4753.3.0:35873</v>
      </c>
      <c r="E4754" s="6" t="str">
        <f>_xll.QS.INSTRUMENT.SWAP("swap.4752",H4754,B4754,"USD","SOFR",I4754,J4754,0,"Actual360","Simple","Annual","Annual","Annual")</f>
        <v>QSObject:Swap:w1~swap.4752:12064</v>
      </c>
      <c r="F4754" s="6" t="str">
        <f>_xll.QS.TRADE.CREATE("trade.4752",E4754,A4754,"Receive")</f>
        <v>QSObject:SwapTrade:w1~trade.4752:27103</v>
      </c>
      <c r="G4754" s="3">
        <f>_xll.QS.EVALUATE(C4754,F4754)</f>
        <v>21480.451472965979</v>
      </c>
      <c r="H4754" s="5" t="s">
        <v>4795</v>
      </c>
      <c r="I4754" s="7">
        <v>1475200</v>
      </c>
      <c r="J4754" s="8">
        <v>3.5200000000000002E-2</v>
      </c>
    </row>
    <row r="4755" spans="1:10" x14ac:dyDescent="0.25">
      <c r="A4755" s="5" t="s">
        <v>4789</v>
      </c>
      <c r="B4755" s="5" t="s">
        <v>6622</v>
      </c>
      <c r="C4755" s="6" t="str">
        <f>_xll.QS.CONTEXT.CREATE("market.4753",A4755,"USD","SOFR")</f>
        <v>QSObject:PricingContext:w1~market.4753:12063</v>
      </c>
      <c r="D4755" s="6" t="str">
        <f>_xll.QS.CONTEXT.ADD.CURVE(C4755,"SOFR",$K$2:$K$7,$L$2:$L$7,,,"Actual360","LogLinear",TRUE)</f>
        <v>QSObject:ContextInput:w1~input.qs_context_add_curve.2359132437744.4754.3.0:35872</v>
      </c>
      <c r="E4755" s="6" t="str">
        <f>_xll.QS.INSTRUMENT.SWAP("swap.4753",H4755,B4755,"USD","SOFR",I4755,J4755,0,"Actual360","Simple","Annual","Annual","Annual")</f>
        <v>QSObject:Swap:w1~swap.4753:12062</v>
      </c>
      <c r="F4755" s="6" t="str">
        <f>_xll.QS.TRADE.CREATE("trade.4753",E4755,A4755,"Receive")</f>
        <v>QSObject:SwapTrade:w1~trade.4753:27102</v>
      </c>
      <c r="G4755" s="3">
        <f>_xll.QS.EVALUATE(C4755,F4755)</f>
        <v>22223.721934293324</v>
      </c>
      <c r="H4755" s="5" t="s">
        <v>4796</v>
      </c>
      <c r="I4755" s="7">
        <v>1475300</v>
      </c>
      <c r="J4755" s="8">
        <v>3.5299999999999998E-2</v>
      </c>
    </row>
    <row r="4756" spans="1:10" x14ac:dyDescent="0.25">
      <c r="A4756" s="5" t="s">
        <v>4790</v>
      </c>
      <c r="B4756" s="5" t="s">
        <v>6623</v>
      </c>
      <c r="C4756" s="6" t="str">
        <f>_xll.QS.CONTEXT.CREATE("market.4754",A4756,"USD","SOFR")</f>
        <v>QSObject:PricingContext:w1~market.4754:12061</v>
      </c>
      <c r="D4756" s="6" t="str">
        <f>_xll.QS.CONTEXT.ADD.CURVE(C4756,"SOFR",$K$2:$K$7,$L$2:$L$7,,,"Actual360","LogLinear",TRUE)</f>
        <v>QSObject:ContextInput:w1~input.qs_context_add_curve.2359132437744.4755.3.0:35871</v>
      </c>
      <c r="E4756" s="6" t="str">
        <f>_xll.QS.INSTRUMENT.SWAP("swap.4754",H4756,B4756,"USD","SOFR",I4756,J4756,0,"Actual360","Simple","Annual","Annual","Annual")</f>
        <v>QSObject:Swap:w1~swap.4754:12060</v>
      </c>
      <c r="F4756" s="6" t="str">
        <f>_xll.QS.TRADE.CREATE("trade.4754",E4756,A4756,"Receive")</f>
        <v>QSObject:SwapTrade:w1~trade.4754:27101</v>
      </c>
      <c r="G4756" s="3">
        <f>_xll.QS.EVALUATE(C4756,F4756)</f>
        <v>22950.112360343694</v>
      </c>
      <c r="H4756" s="5" t="s">
        <v>4797</v>
      </c>
      <c r="I4756" s="7">
        <v>1475400</v>
      </c>
      <c r="J4756" s="8">
        <v>3.5400000000000001E-2</v>
      </c>
    </row>
    <row r="4757" spans="1:10" x14ac:dyDescent="0.25">
      <c r="A4757" s="5" t="s">
        <v>4791</v>
      </c>
      <c r="B4757" s="5" t="s">
        <v>6624</v>
      </c>
      <c r="C4757" s="6" t="str">
        <f>_xll.QS.CONTEXT.CREATE("market.4755",A4757,"USD","SOFR")</f>
        <v>QSObject:PricingContext:w1~market.4755:12059</v>
      </c>
      <c r="D4757" s="6" t="str">
        <f>_xll.QS.CONTEXT.ADD.CURVE(C4757,"SOFR",$K$2:$K$7,$L$2:$L$7,,,"Actual360","LogLinear",TRUE)</f>
        <v>QSObject:ContextInput:w1~input.qs_context_add_curve.2359132437744.4756.3.0:35870</v>
      </c>
      <c r="E4757" s="6" t="str">
        <f>_xll.QS.INSTRUMENT.SWAP("swap.4755",H4757,B4757,"USD","SOFR",I4757,J4757,0,"Actual360","Simple","Annual","Annual","Annual")</f>
        <v>QSObject:Swap:w1~swap.4755:12058</v>
      </c>
      <c r="F4757" s="6" t="str">
        <f>_xll.QS.TRADE.CREATE("trade.4755",E4757,A4757,"Receive")</f>
        <v>QSObject:SwapTrade:w1~trade.4755:27100</v>
      </c>
      <c r="G4757" s="3">
        <f>_xll.QS.EVALUATE(C4757,F4757)</f>
        <v>23739.622948552467</v>
      </c>
      <c r="H4757" s="5" t="s">
        <v>4798</v>
      </c>
      <c r="I4757" s="7">
        <v>1475500</v>
      </c>
      <c r="J4757" s="8">
        <v>3.5499999999999997E-2</v>
      </c>
    </row>
    <row r="4758" spans="1:10" x14ac:dyDescent="0.25">
      <c r="A4758" s="5" t="s">
        <v>4792</v>
      </c>
      <c r="B4758" s="5" t="s">
        <v>6625</v>
      </c>
      <c r="C4758" s="6" t="str">
        <f>_xll.QS.CONTEXT.CREATE("market.4756",A4758,"USD","SOFR")</f>
        <v>QSObject:PricingContext:w1~market.4756:12057</v>
      </c>
      <c r="D4758" s="6" t="str">
        <f>_xll.QS.CONTEXT.ADD.CURVE(C4758,"SOFR",$K$2:$K$7,$L$2:$L$7,,,"Actual360","LogLinear",TRUE)</f>
        <v>QSObject:ContextInput:w1~input.qs_context_add_curve.2359132437744.4757.3.0:35869</v>
      </c>
      <c r="E4758" s="6" t="str">
        <f>_xll.QS.INSTRUMENT.SWAP("swap.4756",H4758,B4758,"USD","SOFR",I4758,J4758,0,"Actual360","Simple","Annual","Annual","Annual")</f>
        <v>QSObject:Swap:w1~swap.4756:12056</v>
      </c>
      <c r="F4758" s="6" t="str">
        <f>_xll.QS.TRADE.CREATE("trade.4756",E4758,A4758,"Receive")</f>
        <v>QSObject:SwapTrade:w1~trade.4756:27099</v>
      </c>
      <c r="G4758" s="3">
        <f>_xll.QS.EVALUATE(C4758,F4758)</f>
        <v>24485.63307672082</v>
      </c>
      <c r="H4758" s="5" t="s">
        <v>4799</v>
      </c>
      <c r="I4758" s="7">
        <v>1475600</v>
      </c>
      <c r="J4758" s="8">
        <v>3.5600000000000007E-2</v>
      </c>
    </row>
    <row r="4759" spans="1:10" x14ac:dyDescent="0.25">
      <c r="A4759" s="5" t="s">
        <v>4793</v>
      </c>
      <c r="B4759" s="5" t="s">
        <v>6626</v>
      </c>
      <c r="C4759" s="6" t="str">
        <f>_xll.QS.CONTEXT.CREATE("market.4757",A4759,"USD","SOFR")</f>
        <v>QSObject:PricingContext:w1~market.4757:12055</v>
      </c>
      <c r="D4759" s="6" t="str">
        <f>_xll.QS.CONTEXT.ADD.CURVE(C4759,"SOFR",$K$2:$K$7,$L$2:$L$7,,,"Actual360","LogLinear",TRUE)</f>
        <v>QSObject:ContextInput:w1~input.qs_context_add_curve.2359132437744.4758.3.0:35868</v>
      </c>
      <c r="E4759" s="6" t="str">
        <f>_xll.QS.INSTRUMENT.SWAP("swap.4757",H4759,B4759,"USD","SOFR",I4759,J4759,0,"Actual360","Simple","Annual","Annual","Annual")</f>
        <v>QSObject:Swap:w1~swap.4757:12054</v>
      </c>
      <c r="F4759" s="6" t="str">
        <f>_xll.QS.TRADE.CREATE("trade.4757",E4759,A4759,"Receive")</f>
        <v>QSObject:SwapTrade:w1~trade.4757:27098</v>
      </c>
      <c r="G4759" s="3">
        <f>_xll.QS.EVALUATE(C4759,F4759)</f>
        <v>25111.909381885533</v>
      </c>
      <c r="H4759" s="5" t="s">
        <v>4800</v>
      </c>
      <c r="I4759" s="7">
        <v>1475700</v>
      </c>
      <c r="J4759" s="8">
        <v>3.5700000000000003E-2</v>
      </c>
    </row>
    <row r="4760" spans="1:10" x14ac:dyDescent="0.25">
      <c r="A4760" s="5" t="s">
        <v>4794</v>
      </c>
      <c r="B4760" s="5" t="s">
        <v>6627</v>
      </c>
      <c r="C4760" s="6" t="str">
        <f>_xll.QS.CONTEXT.CREATE("market.4758",A4760,"USD","SOFR")</f>
        <v>QSObject:PricingContext:w1~market.4758:12053</v>
      </c>
      <c r="D4760" s="6" t="str">
        <f>_xll.QS.CONTEXT.ADD.CURVE(C4760,"SOFR",$K$2:$K$7,$L$2:$L$7,,,"Actual360","LogLinear",TRUE)</f>
        <v>QSObject:ContextInput:w1~input.qs_context_add_curve.2359132437744.4759.3.0:35867</v>
      </c>
      <c r="E4760" s="6" t="str">
        <f>_xll.QS.INSTRUMENT.SWAP("swap.4758",H4760,B4760,"USD","SOFR",I4760,J4760,0,"Actual360","Simple","Annual","Annual","Annual")</f>
        <v>QSObject:Swap:w1~swap.4758:12052</v>
      </c>
      <c r="F4760" s="6" t="str">
        <f>_xll.QS.TRADE.CREATE("trade.4758",E4760,A4760,"Receive")</f>
        <v>QSObject:SwapTrade:w1~trade.4758:27097</v>
      </c>
      <c r="G4760" s="3">
        <f>_xll.QS.EVALUATE(C4760,F4760)</f>
        <v>25684.472768208732</v>
      </c>
      <c r="H4760" s="5" t="s">
        <v>4801</v>
      </c>
      <c r="I4760" s="7">
        <v>1475800</v>
      </c>
      <c r="J4760" s="8">
        <v>3.5800000000000012E-2</v>
      </c>
    </row>
    <row r="4761" spans="1:10" x14ac:dyDescent="0.25">
      <c r="A4761" s="5" t="s">
        <v>4795</v>
      </c>
      <c r="B4761" s="5" t="s">
        <v>6628</v>
      </c>
      <c r="C4761" s="6" t="str">
        <f>_xll.QS.CONTEXT.CREATE("market.4759",A4761,"USD","SOFR")</f>
        <v>QSObject:PricingContext:w1~market.4759:12051</v>
      </c>
      <c r="D4761" s="6" t="str">
        <f>_xll.QS.CONTEXT.ADD.CURVE(C4761,"SOFR",$K$2:$K$7,$L$2:$L$7,,,"Actual360","LogLinear",TRUE)</f>
        <v>QSObject:ContextInput:w1~input.qs_context_add_curve.2359132437744.4760.3.0:35866</v>
      </c>
      <c r="E4761" s="6" t="str">
        <f>_xll.QS.INSTRUMENT.SWAP("swap.4759",H4761,B4761,"USD","SOFR",I4761,J4761,0,"Actual360","Simple","Annual","Annual","Annual")</f>
        <v>QSObject:Swap:w1~swap.4759:12050</v>
      </c>
      <c r="F4761" s="6" t="str">
        <f>_xll.QS.TRADE.CREATE("trade.4759",E4761,A4761,"Receive")</f>
        <v>QSObject:SwapTrade:w1~trade.4759:27096</v>
      </c>
      <c r="G4761" s="3">
        <f>_xll.QS.EVALUATE(C4761,F4761)</f>
        <v>26195.939783794376</v>
      </c>
      <c r="H4761" s="5" t="s">
        <v>4802</v>
      </c>
      <c r="I4761" s="7">
        <v>1475900</v>
      </c>
      <c r="J4761" s="8">
        <v>3.5900000000000001E-2</v>
      </c>
    </row>
    <row r="4762" spans="1:10" x14ac:dyDescent="0.25">
      <c r="A4762" s="5" t="s">
        <v>4796</v>
      </c>
      <c r="B4762" s="5" t="s">
        <v>6629</v>
      </c>
      <c r="C4762" s="6" t="str">
        <f>_xll.QS.CONTEXT.CREATE("market.4760",A4762,"USD","SOFR")</f>
        <v>QSObject:PricingContext:w1~market.4760:12049</v>
      </c>
      <c r="D4762" s="6" t="str">
        <f>_xll.QS.CONTEXT.ADD.CURVE(C4762,"SOFR",$K$2:$K$7,$L$2:$L$7,,,"Actual360","LogLinear",TRUE)</f>
        <v>QSObject:ContextInput:w1~input.qs_context_add_curve.2359132437744.4761.3.0:35865</v>
      </c>
      <c r="E4762" s="6" t="str">
        <f>_xll.QS.INSTRUMENT.SWAP("swap.4760",H4762,B4762,"USD","SOFR",I4762,J4762,0,"Actual360","Simple","Annual","Annual","Annual")</f>
        <v>QSObject:Swap:w1~swap.4760:12048</v>
      </c>
      <c r="F4762" s="6" t="str">
        <f>_xll.QS.TRADE.CREATE("trade.4760",E4762,A4762,"Receive")</f>
        <v>QSObject:SwapTrade:w1~trade.4760:27095</v>
      </c>
      <c r="G4762" s="3">
        <f>_xll.QS.EVALUATE(C4762,F4762)</f>
        <v>26941.251076835128</v>
      </c>
      <c r="H4762" s="5" t="s">
        <v>4803</v>
      </c>
      <c r="I4762" s="7">
        <v>1476000</v>
      </c>
      <c r="J4762" s="8">
        <v>3.5999999999999997E-2</v>
      </c>
    </row>
    <row r="4763" spans="1:10" x14ac:dyDescent="0.25">
      <c r="A4763" s="5" t="s">
        <v>4797</v>
      </c>
      <c r="B4763" s="5" t="s">
        <v>6630</v>
      </c>
      <c r="C4763" s="6" t="str">
        <f>_xll.QS.CONTEXT.CREATE("market.4761",A4763,"USD","SOFR")</f>
        <v>QSObject:PricingContext:w1~market.4761:12047</v>
      </c>
      <c r="D4763" s="6" t="str">
        <f>_xll.QS.CONTEXT.ADD.CURVE(C4763,"SOFR",$K$2:$K$7,$L$2:$L$7,,,"Actual360","LogLinear",TRUE)</f>
        <v>QSObject:ContextInput:w1~input.qs_context_add_curve.2359132437744.4762.3.0:35864</v>
      </c>
      <c r="E4763" s="6" t="str">
        <f>_xll.QS.INSTRUMENT.SWAP("swap.4761",H4763,B4763,"USD","SOFR",I4763,J4763,0,"Actual360","Simple","Annual","Annual","Annual")</f>
        <v>QSObject:Swap:w1~swap.4761:12046</v>
      </c>
      <c r="F4763" s="6" t="str">
        <f>_xll.QS.TRADE.CREATE("trade.4761",E4763,A4763,"Receive")</f>
        <v>QSObject:SwapTrade:w1~trade.4761:27094</v>
      </c>
      <c r="G4763" s="3">
        <f>_xll.QS.EVALUATE(C4763,F4763)</f>
        <v>27684.26346380308</v>
      </c>
      <c r="H4763" s="5" t="s">
        <v>4804</v>
      </c>
      <c r="I4763" s="7">
        <v>1476100</v>
      </c>
      <c r="J4763" s="8">
        <v>3.61E-2</v>
      </c>
    </row>
    <row r="4764" spans="1:10" x14ac:dyDescent="0.25">
      <c r="A4764" s="5" t="s">
        <v>4798</v>
      </c>
      <c r="B4764" s="5" t="s">
        <v>6631</v>
      </c>
      <c r="C4764" s="6" t="str">
        <f>_xll.QS.CONTEXT.CREATE("market.4762",A4764,"USD","SOFR")</f>
        <v>QSObject:PricingContext:w1~market.4762:12045</v>
      </c>
      <c r="D4764" s="6" t="str">
        <f>_xll.QS.CONTEXT.ADD.CURVE(C4764,"SOFR",$K$2:$K$7,$L$2:$L$7,,,"Actual360","LogLinear",TRUE)</f>
        <v>QSObject:ContextInput:w1~input.qs_context_add_curve.2359132437744.4763.3.0:35863</v>
      </c>
      <c r="E4764" s="6" t="str">
        <f>_xll.QS.INSTRUMENT.SWAP("swap.4762",H4764,B4764,"USD","SOFR",I4764,J4764,0,"Actual360","Simple","Annual","Annual","Annual")</f>
        <v>QSObject:Swap:w1~swap.4762:12044</v>
      </c>
      <c r="F4764" s="6" t="str">
        <f>_xll.QS.TRADE.CREATE("trade.4762",E4764,A4764,"Receive")</f>
        <v>QSObject:SwapTrade:w1~trade.4762:27093</v>
      </c>
      <c r="G4764" s="3">
        <f>_xll.QS.EVALUATE(C4764,F4764)</f>
        <v>28570.810484661532</v>
      </c>
      <c r="H4764" s="5" t="s">
        <v>4805</v>
      </c>
      <c r="I4764" s="7">
        <v>1476200</v>
      </c>
      <c r="J4764" s="8">
        <v>3.6200000000000003E-2</v>
      </c>
    </row>
    <row r="4765" spans="1:10" x14ac:dyDescent="0.25">
      <c r="A4765" s="5" t="s">
        <v>4799</v>
      </c>
      <c r="B4765" s="5" t="s">
        <v>6632</v>
      </c>
      <c r="C4765" s="6" t="str">
        <f>_xll.QS.CONTEXT.CREATE("market.4763",A4765,"USD","SOFR")</f>
        <v>QSObject:PricingContext:w1~market.4763:12043</v>
      </c>
      <c r="D4765" s="6" t="str">
        <f>_xll.QS.CONTEXT.ADD.CURVE(C4765,"SOFR",$K$2:$K$7,$L$2:$L$7,,,"Actual360","LogLinear",TRUE)</f>
        <v>QSObject:ContextInput:w1~input.qs_context_add_curve.2359132437744.4764.3.0:35862</v>
      </c>
      <c r="E4765" s="6" t="str">
        <f>_xll.QS.INSTRUMENT.SWAP("swap.4763",H4765,B4765,"USD","SOFR",I4765,J4765,0,"Actual360","Simple","Annual","Annual","Annual")</f>
        <v>QSObject:Swap:w1~swap.4763:12042</v>
      </c>
      <c r="F4765" s="6" t="str">
        <f>_xll.QS.TRADE.CREATE("trade.4763",E4765,A4765,"Receive")</f>
        <v>QSObject:SwapTrade:w1~trade.4763:27092</v>
      </c>
      <c r="G4765" s="3">
        <f>_xll.QS.EVALUATE(C4765,F4765)</f>
        <v>29267.492555688281</v>
      </c>
      <c r="H4765" s="5" t="s">
        <v>4806</v>
      </c>
      <c r="I4765" s="7">
        <v>1476300</v>
      </c>
      <c r="J4765" s="8">
        <v>3.6300000000000013E-2</v>
      </c>
    </row>
    <row r="4766" spans="1:10" x14ac:dyDescent="0.25">
      <c r="A4766" s="5" t="s">
        <v>4800</v>
      </c>
      <c r="B4766" s="5" t="s">
        <v>6633</v>
      </c>
      <c r="C4766" s="6" t="str">
        <f>_xll.QS.CONTEXT.CREATE("market.4764",A4766,"USD","SOFR")</f>
        <v>QSObject:PricingContext:w1~market.4764:12041</v>
      </c>
      <c r="D4766" s="6" t="str">
        <f>_xll.QS.CONTEXT.ADD.CURVE(C4766,"SOFR",$K$2:$K$7,$L$2:$L$7,,,"Actual360","LogLinear",TRUE)</f>
        <v>QSObject:ContextInput:w1~input.qs_context_add_curve.2359132437744.4765.3.0:35861</v>
      </c>
      <c r="E4766" s="6" t="str">
        <f>_xll.QS.INSTRUMENT.SWAP("swap.4764",H4766,B4766,"USD","SOFR",I4766,J4766,0,"Actual360","Simple","Annual","Annual","Annual")</f>
        <v>QSObject:Swap:w1~swap.4764:12040</v>
      </c>
      <c r="F4766" s="6" t="str">
        <f>_xll.QS.TRADE.CREATE("trade.4764",E4766,A4766,"Receive")</f>
        <v>QSObject:SwapTrade:w1~trade.4764:27091</v>
      </c>
      <c r="G4766" s="3">
        <f>_xll.QS.EVALUATE(C4766,F4766)</f>
        <v>29950.025632334065</v>
      </c>
      <c r="H4766" s="5" t="s">
        <v>4807</v>
      </c>
      <c r="I4766" s="7">
        <v>1476400</v>
      </c>
      <c r="J4766" s="8">
        <v>3.6400000000000002E-2</v>
      </c>
    </row>
    <row r="4767" spans="1:10" x14ac:dyDescent="0.25">
      <c r="A4767" s="5" t="s">
        <v>4801</v>
      </c>
      <c r="B4767" s="5" t="s">
        <v>6634</v>
      </c>
      <c r="C4767" s="6" t="str">
        <f>_xll.QS.CONTEXT.CREATE("market.4765",A4767,"USD","SOFR")</f>
        <v>QSObject:PricingContext:w1~market.4765:12039</v>
      </c>
      <c r="D4767" s="6" t="str">
        <f>_xll.QS.CONTEXT.ADD.CURVE(C4767,"SOFR",$K$2:$K$7,$L$2:$L$7,,,"Actual360","LogLinear",TRUE)</f>
        <v>QSObject:ContextInput:w1~input.qs_context_add_curve.2359132437744.4766.3.0:35860</v>
      </c>
      <c r="E4767" s="6" t="str">
        <f>_xll.QS.INSTRUMENT.SWAP("swap.4765",H4767,B4767,"USD","SOFR",I4767,J4767,0,"Actual360","Simple","Annual","Annual","Annual")</f>
        <v>QSObject:Swap:w1~swap.4765:12038</v>
      </c>
      <c r="F4767" s="6" t="str">
        <f>_xll.QS.TRADE.CREATE("trade.4765",E4767,A4767,"Receive")</f>
        <v>QSObject:SwapTrade:w1~trade.4765:27090</v>
      </c>
      <c r="G4767" s="3">
        <f>_xll.QS.EVALUATE(C4767,F4767)</f>
        <v>30534.485320028158</v>
      </c>
      <c r="H4767" s="5" t="s">
        <v>4808</v>
      </c>
      <c r="I4767" s="7">
        <v>1476500</v>
      </c>
      <c r="J4767" s="8">
        <v>3.6499999999999998E-2</v>
      </c>
    </row>
    <row r="4768" spans="1:10" x14ac:dyDescent="0.25">
      <c r="A4768" s="5" t="s">
        <v>4802</v>
      </c>
      <c r="B4768" s="5" t="s">
        <v>6635</v>
      </c>
      <c r="C4768" s="6" t="str">
        <f>_xll.QS.CONTEXT.CREATE("market.4766",A4768,"USD","SOFR")</f>
        <v>QSObject:PricingContext:w1~market.4766:12037</v>
      </c>
      <c r="D4768" s="6" t="str">
        <f>_xll.QS.CONTEXT.ADD.CURVE(C4768,"SOFR",$K$2:$K$7,$L$2:$L$7,,,"Actual360","LogLinear",TRUE)</f>
        <v>QSObject:ContextInput:w1~input.qs_context_add_curve.2359132437744.4767.3.0:35859</v>
      </c>
      <c r="E4768" s="6" t="str">
        <f>_xll.QS.INSTRUMENT.SWAP("swap.4766",H4768,B4768,"USD","SOFR",I4768,J4768,0,"Actual360","Simple","Annual","Annual","Annual")</f>
        <v>QSObject:Swap:w1~swap.4766:12036</v>
      </c>
      <c r="F4768" s="6" t="str">
        <f>_xll.QS.TRADE.CREATE("trade.4766",E4768,A4768,"Receive")</f>
        <v>QSObject:SwapTrade:w1~trade.4766:27089</v>
      </c>
      <c r="G4768" s="3">
        <f>_xll.QS.EVALUATE(C4768,F4768)</f>
        <v>31097.233437447845</v>
      </c>
      <c r="H4768" s="5" t="s">
        <v>4809</v>
      </c>
      <c r="I4768" s="7">
        <v>1476600</v>
      </c>
      <c r="J4768" s="8">
        <v>3.6600000000000001E-2</v>
      </c>
    </row>
    <row r="4769" spans="1:10" x14ac:dyDescent="0.25">
      <c r="A4769" s="5" t="s">
        <v>4803</v>
      </c>
      <c r="B4769" s="5" t="s">
        <v>6636</v>
      </c>
      <c r="C4769" s="6" t="str">
        <f>_xll.QS.CONTEXT.CREATE("market.4767",A4769,"USD","SOFR")</f>
        <v>QSObject:PricingContext:w1~market.4767:12035</v>
      </c>
      <c r="D4769" s="6" t="str">
        <f>_xll.QS.CONTEXT.ADD.CURVE(C4769,"SOFR",$K$2:$K$7,$L$2:$L$7,,,"Actual360","LogLinear",TRUE)</f>
        <v>QSObject:ContextInput:w1~input.qs_context_add_curve.2359132437744.4768.3.0:35858</v>
      </c>
      <c r="E4769" s="6" t="str">
        <f>_xll.QS.INSTRUMENT.SWAP("swap.4767",H4769,B4769,"USD","SOFR",I4769,J4769,0,"Actual360","Simple","Annual","Annual","Annual")</f>
        <v>QSObject:Swap:w1~swap.4767:12034</v>
      </c>
      <c r="F4769" s="6" t="str">
        <f>_xll.QS.TRADE.CREATE("trade.4767",E4769,A4769,"Receive")</f>
        <v>QSObject:SwapTrade:w1~trade.4767:27088</v>
      </c>
      <c r="G4769" s="3">
        <f>_xll.QS.EVALUATE(C4769,F4769)</f>
        <v>31782.909546707233</v>
      </c>
      <c r="H4769" s="5" t="s">
        <v>4810</v>
      </c>
      <c r="I4769" s="7">
        <v>1476700</v>
      </c>
      <c r="J4769" s="8">
        <v>3.6700000000000003E-2</v>
      </c>
    </row>
    <row r="4770" spans="1:10" x14ac:dyDescent="0.25">
      <c r="A4770" s="5" t="s">
        <v>4804</v>
      </c>
      <c r="B4770" s="5" t="s">
        <v>6637</v>
      </c>
      <c r="C4770" s="6" t="str">
        <f>_xll.QS.CONTEXT.CREATE("market.4768",A4770,"USD","SOFR")</f>
        <v>QSObject:PricingContext:w1~market.4768:12033</v>
      </c>
      <c r="D4770" s="6" t="str">
        <f>_xll.QS.CONTEXT.ADD.CURVE(C4770,"SOFR",$K$2:$K$7,$L$2:$L$7,,,"Actual360","LogLinear",TRUE)</f>
        <v>QSObject:ContextInput:w1~input.qs_context_add_curve.2359132437744.4769.3.0:35857</v>
      </c>
      <c r="E4770" s="6" t="str">
        <f>_xll.QS.INSTRUMENT.SWAP("swap.4768",H4770,B4770,"USD","SOFR",I4770,J4770,0,"Actual360","Simple","Annual","Annual","Annual")</f>
        <v>QSObject:Swap:w1~swap.4768:12032</v>
      </c>
      <c r="F4770" s="6" t="str">
        <f>_xll.QS.TRADE.CREATE("trade.4768",E4770,A4770,"Receive")</f>
        <v>QSObject:SwapTrade:w1~trade.4768:27087</v>
      </c>
      <c r="G4770" s="3">
        <f>_xll.QS.EVALUATE(C4770,F4770)</f>
        <v>32506.036414155671</v>
      </c>
      <c r="H4770" s="5" t="s">
        <v>4811</v>
      </c>
      <c r="I4770" s="7">
        <v>1476800</v>
      </c>
      <c r="J4770" s="8">
        <v>3.6800000000000013E-2</v>
      </c>
    </row>
    <row r="4771" spans="1:10" x14ac:dyDescent="0.25">
      <c r="A4771" s="5" t="s">
        <v>4805</v>
      </c>
      <c r="B4771" s="5" t="s">
        <v>6638</v>
      </c>
      <c r="C4771" s="6" t="str">
        <f>_xll.QS.CONTEXT.CREATE("market.4769",A4771,"USD","SOFR")</f>
        <v>QSObject:PricingContext:w1~market.4769:12031</v>
      </c>
      <c r="D4771" s="6" t="str">
        <f>_xll.QS.CONTEXT.ADD.CURVE(C4771,"SOFR",$K$2:$K$7,$L$2:$L$7,,,"Actual360","LogLinear",TRUE)</f>
        <v>QSObject:ContextInput:w1~input.qs_context_add_curve.2359132437744.4770.3.0:35856</v>
      </c>
      <c r="E4771" s="6" t="str">
        <f>_xll.QS.INSTRUMENT.SWAP("swap.4769",H4771,B4771,"USD","SOFR",I4771,J4771,0,"Actual360","Simple","Annual","Annual","Annual")</f>
        <v>QSObject:Swap:w1~swap.4769:12030</v>
      </c>
      <c r="F4771" s="6" t="str">
        <f>_xll.QS.TRADE.CREATE("trade.4769",E4771,A4771,"Receive")</f>
        <v>QSObject:SwapTrade:w1~trade.4769:27086</v>
      </c>
      <c r="G4771" s="3">
        <f>_xll.QS.EVALUATE(C4771,F4771)</f>
        <v>33297.164955388675</v>
      </c>
      <c r="H4771" s="5" t="s">
        <v>4812</v>
      </c>
      <c r="I4771" s="7">
        <v>1476900</v>
      </c>
      <c r="J4771" s="8">
        <v>3.6900000000000002E-2</v>
      </c>
    </row>
    <row r="4772" spans="1:10" x14ac:dyDescent="0.25">
      <c r="A4772" s="5" t="s">
        <v>4806</v>
      </c>
      <c r="B4772" s="5" t="s">
        <v>6639</v>
      </c>
      <c r="C4772" s="6" t="str">
        <f>_xll.QS.CONTEXT.CREATE("market.4770",A4772,"USD","SOFR")</f>
        <v>QSObject:PricingContext:w1~market.4770:12029</v>
      </c>
      <c r="D4772" s="6" t="str">
        <f>_xll.QS.CONTEXT.ADD.CURVE(C4772,"SOFR",$K$2:$K$7,$L$2:$L$7,,,"Actual360","LogLinear",TRUE)</f>
        <v>QSObject:ContextInput:w1~input.qs_context_add_curve.2359132437744.4771.3.0:35855</v>
      </c>
      <c r="E4772" s="6" t="str">
        <f>_xll.QS.INSTRUMENT.SWAP("swap.4770",H4772,B4772,"USD","SOFR",I4772,J4772,0,"Actual360","Simple","Annual","Annual","Annual")</f>
        <v>QSObject:Swap:w1~swap.4770:12028</v>
      </c>
      <c r="F4772" s="6" t="str">
        <f>_xll.QS.TRADE.CREATE("trade.4770",E4772,A4772,"Receive")</f>
        <v>QSObject:SwapTrade:w1~trade.4770:27085</v>
      </c>
      <c r="G4772" s="3">
        <f>_xll.QS.EVALUATE(C4772,F4772)</f>
        <v>34044.73981029963</v>
      </c>
      <c r="H4772" s="5" t="s">
        <v>4813</v>
      </c>
      <c r="I4772" s="7">
        <v>1477000</v>
      </c>
      <c r="J4772" s="8">
        <v>3.7000000000000012E-2</v>
      </c>
    </row>
    <row r="4773" spans="1:10" x14ac:dyDescent="0.25">
      <c r="A4773" s="5" t="s">
        <v>4807</v>
      </c>
      <c r="B4773" s="5" t="s">
        <v>6640</v>
      </c>
      <c r="C4773" s="6" t="str">
        <f>_xll.QS.CONTEXT.CREATE("market.4771",A4773,"USD","SOFR")</f>
        <v>QSObject:PricingContext:w1~market.4771:12027</v>
      </c>
      <c r="D4773" s="6" t="str">
        <f>_xll.QS.CONTEXT.ADD.CURVE(C4773,"SOFR",$K$2:$K$7,$L$2:$L$7,,,"Actual360","LogLinear",TRUE)</f>
        <v>QSObject:ContextInput:w1~input.qs_context_add_curve.2359132437744.4772.3.0:35854</v>
      </c>
      <c r="E4773" s="6" t="str">
        <f>_xll.QS.INSTRUMENT.SWAP("swap.4771",H4773,B4773,"USD","SOFR",I4773,J4773,0,"Actual360","Simple","Annual","Annual","Annual")</f>
        <v>QSObject:Swap:w1~swap.4771:12026</v>
      </c>
      <c r="F4773" s="6" t="str">
        <f>_xll.QS.TRADE.CREATE("trade.4771",E4773,A4773,"Receive")</f>
        <v>QSObject:SwapTrade:w1~trade.4771:27084</v>
      </c>
      <c r="G4773" s="3">
        <f>_xll.QS.EVALUATE(C4773,F4773)</f>
        <v>34672.364996725992</v>
      </c>
      <c r="H4773" s="5" t="s">
        <v>4814</v>
      </c>
      <c r="I4773" s="7">
        <v>1477100</v>
      </c>
      <c r="J4773" s="8">
        <v>3.7100000000000001E-2</v>
      </c>
    </row>
    <row r="4774" spans="1:10" x14ac:dyDescent="0.25">
      <c r="A4774" s="5" t="s">
        <v>4808</v>
      </c>
      <c r="B4774" s="5" t="s">
        <v>6641</v>
      </c>
      <c r="C4774" s="6" t="str">
        <f>_xll.QS.CONTEXT.CREATE("market.4772",A4774,"USD","SOFR")</f>
        <v>QSObject:PricingContext:w1~market.4772:12025</v>
      </c>
      <c r="D4774" s="6" t="str">
        <f>_xll.QS.CONTEXT.ADD.CURVE(C4774,"SOFR",$K$2:$K$7,$L$2:$L$7,,,"Actual360","LogLinear",TRUE)</f>
        <v>QSObject:ContextInput:w1~input.qs_context_add_curve.2359132437744.4773.3.0:35853</v>
      </c>
      <c r="E4774" s="6" t="str">
        <f>_xll.QS.INSTRUMENT.SWAP("swap.4772",H4774,B4774,"USD","SOFR",I4774,J4774,0,"Actual360","Simple","Annual","Annual","Annual")</f>
        <v>QSObject:Swap:w1~swap.4772:12024</v>
      </c>
      <c r="F4774" s="6" t="str">
        <f>_xll.QS.TRADE.CREATE("trade.4772",E4774,A4774,"Receive")</f>
        <v>QSObject:SwapTrade:w1~trade.4772:27083</v>
      </c>
      <c r="G4774" s="3">
        <f>_xll.QS.EVALUATE(C4774,F4774)</f>
        <v>35251.558904282159</v>
      </c>
      <c r="H4774" s="5" t="s">
        <v>4815</v>
      </c>
      <c r="I4774" s="7">
        <v>1477200</v>
      </c>
      <c r="J4774" s="8">
        <v>3.7199999999999997E-2</v>
      </c>
    </row>
    <row r="4775" spans="1:10" x14ac:dyDescent="0.25">
      <c r="A4775" s="5" t="s">
        <v>4809</v>
      </c>
      <c r="B4775" s="5" t="s">
        <v>6642</v>
      </c>
      <c r="C4775" s="6" t="str">
        <f>_xll.QS.CONTEXT.CREATE("market.4773",A4775,"USD","SOFR")</f>
        <v>QSObject:PricingContext:w1~market.4773:12023</v>
      </c>
      <c r="D4775" s="6" t="str">
        <f>_xll.QS.CONTEXT.ADD.CURVE(C4775,"SOFR",$K$2:$K$7,$L$2:$L$7,,,"Actual360","LogLinear",TRUE)</f>
        <v>QSObject:ContextInput:w1~input.qs_context_add_curve.2359132437744.4774.3.0:35852</v>
      </c>
      <c r="E4775" s="6" t="str">
        <f>_xll.QS.INSTRUMENT.SWAP("swap.4773",H4775,B4775,"USD","SOFR",I4775,J4775,0,"Actual360","Simple","Annual","Annual","Annual")</f>
        <v>QSObject:Swap:w1~swap.4773:12022</v>
      </c>
      <c r="F4775" s="6" t="str">
        <f>_xll.QS.TRADE.CREATE("trade.4773",E4775,A4775,"Receive")</f>
        <v>QSObject:SwapTrade:w1~trade.4773:27082</v>
      </c>
      <c r="G4775" s="3">
        <f>_xll.QS.EVALUATE(C4775,F4775)</f>
        <v>35822.422417928043</v>
      </c>
      <c r="H4775" s="5" t="s">
        <v>4816</v>
      </c>
      <c r="I4775" s="7">
        <v>1477300</v>
      </c>
      <c r="J4775" s="8">
        <v>3.73E-2</v>
      </c>
    </row>
    <row r="4776" spans="1:10" x14ac:dyDescent="0.25">
      <c r="A4776" s="5" t="s">
        <v>4810</v>
      </c>
      <c r="B4776" s="5" t="s">
        <v>6643</v>
      </c>
      <c r="C4776" s="6" t="str">
        <f>_xll.QS.CONTEXT.CREATE("market.4774",A4776,"USD","SOFR")</f>
        <v>QSObject:PricingContext:w1~market.4774:12021</v>
      </c>
      <c r="D4776" s="6" t="str">
        <f>_xll.QS.CONTEXT.ADD.CURVE(C4776,"SOFR",$K$2:$K$7,$L$2:$L$7,,,"Actual360","LogLinear",TRUE)</f>
        <v>QSObject:ContextInput:w1~input.qs_context_add_curve.2359132437744.4775.3.0:35851</v>
      </c>
      <c r="E4776" s="6" t="str">
        <f>_xll.QS.INSTRUMENT.SWAP("swap.4774",H4776,B4776,"USD","SOFR",I4776,J4776,0,"Actual360","Simple","Annual","Annual","Annual")</f>
        <v>QSObject:Swap:w1~swap.4774:12020</v>
      </c>
      <c r="F4776" s="6" t="str">
        <f>_xll.QS.TRADE.CREATE("trade.4774",E4776,A4776,"Receive")</f>
        <v>QSObject:SwapTrade:w1~trade.4774:27081</v>
      </c>
      <c r="G4776" s="3">
        <f>_xll.QS.EVALUATE(C4776,F4776)</f>
        <v>36569.241506741142</v>
      </c>
      <c r="H4776" s="5" t="s">
        <v>4817</v>
      </c>
      <c r="I4776" s="7">
        <v>1477400</v>
      </c>
      <c r="J4776" s="8">
        <v>3.7400000000000003E-2</v>
      </c>
    </row>
    <row r="4777" spans="1:10" x14ac:dyDescent="0.25">
      <c r="A4777" s="5" t="s">
        <v>4811</v>
      </c>
      <c r="B4777" s="5" t="s">
        <v>6644</v>
      </c>
      <c r="C4777" s="6" t="str">
        <f>_xll.QS.CONTEXT.CREATE("market.4775",A4777,"USD","SOFR")</f>
        <v>QSObject:PricingContext:w1~market.4775:12019</v>
      </c>
      <c r="D4777" s="6" t="str">
        <f>_xll.QS.CONTEXT.ADD.CURVE(C4777,"SOFR",$K$2:$K$7,$L$2:$L$7,,,"Actual360","LogLinear",TRUE)</f>
        <v>QSObject:ContextInput:w1~input.qs_context_add_curve.2359132437744.4776.3.0:35850</v>
      </c>
      <c r="E4777" s="6" t="str">
        <f>_xll.QS.INSTRUMENT.SWAP("swap.4775",H4777,B4777,"USD","SOFR",I4777,J4777,0,"Actual360","Simple","Annual","Annual","Annual")</f>
        <v>QSObject:Swap:w1~swap.4775:12018</v>
      </c>
      <c r="F4777" s="6" t="str">
        <f>_xll.QS.TRADE.CREATE("trade.4775",E4777,A4777,"Receive")</f>
        <v>QSObject:SwapTrade:w1~trade.4775:27080</v>
      </c>
      <c r="G4777" s="3">
        <f>_xll.QS.EVALUATE(C4777,F4777)</f>
        <v>37290.691197083979</v>
      </c>
      <c r="H4777" s="5" t="s">
        <v>4818</v>
      </c>
      <c r="I4777" s="7">
        <v>1477500</v>
      </c>
      <c r="J4777" s="8">
        <v>3.7500000000000012E-2</v>
      </c>
    </row>
    <row r="4778" spans="1:10" x14ac:dyDescent="0.25">
      <c r="A4778" s="5" t="s">
        <v>4812</v>
      </c>
      <c r="B4778" s="5" t="s">
        <v>6645</v>
      </c>
      <c r="C4778" s="6" t="str">
        <f>_xll.QS.CONTEXT.CREATE("market.4776",A4778,"USD","SOFR")</f>
        <v>QSObject:PricingContext:w1~market.4776:12017</v>
      </c>
      <c r="D4778" s="6" t="str">
        <f>_xll.QS.CONTEXT.ADD.CURVE(C4778,"SOFR",$K$2:$K$7,$L$2:$L$7,,,"Actual360","LogLinear",TRUE)</f>
        <v>QSObject:ContextInput:w1~input.qs_context_add_curve.2359132437744.4777.3.0:35849</v>
      </c>
      <c r="E4778" s="6" t="str">
        <f>_xll.QS.INSTRUMENT.SWAP("swap.4776",H4778,B4778,"USD","SOFR",I4778,J4778,0,"Actual360","Simple","Annual","Annual","Annual")</f>
        <v>QSObject:Swap:w1~swap.4776:12016</v>
      </c>
      <c r="F4778" s="6" t="str">
        <f>_xll.QS.TRADE.CREATE("trade.4776",E4778,A4778,"Receive")</f>
        <v>QSObject:SwapTrade:w1~trade.4776:27079</v>
      </c>
      <c r="G4778" s="3">
        <f>_xll.QS.EVALUATE(C4778,F4778)</f>
        <v>38083.164792470277</v>
      </c>
      <c r="H4778" s="5" t="s">
        <v>4819</v>
      </c>
      <c r="I4778" s="7">
        <v>1477600</v>
      </c>
      <c r="J4778" s="8">
        <v>3.7600000000000001E-2</v>
      </c>
    </row>
    <row r="4779" spans="1:10" x14ac:dyDescent="0.25">
      <c r="A4779" s="5" t="s">
        <v>4813</v>
      </c>
      <c r="B4779" s="5" t="s">
        <v>6646</v>
      </c>
      <c r="C4779" s="6" t="str">
        <f>_xll.QS.CONTEXT.CREATE("market.4777",A4779,"USD","SOFR")</f>
        <v>QSObject:PricingContext:w1~market.4777:12015</v>
      </c>
      <c r="D4779" s="6" t="str">
        <f>_xll.QS.CONTEXT.ADD.CURVE(C4779,"SOFR",$K$2:$K$7,$L$2:$L$7,,,"Actual360","LogLinear",TRUE)</f>
        <v>QSObject:ContextInput:w1~input.qs_context_add_curve.2359132437744.4778.3.0:35848</v>
      </c>
      <c r="E4779" s="6" t="str">
        <f>_xll.QS.INSTRUMENT.SWAP("swap.4777",H4779,B4779,"USD","SOFR",I4779,J4779,0,"Actual360","Simple","Annual","Annual","Annual")</f>
        <v>QSObject:Swap:w1~swap.4777:12014</v>
      </c>
      <c r="F4779" s="6" t="str">
        <f>_xll.QS.TRADE.CREATE("trade.4777",E4779,A4779,"Receive")</f>
        <v>QSObject:SwapTrade:w1~trade.4777:27078</v>
      </c>
      <c r="G4779" s="3">
        <f>_xll.QS.EVALUATE(C4779,F4779)</f>
        <v>38830.895609466905</v>
      </c>
      <c r="H4779" s="5" t="s">
        <v>4820</v>
      </c>
      <c r="I4779" s="7">
        <v>1477700</v>
      </c>
      <c r="J4779" s="8">
        <v>3.7699999999999997E-2</v>
      </c>
    </row>
    <row r="4780" spans="1:10" x14ac:dyDescent="0.25">
      <c r="A4780" s="5" t="s">
        <v>4814</v>
      </c>
      <c r="B4780" s="5" t="s">
        <v>6647</v>
      </c>
      <c r="C4780" s="6" t="str">
        <f>_xll.QS.CONTEXT.CREATE("market.4778",A4780,"USD","SOFR")</f>
        <v>QSObject:PricingContext:w1~market.4778:12013</v>
      </c>
      <c r="D4780" s="6" t="str">
        <f>_xll.QS.CONTEXT.ADD.CURVE(C4780,"SOFR",$K$2:$K$7,$L$2:$L$7,,,"Actual360","LogLinear",TRUE)</f>
        <v>QSObject:ContextInput:w1~input.qs_context_add_curve.2359132437744.4779.3.0:35847</v>
      </c>
      <c r="E4780" s="6" t="str">
        <f>_xll.QS.INSTRUMENT.SWAP("swap.4778",H4780,B4780,"USD","SOFR",I4780,J4780,0,"Actual360","Simple","Annual","Annual","Annual")</f>
        <v>QSObject:Swap:w1~swap.4778:12012</v>
      </c>
      <c r="F4780" s="6" t="str">
        <f>_xll.QS.TRADE.CREATE("trade.4778",E4780,A4780,"Receive")</f>
        <v>QSObject:SwapTrade:w1~trade.4778:27077</v>
      </c>
      <c r="G4780" s="3">
        <f>_xll.QS.EVALUATE(C4780,F4780)</f>
        <v>39458.863137060136</v>
      </c>
      <c r="H4780" s="5" t="s">
        <v>4821</v>
      </c>
      <c r="I4780" s="7">
        <v>1477800</v>
      </c>
      <c r="J4780" s="8">
        <v>3.78E-2</v>
      </c>
    </row>
    <row r="4781" spans="1:10" x14ac:dyDescent="0.25">
      <c r="A4781" s="5" t="s">
        <v>4815</v>
      </c>
      <c r="B4781" s="5" t="s">
        <v>6648</v>
      </c>
      <c r="C4781" s="6" t="str">
        <f>_xll.QS.CONTEXT.CREATE("market.4779",A4781,"USD","SOFR")</f>
        <v>QSObject:PricingContext:w1~market.4779:12011</v>
      </c>
      <c r="D4781" s="6" t="str">
        <f>_xll.QS.CONTEXT.ADD.CURVE(C4781,"SOFR",$K$2:$K$7,$L$2:$L$7,,,"Actual360","LogLinear",TRUE)</f>
        <v>QSObject:ContextInput:w1~input.qs_context_add_curve.2359132437744.4780.3.0:35846</v>
      </c>
      <c r="E4781" s="6" t="str">
        <f>_xll.QS.INSTRUMENT.SWAP("swap.4779",H4781,B4781,"USD","SOFR",I4781,J4781,0,"Actual360","Simple","Annual","Annual","Annual")</f>
        <v>QSObject:Swap:w1~swap.4779:12010</v>
      </c>
      <c r="F4781" s="6" t="str">
        <f>_xll.QS.TRADE.CREATE("trade.4779",E4781,A4781,"Receive")</f>
        <v>QSObject:SwapTrade:w1~trade.4779:27076</v>
      </c>
      <c r="G4781" s="3">
        <f>_xll.QS.EVALUATE(C4781,F4781)</f>
        <v>40033.269507223253</v>
      </c>
      <c r="H4781" s="5" t="s">
        <v>4822</v>
      </c>
      <c r="I4781" s="7">
        <v>1477900</v>
      </c>
      <c r="J4781" s="8">
        <v>3.7900000000000003E-2</v>
      </c>
    </row>
    <row r="4782" spans="1:10" x14ac:dyDescent="0.25">
      <c r="A4782" s="5" t="s">
        <v>4816</v>
      </c>
      <c r="B4782" s="5" t="s">
        <v>6649</v>
      </c>
      <c r="C4782" s="6" t="str">
        <f>_xll.QS.CONTEXT.CREATE("market.4780",A4782,"USD","SOFR")</f>
        <v>QSObject:PricingContext:w1~market.4780:12009</v>
      </c>
      <c r="D4782" s="6" t="str">
        <f>_xll.QS.CONTEXT.ADD.CURVE(C4782,"SOFR",$K$2:$K$7,$L$2:$L$7,,,"Actual360","LogLinear",TRUE)</f>
        <v>QSObject:ContextInput:w1~input.qs_context_add_curve.2359132437744.4781.3.0:35845</v>
      </c>
      <c r="E4782" s="6" t="str">
        <f>_xll.QS.INSTRUMENT.SWAP("swap.4780",H4782,B4782,"USD","SOFR",I4782,J4782,0,"Actual360","Simple","Annual","Annual","Annual")</f>
        <v>QSObject:Swap:w1~swap.4780:12008</v>
      </c>
      <c r="F4782" s="6" t="str">
        <f>_xll.QS.TRADE.CREATE("trade.4780",E4782,A4782,"Receive")</f>
        <v>QSObject:SwapTrade:w1~trade.4780:27075</v>
      </c>
      <c r="G4782" s="3">
        <f>_xll.QS.EVALUATE(C4782,F4782)</f>
        <v>40612.121097208619</v>
      </c>
      <c r="H4782" s="5" t="s">
        <v>4823</v>
      </c>
      <c r="I4782" s="7">
        <v>1478000</v>
      </c>
      <c r="J4782" s="8">
        <v>3.8000000000000013E-2</v>
      </c>
    </row>
    <row r="4783" spans="1:10" x14ac:dyDescent="0.25">
      <c r="A4783" s="5" t="s">
        <v>4817</v>
      </c>
      <c r="B4783" s="5" t="s">
        <v>6650</v>
      </c>
      <c r="C4783" s="6" t="str">
        <f>_xll.QS.CONTEXT.CREATE("market.4781",A4783,"USD","SOFR")</f>
        <v>QSObject:PricingContext:w1~market.4781:12007</v>
      </c>
      <c r="D4783" s="6" t="str">
        <f>_xll.QS.CONTEXT.ADD.CURVE(C4783,"SOFR",$K$2:$K$7,$L$2:$L$7,,,"Actual360","LogLinear",TRUE)</f>
        <v>QSObject:ContextInput:w1~input.qs_context_add_curve.2359132437744.4782.3.0:35844</v>
      </c>
      <c r="E4783" s="6" t="str">
        <f>_xll.QS.INSTRUMENT.SWAP("swap.4781",H4783,B4783,"USD","SOFR",I4783,J4783,0,"Actual360","Simple","Annual","Annual","Annual")</f>
        <v>QSObject:Swap:w1~swap.4781:12006</v>
      </c>
      <c r="F4783" s="6" t="str">
        <f>_xll.QS.TRADE.CREATE("trade.4781",E4783,A4783,"Receive")</f>
        <v>QSObject:SwapTrade:w1~trade.4781:27074</v>
      </c>
      <c r="G4783" s="3">
        <f>_xll.QS.EVALUATE(C4783,F4783)</f>
        <v>41360.09476924804</v>
      </c>
      <c r="H4783" s="5" t="s">
        <v>4824</v>
      </c>
      <c r="I4783" s="7">
        <v>1478100</v>
      </c>
      <c r="J4783" s="8">
        <v>3.8100000000000002E-2</v>
      </c>
    </row>
    <row r="4784" spans="1:10" x14ac:dyDescent="0.25">
      <c r="A4784" s="5" t="s">
        <v>4818</v>
      </c>
      <c r="B4784" s="5" t="s">
        <v>6651</v>
      </c>
      <c r="C4784" s="6" t="str">
        <f>_xll.QS.CONTEXT.CREATE("market.4782",A4784,"USD","SOFR")</f>
        <v>QSObject:PricingContext:w1~market.4782:12005</v>
      </c>
      <c r="D4784" s="6" t="str">
        <f>_xll.QS.CONTEXT.ADD.CURVE(C4784,"SOFR",$K$2:$K$7,$L$2:$L$7,,,"Actual360","LogLinear",TRUE)</f>
        <v>QSObject:ContextInput:w1~input.qs_context_add_curve.2359132437744.4783.3.0:35843</v>
      </c>
      <c r="E4784" s="6" t="str">
        <f>_xll.QS.INSTRUMENT.SWAP("swap.4782",H4784,B4784,"USD","SOFR",I4784,J4784,0,"Actual360","Simple","Annual","Annual","Annual")</f>
        <v>QSObject:Swap:w1~swap.4782:12004</v>
      </c>
      <c r="F4784" s="6" t="str">
        <f>_xll.QS.TRADE.CREATE("trade.4782",E4784,A4784,"Receive")</f>
        <v>QSObject:SwapTrade:w1~trade.4782:27073</v>
      </c>
      <c r="G4784" s="3">
        <f>_xll.QS.EVALUATE(C4784,F4784)</f>
        <v>42079.87649480145</v>
      </c>
      <c r="H4784" s="5" t="s">
        <v>4825</v>
      </c>
      <c r="I4784" s="7">
        <v>1478200</v>
      </c>
      <c r="J4784" s="8">
        <v>3.8199999999999998E-2</v>
      </c>
    </row>
    <row r="4785" spans="1:10" x14ac:dyDescent="0.25">
      <c r="A4785" s="5" t="s">
        <v>4819</v>
      </c>
      <c r="B4785" s="5" t="s">
        <v>6652</v>
      </c>
      <c r="C4785" s="6" t="str">
        <f>_xll.QS.CONTEXT.CREATE("market.4783",A4785,"USD","SOFR")</f>
        <v>QSObject:PricingContext:w1~market.4783:12003</v>
      </c>
      <c r="D4785" s="6" t="str">
        <f>_xll.QS.CONTEXT.ADD.CURVE(C4785,"SOFR",$K$2:$K$7,$L$2:$L$7,,,"Actual360","LogLinear",TRUE)</f>
        <v>QSObject:ContextInput:w1~input.qs_context_add_curve.2359132437744.4784.3.0:35842</v>
      </c>
      <c r="E4785" s="6" t="str">
        <f>_xll.QS.INSTRUMENT.SWAP("swap.4783",H4785,B4785,"USD","SOFR",I4785,J4785,0,"Actual360","Simple","Annual","Annual","Annual")</f>
        <v>QSObject:Swap:w1~swap.4783:12002</v>
      </c>
      <c r="F4785" s="6" t="str">
        <f>_xll.QS.TRADE.CREATE("trade.4783",E4785,A4785,"Receive")</f>
        <v>QSObject:SwapTrade:w1~trade.4783:27072</v>
      </c>
      <c r="G4785" s="3">
        <f>_xll.QS.EVALUATE(C4785,F4785)</f>
        <v>42872.541674804655</v>
      </c>
      <c r="H4785" s="5" t="s">
        <v>4826</v>
      </c>
      <c r="I4785" s="7">
        <v>1478300</v>
      </c>
      <c r="J4785" s="8">
        <v>3.8300000000000001E-2</v>
      </c>
    </row>
    <row r="4786" spans="1:10" x14ac:dyDescent="0.25">
      <c r="A4786" s="5" t="s">
        <v>4820</v>
      </c>
      <c r="B4786" s="5" t="s">
        <v>6653</v>
      </c>
      <c r="C4786" s="6" t="str">
        <f>_xll.QS.CONTEXT.CREATE("market.4784",A4786,"USD","SOFR")</f>
        <v>QSObject:PricingContext:w1~market.4784:12001</v>
      </c>
      <c r="D4786" s="6" t="str">
        <f>_xll.QS.CONTEXT.ADD.CURVE(C4786,"SOFR",$K$2:$K$7,$L$2:$L$7,,,"Actual360","LogLinear",TRUE)</f>
        <v>QSObject:ContextInput:w1~input.qs_context_add_curve.2359132437744.4785.3.0:35841</v>
      </c>
      <c r="E4786" s="6" t="str">
        <f>_xll.QS.INSTRUMENT.SWAP("swap.4784",H4786,B4786,"USD","SOFR",I4786,J4786,0,"Actual360","Simple","Annual","Annual","Annual")</f>
        <v>QSObject:Swap:w1~swap.4784:12000</v>
      </c>
      <c r="F4786" s="6" t="str">
        <f>_xll.QS.TRADE.CREATE("trade.4784",E4786,A4786,"Receive")</f>
        <v>QSObject:SwapTrade:w1~trade.4784:27071</v>
      </c>
      <c r="G4786" s="3">
        <f>_xll.QS.EVALUATE(C4786,F4786)</f>
        <v>43621.570613609263</v>
      </c>
      <c r="H4786" s="5" t="s">
        <v>4827</v>
      </c>
      <c r="I4786" s="7">
        <v>1478400</v>
      </c>
      <c r="J4786" s="8">
        <v>3.8399999999999997E-2</v>
      </c>
    </row>
    <row r="4787" spans="1:10" x14ac:dyDescent="0.25">
      <c r="A4787" s="5" t="s">
        <v>4821</v>
      </c>
      <c r="B4787" s="5" t="s">
        <v>6654</v>
      </c>
      <c r="C4787" s="6" t="str">
        <f>_xll.QS.CONTEXT.CREATE("market.4785",A4787,"USD","SOFR")</f>
        <v>QSObject:PricingContext:w1~market.4785:11999</v>
      </c>
      <c r="D4787" s="6" t="str">
        <f>_xll.QS.CONTEXT.ADD.CURVE(C4787,"SOFR",$K$2:$K$7,$L$2:$L$7,,,"Actual360","LogLinear",TRUE)</f>
        <v>QSObject:ContextInput:w1~input.qs_context_add_curve.2359132437744.4786.3.0:35840</v>
      </c>
      <c r="E4787" s="6" t="str">
        <f>_xll.QS.INSTRUMENT.SWAP("swap.4785",H4787,B4787,"USD","SOFR",I4787,J4787,0,"Actual360","Simple","Annual","Annual","Annual")</f>
        <v>QSObject:Swap:w1~swap.4785:11998</v>
      </c>
      <c r="F4787" s="6" t="str">
        <f>_xll.QS.TRADE.CREATE("trade.4785",E4787,A4787,"Receive")</f>
        <v>QSObject:SwapTrade:w1~trade.4785:27070</v>
      </c>
      <c r="G4787" s="3">
        <f>_xll.QS.EVALUATE(C4787,F4787)</f>
        <v>44249.980964129871</v>
      </c>
      <c r="H4787" s="5" t="s">
        <v>4828</v>
      </c>
      <c r="I4787" s="7">
        <v>1478500</v>
      </c>
      <c r="J4787" s="8">
        <v>3.8500000000000013E-2</v>
      </c>
    </row>
    <row r="4788" spans="1:10" x14ac:dyDescent="0.25">
      <c r="A4788" s="5" t="s">
        <v>4822</v>
      </c>
      <c r="B4788" s="5" t="s">
        <v>6655</v>
      </c>
      <c r="C4788" s="6" t="str">
        <f>_xll.QS.CONTEXT.CREATE("market.4786",A4788,"USD","SOFR")</f>
        <v>QSObject:PricingContext:w1~market.4786:11997</v>
      </c>
      <c r="D4788" s="6" t="str">
        <f>_xll.QS.CONTEXT.ADD.CURVE(C4788,"SOFR",$K$2:$K$7,$L$2:$L$7,,,"Actual360","LogLinear",TRUE)</f>
        <v>QSObject:ContextInput:w1~input.qs_context_add_curve.2359132437744.4787.3.0:35839</v>
      </c>
      <c r="E4788" s="6" t="str">
        <f>_xll.QS.INSTRUMENT.SWAP("swap.4786",H4788,B4788,"USD","SOFR",I4788,J4788,0,"Actual360","Simple","Annual","Annual","Annual")</f>
        <v>QSObject:Swap:w1~swap.4786:11996</v>
      </c>
      <c r="F4788" s="6" t="str">
        <f>_xll.QS.TRADE.CREATE("trade.4786",E4788,A4788,"Receive")</f>
        <v>QSObject:SwapTrade:w1~trade.4786:27069</v>
      </c>
      <c r="G4788" s="3">
        <f>_xll.QS.EVALUATE(C4788,F4788)</f>
        <v>44791.085994215115</v>
      </c>
      <c r="H4788" s="5" t="s">
        <v>4829</v>
      </c>
      <c r="I4788" s="7">
        <v>1478600</v>
      </c>
      <c r="J4788" s="8">
        <v>3.8600000000000002E-2</v>
      </c>
    </row>
    <row r="4789" spans="1:10" x14ac:dyDescent="0.25">
      <c r="A4789" s="5" t="s">
        <v>4823</v>
      </c>
      <c r="B4789" s="5" t="s">
        <v>6656</v>
      </c>
      <c r="C4789" s="6" t="str">
        <f>_xll.QS.CONTEXT.CREATE("market.4787",A4789,"USD","SOFR")</f>
        <v>QSObject:PricingContext:w1~market.4787:11995</v>
      </c>
      <c r="D4789" s="6" t="str">
        <f>_xll.QS.CONTEXT.ADD.CURVE(C4789,"SOFR",$K$2:$K$7,$L$2:$L$7,,,"Actual360","LogLinear",TRUE)</f>
        <v>QSObject:ContextInput:w1~input.qs_context_add_curve.2359132437744.4788.3.0:35838</v>
      </c>
      <c r="E4789" s="6" t="str">
        <f>_xll.QS.INSTRUMENT.SWAP("swap.4787",H4789,B4789,"USD","SOFR",I4789,J4789,0,"Actual360","Simple","Annual","Annual","Annual")</f>
        <v>QSObject:Swap:w1~swap.4787:11994</v>
      </c>
      <c r="F4789" s="6" t="str">
        <f>_xll.QS.TRADE.CREATE("trade.4787",E4789,A4789,"Receive")</f>
        <v>QSObject:SwapTrade:w1~trade.4787:27068</v>
      </c>
      <c r="G4789" s="3">
        <f>_xll.QS.EVALUATE(C4789,F4789)</f>
        <v>45343.878031484855</v>
      </c>
      <c r="H4789" s="5" t="s">
        <v>4830</v>
      </c>
      <c r="I4789" s="7">
        <v>1478700</v>
      </c>
      <c r="J4789" s="8">
        <v>3.8700000000000012E-2</v>
      </c>
    </row>
    <row r="4790" spans="1:10" x14ac:dyDescent="0.25">
      <c r="A4790" s="5" t="s">
        <v>4824</v>
      </c>
      <c r="B4790" s="5" t="s">
        <v>6657</v>
      </c>
      <c r="C4790" s="6" t="str">
        <f>_xll.QS.CONTEXT.CREATE("market.4788",A4790,"USD","SOFR")</f>
        <v>QSObject:PricingContext:w1~market.4788:11993</v>
      </c>
      <c r="D4790" s="6" t="str">
        <f>_xll.QS.CONTEXT.ADD.CURVE(C4790,"SOFR",$K$2:$K$7,$L$2:$L$7,,,"Actual360","LogLinear",TRUE)</f>
        <v>QSObject:ContextInput:w1~input.qs_context_add_curve.2359132437744.4789.3.0:35837</v>
      </c>
      <c r="E4790" s="6" t="str">
        <f>_xll.QS.INSTRUMENT.SWAP("swap.4788",H4790,B4790,"USD","SOFR",I4790,J4790,0,"Actual360","Simple","Annual","Annual","Annual")</f>
        <v>QSObject:Swap:w1~swap.4788:11992</v>
      </c>
      <c r="F4790" s="6" t="str">
        <f>_xll.QS.TRADE.CREATE("trade.4788",E4790,A4790,"Receive")</f>
        <v>QSObject:SwapTrade:w1~trade.4788:27067</v>
      </c>
      <c r="G4790" s="3">
        <f>_xll.QS.EVALUATE(C4790,F4790)</f>
        <v>46093.403943447775</v>
      </c>
      <c r="H4790" s="5" t="s">
        <v>4831</v>
      </c>
      <c r="I4790" s="7">
        <v>1478800</v>
      </c>
      <c r="J4790" s="8">
        <v>3.8800000000000001E-2</v>
      </c>
    </row>
    <row r="4791" spans="1:10" x14ac:dyDescent="0.25">
      <c r="A4791" s="5" t="s">
        <v>4825</v>
      </c>
      <c r="B4791" s="5" t="s">
        <v>6658</v>
      </c>
      <c r="C4791" s="6" t="str">
        <f>_xll.QS.CONTEXT.CREATE("market.4789",A4791,"USD","SOFR")</f>
        <v>QSObject:PricingContext:w1~market.4789:11991</v>
      </c>
      <c r="D4791" s="6" t="str">
        <f>_xll.QS.CONTEXT.ADD.CURVE(C4791,"SOFR",$K$2:$K$7,$L$2:$L$7,,,"Actual360","LogLinear",TRUE)</f>
        <v>QSObject:ContextInput:w1~input.qs_context_add_curve.2359132437744.4790.3.0:35836</v>
      </c>
      <c r="E4791" s="6" t="str">
        <f>_xll.QS.INSTRUMENT.SWAP("swap.4789",H4791,B4791,"USD","SOFR",I4791,J4791,0,"Actual360","Simple","Annual","Annual","Annual")</f>
        <v>QSObject:Swap:w1~swap.4789:11990</v>
      </c>
      <c r="F4791" s="6" t="str">
        <f>_xll.QS.TRADE.CREATE("trade.4789",E4791,A4791,"Receive")</f>
        <v>QSObject:SwapTrade:w1~trade.4789:27066</v>
      </c>
      <c r="G4791" s="3">
        <f>_xll.QS.EVALUATE(C4791,F4791)</f>
        <v>46840.896840543683</v>
      </c>
      <c r="H4791" s="5" t="s">
        <v>4832</v>
      </c>
      <c r="I4791" s="7">
        <v>1478900</v>
      </c>
      <c r="J4791" s="8">
        <v>3.8899999999999997E-2</v>
      </c>
    </row>
    <row r="4792" spans="1:10" x14ac:dyDescent="0.25">
      <c r="A4792" s="5" t="s">
        <v>4826</v>
      </c>
      <c r="B4792" s="5" t="s">
        <v>6659</v>
      </c>
      <c r="C4792" s="6" t="str">
        <f>_xll.QS.CONTEXT.CREATE("market.4790",A4792,"USD","SOFR")</f>
        <v>QSObject:PricingContext:w1~market.4790:11989</v>
      </c>
      <c r="D4792" s="6" t="str">
        <f>_xll.QS.CONTEXT.ADD.CURVE(C4792,"SOFR",$K$2:$K$7,$L$2:$L$7,,,"Actual360","LogLinear",TRUE)</f>
        <v>QSObject:ContextInput:w1~input.qs_context_add_curve.2359132437744.4791.3.0:35835</v>
      </c>
      <c r="E4792" s="6" t="str">
        <f>_xll.QS.INSTRUMENT.SWAP("swap.4790",H4792,B4792,"USD","SOFR",I4792,J4792,0,"Actual360","Simple","Annual","Annual","Annual")</f>
        <v>QSObject:Swap:w1~swap.4790:11988</v>
      </c>
      <c r="F4792" s="6" t="str">
        <f>_xll.QS.TRADE.CREATE("trade.4790",E4792,A4792,"Receive")</f>
        <v>QSObject:SwapTrade:w1~trade.4790:27065</v>
      </c>
      <c r="G4792" s="3">
        <f>_xll.QS.EVALUATE(C4792,F4792)</f>
        <v>47721.511976958835</v>
      </c>
      <c r="H4792" s="5" t="s">
        <v>4833</v>
      </c>
      <c r="I4792" s="7">
        <v>1479000</v>
      </c>
      <c r="J4792" s="8">
        <v>3.9000000000000007E-2</v>
      </c>
    </row>
    <row r="4793" spans="1:10" x14ac:dyDescent="0.25">
      <c r="A4793" s="5" t="s">
        <v>4827</v>
      </c>
      <c r="B4793" s="5" t="s">
        <v>6660</v>
      </c>
      <c r="C4793" s="6" t="str">
        <f>_xll.QS.CONTEXT.CREATE("market.4791",A4793,"USD","SOFR")</f>
        <v>QSObject:PricingContext:w1~market.4791:11987</v>
      </c>
      <c r="D4793" s="6" t="str">
        <f>_xll.QS.CONTEXT.ADD.CURVE(C4793,"SOFR",$K$2:$K$7,$L$2:$L$7,,,"Actual360","LogLinear",TRUE)</f>
        <v>QSObject:ContextInput:w1~input.qs_context_add_curve.2359132437744.4792.3.0:35834</v>
      </c>
      <c r="E4793" s="6" t="str">
        <f>_xll.QS.INSTRUMENT.SWAP("swap.4791",H4793,B4793,"USD","SOFR",I4793,J4793,0,"Actual360","Simple","Annual","Annual","Annual")</f>
        <v>QSObject:Swap:w1~swap.4791:11986</v>
      </c>
      <c r="F4793" s="6" t="str">
        <f>_xll.QS.TRADE.CREATE("trade.4791",E4793,A4793,"Receive")</f>
        <v>QSObject:SwapTrade:w1~trade.4791:27064</v>
      </c>
      <c r="G4793" s="3">
        <f>_xll.QS.EVALUATE(C4793,F4793)</f>
        <v>48420.888799689434</v>
      </c>
      <c r="H4793" s="5" t="s">
        <v>4834</v>
      </c>
      <c r="I4793" s="7">
        <v>1479100</v>
      </c>
      <c r="J4793" s="8">
        <v>3.9100000000000003E-2</v>
      </c>
    </row>
    <row r="4794" spans="1:10" x14ac:dyDescent="0.25">
      <c r="A4794" s="5" t="s">
        <v>4828</v>
      </c>
      <c r="B4794" s="5" t="s">
        <v>6661</v>
      </c>
      <c r="C4794" s="6" t="str">
        <f>_xll.QS.CONTEXT.CREATE("market.4792",A4794,"USD","SOFR")</f>
        <v>QSObject:PricingContext:w1~market.4792:11985</v>
      </c>
      <c r="D4794" s="6" t="str">
        <f>_xll.QS.CONTEXT.ADD.CURVE(C4794,"SOFR",$K$2:$K$7,$L$2:$L$7,,,"Actual360","LogLinear",TRUE)</f>
        <v>QSObject:ContextInput:w1~input.qs_context_add_curve.2359132437744.4793.3.0:35833</v>
      </c>
      <c r="E4794" s="6" t="str">
        <f>_xll.QS.INSTRUMENT.SWAP("swap.4792",H4794,B4794,"USD","SOFR",I4794,J4794,0,"Actual360","Simple","Annual","Annual","Annual")</f>
        <v>QSObject:Swap:w1~swap.4792:11984</v>
      </c>
      <c r="F4794" s="6" t="str">
        <f>_xll.QS.TRADE.CREATE("trade.4792",E4794,A4794,"Receive")</f>
        <v>QSObject:SwapTrade:w1~trade.4792:27063</v>
      </c>
      <c r="G4794" s="3">
        <f>_xll.QS.EVALUATE(C4794,F4794)</f>
        <v>49106.631517124559</v>
      </c>
      <c r="H4794" s="5" t="s">
        <v>4835</v>
      </c>
      <c r="I4794" s="7">
        <v>1479200</v>
      </c>
      <c r="J4794" s="8">
        <v>3.9200000000000013E-2</v>
      </c>
    </row>
    <row r="4795" spans="1:10" x14ac:dyDescent="0.25">
      <c r="A4795" s="5" t="s">
        <v>4829</v>
      </c>
      <c r="B4795" s="5" t="s">
        <v>6662</v>
      </c>
      <c r="C4795" s="6" t="str">
        <f>_xll.QS.CONTEXT.CREATE("market.4793",A4795,"USD","SOFR")</f>
        <v>QSObject:PricingContext:w1~market.4793:11983</v>
      </c>
      <c r="D4795" s="6" t="str">
        <f>_xll.QS.CONTEXT.ADD.CURVE(C4795,"SOFR",$K$2:$K$7,$L$2:$L$7,,,"Actual360","LogLinear",TRUE)</f>
        <v>QSObject:ContextInput:w1~input.qs_context_add_curve.2359132437744.4794.3.0:35832</v>
      </c>
      <c r="E4795" s="6" t="str">
        <f>_xll.QS.INSTRUMENT.SWAP("swap.4793",H4795,B4795,"USD","SOFR",I4795,J4795,0,"Actual360","Simple","Annual","Annual","Annual")</f>
        <v>QSObject:Swap:w1~swap.4793:11982</v>
      </c>
      <c r="F4795" s="6" t="str">
        <f>_xll.QS.TRADE.CREATE("trade.4793",E4795,A4795,"Receive")</f>
        <v>QSObject:SwapTrade:w1~trade.4793:27062</v>
      </c>
      <c r="G4795" s="3">
        <f>_xll.QS.EVALUATE(C4795,F4795)</f>
        <v>49671.207912031168</v>
      </c>
      <c r="H4795" s="5" t="s">
        <v>4836</v>
      </c>
      <c r="I4795" s="7">
        <v>1479300</v>
      </c>
      <c r="J4795" s="8">
        <v>3.9300000000000002E-2</v>
      </c>
    </row>
    <row r="4796" spans="1:10" x14ac:dyDescent="0.25">
      <c r="A4796" s="5" t="s">
        <v>4830</v>
      </c>
      <c r="B4796" s="5" t="s">
        <v>6663</v>
      </c>
      <c r="C4796" s="6" t="str">
        <f>_xll.QS.CONTEXT.CREATE("market.4794",A4796,"USD","SOFR")</f>
        <v>QSObject:PricingContext:w1~market.4794:11981</v>
      </c>
      <c r="D4796" s="6" t="str">
        <f>_xll.QS.CONTEXT.ADD.CURVE(C4796,"SOFR",$K$2:$K$7,$L$2:$L$7,,,"Actual360","LogLinear",TRUE)</f>
        <v>QSObject:ContextInput:w1~input.qs_context_add_curve.2359132437744.4795.3.0:35831</v>
      </c>
      <c r="E4796" s="6" t="str">
        <f>_xll.QS.INSTRUMENT.SWAP("swap.4794",H4796,B4796,"USD","SOFR",I4796,J4796,0,"Actual360","Simple","Annual","Annual","Annual")</f>
        <v>QSObject:Swap:w1~swap.4794:11980</v>
      </c>
      <c r="F4796" s="6" t="str">
        <f>_xll.QS.TRADE.CREATE("trade.4794",E4796,A4796,"Receive")</f>
        <v>QSObject:SwapTrade:w1~trade.4794:27061</v>
      </c>
      <c r="G4796" s="3">
        <f>_xll.QS.EVALUATE(C4796,F4796)</f>
        <v>50265.91450473298</v>
      </c>
      <c r="H4796" s="5" t="s">
        <v>4837</v>
      </c>
      <c r="I4796" s="7">
        <v>1479400</v>
      </c>
      <c r="J4796" s="8">
        <v>3.9399999999999998E-2</v>
      </c>
    </row>
    <row r="4797" spans="1:10" x14ac:dyDescent="0.25">
      <c r="A4797" s="5" t="s">
        <v>4831</v>
      </c>
      <c r="B4797" s="5" t="s">
        <v>6664</v>
      </c>
      <c r="C4797" s="6" t="str">
        <f>_xll.QS.CONTEXT.CREATE("market.4795",A4797,"USD","SOFR")</f>
        <v>QSObject:PricingContext:w1~market.4795:11979</v>
      </c>
      <c r="D4797" s="6" t="str">
        <f>_xll.QS.CONTEXT.ADD.CURVE(C4797,"SOFR",$K$2:$K$7,$L$2:$L$7,,,"Actual360","LogLinear",TRUE)</f>
        <v>QSObject:ContextInput:w1~input.qs_context_add_curve.2359132437744.4796.3.0:35830</v>
      </c>
      <c r="E4797" s="6" t="str">
        <f>_xll.QS.INSTRUMENT.SWAP("swap.4795",H4797,B4797,"USD","SOFR",I4797,J4797,0,"Actual360","Simple","Annual","Annual","Annual")</f>
        <v>QSObject:Swap:w1~swap.4795:11978</v>
      </c>
      <c r="F4797" s="6" t="str">
        <f>_xll.QS.TRADE.CREATE("trade.4795",E4797,A4797,"Receive")</f>
        <v>QSObject:SwapTrade:w1~trade.4795:27060</v>
      </c>
      <c r="G4797" s="3">
        <f>_xll.QS.EVALUATE(C4797,F4797)</f>
        <v>50955.617374626214</v>
      </c>
      <c r="H4797" s="5" t="s">
        <v>4838</v>
      </c>
      <c r="I4797" s="7">
        <v>1479500</v>
      </c>
      <c r="J4797" s="8">
        <v>3.9500000000000007E-2</v>
      </c>
    </row>
    <row r="4798" spans="1:10" x14ac:dyDescent="0.25">
      <c r="A4798" s="5" t="s">
        <v>4832</v>
      </c>
      <c r="B4798" s="5" t="s">
        <v>6665</v>
      </c>
      <c r="C4798" s="6" t="str">
        <f>_xll.QS.CONTEXT.CREATE("market.4796",A4798,"USD","SOFR")</f>
        <v>QSObject:PricingContext:w1~market.4796:11977</v>
      </c>
      <c r="D4798" s="6" t="str">
        <f>_xll.QS.CONTEXT.ADD.CURVE(C4798,"SOFR",$K$2:$K$7,$L$2:$L$7,,,"Actual360","LogLinear",TRUE)</f>
        <v>QSObject:ContextInput:w1~input.qs_context_add_curve.2359132437744.4797.3.0:35829</v>
      </c>
      <c r="E4798" s="6" t="str">
        <f>_xll.QS.INSTRUMENT.SWAP("swap.4796",H4798,B4798,"USD","SOFR",I4798,J4798,0,"Actual360","Simple","Annual","Annual","Annual")</f>
        <v>QSObject:Swap:w1~swap.4796:11976</v>
      </c>
      <c r="F4798" s="6" t="str">
        <f>_xll.QS.TRADE.CREATE("trade.4796",E4798,A4798,"Receive")</f>
        <v>QSObject:SwapTrade:w1~trade.4796:27059</v>
      </c>
      <c r="G4798" s="3">
        <f>_xll.QS.EVALUATE(C4798,F4798)</f>
        <v>51671.974903578768</v>
      </c>
      <c r="H4798" s="5" t="s">
        <v>4839</v>
      </c>
      <c r="I4798" s="7">
        <v>1479600</v>
      </c>
      <c r="J4798" s="8">
        <v>3.9600000000000003E-2</v>
      </c>
    </row>
    <row r="4799" spans="1:10" x14ac:dyDescent="0.25">
      <c r="A4799" s="5" t="s">
        <v>4833</v>
      </c>
      <c r="B4799" s="5" t="s">
        <v>6666</v>
      </c>
      <c r="C4799" s="6" t="str">
        <f>_xll.QS.CONTEXT.CREATE("market.4797",A4799,"USD","SOFR")</f>
        <v>QSObject:PricingContext:w1~market.4797:11975</v>
      </c>
      <c r="D4799" s="6" t="str">
        <f>_xll.QS.CONTEXT.ADD.CURVE(C4799,"SOFR",$K$2:$K$7,$L$2:$L$7,,,"Actual360","LogLinear",TRUE)</f>
        <v>QSObject:ContextInput:w1~input.qs_context_add_curve.2359132437744.4798.3.0:35828</v>
      </c>
      <c r="E4799" s="6" t="str">
        <f>_xll.QS.INSTRUMENT.SWAP("swap.4797",H4799,B4799,"USD","SOFR",I4799,J4799,0,"Actual360","Simple","Annual","Annual","Annual")</f>
        <v>QSObject:Swap:w1~swap.4797:11974</v>
      </c>
      <c r="F4799" s="6" t="str">
        <f>_xll.QS.TRADE.CREATE("trade.4797",E4799,A4799,"Receive")</f>
        <v>QSObject:SwapTrade:w1~trade.4797:27058</v>
      </c>
      <c r="G4799" s="3">
        <f>_xll.QS.EVALUATE(C4799,F4799)</f>
        <v>52466.079356603041</v>
      </c>
      <c r="H4799" s="5" t="s">
        <v>4840</v>
      </c>
      <c r="I4799" s="7">
        <v>1479700</v>
      </c>
      <c r="J4799" s="8">
        <v>3.9700000000000013E-2</v>
      </c>
    </row>
    <row r="4800" spans="1:10" x14ac:dyDescent="0.25">
      <c r="A4800" s="5" t="s">
        <v>4834</v>
      </c>
      <c r="B4800" s="5" t="s">
        <v>6667</v>
      </c>
      <c r="C4800" s="6" t="str">
        <f>_xll.QS.CONTEXT.CREATE("market.4798",A4800,"USD","SOFR")</f>
        <v>QSObject:PricingContext:w1~market.4798:11973</v>
      </c>
      <c r="D4800" s="6" t="str">
        <f>_xll.QS.CONTEXT.ADD.CURVE(C4800,"SOFR",$K$2:$K$7,$L$2:$L$7,,,"Actual360","LogLinear",TRUE)</f>
        <v>QSObject:ContextInput:w1~input.qs_context_add_curve.2359132437744.4799.3.0:35827</v>
      </c>
      <c r="E4800" s="6" t="str">
        <f>_xll.QS.INSTRUMENT.SWAP("swap.4798",H4800,B4800,"USD","SOFR",I4800,J4800,0,"Actual360","Simple","Annual","Annual","Annual")</f>
        <v>QSObject:Swap:w1~swap.4798:11972</v>
      </c>
      <c r="F4800" s="6" t="str">
        <f>_xll.QS.TRADE.CREATE("trade.4798",E4800,A4800,"Receive")</f>
        <v>QSObject:SwapTrade:w1~trade.4798:27057</v>
      </c>
      <c r="G4800" s="3">
        <f>_xll.QS.EVALUATE(C4800,F4800)</f>
        <v>53216.478236820243</v>
      </c>
      <c r="H4800" s="5" t="s">
        <v>4841</v>
      </c>
      <c r="I4800" s="7">
        <v>1479800</v>
      </c>
      <c r="J4800" s="8">
        <v>3.9800000000000002E-2</v>
      </c>
    </row>
    <row r="4801" spans="1:10" x14ac:dyDescent="0.25">
      <c r="A4801" s="5" t="s">
        <v>4835</v>
      </c>
      <c r="B4801" s="5" t="s">
        <v>6668</v>
      </c>
      <c r="C4801" s="6" t="str">
        <f>_xll.QS.CONTEXT.CREATE("market.4799",A4801,"USD","SOFR")</f>
        <v>QSObject:PricingContext:w1~market.4799:11971</v>
      </c>
      <c r="D4801" s="6" t="str">
        <f>_xll.QS.CONTEXT.ADD.CURVE(C4801,"SOFR",$K$2:$K$7,$L$2:$L$7,,,"Actual360","LogLinear",TRUE)</f>
        <v>QSObject:ContextInput:w1~input.qs_context_add_curve.2359132437744.4800.3.0:35826</v>
      </c>
      <c r="E4801" s="6" t="str">
        <f>_xll.QS.INSTRUMENT.SWAP("swap.4799",H4801,B4801,"USD","SOFR",I4801,J4801,0,"Actual360","Simple","Annual","Annual","Annual")</f>
        <v>QSObject:Swap:w1~swap.4799:11970</v>
      </c>
      <c r="F4801" s="6" t="str">
        <f>_xll.QS.TRADE.CREATE("trade.4799",E4801,A4801,"Receive")</f>
        <v>QSObject:SwapTrade:w1~trade.4799:27056</v>
      </c>
      <c r="G4801" s="3">
        <f>_xll.QS.EVALUATE(C4801,F4801)</f>
        <v>53846.443959336677</v>
      </c>
      <c r="H4801" s="5" t="s">
        <v>4842</v>
      </c>
      <c r="I4801" s="7">
        <v>1479900</v>
      </c>
      <c r="J4801" s="8">
        <v>3.9899999999999998E-2</v>
      </c>
    </row>
    <row r="4802" spans="1:10" x14ac:dyDescent="0.25">
      <c r="A4802" s="5" t="s">
        <v>4836</v>
      </c>
      <c r="B4802" s="5" t="s">
        <v>6669</v>
      </c>
      <c r="C4802" s="6" t="str">
        <f>_xll.QS.CONTEXT.CREATE("market.4800",A4802,"USD","SOFR")</f>
        <v>QSObject:PricingContext:w1~market.4800:11969</v>
      </c>
      <c r="D4802" s="6" t="str">
        <f>_xll.QS.CONTEXT.ADD.CURVE(C4802,"SOFR",$K$2:$K$7,$L$2:$L$7,,,"Actual360","LogLinear",TRUE)</f>
        <v>QSObject:ContextInput:w1~input.qs_context_add_curve.2359132437744.4801.3.0:35825</v>
      </c>
      <c r="E4802" s="6" t="str">
        <f>_xll.QS.INSTRUMENT.SWAP("swap.4800",H4802,B4802,"USD","SOFR",I4802,J4802,0,"Actual360","Simple","Annual","Annual","Annual")</f>
        <v>QSObject:Swap:w1~swap.4800:11968</v>
      </c>
      <c r="F4802" s="6" t="str">
        <f>_xll.QS.TRADE.CREATE("trade.4800",E4802,A4802,"Receive")</f>
        <v>QSObject:SwapTrade:w1~trade.4800:27055</v>
      </c>
      <c r="G4802" s="3">
        <f>_xll.QS.EVALUATE(C4802,F4802)</f>
        <v>20183.303571222219</v>
      </c>
      <c r="H4802" s="5" t="s">
        <v>4843</v>
      </c>
      <c r="I4802" s="7">
        <v>1480000</v>
      </c>
      <c r="J4802" s="8">
        <v>3.5000000000000003E-2</v>
      </c>
    </row>
    <row r="4803" spans="1:10" x14ac:dyDescent="0.25">
      <c r="A4803" s="5" t="s">
        <v>4837</v>
      </c>
      <c r="B4803" s="5" t="s">
        <v>6670</v>
      </c>
      <c r="C4803" s="6" t="str">
        <f>_xll.QS.CONTEXT.CREATE("market.4801",A4803,"USD","SOFR")</f>
        <v>QSObject:PricingContext:w1~market.4801:11967</v>
      </c>
      <c r="D4803" s="6" t="str">
        <f>_xll.QS.CONTEXT.ADD.CURVE(C4803,"SOFR",$K$2:$K$7,$L$2:$L$7,,,"Actual360","LogLinear",TRUE)</f>
        <v>QSObject:ContextInput:w1~input.qs_context_add_curve.2359132437744.4802.3.0:35824</v>
      </c>
      <c r="E4803" s="6" t="str">
        <f>_xll.QS.INSTRUMENT.SWAP("swap.4801",H4803,B4803,"USD","SOFR",I4803,J4803,0,"Actual360","Simple","Annual","Annual","Annual")</f>
        <v>QSObject:Swap:w1~swap.4801:11966</v>
      </c>
      <c r="F4803" s="6" t="str">
        <f>_xll.QS.TRADE.CREATE("trade.4801",E4803,A4803,"Receive")</f>
        <v>QSObject:SwapTrade:w1~trade.4801:27054</v>
      </c>
      <c r="G4803" s="3">
        <f>_xll.QS.EVALUATE(C4803,F4803)</f>
        <v>20868.950982337003</v>
      </c>
      <c r="H4803" s="5" t="s">
        <v>4844</v>
      </c>
      <c r="I4803" s="7">
        <v>1480100</v>
      </c>
      <c r="J4803" s="8">
        <v>3.5100000000000013E-2</v>
      </c>
    </row>
    <row r="4804" spans="1:10" x14ac:dyDescent="0.25">
      <c r="A4804" s="5" t="s">
        <v>4838</v>
      </c>
      <c r="B4804" s="5" t="s">
        <v>6671</v>
      </c>
      <c r="C4804" s="6" t="str">
        <f>_xll.QS.CONTEXT.CREATE("market.4802",A4804,"USD","SOFR")</f>
        <v>QSObject:PricingContext:w1~market.4802:11965</v>
      </c>
      <c r="D4804" s="6" t="str">
        <f>_xll.QS.CONTEXT.ADD.CURVE(C4804,"SOFR",$K$2:$K$7,$L$2:$L$7,,,"Actual360","LogLinear",TRUE)</f>
        <v>QSObject:ContextInput:w1~input.qs_context_add_curve.2359132437744.4803.3.0:35823</v>
      </c>
      <c r="E4804" s="6" t="str">
        <f>_xll.QS.INSTRUMENT.SWAP("swap.4802",H4804,B4804,"USD","SOFR",I4804,J4804,0,"Actual360","Simple","Annual","Annual","Annual")</f>
        <v>QSObject:Swap:w1~swap.4802:11964</v>
      </c>
      <c r="F4804" s="6" t="str">
        <f>_xll.QS.TRADE.CREATE("trade.4802",E4804,A4804,"Receive")</f>
        <v>QSObject:SwapTrade:w1~trade.4802:27053</v>
      </c>
      <c r="G4804" s="3">
        <f>_xll.QS.EVALUATE(C4804,F4804)</f>
        <v>21614.645659561327</v>
      </c>
      <c r="H4804" s="5" t="s">
        <v>4845</v>
      </c>
      <c r="I4804" s="7">
        <v>1480200</v>
      </c>
      <c r="J4804" s="8">
        <v>3.5200000000000002E-2</v>
      </c>
    </row>
    <row r="4805" spans="1:10" x14ac:dyDescent="0.25">
      <c r="A4805" s="5" t="s">
        <v>4839</v>
      </c>
      <c r="B4805" s="5" t="s">
        <v>6672</v>
      </c>
      <c r="C4805" s="6" t="str">
        <f>_xll.QS.CONTEXT.CREATE("market.4803",A4805,"USD","SOFR")</f>
        <v>QSObject:PricingContext:w1~market.4803:11963</v>
      </c>
      <c r="D4805" s="6" t="str">
        <f>_xll.QS.CONTEXT.ADD.CURVE(C4805,"SOFR",$K$2:$K$7,$L$2:$L$7,,,"Actual360","LogLinear",TRUE)</f>
        <v>QSObject:ContextInput:w1~input.qs_context_add_curve.2359132437744.4804.3.0:35822</v>
      </c>
      <c r="E4805" s="6" t="str">
        <f>_xll.QS.INSTRUMENT.SWAP("swap.4803",H4805,B4805,"USD","SOFR",I4805,J4805,0,"Actual360","Simple","Annual","Annual","Annual")</f>
        <v>QSObject:Swap:w1~swap.4803:11962</v>
      </c>
      <c r="F4805" s="6" t="str">
        <f>_xll.QS.TRADE.CREATE("trade.4803",E4805,A4805,"Receive")</f>
        <v>QSObject:SwapTrade:w1~trade.4803:27052</v>
      </c>
      <c r="G4805" s="3">
        <f>_xll.QS.EVALUATE(C4805,F4805)</f>
        <v>22298.797139645263</v>
      </c>
      <c r="H4805" s="5" t="s">
        <v>4846</v>
      </c>
      <c r="I4805" s="7">
        <v>1480300</v>
      </c>
      <c r="J4805" s="8">
        <v>3.5299999999999998E-2</v>
      </c>
    </row>
    <row r="4806" spans="1:10" x14ac:dyDescent="0.25">
      <c r="A4806" s="5" t="s">
        <v>4840</v>
      </c>
      <c r="B4806" s="5" t="s">
        <v>6673</v>
      </c>
      <c r="C4806" s="6" t="str">
        <f>_xll.QS.CONTEXT.CREATE("market.4804",A4806,"USD","SOFR")</f>
        <v>QSObject:PricingContext:w1~market.4804:11961</v>
      </c>
      <c r="D4806" s="6" t="str">
        <f>_xll.QS.CONTEXT.ADD.CURVE(C4806,"SOFR",$K$2:$K$7,$L$2:$L$7,,,"Actual360","LogLinear",TRUE)</f>
        <v>QSObject:ContextInput:w1~input.qs_context_add_curve.2359132437744.4805.3.0:35821</v>
      </c>
      <c r="E4806" s="6" t="str">
        <f>_xll.QS.INSTRUMENT.SWAP("swap.4804",H4806,B4806,"USD","SOFR",I4806,J4806,0,"Actual360","Simple","Annual","Annual","Annual")</f>
        <v>QSObject:Swap:w1~swap.4804:11960</v>
      </c>
      <c r="F4806" s="6" t="str">
        <f>_xll.QS.TRADE.CREATE("trade.4804",E4806,A4806,"Receive")</f>
        <v>QSObject:SwapTrade:w1~trade.4804:27051</v>
      </c>
      <c r="G4806" s="3">
        <f>_xll.QS.EVALUATE(C4806,F4806)</f>
        <v>23148.086475618242</v>
      </c>
      <c r="H4806" s="5" t="s">
        <v>4847</v>
      </c>
      <c r="I4806" s="7">
        <v>1480400</v>
      </c>
      <c r="J4806" s="8">
        <v>3.5400000000000001E-2</v>
      </c>
    </row>
    <row r="4807" spans="1:10" x14ac:dyDescent="0.25">
      <c r="A4807" s="5" t="s">
        <v>4841</v>
      </c>
      <c r="B4807" s="5" t="s">
        <v>6674</v>
      </c>
      <c r="C4807" s="6" t="str">
        <f>_xll.QS.CONTEXT.CREATE("market.4805",A4807,"USD","SOFR")</f>
        <v>QSObject:PricingContext:w1~market.4805:11959</v>
      </c>
      <c r="D4807" s="6" t="str">
        <f>_xll.QS.CONTEXT.ADD.CURVE(C4807,"SOFR",$K$2:$K$7,$L$2:$L$7,,,"Actual360","LogLinear",TRUE)</f>
        <v>QSObject:ContextInput:w1~input.qs_context_add_curve.2359132437744.4806.3.0:35820</v>
      </c>
      <c r="E4807" s="6" t="str">
        <f>_xll.QS.INSTRUMENT.SWAP("swap.4805",H4807,B4807,"USD","SOFR",I4807,J4807,0,"Actual360","Simple","Annual","Annual","Annual")</f>
        <v>QSObject:Swap:w1~swap.4805:11958</v>
      </c>
      <c r="F4807" s="6" t="str">
        <f>_xll.QS.TRADE.CREATE("trade.4805",E4807,A4807,"Receive")</f>
        <v>QSObject:SwapTrade:w1~trade.4805:27050</v>
      </c>
      <c r="G4807" s="3">
        <f>_xll.QS.EVALUATE(C4807,F4807)</f>
        <v>23840.010172726375</v>
      </c>
      <c r="H4807" s="5" t="s">
        <v>4848</v>
      </c>
      <c r="I4807" s="7">
        <v>1480500</v>
      </c>
      <c r="J4807" s="8">
        <v>3.5499999999999997E-2</v>
      </c>
    </row>
    <row r="4808" spans="1:10" x14ac:dyDescent="0.25">
      <c r="A4808" s="5" t="s">
        <v>4842</v>
      </c>
      <c r="B4808" s="5" t="s">
        <v>6675</v>
      </c>
      <c r="C4808" s="6" t="str">
        <f>_xll.QS.CONTEXT.CREATE("market.4806",A4808,"USD","SOFR")</f>
        <v>QSObject:PricingContext:w1~market.4806:11957</v>
      </c>
      <c r="D4808" s="6" t="str">
        <f>_xll.QS.CONTEXT.ADD.CURVE(C4808,"SOFR",$K$2:$K$7,$L$2:$L$7,,,"Actual360","LogLinear",TRUE)</f>
        <v>QSObject:ContextInput:w1~input.qs_context_add_curve.2359132437744.4807.3.0:35819</v>
      </c>
      <c r="E4808" s="6" t="str">
        <f>_xll.QS.INSTRUMENT.SWAP("swap.4806",H4808,B4808,"USD","SOFR",I4808,J4808,0,"Actual360","Simple","Annual","Annual","Annual")</f>
        <v>QSObject:Swap:w1~swap.4806:11956</v>
      </c>
      <c r="F4808" s="6" t="str">
        <f>_xll.QS.TRADE.CREATE("trade.4806",E4808,A4808,"Receive")</f>
        <v>QSObject:SwapTrade:w1~trade.4806:27049</v>
      </c>
      <c r="G4808" s="3">
        <f>_xll.QS.EVALUATE(C4808,F4808)</f>
        <v>24525.914735089667</v>
      </c>
      <c r="H4808" s="5" t="s">
        <v>4849</v>
      </c>
      <c r="I4808" s="7">
        <v>1480600</v>
      </c>
      <c r="J4808" s="8">
        <v>3.5600000000000007E-2</v>
      </c>
    </row>
    <row r="4809" spans="1:10" x14ac:dyDescent="0.25">
      <c r="A4809" s="5" t="s">
        <v>4843</v>
      </c>
      <c r="B4809" s="5" t="s">
        <v>6676</v>
      </c>
      <c r="C4809" s="6" t="str">
        <f>_xll.QS.CONTEXT.CREATE("market.4807",A4809,"USD","SOFR")</f>
        <v>QSObject:PricingContext:w1~market.4807:11955</v>
      </c>
      <c r="D4809" s="6" t="str">
        <f>_xll.QS.CONTEXT.ADD.CURVE(C4809,"SOFR",$K$2:$K$7,$L$2:$L$7,,,"Actual360","LogLinear",TRUE)</f>
        <v>QSObject:ContextInput:w1~input.qs_context_add_curve.2359132437744.4808.3.0:35818</v>
      </c>
      <c r="E4809" s="6" t="str">
        <f>_xll.QS.INSTRUMENT.SWAP("swap.4807",H4809,B4809,"USD","SOFR",I4809,J4809,0,"Actual360","Simple","Annual","Annual","Annual")</f>
        <v>QSObject:Swap:w1~swap.4807:11954</v>
      </c>
      <c r="F4809" s="6" t="str">
        <f>_xll.QS.TRADE.CREATE("trade.4807",E4809,A4809,"Receive")</f>
        <v>QSObject:SwapTrade:w1~trade.4807:27048</v>
      </c>
      <c r="G4809" s="3">
        <f>_xll.QS.EVALUATE(C4809,F4809)</f>
        <v>25030.881416583354</v>
      </c>
      <c r="H4809" s="5" t="s">
        <v>4850</v>
      </c>
      <c r="I4809" s="7">
        <v>1480700</v>
      </c>
      <c r="J4809" s="8">
        <v>3.5700000000000003E-2</v>
      </c>
    </row>
    <row r="4810" spans="1:10" x14ac:dyDescent="0.25">
      <c r="A4810" s="5" t="s">
        <v>4844</v>
      </c>
      <c r="B4810" s="5" t="s">
        <v>6677</v>
      </c>
      <c r="C4810" s="6" t="str">
        <f>_xll.QS.CONTEXT.CREATE("market.4808",A4810,"USD","SOFR")</f>
        <v>QSObject:PricingContext:w1~market.4808:11953</v>
      </c>
      <c r="D4810" s="6" t="str">
        <f>_xll.QS.CONTEXT.ADD.CURVE(C4810,"SOFR",$K$2:$K$7,$L$2:$L$7,,,"Actual360","LogLinear",TRUE)</f>
        <v>QSObject:ContextInput:w1~input.qs_context_add_curve.2359132437744.4809.3.0:35817</v>
      </c>
      <c r="E4810" s="6" t="str">
        <f>_xll.QS.INSTRUMENT.SWAP("swap.4808",H4810,B4810,"USD","SOFR",I4810,J4810,0,"Actual360","Simple","Annual","Annual","Annual")</f>
        <v>QSObject:Swap:w1~swap.4808:11952</v>
      </c>
      <c r="F4810" s="6" t="str">
        <f>_xll.QS.TRADE.CREATE("trade.4808",E4810,A4810,"Receive")</f>
        <v>QSObject:SwapTrade:w1~trade.4808:27047</v>
      </c>
      <c r="G4810" s="3">
        <f>_xll.QS.EVALUATE(C4810,F4810)</f>
        <v>25717.588005298989</v>
      </c>
      <c r="H4810" s="5" t="s">
        <v>4851</v>
      </c>
      <c r="I4810" s="7">
        <v>1480800</v>
      </c>
      <c r="J4810" s="8">
        <v>3.5800000000000012E-2</v>
      </c>
    </row>
    <row r="4811" spans="1:10" x14ac:dyDescent="0.25">
      <c r="A4811" s="5" t="s">
        <v>4845</v>
      </c>
      <c r="B4811" s="5" t="s">
        <v>6678</v>
      </c>
      <c r="C4811" s="6" t="str">
        <f>_xll.QS.CONTEXT.CREATE("market.4809",A4811,"USD","SOFR")</f>
        <v>QSObject:PricingContext:w1~market.4809:11951</v>
      </c>
      <c r="D4811" s="6" t="str">
        <f>_xll.QS.CONTEXT.ADD.CURVE(C4811,"SOFR",$K$2:$K$7,$L$2:$L$7,,,"Actual360","LogLinear",TRUE)</f>
        <v>QSObject:ContextInput:w1~input.qs_context_add_curve.2359132437744.4810.3.0:35816</v>
      </c>
      <c r="E4811" s="6" t="str">
        <f>_xll.QS.INSTRUMENT.SWAP("swap.4809",H4811,B4811,"USD","SOFR",I4811,J4811,0,"Actual360","Simple","Annual","Annual","Annual")</f>
        <v>QSObject:Swap:w1~swap.4809:11950</v>
      </c>
      <c r="F4811" s="6" t="str">
        <f>_xll.QS.TRADE.CREATE("trade.4809",E4811,A4811,"Receive")</f>
        <v>QSObject:SwapTrade:w1~trade.4809:27046</v>
      </c>
      <c r="G4811" s="3">
        <f>_xll.QS.EVALUATE(C4811,F4811)</f>
        <v>26463.653300433994</v>
      </c>
      <c r="H4811" s="5" t="s">
        <v>4852</v>
      </c>
      <c r="I4811" s="7">
        <v>1480900</v>
      </c>
      <c r="J4811" s="8">
        <v>3.5900000000000001E-2</v>
      </c>
    </row>
    <row r="4812" spans="1:10" x14ac:dyDescent="0.25">
      <c r="A4812" s="5" t="s">
        <v>4846</v>
      </c>
      <c r="B4812" s="5" t="s">
        <v>6679</v>
      </c>
      <c r="C4812" s="6" t="str">
        <f>_xll.QS.CONTEXT.CREATE("market.4810",A4812,"USD","SOFR")</f>
        <v>QSObject:PricingContext:w1~market.4810:11949</v>
      </c>
      <c r="D4812" s="6" t="str">
        <f>_xll.QS.CONTEXT.ADD.CURVE(C4812,"SOFR",$K$2:$K$7,$L$2:$L$7,,,"Actual360","LogLinear",TRUE)</f>
        <v>QSObject:ContextInput:w1~input.qs_context_add_curve.2359132437744.4811.3.0:35815</v>
      </c>
      <c r="E4812" s="6" t="str">
        <f>_xll.QS.INSTRUMENT.SWAP("swap.4810",H4812,B4812,"USD","SOFR",I4812,J4812,0,"Actual360","Simple","Annual","Annual","Annual")</f>
        <v>QSObject:Swap:w1~swap.4810:11948</v>
      </c>
      <c r="F4812" s="6" t="str">
        <f>_xll.QS.TRADE.CREATE("trade.4810",E4812,A4812,"Receive")</f>
        <v>QSObject:SwapTrade:w1~trade.4810:27045</v>
      </c>
      <c r="G4812" s="3">
        <f>_xll.QS.EVALUATE(C4812,F4812)</f>
        <v>27256.791373806365</v>
      </c>
      <c r="H4812" s="5" t="s">
        <v>4853</v>
      </c>
      <c r="I4812" s="7">
        <v>1481000</v>
      </c>
      <c r="J4812" s="8">
        <v>3.5999999999999997E-2</v>
      </c>
    </row>
    <row r="4813" spans="1:10" x14ac:dyDescent="0.25">
      <c r="A4813" s="5" t="s">
        <v>4847</v>
      </c>
      <c r="B4813" s="5" t="s">
        <v>6680</v>
      </c>
      <c r="C4813" s="6" t="str">
        <f>_xll.QS.CONTEXT.CREATE("market.4811",A4813,"USD","SOFR")</f>
        <v>QSObject:PricingContext:w1~market.4811:11947</v>
      </c>
      <c r="D4813" s="6" t="str">
        <f>_xll.QS.CONTEXT.ADD.CURVE(C4813,"SOFR",$K$2:$K$7,$L$2:$L$7,,,"Actual360","LogLinear",TRUE)</f>
        <v>QSObject:ContextInput:w1~input.qs_context_add_curve.2359132437744.4812.3.0:35814</v>
      </c>
      <c r="E4813" s="6" t="str">
        <f>_xll.QS.INSTRUMENT.SWAP("swap.4811",H4813,B4813,"USD","SOFR",I4813,J4813,0,"Actual360","Simple","Annual","Annual","Annual")</f>
        <v>QSObject:Swap:w1~swap.4811:11946</v>
      </c>
      <c r="F4813" s="6" t="str">
        <f>_xll.QS.TRADE.CREATE("trade.4811",E4813,A4813,"Receive")</f>
        <v>QSObject:SwapTrade:w1~trade.4811:27044</v>
      </c>
      <c r="G4813" s="3">
        <f>_xll.QS.EVALUATE(C4813,F4813)</f>
        <v>27941.758526232268</v>
      </c>
      <c r="H4813" s="5" t="s">
        <v>4854</v>
      </c>
      <c r="I4813" s="7">
        <v>1481100</v>
      </c>
      <c r="J4813" s="8">
        <v>3.61E-2</v>
      </c>
    </row>
    <row r="4814" spans="1:10" x14ac:dyDescent="0.25">
      <c r="A4814" s="5" t="s">
        <v>4848</v>
      </c>
      <c r="B4814" s="5" t="s">
        <v>6681</v>
      </c>
      <c r="C4814" s="6" t="str">
        <f>_xll.QS.CONTEXT.CREATE("market.4812",A4814,"USD","SOFR")</f>
        <v>QSObject:PricingContext:w1~market.4812:11945</v>
      </c>
      <c r="D4814" s="6" t="str">
        <f>_xll.QS.CONTEXT.ADD.CURVE(C4814,"SOFR",$K$2:$K$7,$L$2:$L$7,,,"Actual360","LogLinear",TRUE)</f>
        <v>QSObject:ContextInput:w1~input.qs_context_add_curve.2359132437744.4813.3.0:35813</v>
      </c>
      <c r="E4814" s="6" t="str">
        <f>_xll.QS.INSTRUMENT.SWAP("swap.4812",H4814,B4814,"USD","SOFR",I4814,J4814,0,"Actual360","Simple","Annual","Annual","Annual")</f>
        <v>QSObject:Swap:w1~swap.4812:11944</v>
      </c>
      <c r="F4814" s="6" t="str">
        <f>_xll.QS.TRADE.CREATE("trade.4812",E4814,A4814,"Receive")</f>
        <v>QSObject:SwapTrade:w1~trade.4812:27043</v>
      </c>
      <c r="G4814" s="3">
        <f>_xll.QS.EVALUATE(C4814,F4814)</f>
        <v>28634.939243812034</v>
      </c>
      <c r="H4814" s="5" t="s">
        <v>4855</v>
      </c>
      <c r="I4814" s="7">
        <v>1481200</v>
      </c>
      <c r="J4814" s="8">
        <v>3.6200000000000003E-2</v>
      </c>
    </row>
    <row r="4815" spans="1:10" x14ac:dyDescent="0.25">
      <c r="A4815" s="5" t="s">
        <v>4849</v>
      </c>
      <c r="B4815" s="5" t="s">
        <v>6682</v>
      </c>
      <c r="C4815" s="6" t="str">
        <f>_xll.QS.CONTEXT.CREATE("market.4813",A4815,"USD","SOFR")</f>
        <v>QSObject:PricingContext:w1~market.4813:11943</v>
      </c>
      <c r="D4815" s="6" t="str">
        <f>_xll.QS.CONTEXT.ADD.CURVE(C4815,"SOFR",$K$2:$K$7,$L$2:$L$7,,,"Actual360","LogLinear",TRUE)</f>
        <v>QSObject:ContextInput:w1~input.qs_context_add_curve.2359132437744.4814.3.0:35812</v>
      </c>
      <c r="E4815" s="6" t="str">
        <f>_xll.QS.INSTRUMENT.SWAP("swap.4813",H4815,B4815,"USD","SOFR",I4815,J4815,0,"Actual360","Simple","Annual","Annual","Annual")</f>
        <v>QSObject:Swap:w1~swap.4813:11942</v>
      </c>
      <c r="F4815" s="6" t="str">
        <f>_xll.QS.TRADE.CREATE("trade.4813",E4815,A4815,"Receive")</f>
        <v>QSObject:SwapTrade:w1~trade.4813:27042</v>
      </c>
      <c r="G4815" s="3">
        <f>_xll.QS.EVALUATE(C4815,F4815)</f>
        <v>29321.508495888425</v>
      </c>
      <c r="H4815" s="5" t="s">
        <v>4856</v>
      </c>
      <c r="I4815" s="7">
        <v>1481300</v>
      </c>
      <c r="J4815" s="8">
        <v>3.6300000000000013E-2</v>
      </c>
    </row>
    <row r="4816" spans="1:10" x14ac:dyDescent="0.25">
      <c r="A4816" s="5" t="s">
        <v>4850</v>
      </c>
      <c r="B4816" s="5" t="s">
        <v>6683</v>
      </c>
      <c r="C4816" s="6" t="str">
        <f>_xll.QS.CONTEXT.CREATE("market.4814",A4816,"USD","SOFR")</f>
        <v>QSObject:PricingContext:w1~market.4814:11941</v>
      </c>
      <c r="D4816" s="6" t="str">
        <f>_xll.QS.CONTEXT.ADD.CURVE(C4816,"SOFR",$K$2:$K$7,$L$2:$L$7,,,"Actual360","LogLinear",TRUE)</f>
        <v>QSObject:ContextInput:w1~input.qs_context_add_curve.2359132437744.4815.3.0:35811</v>
      </c>
      <c r="E4816" s="6" t="str">
        <f>_xll.QS.INSTRUMENT.SWAP("swap.4814",H4816,B4816,"USD","SOFR",I4816,J4816,0,"Actual360","Simple","Annual","Annual","Annual")</f>
        <v>QSObject:Swap:w1~swap.4814:11940</v>
      </c>
      <c r="F4816" s="6" t="str">
        <f>_xll.QS.TRADE.CREATE("trade.4814",E4816,A4816,"Receive")</f>
        <v>QSObject:SwapTrade:w1~trade.4814:27041</v>
      </c>
      <c r="G4816" s="3">
        <f>_xll.QS.EVALUATE(C4816,F4816)</f>
        <v>29826.073772377393</v>
      </c>
      <c r="H4816" s="5" t="s">
        <v>4857</v>
      </c>
      <c r="I4816" s="7">
        <v>1481400</v>
      </c>
      <c r="J4816" s="8">
        <v>3.6400000000000002E-2</v>
      </c>
    </row>
    <row r="4817" spans="1:10" x14ac:dyDescent="0.25">
      <c r="A4817" s="5" t="s">
        <v>4851</v>
      </c>
      <c r="B4817" s="5" t="s">
        <v>6684</v>
      </c>
      <c r="C4817" s="6" t="str">
        <f>_xll.QS.CONTEXT.CREATE("market.4815",A4817,"USD","SOFR")</f>
        <v>QSObject:PricingContext:w1~market.4815:11939</v>
      </c>
      <c r="D4817" s="6" t="str">
        <f>_xll.QS.CONTEXT.ADD.CURVE(C4817,"SOFR",$K$2:$K$7,$L$2:$L$7,,,"Actual360","LogLinear",TRUE)</f>
        <v>QSObject:ContextInput:w1~input.qs_context_add_curve.2359132437744.4816.3.0:35810</v>
      </c>
      <c r="E4817" s="6" t="str">
        <f>_xll.QS.INSTRUMENT.SWAP("swap.4815",H4817,B4817,"USD","SOFR",I4817,J4817,0,"Actual360","Simple","Annual","Annual","Annual")</f>
        <v>QSObject:Swap:w1~swap.4815:11938</v>
      </c>
      <c r="F4817" s="6" t="str">
        <f>_xll.QS.TRADE.CREATE("trade.4815",E4817,A4817,"Receive")</f>
        <v>QSObject:SwapTrade:w1~trade.4815:27040</v>
      </c>
      <c r="G4817" s="3">
        <f>_xll.QS.EVALUATE(C4817,F4817)</f>
        <v>30513.828271409846</v>
      </c>
      <c r="H4817" s="5" t="s">
        <v>4858</v>
      </c>
      <c r="I4817" s="7">
        <v>1481500</v>
      </c>
      <c r="J4817" s="8">
        <v>3.6499999999999998E-2</v>
      </c>
    </row>
    <row r="4818" spans="1:10" x14ac:dyDescent="0.25">
      <c r="A4818" s="5" t="s">
        <v>4852</v>
      </c>
      <c r="B4818" s="5" t="s">
        <v>6685</v>
      </c>
      <c r="C4818" s="6" t="str">
        <f>_xll.QS.CONTEXT.CREATE("market.4816",A4818,"USD","SOFR")</f>
        <v>QSObject:PricingContext:w1~market.4816:11937</v>
      </c>
      <c r="D4818" s="6" t="str">
        <f>_xll.QS.CONTEXT.ADD.CURVE(C4818,"SOFR",$K$2:$K$7,$L$2:$L$7,,,"Actual360","LogLinear",TRUE)</f>
        <v>QSObject:ContextInput:w1~input.qs_context_add_curve.2359132437744.4817.3.0:35809</v>
      </c>
      <c r="E4818" s="6" t="str">
        <f>_xll.QS.INSTRUMENT.SWAP("swap.4816",H4818,B4818,"USD","SOFR",I4818,J4818,0,"Actual360","Simple","Annual","Annual","Annual")</f>
        <v>QSObject:Swap:w1~swap.4816:11936</v>
      </c>
      <c r="F4818" s="6" t="str">
        <f>_xll.QS.TRADE.CREATE("trade.4816",E4818,A4818,"Receive")</f>
        <v>QSObject:SwapTrade:w1~trade.4816:27039</v>
      </c>
      <c r="G4818" s="3">
        <f>_xll.QS.EVALUATE(C4818,F4818)</f>
        <v>31261.036372099632</v>
      </c>
      <c r="H4818" s="5" t="s">
        <v>4859</v>
      </c>
      <c r="I4818" s="7">
        <v>1481600</v>
      </c>
      <c r="J4818" s="8">
        <v>3.6600000000000001E-2</v>
      </c>
    </row>
    <row r="4819" spans="1:10" x14ac:dyDescent="0.25">
      <c r="A4819" s="5" t="s">
        <v>4853</v>
      </c>
      <c r="B4819" s="5" t="s">
        <v>6686</v>
      </c>
      <c r="C4819" s="6" t="str">
        <f>_xll.QS.CONTEXT.CREATE("market.4817",A4819,"USD","SOFR")</f>
        <v>QSObject:PricingContext:w1~market.4817:11935</v>
      </c>
      <c r="D4819" s="6" t="str">
        <f>_xll.QS.CONTEXT.ADD.CURVE(C4819,"SOFR",$K$2:$K$7,$L$2:$L$7,,,"Actual360","LogLinear",TRUE)</f>
        <v>QSObject:ContextInput:w1~input.qs_context_add_curve.2359132437744.4818.3.0:35808</v>
      </c>
      <c r="E4819" s="6" t="str">
        <f>_xll.QS.INSTRUMENT.SWAP("swap.4817",H4819,B4819,"USD","SOFR",I4819,J4819,0,"Actual360","Simple","Annual","Annual","Annual")</f>
        <v>QSObject:Swap:w1~swap.4817:11934</v>
      </c>
      <c r="F4819" s="6" t="str">
        <f>_xll.QS.TRADE.CREATE("trade.4817",E4819,A4819,"Receive")</f>
        <v>QSObject:SwapTrade:w1~trade.4817:27038</v>
      </c>
      <c r="G4819" s="3">
        <f>_xll.QS.EVALUATE(C4819,F4819)</f>
        <v>32054.94247005551</v>
      </c>
      <c r="H4819" s="5" t="s">
        <v>4860</v>
      </c>
      <c r="I4819" s="7">
        <v>1481700</v>
      </c>
      <c r="J4819" s="8">
        <v>3.6700000000000003E-2</v>
      </c>
    </row>
    <row r="4820" spans="1:10" x14ac:dyDescent="0.25">
      <c r="A4820" s="5" t="s">
        <v>4854</v>
      </c>
      <c r="B4820" s="5" t="s">
        <v>6687</v>
      </c>
      <c r="C4820" s="6" t="str">
        <f>_xll.QS.CONTEXT.CREATE("market.4818",A4820,"USD","SOFR")</f>
        <v>QSObject:PricingContext:w1~market.4818:11933</v>
      </c>
      <c r="D4820" s="6" t="str">
        <f>_xll.QS.CONTEXT.ADD.CURVE(C4820,"SOFR",$K$2:$K$7,$L$2:$L$7,,,"Actual360","LogLinear",TRUE)</f>
        <v>QSObject:ContextInput:w1~input.qs_context_add_curve.2359132437744.4819.3.0:35807</v>
      </c>
      <c r="E4820" s="6" t="str">
        <f>_xll.QS.INSTRUMENT.SWAP("swap.4818",H4820,B4820,"USD","SOFR",I4820,J4820,0,"Actual360","Simple","Annual","Annual","Annual")</f>
        <v>QSObject:Swap:w1~swap.4818:11932</v>
      </c>
      <c r="F4820" s="6" t="str">
        <f>_xll.QS.TRADE.CREATE("trade.4818",E4820,A4820,"Receive")</f>
        <v>QSObject:SwapTrade:w1~trade.4818:27037</v>
      </c>
      <c r="G4820" s="3">
        <f>_xll.QS.EVALUATE(C4820,F4820)</f>
        <v>32740.546011234008</v>
      </c>
      <c r="H4820" s="5" t="s">
        <v>4861</v>
      </c>
      <c r="I4820" s="7">
        <v>1481800</v>
      </c>
      <c r="J4820" s="8">
        <v>3.6800000000000013E-2</v>
      </c>
    </row>
    <row r="4821" spans="1:10" x14ac:dyDescent="0.25">
      <c r="A4821" s="5" t="s">
        <v>4855</v>
      </c>
      <c r="B4821" s="5" t="s">
        <v>6688</v>
      </c>
      <c r="C4821" s="6" t="str">
        <f>_xll.QS.CONTEXT.CREATE("market.4819",A4821,"USD","SOFR")</f>
        <v>QSObject:PricingContext:w1~market.4819:11931</v>
      </c>
      <c r="D4821" s="6" t="str">
        <f>_xll.QS.CONTEXT.ADD.CURVE(C4821,"SOFR",$K$2:$K$7,$L$2:$L$7,,,"Actual360","LogLinear",TRUE)</f>
        <v>QSObject:ContextInput:w1~input.qs_context_add_curve.2359132437744.4820.3.0:35806</v>
      </c>
      <c r="E4821" s="6" t="str">
        <f>_xll.QS.INSTRUMENT.SWAP("swap.4819",H4821,B4821,"USD","SOFR",I4821,J4821,0,"Actual360","Simple","Annual","Annual","Annual")</f>
        <v>QSObject:Swap:w1~swap.4819:11930</v>
      </c>
      <c r="F4821" s="6" t="str">
        <f>_xll.QS.TRADE.CREATE("trade.4819",E4821,A4821,"Receive")</f>
        <v>QSObject:SwapTrade:w1~trade.4819:27036</v>
      </c>
      <c r="G4821" s="3">
        <f>_xll.QS.EVALUATE(C4821,F4821)</f>
        <v>33434.389730019495</v>
      </c>
      <c r="H4821" s="5" t="s">
        <v>4862</v>
      </c>
      <c r="I4821" s="7">
        <v>1481900</v>
      </c>
      <c r="J4821" s="8">
        <v>3.6900000000000002E-2</v>
      </c>
    </row>
    <row r="4822" spans="1:10" x14ac:dyDescent="0.25">
      <c r="A4822" s="5" t="s">
        <v>4856</v>
      </c>
      <c r="B4822" s="5" t="s">
        <v>6689</v>
      </c>
      <c r="C4822" s="6" t="str">
        <f>_xll.QS.CONTEXT.CREATE("market.4820",A4822,"USD","SOFR")</f>
        <v>QSObject:PricingContext:w1~market.4820:11929</v>
      </c>
      <c r="D4822" s="6" t="str">
        <f>_xll.QS.CONTEXT.ADD.CURVE(C4822,"SOFR",$K$2:$K$7,$L$2:$L$7,,,"Actual360","LogLinear",TRUE)</f>
        <v>QSObject:ContextInput:w1~input.qs_context_add_curve.2359132437744.4821.3.0:35805</v>
      </c>
      <c r="E4822" s="6" t="str">
        <f>_xll.QS.INSTRUMENT.SWAP("swap.4820",H4822,B4822,"USD","SOFR",I4822,J4822,0,"Actual360","Simple","Annual","Annual","Annual")</f>
        <v>QSObject:Swap:w1~swap.4820:11928</v>
      </c>
      <c r="F4822" s="6" t="str">
        <f>_xll.QS.TRADE.CREATE("trade.4820",E4822,A4822,"Receive")</f>
        <v>QSObject:SwapTrade:w1~trade.4820:27035</v>
      </c>
      <c r="G4822" s="3">
        <f>_xll.QS.EVALUATE(C4822,F4822)</f>
        <v>34003.268474599899</v>
      </c>
      <c r="H4822" s="5" t="s">
        <v>4863</v>
      </c>
      <c r="I4822" s="7">
        <v>1482000</v>
      </c>
      <c r="J4822" s="8">
        <v>3.7000000000000012E-2</v>
      </c>
    </row>
    <row r="4823" spans="1:10" x14ac:dyDescent="0.25">
      <c r="A4823" s="5" t="s">
        <v>4857</v>
      </c>
      <c r="B4823" s="5" t="s">
        <v>6690</v>
      </c>
      <c r="C4823" s="6" t="str">
        <f>_xll.QS.CONTEXT.CREATE("market.4821",A4823,"USD","SOFR")</f>
        <v>QSObject:PricingContext:w1~market.4821:11927</v>
      </c>
      <c r="D4823" s="6" t="str">
        <f>_xll.QS.CONTEXT.ADD.CURVE(C4823,"SOFR",$K$2:$K$7,$L$2:$L$7,,,"Actual360","LogLinear",TRUE)</f>
        <v>QSObject:ContextInput:w1~input.qs_context_add_curve.2359132437744.4822.3.0:35804</v>
      </c>
      <c r="E4823" s="6" t="str">
        <f>_xll.QS.INSTRUMENT.SWAP("swap.4821",H4823,B4823,"USD","SOFR",I4823,J4823,0,"Actual360","Simple","Annual","Annual","Annual")</f>
        <v>QSObject:Swap:w1~swap.4821:11926</v>
      </c>
      <c r="F4823" s="6" t="str">
        <f>_xll.QS.TRADE.CREATE("trade.4821",E4823,A4823,"Receive")</f>
        <v>QSObject:SwapTrade:w1~trade.4821:27034</v>
      </c>
      <c r="G4823" s="3">
        <f>_xll.QS.EVALUATE(C4823,F4823)</f>
        <v>34625.786651075956</v>
      </c>
      <c r="H4823" s="5" t="s">
        <v>4864</v>
      </c>
      <c r="I4823" s="7">
        <v>1482100</v>
      </c>
      <c r="J4823" s="8">
        <v>3.7100000000000001E-2</v>
      </c>
    </row>
    <row r="4824" spans="1:10" x14ac:dyDescent="0.25">
      <c r="A4824" s="5" t="s">
        <v>4858</v>
      </c>
      <c r="B4824" s="5" t="s">
        <v>6691</v>
      </c>
      <c r="C4824" s="6" t="str">
        <f>_xll.QS.CONTEXT.CREATE("market.4822",A4824,"USD","SOFR")</f>
        <v>QSObject:PricingContext:w1~market.4822:11925</v>
      </c>
      <c r="D4824" s="6" t="str">
        <f>_xll.QS.CONTEXT.ADD.CURVE(C4824,"SOFR",$K$2:$K$7,$L$2:$L$7,,,"Actual360","LogLinear",TRUE)</f>
        <v>QSObject:ContextInput:w1~input.qs_context_add_curve.2359132437744.4823.3.0:35803</v>
      </c>
      <c r="E4824" s="6" t="str">
        <f>_xll.QS.INSTRUMENT.SWAP("swap.4822",H4824,B4824,"USD","SOFR",I4824,J4824,0,"Actual360","Simple","Annual","Annual","Annual")</f>
        <v>QSObject:Swap:w1~swap.4822:11924</v>
      </c>
      <c r="F4824" s="6" t="str">
        <f>_xll.QS.TRADE.CREATE("trade.4822",E4824,A4824,"Receive")</f>
        <v>QSObject:SwapTrade:w1~trade.4822:27033</v>
      </c>
      <c r="G4824" s="3">
        <f>_xll.QS.EVALUATE(C4824,F4824)</f>
        <v>35314.589439551506</v>
      </c>
      <c r="H4824" s="5" t="s">
        <v>4865</v>
      </c>
      <c r="I4824" s="7">
        <v>1482200</v>
      </c>
      <c r="J4824" s="8">
        <v>3.7199999999999997E-2</v>
      </c>
    </row>
    <row r="4825" spans="1:10" x14ac:dyDescent="0.25">
      <c r="A4825" s="5" t="s">
        <v>4859</v>
      </c>
      <c r="B4825" s="5" t="s">
        <v>6692</v>
      </c>
      <c r="C4825" s="6" t="str">
        <f>_xll.QS.CONTEXT.CREATE("market.4823",A4825,"USD","SOFR")</f>
        <v>QSObject:PricingContext:w1~market.4823:11923</v>
      </c>
      <c r="D4825" s="6" t="str">
        <f>_xll.QS.CONTEXT.ADD.CURVE(C4825,"SOFR",$K$2:$K$7,$L$2:$L$7,,,"Actual360","LogLinear",TRUE)</f>
        <v>QSObject:ContextInput:w1~input.qs_context_add_curve.2359132437744.4824.3.0:35802</v>
      </c>
      <c r="E4825" s="6" t="str">
        <f>_xll.QS.INSTRUMENT.SWAP("swap.4823",H4825,B4825,"USD","SOFR",I4825,J4825,0,"Actual360","Simple","Annual","Annual","Annual")</f>
        <v>QSObject:Swap:w1~swap.4823:11922</v>
      </c>
      <c r="F4825" s="6" t="str">
        <f>_xll.QS.TRADE.CREATE("trade.4823",E4825,A4825,"Receive")</f>
        <v>QSObject:SwapTrade:w1~trade.4823:27032</v>
      </c>
      <c r="G4825" s="3">
        <f>_xll.QS.EVALUATE(C4825,F4825)</f>
        <v>36226.785607271595</v>
      </c>
      <c r="H4825" s="5" t="s">
        <v>4866</v>
      </c>
      <c r="I4825" s="7">
        <v>1482300</v>
      </c>
      <c r="J4825" s="8">
        <v>3.73E-2</v>
      </c>
    </row>
    <row r="4826" spans="1:10" x14ac:dyDescent="0.25">
      <c r="A4826" s="5" t="s">
        <v>4860</v>
      </c>
      <c r="B4826" s="5" t="s">
        <v>6693</v>
      </c>
      <c r="C4826" s="6" t="str">
        <f>_xll.QS.CONTEXT.CREATE("market.4824",A4826,"USD","SOFR")</f>
        <v>QSObject:PricingContext:w1~market.4824:11921</v>
      </c>
      <c r="D4826" s="6" t="str">
        <f>_xll.QS.CONTEXT.ADD.CURVE(C4826,"SOFR",$K$2:$K$7,$L$2:$L$7,,,"Actual360","LogLinear",TRUE)</f>
        <v>QSObject:ContextInput:w1~input.qs_context_add_curve.2359132437744.4825.3.0:35801</v>
      </c>
      <c r="E4826" s="6" t="str">
        <f>_xll.QS.INSTRUMENT.SWAP("swap.4824",H4826,B4826,"USD","SOFR",I4826,J4826,0,"Actual360","Simple","Annual","Annual","Annual")</f>
        <v>QSObject:Swap:w1~swap.4824:11920</v>
      </c>
      <c r="F4826" s="6" t="str">
        <f>_xll.QS.TRADE.CREATE("trade.4824",E4826,A4826,"Receive")</f>
        <v>QSObject:SwapTrade:w1~trade.4824:27031</v>
      </c>
      <c r="G4826" s="3">
        <f>_xll.QS.EVALUATE(C4826,F4826)</f>
        <v>36912.05478425703</v>
      </c>
      <c r="H4826" s="5" t="s">
        <v>4867</v>
      </c>
      <c r="I4826" s="7">
        <v>1482400</v>
      </c>
      <c r="J4826" s="8">
        <v>3.7400000000000003E-2</v>
      </c>
    </row>
    <row r="4827" spans="1:10" x14ac:dyDescent="0.25">
      <c r="A4827" s="5" t="s">
        <v>4861</v>
      </c>
      <c r="B4827" s="5" t="s">
        <v>6694</v>
      </c>
      <c r="C4827" s="6" t="str">
        <f>_xll.QS.CONTEXT.CREATE("market.4825",A4827,"USD","SOFR")</f>
        <v>QSObject:PricingContext:w1~market.4825:11919</v>
      </c>
      <c r="D4827" s="6" t="str">
        <f>_xll.QS.CONTEXT.ADD.CURVE(C4827,"SOFR",$K$2:$K$7,$L$2:$L$7,,,"Actual360","LogLinear",TRUE)</f>
        <v>QSObject:ContextInput:w1~input.qs_context_add_curve.2359132437744.4826.3.0:35800</v>
      </c>
      <c r="E4827" s="6" t="str">
        <f>_xll.QS.INSTRUMENT.SWAP("swap.4825",H4827,B4827,"USD","SOFR",I4827,J4827,0,"Actual360","Simple","Annual","Annual","Annual")</f>
        <v>QSObject:Swap:w1~swap.4825:11918</v>
      </c>
      <c r="F4827" s="6" t="str">
        <f>_xll.QS.TRADE.CREATE("trade.4825",E4827,A4827,"Receive")</f>
        <v>QSObject:SwapTrade:w1~trade.4825:27030</v>
      </c>
      <c r="G4827" s="3">
        <f>_xll.QS.EVALUATE(C4827,F4827)</f>
        <v>37604.08901361232</v>
      </c>
      <c r="H4827" s="5" t="s">
        <v>4868</v>
      </c>
      <c r="I4827" s="7">
        <v>1482500</v>
      </c>
      <c r="J4827" s="8">
        <v>3.7500000000000012E-2</v>
      </c>
    </row>
    <row r="4828" spans="1:10" x14ac:dyDescent="0.25">
      <c r="A4828" s="5" t="s">
        <v>4862</v>
      </c>
      <c r="B4828" s="5" t="s">
        <v>6695</v>
      </c>
      <c r="C4828" s="6" t="str">
        <f>_xll.QS.CONTEXT.CREATE("market.4826",A4828,"USD","SOFR")</f>
        <v>QSObject:PricingContext:w1~market.4826:11917</v>
      </c>
      <c r="D4828" s="6" t="str">
        <f>_xll.QS.CONTEXT.ADD.CURVE(C4828,"SOFR",$K$2:$K$7,$L$2:$L$7,,,"Actual360","LogLinear",TRUE)</f>
        <v>QSObject:ContextInput:w1~input.qs_context_add_curve.2359132437744.4827.3.0:35799</v>
      </c>
      <c r="E4828" s="6" t="str">
        <f>_xll.QS.INSTRUMENT.SWAP("swap.4826",H4828,B4828,"USD","SOFR",I4828,J4828,0,"Actual360","Simple","Annual","Annual","Annual")</f>
        <v>QSObject:Swap:w1~swap.4826:11916</v>
      </c>
      <c r="F4828" s="6" t="str">
        <f>_xll.QS.TRADE.CREATE("trade.4826",E4828,A4828,"Receive")</f>
        <v>QSObject:SwapTrade:w1~trade.4826:27029</v>
      </c>
      <c r="G4828" s="3">
        <f>_xll.QS.EVALUATE(C4828,F4828)</f>
        <v>38238.214916759505</v>
      </c>
      <c r="H4828" s="5" t="s">
        <v>4869</v>
      </c>
      <c r="I4828" s="7">
        <v>1482600</v>
      </c>
      <c r="J4828" s="8">
        <v>3.7600000000000001E-2</v>
      </c>
    </row>
    <row r="4829" spans="1:10" x14ac:dyDescent="0.25">
      <c r="A4829" s="5" t="s">
        <v>4863</v>
      </c>
      <c r="B4829" s="5" t="s">
        <v>6696</v>
      </c>
      <c r="C4829" s="6" t="str">
        <f>_xll.QS.CONTEXT.CREATE("market.4827",A4829,"USD","SOFR")</f>
        <v>QSObject:PricingContext:w1~market.4827:11915</v>
      </c>
      <c r="D4829" s="6" t="str">
        <f>_xll.QS.CONTEXT.ADD.CURVE(C4829,"SOFR",$K$2:$K$7,$L$2:$L$7,,,"Actual360","LogLinear",TRUE)</f>
        <v>QSObject:ContextInput:w1~input.qs_context_add_curve.2359132437744.4828.3.0:35798</v>
      </c>
      <c r="E4829" s="6" t="str">
        <f>_xll.QS.INSTRUMENT.SWAP("swap.4827",H4829,B4829,"USD","SOFR",I4829,J4829,0,"Actual360","Simple","Annual","Annual","Annual")</f>
        <v>QSObject:Swap:w1~swap.4827:11914</v>
      </c>
      <c r="F4829" s="6" t="str">
        <f>_xll.QS.TRADE.CREATE("trade.4827",E4829,A4829,"Receive")</f>
        <v>QSObject:SwapTrade:w1~trade.4827:27028</v>
      </c>
      <c r="G4829" s="3">
        <f>_xll.QS.EVALUATE(C4829,F4829)</f>
        <v>38927.277493588597</v>
      </c>
      <c r="H4829" s="5" t="s">
        <v>4870</v>
      </c>
      <c r="I4829" s="7">
        <v>1482700</v>
      </c>
      <c r="J4829" s="8">
        <v>3.7699999999999997E-2</v>
      </c>
    </row>
    <row r="4830" spans="1:10" x14ac:dyDescent="0.25">
      <c r="A4830" s="5" t="s">
        <v>4864</v>
      </c>
      <c r="B4830" s="5" t="s">
        <v>6697</v>
      </c>
      <c r="C4830" s="6" t="str">
        <f>_xll.QS.CONTEXT.CREATE("market.4828",A4830,"USD","SOFR")</f>
        <v>QSObject:PricingContext:w1~market.4828:11913</v>
      </c>
      <c r="D4830" s="6" t="str">
        <f>_xll.QS.CONTEXT.ADD.CURVE(C4830,"SOFR",$K$2:$K$7,$L$2:$L$7,,,"Actual360","LogLinear",TRUE)</f>
        <v>QSObject:ContextInput:w1~input.qs_context_add_curve.2359132437744.4829.3.0:35797</v>
      </c>
      <c r="E4830" s="6" t="str">
        <f>_xll.QS.INSTRUMENT.SWAP("swap.4828",H4830,B4830,"USD","SOFR",I4830,J4830,0,"Actual360","Simple","Annual","Annual","Annual")</f>
        <v>QSObject:Swap:w1~swap.4828:11912</v>
      </c>
      <c r="F4830" s="6" t="str">
        <f>_xll.QS.TRADE.CREATE("trade.4828",E4830,A4830,"Receive")</f>
        <v>QSObject:SwapTrade:w1~trade.4828:27027</v>
      </c>
      <c r="G4830" s="3">
        <f>_xll.QS.EVALUATE(C4830,F4830)</f>
        <v>39431.039722260713</v>
      </c>
      <c r="H4830" s="5" t="s">
        <v>4871</v>
      </c>
      <c r="I4830" s="7">
        <v>1482800</v>
      </c>
      <c r="J4830" s="8">
        <v>3.78E-2</v>
      </c>
    </row>
    <row r="4831" spans="1:10" x14ac:dyDescent="0.25">
      <c r="A4831" s="5" t="s">
        <v>4865</v>
      </c>
      <c r="B4831" s="5" t="s">
        <v>6698</v>
      </c>
      <c r="C4831" s="6" t="str">
        <f>_xll.QS.CONTEXT.CREATE("market.4829",A4831,"USD","SOFR")</f>
        <v>QSObject:PricingContext:w1~market.4829:11911</v>
      </c>
      <c r="D4831" s="6" t="str">
        <f>_xll.QS.CONTEXT.ADD.CURVE(C4831,"SOFR",$K$2:$K$7,$L$2:$L$7,,,"Actual360","LogLinear",TRUE)</f>
        <v>QSObject:ContextInput:w1~input.qs_context_add_curve.2359132437744.4830.3.0:35796</v>
      </c>
      <c r="E4831" s="6" t="str">
        <f>_xll.QS.INSTRUMENT.SWAP("swap.4829",H4831,B4831,"USD","SOFR",I4831,J4831,0,"Actual360","Simple","Annual","Annual","Annual")</f>
        <v>QSObject:Swap:w1~swap.4829:11910</v>
      </c>
      <c r="F4831" s="6" t="str">
        <f>_xll.QS.TRADE.CREATE("trade.4829",E4831,A4831,"Receive")</f>
        <v>QSObject:SwapTrade:w1~trade.4829:27026</v>
      </c>
      <c r="G4831" s="3">
        <f>_xll.QS.EVALUATE(C4831,F4831)</f>
        <v>40120.744535346763</v>
      </c>
      <c r="H4831" s="5" t="s">
        <v>4872</v>
      </c>
      <c r="I4831" s="7">
        <v>1482900</v>
      </c>
      <c r="J4831" s="8">
        <v>3.7900000000000003E-2</v>
      </c>
    </row>
    <row r="4832" spans="1:10" x14ac:dyDescent="0.25">
      <c r="A4832" s="5" t="s">
        <v>4866</v>
      </c>
      <c r="B4832" s="5" t="s">
        <v>6699</v>
      </c>
      <c r="C4832" s="6" t="str">
        <f>_xll.QS.CONTEXT.CREATE("market.4830",A4832,"USD","SOFR")</f>
        <v>QSObject:PricingContext:w1~market.4830:11909</v>
      </c>
      <c r="D4832" s="6" t="str">
        <f>_xll.QS.CONTEXT.ADD.CURVE(C4832,"SOFR",$K$2:$K$7,$L$2:$L$7,,,"Actual360","LogLinear",TRUE)</f>
        <v>QSObject:ContextInput:w1~input.qs_context_add_curve.2359132437744.4831.3.0:35795</v>
      </c>
      <c r="E4832" s="6" t="str">
        <f>_xll.QS.INSTRUMENT.SWAP("swap.4830",H4832,B4832,"USD","SOFR",I4832,J4832,0,"Actual360","Simple","Annual","Annual","Annual")</f>
        <v>QSObject:Swap:w1~swap.4830:11908</v>
      </c>
      <c r="F4832" s="6" t="str">
        <f>_xll.QS.TRADE.CREATE("trade.4830",E4832,A4832,"Receive")</f>
        <v>QSObject:SwapTrade:w1~trade.4830:27025</v>
      </c>
      <c r="G4832" s="3">
        <f>_xll.QS.EVALUATE(C4832,F4832)</f>
        <v>40869.525367322531</v>
      </c>
      <c r="H4832" s="5" t="s">
        <v>4873</v>
      </c>
      <c r="I4832" s="7">
        <v>1483000</v>
      </c>
      <c r="J4832" s="8">
        <v>3.8000000000000013E-2</v>
      </c>
    </row>
    <row r="4833" spans="1:10" x14ac:dyDescent="0.25">
      <c r="A4833" s="5" t="s">
        <v>4867</v>
      </c>
      <c r="B4833" s="5" t="s">
        <v>6700</v>
      </c>
      <c r="C4833" s="6" t="str">
        <f>_xll.QS.CONTEXT.CREATE("market.4831",A4833,"USD","SOFR")</f>
        <v>QSObject:PricingContext:w1~market.4831:11907</v>
      </c>
      <c r="D4833" s="6" t="str">
        <f>_xll.QS.CONTEXT.ADD.CURVE(C4833,"SOFR",$K$2:$K$7,$L$2:$L$7,,,"Actual360","LogLinear",TRUE)</f>
        <v>QSObject:ContextInput:w1~input.qs_context_add_curve.2359132437744.4832.3.0:35794</v>
      </c>
      <c r="E4833" s="6" t="str">
        <f>_xll.QS.INSTRUMENT.SWAP("swap.4831",H4833,B4833,"USD","SOFR",I4833,J4833,0,"Actual360","Simple","Annual","Annual","Annual")</f>
        <v>QSObject:Swap:w1~swap.4831:11906</v>
      </c>
      <c r="F4833" s="6" t="str">
        <f>_xll.QS.TRADE.CREATE("trade.4831",E4833,A4833,"Receive")</f>
        <v>QSObject:SwapTrade:w1~trade.4831:27024</v>
      </c>
      <c r="G4833" s="3">
        <f>_xll.QS.EVALUATE(C4833,F4833)</f>
        <v>41664.806728699681</v>
      </c>
      <c r="H4833" s="5" t="s">
        <v>4874</v>
      </c>
      <c r="I4833" s="7">
        <v>1483100</v>
      </c>
      <c r="J4833" s="8">
        <v>3.8100000000000002E-2</v>
      </c>
    </row>
    <row r="4834" spans="1:10" x14ac:dyDescent="0.25">
      <c r="A4834" s="5" t="s">
        <v>4868</v>
      </c>
      <c r="B4834" s="5" t="s">
        <v>6701</v>
      </c>
      <c r="C4834" s="6" t="str">
        <f>_xll.QS.CONTEXT.CREATE("market.4832",A4834,"USD","SOFR")</f>
        <v>QSObject:PricingContext:w1~market.4832:11905</v>
      </c>
      <c r="D4834" s="6" t="str">
        <f>_xll.QS.CONTEXT.ADD.CURVE(C4834,"SOFR",$K$2:$K$7,$L$2:$L$7,,,"Actual360","LogLinear",TRUE)</f>
        <v>QSObject:ContextInput:w1~input.qs_context_add_curve.2359132437744.4833.3.0:35793</v>
      </c>
      <c r="E4834" s="6" t="str">
        <f>_xll.QS.INSTRUMENT.SWAP("swap.4832",H4834,B4834,"USD","SOFR",I4834,J4834,0,"Actual360","Simple","Annual","Annual","Annual")</f>
        <v>QSObject:Swap:w1~swap.4832:11904</v>
      </c>
      <c r="F4834" s="6" t="str">
        <f>_xll.QS.TRADE.CREATE("trade.4832",E4834,A4834,"Receive")</f>
        <v>QSObject:SwapTrade:w1~trade.4832:27023</v>
      </c>
      <c r="G4834" s="3">
        <f>_xll.QS.EVALUATE(C4834,F4834)</f>
        <v>42351.684466029081</v>
      </c>
      <c r="H4834" s="5" t="s">
        <v>4875</v>
      </c>
      <c r="I4834" s="7">
        <v>1483200</v>
      </c>
      <c r="J4834" s="8">
        <v>3.8199999999999998E-2</v>
      </c>
    </row>
    <row r="4835" spans="1:10" x14ac:dyDescent="0.25">
      <c r="A4835" s="5" t="s">
        <v>4869</v>
      </c>
      <c r="B4835" s="5" t="s">
        <v>6702</v>
      </c>
      <c r="C4835" s="6" t="str">
        <f>_xll.QS.CONTEXT.CREATE("market.4833",A4835,"USD","SOFR")</f>
        <v>QSObject:PricingContext:w1~market.4833:11903</v>
      </c>
      <c r="D4835" s="6" t="str">
        <f>_xll.QS.CONTEXT.ADD.CURVE(C4835,"SOFR",$K$2:$K$7,$L$2:$L$7,,,"Actual360","LogLinear",TRUE)</f>
        <v>QSObject:ContextInput:w1~input.qs_context_add_curve.2359132437744.4834.3.0:35792</v>
      </c>
      <c r="E4835" s="6" t="str">
        <f>_xll.QS.INSTRUMENT.SWAP("swap.4833",H4835,B4835,"USD","SOFR",I4835,J4835,0,"Actual360","Simple","Annual","Annual","Annual")</f>
        <v>QSObject:Swap:w1~swap.4833:11902</v>
      </c>
      <c r="F4835" s="6" t="str">
        <f>_xll.QS.TRADE.CREATE("trade.4833",E4835,A4835,"Receive")</f>
        <v>QSObject:SwapTrade:w1~trade.4833:27022</v>
      </c>
      <c r="G4835" s="3">
        <f>_xll.QS.EVALUATE(C4835,F4835)</f>
        <v>43046.606166393278</v>
      </c>
      <c r="H4835" s="5" t="s">
        <v>4876</v>
      </c>
      <c r="I4835" s="7">
        <v>1483300</v>
      </c>
      <c r="J4835" s="8">
        <v>3.8300000000000001E-2</v>
      </c>
    </row>
    <row r="4836" spans="1:10" x14ac:dyDescent="0.25">
      <c r="A4836" s="5" t="s">
        <v>4870</v>
      </c>
      <c r="B4836" s="5" t="s">
        <v>6703</v>
      </c>
      <c r="C4836" s="6" t="str">
        <f>_xll.QS.CONTEXT.CREATE("market.4834",A4836,"USD","SOFR")</f>
        <v>QSObject:PricingContext:w1~market.4834:11901</v>
      </c>
      <c r="D4836" s="6" t="str">
        <f>_xll.QS.CONTEXT.ADD.CURVE(C4836,"SOFR",$K$2:$K$7,$L$2:$L$7,,,"Actual360","LogLinear",TRUE)</f>
        <v>QSObject:ContextInput:w1~input.qs_context_add_curve.2359132437744.4835.3.0:35791</v>
      </c>
      <c r="E4836" s="6" t="str">
        <f>_xll.QS.INSTRUMENT.SWAP("swap.4834",H4836,B4836,"USD","SOFR",I4836,J4836,0,"Actual360","Simple","Annual","Annual","Annual")</f>
        <v>QSObject:Swap:w1~swap.4834:11900</v>
      </c>
      <c r="F4836" s="6" t="str">
        <f>_xll.QS.TRADE.CREATE("trade.4834",E4836,A4836,"Receive")</f>
        <v>QSObject:SwapTrade:w1~trade.4834:27021</v>
      </c>
      <c r="G4836" s="3">
        <f>_xll.QS.EVALUATE(C4836,F4836)</f>
        <v>43735.417542357012</v>
      </c>
      <c r="H4836" s="5" t="s">
        <v>4877</v>
      </c>
      <c r="I4836" s="7">
        <v>1483400</v>
      </c>
      <c r="J4836" s="8">
        <v>3.8399999999999997E-2</v>
      </c>
    </row>
    <row r="4837" spans="1:10" x14ac:dyDescent="0.25">
      <c r="A4837" s="5" t="s">
        <v>4871</v>
      </c>
      <c r="B4837" s="5" t="s">
        <v>6704</v>
      </c>
      <c r="C4837" s="6" t="str">
        <f>_xll.QS.CONTEXT.CREATE("market.4835",A4837,"USD","SOFR")</f>
        <v>QSObject:PricingContext:w1~market.4835:11899</v>
      </c>
      <c r="D4837" s="6" t="str">
        <f>_xll.QS.CONTEXT.ADD.CURVE(C4837,"SOFR",$K$2:$K$7,$L$2:$L$7,,,"Actual360","LogLinear",TRUE)</f>
        <v>QSObject:ContextInput:w1~input.qs_context_add_curve.2359132437744.4836.3.0:35790</v>
      </c>
      <c r="E4837" s="6" t="str">
        <f>_xll.QS.INSTRUMENT.SWAP("swap.4835",H4837,B4837,"USD","SOFR",I4837,J4837,0,"Actual360","Simple","Annual","Annual","Annual")</f>
        <v>QSObject:Swap:w1~swap.4835:11898</v>
      </c>
      <c r="F4837" s="6" t="str">
        <f>_xll.QS.TRADE.CREATE("trade.4835",E4837,A4837,"Receive")</f>
        <v>QSObject:SwapTrade:w1~trade.4835:27020</v>
      </c>
      <c r="G4837" s="3">
        <f>_xll.QS.EVALUATE(C4837,F4837)</f>
        <v>44238.770657279703</v>
      </c>
      <c r="H4837" s="5" t="s">
        <v>4878</v>
      </c>
      <c r="I4837" s="7">
        <v>1483500</v>
      </c>
      <c r="J4837" s="8">
        <v>3.8500000000000013E-2</v>
      </c>
    </row>
    <row r="4838" spans="1:10" x14ac:dyDescent="0.25">
      <c r="A4838" s="5" t="s">
        <v>4872</v>
      </c>
      <c r="B4838" s="5" t="s">
        <v>6705</v>
      </c>
      <c r="C4838" s="6" t="str">
        <f>_xll.QS.CONTEXT.CREATE("market.4836",A4838,"USD","SOFR")</f>
        <v>QSObject:PricingContext:w1~market.4836:11897</v>
      </c>
      <c r="D4838" s="6" t="str">
        <f>_xll.QS.CONTEXT.ADD.CURVE(C4838,"SOFR",$K$2:$K$7,$L$2:$L$7,,,"Actual360","LogLinear",TRUE)</f>
        <v>QSObject:ContextInput:w1~input.qs_context_add_curve.2359132437744.4837.3.0:35789</v>
      </c>
      <c r="E4838" s="6" t="str">
        <f>_xll.QS.INSTRUMENT.SWAP("swap.4836",H4838,B4838,"USD","SOFR",I4838,J4838,0,"Actual360","Simple","Annual","Annual","Annual")</f>
        <v>QSObject:Swap:w1~swap.4836:11896</v>
      </c>
      <c r="F4838" s="6" t="str">
        <f>_xll.QS.TRADE.CREATE("trade.4836",E4838,A4838,"Receive")</f>
        <v>QSObject:SwapTrade:w1~trade.4836:27019</v>
      </c>
      <c r="G4838" s="3">
        <f>_xll.QS.EVALUATE(C4838,F4838)</f>
        <v>44929.490073086286</v>
      </c>
      <c r="H4838" s="5" t="s">
        <v>4879</v>
      </c>
      <c r="I4838" s="7">
        <v>1483600</v>
      </c>
      <c r="J4838" s="8">
        <v>3.8600000000000002E-2</v>
      </c>
    </row>
    <row r="4839" spans="1:10" x14ac:dyDescent="0.25">
      <c r="A4839" s="5" t="s">
        <v>4873</v>
      </c>
      <c r="B4839" s="5" t="s">
        <v>6706</v>
      </c>
      <c r="C4839" s="6" t="str">
        <f>_xll.QS.CONTEXT.CREATE("market.4837",A4839,"USD","SOFR")</f>
        <v>QSObject:PricingContext:w1~market.4837:11895</v>
      </c>
      <c r="D4839" s="6" t="str">
        <f>_xll.QS.CONTEXT.ADD.CURVE(C4839,"SOFR",$K$2:$K$7,$L$2:$L$7,,,"Actual360","LogLinear",TRUE)</f>
        <v>QSObject:ContextInput:w1~input.qs_context_add_curve.2359132437744.4838.3.0:35788</v>
      </c>
      <c r="E4839" s="6" t="str">
        <f>_xll.QS.INSTRUMENT.SWAP("swap.4837",H4839,B4839,"USD","SOFR",I4839,J4839,0,"Actual360","Simple","Annual","Annual","Annual")</f>
        <v>QSObject:Swap:w1~swap.4837:11894</v>
      </c>
      <c r="F4839" s="6" t="str">
        <f>_xll.QS.TRADE.CREATE("trade.4837",E4839,A4839,"Receive")</f>
        <v>QSObject:SwapTrade:w1~trade.4837:27018</v>
      </c>
      <c r="G4839" s="3">
        <f>_xll.QS.EVALUATE(C4839,F4839)</f>
        <v>45680.31951420223</v>
      </c>
      <c r="H4839" s="5" t="s">
        <v>4880</v>
      </c>
      <c r="I4839" s="7">
        <v>1483700</v>
      </c>
      <c r="J4839" s="8">
        <v>3.8700000000000012E-2</v>
      </c>
    </row>
    <row r="4840" spans="1:10" x14ac:dyDescent="0.25">
      <c r="A4840" s="5" t="s">
        <v>4874</v>
      </c>
      <c r="B4840" s="5" t="s">
        <v>6707</v>
      </c>
      <c r="C4840" s="6" t="str">
        <f>_xll.QS.CONTEXT.CREATE("market.4838",A4840,"USD","SOFR")</f>
        <v>QSObject:PricingContext:w1~market.4838:11893</v>
      </c>
      <c r="D4840" s="6" t="str">
        <f>_xll.QS.CONTEXT.ADD.CURVE(C4840,"SOFR",$K$2:$K$7,$L$2:$L$7,,,"Actual360","LogLinear",TRUE)</f>
        <v>QSObject:ContextInput:w1~input.qs_context_add_curve.2359132437744.4839.3.0:35787</v>
      </c>
      <c r="E4840" s="6" t="str">
        <f>_xll.QS.INSTRUMENT.SWAP("swap.4838",H4840,B4840,"USD","SOFR",I4840,J4840,0,"Actual360","Simple","Annual","Annual","Annual")</f>
        <v>QSObject:Swap:w1~swap.4838:11892</v>
      </c>
      <c r="F4840" s="6" t="str">
        <f>_xll.QS.TRADE.CREATE("trade.4838",E4840,A4840,"Receive")</f>
        <v>QSObject:SwapTrade:w1~trade.4838:27017</v>
      </c>
      <c r="G4840" s="3">
        <f>_xll.QS.EVALUATE(C4840,F4840)</f>
        <v>46476.524227341404</v>
      </c>
      <c r="H4840" s="5" t="s">
        <v>4881</v>
      </c>
      <c r="I4840" s="7">
        <v>1483800</v>
      </c>
      <c r="J4840" s="8">
        <v>3.8800000000000001E-2</v>
      </c>
    </row>
    <row r="4841" spans="1:10" x14ac:dyDescent="0.25">
      <c r="A4841" s="5" t="s">
        <v>4875</v>
      </c>
      <c r="B4841" s="5" t="s">
        <v>6708</v>
      </c>
      <c r="C4841" s="6" t="str">
        <f>_xll.QS.CONTEXT.CREATE("market.4839",A4841,"USD","SOFR")</f>
        <v>QSObject:PricingContext:w1~market.4839:11891</v>
      </c>
      <c r="D4841" s="6" t="str">
        <f>_xll.QS.CONTEXT.ADD.CURVE(C4841,"SOFR",$K$2:$K$7,$L$2:$L$7,,,"Actual360","LogLinear",TRUE)</f>
        <v>QSObject:ContextInput:w1~input.qs_context_add_curve.2359132437744.4840.3.0:35786</v>
      </c>
      <c r="E4841" s="6" t="str">
        <f>_xll.QS.INSTRUMENT.SWAP("swap.4839",H4841,B4841,"USD","SOFR",I4841,J4841,0,"Actual360","Simple","Annual","Annual","Annual")</f>
        <v>QSObject:Swap:w1~swap.4839:11890</v>
      </c>
      <c r="F4841" s="6" t="str">
        <f>_xll.QS.TRADE.CREATE("trade.4839",E4841,A4841,"Receive")</f>
        <v>QSObject:SwapTrade:w1~trade.4839:25011</v>
      </c>
      <c r="G4841" s="3">
        <f>_xll.QS.EVALUATE(C4841,F4841)</f>
        <v>47163.695336525772</v>
      </c>
      <c r="H4841" s="5" t="s">
        <v>4882</v>
      </c>
      <c r="I4841" s="7">
        <v>1483900</v>
      </c>
      <c r="J4841" s="8">
        <v>3.8899999999999997E-2</v>
      </c>
    </row>
    <row r="4842" spans="1:10" x14ac:dyDescent="0.25">
      <c r="A4842" s="5" t="s">
        <v>4876</v>
      </c>
      <c r="B4842" s="5" t="s">
        <v>6709</v>
      </c>
      <c r="C4842" s="6" t="str">
        <f>_xll.QS.CONTEXT.CREATE("market.4840",A4842,"USD","SOFR")</f>
        <v>QSObject:PricingContext:w1~market.4840:11889</v>
      </c>
      <c r="D4842" s="6" t="str">
        <f>_xll.QS.CONTEXT.ADD.CURVE(C4842,"SOFR",$K$2:$K$7,$L$2:$L$7,,,"Actual360","LogLinear",TRUE)</f>
        <v>QSObject:ContextInput:w1~input.qs_context_add_curve.2359132437744.4841.3.0:35785</v>
      </c>
      <c r="E4842" s="6" t="str">
        <f>_xll.QS.INSTRUMENT.SWAP("swap.4840",H4842,B4842,"USD","SOFR",I4842,J4842,0,"Actual360","Simple","Annual","Annual","Annual")</f>
        <v>QSObject:Swap:w1~swap.4840:11888</v>
      </c>
      <c r="F4842" s="6" t="str">
        <f>_xll.QS.TRADE.CREATE("trade.4840",E4842,A4842,"Receive")</f>
        <v>QSObject:SwapTrade:w1~trade.4840:26504</v>
      </c>
      <c r="G4842" s="3">
        <f>_xll.QS.EVALUATE(C4842,F4842)</f>
        <v>47861.189354353701</v>
      </c>
      <c r="H4842" s="5" t="s">
        <v>4883</v>
      </c>
      <c r="I4842" s="7">
        <v>1484000</v>
      </c>
      <c r="J4842" s="8">
        <v>3.9000000000000007E-2</v>
      </c>
    </row>
    <row r="4843" spans="1:10" x14ac:dyDescent="0.25">
      <c r="A4843" s="5" t="s">
        <v>4877</v>
      </c>
      <c r="B4843" s="5" t="s">
        <v>6710</v>
      </c>
      <c r="C4843" s="6" t="str">
        <f>_xll.QS.CONTEXT.CREATE("market.4841",A4843,"USD","SOFR")</f>
        <v>QSObject:PricingContext:w1~market.4841:11887</v>
      </c>
      <c r="D4843" s="6" t="str">
        <f>_xll.QS.CONTEXT.ADD.CURVE(C4843,"SOFR",$K$2:$K$7,$L$2:$L$7,,,"Actual360","LogLinear",TRUE)</f>
        <v>QSObject:ContextInput:w1~input.qs_context_add_curve.2359132437744.4842.3.0:35784</v>
      </c>
      <c r="E4843" s="6" t="str">
        <f>_xll.QS.INSTRUMENT.SWAP("swap.4841",H4843,B4843,"USD","SOFR",I4843,J4843,0,"Actual360","Simple","Annual","Annual","Annual")</f>
        <v>QSObject:Swap:w1~swap.4841:11886</v>
      </c>
      <c r="F4843" s="6" t="str">
        <f>_xll.QS.TRADE.CREATE("trade.4841",E4843,A4843,"Receive")</f>
        <v>QSObject:SwapTrade:w1~trade.4841:25697</v>
      </c>
      <c r="G4843" s="3">
        <f>_xll.QS.EVALUATE(C4843,F4843)</f>
        <v>48549.220077792073</v>
      </c>
      <c r="H4843" s="5" t="s">
        <v>4884</v>
      </c>
      <c r="I4843" s="7">
        <v>1484100</v>
      </c>
      <c r="J4843" s="8">
        <v>3.9100000000000003E-2</v>
      </c>
    </row>
    <row r="4844" spans="1:10" x14ac:dyDescent="0.25">
      <c r="A4844" s="5" t="s">
        <v>4878</v>
      </c>
      <c r="B4844" s="5" t="s">
        <v>6711</v>
      </c>
      <c r="C4844" s="6" t="str">
        <f>_xll.QS.CONTEXT.CREATE("market.4842",A4844,"USD","SOFR")</f>
        <v>QSObject:PricingContext:w1~market.4842:11885</v>
      </c>
      <c r="D4844" s="6" t="str">
        <f>_xll.QS.CONTEXT.ADD.CURVE(C4844,"SOFR",$K$2:$K$7,$L$2:$L$7,,,"Actual360","LogLinear",TRUE)</f>
        <v>QSObject:ContextInput:w1~input.qs_context_add_curve.2359132437744.4843.3.0:35783</v>
      </c>
      <c r="E4844" s="6" t="str">
        <f>_xll.QS.INSTRUMENT.SWAP("swap.4842",H4844,B4844,"USD","SOFR",I4844,J4844,0,"Actual360","Simple","Annual","Annual","Annual")</f>
        <v>QSObject:Swap:w1~swap.4842:11884</v>
      </c>
      <c r="F4844" s="6" t="str">
        <f>_xll.QS.TRADE.CREATE("trade.4842",E4844,A4844,"Receive")</f>
        <v>QSObject:SwapTrade:w1~trade.4842:24196</v>
      </c>
      <c r="G4844" s="3">
        <f>_xll.QS.EVALUATE(C4844,F4844)</f>
        <v>49052.16375247734</v>
      </c>
      <c r="H4844" s="5" t="s">
        <v>4885</v>
      </c>
      <c r="I4844" s="7">
        <v>1484200</v>
      </c>
      <c r="J4844" s="8">
        <v>3.9200000000000013E-2</v>
      </c>
    </row>
    <row r="4845" spans="1:10" x14ac:dyDescent="0.25">
      <c r="A4845" s="5" t="s">
        <v>4879</v>
      </c>
      <c r="B4845" s="5" t="s">
        <v>6712</v>
      </c>
      <c r="C4845" s="6" t="str">
        <f>_xll.QS.CONTEXT.CREATE("market.4843",A4845,"USD","SOFR")</f>
        <v>QSObject:PricingContext:w1~market.4843:11883</v>
      </c>
      <c r="D4845" s="6" t="str">
        <f>_xll.QS.CONTEXT.ADD.CURVE(C4845,"SOFR",$K$2:$K$7,$L$2:$L$7,,,"Actual360","LogLinear",TRUE)</f>
        <v>QSObject:ContextInput:w1~input.qs_context_add_curve.2359132437744.4844.3.0:35782</v>
      </c>
      <c r="E4845" s="6" t="str">
        <f>_xll.QS.INSTRUMENT.SWAP("swap.4843",H4845,B4845,"USD","SOFR",I4845,J4845,0,"Actual360","Simple","Annual","Annual","Annual")</f>
        <v>QSObject:Swap:w1~swap.4843:11882</v>
      </c>
      <c r="F4845" s="6" t="str">
        <f>_xll.QS.TRADE.CREATE("trade.4843",E4845,A4845,"Receive")</f>
        <v>QSObject:SwapTrade:w1~trade.4843:25696</v>
      </c>
      <c r="G4845" s="3">
        <f>_xll.QS.EVALUATE(C4845,F4845)</f>
        <v>49744.431351785061</v>
      </c>
      <c r="H4845" s="5" t="s">
        <v>4886</v>
      </c>
      <c r="I4845" s="7">
        <v>1484300</v>
      </c>
      <c r="J4845" s="8">
        <v>3.9300000000000002E-2</v>
      </c>
    </row>
    <row r="4846" spans="1:10" x14ac:dyDescent="0.25">
      <c r="A4846" s="5" t="s">
        <v>4880</v>
      </c>
      <c r="B4846" s="5" t="s">
        <v>6713</v>
      </c>
      <c r="C4846" s="6" t="str">
        <f>_xll.QS.CONTEXT.CREATE("market.4844",A4846,"USD","SOFR")</f>
        <v>QSObject:PricingContext:w1~market.4844:11881</v>
      </c>
      <c r="D4846" s="6" t="str">
        <f>_xll.QS.CONTEXT.ADD.CURVE(C4846,"SOFR",$K$2:$K$7,$L$2:$L$7,,,"Actual360","LogLinear",TRUE)</f>
        <v>QSObject:ContextInput:w1~input.qs_context_add_curve.2359132437744.4845.3.0:35781</v>
      </c>
      <c r="E4846" s="6" t="str">
        <f>_xll.QS.INSTRUMENT.SWAP("swap.4844",H4846,B4846,"USD","SOFR",I4846,J4846,0,"Actual360","Simple","Annual","Annual","Annual")</f>
        <v>QSObject:Swap:w1~swap.4844:11880</v>
      </c>
      <c r="F4846" s="6" t="str">
        <f>_xll.QS.TRADE.CREATE("trade.4844",E4846,A4846,"Receive")</f>
        <v>QSObject:SwapTrade:w1~trade.4844:25010</v>
      </c>
      <c r="G4846" s="3">
        <f>_xll.QS.EVALUATE(C4846,F4846)</f>
        <v>50495.020731315453</v>
      </c>
      <c r="H4846" s="5" t="s">
        <v>4887</v>
      </c>
      <c r="I4846" s="7">
        <v>1484400</v>
      </c>
      <c r="J4846" s="8">
        <v>3.9399999999999998E-2</v>
      </c>
    </row>
    <row r="4847" spans="1:10" x14ac:dyDescent="0.25">
      <c r="A4847" s="5" t="s">
        <v>4881</v>
      </c>
      <c r="B4847" s="5" t="s">
        <v>6714</v>
      </c>
      <c r="C4847" s="6" t="str">
        <f>_xll.QS.CONTEXT.CREATE("market.4845",A4847,"USD","SOFR")</f>
        <v>QSObject:PricingContext:w1~market.4845:11879</v>
      </c>
      <c r="D4847" s="6" t="str">
        <f>_xll.QS.CONTEXT.ADD.CURVE(C4847,"SOFR",$K$2:$K$7,$L$2:$L$7,,,"Actual360","LogLinear",TRUE)</f>
        <v>QSObject:ContextInput:w1~input.qs_context_add_curve.2359132437744.4846.3.0:35780</v>
      </c>
      <c r="E4847" s="6" t="str">
        <f>_xll.QS.INSTRUMENT.SWAP("swap.4845",H4847,B4847,"USD","SOFR",I4847,J4847,0,"Actual360","Simple","Annual","Annual","Annual")</f>
        <v>QSObject:Swap:w1~swap.4845:11878</v>
      </c>
      <c r="F4847" s="6" t="str">
        <f>_xll.QS.TRADE.CREATE("trade.4845",E4847,A4847,"Receive")</f>
        <v>QSObject:SwapTrade:w1~trade.4845:24195</v>
      </c>
      <c r="G4847" s="3">
        <f>_xll.QS.EVALUATE(C4847,F4847)</f>
        <v>51292.76299244479</v>
      </c>
      <c r="H4847" s="5" t="s">
        <v>4888</v>
      </c>
      <c r="I4847" s="7">
        <v>1484500</v>
      </c>
      <c r="J4847" s="8">
        <v>3.9500000000000007E-2</v>
      </c>
    </row>
    <row r="4848" spans="1:10" x14ac:dyDescent="0.25">
      <c r="A4848" s="5" t="s">
        <v>4882</v>
      </c>
      <c r="B4848" s="5" t="s">
        <v>6715</v>
      </c>
      <c r="C4848" s="6" t="str">
        <f>_xll.QS.CONTEXT.CREATE("market.4846",A4848,"USD","SOFR")</f>
        <v>QSObject:PricingContext:w1~market.4846:11877</v>
      </c>
      <c r="D4848" s="6" t="str">
        <f>_xll.QS.CONTEXT.ADD.CURVE(C4848,"SOFR",$K$2:$K$7,$L$2:$L$7,,,"Actual360","LogLinear",TRUE)</f>
        <v>QSObject:ContextInput:w1~input.qs_context_add_curve.2359132437744.4847.3.0:35779</v>
      </c>
      <c r="E4848" s="6" t="str">
        <f>_xll.QS.INSTRUMENT.SWAP("swap.4846",H4848,B4848,"USD","SOFR",I4848,J4848,0,"Actual360","Simple","Annual","Annual","Annual")</f>
        <v>QSObject:Swap:w1~swap.4846:11876</v>
      </c>
      <c r="F4848" s="6" t="str">
        <f>_xll.QS.TRADE.CREATE("trade.4846",E4848,A4848,"Receive")</f>
        <v>QSObject:SwapTrade:w1~trade.4846:25695</v>
      </c>
      <c r="G4848" s="3">
        <f>_xll.QS.EVALUATE(C4848,F4848)</f>
        <v>51980.909976377887</v>
      </c>
      <c r="H4848" s="5" t="s">
        <v>4889</v>
      </c>
      <c r="I4848" s="7">
        <v>1484600</v>
      </c>
      <c r="J4848" s="8">
        <v>3.9600000000000003E-2</v>
      </c>
    </row>
    <row r="4849" spans="1:10" x14ac:dyDescent="0.25">
      <c r="A4849" s="5" t="s">
        <v>4883</v>
      </c>
      <c r="B4849" s="5" t="s">
        <v>6716</v>
      </c>
      <c r="C4849" s="6" t="str">
        <f>_xll.QS.CONTEXT.CREATE("market.4847",A4849,"USD","SOFR")</f>
        <v>QSObject:PricingContext:w1~market.4847:11875</v>
      </c>
      <c r="D4849" s="6" t="str">
        <f>_xll.QS.CONTEXT.ADD.CURVE(C4849,"SOFR",$K$2:$K$7,$L$2:$L$7,,,"Actual360","LogLinear",TRUE)</f>
        <v>QSObject:ContextInput:w1~input.qs_context_add_curve.2359132437744.4848.3.0:35778</v>
      </c>
      <c r="E4849" s="6" t="str">
        <f>_xll.QS.INSTRUMENT.SWAP("swap.4847",H4849,B4849,"USD","SOFR",I4849,J4849,0,"Actual360","Simple","Annual","Annual","Annual")</f>
        <v>QSObject:Swap:w1~swap.4847:11874</v>
      </c>
      <c r="F4849" s="6" t="str">
        <f>_xll.QS.TRADE.CREATE("trade.4847",E4849,A4849,"Receive")</f>
        <v>QSObject:SwapTrade:w1~trade.4847:26503</v>
      </c>
      <c r="G4849" s="3">
        <f>_xll.QS.EVALUATE(C4849,F4849)</f>
        <v>52677.623272954406</v>
      </c>
      <c r="H4849" s="5" t="s">
        <v>4890</v>
      </c>
      <c r="I4849" s="7">
        <v>1484700</v>
      </c>
      <c r="J4849" s="8">
        <v>3.9700000000000013E-2</v>
      </c>
    </row>
    <row r="4850" spans="1:10" x14ac:dyDescent="0.25">
      <c r="A4850" s="5" t="s">
        <v>4884</v>
      </c>
      <c r="B4850" s="5" t="s">
        <v>6717</v>
      </c>
      <c r="C4850" s="6" t="str">
        <f>_xll.QS.CONTEXT.CREATE("market.4848",A4850,"USD","SOFR")</f>
        <v>QSObject:PricingContext:w1~market.4848:11873</v>
      </c>
      <c r="D4850" s="6" t="str">
        <f>_xll.QS.CONTEXT.ADD.CURVE(C4850,"SOFR",$K$2:$K$7,$L$2:$L$7,,,"Actual360","LogLinear",TRUE)</f>
        <v>QSObject:ContextInput:w1~input.qs_context_add_curve.2359132437744.4849.3.0:35777</v>
      </c>
      <c r="E4850" s="6" t="str">
        <f>_xll.QS.INSTRUMENT.SWAP("swap.4848",H4850,B4850,"USD","SOFR",I4850,J4850,0,"Actual360","Simple","Annual","Annual","Annual")</f>
        <v>QSObject:Swap:w1~swap.4848:11872</v>
      </c>
      <c r="F4850" s="6" t="str">
        <f>_xll.QS.TRADE.CREATE("trade.4848",E4850,A4850,"Receive")</f>
        <v>QSObject:SwapTrade:w1~trade.4848:25009</v>
      </c>
      <c r="G4850" s="3">
        <f>_xll.QS.EVALUATE(C4850,F4850)</f>
        <v>53267.591126171355</v>
      </c>
      <c r="H4850" s="5" t="s">
        <v>4891</v>
      </c>
      <c r="I4850" s="7">
        <v>1484800</v>
      </c>
      <c r="J4850" s="8">
        <v>3.9800000000000002E-2</v>
      </c>
    </row>
    <row r="4851" spans="1:10" x14ac:dyDescent="0.25">
      <c r="A4851" s="5" t="s">
        <v>4885</v>
      </c>
      <c r="B4851" s="5" t="s">
        <v>6718</v>
      </c>
      <c r="C4851" s="6" t="str">
        <f>_xll.QS.CONTEXT.CREATE("market.4849",A4851,"USD","SOFR")</f>
        <v>QSObject:PricingContext:w1~market.4849:11871</v>
      </c>
      <c r="D4851" s="6" t="str">
        <f>_xll.QS.CONTEXT.ADD.CURVE(C4851,"SOFR",$K$2:$K$7,$L$2:$L$7,,,"Actual360","LogLinear",TRUE)</f>
        <v>QSObject:ContextInput:w1~input.qs_context_add_curve.2359132437744.4850.3.0:35776</v>
      </c>
      <c r="E4851" s="6" t="str">
        <f>_xll.QS.INSTRUMENT.SWAP("swap.4849",H4851,B4851,"USD","SOFR",I4851,J4851,0,"Actual360","Simple","Annual","Annual","Annual")</f>
        <v>QSObject:Swap:w1~swap.4849:11870</v>
      </c>
      <c r="F4851" s="6" t="str">
        <f>_xll.QS.TRADE.CREATE("trade.4849",E4851,A4851,"Receive")</f>
        <v>QSObject:SwapTrade:w1~trade.4849:26996</v>
      </c>
      <c r="G4851" s="3">
        <f>_xll.QS.EVALUATE(C4851,F4851)</f>
        <v>53869.843394918731</v>
      </c>
      <c r="H4851" s="5" t="s">
        <v>4892</v>
      </c>
      <c r="I4851" s="7">
        <v>1484900</v>
      </c>
      <c r="J4851" s="8">
        <v>3.9899999999999998E-2</v>
      </c>
    </row>
    <row r="4852" spans="1:10" x14ac:dyDescent="0.25">
      <c r="A4852" s="5" t="s">
        <v>4886</v>
      </c>
      <c r="B4852" s="5" t="s">
        <v>6719</v>
      </c>
      <c r="C4852" s="6" t="str">
        <f>_xll.QS.CONTEXT.CREATE("market.4850",A4852,"USD","SOFR")</f>
        <v>QSObject:PricingContext:w1~market.4850:11869</v>
      </c>
      <c r="D4852" s="6" t="str">
        <f>_xll.QS.CONTEXT.ADD.CURVE(C4852,"SOFR",$K$2:$K$7,$L$2:$L$7,,,"Actual360","LogLinear",TRUE)</f>
        <v>QSObject:ContextInput:w1~input.qs_context_add_curve.2359132437744.4851.3.0:35775</v>
      </c>
      <c r="E4852" s="6" t="str">
        <f>_xll.QS.INSTRUMENT.SWAP("swap.4850",H4852,B4852,"USD","SOFR",I4852,J4852,0,"Actual360","Simple","Annual","Annual","Annual")</f>
        <v>QSObject:Swap:w1~swap.4850:11868</v>
      </c>
      <c r="F4852" s="6" t="str">
        <f>_xll.QS.TRADE.CREATE("trade.4850",E4852,A4852,"Receive")</f>
        <v>QSObject:SwapTrade:w1~trade.4850:24194</v>
      </c>
      <c r="G4852" s="3">
        <f>_xll.QS.EVALUATE(C4852,F4852)</f>
        <v>20310.090499817394</v>
      </c>
      <c r="H4852" s="5" t="s">
        <v>4893</v>
      </c>
      <c r="I4852" s="7">
        <v>1485000</v>
      </c>
      <c r="J4852" s="8">
        <v>3.5000000000000003E-2</v>
      </c>
    </row>
    <row r="4853" spans="1:10" x14ac:dyDescent="0.25">
      <c r="A4853" s="5" t="s">
        <v>4887</v>
      </c>
      <c r="B4853" s="5" t="s">
        <v>6720</v>
      </c>
      <c r="C4853" s="6" t="str">
        <f>_xll.QS.CONTEXT.CREATE("market.4851",A4853,"USD","SOFR")</f>
        <v>QSObject:PricingContext:w1~market.4851:11867</v>
      </c>
      <c r="D4853" s="6" t="str">
        <f>_xll.QS.CONTEXT.ADD.CURVE(C4853,"SOFR",$K$2:$K$7,$L$2:$L$7,,,"Actual360","LogLinear",TRUE)</f>
        <v>QSObject:ContextInput:w1~input.qs_context_add_curve.2359132437744.4852.3.0:35774</v>
      </c>
      <c r="E4853" s="6" t="str">
        <f>_xll.QS.INSTRUMENT.SWAP("swap.4851",H4853,B4853,"USD","SOFR",I4853,J4853,0,"Actual360","Simple","Annual","Annual","Annual")</f>
        <v>QSObject:Swap:w1~swap.4851:11866</v>
      </c>
      <c r="F4853" s="6" t="str">
        <f>_xll.QS.TRADE.CREATE("trade.4851",E4853,A4853,"Receive")</f>
        <v>QSObject:SwapTrade:w1~trade.4851:25694</v>
      </c>
      <c r="G4853" s="3">
        <f>_xll.QS.EVALUATE(C4853,F4853)</f>
        <v>21057.361563102524</v>
      </c>
      <c r="H4853" s="5" t="s">
        <v>4894</v>
      </c>
      <c r="I4853" s="7">
        <v>1485100</v>
      </c>
      <c r="J4853" s="8">
        <v>3.5100000000000013E-2</v>
      </c>
    </row>
    <row r="4854" spans="1:10" x14ac:dyDescent="0.25">
      <c r="A4854" s="5" t="s">
        <v>4888</v>
      </c>
      <c r="B4854" s="5" t="s">
        <v>6721</v>
      </c>
      <c r="C4854" s="6" t="str">
        <f>_xll.QS.CONTEXT.CREATE("market.4852",A4854,"USD","SOFR")</f>
        <v>QSObject:PricingContext:w1~market.4852:11865</v>
      </c>
      <c r="D4854" s="6" t="str">
        <f>_xll.QS.CONTEXT.ADD.CURVE(C4854,"SOFR",$K$2:$K$7,$L$2:$L$7,,,"Actual360","LogLinear",TRUE)</f>
        <v>QSObject:ContextInput:w1~input.qs_context_add_curve.2359132437744.4853.3.0:35773</v>
      </c>
      <c r="E4854" s="6" t="str">
        <f>_xll.QS.INSTRUMENT.SWAP("swap.4852",H4854,B4854,"USD","SOFR",I4854,J4854,0,"Actual360","Simple","Annual","Annual","Annual")</f>
        <v>QSObject:Swap:w1~swap.4852:11864</v>
      </c>
      <c r="F4854" s="6" t="str">
        <f>_xll.QS.TRADE.CREATE("trade.4852",E4854,A4854,"Receive")</f>
        <v>QSObject:SwapTrade:w1~trade.4852:26502</v>
      </c>
      <c r="G4854" s="3">
        <f>_xll.QS.EVALUATE(C4854,F4854)</f>
        <v>21852.293380498013</v>
      </c>
      <c r="H4854" s="5" t="s">
        <v>4895</v>
      </c>
      <c r="I4854" s="7">
        <v>1485200</v>
      </c>
      <c r="J4854" s="8">
        <v>3.5200000000000002E-2</v>
      </c>
    </row>
    <row r="4855" spans="1:10" x14ac:dyDescent="0.25">
      <c r="A4855" s="5" t="s">
        <v>4889</v>
      </c>
      <c r="B4855" s="5" t="s">
        <v>6722</v>
      </c>
      <c r="C4855" s="6" t="str">
        <f>_xll.QS.CONTEXT.CREATE("market.4853",A4855,"USD","SOFR")</f>
        <v>QSObject:PricingContext:w1~market.4853:11863</v>
      </c>
      <c r="D4855" s="6" t="str">
        <f>_xll.QS.CONTEXT.ADD.CURVE(C4855,"SOFR",$K$2:$K$7,$L$2:$L$7,,,"Actual360","LogLinear",TRUE)</f>
        <v>QSObject:ContextInput:w1~input.qs_context_add_curve.2359132437744.4854.3.0:35772</v>
      </c>
      <c r="E4855" s="6" t="str">
        <f>_xll.QS.INSTRUMENT.SWAP("swap.4853",H4855,B4855,"USD","SOFR",I4855,J4855,0,"Actual360","Simple","Annual","Annual","Annual")</f>
        <v>QSObject:Swap:w1~swap.4853:11862</v>
      </c>
      <c r="F4855" s="6" t="str">
        <f>_xll.QS.TRADE.CREATE("trade.4853",E4855,A4855,"Receive")</f>
        <v>QSObject:SwapTrade:w1~trade.4853:25008</v>
      </c>
      <c r="G4855" s="3">
        <f>_xll.QS.EVALUATE(C4855,F4855)</f>
        <v>22605.616866605189</v>
      </c>
      <c r="H4855" s="5" t="s">
        <v>4896</v>
      </c>
      <c r="I4855" s="7">
        <v>1485300</v>
      </c>
      <c r="J4855" s="8">
        <v>3.5299999999999998E-2</v>
      </c>
    </row>
    <row r="4856" spans="1:10" x14ac:dyDescent="0.25">
      <c r="A4856" s="5" t="s">
        <v>4890</v>
      </c>
      <c r="B4856" s="5" t="s">
        <v>6723</v>
      </c>
      <c r="C4856" s="6" t="str">
        <f>_xll.QS.CONTEXT.CREATE("market.4854",A4856,"USD","SOFR")</f>
        <v>QSObject:PricingContext:w1~market.4854:11861</v>
      </c>
      <c r="D4856" s="6" t="str">
        <f>_xll.QS.CONTEXT.ADD.CURVE(C4856,"SOFR",$K$2:$K$7,$L$2:$L$7,,,"Actual360","LogLinear",TRUE)</f>
        <v>QSObject:ContextInput:w1~input.qs_context_add_curve.2359132437744.4855.3.0:35771</v>
      </c>
      <c r="E4856" s="6" t="str">
        <f>_xll.QS.INSTRUMENT.SWAP("swap.4854",H4856,B4856,"USD","SOFR",I4856,J4856,0,"Actual360","Simple","Annual","Annual","Annual")</f>
        <v>QSObject:Swap:w1~swap.4854:11860</v>
      </c>
      <c r="F4856" s="6" t="str">
        <f>_xll.QS.TRADE.CREATE("trade.4854",E4856,A4856,"Receive")</f>
        <v>QSObject:SwapTrade:w1~trade.4854:26995</v>
      </c>
      <c r="G4856" s="3">
        <f>_xll.QS.EVALUATE(C4856,F4856)</f>
        <v>23293.447934379372</v>
      </c>
      <c r="H4856" s="5" t="s">
        <v>4897</v>
      </c>
      <c r="I4856" s="7">
        <v>1485400</v>
      </c>
      <c r="J4856" s="8">
        <v>3.5400000000000001E-2</v>
      </c>
    </row>
    <row r="4857" spans="1:10" x14ac:dyDescent="0.25">
      <c r="A4857" s="5" t="s">
        <v>4891</v>
      </c>
      <c r="B4857" s="5" t="s">
        <v>6724</v>
      </c>
      <c r="C4857" s="6" t="str">
        <f>_xll.QS.CONTEXT.CREATE("market.4855",A4857,"USD","SOFR")</f>
        <v>QSObject:PricingContext:w1~market.4855:11859</v>
      </c>
      <c r="D4857" s="6" t="str">
        <f>_xll.QS.CONTEXT.ADD.CURVE(C4857,"SOFR",$K$2:$K$7,$L$2:$L$7,,,"Actual360","LogLinear",TRUE)</f>
        <v>QSObject:ContextInput:w1~input.qs_context_add_curve.2359132437744.4856.3.0:35770</v>
      </c>
      <c r="E4857" s="6" t="str">
        <f>_xll.QS.INSTRUMENT.SWAP("swap.4855",H4857,B4857,"USD","SOFR",I4857,J4857,0,"Actual360","Simple","Annual","Annual","Annual")</f>
        <v>QSObject:Swap:w1~swap.4855:11858</v>
      </c>
      <c r="F4857" s="6" t="str">
        <f>_xll.QS.TRADE.CREATE("trade.4855",E4857,A4857,"Receive")</f>
        <v>QSObject:SwapTrade:w1~trade.4855:25007</v>
      </c>
      <c r="G4857" s="3">
        <f>_xll.QS.EVALUATE(C4857,F4857)</f>
        <v>23921.718258735309</v>
      </c>
      <c r="H4857" s="5" t="s">
        <v>4898</v>
      </c>
      <c r="I4857" s="7">
        <v>1485500</v>
      </c>
      <c r="J4857" s="8">
        <v>3.5499999999999997E-2</v>
      </c>
    </row>
    <row r="4858" spans="1:10" x14ac:dyDescent="0.25">
      <c r="A4858" s="5" t="s">
        <v>4892</v>
      </c>
      <c r="B4858" s="5" t="s">
        <v>6725</v>
      </c>
      <c r="C4858" s="6" t="str">
        <f>_xll.QS.CONTEXT.CREATE("market.4856",A4858,"USD","SOFR")</f>
        <v>QSObject:PricingContext:w1~market.4856:11857</v>
      </c>
      <c r="D4858" s="6" t="str">
        <f>_xll.QS.CONTEXT.ADD.CURVE(C4858,"SOFR",$K$2:$K$7,$L$2:$L$7,,,"Actual360","LogLinear",TRUE)</f>
        <v>QSObject:ContextInput:w1~input.qs_context_add_curve.2359132437744.4857.3.0:35769</v>
      </c>
      <c r="E4858" s="6" t="str">
        <f>_xll.QS.INSTRUMENT.SWAP("swap.4856",H4858,B4858,"USD","SOFR",I4858,J4858,0,"Actual360","Simple","Annual","Annual","Annual")</f>
        <v>QSObject:Swap:w1~swap.4856:11856</v>
      </c>
      <c r="F4858" s="6" t="str">
        <f>_xll.QS.TRADE.CREATE("trade.4856",E4858,A4858,"Receive")</f>
        <v>QSObject:SwapTrade:w1~trade.4856:26501</v>
      </c>
      <c r="G4858" s="3">
        <f>_xll.QS.EVALUATE(C4858,F4858)</f>
        <v>24428.447824416813</v>
      </c>
      <c r="H4858" s="5" t="s">
        <v>4899</v>
      </c>
      <c r="I4858" s="7">
        <v>1485600</v>
      </c>
      <c r="J4858" s="8">
        <v>3.5600000000000007E-2</v>
      </c>
    </row>
    <row r="4859" spans="1:10" x14ac:dyDescent="0.25">
      <c r="A4859" s="5" t="s">
        <v>4893</v>
      </c>
      <c r="B4859" s="5" t="s">
        <v>6726</v>
      </c>
      <c r="C4859" s="6" t="str">
        <f>_xll.QS.CONTEXT.CREATE("market.4857",A4859,"USD","SOFR")</f>
        <v>QSObject:PricingContext:w1~market.4857:11855</v>
      </c>
      <c r="D4859" s="6" t="str">
        <f>_xll.QS.CONTEXT.ADD.CURVE(C4859,"SOFR",$K$2:$K$7,$L$2:$L$7,,,"Actual360","LogLinear",TRUE)</f>
        <v>QSObject:ContextInput:w1~input.qs_context_add_curve.2359132437744.4858.3.0:35768</v>
      </c>
      <c r="E4859" s="6" t="str">
        <f>_xll.QS.INSTRUMENT.SWAP("swap.4857",H4859,B4859,"USD","SOFR",I4859,J4859,0,"Actual360","Simple","Annual","Annual","Annual")</f>
        <v>QSObject:Swap:w1~swap.4857:11854</v>
      </c>
      <c r="F4859" s="6" t="str">
        <f>_xll.QS.TRADE.CREATE("trade.4857",E4859,A4859,"Receive")</f>
        <v>QSObject:SwapTrade:w1~trade.4857:24193</v>
      </c>
      <c r="G4859" s="3">
        <f>_xll.QS.EVALUATE(C4859,F4859)</f>
        <v>25117.317543686768</v>
      </c>
      <c r="H4859" s="5" t="s">
        <v>4900</v>
      </c>
      <c r="I4859" s="7">
        <v>1485700</v>
      </c>
      <c r="J4859" s="8">
        <v>3.5700000000000003E-2</v>
      </c>
    </row>
    <row r="4860" spans="1:10" x14ac:dyDescent="0.25">
      <c r="A4860" s="5" t="s">
        <v>4894</v>
      </c>
      <c r="B4860" s="5" t="s">
        <v>6727</v>
      </c>
      <c r="C4860" s="6" t="str">
        <f>_xll.QS.CONTEXT.CREATE("market.4858",A4860,"USD","SOFR")</f>
        <v>QSObject:PricingContext:w1~market.4858:11853</v>
      </c>
      <c r="D4860" s="6" t="str">
        <f>_xll.QS.CONTEXT.ADD.CURVE(C4860,"SOFR",$K$2:$K$7,$L$2:$L$7,,,"Actual360","LogLinear",TRUE)</f>
        <v>QSObject:ContextInput:w1~input.qs_context_add_curve.2359132437744.4859.3.0:35767</v>
      </c>
      <c r="E4860" s="6" t="str">
        <f>_xll.QS.INSTRUMENT.SWAP("swap.4858",H4860,B4860,"USD","SOFR",I4860,J4860,0,"Actual360","Simple","Annual","Annual","Annual")</f>
        <v>QSObject:Swap:w1~swap.4858:11852</v>
      </c>
      <c r="F4860" s="6" t="str">
        <f>_xll.QS.TRADE.CREATE("trade.4858",E4860,A4860,"Receive")</f>
        <v>QSObject:SwapTrade:w1~trade.4858:25693</v>
      </c>
      <c r="G4860" s="3">
        <f>_xll.QS.EVALUATE(C4860,F4860)</f>
        <v>25865.725042362137</v>
      </c>
      <c r="H4860" s="5" t="s">
        <v>4901</v>
      </c>
      <c r="I4860" s="7">
        <v>1485800</v>
      </c>
      <c r="J4860" s="8">
        <v>3.5800000000000012E-2</v>
      </c>
    </row>
    <row r="4861" spans="1:10" x14ac:dyDescent="0.25">
      <c r="A4861" s="5" t="s">
        <v>4895</v>
      </c>
      <c r="B4861" s="5" t="s">
        <v>6728</v>
      </c>
      <c r="C4861" s="6" t="str">
        <f>_xll.QS.CONTEXT.CREATE("market.4859",A4861,"USD","SOFR")</f>
        <v>QSObject:PricingContext:w1~market.4859:11851</v>
      </c>
      <c r="D4861" s="6" t="str">
        <f>_xll.QS.CONTEXT.ADD.CURVE(C4861,"SOFR",$K$2:$K$7,$L$2:$L$7,,,"Actual360","LogLinear",TRUE)</f>
        <v>QSObject:ContextInput:w1~input.qs_context_add_curve.2359132437744.4860.3.0:35766</v>
      </c>
      <c r="E4861" s="6" t="str">
        <f>_xll.QS.INSTRUMENT.SWAP("swap.4859",H4861,B4861,"USD","SOFR",I4861,J4861,0,"Actual360","Simple","Annual","Annual","Annual")</f>
        <v>QSObject:Swap:w1~swap.4859:11850</v>
      </c>
      <c r="F4861" s="6" t="str">
        <f>_xll.QS.TRADE.CREATE("trade.4859",E4861,A4861,"Receive")</f>
        <v>QSObject:SwapTrade:w1~trade.4859:25006</v>
      </c>
      <c r="G4861" s="3">
        <f>_xll.QS.EVALUATE(C4861,F4861)</f>
        <v>26661.629140255733</v>
      </c>
      <c r="H4861" s="5" t="s">
        <v>4902</v>
      </c>
      <c r="I4861" s="7">
        <v>1485900</v>
      </c>
      <c r="J4861" s="8">
        <v>3.5900000000000001E-2</v>
      </c>
    </row>
    <row r="4862" spans="1:10" x14ac:dyDescent="0.25">
      <c r="A4862" s="5" t="s">
        <v>4896</v>
      </c>
      <c r="B4862" s="5" t="s">
        <v>6729</v>
      </c>
      <c r="C4862" s="6" t="str">
        <f>_xll.QS.CONTEXT.CREATE("market.4860",A4862,"USD","SOFR")</f>
        <v>QSObject:PricingContext:w1~market.4860:11849</v>
      </c>
      <c r="D4862" s="6" t="str">
        <f>_xll.QS.CONTEXT.ADD.CURVE(C4862,"SOFR",$K$2:$K$7,$L$2:$L$7,,,"Actual360","LogLinear",TRUE)</f>
        <v>QSObject:ContextInput:w1~input.qs_context_add_curve.2359132437744.4861.3.0:35765</v>
      </c>
      <c r="E4862" s="6" t="str">
        <f>_xll.QS.INSTRUMENT.SWAP("swap.4860",H4862,B4862,"USD","SOFR",I4862,J4862,0,"Actual360","Simple","Annual","Annual","Annual")</f>
        <v>QSObject:Swap:w1~swap.4860:11848</v>
      </c>
      <c r="F4862" s="6" t="str">
        <f>_xll.QS.TRADE.CREATE("trade.4860",E4862,A4862,"Receive")</f>
        <v>QSObject:SwapTrade:w1~trade.4860:26994</v>
      </c>
      <c r="G4862" s="3">
        <f>_xll.QS.EVALUATE(C4862,F4862)</f>
        <v>27349.023433344002</v>
      </c>
      <c r="H4862" s="5" t="s">
        <v>4903</v>
      </c>
      <c r="I4862" s="7">
        <v>1486000</v>
      </c>
      <c r="J4862" s="8">
        <v>3.5999999999999997E-2</v>
      </c>
    </row>
    <row r="4863" spans="1:10" x14ac:dyDescent="0.25">
      <c r="A4863" s="5" t="s">
        <v>4897</v>
      </c>
      <c r="B4863" s="5" t="s">
        <v>6730</v>
      </c>
      <c r="C4863" s="6" t="str">
        <f>_xll.QS.CONTEXT.CREATE("market.4861",A4863,"USD","SOFR")</f>
        <v>QSObject:PricingContext:w1~market.4861:11847</v>
      </c>
      <c r="D4863" s="6" t="str">
        <f>_xll.QS.CONTEXT.ADD.CURVE(C4863,"SOFR",$K$2:$K$7,$L$2:$L$7,,,"Actual360","LogLinear",TRUE)</f>
        <v>QSObject:ContextInput:w1~input.qs_context_add_curve.2359132437744.4862.3.0:35764</v>
      </c>
      <c r="E4863" s="6" t="str">
        <f>_xll.QS.INSTRUMENT.SWAP("swap.4861",H4863,B4863,"USD","SOFR",I4863,J4863,0,"Actual360","Simple","Annual","Annual","Annual")</f>
        <v>QSObject:Swap:w1~swap.4861:11846</v>
      </c>
      <c r="F4863" s="6" t="str">
        <f>_xll.QS.TRADE.CREATE("trade.4861",E4863,A4863,"Receive")</f>
        <v>QSObject:SwapTrade:w1~trade.4861:26500</v>
      </c>
      <c r="G4863" s="3">
        <f>_xll.QS.EVALUATE(C4863,F4863)</f>
        <v>28044.026996322413</v>
      </c>
      <c r="H4863" s="5" t="s">
        <v>4904</v>
      </c>
      <c r="I4863" s="7">
        <v>1486100</v>
      </c>
      <c r="J4863" s="8">
        <v>3.61E-2</v>
      </c>
    </row>
    <row r="4864" spans="1:10" x14ac:dyDescent="0.25">
      <c r="A4864" s="5" t="s">
        <v>4898</v>
      </c>
      <c r="B4864" s="5" t="s">
        <v>6731</v>
      </c>
      <c r="C4864" s="6" t="str">
        <f>_xll.QS.CONTEXT.CREATE("market.4862",A4864,"USD","SOFR")</f>
        <v>QSObject:PricingContext:w1~market.4862:11845</v>
      </c>
      <c r="D4864" s="6" t="str">
        <f>_xll.QS.CONTEXT.ADD.CURVE(C4864,"SOFR",$K$2:$K$7,$L$2:$L$7,,,"Actual360","LogLinear",TRUE)</f>
        <v>QSObject:ContextInput:w1~input.qs_context_add_curve.2359132437744.4863.3.0:35763</v>
      </c>
      <c r="E4864" s="6" t="str">
        <f>_xll.QS.INSTRUMENT.SWAP("swap.4862",H4864,B4864,"USD","SOFR",I4864,J4864,0,"Actual360","Simple","Annual","Annual","Annual")</f>
        <v>QSObject:Swap:w1~swap.4862:11844</v>
      </c>
      <c r="F4864" s="6" t="str">
        <f>_xll.QS.TRADE.CREATE("trade.4862",E4864,A4864,"Receive")</f>
        <v>QSObject:SwapTrade:w1~trade.4862:26993</v>
      </c>
      <c r="G4864" s="3">
        <f>_xll.QS.EVALUATE(C4864,F4864)</f>
        <v>28732.628085622862</v>
      </c>
      <c r="H4864" s="5" t="s">
        <v>4905</v>
      </c>
      <c r="I4864" s="7">
        <v>1486200</v>
      </c>
      <c r="J4864" s="8">
        <v>3.6200000000000003E-2</v>
      </c>
    </row>
    <row r="4865" spans="1:10" x14ac:dyDescent="0.25">
      <c r="A4865" s="5" t="s">
        <v>4899</v>
      </c>
      <c r="B4865" s="5" t="s">
        <v>6732</v>
      </c>
      <c r="C4865" s="6" t="str">
        <f>_xll.QS.CONTEXT.CREATE("market.4863",A4865,"USD","SOFR")</f>
        <v>QSObject:PricingContext:w1~market.4863:11843</v>
      </c>
      <c r="D4865" s="6" t="str">
        <f>_xll.QS.CONTEXT.ADD.CURVE(C4865,"SOFR",$K$2:$K$7,$L$2:$L$7,,,"Actual360","LogLinear",TRUE)</f>
        <v>QSObject:ContextInput:w1~input.qs_context_add_curve.2359132437744.4864.3.0:35762</v>
      </c>
      <c r="E4865" s="6" t="str">
        <f>_xll.QS.INSTRUMENT.SWAP("swap.4863",H4865,B4865,"USD","SOFR",I4865,J4865,0,"Actual360","Simple","Annual","Annual","Annual")</f>
        <v>QSObject:Swap:w1~swap.4863:11842</v>
      </c>
      <c r="F4865" s="6" t="str">
        <f>_xll.QS.TRADE.CREATE("trade.4863",E4865,A4865,"Receive")</f>
        <v>QSObject:SwapTrade:w1~trade.4863:25005</v>
      </c>
      <c r="G4865" s="3">
        <f>_xll.QS.EVALUATE(C4865,F4865)</f>
        <v>29238.950623987148</v>
      </c>
      <c r="H4865" s="5" t="s">
        <v>4906</v>
      </c>
      <c r="I4865" s="7">
        <v>1486300</v>
      </c>
      <c r="J4865" s="8">
        <v>3.6300000000000013E-2</v>
      </c>
    </row>
    <row r="4866" spans="1:10" x14ac:dyDescent="0.25">
      <c r="A4866" s="5" t="s">
        <v>4900</v>
      </c>
      <c r="B4866" s="5" t="s">
        <v>6733</v>
      </c>
      <c r="C4866" s="6" t="str">
        <f>_xll.QS.CONTEXT.CREATE("market.4864",A4866,"USD","SOFR")</f>
        <v>QSObject:PricingContext:w1~market.4864:11841</v>
      </c>
      <c r="D4866" s="6" t="str">
        <f>_xll.QS.CONTEXT.ADD.CURVE(C4866,"SOFR",$K$2:$K$7,$L$2:$L$7,,,"Actual360","LogLinear",TRUE)</f>
        <v>QSObject:ContextInput:w1~input.qs_context_add_curve.2359132437744.4865.3.0:35761</v>
      </c>
      <c r="E4866" s="6" t="str">
        <f>_xll.QS.INSTRUMENT.SWAP("swap.4864",H4866,B4866,"USD","SOFR",I4866,J4866,0,"Actual360","Simple","Annual","Annual","Annual")</f>
        <v>QSObject:Swap:w1~swap.4864:11840</v>
      </c>
      <c r="F4866" s="6" t="str">
        <f>_xll.QS.TRADE.CREATE("trade.4864",E4866,A4866,"Receive")</f>
        <v>QSObject:SwapTrade:w1~trade.4864:24192</v>
      </c>
      <c r="G4866" s="3">
        <f>_xll.QS.EVALUATE(C4866,F4866)</f>
        <v>29928.869488304743</v>
      </c>
      <c r="H4866" s="5" t="s">
        <v>4907</v>
      </c>
      <c r="I4866" s="7">
        <v>1486400</v>
      </c>
      <c r="J4866" s="8">
        <v>3.6400000000000002E-2</v>
      </c>
    </row>
    <row r="4867" spans="1:10" x14ac:dyDescent="0.25">
      <c r="A4867" s="5" t="s">
        <v>4901</v>
      </c>
      <c r="B4867" s="5" t="s">
        <v>6734</v>
      </c>
      <c r="C4867" s="6" t="str">
        <f>_xll.QS.CONTEXT.CREATE("market.4865",A4867,"USD","SOFR")</f>
        <v>QSObject:PricingContext:w1~market.4865:11839</v>
      </c>
      <c r="D4867" s="6" t="str">
        <f>_xll.QS.CONTEXT.ADD.CURVE(C4867,"SOFR",$K$2:$K$7,$L$2:$L$7,,,"Actual360","LogLinear",TRUE)</f>
        <v>QSObject:ContextInput:w1~input.qs_context_add_curve.2359132437744.4866.3.0:35760</v>
      </c>
      <c r="E4867" s="6" t="str">
        <f>_xll.QS.INSTRUMENT.SWAP("swap.4865",H4867,B4867,"USD","SOFR",I4867,J4867,0,"Actual360","Simple","Annual","Annual","Annual")</f>
        <v>QSObject:Swap:w1~swap.4865:11838</v>
      </c>
      <c r="F4867" s="6" t="str">
        <f>_xll.QS.TRADE.CREATE("trade.4865",E4867,A4867,"Receive")</f>
        <v>QSObject:SwapTrade:w1~trade.4865:26992</v>
      </c>
      <c r="G4867" s="3">
        <f>_xll.QS.EVALUATE(C4867,F4867)</f>
        <v>30677.617135718989</v>
      </c>
      <c r="H4867" s="5" t="s">
        <v>4908</v>
      </c>
      <c r="I4867" s="7">
        <v>1486500</v>
      </c>
      <c r="J4867" s="8">
        <v>3.6499999999999998E-2</v>
      </c>
    </row>
    <row r="4868" spans="1:10" x14ac:dyDescent="0.25">
      <c r="A4868" s="5" t="s">
        <v>4902</v>
      </c>
      <c r="B4868" s="5" t="s">
        <v>6735</v>
      </c>
      <c r="C4868" s="6" t="str">
        <f>_xll.QS.CONTEXT.CREATE("market.4866",A4868,"USD","SOFR")</f>
        <v>QSObject:PricingContext:w1~market.4866:11837</v>
      </c>
      <c r="D4868" s="6" t="str">
        <f>_xll.QS.CONTEXT.ADD.CURVE(C4868,"SOFR",$K$2:$K$7,$L$2:$L$7,,,"Actual360","LogLinear",TRUE)</f>
        <v>QSObject:ContextInput:w1~input.qs_context_add_curve.2359132437744.4867.3.0:35759</v>
      </c>
      <c r="E4868" s="6" t="str">
        <f>_xll.QS.INSTRUMENT.SWAP("swap.4866",H4868,B4868,"USD","SOFR",I4868,J4868,0,"Actual360","Simple","Annual","Annual","Annual")</f>
        <v>QSObject:Swap:w1~swap.4866:11836</v>
      </c>
      <c r="F4868" s="6" t="str">
        <f>_xll.QS.TRADE.CREATE("trade.4866",E4868,A4868,"Receive")</f>
        <v>QSObject:SwapTrade:w1~trade.4866:25004</v>
      </c>
      <c r="G4868" s="3">
        <f>_xll.QS.EVALUATE(C4868,F4868)</f>
        <v>31475.078125616921</v>
      </c>
      <c r="H4868" s="5" t="s">
        <v>4909</v>
      </c>
      <c r="I4868" s="7">
        <v>1486600</v>
      </c>
      <c r="J4868" s="8">
        <v>3.6600000000000001E-2</v>
      </c>
    </row>
    <row r="4869" spans="1:10" x14ac:dyDescent="0.25">
      <c r="A4869" s="5" t="s">
        <v>4903</v>
      </c>
      <c r="B4869" s="5" t="s">
        <v>6736</v>
      </c>
      <c r="C4869" s="6" t="str">
        <f>_xll.QS.CONTEXT.CREATE("market.4867",A4869,"USD","SOFR")</f>
        <v>QSObject:PricingContext:w1~market.4867:11835</v>
      </c>
      <c r="D4869" s="6" t="str">
        <f>_xll.QS.CONTEXT.ADD.CURVE(C4869,"SOFR",$K$2:$K$7,$L$2:$L$7,,,"Actual360","LogLinear",TRUE)</f>
        <v>QSObject:ContextInput:w1~input.qs_context_add_curve.2359132437744.4868.3.0:35758</v>
      </c>
      <c r="E4869" s="6" t="str">
        <f>_xll.QS.INSTRUMENT.SWAP("swap.4867",H4869,B4869,"USD","SOFR",I4869,J4869,0,"Actual360","Simple","Annual","Annual","Annual")</f>
        <v>QSObject:Swap:w1~swap.4867:11834</v>
      </c>
      <c r="F4869" s="6" t="str">
        <f>_xll.QS.TRADE.CREATE("trade.4867",E4869,A4869,"Receive")</f>
        <v>QSObject:SwapTrade:w1~trade.4867:24191</v>
      </c>
      <c r="G4869" s="3">
        <f>_xll.QS.EVALUATE(C4869,F4869)</f>
        <v>32162.89687390453</v>
      </c>
      <c r="H4869" s="5" t="s">
        <v>4910</v>
      </c>
      <c r="I4869" s="7">
        <v>1486700</v>
      </c>
      <c r="J4869" s="8">
        <v>3.6700000000000003E-2</v>
      </c>
    </row>
    <row r="4870" spans="1:10" x14ac:dyDescent="0.25">
      <c r="A4870" s="5" t="s">
        <v>4904</v>
      </c>
      <c r="B4870" s="5" t="s">
        <v>6737</v>
      </c>
      <c r="C4870" s="6" t="str">
        <f>_xll.QS.CONTEXT.CREATE("market.4868",A4870,"USD","SOFR")</f>
        <v>QSObject:PricingContext:w1~market.4868:11833</v>
      </c>
      <c r="D4870" s="6" t="str">
        <f>_xll.QS.CONTEXT.ADD.CURVE(C4870,"SOFR",$K$2:$K$7,$L$2:$L$7,,,"Actual360","LogLinear",TRUE)</f>
        <v>QSObject:ContextInput:w1~input.qs_context_add_curve.2359132437744.4869.3.0:35757</v>
      </c>
      <c r="E4870" s="6" t="str">
        <f>_xll.QS.INSTRUMENT.SWAP("swap.4868",H4870,B4870,"USD","SOFR",I4870,J4870,0,"Actual360","Simple","Annual","Annual","Annual")</f>
        <v>QSObject:Swap:w1~swap.4868:11832</v>
      </c>
      <c r="F4870" s="6" t="str">
        <f>_xll.QS.TRADE.CREATE("trade.4868",E4870,A4870,"Receive")</f>
        <v>QSObject:SwapTrade:w1~trade.4868:26499</v>
      </c>
      <c r="G4870" s="3">
        <f>_xll.QS.EVALUATE(C4870,F4870)</f>
        <v>32858.979477232599</v>
      </c>
      <c r="H4870" s="5" t="s">
        <v>4911</v>
      </c>
      <c r="I4870" s="7">
        <v>1486800</v>
      </c>
      <c r="J4870" s="8">
        <v>3.6800000000000013E-2</v>
      </c>
    </row>
    <row r="4871" spans="1:10" x14ac:dyDescent="0.25">
      <c r="A4871" s="5" t="s">
        <v>4905</v>
      </c>
      <c r="B4871" s="5" t="s">
        <v>6738</v>
      </c>
      <c r="C4871" s="6" t="str">
        <f>_xll.QS.CONTEXT.CREATE("market.4869",A4871,"USD","SOFR")</f>
        <v>QSObject:PricingContext:w1~market.4869:11831</v>
      </c>
      <c r="D4871" s="6" t="str">
        <f>_xll.QS.CONTEXT.ADD.CURVE(C4871,"SOFR",$K$2:$K$7,$L$2:$L$7,,,"Actual360","LogLinear",TRUE)</f>
        <v>QSObject:ContextInput:w1~input.qs_context_add_curve.2359132437744.4870.3.0:35756</v>
      </c>
      <c r="E4871" s="6" t="str">
        <f>_xll.QS.INSTRUMENT.SWAP("swap.4869",H4871,B4871,"USD","SOFR",I4871,J4871,0,"Actual360","Simple","Annual","Annual","Annual")</f>
        <v>QSObject:Swap:w1~swap.4869:11830</v>
      </c>
      <c r="F4871" s="6" t="str">
        <f>_xll.QS.TRADE.CREATE("trade.4869",E4871,A4871,"Receive")</f>
        <v>QSObject:SwapTrade:w1~trade.4869:26498</v>
      </c>
      <c r="G4871" s="3">
        <f>_xll.QS.EVALUATE(C4871,F4871)</f>
        <v>33548.429459409868</v>
      </c>
      <c r="H4871" s="5" t="s">
        <v>4912</v>
      </c>
      <c r="I4871" s="7">
        <v>1486900</v>
      </c>
      <c r="J4871" s="8">
        <v>3.6900000000000002E-2</v>
      </c>
    </row>
    <row r="4872" spans="1:10" x14ac:dyDescent="0.25">
      <c r="A4872" s="5" t="s">
        <v>4906</v>
      </c>
      <c r="B4872" s="5" t="s">
        <v>6739</v>
      </c>
      <c r="C4872" s="6" t="str">
        <f>_xll.QS.CONTEXT.CREATE("market.4870",A4872,"USD","SOFR")</f>
        <v>QSObject:PricingContext:w1~market.4870:11829</v>
      </c>
      <c r="D4872" s="6" t="str">
        <f>_xll.QS.CONTEXT.ADD.CURVE(C4872,"SOFR",$K$2:$K$7,$L$2:$L$7,,,"Actual360","LogLinear",TRUE)</f>
        <v>QSObject:ContextInput:w1~input.qs_context_add_curve.2359132437744.4871.3.0:35755</v>
      </c>
      <c r="E4872" s="6" t="str">
        <f>_xll.QS.INSTRUMENT.SWAP("swap.4870",H4872,B4872,"USD","SOFR",I4872,J4872,0,"Actual360","Simple","Annual","Annual","Annual")</f>
        <v>QSObject:Swap:w1~swap.4870:11828</v>
      </c>
      <c r="F4872" s="6" t="str">
        <f>_xll.QS.TRADE.CREATE("trade.4870",E4872,A4872,"Receive")</f>
        <v>QSObject:SwapTrade:w1~trade.4870:26991</v>
      </c>
      <c r="G4872" s="3">
        <f>_xll.QS.EVALUATE(C4872,F4872)</f>
        <v>34054.343487156097</v>
      </c>
      <c r="H4872" s="5" t="s">
        <v>4913</v>
      </c>
      <c r="I4872" s="7">
        <v>1487000</v>
      </c>
      <c r="J4872" s="8">
        <v>3.7000000000000012E-2</v>
      </c>
    </row>
    <row r="4873" spans="1:10" x14ac:dyDescent="0.25">
      <c r="A4873" s="5" t="s">
        <v>4907</v>
      </c>
      <c r="B4873" s="5" t="s">
        <v>6740</v>
      </c>
      <c r="C4873" s="6" t="str">
        <f>_xll.QS.CONTEXT.CREATE("market.4871",A4873,"USD","SOFR")</f>
        <v>QSObject:PricingContext:w1~market.4871:11827</v>
      </c>
      <c r="D4873" s="6" t="str">
        <f>_xll.QS.CONTEXT.ADD.CURVE(C4873,"SOFR",$K$2:$K$7,$L$2:$L$7,,,"Actual360","LogLinear",TRUE)</f>
        <v>QSObject:ContextInput:w1~input.qs_context_add_curve.2359132437744.4872.3.0:35754</v>
      </c>
      <c r="E4873" s="6" t="str">
        <f>_xll.QS.INSTRUMENT.SWAP("swap.4871",H4873,B4873,"USD","SOFR",I4873,J4873,0,"Actual360","Simple","Annual","Annual","Annual")</f>
        <v>QSObject:Swap:w1~swap.4871:11826</v>
      </c>
      <c r="F4873" s="6" t="str">
        <f>_xll.QS.TRADE.CREATE("trade.4871",E4873,A4873,"Receive")</f>
        <v>QSObject:SwapTrade:w1~trade.4871:24190</v>
      </c>
      <c r="G4873" s="3">
        <f>_xll.QS.EVALUATE(C4873,F4873)</f>
        <v>34745.312004754123</v>
      </c>
      <c r="H4873" s="5" t="s">
        <v>4914</v>
      </c>
      <c r="I4873" s="7">
        <v>1487100</v>
      </c>
      <c r="J4873" s="8">
        <v>3.7100000000000001E-2</v>
      </c>
    </row>
    <row r="4874" spans="1:10" x14ac:dyDescent="0.25">
      <c r="A4874" s="5" t="s">
        <v>4908</v>
      </c>
      <c r="B4874" s="5" t="s">
        <v>6741</v>
      </c>
      <c r="C4874" s="6" t="str">
        <f>_xll.QS.CONTEXT.CREATE("market.4872",A4874,"USD","SOFR")</f>
        <v>QSObject:PricingContext:w1~market.4872:11825</v>
      </c>
      <c r="D4874" s="6" t="str">
        <f>_xll.QS.CONTEXT.ADD.CURVE(C4874,"SOFR",$K$2:$K$7,$L$2:$L$7,,,"Actual360","LogLinear",TRUE)</f>
        <v>QSObject:ContextInput:w1~input.qs_context_add_curve.2359132437744.4873.3.0:35753</v>
      </c>
      <c r="E4874" s="6" t="str">
        <f>_xll.QS.INSTRUMENT.SWAP("swap.4872",H4874,B4874,"USD","SOFR",I4874,J4874,0,"Actual360","Simple","Annual","Annual","Annual")</f>
        <v>QSObject:Swap:w1~swap.4872:11824</v>
      </c>
      <c r="F4874" s="6" t="str">
        <f>_xll.QS.TRADE.CREATE("trade.4872",E4874,A4874,"Receive")</f>
        <v>QSObject:SwapTrade:w1~trade.4872:25692</v>
      </c>
      <c r="G4874" s="3">
        <f>_xll.QS.EVALUATE(C4874,F4874)</f>
        <v>35496.016033791551</v>
      </c>
      <c r="H4874" s="5" t="s">
        <v>4915</v>
      </c>
      <c r="I4874" s="7">
        <v>1487200</v>
      </c>
      <c r="J4874" s="8">
        <v>3.7199999999999997E-2</v>
      </c>
    </row>
    <row r="4875" spans="1:10" x14ac:dyDescent="0.25">
      <c r="A4875" s="5" t="s">
        <v>4909</v>
      </c>
      <c r="B4875" s="5" t="s">
        <v>6742</v>
      </c>
      <c r="C4875" s="6" t="str">
        <f>_xll.QS.CONTEXT.CREATE("market.4873",A4875,"USD","SOFR")</f>
        <v>QSObject:PricingContext:w1~market.4873:11823</v>
      </c>
      <c r="D4875" s="6" t="str">
        <f>_xll.QS.CONTEXT.ADD.CURVE(C4875,"SOFR",$K$2:$K$7,$L$2:$L$7,,,"Actual360","LogLinear",TRUE)</f>
        <v>QSObject:ContextInput:w1~input.qs_context_add_curve.2359132437744.4874.3.0:35752</v>
      </c>
      <c r="E4875" s="6" t="str">
        <f>_xll.QS.INSTRUMENT.SWAP("swap.4873",H4875,B4875,"USD","SOFR",I4875,J4875,0,"Actual360","Simple","Annual","Annual","Annual")</f>
        <v>QSObject:Swap:w1~swap.4873:11822</v>
      </c>
      <c r="F4875" s="6" t="str">
        <f>_xll.QS.TRADE.CREATE("trade.4873",E4875,A4875,"Receive")</f>
        <v>QSObject:SwapTrade:w1~trade.4873:24189</v>
      </c>
      <c r="G4875" s="3">
        <f>_xll.QS.EVALUATE(C4875,F4875)</f>
        <v>36293.252615311052</v>
      </c>
      <c r="H4875" s="5" t="s">
        <v>4916</v>
      </c>
      <c r="I4875" s="7">
        <v>1487300</v>
      </c>
      <c r="J4875" s="8">
        <v>3.73E-2</v>
      </c>
    </row>
    <row r="4876" spans="1:10" x14ac:dyDescent="0.25">
      <c r="A4876" s="5" t="s">
        <v>4910</v>
      </c>
      <c r="B4876" s="5" t="s">
        <v>6743</v>
      </c>
      <c r="C4876" s="6" t="str">
        <f>_xll.QS.CONTEXT.CREATE("market.4874",A4876,"USD","SOFR")</f>
        <v>QSObject:PricingContext:w1~market.4874:11821</v>
      </c>
      <c r="D4876" s="6" t="str">
        <f>_xll.QS.CONTEXT.ADD.CURVE(C4876,"SOFR",$K$2:$K$7,$L$2:$L$7,,,"Actual360","LogLinear",TRUE)</f>
        <v>QSObject:ContextInput:w1~input.qs_context_add_curve.2359132437744.4875.3.0:35751</v>
      </c>
      <c r="E4876" s="6" t="str">
        <f>_xll.QS.INSTRUMENT.SWAP("swap.4874",H4876,B4876,"USD","SOFR",I4876,J4876,0,"Actual360","Simple","Annual","Annual","Annual")</f>
        <v>QSObject:Swap:w1~swap.4874:11820</v>
      </c>
      <c r="F4876" s="6" t="str">
        <f>_xll.QS.TRADE.CREATE("trade.4874",E4876,A4876,"Receive")</f>
        <v>QSObject:SwapTrade:w1~trade.4874:25691</v>
      </c>
      <c r="G4876" s="3">
        <f>_xll.QS.EVALUATE(C4876,F4876)</f>
        <v>36981.707712895732</v>
      </c>
      <c r="H4876" s="5" t="s">
        <v>4917</v>
      </c>
      <c r="I4876" s="7">
        <v>1487400</v>
      </c>
      <c r="J4876" s="8">
        <v>3.7400000000000003E-2</v>
      </c>
    </row>
    <row r="4877" spans="1:10" x14ac:dyDescent="0.25">
      <c r="A4877" s="5" t="s">
        <v>4911</v>
      </c>
      <c r="B4877" s="5" t="s">
        <v>6744</v>
      </c>
      <c r="C4877" s="6" t="str">
        <f>_xll.QS.CONTEXT.CREATE("market.4875",A4877,"USD","SOFR")</f>
        <v>QSObject:PricingContext:w1~market.4875:11819</v>
      </c>
      <c r="D4877" s="6" t="str">
        <f>_xll.QS.CONTEXT.ADD.CURVE(C4877,"SOFR",$K$2:$K$7,$L$2:$L$7,,,"Actual360","LogLinear",TRUE)</f>
        <v>QSObject:ContextInput:w1~input.qs_context_add_curve.2359132437744.4876.3.0:35750</v>
      </c>
      <c r="E4877" s="6" t="str">
        <f>_xll.QS.INSTRUMENT.SWAP("swap.4875",H4877,B4877,"USD","SOFR",I4877,J4877,0,"Actual360","Simple","Annual","Annual","Annual")</f>
        <v>QSObject:Swap:w1~swap.4875:11818</v>
      </c>
      <c r="F4877" s="6" t="str">
        <f>_xll.QS.TRADE.CREATE("trade.4875",E4877,A4877,"Receive")</f>
        <v>QSObject:SwapTrade:w1~trade.4875:26497</v>
      </c>
      <c r="G4877" s="3">
        <f>_xll.QS.EVALUATE(C4877,F4877)</f>
        <v>37678.453373264245</v>
      </c>
      <c r="H4877" s="5" t="s">
        <v>4918</v>
      </c>
      <c r="I4877" s="7">
        <v>1487500</v>
      </c>
      <c r="J4877" s="8">
        <v>3.7500000000000012E-2</v>
      </c>
    </row>
    <row r="4878" spans="1:10" x14ac:dyDescent="0.25">
      <c r="A4878" s="5" t="s">
        <v>4912</v>
      </c>
      <c r="B4878" s="5" t="s">
        <v>6745</v>
      </c>
      <c r="C4878" s="6" t="str">
        <f>_xll.QS.CONTEXT.CREATE("market.4876",A4878,"USD","SOFR")</f>
        <v>QSObject:PricingContext:w1~market.4876:11817</v>
      </c>
      <c r="D4878" s="6" t="str">
        <f>_xll.QS.CONTEXT.ADD.CURVE(C4878,"SOFR",$K$2:$K$7,$L$2:$L$7,,,"Actual360","LogLinear",TRUE)</f>
        <v>QSObject:ContextInput:w1~input.qs_context_add_curve.2359132437744.4877.3.0:35749</v>
      </c>
      <c r="E4878" s="6" t="str">
        <f>_xll.QS.INSTRUMENT.SWAP("swap.4876",H4878,B4878,"USD","SOFR",I4878,J4878,0,"Actual360","Simple","Annual","Annual","Annual")</f>
        <v>QSObject:Swap:w1~swap.4876:11816</v>
      </c>
      <c r="F4878" s="6" t="str">
        <f>_xll.QS.TRADE.CREATE("trade.4876",E4878,A4878,"Receive")</f>
        <v>QSObject:SwapTrade:w1~trade.4876:25003</v>
      </c>
      <c r="G4878" s="3">
        <f>_xll.QS.EVALUATE(C4878,F4878)</f>
        <v>38368.568138582756</v>
      </c>
      <c r="H4878" s="5" t="s">
        <v>4919</v>
      </c>
      <c r="I4878" s="7">
        <v>1487600</v>
      </c>
      <c r="J4878" s="8">
        <v>3.7600000000000001E-2</v>
      </c>
    </row>
    <row r="4879" spans="1:10" x14ac:dyDescent="0.25">
      <c r="A4879" s="5" t="s">
        <v>4913</v>
      </c>
      <c r="B4879" s="5" t="s">
        <v>6746</v>
      </c>
      <c r="C4879" s="6" t="str">
        <f>_xll.QS.CONTEXT.CREATE("market.4877",A4879,"USD","SOFR")</f>
        <v>QSObject:PricingContext:w1~market.4877:11815</v>
      </c>
      <c r="D4879" s="6" t="str">
        <f>_xll.QS.CONTEXT.ADD.CURVE(C4879,"SOFR",$K$2:$K$7,$L$2:$L$7,,,"Actual360","LogLinear",TRUE)</f>
        <v>QSObject:ContextInput:w1~input.qs_context_add_curve.2359132437744.4878.3.0:35748</v>
      </c>
      <c r="E4879" s="6" t="str">
        <f>_xll.QS.INSTRUMENT.SWAP("swap.4877",H4879,B4879,"USD","SOFR",I4879,J4879,0,"Actual360","Simple","Annual","Annual","Annual")</f>
        <v>QSObject:Swap:w1~swap.4877:11814</v>
      </c>
      <c r="F4879" s="6" t="str">
        <f>_xll.QS.TRADE.CREATE("trade.4877",E4879,A4879,"Receive")</f>
        <v>QSObject:SwapTrade:w1~trade.4877:26990</v>
      </c>
      <c r="G4879" s="3">
        <f>_xll.QS.EVALUATE(C4879,F4879)</f>
        <v>38874.075824433108</v>
      </c>
      <c r="H4879" s="5" t="s">
        <v>4920</v>
      </c>
      <c r="I4879" s="7">
        <v>1487700</v>
      </c>
      <c r="J4879" s="8">
        <v>3.7699999999999997E-2</v>
      </c>
    </row>
    <row r="4880" spans="1:10" x14ac:dyDescent="0.25">
      <c r="A4880" s="5" t="s">
        <v>4914</v>
      </c>
      <c r="B4880" s="5" t="s">
        <v>6747</v>
      </c>
      <c r="C4880" s="6" t="str">
        <f>_xll.QS.CONTEXT.CREATE("market.4878",A4880,"USD","SOFR")</f>
        <v>QSObject:PricingContext:w1~market.4878:11813</v>
      </c>
      <c r="D4880" s="6" t="str">
        <f>_xll.QS.CONTEXT.ADD.CURVE(C4880,"SOFR",$K$2:$K$7,$L$2:$L$7,,,"Actual360","LogLinear",TRUE)</f>
        <v>QSObject:ContextInput:w1~input.qs_context_add_curve.2359132437744.4879.3.0:35747</v>
      </c>
      <c r="E4880" s="6" t="str">
        <f>_xll.QS.INSTRUMENT.SWAP("swap.4878",H4880,B4880,"USD","SOFR",I4880,J4880,0,"Actual360","Simple","Annual","Annual","Annual")</f>
        <v>QSObject:Swap:w1~swap.4878:11812</v>
      </c>
      <c r="F4880" s="6" t="str">
        <f>_xll.QS.TRADE.CREATE("trade.4878",E4880,A4880,"Receive")</f>
        <v>QSObject:SwapTrade:w1~trade.4878:25002</v>
      </c>
      <c r="G4880" s="3">
        <f>_xll.QS.EVALUATE(C4880,F4880)</f>
        <v>39566.094310461667</v>
      </c>
      <c r="H4880" s="5" t="s">
        <v>4921</v>
      </c>
      <c r="I4880" s="7">
        <v>1487800</v>
      </c>
      <c r="J4880" s="8">
        <v>3.78E-2</v>
      </c>
    </row>
    <row r="4881" spans="1:10" x14ac:dyDescent="0.25">
      <c r="A4881" s="5" t="s">
        <v>4915</v>
      </c>
      <c r="B4881" s="5" t="s">
        <v>6748</v>
      </c>
      <c r="C4881" s="6" t="str">
        <f>_xll.QS.CONTEXT.CREATE("market.4879",A4881,"USD","SOFR")</f>
        <v>QSObject:PricingContext:w1~market.4879:11811</v>
      </c>
      <c r="D4881" s="6" t="str">
        <f>_xll.QS.CONTEXT.ADD.CURVE(C4881,"SOFR",$K$2:$K$7,$L$2:$L$7,,,"Actual360","LogLinear",TRUE)</f>
        <v>QSObject:ContextInput:w1~input.qs_context_add_curve.2359132437744.4880.3.0:35746</v>
      </c>
      <c r="E4881" s="6" t="str">
        <f>_xll.QS.INSTRUMENT.SWAP("swap.4879",H4881,B4881,"USD","SOFR",I4881,J4881,0,"Actual360","Simple","Annual","Annual","Annual")</f>
        <v>QSObject:Swap:w1~swap.4879:11810</v>
      </c>
      <c r="F4881" s="6" t="str">
        <f>_xll.QS.TRADE.CREATE("trade.4879",E4881,A4881,"Receive")</f>
        <v>QSObject:SwapTrade:w1~trade.4879:26496</v>
      </c>
      <c r="G4881" s="3">
        <f>_xll.QS.EVALUATE(C4881,F4881)</f>
        <v>40317.943545961578</v>
      </c>
      <c r="H4881" s="5" t="s">
        <v>4922</v>
      </c>
      <c r="I4881" s="7">
        <v>1487900</v>
      </c>
      <c r="J4881" s="8">
        <v>3.7900000000000003E-2</v>
      </c>
    </row>
    <row r="4882" spans="1:10" x14ac:dyDescent="0.25">
      <c r="A4882" s="5" t="s">
        <v>4916</v>
      </c>
      <c r="B4882" s="5" t="s">
        <v>6749</v>
      </c>
      <c r="C4882" s="6" t="str">
        <f>_xll.QS.CONTEXT.CREATE("market.4880",A4882,"USD","SOFR")</f>
        <v>QSObject:PricingContext:w1~market.4880:11809</v>
      </c>
      <c r="D4882" s="6" t="str">
        <f>_xll.QS.CONTEXT.ADD.CURVE(C4882,"SOFR",$K$2:$K$7,$L$2:$L$7,,,"Actual360","LogLinear",TRUE)</f>
        <v>QSObject:ContextInput:w1~input.qs_context_add_curve.2359132437744.4881.3.0:35745</v>
      </c>
      <c r="E4882" s="6" t="str">
        <f>_xll.QS.INSTRUMENT.SWAP("swap.4880",H4882,B4882,"USD","SOFR",I4882,J4882,0,"Actual360","Simple","Annual","Annual","Annual")</f>
        <v>QSObject:Swap:w1~swap.4880:11808</v>
      </c>
      <c r="F4882" s="6" t="str">
        <f>_xll.QS.TRADE.CREATE("trade.4880",E4882,A4882,"Receive")</f>
        <v>QSObject:SwapTrade:w1~trade.4880:25690</v>
      </c>
      <c r="G4882" s="3">
        <f>_xll.QS.EVALUATE(C4882,F4882)</f>
        <v>41115.948516428005</v>
      </c>
      <c r="H4882" s="5" t="s">
        <v>4923</v>
      </c>
      <c r="I4882" s="7">
        <v>1488000</v>
      </c>
      <c r="J4882" s="8">
        <v>3.8000000000000013E-2</v>
      </c>
    </row>
    <row r="4883" spans="1:10" x14ac:dyDescent="0.25">
      <c r="A4883" s="5" t="s">
        <v>4917</v>
      </c>
      <c r="B4883" s="5" t="s">
        <v>6750</v>
      </c>
      <c r="C4883" s="6" t="str">
        <f>_xll.QS.CONTEXT.CREATE("market.4881",A4883,"USD","SOFR")</f>
        <v>QSObject:PricingContext:w1~market.4881:11807</v>
      </c>
      <c r="D4883" s="6" t="str">
        <f>_xll.QS.CONTEXT.ADD.CURVE(C4883,"SOFR",$K$2:$K$7,$L$2:$L$7,,,"Actual360","LogLinear",TRUE)</f>
        <v>QSObject:ContextInput:w1~input.qs_context_add_curve.2359132437744.4882.3.0:35744</v>
      </c>
      <c r="E4883" s="6" t="str">
        <f>_xll.QS.INSTRUMENT.SWAP("swap.4881",H4883,B4883,"USD","SOFR",I4883,J4883,0,"Actual360","Simple","Annual","Annual","Annual")</f>
        <v>QSObject:Swap:w1~swap.4881:11806</v>
      </c>
      <c r="F4883" s="6" t="str">
        <f>_xll.QS.TRADE.CREATE("trade.4881",E4883,A4883,"Receive")</f>
        <v>QSObject:SwapTrade:w1~trade.4881:24188</v>
      </c>
      <c r="G4883" s="3">
        <f>_xll.QS.EVALUATE(C4883,F4883)</f>
        <v>41805.039954401014</v>
      </c>
      <c r="H4883" s="5" t="s">
        <v>4924</v>
      </c>
      <c r="I4883" s="7">
        <v>1488100</v>
      </c>
      <c r="J4883" s="8">
        <v>3.8100000000000002E-2</v>
      </c>
    </row>
    <row r="4884" spans="1:10" x14ac:dyDescent="0.25">
      <c r="A4884" s="5" t="s">
        <v>4918</v>
      </c>
      <c r="B4884" s="5" t="s">
        <v>6751</v>
      </c>
      <c r="C4884" s="6" t="str">
        <f>_xll.QS.CONTEXT.CREATE("market.4882",A4884,"USD","SOFR")</f>
        <v>QSObject:PricingContext:w1~market.4882:11805</v>
      </c>
      <c r="D4884" s="6" t="str">
        <f>_xll.QS.CONTEXT.ADD.CURVE(C4884,"SOFR",$K$2:$K$7,$L$2:$L$7,,,"Actual360","LogLinear",TRUE)</f>
        <v>QSObject:ContextInput:w1~input.qs_context_add_curve.2359132437744.4883.3.0:35743</v>
      </c>
      <c r="E4884" s="6" t="str">
        <f>_xll.QS.INSTRUMENT.SWAP("swap.4882",H4884,B4884,"USD","SOFR",I4884,J4884,0,"Actual360","Simple","Annual","Annual","Annual")</f>
        <v>QSObject:Swap:w1~swap.4882:11804</v>
      </c>
      <c r="F4884" s="6" t="str">
        <f>_xll.QS.TRADE.CREATE("trade.4882",E4884,A4884,"Receive")</f>
        <v>QSObject:SwapTrade:w1~trade.4882:25001</v>
      </c>
      <c r="G4884" s="3">
        <f>_xll.QS.EVALUATE(C4884,F4884)</f>
        <v>42502.448684417453</v>
      </c>
      <c r="H4884" s="5" t="s">
        <v>4925</v>
      </c>
      <c r="I4884" s="7">
        <v>1488200</v>
      </c>
      <c r="J4884" s="8">
        <v>3.8199999999999998E-2</v>
      </c>
    </row>
    <row r="4885" spans="1:10" x14ac:dyDescent="0.25">
      <c r="A4885" s="5" t="s">
        <v>4919</v>
      </c>
      <c r="B4885" s="5" t="s">
        <v>6752</v>
      </c>
      <c r="C4885" s="6" t="str">
        <f>_xll.QS.CONTEXT.CREATE("market.4883",A4885,"USD","SOFR")</f>
        <v>QSObject:PricingContext:w1~market.4883:11803</v>
      </c>
      <c r="D4885" s="6" t="str">
        <f>_xll.QS.CONTEXT.ADD.CURVE(C4885,"SOFR",$K$2:$K$7,$L$2:$L$7,,,"Actual360","LogLinear",TRUE)</f>
        <v>QSObject:ContextInput:w1~input.qs_context_add_curve.2359132437744.4884.3.0:35742</v>
      </c>
      <c r="E4885" s="6" t="str">
        <f>_xll.QS.INSTRUMENT.SWAP("swap.4883",H4885,B4885,"USD","SOFR",I4885,J4885,0,"Actual360","Simple","Annual","Annual","Annual")</f>
        <v>QSObject:Swap:w1~swap.4883:11802</v>
      </c>
      <c r="F4885" s="6" t="str">
        <f>_xll.QS.TRADE.CREATE("trade.4883",E4885,A4885,"Receive")</f>
        <v>QSObject:SwapTrade:w1~trade.4883:26495</v>
      </c>
      <c r="G4885" s="3">
        <f>_xll.QS.EVALUATE(C4885,F4885)</f>
        <v>43193.22825008809</v>
      </c>
      <c r="H4885" s="5" t="s">
        <v>4926</v>
      </c>
      <c r="I4885" s="7">
        <v>1488300</v>
      </c>
      <c r="J4885" s="8">
        <v>3.8300000000000001E-2</v>
      </c>
    </row>
    <row r="4886" spans="1:10" x14ac:dyDescent="0.25">
      <c r="A4886" s="5" t="s">
        <v>4920</v>
      </c>
      <c r="B4886" s="5" t="s">
        <v>6753</v>
      </c>
      <c r="C4886" s="6" t="str">
        <f>_xll.QS.CONTEXT.CREATE("market.4884",A4886,"USD","SOFR")</f>
        <v>QSObject:PricingContext:w1~market.4884:11801</v>
      </c>
      <c r="D4886" s="6" t="str">
        <f>_xll.QS.CONTEXT.ADD.CURVE(C4886,"SOFR",$K$2:$K$7,$L$2:$L$7,,,"Actual360","LogLinear",TRUE)</f>
        <v>QSObject:ContextInput:w1~input.qs_context_add_curve.2359132437744.4885.3.0:35741</v>
      </c>
      <c r="E4886" s="6" t="str">
        <f>_xll.QS.INSTRUMENT.SWAP("swap.4884",H4886,B4886,"USD","SOFR",I4886,J4886,0,"Actual360","Simple","Annual","Annual","Annual")</f>
        <v>QSObject:Swap:w1~swap.4884:11800</v>
      </c>
      <c r="F4886" s="6" t="str">
        <f>_xll.QS.TRADE.CREATE("trade.4884",E4886,A4886,"Receive")</f>
        <v>QSObject:SwapTrade:w1~trade.4884:26494</v>
      </c>
      <c r="G4886" s="3">
        <f>_xll.QS.EVALUATE(C4886,F4886)</f>
        <v>43635.657589357244</v>
      </c>
      <c r="H4886" s="5" t="s">
        <v>4927</v>
      </c>
      <c r="I4886" s="7">
        <v>1488400</v>
      </c>
      <c r="J4886" s="8">
        <v>3.8399999999999997E-2</v>
      </c>
    </row>
    <row r="4887" spans="1:10" x14ac:dyDescent="0.25">
      <c r="A4887" s="5" t="s">
        <v>4921</v>
      </c>
      <c r="B4887" s="5" t="s">
        <v>6754</v>
      </c>
      <c r="C4887" s="6" t="str">
        <f>_xll.QS.CONTEXT.CREATE("market.4885",A4887,"USD","SOFR")</f>
        <v>QSObject:PricingContext:w1~market.4885:11799</v>
      </c>
      <c r="D4887" s="6" t="str">
        <f>_xll.QS.CONTEXT.ADD.CURVE(C4887,"SOFR",$K$2:$K$7,$L$2:$L$7,,,"Actual360","LogLinear",TRUE)</f>
        <v>QSObject:ContextInput:w1~input.qs_context_add_curve.2359132437744.4886.3.0:35740</v>
      </c>
      <c r="E4887" s="6" t="str">
        <f>_xll.QS.INSTRUMENT.SWAP("swap.4885",H4887,B4887,"USD","SOFR",I4887,J4887,0,"Actual360","Simple","Annual","Annual","Annual")</f>
        <v>QSObject:Swap:w1~swap.4885:11798</v>
      </c>
      <c r="F4887" s="6" t="str">
        <f>_xll.QS.TRADE.CREATE("trade.4885",E4887,A4887,"Receive")</f>
        <v>QSObject:SwapTrade:w1~trade.4885:25000</v>
      </c>
      <c r="G4887" s="3">
        <f>_xll.QS.EVALUATE(C4887,F4887)</f>
        <v>44328.683009476299</v>
      </c>
      <c r="H4887" s="5" t="s">
        <v>4928</v>
      </c>
      <c r="I4887" s="7">
        <v>1488500</v>
      </c>
      <c r="J4887" s="8">
        <v>3.8500000000000013E-2</v>
      </c>
    </row>
    <row r="4888" spans="1:10" x14ac:dyDescent="0.25">
      <c r="A4888" s="5" t="s">
        <v>4922</v>
      </c>
      <c r="B4888" s="5" t="s">
        <v>6755</v>
      </c>
      <c r="C4888" s="6" t="str">
        <f>_xll.QS.CONTEXT.CREATE("market.4886",A4888,"USD","SOFR")</f>
        <v>QSObject:PricingContext:w1~market.4886:11797</v>
      </c>
      <c r="D4888" s="6" t="str">
        <f>_xll.QS.CONTEXT.ADD.CURVE(C4888,"SOFR",$K$2:$K$7,$L$2:$L$7,,,"Actual360","LogLinear",TRUE)</f>
        <v>QSObject:ContextInput:w1~input.qs_context_add_curve.2359132437744.4887.3.0:35739</v>
      </c>
      <c r="E4888" s="6" t="str">
        <f>_xll.QS.INSTRUMENT.SWAP("swap.4886",H4888,B4888,"USD","SOFR",I4888,J4888,0,"Actual360","Simple","Annual","Annual","Annual")</f>
        <v>QSObject:Swap:w1~swap.4886:11796</v>
      </c>
      <c r="F4888" s="6" t="str">
        <f>_xll.QS.TRADE.CREATE("trade.4886",E4888,A4888,"Receive")</f>
        <v>QSObject:SwapTrade:w1~trade.4886:24187</v>
      </c>
      <c r="G4888" s="3">
        <f>_xll.QS.EVALUATE(C4888,F4888)</f>
        <v>45081.577910264932</v>
      </c>
      <c r="H4888" s="5" t="s">
        <v>4929</v>
      </c>
      <c r="I4888" s="7">
        <v>1488600</v>
      </c>
      <c r="J4888" s="8">
        <v>3.8600000000000002E-2</v>
      </c>
    </row>
    <row r="4889" spans="1:10" x14ac:dyDescent="0.25">
      <c r="A4889" s="5" t="s">
        <v>4923</v>
      </c>
      <c r="B4889" s="5" t="s">
        <v>6756</v>
      </c>
      <c r="C4889" s="6" t="str">
        <f>_xll.QS.CONTEXT.CREATE("market.4887",A4889,"USD","SOFR")</f>
        <v>QSObject:PricingContext:w1~market.4887:11795</v>
      </c>
      <c r="D4889" s="6" t="str">
        <f>_xll.QS.CONTEXT.ADD.CURVE(C4889,"SOFR",$K$2:$K$7,$L$2:$L$7,,,"Actual360","LogLinear",TRUE)</f>
        <v>QSObject:ContextInput:w1~input.qs_context_add_curve.2359132437744.4888.3.0:35738</v>
      </c>
      <c r="E4889" s="6" t="str">
        <f>_xll.QS.INSTRUMENT.SWAP("swap.4887",H4889,B4889,"USD","SOFR",I4889,J4889,0,"Actual360","Simple","Annual","Annual","Annual")</f>
        <v>QSObject:Swap:w1~swap.4887:11794</v>
      </c>
      <c r="F4889" s="6" t="str">
        <f>_xll.QS.TRADE.CREATE("trade.4887",E4889,A4889,"Receive")</f>
        <v>QSObject:SwapTrade:w1~trade.4887:26989</v>
      </c>
      <c r="G4889" s="3">
        <f>_xll.QS.EVALUATE(C4889,F4889)</f>
        <v>45997.982744221212</v>
      </c>
      <c r="H4889" s="5" t="s">
        <v>4930</v>
      </c>
      <c r="I4889" s="7">
        <v>1488700</v>
      </c>
      <c r="J4889" s="8">
        <v>3.8700000000000012E-2</v>
      </c>
    </row>
    <row r="4890" spans="1:10" x14ac:dyDescent="0.25">
      <c r="A4890" s="5" t="s">
        <v>4924</v>
      </c>
      <c r="B4890" s="5" t="s">
        <v>6757</v>
      </c>
      <c r="C4890" s="6" t="str">
        <f>_xll.QS.CONTEXT.CREATE("market.4888",A4890,"USD","SOFR")</f>
        <v>QSObject:PricingContext:w1~market.4888:11793</v>
      </c>
      <c r="D4890" s="6" t="str">
        <f>_xll.QS.CONTEXT.ADD.CURVE(C4890,"SOFR",$K$2:$K$7,$L$2:$L$7,,,"Actual360","LogLinear",TRUE)</f>
        <v>QSObject:ContextInput:w1~input.qs_context_add_curve.2359132437744.4889.3.0:35737</v>
      </c>
      <c r="E4890" s="6" t="str">
        <f>_xll.QS.INSTRUMENT.SWAP("swap.4888",H4890,B4890,"USD","SOFR",I4890,J4890,0,"Actual360","Simple","Annual","Annual","Annual")</f>
        <v>QSObject:Swap:w1~swap.4888:11792</v>
      </c>
      <c r="F4890" s="6" t="str">
        <f>_xll.QS.TRADE.CREATE("trade.4888",E4890,A4890,"Receive")</f>
        <v>QSObject:SwapTrade:w1~trade.4888:26493</v>
      </c>
      <c r="G4890" s="3">
        <f>_xll.QS.EVALUATE(C4890,F4890)</f>
        <v>46687.661298533356</v>
      </c>
      <c r="H4890" s="5" t="s">
        <v>4931</v>
      </c>
      <c r="I4890" s="7">
        <v>1488800</v>
      </c>
      <c r="J4890" s="8">
        <v>3.8800000000000001E-2</v>
      </c>
    </row>
    <row r="4891" spans="1:10" x14ac:dyDescent="0.25">
      <c r="A4891" s="5" t="s">
        <v>4925</v>
      </c>
      <c r="B4891" s="5" t="s">
        <v>6758</v>
      </c>
      <c r="C4891" s="6" t="str">
        <f>_xll.QS.CONTEXT.CREATE("market.4889",A4891,"USD","SOFR")</f>
        <v>QSObject:PricingContext:w1~market.4889:11791</v>
      </c>
      <c r="D4891" s="6" t="str">
        <f>_xll.QS.CONTEXT.ADD.CURVE(C4891,"SOFR",$K$2:$K$7,$L$2:$L$7,,,"Actual360","LogLinear",TRUE)</f>
        <v>QSObject:ContextInput:w1~input.qs_context_add_curve.2359132437744.4890.3.0:35736</v>
      </c>
      <c r="E4891" s="6" t="str">
        <f>_xll.QS.INSTRUMENT.SWAP("swap.4889",H4891,B4891,"USD","SOFR",I4891,J4891,0,"Actual360","Simple","Annual","Annual","Annual")</f>
        <v>QSObject:Swap:w1~swap.4889:11790</v>
      </c>
      <c r="F4891" s="6" t="str">
        <f>_xll.QS.TRADE.CREATE("trade.4889",E4891,A4891,"Receive")</f>
        <v>QSObject:SwapTrade:w1~trade.4889:24999</v>
      </c>
      <c r="G4891" s="3">
        <f>_xll.QS.EVALUATE(C4891,F4891)</f>
        <v>47390.423612958497</v>
      </c>
      <c r="H4891" s="5" t="s">
        <v>4932</v>
      </c>
      <c r="I4891" s="7">
        <v>1488900</v>
      </c>
      <c r="J4891" s="8">
        <v>3.8899999999999997E-2</v>
      </c>
    </row>
    <row r="4892" spans="1:10" x14ac:dyDescent="0.25">
      <c r="A4892" s="5" t="s">
        <v>4926</v>
      </c>
      <c r="B4892" s="5" t="s">
        <v>6759</v>
      </c>
      <c r="C4892" s="6" t="str">
        <f>_xll.QS.CONTEXT.CREATE("market.4890",A4892,"USD","SOFR")</f>
        <v>QSObject:PricingContext:w1~market.4890:11789</v>
      </c>
      <c r="D4892" s="6" t="str">
        <f>_xll.QS.CONTEXT.ADD.CURVE(C4892,"SOFR",$K$2:$K$7,$L$2:$L$7,,,"Actual360","LogLinear",TRUE)</f>
        <v>QSObject:ContextInput:w1~input.qs_context_add_curve.2359132437744.4891.3.0:35735</v>
      </c>
      <c r="E4892" s="6" t="str">
        <f>_xll.QS.INSTRUMENT.SWAP("swap.4890",H4892,B4892,"USD","SOFR",I4892,J4892,0,"Actual360","Simple","Annual","Annual","Annual")</f>
        <v>QSObject:Swap:w1~swap.4890:11788</v>
      </c>
      <c r="F4892" s="6" t="str">
        <f>_xll.QS.TRADE.CREATE("trade.4890",E4892,A4892,"Receive")</f>
        <v>QSObject:SwapTrade:w1~trade.4890:25689</v>
      </c>
      <c r="G4892" s="3">
        <f>_xll.QS.EVALUATE(C4892,F4892)</f>
        <v>48081.745447208064</v>
      </c>
      <c r="H4892" s="5" t="s">
        <v>4933</v>
      </c>
      <c r="I4892" s="7">
        <v>1489000</v>
      </c>
      <c r="J4892" s="8">
        <v>3.9000000000000007E-2</v>
      </c>
    </row>
    <row r="4893" spans="1:10" x14ac:dyDescent="0.25">
      <c r="A4893" s="5" t="s">
        <v>4927</v>
      </c>
      <c r="B4893" s="5" t="s">
        <v>6760</v>
      </c>
      <c r="C4893" s="6" t="str">
        <f>_xll.QS.CONTEXT.CREATE("market.4891",A4893,"USD","SOFR")</f>
        <v>QSObject:PricingContext:w1~market.4891:11787</v>
      </c>
      <c r="D4893" s="6" t="str">
        <f>_xll.QS.CONTEXT.ADD.CURVE(C4893,"SOFR",$K$2:$K$7,$L$2:$L$7,,,"Actual360","LogLinear",TRUE)</f>
        <v>QSObject:ContextInput:w1~input.qs_context_add_curve.2359132437744.4892.3.0:35734</v>
      </c>
      <c r="E4893" s="6" t="str">
        <f>_xll.QS.INSTRUMENT.SWAP("swap.4891",H4893,B4893,"USD","SOFR",I4893,J4893,0,"Actual360","Simple","Annual","Annual","Annual")</f>
        <v>QSObject:Swap:w1~swap.4891:11786</v>
      </c>
      <c r="F4893" s="6" t="str">
        <f>_xll.QS.TRADE.CREATE("trade.4891",E4893,A4893,"Receive")</f>
        <v>QSObject:SwapTrade:w1~trade.4891:26492</v>
      </c>
      <c r="G4893" s="3">
        <f>_xll.QS.EVALUATE(C4893,F4893)</f>
        <v>48776.011395050853</v>
      </c>
      <c r="H4893" s="5" t="s">
        <v>4934</v>
      </c>
      <c r="I4893" s="7">
        <v>1489100</v>
      </c>
      <c r="J4893" s="8">
        <v>3.9100000000000003E-2</v>
      </c>
    </row>
    <row r="4894" spans="1:10" x14ac:dyDescent="0.25">
      <c r="A4894" s="5" t="s">
        <v>4928</v>
      </c>
      <c r="B4894" s="5" t="s">
        <v>6761</v>
      </c>
      <c r="C4894" s="6" t="str">
        <f>_xll.QS.CONTEXT.CREATE("market.4892",A4894,"USD","SOFR")</f>
        <v>QSObject:PricingContext:w1~market.4892:11785</v>
      </c>
      <c r="D4894" s="6" t="str">
        <f>_xll.QS.CONTEXT.ADD.CURVE(C4894,"SOFR",$K$2:$K$7,$L$2:$L$7,,,"Actual360","LogLinear",TRUE)</f>
        <v>QSObject:ContextInput:w1~input.qs_context_add_curve.2359132437744.4893.3.0:35733</v>
      </c>
      <c r="E4894" s="6" t="str">
        <f>_xll.QS.INSTRUMENT.SWAP("swap.4892",H4894,B4894,"USD","SOFR",I4894,J4894,0,"Actual360","Simple","Annual","Annual","Annual")</f>
        <v>QSObject:Swap:w1~swap.4892:11784</v>
      </c>
      <c r="F4894" s="6" t="str">
        <f>_xll.QS.TRADE.CREATE("trade.4892",E4894,A4894,"Receive")</f>
        <v>QSObject:SwapTrade:w1~trade.4892:24186</v>
      </c>
      <c r="G4894" s="3">
        <f>_xll.QS.EVALUATE(C4894,F4894)</f>
        <v>49281.694928790181</v>
      </c>
      <c r="H4894" s="5" t="s">
        <v>4935</v>
      </c>
      <c r="I4894" s="7">
        <v>1489200</v>
      </c>
      <c r="J4894" s="8">
        <v>3.9200000000000013E-2</v>
      </c>
    </row>
    <row r="4895" spans="1:10" x14ac:dyDescent="0.25">
      <c r="A4895" s="5" t="s">
        <v>4929</v>
      </c>
      <c r="B4895" s="5" t="s">
        <v>6762</v>
      </c>
      <c r="C4895" s="6" t="str">
        <f>_xll.QS.CONTEXT.CREATE("market.4893",A4895,"USD","SOFR")</f>
        <v>QSObject:PricingContext:w1~market.4893:11783</v>
      </c>
      <c r="D4895" s="6" t="str">
        <f>_xll.QS.CONTEXT.ADD.CURVE(C4895,"SOFR",$K$2:$K$7,$L$2:$L$7,,,"Actual360","LogLinear",TRUE)</f>
        <v>QSObject:ContextInput:w1~input.qs_context_add_curve.2359132437744.4894.3.0:35732</v>
      </c>
      <c r="E4895" s="6" t="str">
        <f>_xll.QS.INSTRUMENT.SWAP("swap.4893",H4895,B4895,"USD","SOFR",I4895,J4895,0,"Actual360","Simple","Annual","Annual","Annual")</f>
        <v>QSObject:Swap:w1~swap.4893:11782</v>
      </c>
      <c r="F4895" s="6" t="str">
        <f>_xll.QS.TRADE.CREATE("trade.4893",E4895,A4895,"Receive")</f>
        <v>QSObject:SwapTrade:w1~trade.4893:24998</v>
      </c>
      <c r="G4895" s="3">
        <f>_xll.QS.EVALUATE(C4895,F4895)</f>
        <v>49976.036716590148</v>
      </c>
      <c r="H4895" s="5" t="s">
        <v>4936</v>
      </c>
      <c r="I4895" s="7">
        <v>1489300</v>
      </c>
      <c r="J4895" s="8">
        <v>3.9300000000000002E-2</v>
      </c>
    </row>
    <row r="4896" spans="1:10" x14ac:dyDescent="0.25">
      <c r="A4896" s="5" t="s">
        <v>4930</v>
      </c>
      <c r="B4896" s="5" t="s">
        <v>6763</v>
      </c>
      <c r="C4896" s="6" t="str">
        <f>_xll.QS.CONTEXT.CREATE("market.4894",A4896,"USD","SOFR")</f>
        <v>QSObject:PricingContext:w1~market.4894:11781</v>
      </c>
      <c r="D4896" s="6" t="str">
        <f>_xll.QS.CONTEXT.ADD.CURVE(C4896,"SOFR",$K$2:$K$7,$L$2:$L$7,,,"Actual360","LogLinear",TRUE)</f>
        <v>QSObject:ContextInput:w1~input.qs_context_add_curve.2359132437744.4895.3.0:35731</v>
      </c>
      <c r="E4896" s="6" t="str">
        <f>_xll.QS.INSTRUMENT.SWAP("swap.4894",H4896,B4896,"USD","SOFR",I4896,J4896,0,"Actual360","Simple","Annual","Annual","Annual")</f>
        <v>QSObject:Swap:w1~swap.4894:11780</v>
      </c>
      <c r="F4896" s="6" t="str">
        <f>_xll.QS.TRADE.CREATE("trade.4894",E4896,A4896,"Receive")</f>
        <v>QSObject:SwapTrade:w1~trade.4894:26988</v>
      </c>
      <c r="G4896" s="3">
        <f>_xll.QS.EVALUATE(C4896,F4896)</f>
        <v>50776.052399217406</v>
      </c>
      <c r="H4896" s="5" t="s">
        <v>4937</v>
      </c>
      <c r="I4896" s="7">
        <v>1489400</v>
      </c>
      <c r="J4896" s="8">
        <v>3.9399999999999998E-2</v>
      </c>
    </row>
    <row r="4897" spans="1:10" x14ac:dyDescent="0.25">
      <c r="A4897" s="5" t="s">
        <v>4931</v>
      </c>
      <c r="B4897" s="5" t="s">
        <v>6764</v>
      </c>
      <c r="C4897" s="6" t="str">
        <f>_xll.QS.CONTEXT.CREATE("market.4895",A4897,"USD","SOFR")</f>
        <v>QSObject:PricingContext:w1~market.4895:11779</v>
      </c>
      <c r="D4897" s="6" t="str">
        <f>_xll.QS.CONTEXT.ADD.CURVE(C4897,"SOFR",$K$2:$K$7,$L$2:$L$7,,,"Actual360","LogLinear",TRUE)</f>
        <v>QSObject:ContextInput:w1~input.qs_context_add_curve.2359132437744.4896.3.0:35730</v>
      </c>
      <c r="E4897" s="6" t="str">
        <f>_xll.QS.INSTRUMENT.SWAP("swap.4895",H4897,B4897,"USD","SOFR",I4897,J4897,0,"Actual360","Simple","Annual","Annual","Annual")</f>
        <v>QSObject:Swap:w1~swap.4895:11778</v>
      </c>
      <c r="F4897" s="6" t="str">
        <f>_xll.QS.TRADE.CREATE("trade.4895",E4897,A4897,"Receive")</f>
        <v>QSObject:SwapTrade:w1~trade.4895:25688</v>
      </c>
      <c r="G4897" s="3">
        <f>_xll.QS.EVALUATE(C4897,F4897)</f>
        <v>51466.513230189455</v>
      </c>
      <c r="H4897" s="5" t="s">
        <v>4938</v>
      </c>
      <c r="I4897" s="7">
        <v>1489500</v>
      </c>
      <c r="J4897" s="8">
        <v>3.9500000000000007E-2</v>
      </c>
    </row>
    <row r="4898" spans="1:10" x14ac:dyDescent="0.25">
      <c r="A4898" s="5" t="s">
        <v>4932</v>
      </c>
      <c r="B4898" s="5" t="s">
        <v>6765</v>
      </c>
      <c r="C4898" s="6" t="str">
        <f>_xll.QS.CONTEXT.CREATE("market.4896",A4898,"USD","SOFR")</f>
        <v>QSObject:PricingContext:w1~market.4896:11777</v>
      </c>
      <c r="D4898" s="6" t="str">
        <f>_xll.QS.CONTEXT.ADD.CURVE(C4898,"SOFR",$K$2:$K$7,$L$2:$L$7,,,"Actual360","LogLinear",TRUE)</f>
        <v>QSObject:ContextInput:w1~input.qs_context_add_curve.2359132437744.4897.3.0:35729</v>
      </c>
      <c r="E4898" s="6" t="str">
        <f>_xll.QS.INSTRUMENT.SWAP("swap.4896",H4898,B4898,"USD","SOFR",I4898,J4898,0,"Actual360","Simple","Annual","Annual","Annual")</f>
        <v>QSObject:Swap:w1~swap.4896:11776</v>
      </c>
      <c r="F4898" s="6" t="str">
        <f>_xll.QS.TRADE.CREATE("trade.4896",E4898,A4898,"Receive")</f>
        <v>QSObject:SwapTrade:w1~trade.4896:24997</v>
      </c>
      <c r="G4898" s="3">
        <f>_xll.QS.EVALUATE(C4898,F4898)</f>
        <v>52164.003552088812</v>
      </c>
      <c r="H4898" s="5" t="s">
        <v>4939</v>
      </c>
      <c r="I4898" s="7">
        <v>1489600</v>
      </c>
      <c r="J4898" s="8">
        <v>3.9600000000000003E-2</v>
      </c>
    </row>
    <row r="4899" spans="1:10" x14ac:dyDescent="0.25">
      <c r="A4899" s="5" t="s">
        <v>4933</v>
      </c>
      <c r="B4899" s="5" t="s">
        <v>6766</v>
      </c>
      <c r="C4899" s="6" t="str">
        <f>_xll.QS.CONTEXT.CREATE("market.4897",A4899,"USD","SOFR")</f>
        <v>QSObject:PricingContext:w1~market.4897:11775</v>
      </c>
      <c r="D4899" s="6" t="str">
        <f>_xll.QS.CONTEXT.ADD.CURVE(C4899,"SOFR",$K$2:$K$7,$L$2:$L$7,,,"Actual360","LogLinear",TRUE)</f>
        <v>QSObject:ContextInput:w1~input.qs_context_add_curve.2359132437744.4898.3.0:35728</v>
      </c>
      <c r="E4899" s="6" t="str">
        <f>_xll.QS.INSTRUMENT.SWAP("swap.4897",H4899,B4899,"USD","SOFR",I4899,J4899,0,"Actual360","Simple","Annual","Annual","Annual")</f>
        <v>QSObject:Swap:w1~swap.4897:11774</v>
      </c>
      <c r="F4899" s="6" t="str">
        <f>_xll.QS.TRADE.CREATE("trade.4897",E4899,A4899,"Receive")</f>
        <v>QSObject:SwapTrade:w1~trade.4897:26491</v>
      </c>
      <c r="G4899" s="3">
        <f>_xll.QS.EVALUATE(C4899,F4899)</f>
        <v>52856.112770094995</v>
      </c>
      <c r="H4899" s="5" t="s">
        <v>4940</v>
      </c>
      <c r="I4899" s="7">
        <v>1489700</v>
      </c>
      <c r="J4899" s="8">
        <v>3.9700000000000013E-2</v>
      </c>
    </row>
    <row r="4900" spans="1:10" x14ac:dyDescent="0.25">
      <c r="A4900" s="5" t="s">
        <v>4934</v>
      </c>
      <c r="B4900" s="5" t="s">
        <v>6767</v>
      </c>
      <c r="C4900" s="6" t="str">
        <f>_xll.QS.CONTEXT.CREATE("market.4898",A4900,"USD","SOFR")</f>
        <v>QSObject:PricingContext:w1~market.4898:11773</v>
      </c>
      <c r="D4900" s="6" t="str">
        <f>_xll.QS.CONTEXT.ADD.CURVE(C4900,"SOFR",$K$2:$K$7,$L$2:$L$7,,,"Actual360","LogLinear",TRUE)</f>
        <v>QSObject:ContextInput:w1~input.qs_context_add_curve.2359132437744.4899.3.0:35727</v>
      </c>
      <c r="E4900" s="6" t="str">
        <f>_xll.QS.INSTRUMENT.SWAP("swap.4898",H4900,B4900,"USD","SOFR",I4900,J4900,0,"Actual360","Simple","Annual","Annual","Annual")</f>
        <v>QSObject:Swap:w1~swap.4898:11772</v>
      </c>
      <c r="F4900" s="6" t="str">
        <f>_xll.QS.TRADE.CREATE("trade.4898",E4900,A4900,"Receive")</f>
        <v>QSObject:SwapTrade:w1~trade.4898:25687</v>
      </c>
      <c r="G4900" s="3">
        <f>_xll.QS.EVALUATE(C4900,F4900)</f>
        <v>53360.395973692881</v>
      </c>
      <c r="H4900" s="5" t="s">
        <v>4941</v>
      </c>
      <c r="I4900" s="7">
        <v>1489800</v>
      </c>
      <c r="J4900" s="8">
        <v>3.9800000000000002E-2</v>
      </c>
    </row>
    <row r="4901" spans="1:10" x14ac:dyDescent="0.25">
      <c r="A4901" s="5" t="s">
        <v>4935</v>
      </c>
      <c r="B4901" s="5" t="s">
        <v>6768</v>
      </c>
      <c r="C4901" s="6" t="str">
        <f>_xll.QS.CONTEXT.CREATE("market.4899",A4901,"USD","SOFR")</f>
        <v>QSObject:PricingContext:w1~market.4899:11771</v>
      </c>
      <c r="D4901" s="6" t="str">
        <f>_xll.QS.CONTEXT.ADD.CURVE(C4901,"SOFR",$K$2:$K$7,$L$2:$L$7,,,"Actual360","LogLinear",TRUE)</f>
        <v>QSObject:ContextInput:w1~input.qs_context_add_curve.2359132437744.4900.3.0:35726</v>
      </c>
      <c r="E4901" s="6" t="str">
        <f>_xll.QS.INSTRUMENT.SWAP("swap.4899",H4901,B4901,"USD","SOFR",I4901,J4901,0,"Actual360","Simple","Annual","Annual","Annual")</f>
        <v>QSObject:Swap:w1~swap.4899:11770</v>
      </c>
      <c r="F4901" s="6" t="str">
        <f>_xll.QS.TRADE.CREATE("trade.4899",E4901,A4901,"Receive")</f>
        <v>QSObject:SwapTrade:w1~trade.4899:26987</v>
      </c>
      <c r="G4901" s="3">
        <f>_xll.QS.EVALUATE(C4901,F4901)</f>
        <v>54055.566639769953</v>
      </c>
      <c r="H4901" s="5" t="s">
        <v>4942</v>
      </c>
      <c r="I4901" s="7">
        <v>1489900</v>
      </c>
      <c r="J4901" s="8">
        <v>3.9899999999999998E-2</v>
      </c>
    </row>
    <row r="4902" spans="1:10" x14ac:dyDescent="0.25">
      <c r="A4902" s="5" t="s">
        <v>4936</v>
      </c>
      <c r="B4902" s="5" t="s">
        <v>6769</v>
      </c>
      <c r="C4902" s="6" t="str">
        <f>_xll.QS.CONTEXT.CREATE("market.4900",A4902,"USD","SOFR")</f>
        <v>QSObject:PricingContext:w1~market.4900:11769</v>
      </c>
      <c r="D4902" s="6" t="str">
        <f>_xll.QS.CONTEXT.ADD.CURVE(C4902,"SOFR",$K$2:$K$7,$L$2:$L$7,,,"Actual360","LogLinear",TRUE)</f>
        <v>QSObject:ContextInput:w1~input.qs_context_add_curve.2359132437744.4901.3.0:35725</v>
      </c>
      <c r="E4902" s="6" t="str">
        <f>_xll.QS.INSTRUMENT.SWAP("swap.4900",H4902,B4902,"USD","SOFR",I4902,J4902,0,"Actual360","Simple","Annual","Annual","Annual")</f>
        <v>QSObject:Swap:w1~swap.4900:11768</v>
      </c>
      <c r="F4902" s="6" t="str">
        <f>_xll.QS.TRADE.CREATE("trade.4900",E4902,A4902,"Receive")</f>
        <v>QSObject:SwapTrade:w1~trade.4900:24185</v>
      </c>
      <c r="G4902" s="3">
        <f>_xll.QS.EVALUATE(C4902,F4902)</f>
        <v>20439.410208829635</v>
      </c>
      <c r="H4902" s="5" t="s">
        <v>4943</v>
      </c>
      <c r="I4902" s="7">
        <v>1490000</v>
      </c>
      <c r="J4902" s="8">
        <v>3.5000000000000003E-2</v>
      </c>
    </row>
    <row r="4903" spans="1:10" x14ac:dyDescent="0.25">
      <c r="A4903" s="5" t="s">
        <v>4937</v>
      </c>
      <c r="B4903" s="5" t="s">
        <v>6770</v>
      </c>
      <c r="C4903" s="6" t="str">
        <f>_xll.QS.CONTEXT.CREATE("market.4901",A4903,"USD","SOFR")</f>
        <v>QSObject:PricingContext:w1~market.4901:11767</v>
      </c>
      <c r="D4903" s="6" t="str">
        <f>_xll.QS.CONTEXT.ADD.CURVE(C4903,"SOFR",$K$2:$K$7,$L$2:$L$7,,,"Actual360","LogLinear",TRUE)</f>
        <v>QSObject:ContextInput:w1~input.qs_context_add_curve.2359132437744.4902.3.0:35724</v>
      </c>
      <c r="E4903" s="6" t="str">
        <f>_xll.QS.INSTRUMENT.SWAP("swap.4901",H4903,B4903,"USD","SOFR",I4903,J4903,0,"Actual360","Simple","Annual","Annual","Annual")</f>
        <v>QSObject:Swap:w1~swap.4901:11766</v>
      </c>
      <c r="F4903" s="6" t="str">
        <f>_xll.QS.TRADE.CREATE("trade.4901",E4903,A4903,"Receive")</f>
        <v>QSObject:SwapTrade:w1~trade.4901:26490</v>
      </c>
      <c r="G4903" s="3">
        <f>_xll.QS.EVALUATE(C4903,F4903)</f>
        <v>21236.903660593111</v>
      </c>
      <c r="H4903" s="5" t="s">
        <v>4944</v>
      </c>
      <c r="I4903" s="7">
        <v>1490100</v>
      </c>
      <c r="J4903" s="8">
        <v>3.5100000000000013E-2</v>
      </c>
    </row>
    <row r="4904" spans="1:10" x14ac:dyDescent="0.25">
      <c r="A4904" s="5" t="s">
        <v>4938</v>
      </c>
      <c r="B4904" s="5" t="s">
        <v>6771</v>
      </c>
      <c r="C4904" s="6" t="str">
        <f>_xll.QS.CONTEXT.CREATE("market.4902",A4904,"USD","SOFR")</f>
        <v>QSObject:PricingContext:w1~market.4902:11765</v>
      </c>
      <c r="D4904" s="6" t="str">
        <f>_xll.QS.CONTEXT.ADD.CURVE(C4904,"SOFR",$K$2:$K$7,$L$2:$L$7,,,"Actual360","LogLinear",TRUE)</f>
        <v>QSObject:ContextInput:w1~input.qs_context_add_curve.2359132437744.4903.3.0:35723</v>
      </c>
      <c r="E4904" s="6" t="str">
        <f>_xll.QS.INSTRUMENT.SWAP("swap.4902",H4904,B4904,"USD","SOFR",I4904,J4904,0,"Actual360","Simple","Annual","Annual","Annual")</f>
        <v>QSObject:Swap:w1~swap.4902:11764</v>
      </c>
      <c r="F4904" s="6" t="str">
        <f>_xll.QS.TRADE.CREATE("trade.4902",E4904,A4904,"Receive")</f>
        <v>QSObject:SwapTrade:w1~trade.4902:24996</v>
      </c>
      <c r="G4904" s="3">
        <f>_xll.QS.EVALUATE(C4904,F4904)</f>
        <v>21925.354463438271</v>
      </c>
      <c r="H4904" s="5" t="s">
        <v>4945</v>
      </c>
      <c r="I4904" s="7">
        <v>1490200</v>
      </c>
      <c r="J4904" s="8">
        <v>3.5200000000000002E-2</v>
      </c>
    </row>
    <row r="4905" spans="1:10" x14ac:dyDescent="0.25">
      <c r="A4905" s="5" t="s">
        <v>4939</v>
      </c>
      <c r="B4905" s="5" t="s">
        <v>6772</v>
      </c>
      <c r="C4905" s="6" t="str">
        <f>_xll.QS.CONTEXT.CREATE("market.4903",A4905,"USD","SOFR")</f>
        <v>QSObject:PricingContext:w1~market.4903:11763</v>
      </c>
      <c r="D4905" s="6" t="str">
        <f>_xll.QS.CONTEXT.ADD.CURVE(C4905,"SOFR",$K$2:$K$7,$L$2:$L$7,,,"Actual360","LogLinear",TRUE)</f>
        <v>QSObject:ContextInput:w1~input.qs_context_add_curve.2359132437744.4904.3.0:35722</v>
      </c>
      <c r="E4905" s="6" t="str">
        <f>_xll.QS.INSTRUMENT.SWAP("swap.4903",H4905,B4905,"USD","SOFR",I4905,J4905,0,"Actual360","Simple","Annual","Annual","Annual")</f>
        <v>QSObject:Swap:w1~swap.4903:11762</v>
      </c>
      <c r="F4905" s="6" t="str">
        <f>_xll.QS.TRADE.CREATE("trade.4903",E4905,A4905,"Receive")</f>
        <v>QSObject:SwapTrade:w1~trade.4903:26986</v>
      </c>
      <c r="G4905" s="3">
        <f>_xll.QS.EVALUATE(C4905,F4905)</f>
        <v>22623.891864254372</v>
      </c>
      <c r="H4905" s="5" t="s">
        <v>4946</v>
      </c>
      <c r="I4905" s="7">
        <v>1490300</v>
      </c>
      <c r="J4905" s="8">
        <v>3.5299999999999998E-2</v>
      </c>
    </row>
    <row r="4906" spans="1:10" x14ac:dyDescent="0.25">
      <c r="A4906" s="5" t="s">
        <v>4940</v>
      </c>
      <c r="B4906" s="5" t="s">
        <v>6773</v>
      </c>
      <c r="C4906" s="6" t="str">
        <f>_xll.QS.CONTEXT.CREATE("market.4904",A4906,"USD","SOFR")</f>
        <v>QSObject:PricingContext:w1~market.4904:11761</v>
      </c>
      <c r="D4906" s="6" t="str">
        <f>_xll.QS.CONTEXT.ADD.CURVE(C4906,"SOFR",$K$2:$K$7,$L$2:$L$7,,,"Actual360","LogLinear",TRUE)</f>
        <v>QSObject:ContextInput:w1~input.qs_context_add_curve.2359132437744.4905.3.0:35721</v>
      </c>
      <c r="E4906" s="6" t="str">
        <f>_xll.QS.INSTRUMENT.SWAP("swap.4904",H4906,B4906,"USD","SOFR",I4906,J4906,0,"Actual360","Simple","Annual","Annual","Annual")</f>
        <v>QSObject:Swap:w1~swap.4904:11760</v>
      </c>
      <c r="F4906" s="6" t="str">
        <f>_xll.QS.TRADE.CREATE("trade.4904",E4906,A4906,"Receive")</f>
        <v>QSObject:SwapTrade:w1~trade.4904:24995</v>
      </c>
      <c r="G4906" s="3">
        <f>_xll.QS.EVALUATE(C4906,F4906)</f>
        <v>23313.120757463104</v>
      </c>
      <c r="H4906" s="5" t="s">
        <v>4947</v>
      </c>
      <c r="I4906" s="7">
        <v>1490400</v>
      </c>
      <c r="J4906" s="8">
        <v>3.5400000000000001E-2</v>
      </c>
    </row>
    <row r="4907" spans="1:10" x14ac:dyDescent="0.25">
      <c r="A4907" s="5" t="s">
        <v>4941</v>
      </c>
      <c r="B4907" s="5" t="s">
        <v>6774</v>
      </c>
      <c r="C4907" s="6" t="str">
        <f>_xll.QS.CONTEXT.CREATE("market.4905",A4907,"USD","SOFR")</f>
        <v>QSObject:PricingContext:w1~market.4905:11759</v>
      </c>
      <c r="D4907" s="6" t="str">
        <f>_xll.QS.CONTEXT.ADD.CURVE(C4907,"SOFR",$K$2:$K$7,$L$2:$L$7,,,"Actual360","LogLinear",TRUE)</f>
        <v>QSObject:ContextInput:w1~input.qs_context_add_curve.2359132437744.4906.3.0:35720</v>
      </c>
      <c r="E4907" s="6" t="str">
        <f>_xll.QS.INSTRUMENT.SWAP("swap.4905",H4907,B4907,"USD","SOFR",I4907,J4907,0,"Actual360","Simple","Annual","Annual","Annual")</f>
        <v>QSObject:Swap:w1~swap.4905:11758</v>
      </c>
      <c r="F4907" s="6" t="str">
        <f>_xll.QS.TRADE.CREATE("trade.4905",E4907,A4907,"Receive")</f>
        <v>QSObject:SwapTrade:w1~trade.4905:24184</v>
      </c>
      <c r="G4907" s="3">
        <f>_xll.QS.EVALUATE(C4907,F4907)</f>
        <v>23821.603900541617</v>
      </c>
      <c r="H4907" s="5" t="s">
        <v>4948</v>
      </c>
      <c r="I4907" s="7">
        <v>1490500</v>
      </c>
      <c r="J4907" s="8">
        <v>3.5499999999999997E-2</v>
      </c>
    </row>
    <row r="4908" spans="1:10" x14ac:dyDescent="0.25">
      <c r="A4908" s="5" t="s">
        <v>4942</v>
      </c>
      <c r="B4908" s="5" t="s">
        <v>6775</v>
      </c>
      <c r="C4908" s="6" t="str">
        <f>_xll.QS.CONTEXT.CREATE("market.4906",A4908,"USD","SOFR")</f>
        <v>QSObject:PricingContext:w1~market.4906:11757</v>
      </c>
      <c r="D4908" s="6" t="str">
        <f>_xll.QS.CONTEXT.ADD.CURVE(C4908,"SOFR",$K$2:$K$7,$L$2:$L$7,,,"Actual360","LogLinear",TRUE)</f>
        <v>QSObject:ContextInput:w1~input.qs_context_add_curve.2359132437744.4907.3.0:35719</v>
      </c>
      <c r="E4908" s="6" t="str">
        <f>_xll.QS.INSTRUMENT.SWAP("swap.4906",H4908,B4908,"USD","SOFR",I4908,J4908,0,"Actual360","Simple","Annual","Annual","Annual")</f>
        <v>QSObject:Swap:w1~swap.4906:11756</v>
      </c>
      <c r="F4908" s="6" t="str">
        <f>_xll.QS.TRADE.CREATE("trade.4906",E4908,A4908,"Receive")</f>
        <v>QSObject:SwapTrade:w1~trade.4906:25686</v>
      </c>
      <c r="G4908" s="3">
        <f>_xll.QS.EVALUATE(C4908,F4908)</f>
        <v>24512.925356258478</v>
      </c>
      <c r="H4908" s="5" t="s">
        <v>4949</v>
      </c>
      <c r="I4908" s="7">
        <v>1490600</v>
      </c>
      <c r="J4908" s="8">
        <v>3.5600000000000007E-2</v>
      </c>
    </row>
    <row r="4909" spans="1:10" x14ac:dyDescent="0.25">
      <c r="A4909" s="5" t="s">
        <v>4943</v>
      </c>
      <c r="B4909" s="5" t="s">
        <v>6776</v>
      </c>
      <c r="C4909" s="6" t="str">
        <f>_xll.QS.CONTEXT.CREATE("market.4907",A4909,"USD","SOFR")</f>
        <v>QSObject:PricingContext:w1~market.4907:11755</v>
      </c>
      <c r="D4909" s="6" t="str">
        <f>_xll.QS.CONTEXT.ADD.CURVE(C4909,"SOFR",$K$2:$K$7,$L$2:$L$7,,,"Actual360","LogLinear",TRUE)</f>
        <v>QSObject:ContextInput:w1~input.qs_context_add_curve.2359132437744.4908.3.0:35718</v>
      </c>
      <c r="E4909" s="6" t="str">
        <f>_xll.QS.INSTRUMENT.SWAP("swap.4907",H4909,B4909,"USD","SOFR",I4909,J4909,0,"Actual360","Simple","Annual","Annual","Annual")</f>
        <v>QSObject:Swap:w1~swap.4907:11754</v>
      </c>
      <c r="F4909" s="6" t="str">
        <f>_xll.QS.TRADE.CREATE("trade.4907",E4909,A4909,"Receive")</f>
        <v>QSObject:SwapTrade:w1~trade.4907:26489</v>
      </c>
      <c r="G4909" s="3">
        <f>_xll.QS.EVALUATE(C4909,F4909)</f>
        <v>25262.738780012922</v>
      </c>
      <c r="H4909" s="5" t="s">
        <v>4950</v>
      </c>
      <c r="I4909" s="7">
        <v>1490700</v>
      </c>
      <c r="J4909" s="8">
        <v>3.5700000000000003E-2</v>
      </c>
    </row>
    <row r="4910" spans="1:10" x14ac:dyDescent="0.25">
      <c r="A4910" s="5" t="s">
        <v>4944</v>
      </c>
      <c r="B4910" s="5" t="s">
        <v>6777</v>
      </c>
      <c r="C4910" s="6" t="str">
        <f>_xll.QS.CONTEXT.CREATE("market.4908",A4910,"USD","SOFR")</f>
        <v>QSObject:PricingContext:w1~market.4908:11753</v>
      </c>
      <c r="D4910" s="6" t="str">
        <f>_xll.QS.CONTEXT.ADD.CURVE(C4910,"SOFR",$K$2:$K$7,$L$2:$L$7,,,"Actual360","LogLinear",TRUE)</f>
        <v>QSObject:ContextInput:w1~input.qs_context_add_curve.2359132437744.4909.3.0:35717</v>
      </c>
      <c r="E4910" s="6" t="str">
        <f>_xll.QS.INSTRUMENT.SWAP("swap.4908",H4910,B4910,"USD","SOFR",I4910,J4910,0,"Actual360","Simple","Annual","Annual","Annual")</f>
        <v>QSObject:Swap:w1~swap.4908:11752</v>
      </c>
      <c r="F4910" s="6" t="str">
        <f>_xll.QS.TRADE.CREATE("trade.4908",E4910,A4910,"Receive")</f>
        <v>QSObject:SwapTrade:w1~trade.4908:26488</v>
      </c>
      <c r="G4910" s="3">
        <f>_xll.QS.EVALUATE(C4910,F4910)</f>
        <v>26061.537309462838</v>
      </c>
      <c r="H4910" s="5" t="s">
        <v>4951</v>
      </c>
      <c r="I4910" s="7">
        <v>1490800</v>
      </c>
      <c r="J4910" s="8">
        <v>3.5800000000000012E-2</v>
      </c>
    </row>
    <row r="4911" spans="1:10" x14ac:dyDescent="0.25">
      <c r="A4911" s="5" t="s">
        <v>4945</v>
      </c>
      <c r="B4911" s="5" t="s">
        <v>6778</v>
      </c>
      <c r="C4911" s="6" t="str">
        <f>_xll.QS.CONTEXT.CREATE("market.4909",A4911,"USD","SOFR")</f>
        <v>QSObject:PricingContext:w1~market.4909:11751</v>
      </c>
      <c r="D4911" s="6" t="str">
        <f>_xll.QS.CONTEXT.ADD.CURVE(C4911,"SOFR",$K$2:$K$7,$L$2:$L$7,,,"Actual360","LogLinear",TRUE)</f>
        <v>QSObject:ContextInput:w1~input.qs_context_add_curve.2359132437744.4910.3.0:35716</v>
      </c>
      <c r="E4911" s="6" t="str">
        <f>_xll.QS.INSTRUMENT.SWAP("swap.4909",H4911,B4911,"USD","SOFR",I4911,J4911,0,"Actual360","Simple","Annual","Annual","Annual")</f>
        <v>QSObject:Swap:w1~swap.4909:11750</v>
      </c>
      <c r="F4911" s="6" t="str">
        <f>_xll.QS.TRADE.CREATE("trade.4909",E4911,A4911,"Receive")</f>
        <v>QSObject:SwapTrade:w1~trade.4909:24994</v>
      </c>
      <c r="G4911" s="3">
        <f>_xll.QS.EVALUATE(C4911,F4911)</f>
        <v>26750.934946107838</v>
      </c>
      <c r="H4911" s="5" t="s">
        <v>4952</v>
      </c>
      <c r="I4911" s="7">
        <v>1490900</v>
      </c>
      <c r="J4911" s="8">
        <v>3.5900000000000001E-2</v>
      </c>
    </row>
    <row r="4912" spans="1:10" x14ac:dyDescent="0.25">
      <c r="A4912" s="5" t="s">
        <v>4946</v>
      </c>
      <c r="B4912" s="5" t="s">
        <v>6779</v>
      </c>
      <c r="C4912" s="6" t="str">
        <f>_xll.QS.CONTEXT.CREATE("market.4910",A4912,"USD","SOFR")</f>
        <v>QSObject:PricingContext:w1~market.4910:11749</v>
      </c>
      <c r="D4912" s="6" t="str">
        <f>_xll.QS.CONTEXT.ADD.CURVE(C4912,"SOFR",$K$2:$K$7,$L$2:$L$7,,,"Actual360","LogLinear",TRUE)</f>
        <v>QSObject:ContextInput:w1~input.qs_context_add_curve.2359132437744.4911.3.0:35715</v>
      </c>
      <c r="E4912" s="6" t="str">
        <f>_xll.QS.INSTRUMENT.SWAP("swap.4910",H4912,B4912,"USD","SOFR",I4912,J4912,0,"Actual360","Simple","Annual","Annual","Annual")</f>
        <v>QSObject:Swap:w1~swap.4910:11748</v>
      </c>
      <c r="F4912" s="6" t="str">
        <f>_xll.QS.TRADE.CREATE("trade.4910",E4912,A4912,"Receive")</f>
        <v>QSObject:SwapTrade:w1~trade.4910:26985</v>
      </c>
      <c r="G4912" s="3">
        <f>_xll.QS.EVALUATE(C4912,F4912)</f>
        <v>27448.593333711207</v>
      </c>
      <c r="H4912" s="5" t="s">
        <v>4953</v>
      </c>
      <c r="I4912" s="7">
        <v>1491000</v>
      </c>
      <c r="J4912" s="8">
        <v>3.5999999999999997E-2</v>
      </c>
    </row>
    <row r="4913" spans="1:10" x14ac:dyDescent="0.25">
      <c r="A4913" s="5" t="s">
        <v>4947</v>
      </c>
      <c r="B4913" s="5" t="s">
        <v>6780</v>
      </c>
      <c r="C4913" s="6" t="str">
        <f>_xll.QS.CONTEXT.CREATE("market.4911",A4913,"USD","SOFR")</f>
        <v>QSObject:PricingContext:w1~market.4911:11747</v>
      </c>
      <c r="D4913" s="6" t="str">
        <f>_xll.QS.CONTEXT.ADD.CURVE(C4913,"SOFR",$K$2:$K$7,$L$2:$L$7,,,"Actual360","LogLinear",TRUE)</f>
        <v>QSObject:ContextInput:w1~input.qs_context_add_curve.2359132437744.4912.3.0:35714</v>
      </c>
      <c r="E4913" s="6" t="str">
        <f>_xll.QS.INSTRUMENT.SWAP("swap.4911",H4913,B4913,"USD","SOFR",I4913,J4913,0,"Actual360","Simple","Annual","Annual","Annual")</f>
        <v>QSObject:Swap:w1~swap.4911:11746</v>
      </c>
      <c r="F4913" s="6" t="str">
        <f>_xll.QS.TRADE.CREATE("trade.4911",E4913,A4913,"Receive")</f>
        <v>QSObject:SwapTrade:w1~trade.4911:24183</v>
      </c>
      <c r="G4913" s="3">
        <f>_xll.QS.EVALUATE(C4913,F4913)</f>
        <v>28139.594496917052</v>
      </c>
      <c r="H4913" s="5" t="s">
        <v>4954</v>
      </c>
      <c r="I4913" s="7">
        <v>1491100</v>
      </c>
      <c r="J4913" s="8">
        <v>3.61E-2</v>
      </c>
    </row>
    <row r="4914" spans="1:10" x14ac:dyDescent="0.25">
      <c r="A4914" s="5" t="s">
        <v>4948</v>
      </c>
      <c r="B4914" s="5" t="s">
        <v>6781</v>
      </c>
      <c r="C4914" s="6" t="str">
        <f>_xll.QS.CONTEXT.CREATE("market.4912",A4914,"USD","SOFR")</f>
        <v>QSObject:PricingContext:w1~market.4912:11745</v>
      </c>
      <c r="D4914" s="6" t="str">
        <f>_xll.QS.CONTEXT.ADD.CURVE(C4914,"SOFR",$K$2:$K$7,$L$2:$L$7,,,"Actual360","LogLinear",TRUE)</f>
        <v>QSObject:ContextInput:w1~input.qs_context_add_curve.2359132437744.4913.3.0:35713</v>
      </c>
      <c r="E4914" s="6" t="str">
        <f>_xll.QS.INSTRUMENT.SWAP("swap.4912",H4914,B4914,"USD","SOFR",I4914,J4914,0,"Actual360","Simple","Annual","Annual","Annual")</f>
        <v>QSObject:Swap:w1~swap.4912:11744</v>
      </c>
      <c r="F4914" s="6" t="str">
        <f>_xll.QS.TRADE.CREATE("trade.4912",E4914,A4914,"Receive")</f>
        <v>QSObject:SwapTrade:w1~trade.4912:25685</v>
      </c>
      <c r="G4914" s="3">
        <f>_xll.QS.EVALUATE(C4914,F4914)</f>
        <v>28647.6690502856</v>
      </c>
      <c r="H4914" s="5" t="s">
        <v>4955</v>
      </c>
      <c r="I4914" s="7">
        <v>1491200</v>
      </c>
      <c r="J4914" s="8">
        <v>3.6200000000000003E-2</v>
      </c>
    </row>
    <row r="4915" spans="1:10" x14ac:dyDescent="0.25">
      <c r="A4915" s="5" t="s">
        <v>4949</v>
      </c>
      <c r="B4915" s="5" t="s">
        <v>6782</v>
      </c>
      <c r="C4915" s="6" t="str">
        <f>_xll.QS.CONTEXT.CREATE("market.4913",A4915,"USD","SOFR")</f>
        <v>QSObject:PricingContext:w1~market.4913:11743</v>
      </c>
      <c r="D4915" s="6" t="str">
        <f>_xll.QS.CONTEXT.ADD.CURVE(C4915,"SOFR",$K$2:$K$7,$L$2:$L$7,,,"Actual360","LogLinear",TRUE)</f>
        <v>QSObject:ContextInput:w1~input.qs_context_add_curve.2359132437744.4914.3.0:35712</v>
      </c>
      <c r="E4915" s="6" t="str">
        <f>_xll.QS.INSTRUMENT.SWAP("swap.4913",H4915,B4915,"USD","SOFR",I4915,J4915,0,"Actual360","Simple","Annual","Annual","Annual")</f>
        <v>QSObject:Swap:w1~swap.4913:11742</v>
      </c>
      <c r="F4915" s="6" t="str">
        <f>_xll.QS.TRADE.CREATE("trade.4913",E4915,A4915,"Receive")</f>
        <v>QSObject:SwapTrade:w1~trade.4913:25684</v>
      </c>
      <c r="G4915" s="3">
        <f>_xll.QS.EVALUATE(C4915,F4915)</f>
        <v>29339.752028714662</v>
      </c>
      <c r="H4915" s="5" t="s">
        <v>4956</v>
      </c>
      <c r="I4915" s="7">
        <v>1491300</v>
      </c>
      <c r="J4915" s="8">
        <v>3.6300000000000013E-2</v>
      </c>
    </row>
    <row r="4916" spans="1:10" x14ac:dyDescent="0.25">
      <c r="A4916" s="5" t="s">
        <v>4950</v>
      </c>
      <c r="B4916" s="5" t="s">
        <v>6783</v>
      </c>
      <c r="C4916" s="6" t="str">
        <f>_xll.QS.CONTEXT.CREATE("market.4914",A4916,"USD","SOFR")</f>
        <v>QSObject:PricingContext:w1~market.4914:11741</v>
      </c>
      <c r="D4916" s="6" t="str">
        <f>_xll.QS.CONTEXT.ADD.CURVE(C4916,"SOFR",$K$2:$K$7,$L$2:$L$7,,,"Actual360","LogLinear",TRUE)</f>
        <v>QSObject:ContextInput:w1~input.qs_context_add_curve.2359132437744.4915.3.0:35711</v>
      </c>
      <c r="E4916" s="6" t="str">
        <f>_xll.QS.INSTRUMENT.SWAP("swap.4914",H4916,B4916,"USD","SOFR",I4916,J4916,0,"Actual360","Simple","Annual","Annual","Annual")</f>
        <v>QSObject:Swap:w1~swap.4914:11740</v>
      </c>
      <c r="F4916" s="6" t="str">
        <f>_xll.QS.TRADE.CREATE("trade.4914",E4916,A4916,"Receive")</f>
        <v>QSObject:SwapTrade:w1~trade.4914:24182</v>
      </c>
      <c r="G4916" s="3">
        <f>_xll.QS.EVALUATE(C4916,F4916)</f>
        <v>30091.662015447306</v>
      </c>
      <c r="H4916" s="5" t="s">
        <v>4957</v>
      </c>
      <c r="I4916" s="7">
        <v>1491400</v>
      </c>
      <c r="J4916" s="8">
        <v>3.6400000000000002E-2</v>
      </c>
    </row>
    <row r="4917" spans="1:10" x14ac:dyDescent="0.25">
      <c r="A4917" s="5" t="s">
        <v>4951</v>
      </c>
      <c r="B4917" s="5" t="s">
        <v>6784</v>
      </c>
      <c r="C4917" s="6" t="str">
        <f>_xll.QS.CONTEXT.CREATE("market.4915",A4917,"USD","SOFR")</f>
        <v>QSObject:PricingContext:w1~market.4915:11739</v>
      </c>
      <c r="D4917" s="6" t="str">
        <f>_xll.QS.CONTEXT.ADD.CURVE(C4917,"SOFR",$K$2:$K$7,$L$2:$L$7,,,"Actual360","LogLinear",TRUE)</f>
        <v>QSObject:ContextInput:w1~input.qs_context_add_curve.2359132437744.4916.3.0:35710</v>
      </c>
      <c r="E4917" s="6" t="str">
        <f>_xll.QS.INSTRUMENT.SWAP("swap.4915",H4917,B4917,"USD","SOFR",I4917,J4917,0,"Actual360","Simple","Annual","Annual","Annual")</f>
        <v>QSObject:Swap:w1~swap.4915:11738</v>
      </c>
      <c r="F4917" s="6" t="str">
        <f>_xll.QS.TRADE.CREATE("trade.4915",E4917,A4917,"Receive")</f>
        <v>QSObject:SwapTrade:w1~trade.4915:26984</v>
      </c>
      <c r="G4917" s="3">
        <f>_xll.QS.EVALUATE(C4917,F4917)</f>
        <v>30890.692369755438</v>
      </c>
      <c r="H4917" s="5" t="s">
        <v>4958</v>
      </c>
      <c r="I4917" s="7">
        <v>1491500</v>
      </c>
      <c r="J4917" s="8">
        <v>3.6499999999999998E-2</v>
      </c>
    </row>
    <row r="4918" spans="1:10" x14ac:dyDescent="0.25">
      <c r="A4918" s="5" t="s">
        <v>4952</v>
      </c>
      <c r="B4918" s="5" t="s">
        <v>6785</v>
      </c>
      <c r="C4918" s="6" t="str">
        <f>_xll.QS.CONTEXT.CREATE("market.4916",A4918,"USD","SOFR")</f>
        <v>QSObject:PricingContext:w1~market.4916:11737</v>
      </c>
      <c r="D4918" s="6" t="str">
        <f>_xll.QS.CONTEXT.ADD.CURVE(C4918,"SOFR",$K$2:$K$7,$L$2:$L$7,,,"Actual360","LogLinear",TRUE)</f>
        <v>QSObject:ContextInput:w1~input.qs_context_add_curve.2359132437744.4917.3.0:35709</v>
      </c>
      <c r="E4918" s="6" t="str">
        <f>_xll.QS.INSTRUMENT.SWAP("swap.4916",H4918,B4918,"USD","SOFR",I4918,J4918,0,"Actual360","Simple","Annual","Annual","Annual")</f>
        <v>QSObject:Swap:w1~swap.4916:11736</v>
      </c>
      <c r="F4918" s="6" t="str">
        <f>_xll.QS.TRADE.CREATE("trade.4916",E4918,A4918,"Receive")</f>
        <v>QSObject:SwapTrade:w1~trade.4916:24993</v>
      </c>
      <c r="G4918" s="3">
        <f>_xll.QS.EVALUATE(C4918,F4918)</f>
        <v>31580.726334061263</v>
      </c>
      <c r="H4918" s="5" t="s">
        <v>4959</v>
      </c>
      <c r="I4918" s="7">
        <v>1491600</v>
      </c>
      <c r="J4918" s="8">
        <v>3.6600000000000001E-2</v>
      </c>
    </row>
    <row r="4919" spans="1:10" x14ac:dyDescent="0.25">
      <c r="A4919" s="5" t="s">
        <v>4953</v>
      </c>
      <c r="B4919" s="5" t="s">
        <v>6786</v>
      </c>
      <c r="C4919" s="6" t="str">
        <f>_xll.QS.CONTEXT.CREATE("market.4917",A4919,"USD","SOFR")</f>
        <v>QSObject:PricingContext:w1~market.4917:11735</v>
      </c>
      <c r="D4919" s="6" t="str">
        <f>_xll.QS.CONTEXT.ADD.CURVE(C4919,"SOFR",$K$2:$K$7,$L$2:$L$7,,,"Actual360","LogLinear",TRUE)</f>
        <v>QSObject:ContextInput:w1~input.qs_context_add_curve.2359132437744.4918.3.0:35708</v>
      </c>
      <c r="E4919" s="6" t="str">
        <f>_xll.QS.INSTRUMENT.SWAP("swap.4917",H4919,B4919,"USD","SOFR",I4919,J4919,0,"Actual360","Simple","Annual","Annual","Annual")</f>
        <v>QSObject:Swap:w1~swap.4917:11734</v>
      </c>
      <c r="F4919" s="6" t="str">
        <f>_xll.QS.TRADE.CREATE("trade.4917",E4919,A4919,"Receive")</f>
        <v>QSObject:SwapTrade:w1~trade.4917:26487</v>
      </c>
      <c r="G4919" s="3">
        <f>_xll.QS.EVALUATE(C4919,F4919)</f>
        <v>32279.047809323936</v>
      </c>
      <c r="H4919" s="5" t="s">
        <v>4960</v>
      </c>
      <c r="I4919" s="7">
        <v>1491700</v>
      </c>
      <c r="J4919" s="8">
        <v>3.6700000000000003E-2</v>
      </c>
    </row>
    <row r="4920" spans="1:10" x14ac:dyDescent="0.25">
      <c r="A4920" s="5" t="s">
        <v>4954</v>
      </c>
      <c r="B4920" s="5" t="s">
        <v>6787</v>
      </c>
      <c r="C4920" s="6" t="str">
        <f>_xll.QS.CONTEXT.CREATE("market.4918",A4920,"USD","SOFR")</f>
        <v>QSObject:PricingContext:w1~market.4918:11733</v>
      </c>
      <c r="D4920" s="6" t="str">
        <f>_xll.QS.CONTEXT.ADD.CURVE(C4920,"SOFR",$K$2:$K$7,$L$2:$L$7,,,"Actual360","LogLinear",TRUE)</f>
        <v>QSObject:ContextInput:w1~input.qs_context_add_curve.2359132437744.4919.3.0:35707</v>
      </c>
      <c r="E4920" s="6" t="str">
        <f>_xll.QS.INSTRUMENT.SWAP("swap.4918",H4920,B4920,"USD","SOFR",I4920,J4920,0,"Actual360","Simple","Annual","Annual","Annual")</f>
        <v>QSObject:Swap:w1~swap.4918:11732</v>
      </c>
      <c r="F4920" s="6" t="str">
        <f>_xll.QS.TRADE.CREATE("trade.4918",E4920,A4920,"Receive")</f>
        <v>QSObject:SwapTrade:w1~trade.4918:24181</v>
      </c>
      <c r="G4920" s="3">
        <f>_xll.QS.EVALUATE(C4920,F4920)</f>
        <v>32970.713797468125</v>
      </c>
      <c r="H4920" s="5" t="s">
        <v>4961</v>
      </c>
      <c r="I4920" s="7">
        <v>1491800</v>
      </c>
      <c r="J4920" s="8">
        <v>3.6800000000000013E-2</v>
      </c>
    </row>
    <row r="4921" spans="1:10" x14ac:dyDescent="0.25">
      <c r="A4921" s="5" t="s">
        <v>4955</v>
      </c>
      <c r="B4921" s="5" t="s">
        <v>6788</v>
      </c>
      <c r="C4921" s="6" t="str">
        <f>_xll.QS.CONTEXT.CREATE("market.4919",A4921,"USD","SOFR")</f>
        <v>QSObject:PricingContext:w1~market.4919:11731</v>
      </c>
      <c r="D4921" s="6" t="str">
        <f>_xll.QS.CONTEXT.ADD.CURVE(C4921,"SOFR",$K$2:$K$7,$L$2:$L$7,,,"Actual360","LogLinear",TRUE)</f>
        <v>QSObject:ContextInput:w1~input.qs_context_add_curve.2359132437744.4920.3.0:35706</v>
      </c>
      <c r="E4921" s="6" t="str">
        <f>_xll.QS.INSTRUMENT.SWAP("swap.4919",H4921,B4921,"USD","SOFR",I4921,J4921,0,"Actual360","Simple","Annual","Annual","Annual")</f>
        <v>QSObject:Swap:w1~swap.4919:11730</v>
      </c>
      <c r="F4921" s="6" t="str">
        <f>_xll.QS.TRADE.CREATE("trade.4919",E4921,A4921,"Receive")</f>
        <v>QSObject:SwapTrade:w1~trade.4919:24992</v>
      </c>
      <c r="G4921" s="3">
        <f>_xll.QS.EVALUATE(C4921,F4921)</f>
        <v>33478.379800331386</v>
      </c>
      <c r="H4921" s="5" t="s">
        <v>4962</v>
      </c>
      <c r="I4921" s="7">
        <v>1491900</v>
      </c>
      <c r="J4921" s="8">
        <v>3.6900000000000002E-2</v>
      </c>
    </row>
    <row r="4922" spans="1:10" x14ac:dyDescent="0.25">
      <c r="A4922" s="5" t="s">
        <v>4956</v>
      </c>
      <c r="B4922" s="5" t="s">
        <v>6789</v>
      </c>
      <c r="C4922" s="6" t="str">
        <f>_xll.QS.CONTEXT.CREATE("market.4920",A4922,"USD","SOFR")</f>
        <v>QSObject:PricingContext:w1~market.4920:11729</v>
      </c>
      <c r="D4922" s="6" t="str">
        <f>_xll.QS.CONTEXT.ADD.CURVE(C4922,"SOFR",$K$2:$K$7,$L$2:$L$7,,,"Actual360","LogLinear",TRUE)</f>
        <v>QSObject:ContextInput:w1~input.qs_context_add_curve.2359132437744.4921.3.0:35705</v>
      </c>
      <c r="E4922" s="6" t="str">
        <f>_xll.QS.INSTRUMENT.SWAP("swap.4920",H4922,B4922,"USD","SOFR",I4922,J4922,0,"Actual360","Simple","Annual","Annual","Annual")</f>
        <v>QSObject:Swap:w1~swap.4920:11728</v>
      </c>
      <c r="F4922" s="6" t="str">
        <f>_xll.QS.TRADE.CREATE("trade.4920",E4922,A4922,"Receive")</f>
        <v>QSObject:SwapTrade:w1~trade.4920:26486</v>
      </c>
      <c r="G4922" s="3">
        <f>_xll.QS.EVALUATE(C4922,F4922)</f>
        <v>34171.513667925828</v>
      </c>
      <c r="H4922" s="5" t="s">
        <v>4963</v>
      </c>
      <c r="I4922" s="7">
        <v>1492000</v>
      </c>
      <c r="J4922" s="8">
        <v>3.7000000000000012E-2</v>
      </c>
    </row>
    <row r="4923" spans="1:10" x14ac:dyDescent="0.25">
      <c r="A4923" s="5" t="s">
        <v>4957</v>
      </c>
      <c r="B4923" s="5" t="s">
        <v>6790</v>
      </c>
      <c r="C4923" s="6" t="str">
        <f>_xll.QS.CONTEXT.CREATE("market.4921",A4923,"USD","SOFR")</f>
        <v>QSObject:PricingContext:w1~market.4921:11727</v>
      </c>
      <c r="D4923" s="6" t="str">
        <f>_xll.QS.CONTEXT.ADD.CURVE(C4923,"SOFR",$K$2:$K$7,$L$2:$L$7,,,"Actual360","LogLinear",TRUE)</f>
        <v>QSObject:ContextInput:w1~input.qs_context_add_curve.2359132437744.4922.3.0:35704</v>
      </c>
      <c r="E4923" s="6" t="str">
        <f>_xll.QS.INSTRUMENT.SWAP("swap.4921",H4923,B4923,"USD","SOFR",I4923,J4923,0,"Actual360","Simple","Annual","Annual","Annual")</f>
        <v>QSObject:Swap:w1~swap.4921:11726</v>
      </c>
      <c r="F4923" s="6" t="str">
        <f>_xll.QS.TRADE.CREATE("trade.4921",E4923,A4923,"Receive")</f>
        <v>QSObject:SwapTrade:w1~trade.4921:26983</v>
      </c>
      <c r="G4923" s="3">
        <f>_xll.QS.EVALUATE(C4923,F4923)</f>
        <v>34924.72594415582</v>
      </c>
      <c r="H4923" s="5" t="s">
        <v>4964</v>
      </c>
      <c r="I4923" s="7">
        <v>1492100</v>
      </c>
      <c r="J4923" s="8">
        <v>3.7100000000000001E-2</v>
      </c>
    </row>
    <row r="4924" spans="1:10" x14ac:dyDescent="0.25">
      <c r="A4924" s="5" t="s">
        <v>4958</v>
      </c>
      <c r="B4924" s="5" t="s">
        <v>6791</v>
      </c>
      <c r="C4924" s="6" t="str">
        <f>_xll.QS.CONTEXT.CREATE("market.4922",A4924,"USD","SOFR")</f>
        <v>QSObject:PricingContext:w1~market.4922:11725</v>
      </c>
      <c r="D4924" s="6" t="str">
        <f>_xll.QS.CONTEXT.ADD.CURVE(C4924,"SOFR",$K$2:$K$7,$L$2:$L$7,,,"Actual360","LogLinear",TRUE)</f>
        <v>QSObject:ContextInput:w1~input.qs_context_add_curve.2359132437744.4923.3.0:35703</v>
      </c>
      <c r="E4924" s="6" t="str">
        <f>_xll.QS.INSTRUMENT.SWAP("swap.4922",H4924,B4924,"USD","SOFR",I4924,J4924,0,"Actual360","Simple","Annual","Annual","Annual")</f>
        <v>QSObject:Swap:w1~swap.4922:11724</v>
      </c>
      <c r="F4924" s="6" t="str">
        <f>_xll.QS.TRADE.CREATE("trade.4922",E4924,A4924,"Receive")</f>
        <v>QSObject:SwapTrade:w1~trade.4922:25683</v>
      </c>
      <c r="G4924" s="3">
        <f>_xll.QS.EVALUATE(C4924,F4924)</f>
        <v>35724.368841471172</v>
      </c>
      <c r="H4924" s="5" t="s">
        <v>4965</v>
      </c>
      <c r="I4924" s="7">
        <v>1492200</v>
      </c>
      <c r="J4924" s="8">
        <v>3.7199999999999997E-2</v>
      </c>
    </row>
    <row r="4925" spans="1:10" x14ac:dyDescent="0.25">
      <c r="A4925" s="5" t="s">
        <v>4959</v>
      </c>
      <c r="B4925" s="5" t="s">
        <v>6792</v>
      </c>
      <c r="C4925" s="6" t="str">
        <f>_xll.QS.CONTEXT.CREATE("market.4923",A4925,"USD","SOFR")</f>
        <v>QSObject:PricingContext:w1~market.4923:11723</v>
      </c>
      <c r="D4925" s="6" t="str">
        <f>_xll.QS.CONTEXT.ADD.CURVE(C4925,"SOFR",$K$2:$K$7,$L$2:$L$7,,,"Actual360","LogLinear",TRUE)</f>
        <v>QSObject:ContextInput:w1~input.qs_context_add_curve.2359132437744.4924.3.0:35702</v>
      </c>
      <c r="E4925" s="6" t="str">
        <f>_xll.QS.INSTRUMENT.SWAP("swap.4923",H4925,B4925,"USD","SOFR",I4925,J4925,0,"Actual360","Simple","Annual","Annual","Annual")</f>
        <v>QSObject:Swap:w1~swap.4923:11722</v>
      </c>
      <c r="F4925" s="6" t="str">
        <f>_xll.QS.TRADE.CREATE("trade.4923",E4925,A4925,"Receive")</f>
        <v>QSObject:SwapTrade:w1~trade.4923:24180</v>
      </c>
      <c r="G4925" s="3">
        <f>_xll.QS.EVALUATE(C4925,F4925)</f>
        <v>36414.915938839898</v>
      </c>
      <c r="H4925" s="5" t="s">
        <v>4966</v>
      </c>
      <c r="I4925" s="7">
        <v>1492300</v>
      </c>
      <c r="J4925" s="8">
        <v>3.73E-2</v>
      </c>
    </row>
    <row r="4926" spans="1:10" x14ac:dyDescent="0.25">
      <c r="A4926" s="5" t="s">
        <v>4960</v>
      </c>
      <c r="B4926" s="5" t="s">
        <v>6793</v>
      </c>
      <c r="C4926" s="6" t="str">
        <f>_xll.QS.CONTEXT.CREATE("market.4924",A4926,"USD","SOFR")</f>
        <v>QSObject:PricingContext:w1~market.4924:11721</v>
      </c>
      <c r="D4926" s="6" t="str">
        <f>_xll.QS.CONTEXT.ADD.CURVE(C4926,"SOFR",$K$2:$K$7,$L$2:$L$7,,,"Actual360","LogLinear",TRUE)</f>
        <v>QSObject:ContextInput:w1~input.qs_context_add_curve.2359132437744.4925.3.0:35701</v>
      </c>
      <c r="E4926" s="6" t="str">
        <f>_xll.QS.INSTRUMENT.SWAP("swap.4924",H4926,B4926,"USD","SOFR",I4926,J4926,0,"Actual360","Simple","Annual","Annual","Annual")</f>
        <v>QSObject:Swap:w1~swap.4924:11720</v>
      </c>
      <c r="F4926" s="6" t="str">
        <f>_xll.QS.TRADE.CREATE("trade.4924",E4926,A4926,"Receive")</f>
        <v>QSObject:SwapTrade:w1~trade.4924:26485</v>
      </c>
      <c r="G4926" s="3">
        <f>_xll.QS.EVALUATE(C4926,F4926)</f>
        <v>37113.275790078726</v>
      </c>
      <c r="H4926" s="5" t="s">
        <v>4967</v>
      </c>
      <c r="I4926" s="7">
        <v>1492400</v>
      </c>
      <c r="J4926" s="8">
        <v>3.7400000000000003E-2</v>
      </c>
    </row>
    <row r="4927" spans="1:10" x14ac:dyDescent="0.25">
      <c r="A4927" s="5" t="s">
        <v>4961</v>
      </c>
      <c r="B4927" s="5" t="s">
        <v>6794</v>
      </c>
      <c r="C4927" s="6" t="str">
        <f>_xll.QS.CONTEXT.CREATE("market.4925",A4927,"USD","SOFR")</f>
        <v>QSObject:PricingContext:w1~market.4925:11719</v>
      </c>
      <c r="D4927" s="6" t="str">
        <f>_xll.QS.CONTEXT.ADD.CURVE(C4927,"SOFR",$K$2:$K$7,$L$2:$L$7,,,"Actual360","LogLinear",TRUE)</f>
        <v>QSObject:ContextInput:w1~input.qs_context_add_curve.2359132437744.4926.3.0:35700</v>
      </c>
      <c r="E4927" s="6" t="str">
        <f>_xll.QS.INSTRUMENT.SWAP("swap.4925",H4927,B4927,"USD","SOFR",I4927,J4927,0,"Actual360","Simple","Annual","Annual","Annual")</f>
        <v>QSObject:Swap:w1~swap.4925:11718</v>
      </c>
      <c r="F4927" s="6" t="str">
        <f>_xll.QS.TRADE.CREATE("trade.4925",E4927,A4927,"Receive")</f>
        <v>QSObject:SwapTrade:w1~trade.4925:25682</v>
      </c>
      <c r="G4927" s="3">
        <f>_xll.QS.EVALUATE(C4927,F4927)</f>
        <v>37619.585612914518</v>
      </c>
      <c r="H4927" s="5" t="s">
        <v>4968</v>
      </c>
      <c r="I4927" s="7">
        <v>1492500</v>
      </c>
      <c r="J4927" s="8">
        <v>3.7500000000000012E-2</v>
      </c>
    </row>
    <row r="4928" spans="1:10" x14ac:dyDescent="0.25">
      <c r="A4928" s="5" t="s">
        <v>4962</v>
      </c>
      <c r="B4928" s="5" t="s">
        <v>6795</v>
      </c>
      <c r="C4928" s="6" t="str">
        <f>_xll.QS.CONTEXT.CREATE("market.4926",A4928,"USD","SOFR")</f>
        <v>QSObject:PricingContext:w1~market.4926:11717</v>
      </c>
      <c r="D4928" s="6" t="str">
        <f>_xll.QS.CONTEXT.ADD.CURVE(C4928,"SOFR",$K$2:$K$7,$L$2:$L$7,,,"Actual360","LogLinear",TRUE)</f>
        <v>QSObject:ContextInput:w1~input.qs_context_add_curve.2359132437744.4927.3.0:35699</v>
      </c>
      <c r="E4928" s="6" t="str">
        <f>_xll.QS.INSTRUMENT.SWAP("swap.4926",H4928,B4928,"USD","SOFR",I4928,J4928,0,"Actual360","Simple","Annual","Annual","Annual")</f>
        <v>QSObject:Swap:w1~swap.4926:11716</v>
      </c>
      <c r="F4928" s="6" t="str">
        <f>_xll.QS.TRADE.CREATE("trade.4926",E4928,A4928,"Receive")</f>
        <v>QSObject:SwapTrade:w1~trade.4926:24179</v>
      </c>
      <c r="G4928" s="3">
        <f>_xll.QS.EVALUATE(C4928,F4928)</f>
        <v>38313.799527253228</v>
      </c>
      <c r="H4928" s="5" t="s">
        <v>4969</v>
      </c>
      <c r="I4928" s="7">
        <v>1492600</v>
      </c>
      <c r="J4928" s="8">
        <v>3.7600000000000001E-2</v>
      </c>
    </row>
    <row r="4929" spans="1:10" x14ac:dyDescent="0.25">
      <c r="A4929" s="5" t="s">
        <v>4963</v>
      </c>
      <c r="B4929" s="5" t="s">
        <v>6796</v>
      </c>
      <c r="C4929" s="6" t="str">
        <f>_xll.QS.CONTEXT.CREATE("market.4927",A4929,"USD","SOFR")</f>
        <v>QSObject:PricingContext:w1~market.4927:11715</v>
      </c>
      <c r="D4929" s="6" t="str">
        <f>_xll.QS.CONTEXT.ADD.CURVE(C4929,"SOFR",$K$2:$K$7,$L$2:$L$7,,,"Actual360","LogLinear",TRUE)</f>
        <v>QSObject:ContextInput:w1~input.qs_context_add_curve.2359132437744.4928.3.0:35698</v>
      </c>
      <c r="E4929" s="6" t="str">
        <f>_xll.QS.INSTRUMENT.SWAP("swap.4927",H4929,B4929,"USD","SOFR",I4929,J4929,0,"Actual360","Simple","Annual","Annual","Annual")</f>
        <v>QSObject:Swap:w1~swap.4927:11714</v>
      </c>
      <c r="F4929" s="6" t="str">
        <f>_xll.QS.TRADE.CREATE("trade.4927",E4929,A4929,"Receive")</f>
        <v>QSObject:SwapTrade:w1~trade.4927:24178</v>
      </c>
      <c r="G4929" s="3">
        <f>_xll.QS.EVALUATE(C4929,F4929)</f>
        <v>39007.912587691215</v>
      </c>
      <c r="H4929" s="5" t="s">
        <v>4970</v>
      </c>
      <c r="I4929" s="7">
        <v>1492700</v>
      </c>
      <c r="J4929" s="8">
        <v>3.7699999999999997E-2</v>
      </c>
    </row>
    <row r="4930" spans="1:10" x14ac:dyDescent="0.25">
      <c r="A4930" s="5" t="s">
        <v>4964</v>
      </c>
      <c r="B4930" s="5" t="s">
        <v>6797</v>
      </c>
      <c r="C4930" s="6" t="str">
        <f>_xll.QS.CONTEXT.CREATE("market.4928",A4930,"USD","SOFR")</f>
        <v>QSObject:PricingContext:w1~market.4928:11713</v>
      </c>
      <c r="D4930" s="6" t="str">
        <f>_xll.QS.CONTEXT.ADD.CURVE(C4930,"SOFR",$K$2:$K$7,$L$2:$L$7,,,"Actual360","LogLinear",TRUE)</f>
        <v>QSObject:ContextInput:w1~input.qs_context_add_curve.2359132437744.4929.3.0:35697</v>
      </c>
      <c r="E4930" s="6" t="str">
        <f>_xll.QS.INSTRUMENT.SWAP("swap.4928",H4930,B4930,"USD","SOFR",I4930,J4930,0,"Actual360","Simple","Annual","Annual","Annual")</f>
        <v>QSObject:Swap:w1~swap.4928:11712</v>
      </c>
      <c r="F4930" s="6" t="str">
        <f>_xll.QS.TRADE.CREATE("trade.4928",E4930,A4930,"Receive")</f>
        <v>QSObject:SwapTrade:w1~trade.4928:25681</v>
      </c>
      <c r="G4930" s="3">
        <f>_xll.QS.EVALUATE(C4930,F4930)</f>
        <v>39927.636655035967</v>
      </c>
      <c r="H4930" s="5" t="s">
        <v>4971</v>
      </c>
      <c r="I4930" s="7">
        <v>1492800</v>
      </c>
      <c r="J4930" s="8">
        <v>3.78E-2</v>
      </c>
    </row>
    <row r="4931" spans="1:10" x14ac:dyDescent="0.25">
      <c r="A4931" s="5" t="s">
        <v>4965</v>
      </c>
      <c r="B4931" s="5" t="s">
        <v>6798</v>
      </c>
      <c r="C4931" s="6" t="str">
        <f>_xll.QS.CONTEXT.CREATE("market.4929",A4931,"USD","SOFR")</f>
        <v>QSObject:PricingContext:w1~market.4929:11711</v>
      </c>
      <c r="D4931" s="6" t="str">
        <f>_xll.QS.CONTEXT.ADD.CURVE(C4931,"SOFR",$K$2:$K$7,$L$2:$L$7,,,"Actual360","LogLinear",TRUE)</f>
        <v>QSObject:ContextInput:w1~input.qs_context_add_curve.2359132437744.4930.3.0:35696</v>
      </c>
      <c r="E4931" s="6" t="str">
        <f>_xll.QS.INSTRUMENT.SWAP("swap.4929",H4931,B4931,"USD","SOFR",I4931,J4931,0,"Actual360","Simple","Annual","Annual","Annual")</f>
        <v>QSObject:Swap:w1~swap.4929:11710</v>
      </c>
      <c r="F4931" s="6" t="str">
        <f>_xll.QS.TRADE.CREATE("trade.4929",E4931,A4931,"Receive")</f>
        <v>QSObject:SwapTrade:w1~trade.4929:26484</v>
      </c>
      <c r="G4931" s="3">
        <f>_xll.QS.EVALUATE(C4931,F4931)</f>
        <v>40617.905545271751</v>
      </c>
      <c r="H4931" s="5" t="s">
        <v>4972</v>
      </c>
      <c r="I4931" s="7">
        <v>1492900</v>
      </c>
      <c r="J4931" s="8">
        <v>3.7900000000000003E-2</v>
      </c>
    </row>
    <row r="4932" spans="1:10" x14ac:dyDescent="0.25">
      <c r="A4932" s="5" t="s">
        <v>4966</v>
      </c>
      <c r="B4932" s="5" t="s">
        <v>6799</v>
      </c>
      <c r="C4932" s="6" t="str">
        <f>_xll.QS.CONTEXT.CREATE("market.4930",A4932,"USD","SOFR")</f>
        <v>QSObject:PricingContext:w1~market.4930:11709</v>
      </c>
      <c r="D4932" s="6" t="str">
        <f>_xll.QS.CONTEXT.ADD.CURVE(C4932,"SOFR",$K$2:$K$7,$L$2:$L$7,,,"Actual360","LogLinear",TRUE)</f>
        <v>QSObject:ContextInput:w1~input.qs_context_add_curve.2359132437744.4931.3.0:35695</v>
      </c>
      <c r="E4932" s="6" t="str">
        <f>_xll.QS.INSTRUMENT.SWAP("swap.4930",H4932,B4932,"USD","SOFR",I4932,J4932,0,"Actual360","Simple","Annual","Annual","Annual")</f>
        <v>QSObject:Swap:w1~swap.4930:11708</v>
      </c>
      <c r="F4932" s="6" t="str">
        <f>_xll.QS.TRADE.CREATE("trade.4930",E4932,A4932,"Receive")</f>
        <v>QSObject:SwapTrade:w1~trade.4930:24991</v>
      </c>
      <c r="G4932" s="3">
        <f>_xll.QS.EVALUATE(C4932,F4932)</f>
        <v>41321.258808146071</v>
      </c>
      <c r="H4932" s="5" t="s">
        <v>4973</v>
      </c>
      <c r="I4932" s="7">
        <v>1493000</v>
      </c>
      <c r="J4932" s="8">
        <v>3.8000000000000013E-2</v>
      </c>
    </row>
    <row r="4933" spans="1:10" x14ac:dyDescent="0.25">
      <c r="A4933" s="5" t="s">
        <v>4967</v>
      </c>
      <c r="B4933" s="5" t="s">
        <v>6800</v>
      </c>
      <c r="C4933" s="6" t="str">
        <f>_xll.QS.CONTEXT.CREATE("market.4931",A4933,"USD","SOFR")</f>
        <v>QSObject:PricingContext:w1~market.4931:11707</v>
      </c>
      <c r="D4933" s="6" t="str">
        <f>_xll.QS.CONTEXT.ADD.CURVE(C4933,"SOFR",$K$2:$K$7,$L$2:$L$7,,,"Actual360","LogLinear",TRUE)</f>
        <v>QSObject:ContextInput:w1~input.qs_context_add_curve.2359132437744.4932.3.0:35694</v>
      </c>
      <c r="E4933" s="6" t="str">
        <f>_xll.QS.INSTRUMENT.SWAP("swap.4931",H4933,B4933,"USD","SOFR",I4933,J4933,0,"Actual360","Simple","Annual","Annual","Annual")</f>
        <v>QSObject:Swap:w1~swap.4931:11706</v>
      </c>
      <c r="F4933" s="6" t="str">
        <f>_xll.QS.TRADE.CREATE("trade.4931",E4933,A4933,"Receive")</f>
        <v>QSObject:SwapTrade:w1~trade.4931:24177</v>
      </c>
      <c r="G4933" s="3">
        <f>_xll.QS.EVALUATE(C4933,F4933)</f>
        <v>42013.946910578619</v>
      </c>
      <c r="H4933" s="5" t="s">
        <v>4974</v>
      </c>
      <c r="I4933" s="7">
        <v>1493100</v>
      </c>
      <c r="J4933" s="8">
        <v>3.8100000000000002E-2</v>
      </c>
    </row>
    <row r="4934" spans="1:10" x14ac:dyDescent="0.25">
      <c r="A4934" s="5" t="s">
        <v>4968</v>
      </c>
      <c r="B4934" s="5" t="s">
        <v>6801</v>
      </c>
      <c r="C4934" s="6" t="str">
        <f>_xll.QS.CONTEXT.CREATE("market.4932",A4934,"USD","SOFR")</f>
        <v>QSObject:PricingContext:w1~market.4932:11705</v>
      </c>
      <c r="D4934" s="6" t="str">
        <f>_xll.QS.CONTEXT.ADD.CURVE(C4934,"SOFR",$K$2:$K$7,$L$2:$L$7,,,"Actual360","LogLinear",TRUE)</f>
        <v>QSObject:ContextInput:w1~input.qs_context_add_curve.2359132437744.4933.3.0:35693</v>
      </c>
      <c r="E4934" s="6" t="str">
        <f>_xll.QS.INSTRUMENT.SWAP("swap.4932",H4934,B4934,"USD","SOFR",I4934,J4934,0,"Actual360","Simple","Annual","Annual","Annual")</f>
        <v>QSObject:Swap:w1~swap.4932:11704</v>
      </c>
      <c r="F4934" s="6" t="str">
        <f>_xll.QS.TRADE.CREATE("trade.4932",E4934,A4934,"Receive")</f>
        <v>QSObject:SwapTrade:w1~trade.4932:25680</v>
      </c>
      <c r="G4934" s="3">
        <f>_xll.QS.EVALUATE(C4934,F4934)</f>
        <v>42646.516695566694</v>
      </c>
      <c r="H4934" s="5" t="s">
        <v>4975</v>
      </c>
      <c r="I4934" s="7">
        <v>1493200</v>
      </c>
      <c r="J4934" s="8">
        <v>3.8199999999999998E-2</v>
      </c>
    </row>
    <row r="4935" spans="1:10" x14ac:dyDescent="0.25">
      <c r="A4935" s="5" t="s">
        <v>4969</v>
      </c>
      <c r="B4935" s="5" t="s">
        <v>6802</v>
      </c>
      <c r="C4935" s="6" t="str">
        <f>_xll.QS.CONTEXT.CREATE("market.4933",A4935,"USD","SOFR")</f>
        <v>QSObject:PricingContext:w1~market.4933:11703</v>
      </c>
      <c r="D4935" s="6" t="str">
        <f>_xll.QS.CONTEXT.ADD.CURVE(C4935,"SOFR",$K$2:$K$7,$L$2:$L$7,,,"Actual360","LogLinear",TRUE)</f>
        <v>QSObject:ContextInput:w1~input.qs_context_add_curve.2359132437744.4934.3.0:35692</v>
      </c>
      <c r="E4935" s="6" t="str">
        <f>_xll.QS.INSTRUMENT.SWAP("swap.4933",H4935,B4935,"USD","SOFR",I4935,J4935,0,"Actual360","Simple","Annual","Annual","Annual")</f>
        <v>QSObject:Swap:w1~swap.4933:11702</v>
      </c>
      <c r="F4935" s="6" t="str">
        <f>_xll.QS.TRADE.CREATE("trade.4933",E4935,A4935,"Receive")</f>
        <v>QSObject:SwapTrade:w1~trade.4933:26982</v>
      </c>
      <c r="G4935" s="3">
        <f>_xll.QS.EVALUATE(C4935,F4935)</f>
        <v>43153.362869137258</v>
      </c>
      <c r="H4935" s="5" t="s">
        <v>4976</v>
      </c>
      <c r="I4935" s="7">
        <v>1493300</v>
      </c>
      <c r="J4935" s="8">
        <v>3.8300000000000001E-2</v>
      </c>
    </row>
    <row r="4936" spans="1:10" x14ac:dyDescent="0.25">
      <c r="A4936" s="5" t="s">
        <v>4970</v>
      </c>
      <c r="B4936" s="5" t="s">
        <v>6803</v>
      </c>
      <c r="C4936" s="6" t="str">
        <f>_xll.QS.CONTEXT.CREATE("market.4934",A4936,"USD","SOFR")</f>
        <v>QSObject:PricingContext:w1~market.4934:11701</v>
      </c>
      <c r="D4936" s="6" t="str">
        <f>_xll.QS.CONTEXT.ADD.CURVE(C4936,"SOFR",$K$2:$K$7,$L$2:$L$7,,,"Actual360","LogLinear",TRUE)</f>
        <v>QSObject:ContextInput:w1~input.qs_context_add_curve.2359132437744.4935.3.0:35691</v>
      </c>
      <c r="E4936" s="6" t="str">
        <f>_xll.QS.INSTRUMENT.SWAP("swap.4934",H4936,B4936,"USD","SOFR",I4936,J4936,0,"Actual360","Simple","Annual","Annual","Annual")</f>
        <v>QSObject:Swap:w1~swap.4934:11700</v>
      </c>
      <c r="F4936" s="6" t="str">
        <f>_xll.QS.TRADE.CREATE("trade.4934",E4936,A4936,"Receive")</f>
        <v>QSObject:SwapTrade:w1~trade.4934:26483</v>
      </c>
      <c r="G4936" s="3">
        <f>_xll.QS.EVALUATE(C4936,F4936)</f>
        <v>43848.599652441262</v>
      </c>
      <c r="H4936" s="5" t="s">
        <v>4977</v>
      </c>
      <c r="I4936" s="7">
        <v>1493400</v>
      </c>
      <c r="J4936" s="8">
        <v>3.8399999999999997E-2</v>
      </c>
    </row>
    <row r="4937" spans="1:10" x14ac:dyDescent="0.25">
      <c r="A4937" s="5" t="s">
        <v>4971</v>
      </c>
      <c r="B4937" s="5" t="s">
        <v>6804</v>
      </c>
      <c r="C4937" s="6" t="str">
        <f>_xll.QS.CONTEXT.CREATE("market.4935",A4937,"USD","SOFR")</f>
        <v>QSObject:PricingContext:w1~market.4935:11699</v>
      </c>
      <c r="D4937" s="6" t="str">
        <f>_xll.QS.CONTEXT.ADD.CURVE(C4937,"SOFR",$K$2:$K$7,$L$2:$L$7,,,"Actual360","LogLinear",TRUE)</f>
        <v>QSObject:ContextInput:w1~input.qs_context_add_curve.2359132437744.4936.3.0:35690</v>
      </c>
      <c r="E4937" s="6" t="str">
        <f>_xll.QS.INSTRUMENT.SWAP("swap.4935",H4937,B4937,"USD","SOFR",I4937,J4937,0,"Actual360","Simple","Annual","Annual","Annual")</f>
        <v>QSObject:Swap:w1~swap.4935:11698</v>
      </c>
      <c r="F4937" s="6" t="str">
        <f>_xll.QS.TRADE.CREATE("trade.4935",E4937,A4937,"Receive")</f>
        <v>QSObject:SwapTrade:w1~trade.4935:24990</v>
      </c>
      <c r="G4937" s="3">
        <f>_xll.QS.EVALUATE(C4937,F4937)</f>
        <v>44603.949807649784</v>
      </c>
      <c r="H4937" s="5" t="s">
        <v>4978</v>
      </c>
      <c r="I4937" s="7">
        <v>1493500</v>
      </c>
      <c r="J4937" s="8">
        <v>3.8500000000000013E-2</v>
      </c>
    </row>
    <row r="4938" spans="1:10" x14ac:dyDescent="0.25">
      <c r="A4938" s="5" t="s">
        <v>4972</v>
      </c>
      <c r="B4938" s="5" t="s">
        <v>6805</v>
      </c>
      <c r="C4938" s="6" t="str">
        <f>_xll.QS.CONTEXT.CREATE("market.4936",A4938,"USD","SOFR")</f>
        <v>QSObject:PricingContext:w1~market.4936:11697</v>
      </c>
      <c r="D4938" s="6" t="str">
        <f>_xll.QS.CONTEXT.ADD.CURVE(C4938,"SOFR",$K$2:$K$7,$L$2:$L$7,,,"Actual360","LogLinear",TRUE)</f>
        <v>QSObject:ContextInput:w1~input.qs_context_add_curve.2359132437744.4937.3.0:35689</v>
      </c>
      <c r="E4938" s="6" t="str">
        <f>_xll.QS.INSTRUMENT.SWAP("swap.4936",H4938,B4938,"USD","SOFR",I4938,J4938,0,"Actual360","Simple","Annual","Annual","Annual")</f>
        <v>QSObject:Swap:w1~swap.4936:11696</v>
      </c>
      <c r="F4938" s="6" t="str">
        <f>_xll.QS.TRADE.CREATE("trade.4936",E4938,A4938,"Receive")</f>
        <v>QSObject:SwapTrade:w1~trade.4936:24176</v>
      </c>
      <c r="G4938" s="3">
        <f>_xll.QS.EVALUATE(C4938,F4938)</f>
        <v>45405.286019171712</v>
      </c>
      <c r="H4938" s="5" t="s">
        <v>4979</v>
      </c>
      <c r="I4938" s="7">
        <v>1493600</v>
      </c>
      <c r="J4938" s="8">
        <v>3.8600000000000002E-2</v>
      </c>
    </row>
    <row r="4939" spans="1:10" x14ac:dyDescent="0.25">
      <c r="A4939" s="5" t="s">
        <v>4973</v>
      </c>
      <c r="B4939" s="5" t="s">
        <v>6806</v>
      </c>
      <c r="C4939" s="6" t="str">
        <f>_xll.QS.CONTEXT.CREATE("market.4937",A4939,"USD","SOFR")</f>
        <v>QSObject:PricingContext:w1~market.4937:11695</v>
      </c>
      <c r="D4939" s="6" t="str">
        <f>_xll.QS.CONTEXT.ADD.CURVE(C4939,"SOFR",$K$2:$K$7,$L$2:$L$7,,,"Actual360","LogLinear",TRUE)</f>
        <v>QSObject:ContextInput:w1~input.qs_context_add_curve.2359132437744.4938.3.0:35688</v>
      </c>
      <c r="E4939" s="6" t="str">
        <f>_xll.QS.INSTRUMENT.SWAP("swap.4937",H4939,B4939,"USD","SOFR",I4939,J4939,0,"Actual360","Simple","Annual","Annual","Annual")</f>
        <v>QSObject:Swap:w1~swap.4937:11694</v>
      </c>
      <c r="F4939" s="6" t="str">
        <f>_xll.QS.TRADE.CREATE("trade.4937",E4939,A4939,"Receive")</f>
        <v>QSObject:SwapTrade:w1~trade.4937:25679</v>
      </c>
      <c r="G4939" s="3">
        <f>_xll.QS.EVALUATE(C4939,F4939)</f>
        <v>46097.228913005121</v>
      </c>
      <c r="H4939" s="5" t="s">
        <v>4980</v>
      </c>
      <c r="I4939" s="7">
        <v>1493700</v>
      </c>
      <c r="J4939" s="8">
        <v>3.8700000000000012E-2</v>
      </c>
    </row>
    <row r="4940" spans="1:10" x14ac:dyDescent="0.25">
      <c r="A4940" s="5" t="s">
        <v>4974</v>
      </c>
      <c r="B4940" s="5" t="s">
        <v>6807</v>
      </c>
      <c r="C4940" s="6" t="str">
        <f>_xll.QS.CONTEXT.CREATE("market.4938",A4940,"USD","SOFR")</f>
        <v>QSObject:PricingContext:w1~market.4938:11693</v>
      </c>
      <c r="D4940" s="6" t="str">
        <f>_xll.QS.CONTEXT.ADD.CURVE(C4940,"SOFR",$K$2:$K$7,$L$2:$L$7,,,"Actual360","LogLinear",TRUE)</f>
        <v>QSObject:ContextInput:w1~input.qs_context_add_curve.2359132437744.4939.3.0:35687</v>
      </c>
      <c r="E4940" s="6" t="str">
        <f>_xll.QS.INSTRUMENT.SWAP("swap.4938",H4940,B4940,"USD","SOFR",I4940,J4940,0,"Actual360","Simple","Annual","Annual","Annual")</f>
        <v>QSObject:Swap:w1~swap.4938:11692</v>
      </c>
      <c r="F4940" s="6" t="str">
        <f>_xll.QS.TRADE.CREATE("trade.4938",E4940,A4940,"Receive")</f>
        <v>QSObject:SwapTrade:w1~trade.4938:26981</v>
      </c>
      <c r="G4940" s="3">
        <f>_xll.QS.EVALUATE(C4940,F4940)</f>
        <v>46797.53972689181</v>
      </c>
      <c r="H4940" s="5" t="s">
        <v>4981</v>
      </c>
      <c r="I4940" s="7">
        <v>1493800</v>
      </c>
      <c r="J4940" s="8">
        <v>3.8800000000000001E-2</v>
      </c>
    </row>
    <row r="4941" spans="1:10" x14ac:dyDescent="0.25">
      <c r="A4941" s="5" t="s">
        <v>4975</v>
      </c>
      <c r="B4941" s="5" t="s">
        <v>6808</v>
      </c>
      <c r="C4941" s="6" t="str">
        <f>_xll.QS.CONTEXT.CREATE("market.4939",A4941,"USD","SOFR")</f>
        <v>QSObject:PricingContext:w1~market.4939:11691</v>
      </c>
      <c r="D4941" s="6" t="str">
        <f>_xll.QS.CONTEXT.ADD.CURVE(C4941,"SOFR",$K$2:$K$7,$L$2:$L$7,,,"Actual360","LogLinear",TRUE)</f>
        <v>QSObject:ContextInput:w1~input.qs_context_add_curve.2359132437744.4940.3.0:35686</v>
      </c>
      <c r="E4941" s="6" t="str">
        <f>_xll.QS.INSTRUMENT.SWAP("swap.4939",H4941,B4941,"USD","SOFR",I4941,J4941,0,"Actual360","Simple","Annual","Annual","Annual")</f>
        <v>QSObject:Swap:w1~swap.4939:11690</v>
      </c>
      <c r="F4941" s="6" t="str">
        <f>_xll.QS.TRADE.CREATE("trade.4939",E4941,A4941,"Receive")</f>
        <v>QSObject:SwapTrade:w1~trade.4939:26980</v>
      </c>
      <c r="G4941" s="3">
        <f>_xll.QS.EVALUATE(C4941,F4941)</f>
        <v>47491.200293113972</v>
      </c>
      <c r="H4941" s="5" t="s">
        <v>4982</v>
      </c>
      <c r="I4941" s="7">
        <v>1493900</v>
      </c>
      <c r="J4941" s="8">
        <v>3.8899999999999997E-2</v>
      </c>
    </row>
    <row r="4942" spans="1:10" x14ac:dyDescent="0.25">
      <c r="A4942" s="5" t="s">
        <v>4976</v>
      </c>
      <c r="B4942" s="5" t="s">
        <v>6809</v>
      </c>
      <c r="C4942" s="6" t="str">
        <f>_xll.QS.CONTEXT.CREATE("market.4940",A4942,"USD","SOFR")</f>
        <v>QSObject:PricingContext:w1~market.4940:11689</v>
      </c>
      <c r="D4942" s="6" t="str">
        <f>_xll.QS.CONTEXT.ADD.CURVE(C4942,"SOFR",$K$2:$K$7,$L$2:$L$7,,,"Actual360","LogLinear",TRUE)</f>
        <v>QSObject:ContextInput:w1~input.qs_context_add_curve.2359132437744.4941.3.0:35685</v>
      </c>
      <c r="E4942" s="6" t="str">
        <f>_xll.QS.INSTRUMENT.SWAP("swap.4940",H4942,B4942,"USD","SOFR",I4942,J4942,0,"Actual360","Simple","Annual","Annual","Annual")</f>
        <v>QSObject:Swap:w1~swap.4940:11688</v>
      </c>
      <c r="F4942" s="6" t="str">
        <f>_xll.QS.TRADE.CREATE("trade.4940",E4942,A4942,"Receive")</f>
        <v>QSObject:SwapTrade:w1~trade.4940:26482</v>
      </c>
      <c r="G4942" s="3">
        <f>_xll.QS.EVALUATE(C4942,F4942)</f>
        <v>47997.635187897322</v>
      </c>
      <c r="H4942" s="5" t="s">
        <v>4983</v>
      </c>
      <c r="I4942" s="7">
        <v>1494000</v>
      </c>
      <c r="J4942" s="8">
        <v>3.9000000000000007E-2</v>
      </c>
    </row>
    <row r="4943" spans="1:10" x14ac:dyDescent="0.25">
      <c r="A4943" s="5" t="s">
        <v>4977</v>
      </c>
      <c r="B4943" s="5" t="s">
        <v>6810</v>
      </c>
      <c r="C4943" s="6" t="str">
        <f>_xll.QS.CONTEXT.CREATE("market.4941",A4943,"USD","SOFR")</f>
        <v>QSObject:PricingContext:w1~market.4941:11687</v>
      </c>
      <c r="D4943" s="6" t="str">
        <f>_xll.QS.CONTEXT.ADD.CURVE(C4943,"SOFR",$K$2:$K$7,$L$2:$L$7,,,"Actual360","LogLinear",TRUE)</f>
        <v>QSObject:ContextInput:w1~input.qs_context_add_curve.2359132437744.4942.3.0:35684</v>
      </c>
      <c r="E4943" s="6" t="str">
        <f>_xll.QS.INSTRUMENT.SWAP("swap.4941",H4943,B4943,"USD","SOFR",I4943,J4943,0,"Actual360","Simple","Annual","Annual","Annual")</f>
        <v>QSObject:Swap:w1~swap.4941:11686</v>
      </c>
      <c r="F4943" s="6" t="str">
        <f>_xll.QS.TRADE.CREATE("trade.4941",E4943,A4943,"Receive")</f>
        <v>QSObject:SwapTrade:w1~trade.4941:24989</v>
      </c>
      <c r="G4943" s="3">
        <f>_xll.QS.EVALUATE(C4943,F4943)</f>
        <v>48693.923997745507</v>
      </c>
      <c r="H4943" s="5" t="s">
        <v>4984</v>
      </c>
      <c r="I4943" s="7">
        <v>1494100</v>
      </c>
      <c r="J4943" s="8">
        <v>3.9100000000000003E-2</v>
      </c>
    </row>
    <row r="4944" spans="1:10" x14ac:dyDescent="0.25">
      <c r="A4944" s="5" t="s">
        <v>4978</v>
      </c>
      <c r="B4944" s="5" t="s">
        <v>6811</v>
      </c>
      <c r="C4944" s="6" t="str">
        <f>_xll.QS.CONTEXT.CREATE("market.4942",A4944,"USD","SOFR")</f>
        <v>QSObject:PricingContext:w1~market.4942:11685</v>
      </c>
      <c r="D4944" s="6" t="str">
        <f>_xll.QS.CONTEXT.ADD.CURVE(C4944,"SOFR",$K$2:$K$7,$L$2:$L$7,,,"Actual360","LogLinear",TRUE)</f>
        <v>QSObject:ContextInput:w1~input.qs_context_add_curve.2359132437744.4943.3.0:35683</v>
      </c>
      <c r="E4944" s="6" t="str">
        <f>_xll.QS.INSTRUMENT.SWAP("swap.4942",H4944,B4944,"USD","SOFR",I4944,J4944,0,"Actual360","Simple","Annual","Annual","Annual")</f>
        <v>QSObject:Swap:w1~swap.4942:11684</v>
      </c>
      <c r="F4944" s="6" t="str">
        <f>_xll.QS.TRADE.CREATE("trade.4942",E4944,A4944,"Receive")</f>
        <v>QSObject:SwapTrade:w1~trade.4942:25678</v>
      </c>
      <c r="G4944" s="3">
        <f>_xll.QS.EVALUATE(C4944,F4944)</f>
        <v>49450.421760324185</v>
      </c>
      <c r="H4944" s="5" t="s">
        <v>4985</v>
      </c>
      <c r="I4944" s="7">
        <v>1494200</v>
      </c>
      <c r="J4944" s="8">
        <v>3.9200000000000013E-2</v>
      </c>
    </row>
    <row r="4945" spans="1:10" x14ac:dyDescent="0.25">
      <c r="A4945" s="5" t="s">
        <v>4979</v>
      </c>
      <c r="B4945" s="5" t="s">
        <v>6812</v>
      </c>
      <c r="C4945" s="6" t="str">
        <f>_xll.QS.CONTEXT.CREATE("market.4943",A4945,"USD","SOFR")</f>
        <v>QSObject:PricingContext:w1~market.4943:11683</v>
      </c>
      <c r="D4945" s="6" t="str">
        <f>_xll.QS.CONTEXT.ADD.CURVE(C4945,"SOFR",$K$2:$K$7,$L$2:$L$7,,,"Actual360","LogLinear",TRUE)</f>
        <v>QSObject:ContextInput:w1~input.qs_context_add_curve.2359132437744.4944.3.0:35682</v>
      </c>
      <c r="E4945" s="6" t="str">
        <f>_xll.QS.INSTRUMENT.SWAP("swap.4943",H4945,B4945,"USD","SOFR",I4945,J4945,0,"Actual360","Simple","Annual","Annual","Annual")</f>
        <v>QSObject:Swap:w1~swap.4943:11682</v>
      </c>
      <c r="F4945" s="6" t="str">
        <f>_xll.QS.TRADE.CREATE("trade.4943",E4945,A4945,"Receive")</f>
        <v>QSObject:SwapTrade:w1~trade.4943:24175</v>
      </c>
      <c r="G4945" s="3">
        <f>_xll.QS.EVALUATE(C4945,F4945)</f>
        <v>50252.52672515648</v>
      </c>
      <c r="H4945" s="5" t="s">
        <v>4986</v>
      </c>
      <c r="I4945" s="7">
        <v>1494300</v>
      </c>
      <c r="J4945" s="8">
        <v>3.9300000000000002E-2</v>
      </c>
    </row>
    <row r="4946" spans="1:10" x14ac:dyDescent="0.25">
      <c r="A4946" s="5" t="s">
        <v>4980</v>
      </c>
      <c r="B4946" s="5" t="s">
        <v>6813</v>
      </c>
      <c r="C4946" s="6" t="str">
        <f>_xll.QS.CONTEXT.CREATE("market.4944",A4946,"USD","SOFR")</f>
        <v>QSObject:PricingContext:w1~market.4944:11681</v>
      </c>
      <c r="D4946" s="6" t="str">
        <f>_xll.QS.CONTEXT.ADD.CURVE(C4946,"SOFR",$K$2:$K$7,$L$2:$L$7,,,"Actual360","LogLinear",TRUE)</f>
        <v>QSObject:ContextInput:w1~input.qs_context_add_curve.2359132437744.4945.3.0:35681</v>
      </c>
      <c r="E4946" s="6" t="str">
        <f>_xll.QS.INSTRUMENT.SWAP("swap.4944",H4946,B4946,"USD","SOFR",I4946,J4946,0,"Actual360","Simple","Annual","Annual","Annual")</f>
        <v>QSObject:Swap:w1~swap.4944:11680</v>
      </c>
      <c r="F4946" s="6" t="str">
        <f>_xll.QS.TRADE.CREATE("trade.4944",E4946,A4946,"Receive")</f>
        <v>QSObject:SwapTrade:w1~trade.4944:26979</v>
      </c>
      <c r="G4946" s="3">
        <f>_xll.QS.EVALUATE(C4946,F4946)</f>
        <v>50945.105911013889</v>
      </c>
      <c r="H4946" s="5" t="s">
        <v>4987</v>
      </c>
      <c r="I4946" s="7">
        <v>1494400</v>
      </c>
      <c r="J4946" s="8">
        <v>3.9399999999999998E-2</v>
      </c>
    </row>
    <row r="4947" spans="1:10" x14ac:dyDescent="0.25">
      <c r="A4947" s="5" t="s">
        <v>4981</v>
      </c>
      <c r="B4947" s="5" t="s">
        <v>6814</v>
      </c>
      <c r="C4947" s="6" t="str">
        <f>_xll.QS.CONTEXT.CREATE("market.4945",A4947,"USD","SOFR")</f>
        <v>QSObject:PricingContext:w1~market.4945:11679</v>
      </c>
      <c r="D4947" s="6" t="str">
        <f>_xll.QS.CONTEXT.ADD.CURVE(C4947,"SOFR",$K$2:$K$7,$L$2:$L$7,,,"Actual360","LogLinear",TRUE)</f>
        <v>QSObject:ContextInput:w1~input.qs_context_add_curve.2359132437744.4946.3.0:35680</v>
      </c>
      <c r="E4947" s="6" t="str">
        <f>_xll.QS.INSTRUMENT.SWAP("swap.4945",H4947,B4947,"USD","SOFR",I4947,J4947,0,"Actual360","Simple","Annual","Annual","Annual")</f>
        <v>QSObject:Swap:w1~swap.4945:11678</v>
      </c>
      <c r="F4947" s="6" t="str">
        <f>_xll.QS.TRADE.CREATE("trade.4945",E4947,A4947,"Receive")</f>
        <v>QSObject:SwapTrade:w1~trade.4945:26481</v>
      </c>
      <c r="G4947" s="3">
        <f>_xll.QS.EVALUATE(C4947,F4947)</f>
        <v>51646.079862990991</v>
      </c>
      <c r="H4947" s="5" t="s">
        <v>4988</v>
      </c>
      <c r="I4947" s="7">
        <v>1494500</v>
      </c>
      <c r="J4947" s="8">
        <v>3.9500000000000007E-2</v>
      </c>
    </row>
    <row r="4948" spans="1:10" x14ac:dyDescent="0.25">
      <c r="A4948" s="5" t="s">
        <v>4982</v>
      </c>
      <c r="B4948" s="5" t="s">
        <v>6815</v>
      </c>
      <c r="C4948" s="6" t="str">
        <f>_xll.QS.CONTEXT.CREATE("market.4946",A4948,"USD","SOFR")</f>
        <v>QSObject:PricingContext:w1~market.4946:11677</v>
      </c>
      <c r="D4948" s="6" t="str">
        <f>_xll.QS.CONTEXT.ADD.CURVE(C4948,"SOFR",$K$2:$K$7,$L$2:$L$7,,,"Actual360","LogLinear",TRUE)</f>
        <v>QSObject:ContextInput:w1~input.qs_context_add_curve.2359132437744.4947.3.0:35679</v>
      </c>
      <c r="E4948" s="6" t="str">
        <f>_xll.QS.INSTRUMENT.SWAP("swap.4946",H4948,B4948,"USD","SOFR",I4948,J4948,0,"Actual360","Simple","Annual","Annual","Annual")</f>
        <v>QSObject:Swap:w1~swap.4946:11676</v>
      </c>
      <c r="F4948" s="6" t="str">
        <f>_xll.QS.TRADE.CREATE("trade.4946",E4948,A4948,"Receive")</f>
        <v>QSObject:SwapTrade:w1~trade.4946:24988</v>
      </c>
      <c r="G4948" s="3">
        <f>_xll.QS.EVALUATE(C4948,F4948)</f>
        <v>52340.405322993676</v>
      </c>
      <c r="H4948" s="5" t="s">
        <v>4989</v>
      </c>
      <c r="I4948" s="7">
        <v>1494600</v>
      </c>
      <c r="J4948" s="8">
        <v>3.9600000000000003E-2</v>
      </c>
    </row>
    <row r="4949" spans="1:10" x14ac:dyDescent="0.25">
      <c r="A4949" s="5" t="s">
        <v>4983</v>
      </c>
      <c r="B4949" s="5" t="s">
        <v>6816</v>
      </c>
      <c r="C4949" s="6" t="str">
        <f>_xll.QS.CONTEXT.CREATE("market.4947",A4949,"USD","SOFR")</f>
        <v>QSObject:PricingContext:w1~market.4947:11675</v>
      </c>
      <c r="D4949" s="6" t="str">
        <f>_xll.QS.CONTEXT.ADD.CURVE(C4949,"SOFR",$K$2:$K$7,$L$2:$L$7,,,"Actual360","LogLinear",TRUE)</f>
        <v>QSObject:ContextInput:w1~input.qs_context_add_curve.2359132437744.4948.3.0:35678</v>
      </c>
      <c r="E4949" s="6" t="str">
        <f>_xll.QS.INSTRUMENT.SWAP("swap.4947",H4949,B4949,"USD","SOFR",I4949,J4949,0,"Actual360","Simple","Annual","Annual","Annual")</f>
        <v>QSObject:Swap:w1~swap.4947:11674</v>
      </c>
      <c r="F4949" s="6" t="str">
        <f>_xll.QS.TRADE.CREATE("trade.4947",E4949,A4949,"Receive")</f>
        <v>QSObject:SwapTrade:w1~trade.4947:24174</v>
      </c>
      <c r="G4949" s="3">
        <f>_xll.QS.EVALUATE(C4949,F4949)</f>
        <v>52846.428029562354</v>
      </c>
      <c r="H4949" s="5" t="s">
        <v>4990</v>
      </c>
      <c r="I4949" s="7">
        <v>1494700</v>
      </c>
      <c r="J4949" s="8">
        <v>3.9700000000000013E-2</v>
      </c>
    </row>
    <row r="4950" spans="1:10" x14ac:dyDescent="0.25">
      <c r="A4950" s="5" t="s">
        <v>4984</v>
      </c>
      <c r="B4950" s="5" t="s">
        <v>6817</v>
      </c>
      <c r="C4950" s="6" t="str">
        <f>_xll.QS.CONTEXT.CREATE("market.4948",A4950,"USD","SOFR")</f>
        <v>QSObject:PricingContext:w1~market.4948:11673</v>
      </c>
      <c r="D4950" s="6" t="str">
        <f>_xll.QS.CONTEXT.ADD.CURVE(C4950,"SOFR",$K$2:$K$7,$L$2:$L$7,,,"Actual360","LogLinear",TRUE)</f>
        <v>QSObject:ContextInput:w1~input.qs_context_add_curve.2359132437744.4949.3.0:35677</v>
      </c>
      <c r="E4950" s="6" t="str">
        <f>_xll.QS.INSTRUMENT.SWAP("swap.4948",H4950,B4950,"USD","SOFR",I4950,J4950,0,"Actual360","Simple","Annual","Annual","Annual")</f>
        <v>QSObject:Swap:w1~swap.4948:11672</v>
      </c>
      <c r="F4950" s="6" t="str">
        <f>_xll.QS.TRADE.CREATE("trade.4948",E4950,A4950,"Receive")</f>
        <v>QSObject:SwapTrade:w1~trade.4948:25677</v>
      </c>
      <c r="G4950" s="3">
        <f>_xll.QS.EVALUATE(C4950,F4950)</f>
        <v>53543.769245080657</v>
      </c>
      <c r="H4950" s="5" t="s">
        <v>4991</v>
      </c>
      <c r="I4950" s="7">
        <v>1494800</v>
      </c>
      <c r="J4950" s="8">
        <v>3.9800000000000002E-2</v>
      </c>
    </row>
    <row r="4951" spans="1:10" x14ac:dyDescent="0.25">
      <c r="A4951" s="5" t="s">
        <v>4985</v>
      </c>
      <c r="B4951" s="5" t="s">
        <v>6818</v>
      </c>
      <c r="C4951" s="6" t="str">
        <f>_xll.QS.CONTEXT.CREATE("market.4949",A4951,"USD","SOFR")</f>
        <v>QSObject:PricingContext:w1~market.4949:11671</v>
      </c>
      <c r="D4951" s="6" t="str">
        <f>_xll.QS.CONTEXT.ADD.CURVE(C4951,"SOFR",$K$2:$K$7,$L$2:$L$7,,,"Actual360","LogLinear",TRUE)</f>
        <v>QSObject:ContextInput:w1~input.qs_context_add_curve.2359132437744.4950.3.0:35676</v>
      </c>
      <c r="E4951" s="6" t="str">
        <f>_xll.QS.INSTRUMENT.SWAP("swap.4949",H4951,B4951,"USD","SOFR",I4951,J4951,0,"Actual360","Simple","Annual","Annual","Annual")</f>
        <v>QSObject:Swap:w1~swap.4949:11670</v>
      </c>
      <c r="F4951" s="6" t="str">
        <f>_xll.QS.TRADE.CREATE("trade.4949",E4951,A4951,"Receive")</f>
        <v>QSObject:SwapTrade:w1~trade.4949:26480</v>
      </c>
      <c r="G4951" s="3">
        <f>_xll.QS.EVALUATE(C4951,F4951)</f>
        <v>54301.415057301732</v>
      </c>
      <c r="H4951" s="5" t="s">
        <v>4992</v>
      </c>
      <c r="I4951" s="7">
        <v>1494900</v>
      </c>
      <c r="J4951" s="8">
        <v>3.9899999999999998E-2</v>
      </c>
    </row>
    <row r="4952" spans="1:10" x14ac:dyDescent="0.25">
      <c r="A4952" s="5" t="s">
        <v>4986</v>
      </c>
      <c r="B4952" s="5" t="s">
        <v>6819</v>
      </c>
      <c r="C4952" s="6" t="str">
        <f>_xll.QS.CONTEXT.CREATE("market.4950",A4952,"USD","SOFR")</f>
        <v>QSObject:PricingContext:w1~market.4950:11669</v>
      </c>
      <c r="D4952" s="6" t="str">
        <f>_xll.QS.CONTEXT.ADD.CURVE(C4952,"SOFR",$K$2:$K$7,$L$2:$L$7,,,"Actual360","LogLinear",TRUE)</f>
        <v>QSObject:ContextInput:w1~input.qs_context_add_curve.2359132437744.4951.3.0:35675</v>
      </c>
      <c r="E4952" s="6" t="str">
        <f>_xll.QS.INSTRUMENT.SWAP("swap.4950",H4952,B4952,"USD","SOFR",I4952,J4952,0,"Actual360","Simple","Annual","Annual","Annual")</f>
        <v>QSObject:Swap:w1~swap.4950:11668</v>
      </c>
      <c r="F4952" s="6" t="str">
        <f>_xll.QS.TRADE.CREATE("trade.4950",E4952,A4952,"Receive")</f>
        <v>QSObject:SwapTrade:w1~trade.4950:24987</v>
      </c>
      <c r="G4952" s="3">
        <f>_xll.QS.EVALUATE(C4952,F4952)</f>
        <v>20616.99252926484</v>
      </c>
      <c r="H4952" s="5" t="s">
        <v>4993</v>
      </c>
      <c r="I4952" s="7">
        <v>1495000</v>
      </c>
      <c r="J4952" s="8">
        <v>3.5000000000000003E-2</v>
      </c>
    </row>
    <row r="4953" spans="1:10" x14ac:dyDescent="0.25">
      <c r="A4953" s="5" t="s">
        <v>4987</v>
      </c>
      <c r="B4953" s="5" t="s">
        <v>6820</v>
      </c>
      <c r="C4953" s="6" t="str">
        <f>_xll.QS.CONTEXT.CREATE("market.4951",A4953,"USD","SOFR")</f>
        <v>QSObject:PricingContext:w1~market.4951:11667</v>
      </c>
      <c r="D4953" s="6" t="str">
        <f>_xll.QS.CONTEXT.ADD.CURVE(C4953,"SOFR",$K$2:$K$7,$L$2:$L$7,,,"Actual360","LogLinear",TRUE)</f>
        <v>QSObject:ContextInput:w1~input.qs_context_add_curve.2359132437744.4952.3.0:35674</v>
      </c>
      <c r="E4953" s="6" t="str">
        <f>_xll.QS.INSTRUMENT.SWAP("swap.4951",H4953,B4953,"USD","SOFR",I4953,J4953,0,"Actual360","Simple","Annual","Annual","Annual")</f>
        <v>QSObject:Swap:w1~swap.4951:11666</v>
      </c>
      <c r="F4953" s="6" t="str">
        <f>_xll.QS.TRADE.CREATE("trade.4951",E4953,A4953,"Receive")</f>
        <v>QSObject:SwapTrade:w1~trade.4951:26978</v>
      </c>
      <c r="G4953" s="3">
        <f>_xll.QS.EVALUATE(C4953,F4953)</f>
        <v>21308.176403243931</v>
      </c>
      <c r="H4953" s="5" t="s">
        <v>4994</v>
      </c>
      <c r="I4953" s="7">
        <v>1495100</v>
      </c>
      <c r="J4953" s="8">
        <v>3.5100000000000013E-2</v>
      </c>
    </row>
    <row r="4954" spans="1:10" x14ac:dyDescent="0.25">
      <c r="A4954" s="5" t="s">
        <v>4988</v>
      </c>
      <c r="B4954" s="5" t="s">
        <v>6821</v>
      </c>
      <c r="C4954" s="6" t="str">
        <f>_xll.QS.CONTEXT.CREATE("market.4952",A4954,"USD","SOFR")</f>
        <v>QSObject:PricingContext:w1~market.4952:11665</v>
      </c>
      <c r="D4954" s="6" t="str">
        <f>_xll.QS.CONTEXT.ADD.CURVE(C4954,"SOFR",$K$2:$K$7,$L$2:$L$7,,,"Actual360","LogLinear",TRUE)</f>
        <v>QSObject:ContextInput:w1~input.qs_context_add_curve.2359132437744.4953.3.0:35673</v>
      </c>
      <c r="E4954" s="6" t="str">
        <f>_xll.QS.INSTRUMENT.SWAP("swap.4952",H4954,B4954,"USD","SOFR",I4954,J4954,0,"Actual360","Simple","Annual","Annual","Annual")</f>
        <v>QSObject:Swap:w1~swap.4952:11664</v>
      </c>
      <c r="F4954" s="6" t="str">
        <f>_xll.QS.TRADE.CREATE("trade.4952",E4954,A4954,"Receive")</f>
        <v>QSObject:SwapTrade:w1~trade.4952:26479</v>
      </c>
      <c r="G4954" s="3">
        <f>_xll.QS.EVALUATE(C4954,F4954)</f>
        <v>22008.101879083079</v>
      </c>
      <c r="H4954" s="5" t="s">
        <v>4995</v>
      </c>
      <c r="I4954" s="7">
        <v>1495200</v>
      </c>
      <c r="J4954" s="8">
        <v>3.5200000000000002E-2</v>
      </c>
    </row>
    <row r="4955" spans="1:10" x14ac:dyDescent="0.25">
      <c r="A4955" s="5" t="s">
        <v>4989</v>
      </c>
      <c r="B4955" s="5" t="s">
        <v>6822</v>
      </c>
      <c r="C4955" s="6" t="str">
        <f>_xll.QS.CONTEXT.CREATE("market.4953",A4955,"USD","SOFR")</f>
        <v>QSObject:PricingContext:w1~market.4953:11663</v>
      </c>
      <c r="D4955" s="6" t="str">
        <f>_xll.QS.CONTEXT.ADD.CURVE(C4955,"SOFR",$K$2:$K$7,$L$2:$L$7,,,"Actual360","LogLinear",TRUE)</f>
        <v>QSObject:ContextInput:w1~input.qs_context_add_curve.2359132437744.4954.3.0:35672</v>
      </c>
      <c r="E4955" s="6" t="str">
        <f>_xll.QS.INSTRUMENT.SWAP("swap.4953",H4955,B4955,"USD","SOFR",I4955,J4955,0,"Actual360","Simple","Annual","Annual","Annual")</f>
        <v>QSObject:Swap:w1~swap.4953:11662</v>
      </c>
      <c r="F4955" s="6" t="str">
        <f>_xll.QS.TRADE.CREATE("trade.4953",E4955,A4955,"Receive")</f>
        <v>QSObject:SwapTrade:w1~trade.4953:24986</v>
      </c>
      <c r="G4955" s="3">
        <f>_xll.QS.EVALUATE(C4955,F4955)</f>
        <v>22699.755427004158</v>
      </c>
      <c r="H4955" s="5" t="s">
        <v>4996</v>
      </c>
      <c r="I4955" s="7">
        <v>1495300</v>
      </c>
      <c r="J4955" s="8">
        <v>3.5299999999999998E-2</v>
      </c>
    </row>
    <row r="4956" spans="1:10" x14ac:dyDescent="0.25">
      <c r="A4956" s="5" t="s">
        <v>4990</v>
      </c>
      <c r="B4956" s="5" t="s">
        <v>6823</v>
      </c>
      <c r="C4956" s="6" t="str">
        <f>_xll.QS.CONTEXT.CREATE("market.4954",A4956,"USD","SOFR")</f>
        <v>QSObject:PricingContext:w1~market.4954:11661</v>
      </c>
      <c r="D4956" s="6" t="str">
        <f>_xll.QS.CONTEXT.ADD.CURVE(C4956,"SOFR",$K$2:$K$7,$L$2:$L$7,,,"Actual360","LogLinear",TRUE)</f>
        <v>QSObject:ContextInput:w1~input.qs_context_add_curve.2359132437744.4955.3.0:35671</v>
      </c>
      <c r="E4956" s="6" t="str">
        <f>_xll.QS.INSTRUMENT.SWAP("swap.4954",H4956,B4956,"USD","SOFR",I4956,J4956,0,"Actual360","Simple","Annual","Annual","Annual")</f>
        <v>QSObject:Swap:w1~swap.4954:11660</v>
      </c>
      <c r="F4956" s="6" t="str">
        <f>_xll.QS.TRADE.CREATE("trade.4954",E4956,A4956,"Receive")</f>
        <v>QSObject:SwapTrade:w1~trade.4954:24173</v>
      </c>
      <c r="G4956" s="3">
        <f>_xll.QS.EVALUATE(C4956,F4956)</f>
        <v>23209.99674206804</v>
      </c>
      <c r="H4956" s="5" t="s">
        <v>4997</v>
      </c>
      <c r="I4956" s="7">
        <v>1495400</v>
      </c>
      <c r="J4956" s="8">
        <v>3.5400000000000001E-2</v>
      </c>
    </row>
    <row r="4957" spans="1:10" x14ac:dyDescent="0.25">
      <c r="A4957" s="5" t="s">
        <v>4991</v>
      </c>
      <c r="B4957" s="5" t="s">
        <v>6824</v>
      </c>
      <c r="C4957" s="6" t="str">
        <f>_xll.QS.CONTEXT.CREATE("market.4955",A4957,"USD","SOFR")</f>
        <v>QSObject:PricingContext:w1~market.4955:11659</v>
      </c>
      <c r="D4957" s="6" t="str">
        <f>_xll.QS.CONTEXT.ADD.CURVE(C4957,"SOFR",$K$2:$K$7,$L$2:$L$7,,,"Actual360","LogLinear",TRUE)</f>
        <v>QSObject:ContextInput:w1~input.qs_context_add_curve.2359132437744.4956.3.0:35670</v>
      </c>
      <c r="E4957" s="6" t="str">
        <f>_xll.QS.INSTRUMENT.SWAP("swap.4955",H4957,B4957,"USD","SOFR",I4957,J4957,0,"Actual360","Simple","Annual","Annual","Annual")</f>
        <v>QSObject:Swap:w1~swap.4955:11658</v>
      </c>
      <c r="F4957" s="6" t="str">
        <f>_xll.QS.TRADE.CREATE("trade.4955",E4957,A4957,"Receive")</f>
        <v>QSObject:SwapTrade:w1~trade.4955:25676</v>
      </c>
      <c r="G4957" s="3">
        <f>_xll.QS.EVALUATE(C4957,F4957)</f>
        <v>23903.191581605293</v>
      </c>
      <c r="H4957" s="5" t="s">
        <v>4998</v>
      </c>
      <c r="I4957" s="7">
        <v>1495500</v>
      </c>
      <c r="J4957" s="8">
        <v>3.5499999999999997E-2</v>
      </c>
    </row>
    <row r="4958" spans="1:10" x14ac:dyDescent="0.25">
      <c r="A4958" s="5" t="s">
        <v>4992</v>
      </c>
      <c r="B4958" s="5" t="s">
        <v>6825</v>
      </c>
      <c r="C4958" s="6" t="str">
        <f>_xll.QS.CONTEXT.CREATE("market.4956",A4958,"USD","SOFR")</f>
        <v>QSObject:PricingContext:w1~market.4956:11657</v>
      </c>
      <c r="D4958" s="6" t="str">
        <f>_xll.QS.CONTEXT.ADD.CURVE(C4958,"SOFR",$K$2:$K$7,$L$2:$L$7,,,"Actual360","LogLinear",TRUE)</f>
        <v>QSObject:ContextInput:w1~input.qs_context_add_curve.2359132437744.4957.3.0:35669</v>
      </c>
      <c r="E4958" s="6" t="str">
        <f>_xll.QS.INSTRUMENT.SWAP("swap.4956",H4958,B4958,"USD","SOFR",I4958,J4958,0,"Actual360","Simple","Annual","Annual","Annual")</f>
        <v>QSObject:Swap:w1~swap.4956:11656</v>
      </c>
      <c r="F4958" s="6" t="str">
        <f>_xll.QS.TRADE.CREATE("trade.4956",E4958,A4958,"Receive")</f>
        <v>QSObject:SwapTrade:w1~trade.4956:26478</v>
      </c>
      <c r="G4958" s="3">
        <f>_xll.QS.EVALUATE(C4958,F4958)</f>
        <v>24655.513897414923</v>
      </c>
      <c r="H4958" s="5" t="s">
        <v>4999</v>
      </c>
      <c r="I4958" s="7">
        <v>1495600</v>
      </c>
      <c r="J4958" s="8">
        <v>3.5600000000000007E-2</v>
      </c>
    </row>
    <row r="4959" spans="1:10" x14ac:dyDescent="0.25">
      <c r="A4959" s="5" t="s">
        <v>4993</v>
      </c>
      <c r="B4959" s="5" t="s">
        <v>6826</v>
      </c>
      <c r="C4959" s="6" t="str">
        <f>_xll.QS.CONTEXT.CREATE("market.4957",A4959,"USD","SOFR")</f>
        <v>QSObject:PricingContext:w1~market.4957:11655</v>
      </c>
      <c r="D4959" s="6" t="str">
        <f>_xll.QS.CONTEXT.ADD.CURVE(C4959,"SOFR",$K$2:$K$7,$L$2:$L$7,,,"Actual360","LogLinear",TRUE)</f>
        <v>QSObject:ContextInput:w1~input.qs_context_add_curve.2359132437744.4958.3.0:35668</v>
      </c>
      <c r="E4959" s="6" t="str">
        <f>_xll.QS.INSTRUMENT.SWAP("swap.4957",H4959,B4959,"USD","SOFR",I4959,J4959,0,"Actual360","Simple","Annual","Annual","Annual")</f>
        <v>QSObject:Swap:w1~swap.4957:11654</v>
      </c>
      <c r="F4959" s="6" t="str">
        <f>_xll.QS.TRADE.CREATE("trade.4957",E4959,A4959,"Receive")</f>
        <v>QSObject:SwapTrade:w1~trade.4957:24172</v>
      </c>
      <c r="G4959" s="3">
        <f>_xll.QS.EVALUATE(C4959,F4959)</f>
        <v>25456.929088315082</v>
      </c>
      <c r="H4959" s="5" t="s">
        <v>5000</v>
      </c>
      <c r="I4959" s="7">
        <v>1495700</v>
      </c>
      <c r="J4959" s="8">
        <v>3.5700000000000003E-2</v>
      </c>
    </row>
    <row r="4960" spans="1:10" x14ac:dyDescent="0.25">
      <c r="A4960" s="5" t="s">
        <v>4994</v>
      </c>
      <c r="B4960" s="5" t="s">
        <v>6827</v>
      </c>
      <c r="C4960" s="6" t="str">
        <f>_xll.QS.CONTEXT.CREATE("market.4958",A4960,"USD","SOFR")</f>
        <v>QSObject:PricingContext:w1~market.4958:11653</v>
      </c>
      <c r="D4960" s="6" t="str">
        <f>_xll.QS.CONTEXT.ADD.CURVE(C4960,"SOFR",$K$2:$K$7,$L$2:$L$7,,,"Actual360","LogLinear",TRUE)</f>
        <v>QSObject:ContextInput:w1~input.qs_context_add_curve.2359132437744.4959.3.0:35667</v>
      </c>
      <c r="E4960" s="6" t="str">
        <f>_xll.QS.INSTRUMENT.SWAP("swap.4958",H4960,B4960,"USD","SOFR",I4960,J4960,0,"Actual360","Simple","Annual","Annual","Annual")</f>
        <v>QSObject:Swap:w1~swap.4958:11652</v>
      </c>
      <c r="F4960" s="6" t="str">
        <f>_xll.QS.TRADE.CREATE("trade.4958",E4960,A4960,"Receive")</f>
        <v>QSObject:SwapTrade:w1~trade.4958:25675</v>
      </c>
      <c r="G4960" s="3">
        <f>_xll.QS.EVALUATE(C4960,F4960)</f>
        <v>26148.74105227481</v>
      </c>
      <c r="H4960" s="5" t="s">
        <v>5001</v>
      </c>
      <c r="I4960" s="7">
        <v>1495800</v>
      </c>
      <c r="J4960" s="8">
        <v>3.5800000000000012E-2</v>
      </c>
    </row>
    <row r="4961" spans="1:10" x14ac:dyDescent="0.25">
      <c r="A4961" s="5" t="s">
        <v>4995</v>
      </c>
      <c r="B4961" s="5" t="s">
        <v>6828</v>
      </c>
      <c r="C4961" s="6" t="str">
        <f>_xll.QS.CONTEXT.CREATE("market.4959",A4961,"USD","SOFR")</f>
        <v>QSObject:PricingContext:w1~market.4959:11651</v>
      </c>
      <c r="D4961" s="6" t="str">
        <f>_xll.QS.CONTEXT.ADD.CURVE(C4961,"SOFR",$K$2:$K$7,$L$2:$L$7,,,"Actual360","LogLinear",TRUE)</f>
        <v>QSObject:ContextInput:w1~input.qs_context_add_curve.2359132437744.4960.3.0:35666</v>
      </c>
      <c r="E4961" s="6" t="str">
        <f>_xll.QS.INSTRUMENT.SWAP("swap.4959",H4961,B4961,"USD","SOFR",I4961,J4961,0,"Actual360","Simple","Annual","Annual","Annual")</f>
        <v>QSObject:Swap:w1~swap.4959:11650</v>
      </c>
      <c r="F4961" s="6" t="str">
        <f>_xll.QS.TRADE.CREATE("trade.4959",E4961,A4961,"Receive")</f>
        <v>QSObject:SwapTrade:w1~trade.4959:26977</v>
      </c>
      <c r="G4961" s="3">
        <f>_xll.QS.EVALUATE(C4961,F4961)</f>
        <v>26848.638255978389</v>
      </c>
      <c r="H4961" s="5" t="s">
        <v>5002</v>
      </c>
      <c r="I4961" s="7">
        <v>1495900</v>
      </c>
      <c r="J4961" s="8">
        <v>3.5900000000000001E-2</v>
      </c>
    </row>
    <row r="4962" spans="1:10" x14ac:dyDescent="0.25">
      <c r="A4962" s="5" t="s">
        <v>4996</v>
      </c>
      <c r="B4962" s="5" t="s">
        <v>6829</v>
      </c>
      <c r="C4962" s="6" t="str">
        <f>_xll.QS.CONTEXT.CREATE("market.4960",A4962,"USD","SOFR")</f>
        <v>QSObject:PricingContext:w1~market.4960:11649</v>
      </c>
      <c r="D4962" s="6" t="str">
        <f>_xll.QS.CONTEXT.ADD.CURVE(C4962,"SOFR",$K$2:$K$7,$L$2:$L$7,,,"Actual360","LogLinear",TRUE)</f>
        <v>QSObject:ContextInput:w1~input.qs_context_add_curve.2359132437744.4961.3.0:35665</v>
      </c>
      <c r="E4962" s="6" t="str">
        <f>_xll.QS.INSTRUMENT.SWAP("swap.4960",H4962,B4962,"USD","SOFR",I4962,J4962,0,"Actual360","Simple","Annual","Annual","Annual")</f>
        <v>QSObject:Swap:w1~swap.4960:11648</v>
      </c>
      <c r="F4962" s="6" t="str">
        <f>_xll.QS.TRADE.CREATE("trade.4960",E4962,A4962,"Receive")</f>
        <v>QSObject:SwapTrade:w1~trade.4960:24171</v>
      </c>
      <c r="G4962" s="3">
        <f>_xll.QS.EVALUATE(C4962,F4962)</f>
        <v>27541.855348933212</v>
      </c>
      <c r="H4962" s="5" t="s">
        <v>5003</v>
      </c>
      <c r="I4962" s="7">
        <v>1496000</v>
      </c>
      <c r="J4962" s="8">
        <v>3.5999999999999997E-2</v>
      </c>
    </row>
    <row r="4963" spans="1:10" x14ac:dyDescent="0.25">
      <c r="A4963" s="5" t="s">
        <v>4997</v>
      </c>
      <c r="B4963" s="5" t="s">
        <v>6830</v>
      </c>
      <c r="C4963" s="6" t="str">
        <f>_xll.QS.CONTEXT.CREATE("market.4961",A4963,"USD","SOFR")</f>
        <v>QSObject:PricingContext:w1~market.4961:11647</v>
      </c>
      <c r="D4963" s="6" t="str">
        <f>_xll.QS.CONTEXT.ADD.CURVE(C4963,"SOFR",$K$2:$K$7,$L$2:$L$7,,,"Actual360","LogLinear",TRUE)</f>
        <v>QSObject:ContextInput:w1~input.qs_context_add_curve.2359132437744.4962.3.0:35664</v>
      </c>
      <c r="E4963" s="6" t="str">
        <f>_xll.QS.INSTRUMENT.SWAP("swap.4961",H4963,B4963,"USD","SOFR",I4963,J4963,0,"Actual360","Simple","Annual","Annual","Annual")</f>
        <v>QSObject:Swap:w1~swap.4961:11646</v>
      </c>
      <c r="F4963" s="6" t="str">
        <f>_xll.QS.TRADE.CREATE("trade.4961",E4963,A4963,"Receive")</f>
        <v>QSObject:SwapTrade:w1~trade.4961:26976</v>
      </c>
      <c r="G4963" s="3">
        <f>_xll.QS.EVALUATE(C4963,F4963)</f>
        <v>28051.685904882666</v>
      </c>
      <c r="H4963" s="5" t="s">
        <v>5004</v>
      </c>
      <c r="I4963" s="7">
        <v>1496100</v>
      </c>
      <c r="J4963" s="8">
        <v>3.61E-2</v>
      </c>
    </row>
    <row r="4964" spans="1:10" x14ac:dyDescent="0.25">
      <c r="A4964" s="5" t="s">
        <v>4998</v>
      </c>
      <c r="B4964" s="5" t="s">
        <v>6831</v>
      </c>
      <c r="C4964" s="6" t="str">
        <f>_xll.QS.CONTEXT.CREATE("market.4962",A4964,"USD","SOFR")</f>
        <v>QSObject:PricingContext:w1~market.4962:11645</v>
      </c>
      <c r="D4964" s="6" t="str">
        <f>_xll.QS.CONTEXT.ADD.CURVE(C4964,"SOFR",$K$2:$K$7,$L$2:$L$7,,,"Actual360","LogLinear",TRUE)</f>
        <v>QSObject:ContextInput:w1~input.qs_context_add_curve.2359132437744.4963.3.0:35663</v>
      </c>
      <c r="E4964" s="6" t="str">
        <f>_xll.QS.INSTRUMENT.SWAP("swap.4962",H4964,B4964,"USD","SOFR",I4964,J4964,0,"Actual360","Simple","Annual","Annual","Annual")</f>
        <v>QSObject:Swap:w1~swap.4962:11644</v>
      </c>
      <c r="F4964" s="6" t="str">
        <f>_xll.QS.TRADE.CREATE("trade.4962",E4964,A4964,"Receive")</f>
        <v>QSObject:SwapTrade:w1~trade.4962:26477</v>
      </c>
      <c r="G4964" s="3">
        <f>_xll.QS.EVALUATE(C4964,F4964)</f>
        <v>28745.932554320323</v>
      </c>
      <c r="H4964" s="5" t="s">
        <v>5005</v>
      </c>
      <c r="I4964" s="7">
        <v>1496200</v>
      </c>
      <c r="J4964" s="8">
        <v>3.6200000000000003E-2</v>
      </c>
    </row>
    <row r="4965" spans="1:10" x14ac:dyDescent="0.25">
      <c r="A4965" s="5" t="s">
        <v>4999</v>
      </c>
      <c r="B4965" s="5" t="s">
        <v>6832</v>
      </c>
      <c r="C4965" s="6" t="str">
        <f>_xll.QS.CONTEXT.CREATE("market.4963",A4965,"USD","SOFR")</f>
        <v>QSObject:PricingContext:w1~market.4963:11643</v>
      </c>
      <c r="D4965" s="6" t="str">
        <f>_xll.QS.CONTEXT.ADD.CURVE(C4965,"SOFR",$K$2:$K$7,$L$2:$L$7,,,"Actual360","LogLinear",TRUE)</f>
        <v>QSObject:ContextInput:w1~input.qs_context_add_curve.2359132437744.4964.3.0:35662</v>
      </c>
      <c r="E4965" s="6" t="str">
        <f>_xll.QS.INSTRUMENT.SWAP("swap.4963",H4965,B4965,"USD","SOFR",I4965,J4965,0,"Actual360","Simple","Annual","Annual","Annual")</f>
        <v>QSObject:Swap:w1~swap.4963:11642</v>
      </c>
      <c r="F4965" s="6" t="str">
        <f>_xll.QS.TRADE.CREATE("trade.4963",E4965,A4965,"Receive")</f>
        <v>QSObject:SwapTrade:w1~trade.4963:24985</v>
      </c>
      <c r="G4965" s="3">
        <f>_xll.QS.EVALUATE(C4965,F4965)</f>
        <v>29500.19282066606</v>
      </c>
      <c r="H4965" s="5" t="s">
        <v>5006</v>
      </c>
      <c r="I4965" s="7">
        <v>1496300</v>
      </c>
      <c r="J4965" s="8">
        <v>3.6300000000000013E-2</v>
      </c>
    </row>
    <row r="4966" spans="1:10" x14ac:dyDescent="0.25">
      <c r="A4966" s="5" t="s">
        <v>5000</v>
      </c>
      <c r="B4966" s="5" t="s">
        <v>6833</v>
      </c>
      <c r="C4966" s="6" t="str">
        <f>_xll.QS.CONTEXT.CREATE("market.4964",A4966,"USD","SOFR")</f>
        <v>QSObject:PricingContext:w1~market.4964:11641</v>
      </c>
      <c r="D4966" s="6" t="str">
        <f>_xll.QS.CONTEXT.ADD.CURVE(C4966,"SOFR",$K$2:$K$7,$L$2:$L$7,,,"Actual360","LogLinear",TRUE)</f>
        <v>QSObject:ContextInput:w1~input.qs_context_add_curve.2359132437744.4965.3.0:35661</v>
      </c>
      <c r="E4966" s="6" t="str">
        <f>_xll.QS.INSTRUMENT.SWAP("swap.4964",H4966,B4966,"USD","SOFR",I4966,J4966,0,"Actual360","Simple","Annual","Annual","Annual")</f>
        <v>QSObject:Swap:w1~swap.4964:11640</v>
      </c>
      <c r="F4966" s="6" t="str">
        <f>_xll.QS.TRADE.CREATE("trade.4964",E4966,A4966,"Receive")</f>
        <v>QSObject:SwapTrade:w1~trade.4964:25674</v>
      </c>
      <c r="G4966" s="3">
        <f>_xll.QS.EVALUATE(C4966,F4966)</f>
        <v>30301.785202470863</v>
      </c>
      <c r="H4966" s="5" t="s">
        <v>5007</v>
      </c>
      <c r="I4966" s="7">
        <v>1496400</v>
      </c>
      <c r="J4966" s="8">
        <v>3.6400000000000002E-2</v>
      </c>
    </row>
    <row r="4967" spans="1:10" x14ac:dyDescent="0.25">
      <c r="A4967" s="5" t="s">
        <v>5001</v>
      </c>
      <c r="B4967" s="5" t="s">
        <v>6834</v>
      </c>
      <c r="C4967" s="6" t="str">
        <f>_xll.QS.CONTEXT.CREATE("market.4965",A4967,"USD","SOFR")</f>
        <v>QSObject:PricingContext:w1~market.4965:11639</v>
      </c>
      <c r="D4967" s="6" t="str">
        <f>_xll.QS.CONTEXT.ADD.CURVE(C4967,"SOFR",$K$2:$K$7,$L$2:$L$7,,,"Actual360","LogLinear",TRUE)</f>
        <v>QSObject:ContextInput:w1~input.qs_context_add_curve.2359132437744.4966.3.0:35660</v>
      </c>
      <c r="E4967" s="6" t="str">
        <f>_xll.QS.INSTRUMENT.SWAP("swap.4965",H4967,B4967,"USD","SOFR",I4967,J4967,0,"Actual360","Simple","Annual","Annual","Annual")</f>
        <v>QSObject:Swap:w1~swap.4965:11638</v>
      </c>
      <c r="F4967" s="6" t="str">
        <f>_xll.QS.TRADE.CREATE("trade.4965",E4967,A4967,"Receive")</f>
        <v>QSObject:SwapTrade:w1~trade.4965:26975</v>
      </c>
      <c r="G4967" s="3">
        <f>_xll.QS.EVALUATE(C4967,F4967)</f>
        <v>30994.034391704365</v>
      </c>
      <c r="H4967" s="5" t="s">
        <v>5008</v>
      </c>
      <c r="I4967" s="7">
        <v>1496500</v>
      </c>
      <c r="J4967" s="8">
        <v>3.6499999999999998E-2</v>
      </c>
    </row>
    <row r="4968" spans="1:10" x14ac:dyDescent="0.25">
      <c r="A4968" s="5" t="s">
        <v>5002</v>
      </c>
      <c r="B4968" s="5" t="s">
        <v>6835</v>
      </c>
      <c r="C4968" s="6" t="str">
        <f>_xll.QS.CONTEXT.CREATE("market.4966",A4968,"USD","SOFR")</f>
        <v>QSObject:PricingContext:w1~market.4966:11637</v>
      </c>
      <c r="D4968" s="6" t="str">
        <f>_xll.QS.CONTEXT.ADD.CURVE(C4968,"SOFR",$K$2:$K$7,$L$2:$L$7,,,"Actual360","LogLinear",TRUE)</f>
        <v>QSObject:ContextInput:w1~input.qs_context_add_curve.2359132437744.4967.3.0:35659</v>
      </c>
      <c r="E4968" s="6" t="str">
        <f>_xll.QS.INSTRUMENT.SWAP("swap.4966",H4968,B4968,"USD","SOFR",I4968,J4968,0,"Actual360","Simple","Annual","Annual","Annual")</f>
        <v>QSObject:Swap:w1~swap.4966:11636</v>
      </c>
      <c r="F4968" s="6" t="str">
        <f>_xll.QS.TRADE.CREATE("trade.4966",E4968,A4968,"Receive")</f>
        <v>QSObject:SwapTrade:w1~trade.4966:24170</v>
      </c>
      <c r="G4968" s="3">
        <f>_xll.QS.EVALUATE(C4968,F4968)</f>
        <v>31694.594726293821</v>
      </c>
      <c r="H4968" s="5" t="s">
        <v>5009</v>
      </c>
      <c r="I4968" s="7">
        <v>1496600</v>
      </c>
      <c r="J4968" s="8">
        <v>3.6600000000000001E-2</v>
      </c>
    </row>
    <row r="4969" spans="1:10" x14ac:dyDescent="0.25">
      <c r="A4969" s="5" t="s">
        <v>5003</v>
      </c>
      <c r="B4969" s="5" t="s">
        <v>6836</v>
      </c>
      <c r="C4969" s="6" t="str">
        <f>_xll.QS.CONTEXT.CREATE("market.4967",A4969,"USD","SOFR")</f>
        <v>QSObject:PricingContext:w1~market.4967:11635</v>
      </c>
      <c r="D4969" s="6" t="str">
        <f>_xll.QS.CONTEXT.ADD.CURVE(C4969,"SOFR",$K$2:$K$7,$L$2:$L$7,,,"Actual360","LogLinear",TRUE)</f>
        <v>QSObject:ContextInput:w1~input.qs_context_add_curve.2359132437744.4968.3.0:35658</v>
      </c>
      <c r="E4969" s="6" t="str">
        <f>_xll.QS.INSTRUMENT.SWAP("swap.4967",H4969,B4969,"USD","SOFR",I4969,J4969,0,"Actual360","Simple","Annual","Annual","Annual")</f>
        <v>QSObject:Swap:w1~swap.4967:11634</v>
      </c>
      <c r="F4969" s="6" t="str">
        <f>_xll.QS.TRADE.CREATE("trade.4967",E4969,A4969,"Receive")</f>
        <v>QSObject:SwapTrade:w1~trade.4967:25673</v>
      </c>
      <c r="G4969" s="3">
        <f>_xll.QS.EVALUATE(C4969,F4969)</f>
        <v>32388.476703194385</v>
      </c>
      <c r="H4969" s="5" t="s">
        <v>5010</v>
      </c>
      <c r="I4969" s="7">
        <v>1496700</v>
      </c>
      <c r="J4969" s="8">
        <v>3.6700000000000003E-2</v>
      </c>
    </row>
    <row r="4970" spans="1:10" x14ac:dyDescent="0.25">
      <c r="A4970" s="5" t="s">
        <v>5004</v>
      </c>
      <c r="B4970" s="5" t="s">
        <v>6837</v>
      </c>
      <c r="C4970" s="6" t="str">
        <f>_xll.QS.CONTEXT.CREATE("market.4968",A4970,"USD","SOFR")</f>
        <v>QSObject:PricingContext:w1~market.4968:11633</v>
      </c>
      <c r="D4970" s="6" t="str">
        <f>_xll.QS.CONTEXT.ADD.CURVE(C4970,"SOFR",$K$2:$K$7,$L$2:$L$7,,,"Actual360","LogLinear",TRUE)</f>
        <v>QSObject:ContextInput:w1~input.qs_context_add_curve.2359132437744.4969.3.0:35657</v>
      </c>
      <c r="E4970" s="6" t="str">
        <f>_xll.QS.INSTRUMENT.SWAP("swap.4968",H4970,B4970,"USD","SOFR",I4970,J4970,0,"Actual360","Simple","Annual","Annual","Annual")</f>
        <v>QSObject:Swap:w1~swap.4968:11632</v>
      </c>
      <c r="F4970" s="6" t="str">
        <f>_xll.QS.TRADE.CREATE("trade.4968",E4970,A4970,"Receive")</f>
        <v>QSObject:SwapTrade:w1~trade.4968:26476</v>
      </c>
      <c r="G4970" s="3">
        <f>_xll.QS.EVALUATE(C4970,F4970)</f>
        <v>32897.895590601889</v>
      </c>
      <c r="H4970" s="5" t="s">
        <v>5011</v>
      </c>
      <c r="I4970" s="7">
        <v>1496800</v>
      </c>
      <c r="J4970" s="8">
        <v>3.6800000000000013E-2</v>
      </c>
    </row>
    <row r="4971" spans="1:10" x14ac:dyDescent="0.25">
      <c r="A4971" s="5" t="s">
        <v>5005</v>
      </c>
      <c r="B4971" s="5" t="s">
        <v>6838</v>
      </c>
      <c r="C4971" s="6" t="str">
        <f>_xll.QS.CONTEXT.CREATE("market.4969",A4971,"USD","SOFR")</f>
        <v>QSObject:PricingContext:w1~market.4969:11631</v>
      </c>
      <c r="D4971" s="6" t="str">
        <f>_xll.QS.CONTEXT.ADD.CURVE(C4971,"SOFR",$K$2:$K$7,$L$2:$L$7,,,"Actual360","LogLinear",TRUE)</f>
        <v>QSObject:ContextInput:w1~input.qs_context_add_curve.2359132437744.4970.3.0:35656</v>
      </c>
      <c r="E4971" s="6" t="str">
        <f>_xll.QS.INSTRUMENT.SWAP("swap.4969",H4971,B4971,"USD","SOFR",I4971,J4971,0,"Actual360","Simple","Annual","Annual","Annual")</f>
        <v>QSObject:Swap:w1~swap.4969:11630</v>
      </c>
      <c r="F4971" s="6" t="str">
        <f>_xll.QS.TRADE.CREATE("trade.4969",E4971,A4971,"Receive")</f>
        <v>QSObject:SwapTrade:w1~trade.4969:24984</v>
      </c>
      <c r="G4971" s="3">
        <f>_xll.QS.EVALUATE(C4971,F4971)</f>
        <v>33593.19442906652</v>
      </c>
      <c r="H4971" s="5" t="s">
        <v>5012</v>
      </c>
      <c r="I4971" s="7">
        <v>1496900</v>
      </c>
      <c r="J4971" s="8">
        <v>3.6900000000000002E-2</v>
      </c>
    </row>
    <row r="4972" spans="1:10" x14ac:dyDescent="0.25">
      <c r="A4972" s="5" t="s">
        <v>5006</v>
      </c>
      <c r="B4972" s="5" t="s">
        <v>6839</v>
      </c>
      <c r="C4972" s="6" t="str">
        <f>_xll.QS.CONTEXT.CREATE("market.4970",A4972,"USD","SOFR")</f>
        <v>QSObject:PricingContext:w1~market.4970:11629</v>
      </c>
      <c r="D4972" s="6" t="str">
        <f>_xll.QS.CONTEXT.ADD.CURVE(C4972,"SOFR",$K$2:$K$7,$L$2:$L$7,,,"Actual360","LogLinear",TRUE)</f>
        <v>QSObject:ContextInput:w1~input.qs_context_add_curve.2359132437744.4971.3.0:35655</v>
      </c>
      <c r="E4972" s="6" t="str">
        <f>_xll.QS.INSTRUMENT.SWAP("swap.4970",H4972,B4972,"USD","SOFR",I4972,J4972,0,"Actual360","Simple","Annual","Annual","Annual")</f>
        <v>QSObject:Swap:w1~swap.4970:11628</v>
      </c>
      <c r="F4972" s="6" t="str">
        <f>_xll.QS.TRADE.CREATE("trade.4970",E4972,A4972,"Receive")</f>
        <v>QSObject:SwapTrade:w1~trade.4970:26974</v>
      </c>
      <c r="G4972" s="3">
        <f>_xll.QS.EVALUATE(C4972,F4972)</f>
        <v>34348.602492327729</v>
      </c>
      <c r="H4972" s="5" t="s">
        <v>5013</v>
      </c>
      <c r="I4972" s="7">
        <v>1497000</v>
      </c>
      <c r="J4972" s="8">
        <v>3.7000000000000012E-2</v>
      </c>
    </row>
    <row r="4973" spans="1:10" x14ac:dyDescent="0.25">
      <c r="A4973" s="5" t="s">
        <v>5007</v>
      </c>
      <c r="B4973" s="5" t="s">
        <v>6840</v>
      </c>
      <c r="C4973" s="6" t="str">
        <f>_xll.QS.CONTEXT.CREATE("market.4971",A4973,"USD","SOFR")</f>
        <v>QSObject:PricingContext:w1~market.4971:11627</v>
      </c>
      <c r="D4973" s="6" t="str">
        <f>_xll.QS.CONTEXT.ADD.CURVE(C4973,"SOFR",$K$2:$K$7,$L$2:$L$7,,,"Actual360","LogLinear",TRUE)</f>
        <v>QSObject:ContextInput:w1~input.qs_context_add_curve.2359132437744.4972.3.0:35654</v>
      </c>
      <c r="E4973" s="6" t="str">
        <f>_xll.QS.INSTRUMENT.SWAP("swap.4971",H4973,B4973,"USD","SOFR",I4973,J4973,0,"Actual360","Simple","Annual","Annual","Annual")</f>
        <v>QSObject:Swap:w1~swap.4971:11626</v>
      </c>
      <c r="F4973" s="6" t="str">
        <f>_xll.QS.TRADE.CREATE("trade.4971",E4973,A4973,"Receive")</f>
        <v>QSObject:SwapTrade:w1~trade.4971:24169</v>
      </c>
      <c r="G4973" s="3">
        <f>_xll.QS.EVALUATE(C4973,F4973)</f>
        <v>35150.963656208427</v>
      </c>
      <c r="H4973" s="5" t="s">
        <v>5014</v>
      </c>
      <c r="I4973" s="7">
        <v>1497100</v>
      </c>
      <c r="J4973" s="8">
        <v>3.7100000000000001E-2</v>
      </c>
    </row>
    <row r="4974" spans="1:10" x14ac:dyDescent="0.25">
      <c r="A4974" s="5" t="s">
        <v>5008</v>
      </c>
      <c r="B4974" s="5" t="s">
        <v>6841</v>
      </c>
      <c r="C4974" s="6" t="str">
        <f>_xll.QS.CONTEXT.CREATE("market.4972",A4974,"USD","SOFR")</f>
        <v>QSObject:PricingContext:w1~market.4972:11625</v>
      </c>
      <c r="D4974" s="6" t="str">
        <f>_xll.QS.CONTEXT.ADD.CURVE(C4974,"SOFR",$K$2:$K$7,$L$2:$L$7,,,"Actual360","LogLinear",TRUE)</f>
        <v>QSObject:ContextInput:w1~input.qs_context_add_curve.2359132437744.4973.3.0:35653</v>
      </c>
      <c r="E4974" s="6" t="str">
        <f>_xll.QS.INSTRUMENT.SWAP("swap.4972",H4974,B4974,"USD","SOFR",I4974,J4974,0,"Actual360","Simple","Annual","Annual","Annual")</f>
        <v>QSObject:Swap:w1~swap.4972:11624</v>
      </c>
      <c r="F4974" s="6" t="str">
        <f>_xll.QS.TRADE.CREATE("trade.4972",E4974,A4974,"Receive")</f>
        <v>QSObject:SwapTrade:w1~trade.4972:25672</v>
      </c>
      <c r="G4974" s="3">
        <f>_xll.QS.EVALUATE(C4974,F4974)</f>
        <v>35843.849133647724</v>
      </c>
      <c r="H4974" s="5" t="s">
        <v>5015</v>
      </c>
      <c r="I4974" s="7">
        <v>1497200</v>
      </c>
      <c r="J4974" s="8">
        <v>3.7199999999999997E-2</v>
      </c>
    </row>
    <row r="4975" spans="1:10" x14ac:dyDescent="0.25">
      <c r="A4975" s="5" t="s">
        <v>5009</v>
      </c>
      <c r="B4975" s="5" t="s">
        <v>6842</v>
      </c>
      <c r="C4975" s="6" t="str">
        <f>_xll.QS.CONTEXT.CREATE("market.4973",A4975,"USD","SOFR")</f>
        <v>QSObject:PricingContext:w1~market.4973:11623</v>
      </c>
      <c r="D4975" s="6" t="str">
        <f>_xll.QS.CONTEXT.ADD.CURVE(C4975,"SOFR",$K$2:$K$7,$L$2:$L$7,,,"Actual360","LogLinear",TRUE)</f>
        <v>QSObject:ContextInput:w1~input.qs_context_add_curve.2359132437744.4974.3.0:35652</v>
      </c>
      <c r="E4975" s="6" t="str">
        <f>_xll.QS.INSTRUMENT.SWAP("swap.4973",H4975,B4975,"USD","SOFR",I4975,J4975,0,"Actual360","Simple","Annual","Annual","Annual")</f>
        <v>QSObject:Swap:w1~swap.4973:11622</v>
      </c>
      <c r="F4975" s="6" t="str">
        <f>_xll.QS.TRADE.CREATE("trade.4973",E4975,A4975,"Receive")</f>
        <v>QSObject:SwapTrade:w1~trade.4973:25671</v>
      </c>
      <c r="G4975" s="3">
        <f>_xll.QS.EVALUATE(C4975,F4975)</f>
        <v>36545.072611730873</v>
      </c>
      <c r="H4975" s="5" t="s">
        <v>5016</v>
      </c>
      <c r="I4975" s="7">
        <v>1497300</v>
      </c>
      <c r="J4975" s="8">
        <v>3.73E-2</v>
      </c>
    </row>
    <row r="4976" spans="1:10" x14ac:dyDescent="0.25">
      <c r="A4976" s="5" t="s">
        <v>5010</v>
      </c>
      <c r="B4976" s="5" t="s">
        <v>6843</v>
      </c>
      <c r="C4976" s="6" t="str">
        <f>_xll.QS.CONTEXT.CREATE("market.4974",A4976,"USD","SOFR")</f>
        <v>QSObject:PricingContext:w1~market.4974:11621</v>
      </c>
      <c r="D4976" s="6" t="str">
        <f>_xll.QS.CONTEXT.ADD.CURVE(C4976,"SOFR",$K$2:$K$7,$L$2:$L$7,,,"Actual360","LogLinear",TRUE)</f>
        <v>QSObject:ContextInput:w1~input.qs_context_add_curve.2359132437744.4975.3.0:35651</v>
      </c>
      <c r="E4976" s="6" t="str">
        <f>_xll.QS.INSTRUMENT.SWAP("swap.4974",H4976,B4976,"USD","SOFR",I4976,J4976,0,"Actual360","Simple","Annual","Annual","Annual")</f>
        <v>QSObject:Swap:w1~swap.4974:11620</v>
      </c>
      <c r="F4976" s="6" t="str">
        <f>_xll.QS.TRADE.CREATE("trade.4974",E4976,A4976,"Receive")</f>
        <v>QSObject:SwapTrade:w1~trade.4974:24168</v>
      </c>
      <c r="G4976" s="3">
        <f>_xll.QS.EVALUATE(C4976,F4976)</f>
        <v>37239.619489787867</v>
      </c>
      <c r="H4976" s="5" t="s">
        <v>5017</v>
      </c>
      <c r="I4976" s="7">
        <v>1497400</v>
      </c>
      <c r="J4976" s="8">
        <v>3.7400000000000003E-2</v>
      </c>
    </row>
    <row r="4977" spans="1:10" x14ac:dyDescent="0.25">
      <c r="A4977" s="5" t="s">
        <v>5011</v>
      </c>
      <c r="B4977" s="5" t="s">
        <v>6844</v>
      </c>
      <c r="C4977" s="6" t="str">
        <f>_xll.QS.CONTEXT.CREATE("market.4975",A4977,"USD","SOFR")</f>
        <v>QSObject:PricingContext:w1~market.4975:11619</v>
      </c>
      <c r="D4977" s="6" t="str">
        <f>_xll.QS.CONTEXT.ADD.CURVE(C4977,"SOFR",$K$2:$K$7,$L$2:$L$7,,,"Actual360","LogLinear",TRUE)</f>
        <v>QSObject:ContextInput:w1~input.qs_context_add_curve.2359132437744.4976.3.0:35650</v>
      </c>
      <c r="E4977" s="6" t="str">
        <f>_xll.QS.INSTRUMENT.SWAP("swap.4975",H4977,B4977,"USD","SOFR",I4977,J4977,0,"Actual360","Simple","Annual","Annual","Annual")</f>
        <v>QSObject:Swap:w1~swap.4975:11618</v>
      </c>
      <c r="F4977" s="6" t="str">
        <f>_xll.QS.TRADE.CREATE("trade.4975",E4977,A4977,"Receive")</f>
        <v>QSObject:SwapTrade:w1~trade.4975:24983</v>
      </c>
      <c r="G4977" s="3">
        <f>_xll.QS.EVALUATE(C4977,F4977)</f>
        <v>37748.625799225912</v>
      </c>
      <c r="H4977" s="5" t="s">
        <v>5018</v>
      </c>
      <c r="I4977" s="7">
        <v>1497500</v>
      </c>
      <c r="J4977" s="8">
        <v>3.7500000000000012E-2</v>
      </c>
    </row>
    <row r="4978" spans="1:10" x14ac:dyDescent="0.25">
      <c r="A4978" s="5" t="s">
        <v>5012</v>
      </c>
      <c r="B4978" s="5" t="s">
        <v>6845</v>
      </c>
      <c r="C4978" s="6" t="str">
        <f>_xll.QS.CONTEXT.CREATE("market.4976",A4978,"USD","SOFR")</f>
        <v>QSObject:PricingContext:w1~market.4976:11617</v>
      </c>
      <c r="D4978" s="6" t="str">
        <f>_xll.QS.CONTEXT.ADD.CURVE(C4978,"SOFR",$K$2:$K$7,$L$2:$L$7,,,"Actual360","LogLinear",TRUE)</f>
        <v>QSObject:ContextInput:w1~input.qs_context_add_curve.2359132437744.4977.3.0:35649</v>
      </c>
      <c r="E4978" s="6" t="str">
        <f>_xll.QS.INSTRUMENT.SWAP("swap.4976",H4978,B4978,"USD","SOFR",I4978,J4978,0,"Actual360","Simple","Annual","Annual","Annual")</f>
        <v>QSObject:Swap:w1~swap.4976:11616</v>
      </c>
      <c r="F4978" s="6" t="str">
        <f>_xll.QS.TRADE.CREATE("trade.4976",E4978,A4978,"Receive")</f>
        <v>QSObject:SwapTrade:w1~trade.4976:26973</v>
      </c>
      <c r="G4978" s="3">
        <f>_xll.QS.EVALUATE(C4978,F4978)</f>
        <v>38444.977205843505</v>
      </c>
      <c r="H4978" s="5" t="s">
        <v>5019</v>
      </c>
      <c r="I4978" s="7">
        <v>1497600</v>
      </c>
      <c r="J4978" s="8">
        <v>3.7600000000000001E-2</v>
      </c>
    </row>
    <row r="4979" spans="1:10" x14ac:dyDescent="0.25">
      <c r="A4979" s="5" t="s">
        <v>5013</v>
      </c>
      <c r="B4979" s="5" t="s">
        <v>6846</v>
      </c>
      <c r="C4979" s="6" t="str">
        <f>_xll.QS.CONTEXT.CREATE("market.4977",A4979,"USD","SOFR")</f>
        <v>QSObject:PricingContext:w1~market.4977:11615</v>
      </c>
      <c r="D4979" s="6" t="str">
        <f>_xll.QS.CONTEXT.ADD.CURVE(C4979,"SOFR",$K$2:$K$7,$L$2:$L$7,,,"Actual360","LogLinear",TRUE)</f>
        <v>QSObject:ContextInput:w1~input.qs_context_add_curve.2359132437744.4978.3.0:35648</v>
      </c>
      <c r="E4979" s="6" t="str">
        <f>_xll.QS.INSTRUMENT.SWAP("swap.4977",H4979,B4979,"USD","SOFR",I4979,J4979,0,"Actual360","Simple","Annual","Annual","Annual")</f>
        <v>QSObject:Swap:w1~swap.4977:11614</v>
      </c>
      <c r="F4979" s="6" t="str">
        <f>_xll.QS.TRADE.CREATE("trade.4977",E4979,A4979,"Receive")</f>
        <v>QSObject:SwapTrade:w1~trade.4977:26475</v>
      </c>
      <c r="G4979" s="3">
        <f>_xll.QS.EVALUATE(C4979,F4979)</f>
        <v>39201.533508292508</v>
      </c>
      <c r="H4979" s="5" t="s">
        <v>5020</v>
      </c>
      <c r="I4979" s="7">
        <v>1497700</v>
      </c>
      <c r="J4979" s="8">
        <v>3.7699999999999997E-2</v>
      </c>
    </row>
    <row r="4980" spans="1:10" x14ac:dyDescent="0.25">
      <c r="A4980" s="5" t="s">
        <v>5014</v>
      </c>
      <c r="B4980" s="5" t="s">
        <v>6847</v>
      </c>
      <c r="C4980" s="6" t="str">
        <f>_xll.QS.CONTEXT.CREATE("market.4978",A4980,"USD","SOFR")</f>
        <v>QSObject:PricingContext:w1~market.4978:11613</v>
      </c>
      <c r="D4980" s="6" t="str">
        <f>_xll.QS.CONTEXT.ADD.CURVE(C4980,"SOFR",$K$2:$K$7,$L$2:$L$7,,,"Actual360","LogLinear",TRUE)</f>
        <v>QSObject:ContextInput:w1~input.qs_context_add_curve.2359132437744.4979.3.0:35647</v>
      </c>
      <c r="E4980" s="6" t="str">
        <f>_xll.QS.INSTRUMENT.SWAP("swap.4978",H4980,B4980,"USD","SOFR",I4980,J4980,0,"Actual360","Simple","Annual","Annual","Annual")</f>
        <v>QSObject:Swap:w1~swap.4978:11612</v>
      </c>
      <c r="F4980" s="6" t="str">
        <f>_xll.QS.TRADE.CREATE("trade.4978",E4980,A4980,"Receive")</f>
        <v>QSObject:SwapTrade:w1~trade.4978:24982</v>
      </c>
      <c r="G4980" s="3">
        <f>_xll.QS.EVALUATE(C4980,F4980)</f>
        <v>40004.663521368879</v>
      </c>
      <c r="H4980" s="5" t="s">
        <v>5021</v>
      </c>
      <c r="I4980" s="7">
        <v>1497800</v>
      </c>
      <c r="J4980" s="8">
        <v>3.78E-2</v>
      </c>
    </row>
    <row r="4981" spans="1:10" x14ac:dyDescent="0.25">
      <c r="A4981" s="5" t="s">
        <v>5015</v>
      </c>
      <c r="B4981" s="5" t="s">
        <v>6848</v>
      </c>
      <c r="C4981" s="6" t="str">
        <f>_xll.QS.CONTEXT.CREATE("market.4979",A4981,"USD","SOFR")</f>
        <v>QSObject:PricingContext:w1~market.4979:11611</v>
      </c>
      <c r="D4981" s="6" t="str">
        <f>_xll.QS.CONTEXT.ADD.CURVE(C4981,"SOFR",$K$2:$K$7,$L$2:$L$7,,,"Actual360","LogLinear",TRUE)</f>
        <v>QSObject:ContextInput:w1~input.qs_context_add_curve.2359132437744.4980.3.0:35646</v>
      </c>
      <c r="E4981" s="6" t="str">
        <f>_xll.QS.INSTRUMENT.SWAP("swap.4979",H4981,B4981,"USD","SOFR",I4981,J4981,0,"Actual360","Simple","Annual","Annual","Annual")</f>
        <v>QSObject:Swap:w1~swap.4979:11610</v>
      </c>
      <c r="F4981" s="6" t="str">
        <f>_xll.QS.TRADE.CREATE("trade.4979",E4981,A4981,"Receive")</f>
        <v>QSObject:SwapTrade:w1~trade.4979:24167</v>
      </c>
      <c r="G4981" s="3">
        <f>_xll.QS.EVALUATE(C4981,F4981)</f>
        <v>40698.185278104917</v>
      </c>
      <c r="H4981" s="5" t="s">
        <v>5022</v>
      </c>
      <c r="I4981" s="7">
        <v>1497900</v>
      </c>
      <c r="J4981" s="8">
        <v>3.7900000000000003E-2</v>
      </c>
    </row>
    <row r="4982" spans="1:10" x14ac:dyDescent="0.25">
      <c r="A4982" s="5" t="s">
        <v>5016</v>
      </c>
      <c r="B4982" s="5" t="s">
        <v>6849</v>
      </c>
      <c r="C4982" s="6" t="str">
        <f>_xll.QS.CONTEXT.CREATE("market.4980",A4982,"USD","SOFR")</f>
        <v>QSObject:PricingContext:w1~market.4980:11609</v>
      </c>
      <c r="D4982" s="6" t="str">
        <f>_xll.QS.CONTEXT.ADD.CURVE(C4982,"SOFR",$K$2:$K$7,$L$2:$L$7,,,"Actual360","LogLinear",TRUE)</f>
        <v>QSObject:ContextInput:w1~input.qs_context_add_curve.2359132437744.4981.3.0:35645</v>
      </c>
      <c r="E4982" s="6" t="str">
        <f>_xll.QS.INSTRUMENT.SWAP("swap.4980",H4982,B4982,"USD","SOFR",I4982,J4982,0,"Actual360","Simple","Annual","Annual","Annual")</f>
        <v>QSObject:Swap:w1~swap.4980:11608</v>
      </c>
      <c r="F4982" s="6" t="str">
        <f>_xll.QS.TRADE.CREATE("trade.4980",E4982,A4982,"Receive")</f>
        <v>QSObject:SwapTrade:w1~trade.4980:25670</v>
      </c>
      <c r="G4982" s="3">
        <f>_xll.QS.EVALUATE(C4982,F4982)</f>
        <v>41400.071912289575</v>
      </c>
      <c r="H4982" s="5" t="s">
        <v>5023</v>
      </c>
      <c r="I4982" s="7">
        <v>1498000</v>
      </c>
      <c r="J4982" s="8">
        <v>3.8000000000000013E-2</v>
      </c>
    </row>
    <row r="4983" spans="1:10" x14ac:dyDescent="0.25">
      <c r="A4983" s="5" t="s">
        <v>5017</v>
      </c>
      <c r="B4983" s="5" t="s">
        <v>6850</v>
      </c>
      <c r="C4983" s="6" t="str">
        <f>_xll.QS.CONTEXT.CREATE("market.4981",A4983,"USD","SOFR")</f>
        <v>QSObject:PricingContext:w1~market.4981:11607</v>
      </c>
      <c r="D4983" s="6" t="str">
        <f>_xll.QS.CONTEXT.ADD.CURVE(C4983,"SOFR",$K$2:$K$7,$L$2:$L$7,,,"Actual360","LogLinear",TRUE)</f>
        <v>QSObject:ContextInput:w1~input.qs_context_add_curve.2359132437744.4982.3.0:35644</v>
      </c>
      <c r="E4983" s="6" t="str">
        <f>_xll.QS.INSTRUMENT.SWAP("swap.4981",H4983,B4983,"USD","SOFR",I4983,J4983,0,"Actual360","Simple","Annual","Annual","Annual")</f>
        <v>QSObject:Swap:w1~swap.4981:11606</v>
      </c>
      <c r="F4983" s="6" t="str">
        <f>_xll.QS.TRADE.CREATE("trade.4981",E4983,A4983,"Receive")</f>
        <v>QSObject:SwapTrade:w1~trade.4981:26474</v>
      </c>
      <c r="G4983" s="3">
        <f>_xll.QS.EVALUATE(C4983,F4983)</f>
        <v>42095.283708713083</v>
      </c>
      <c r="H4983" s="5" t="s">
        <v>5024</v>
      </c>
      <c r="I4983" s="7">
        <v>1498100</v>
      </c>
      <c r="J4983" s="8">
        <v>3.8100000000000002E-2</v>
      </c>
    </row>
    <row r="4984" spans="1:10" x14ac:dyDescent="0.25">
      <c r="A4984" s="5" t="s">
        <v>5018</v>
      </c>
      <c r="B4984" s="5" t="s">
        <v>6851</v>
      </c>
      <c r="C4984" s="6" t="str">
        <f>_xll.QS.CONTEXT.CREATE("market.4982",A4984,"USD","SOFR")</f>
        <v>QSObject:PricingContext:w1~market.4982:11605</v>
      </c>
      <c r="D4984" s="6" t="str">
        <f>_xll.QS.CONTEXT.ADD.CURVE(C4984,"SOFR",$K$2:$K$7,$L$2:$L$7,,,"Actual360","LogLinear",TRUE)</f>
        <v>QSObject:ContextInput:w1~input.qs_context_add_curve.2359132437744.4983.3.0:35643</v>
      </c>
      <c r="E4984" s="6" t="str">
        <f>_xll.QS.INSTRUMENT.SWAP("swap.4982",H4984,B4984,"USD","SOFR",I4984,J4984,0,"Actual360","Simple","Annual","Annual","Annual")</f>
        <v>QSObject:Swap:w1~swap.4982:11604</v>
      </c>
      <c r="F4984" s="6" t="str">
        <f>_xll.QS.TRADE.CREATE("trade.4982",E4984,A4984,"Receive")</f>
        <v>QSObject:SwapTrade:w1~trade.4982:24981</v>
      </c>
      <c r="G4984" s="3">
        <f>_xll.QS.EVALUATE(C4984,F4984)</f>
        <v>42792.591545421084</v>
      </c>
      <c r="H4984" s="5" t="s">
        <v>5025</v>
      </c>
      <c r="I4984" s="7">
        <v>1498200</v>
      </c>
      <c r="J4984" s="8">
        <v>3.8199999999999998E-2</v>
      </c>
    </row>
    <row r="4985" spans="1:10" x14ac:dyDescent="0.25">
      <c r="A4985" s="5" t="s">
        <v>5019</v>
      </c>
      <c r="B4985" s="5" t="s">
        <v>6852</v>
      </c>
      <c r="C4985" s="6" t="str">
        <f>_xll.QS.CONTEXT.CREATE("market.4983",A4985,"USD","SOFR")</f>
        <v>QSObject:PricingContext:w1~market.4983:11603</v>
      </c>
      <c r="D4985" s="6" t="str">
        <f>_xll.QS.CONTEXT.ADD.CURVE(C4985,"SOFR",$K$2:$K$7,$L$2:$L$7,,,"Actual360","LogLinear",TRUE)</f>
        <v>QSObject:ContextInput:w1~input.qs_context_add_curve.2359132437744.4984.3.0:35642</v>
      </c>
      <c r="E4985" s="6" t="str">
        <f>_xll.QS.INSTRUMENT.SWAP("swap.4983",H4985,B4985,"USD","SOFR",I4985,J4985,0,"Actual360","Simple","Annual","Annual","Annual")</f>
        <v>QSObject:Swap:w1~swap.4983:11602</v>
      </c>
      <c r="F4985" s="6" t="str">
        <f>_xll.QS.TRADE.CREATE("trade.4983",E4985,A4985,"Receive")</f>
        <v>QSObject:SwapTrade:w1~trade.4983:24980</v>
      </c>
      <c r="G4985" s="3">
        <f>_xll.QS.EVALUATE(C4985,F4985)</f>
        <v>43490.126776045785</v>
      </c>
      <c r="H4985" s="5" t="s">
        <v>5026</v>
      </c>
      <c r="I4985" s="7">
        <v>1498300</v>
      </c>
      <c r="J4985" s="8">
        <v>3.8300000000000001E-2</v>
      </c>
    </row>
    <row r="4986" spans="1:10" x14ac:dyDescent="0.25">
      <c r="A4986" s="5" t="s">
        <v>5020</v>
      </c>
      <c r="B4986" s="5" t="s">
        <v>6853</v>
      </c>
      <c r="C4986" s="6" t="str">
        <f>_xll.QS.CONTEXT.CREATE("market.4984",A4986,"USD","SOFR")</f>
        <v>QSObject:PricingContext:w1~market.4984:11601</v>
      </c>
      <c r="D4986" s="6" t="str">
        <f>_xll.QS.CONTEXT.ADD.CURVE(C4986,"SOFR",$K$2:$K$7,$L$2:$L$7,,,"Actual360","LogLinear",TRUE)</f>
        <v>QSObject:ContextInput:w1~input.qs_context_add_curve.2359132437744.4985.3.0:35641</v>
      </c>
      <c r="E4986" s="6" t="str">
        <f>_xll.QS.INSTRUMENT.SWAP("swap.4984",H4986,B4986,"USD","SOFR",I4986,J4986,0,"Actual360","Simple","Annual","Annual","Annual")</f>
        <v>QSObject:Swap:w1~swap.4984:11600</v>
      </c>
      <c r="F4986" s="6" t="str">
        <f>_xll.QS.TRADE.CREATE("trade.4984",E4986,A4986,"Receive")</f>
        <v>QSObject:SwapTrade:w1~trade.4984:26473</v>
      </c>
      <c r="G4986" s="3">
        <f>_xll.QS.EVALUATE(C4986,F4986)</f>
        <v>43995.892764736105</v>
      </c>
      <c r="H4986" s="5" t="s">
        <v>5027</v>
      </c>
      <c r="I4986" s="7">
        <v>1498400</v>
      </c>
      <c r="J4986" s="8">
        <v>3.8399999999999997E-2</v>
      </c>
    </row>
    <row r="4987" spans="1:10" x14ac:dyDescent="0.25">
      <c r="A4987" s="5" t="s">
        <v>5021</v>
      </c>
      <c r="B4987" s="5" t="s">
        <v>6854</v>
      </c>
      <c r="C4987" s="6" t="str">
        <f>_xll.QS.CONTEXT.CREATE("market.4985",A4987,"USD","SOFR")</f>
        <v>QSObject:PricingContext:w1~market.4985:11599</v>
      </c>
      <c r="D4987" s="6" t="str">
        <f>_xll.QS.CONTEXT.ADD.CURVE(C4987,"SOFR",$K$2:$K$7,$L$2:$L$7,,,"Actual360","LogLinear",TRUE)</f>
        <v>QSObject:ContextInput:w1~input.qs_context_add_curve.2359132437744.4986.3.0:35640</v>
      </c>
      <c r="E4987" s="6" t="str">
        <f>_xll.QS.INSTRUMENT.SWAP("swap.4985",H4987,B4987,"USD","SOFR",I4987,J4987,0,"Actual360","Simple","Annual","Annual","Annual")</f>
        <v>QSObject:Swap:w1~swap.4985:11598</v>
      </c>
      <c r="F4987" s="6" t="str">
        <f>_xll.QS.TRADE.CREATE("trade.4985",E4987,A4987,"Receive")</f>
        <v>QSObject:SwapTrade:w1~trade.4985:25669</v>
      </c>
      <c r="G4987" s="3">
        <f>_xll.QS.EVALUATE(C4987,F4987)</f>
        <v>44918.052713264129</v>
      </c>
      <c r="H4987" s="5" t="s">
        <v>5028</v>
      </c>
      <c r="I4987" s="7">
        <v>1498500</v>
      </c>
      <c r="J4987" s="8">
        <v>3.8500000000000013E-2</v>
      </c>
    </row>
    <row r="4988" spans="1:10" x14ac:dyDescent="0.25">
      <c r="A4988" s="5" t="s">
        <v>5022</v>
      </c>
      <c r="B4988" s="5" t="s">
        <v>6855</v>
      </c>
      <c r="C4988" s="6" t="str">
        <f>_xll.QS.CONTEXT.CREATE("market.4986",A4988,"USD","SOFR")</f>
        <v>QSObject:PricingContext:w1~market.4986:11597</v>
      </c>
      <c r="D4988" s="6" t="str">
        <f>_xll.QS.CONTEXT.ADD.CURVE(C4988,"SOFR",$K$2:$K$7,$L$2:$L$7,,,"Actual360","LogLinear",TRUE)</f>
        <v>QSObject:ContextInput:w1~input.qs_context_add_curve.2359132437744.4987.3.0:35639</v>
      </c>
      <c r="E4988" s="6" t="str">
        <f>_xll.QS.INSTRUMENT.SWAP("swap.4986",H4988,B4988,"USD","SOFR",I4988,J4988,0,"Actual360","Simple","Annual","Annual","Annual")</f>
        <v>QSObject:Swap:w1~swap.4986:11596</v>
      </c>
      <c r="F4988" s="6" t="str">
        <f>_xll.QS.TRADE.CREATE("trade.4986",E4988,A4988,"Receive")</f>
        <v>QSObject:SwapTrade:w1~trade.4986:24166</v>
      </c>
      <c r="G4988" s="3">
        <f>_xll.QS.EVALUATE(C4988,F4988)</f>
        <v>45612.689695423869</v>
      </c>
      <c r="H4988" s="5" t="s">
        <v>5029</v>
      </c>
      <c r="I4988" s="7">
        <v>1498600</v>
      </c>
      <c r="J4988" s="8">
        <v>3.8600000000000002E-2</v>
      </c>
    </row>
    <row r="4989" spans="1:10" x14ac:dyDescent="0.25">
      <c r="A4989" s="5" t="s">
        <v>5023</v>
      </c>
      <c r="B4989" s="5" t="s">
        <v>6856</v>
      </c>
      <c r="C4989" s="6" t="str">
        <f>_xll.QS.CONTEXT.CREATE("market.4987",A4989,"USD","SOFR")</f>
        <v>QSObject:PricingContext:w1~market.4987:11595</v>
      </c>
      <c r="D4989" s="6" t="str">
        <f>_xll.QS.CONTEXT.ADD.CURVE(C4989,"SOFR",$K$2:$K$7,$L$2:$L$7,,,"Actual360","LogLinear",TRUE)</f>
        <v>QSObject:ContextInput:w1~input.qs_context_add_curve.2359132437744.4988.3.0:35638</v>
      </c>
      <c r="E4989" s="6" t="str">
        <f>_xll.QS.INSTRUMENT.SWAP("swap.4987",H4989,B4989,"USD","SOFR",I4989,J4989,0,"Actual360","Simple","Annual","Annual","Annual")</f>
        <v>QSObject:Swap:w1~swap.4987:11594</v>
      </c>
      <c r="F4989" s="6" t="str">
        <f>_xll.QS.TRADE.CREATE("trade.4987",E4989,A4989,"Receive")</f>
        <v>QSObject:SwapTrade:w1~trade.4987:26972</v>
      </c>
      <c r="G4989" s="3">
        <f>_xll.QS.EVALUATE(C4989,F4989)</f>
        <v>46320.301396670278</v>
      </c>
      <c r="H4989" s="5" t="s">
        <v>5030</v>
      </c>
      <c r="I4989" s="7">
        <v>1498700</v>
      </c>
      <c r="J4989" s="8">
        <v>3.8700000000000012E-2</v>
      </c>
    </row>
    <row r="4990" spans="1:10" x14ac:dyDescent="0.25">
      <c r="A4990" s="5" t="s">
        <v>5024</v>
      </c>
      <c r="B4990" s="5" t="s">
        <v>6857</v>
      </c>
      <c r="C4990" s="6" t="str">
        <f>_xll.QS.CONTEXT.CREATE("market.4988",A4990,"USD","SOFR")</f>
        <v>QSObject:PricingContext:w1~market.4988:11593</v>
      </c>
      <c r="D4990" s="6" t="str">
        <f>_xll.QS.CONTEXT.ADD.CURVE(C4990,"SOFR",$K$2:$K$7,$L$2:$L$7,,,"Actual360","LogLinear",TRUE)</f>
        <v>QSObject:ContextInput:w1~input.qs_context_add_curve.2359132437744.4989.3.0:35637</v>
      </c>
      <c r="E4990" s="6" t="str">
        <f>_xll.QS.INSTRUMENT.SWAP("swap.4988",H4990,B4990,"USD","SOFR",I4990,J4990,0,"Actual360","Simple","Annual","Annual","Annual")</f>
        <v>QSObject:Swap:w1~swap.4988:11592</v>
      </c>
      <c r="F4990" s="6" t="str">
        <f>_xll.QS.TRADE.CREATE("trade.4988",E4990,A4990,"Receive")</f>
        <v>QSObject:SwapTrade:w1~trade.4988:24979</v>
      </c>
      <c r="G4990" s="3">
        <f>_xll.QS.EVALUATE(C4990,F4990)</f>
        <v>47016.096601179735</v>
      </c>
      <c r="H4990" s="5" t="s">
        <v>5031</v>
      </c>
      <c r="I4990" s="7">
        <v>1498800</v>
      </c>
      <c r="J4990" s="8">
        <v>3.8800000000000001E-2</v>
      </c>
    </row>
    <row r="4991" spans="1:10" x14ac:dyDescent="0.25">
      <c r="A4991" s="5" t="s">
        <v>5025</v>
      </c>
      <c r="B4991" s="5" t="s">
        <v>6858</v>
      </c>
      <c r="C4991" s="6" t="str">
        <f>_xll.QS.CONTEXT.CREATE("market.4989",A4991,"USD","SOFR")</f>
        <v>QSObject:PricingContext:w1~market.4989:11591</v>
      </c>
      <c r="D4991" s="6" t="str">
        <f>_xll.QS.CONTEXT.ADD.CURVE(C4991,"SOFR",$K$2:$K$7,$L$2:$L$7,,,"Actual360","LogLinear",TRUE)</f>
        <v>QSObject:ContextInput:w1~input.qs_context_add_curve.2359132437744.4990.3.0:35636</v>
      </c>
      <c r="E4991" s="6" t="str">
        <f>_xll.QS.INSTRUMENT.SWAP("swap.4989",H4991,B4991,"USD","SOFR",I4991,J4991,0,"Actual360","Simple","Annual","Annual","Annual")</f>
        <v>QSObject:Swap:w1~swap.4989:11590</v>
      </c>
      <c r="F4991" s="6" t="str">
        <f>_xll.QS.TRADE.CREATE("trade.4989",E4991,A4991,"Receive")</f>
        <v>QSObject:SwapTrade:w1~trade.4989:26472</v>
      </c>
      <c r="G4991" s="3">
        <f>_xll.QS.EVALUATE(C4991,F4991)</f>
        <v>47524.552083235998</v>
      </c>
      <c r="H4991" s="5" t="s">
        <v>5032</v>
      </c>
      <c r="I4991" s="7">
        <v>1498900</v>
      </c>
      <c r="J4991" s="8">
        <v>3.8899999999999997E-2</v>
      </c>
    </row>
    <row r="4992" spans="1:10" x14ac:dyDescent="0.25">
      <c r="A4992" s="5" t="s">
        <v>5026</v>
      </c>
      <c r="B4992" s="5" t="s">
        <v>6859</v>
      </c>
      <c r="C4992" s="6" t="str">
        <f>_xll.QS.CONTEXT.CREATE("market.4990",A4992,"USD","SOFR")</f>
        <v>QSObject:PricingContext:w1~market.4990:11589</v>
      </c>
      <c r="D4992" s="6" t="str">
        <f>_xll.QS.CONTEXT.ADD.CURVE(C4992,"SOFR",$K$2:$K$7,$L$2:$L$7,,,"Actual360","LogLinear",TRUE)</f>
        <v>QSObject:ContextInput:w1~input.qs_context_add_curve.2359132437744.4991.3.0:35635</v>
      </c>
      <c r="E4992" s="6" t="str">
        <f>_xll.QS.INSTRUMENT.SWAP("swap.4990",H4992,B4992,"USD","SOFR",I4992,J4992,0,"Actual360","Simple","Annual","Annual","Annual")</f>
        <v>QSObject:Swap:w1~swap.4990:11588</v>
      </c>
      <c r="F4992" s="6" t="str">
        <f>_xll.QS.TRADE.CREATE("trade.4990",E4992,A4992,"Receive")</f>
        <v>QSObject:SwapTrade:w1~trade.4990:26971</v>
      </c>
      <c r="G4992" s="3">
        <f>_xll.QS.EVALUATE(C4992,F4992)</f>
        <v>48222.95224544387</v>
      </c>
      <c r="H4992" s="5" t="s">
        <v>5033</v>
      </c>
      <c r="I4992" s="7">
        <v>1499000</v>
      </c>
      <c r="J4992" s="8">
        <v>3.9000000000000007E-2</v>
      </c>
    </row>
    <row r="4993" spans="1:10" x14ac:dyDescent="0.25">
      <c r="A4993" s="5" t="s">
        <v>5027</v>
      </c>
      <c r="B4993" s="5" t="s">
        <v>6860</v>
      </c>
      <c r="C4993" s="6" t="str">
        <f>_xll.QS.CONTEXT.CREATE("market.4991",A4993,"USD","SOFR")</f>
        <v>QSObject:PricingContext:w1~market.4991:11587</v>
      </c>
      <c r="D4993" s="6" t="str">
        <f>_xll.QS.CONTEXT.ADD.CURVE(C4993,"SOFR",$K$2:$K$7,$L$2:$L$7,,,"Actual360","LogLinear",TRUE)</f>
        <v>QSObject:ContextInput:w1~input.qs_context_add_curve.2359132437744.4992.3.0:35634</v>
      </c>
      <c r="E4993" s="6" t="str">
        <f>_xll.QS.INSTRUMENT.SWAP("swap.4991",H4993,B4993,"USD","SOFR",I4993,J4993,0,"Actual360","Simple","Annual","Annual","Annual")</f>
        <v>QSObject:Swap:w1~swap.4991:11586</v>
      </c>
      <c r="F4993" s="6" t="str">
        <f>_xll.QS.TRADE.CREATE("trade.4991",E4993,A4993,"Receive")</f>
        <v>QSObject:SwapTrade:w1~trade.4991:26970</v>
      </c>
      <c r="G4993" s="3">
        <f>_xll.QS.EVALUATE(C4993,F4993)</f>
        <v>48921.632981519047</v>
      </c>
      <c r="H4993" s="5" t="s">
        <v>5034</v>
      </c>
      <c r="I4993" s="7">
        <v>1499100</v>
      </c>
      <c r="J4993" s="8">
        <v>3.9100000000000003E-2</v>
      </c>
    </row>
    <row r="4994" spans="1:10" x14ac:dyDescent="0.25">
      <c r="A4994" s="5" t="s">
        <v>5028</v>
      </c>
      <c r="B4994" s="5" t="s">
        <v>6861</v>
      </c>
      <c r="C4994" s="6" t="str">
        <f>_xll.QS.CONTEXT.CREATE("market.4992",A4994,"USD","SOFR")</f>
        <v>QSObject:PricingContext:w1~market.4992:11585</v>
      </c>
      <c r="D4994" s="6" t="str">
        <f>_xll.QS.CONTEXT.ADD.CURVE(C4994,"SOFR",$K$2:$K$7,$L$2:$L$7,,,"Actual360","LogLinear",TRUE)</f>
        <v>QSObject:ContextInput:w1~input.qs_context_add_curve.2359132437744.4993.3.0:35633</v>
      </c>
      <c r="E4994" s="6" t="str">
        <f>_xll.QS.INSTRUMENT.SWAP("swap.4992",H4994,B4994,"USD","SOFR",I4994,J4994,0,"Actual360","Simple","Annual","Annual","Annual")</f>
        <v>QSObject:Swap:w1~swap.4992:11584</v>
      </c>
      <c r="F4994" s="6" t="str">
        <f>_xll.QS.TRADE.CREATE("trade.4992",E4994,A4994,"Receive")</f>
        <v>QSObject:SwapTrade:w1~trade.4992:26471</v>
      </c>
      <c r="G4994" s="3">
        <f>_xll.QS.EVALUATE(C4994,F4994)</f>
        <v>49725.925497321841</v>
      </c>
      <c r="H4994" s="5" t="s">
        <v>5035</v>
      </c>
      <c r="I4994" s="7">
        <v>1499200</v>
      </c>
      <c r="J4994" s="8">
        <v>3.9200000000000013E-2</v>
      </c>
    </row>
    <row r="4995" spans="1:10" x14ac:dyDescent="0.25">
      <c r="A4995" s="5" t="s">
        <v>5029</v>
      </c>
      <c r="B4995" s="5" t="s">
        <v>6862</v>
      </c>
      <c r="C4995" s="6" t="str">
        <f>_xll.QS.CONTEXT.CREATE("market.4993",A4995,"USD","SOFR")</f>
        <v>QSObject:PricingContext:w1~market.4993:11583</v>
      </c>
      <c r="D4995" s="6" t="str">
        <f>_xll.QS.CONTEXT.ADD.CURVE(C4995,"SOFR",$K$2:$K$7,$L$2:$L$7,,,"Actual360","LogLinear",TRUE)</f>
        <v>QSObject:ContextInput:w1~input.qs_context_add_curve.2359132437744.4994.3.0:35632</v>
      </c>
      <c r="E4995" s="6" t="str">
        <f>_xll.QS.INSTRUMENT.SWAP("swap.4993",H4995,B4995,"USD","SOFR",I4995,J4995,0,"Actual360","Simple","Annual","Annual","Annual")</f>
        <v>QSObject:Swap:w1~swap.4993:11582</v>
      </c>
      <c r="F4995" s="6" t="str">
        <f>_xll.QS.TRADE.CREATE("trade.4993",E4995,A4995,"Receive")</f>
        <v>QSObject:SwapTrade:w1~trade.4993:26470</v>
      </c>
      <c r="G4995" s="3">
        <f>_xll.QS.EVALUATE(C4995,F4995)</f>
        <v>50420.648211636522</v>
      </c>
      <c r="H4995" s="5" t="s">
        <v>5036</v>
      </c>
      <c r="I4995" s="7">
        <v>1499300</v>
      </c>
      <c r="J4995" s="8">
        <v>3.9300000000000002E-2</v>
      </c>
    </row>
    <row r="4996" spans="1:10" x14ac:dyDescent="0.25">
      <c r="A4996" s="5" t="s">
        <v>5030</v>
      </c>
      <c r="B4996" s="5" t="s">
        <v>6863</v>
      </c>
      <c r="C4996" s="6" t="str">
        <f>_xll.QS.CONTEXT.CREATE("market.4994",A4996,"USD","SOFR")</f>
        <v>QSObject:PricingContext:w1~market.4994:11581</v>
      </c>
      <c r="D4996" s="6" t="str">
        <f>_xll.QS.CONTEXT.ADD.CURVE(C4996,"SOFR",$K$2:$K$7,$L$2:$L$7,,,"Actual360","LogLinear",TRUE)</f>
        <v>QSObject:ContextInput:w1~input.qs_context_add_curve.2359132437744.4995.3.0:35631</v>
      </c>
      <c r="E4996" s="6" t="str">
        <f>_xll.QS.INSTRUMENT.SWAP("swap.4994",H4996,B4996,"USD","SOFR",I4996,J4996,0,"Actual360","Simple","Annual","Annual","Annual")</f>
        <v>QSObject:Swap:w1~swap.4994:11580</v>
      </c>
      <c r="F4996" s="6" t="str">
        <f>_xll.QS.TRADE.CREATE("trade.4994",E4996,A4996,"Receive")</f>
        <v>QSObject:SwapTrade:w1~trade.4994:24978</v>
      </c>
      <c r="G4996" s="3">
        <f>_xll.QS.EVALUATE(C4996,F4996)</f>
        <v>51123.634758771368</v>
      </c>
      <c r="H4996" s="5" t="s">
        <v>5037</v>
      </c>
      <c r="I4996" s="7">
        <v>1499400</v>
      </c>
      <c r="J4996" s="8">
        <v>3.9399999999999998E-2</v>
      </c>
    </row>
    <row r="4997" spans="1:10" x14ac:dyDescent="0.25">
      <c r="A4997" s="5" t="s">
        <v>5031</v>
      </c>
      <c r="B4997" s="5" t="s">
        <v>6864</v>
      </c>
      <c r="C4997" s="6" t="str">
        <f>_xll.QS.CONTEXT.CREATE("market.4995",A4997,"USD","SOFR")</f>
        <v>QSObject:PricingContext:w1~market.4995:11579</v>
      </c>
      <c r="D4997" s="6" t="str">
        <f>_xll.QS.CONTEXT.ADD.CURVE(C4997,"SOFR",$K$2:$K$7,$L$2:$L$7,,,"Actual360","LogLinear",TRUE)</f>
        <v>QSObject:ContextInput:w1~input.qs_context_add_curve.2359132437744.4996.3.0:35630</v>
      </c>
      <c r="E4997" s="6" t="str">
        <f>_xll.QS.INSTRUMENT.SWAP("swap.4995",H4997,B4997,"USD","SOFR",I4997,J4997,0,"Actual360","Simple","Annual","Annual","Annual")</f>
        <v>QSObject:Swap:w1~swap.4995:11578</v>
      </c>
      <c r="F4997" s="6" t="str">
        <f>_xll.QS.TRADE.CREATE("trade.4995",E4997,A4997,"Receive")</f>
        <v>QSObject:SwapTrade:w1~trade.4995:26969</v>
      </c>
      <c r="G4997" s="3">
        <f>_xll.QS.EVALUATE(C4997,F4997)</f>
        <v>51820.176443560413</v>
      </c>
      <c r="H4997" s="5" t="s">
        <v>5038</v>
      </c>
      <c r="I4997" s="7">
        <v>1499500</v>
      </c>
      <c r="J4997" s="8">
        <v>3.9500000000000007E-2</v>
      </c>
    </row>
    <row r="4998" spans="1:10" x14ac:dyDescent="0.25">
      <c r="A4998" s="5" t="s">
        <v>5032</v>
      </c>
      <c r="B4998" s="5" t="s">
        <v>6865</v>
      </c>
      <c r="C4998" s="6" t="str">
        <f>_xll.QS.CONTEXT.CREATE("market.4996",A4998,"USD","SOFR")</f>
        <v>QSObject:PricingContext:w1~market.4996:11577</v>
      </c>
      <c r="D4998" s="6" t="str">
        <f>_xll.QS.CONTEXT.ADD.CURVE(C4998,"SOFR",$K$2:$K$7,$L$2:$L$7,,,"Actual360","LogLinear",TRUE)</f>
        <v>QSObject:ContextInput:w1~input.qs_context_add_curve.2359132437744.4997.3.0:35629</v>
      </c>
      <c r="E4998" s="6" t="str">
        <f>_xll.QS.INSTRUMENT.SWAP("swap.4996",H4998,B4998,"USD","SOFR",I4998,J4998,0,"Actual360","Simple","Annual","Annual","Annual")</f>
        <v>QSObject:Swap:w1~swap.4996:11576</v>
      </c>
      <c r="F4998" s="6" t="str">
        <f>_xll.QS.TRADE.CREATE("trade.4996",E4998,A4998,"Receive")</f>
        <v>QSObject:SwapTrade:w1~trade.4996:24977</v>
      </c>
      <c r="G4998" s="3">
        <f>_xll.QS.EVALUATE(C4998,F4998)</f>
        <v>52327.939562526895</v>
      </c>
      <c r="H4998" s="5" t="s">
        <v>5039</v>
      </c>
      <c r="I4998" s="7">
        <v>1499600</v>
      </c>
      <c r="J4998" s="8">
        <v>3.9600000000000003E-2</v>
      </c>
    </row>
    <row r="4999" spans="1:10" x14ac:dyDescent="0.25">
      <c r="A4999" s="5" t="s">
        <v>5033</v>
      </c>
      <c r="B4999" s="5" t="s">
        <v>6866</v>
      </c>
      <c r="C4999" s="6" t="str">
        <f>_xll.QS.CONTEXT.CREATE("market.4997",A4999,"USD","SOFR")</f>
        <v>QSObject:PricingContext:w1~market.4997:11575</v>
      </c>
      <c r="D4999" s="6" t="str">
        <f>_xll.QS.CONTEXT.ADD.CURVE(C4999,"SOFR",$K$2:$K$7,$L$2:$L$7,,,"Actual360","LogLinear",TRUE)</f>
        <v>QSObject:ContextInput:w1~input.qs_context_add_curve.2359132437744.4998.3.0:35628</v>
      </c>
      <c r="E4999" s="6" t="str">
        <f>_xll.QS.INSTRUMENT.SWAP("swap.4997",H4999,B4999,"USD","SOFR",I4999,J4999,0,"Actual360","Simple","Annual","Annual","Annual")</f>
        <v>QSObject:Swap:w1~swap.4997:11574</v>
      </c>
      <c r="F4999" s="6" t="str">
        <f>_xll.QS.TRADE.CREATE("trade.4997",E4999,A4999,"Receive")</f>
        <v>QSObject:SwapTrade:w1~trade.4997:26469</v>
      </c>
      <c r="G4999" s="3">
        <f>_xll.QS.EVALUATE(C4999,F4999)</f>
        <v>53027.450948360449</v>
      </c>
      <c r="H4999" s="5" t="s">
        <v>5040</v>
      </c>
      <c r="I4999" s="7">
        <v>1499700</v>
      </c>
      <c r="J4999" s="8">
        <v>3.9700000000000013E-2</v>
      </c>
    </row>
    <row r="5000" spans="1:10" x14ac:dyDescent="0.25">
      <c r="A5000" s="5" t="s">
        <v>5034</v>
      </c>
      <c r="B5000" s="5" t="s">
        <v>6867</v>
      </c>
      <c r="C5000" s="6" t="str">
        <f>_xll.QS.CONTEXT.CREATE("market.4998",A5000,"USD","SOFR")</f>
        <v>QSObject:PricingContext:w1~market.4998:11573</v>
      </c>
      <c r="D5000" s="6" t="str">
        <f>_xll.QS.CONTEXT.ADD.CURVE(C5000,"SOFR",$K$2:$K$7,$L$2:$L$7,,,"Actual360","LogLinear",TRUE)</f>
        <v>QSObject:ContextInput:w1~input.qs_context_add_curve.2359132437744.4999.3.0:35627</v>
      </c>
      <c r="E5000" s="6" t="str">
        <f>_xll.QS.INSTRUMENT.SWAP("swap.4998",H5000,B5000,"USD","SOFR",I5000,J5000,0,"Actual360","Simple","Annual","Annual","Annual")</f>
        <v>QSObject:Swap:w1~swap.4998:11572</v>
      </c>
      <c r="F5000" s="6" t="str">
        <f>_xll.QS.TRADE.CREATE("trade.4998",E5000,A5000,"Receive")</f>
        <v>QSObject:SwapTrade:w1~trade.4998:25668</v>
      </c>
      <c r="G5000" s="3">
        <f>_xll.QS.EVALUATE(C5000,F5000)</f>
        <v>53787.454622008161</v>
      </c>
      <c r="H5000" s="5" t="s">
        <v>5041</v>
      </c>
      <c r="I5000" s="7">
        <v>1499800</v>
      </c>
      <c r="J5000" s="8">
        <v>3.9800000000000002E-2</v>
      </c>
    </row>
    <row r="5001" spans="1:10" x14ac:dyDescent="0.25">
      <c r="A5001" s="5" t="s">
        <v>5035</v>
      </c>
      <c r="B5001" s="5" t="s">
        <v>6868</v>
      </c>
      <c r="C5001" s="6" t="str">
        <f>_xll.QS.CONTEXT.CREATE("market.4999",A5001,"USD","SOFR")</f>
        <v>QSObject:PricingContext:w1~market.4999:11571</v>
      </c>
      <c r="D5001" s="6" t="str">
        <f>_xll.QS.CONTEXT.ADD.CURVE(C5001,"SOFR",$K$2:$K$7,$L$2:$L$7,,,"Actual360","LogLinear",TRUE)</f>
        <v>QSObject:ContextInput:w1~input.qs_context_add_curve.2359132437744.5000.3.0:35626</v>
      </c>
      <c r="E5001" s="6" t="str">
        <f>_xll.QS.INSTRUMENT.SWAP("swap.4999",H5001,B5001,"USD","SOFR",I5001,J5001,0,"Actual360","Simple","Annual","Annual","Annual")</f>
        <v>QSObject:Swap:w1~swap.4999:11570</v>
      </c>
      <c r="F5001" s="6" t="str">
        <f>_xll.QS.TRADE.CREATE("trade.4999",E5001,A5001,"Receive")</f>
        <v>QSObject:SwapTrade:w1~trade.4999:26468</v>
      </c>
      <c r="G5001" s="3">
        <f>_xll.QS.EVALUATE(C5001,F5001)</f>
        <v>54592.891585388548</v>
      </c>
      <c r="H5001" s="5" t="s">
        <v>5042</v>
      </c>
      <c r="I5001" s="7">
        <v>1499900</v>
      </c>
      <c r="J5001" s="8">
        <v>3.9899999999999998E-2</v>
      </c>
    </row>
    <row r="5002" spans="1:10" x14ac:dyDescent="0.25">
      <c r="A5002" s="5" t="s">
        <v>5036</v>
      </c>
      <c r="B5002" s="5" t="s">
        <v>6869</v>
      </c>
      <c r="C5002" s="6" t="str">
        <f>_xll.QS.CONTEXT.CREATE("market.5000",A5002,"USD","SOFR")</f>
        <v>QSObject:PricingContext:w1~market.5000:11156</v>
      </c>
      <c r="D5002" s="6" t="str">
        <f>_xll.QS.CONTEXT.ADD.CURVE(C5002,"SOFR",$K$2:$K$7,$L$2:$L$7,,,"Actual360","LogLinear",TRUE)</f>
        <v>QSObject:ContextInput:w1~input.qs_context_add_curve.2359132437744.5001.3.0:35625</v>
      </c>
      <c r="E5002" s="6" t="str">
        <f>_xll.QS.INSTRUMENT.SWAP("swap.5000",H5002,B5002,"USD","SOFR",I5002,J5002,0,"Actual360","Simple","Annual","Annual","Annual")</f>
        <v>QSObject:Swap:w1~swap.5000:11155</v>
      </c>
      <c r="F5002" s="6" t="str">
        <f>_xll.QS.TRADE.CREATE("trade.5000",E5002,A5002,"Receive")</f>
        <v>QSObject:SwapTrade:w1~trade.5000:24976</v>
      </c>
      <c r="G5002" s="3">
        <f>_xll.QS.EVALUATE(C5002,F5002)</f>
        <v>20685.751867536186</v>
      </c>
      <c r="H5002" s="5" t="s">
        <v>5043</v>
      </c>
      <c r="I5002" s="7">
        <v>1500000</v>
      </c>
      <c r="J5002" s="8">
        <v>3.5000000000000003E-2</v>
      </c>
    </row>
    <row r="5003" spans="1:10" x14ac:dyDescent="0.25">
      <c r="A5003" s="5" t="s">
        <v>5037</v>
      </c>
      <c r="B5003" s="5" t="s">
        <v>6870</v>
      </c>
      <c r="C5003" s="6" t="str">
        <f>_xll.QS.CONTEXT.CREATE("market.5001",A5003,"USD","SOFR")</f>
        <v>QSObject:PricingContext:w1~market.5001:11154</v>
      </c>
      <c r="D5003" s="6" t="str">
        <f>_xll.QS.CONTEXT.ADD.CURVE(C5003,"SOFR",$K$2:$K$7,$L$2:$L$7,,,"Actual360","LogLinear",TRUE)</f>
        <v>QSObject:ContextInput:w1~input.qs_context_add_curve.2359132437744.5002.3.0:35624</v>
      </c>
      <c r="E5003" s="6" t="str">
        <f>_xll.QS.INSTRUMENT.SWAP("swap.5001",H5003,B5003,"USD","SOFR",I5003,J5003,0,"Actual360","Simple","Annual","Annual","Annual")</f>
        <v>QSObject:Swap:w1~swap.5001:11153</v>
      </c>
      <c r="F5003" s="6" t="str">
        <f>_xll.QS.TRADE.CREATE("trade.5001",E5003,A5003,"Receive")</f>
        <v>QSObject:SwapTrade:w1~trade.5001:26467</v>
      </c>
      <c r="G5003" s="3">
        <f>_xll.QS.EVALUATE(C5003,F5003)</f>
        <v>21387.224713227566</v>
      </c>
      <c r="H5003" s="5" t="s">
        <v>5044</v>
      </c>
      <c r="I5003" s="7">
        <v>1500100</v>
      </c>
      <c r="J5003" s="8">
        <v>3.5100000000000013E-2</v>
      </c>
    </row>
    <row r="5004" spans="1:10" x14ac:dyDescent="0.25">
      <c r="A5004" s="5" t="s">
        <v>5038</v>
      </c>
      <c r="B5004" s="5" t="s">
        <v>6871</v>
      </c>
      <c r="C5004" s="6" t="str">
        <f>_xll.QS.CONTEXT.CREATE("market.5002",A5004,"USD","SOFR")</f>
        <v>QSObject:PricingContext:w1~market.5002:11152</v>
      </c>
      <c r="D5004" s="6" t="str">
        <f>_xll.QS.CONTEXT.ADD.CURVE(C5004,"SOFR",$K$2:$K$7,$L$2:$L$7,,,"Actual360","LogLinear",TRUE)</f>
        <v>QSObject:ContextInput:w1~input.qs_context_add_curve.2359132437744.5003.3.0:35623</v>
      </c>
      <c r="E5004" s="6" t="str">
        <f>_xll.QS.INSTRUMENT.SWAP("swap.5002",H5004,B5004,"USD","SOFR",I5004,J5004,0,"Actual360","Simple","Annual","Annual","Annual")</f>
        <v>QSObject:Swap:w1~swap.5002:11151</v>
      </c>
      <c r="F5004" s="6" t="str">
        <f>_xll.QS.TRADE.CREATE("trade.5002",E5004,A5004,"Receive")</f>
        <v>QSObject:SwapTrade:w1~trade.5002:24975</v>
      </c>
      <c r="G5004" s="3">
        <f>_xll.QS.EVALUATE(C5004,F5004)</f>
        <v>22081.992792978133</v>
      </c>
      <c r="H5004" s="5" t="s">
        <v>5045</v>
      </c>
      <c r="I5004" s="7">
        <v>1500200</v>
      </c>
      <c r="J5004" s="8">
        <v>3.5200000000000002E-2</v>
      </c>
    </row>
    <row r="5005" spans="1:10" x14ac:dyDescent="0.25">
      <c r="A5005" s="5" t="s">
        <v>5039</v>
      </c>
      <c r="B5005" s="5" t="s">
        <v>6872</v>
      </c>
      <c r="C5005" s="6" t="str">
        <f>_xll.QS.CONTEXT.CREATE("market.5003",A5005,"USD","SOFR")</f>
        <v>QSObject:PricingContext:w1~market.5003:11150</v>
      </c>
      <c r="D5005" s="6" t="str">
        <f>_xll.QS.CONTEXT.ADD.CURVE(C5005,"SOFR",$K$2:$K$7,$L$2:$L$7,,,"Actual360","LogLinear",TRUE)</f>
        <v>QSObject:ContextInput:w1~input.qs_context_add_curve.2359132437744.5004.3.0:35622</v>
      </c>
      <c r="E5005" s="6" t="str">
        <f>_xll.QS.INSTRUMENT.SWAP("swap.5003",H5005,B5005,"USD","SOFR",I5005,J5005,0,"Actual360","Simple","Annual","Annual","Annual")</f>
        <v>QSObject:Swap:w1~swap.5003:11149</v>
      </c>
      <c r="F5005" s="6" t="str">
        <f>_xll.QS.TRADE.CREATE("trade.5003",E5005,A5005,"Receive")</f>
        <v>QSObject:SwapTrade:w1~trade.5003:25667</v>
      </c>
      <c r="G5005" s="3">
        <f>_xll.QS.EVALUATE(C5005,F5005)</f>
        <v>22593.994138086702</v>
      </c>
      <c r="H5005" s="5" t="s">
        <v>5046</v>
      </c>
      <c r="I5005" s="7">
        <v>1500300</v>
      </c>
      <c r="J5005" s="8">
        <v>3.5299999999999998E-2</v>
      </c>
    </row>
    <row r="5006" spans="1:10" x14ac:dyDescent="0.25">
      <c r="A5006" s="5" t="s">
        <v>5040</v>
      </c>
      <c r="B5006" s="5" t="s">
        <v>6873</v>
      </c>
      <c r="C5006" s="6" t="str">
        <f>_xll.QS.CONTEXT.CREATE("market.5004",A5006,"USD","SOFR")</f>
        <v>QSObject:PricingContext:w1~market.5004:11148</v>
      </c>
      <c r="D5006" s="6" t="str">
        <f>_xll.QS.CONTEXT.ADD.CURVE(C5006,"SOFR",$K$2:$K$7,$L$2:$L$7,,,"Actual360","LogLinear",TRUE)</f>
        <v>QSObject:ContextInput:w1~input.qs_context_add_curve.2359132437744.5005.3.0:35621</v>
      </c>
      <c r="E5006" s="6" t="str">
        <f>_xll.QS.INSTRUMENT.SWAP("swap.5004",H5006,B5006,"USD","SOFR",I5006,J5006,0,"Actual360","Simple","Annual","Annual","Annual")</f>
        <v>QSObject:Swap:w1~swap.5004:11147</v>
      </c>
      <c r="F5006" s="6" t="str">
        <f>_xll.QS.TRADE.CREATE("trade.5004",E5006,A5006,"Receive")</f>
        <v>QSObject:SwapTrade:w1~trade.5004:26968</v>
      </c>
      <c r="G5006" s="3">
        <f>_xll.QS.EVALUATE(C5006,F5006)</f>
        <v>23289.350969645595</v>
      </c>
      <c r="H5006" s="5" t="s">
        <v>5047</v>
      </c>
      <c r="I5006" s="7">
        <v>1500400</v>
      </c>
      <c r="J5006" s="8">
        <v>3.5400000000000001E-2</v>
      </c>
    </row>
    <row r="5007" spans="1:10" x14ac:dyDescent="0.25">
      <c r="A5007" s="5" t="s">
        <v>5041</v>
      </c>
      <c r="B5007" s="5" t="s">
        <v>6874</v>
      </c>
      <c r="C5007" s="6" t="str">
        <f>_xll.QS.CONTEXT.CREATE("market.5005",A5007,"USD","SOFR")</f>
        <v>QSObject:PricingContext:w1~market.5005:11146</v>
      </c>
      <c r="D5007" s="6" t="str">
        <f>_xll.QS.CONTEXT.ADD.CURVE(C5007,"SOFR",$K$2:$K$7,$L$2:$L$7,,,"Actual360","LogLinear",TRUE)</f>
        <v>QSObject:ContextInput:w1~input.qs_context_add_curve.2359132437744.5006.3.0:35620</v>
      </c>
      <c r="E5007" s="6" t="str">
        <f>_xll.QS.INSTRUMENT.SWAP("swap.5005",H5007,B5007,"USD","SOFR",I5007,J5007,0,"Actual360","Simple","Annual","Annual","Annual")</f>
        <v>QSObject:Swap:w1~swap.5005:11145</v>
      </c>
      <c r="F5007" s="6" t="str">
        <f>_xll.QS.TRADE.CREATE("trade.5005",E5007,A5007,"Receive")</f>
        <v>QSObject:SwapTrade:w1~trade.5005:25666</v>
      </c>
      <c r="G5007" s="3">
        <f>_xll.QS.EVALUATE(C5007,F5007)</f>
        <v>24044.812202325535</v>
      </c>
      <c r="H5007" s="5" t="s">
        <v>5048</v>
      </c>
      <c r="I5007" s="7">
        <v>1500500</v>
      </c>
      <c r="J5007" s="8">
        <v>3.5499999999999997E-2</v>
      </c>
    </row>
    <row r="5008" spans="1:10" x14ac:dyDescent="0.25">
      <c r="A5008" s="5" t="s">
        <v>5042</v>
      </c>
      <c r="B5008" s="5" t="s">
        <v>6875</v>
      </c>
      <c r="C5008" s="6" t="str">
        <f>_xll.QS.CONTEXT.CREATE("market.5006",A5008,"USD","SOFR")</f>
        <v>QSObject:PricingContext:w1~market.5006:11144</v>
      </c>
      <c r="D5008" s="6" t="str">
        <f>_xll.QS.CONTEXT.ADD.CURVE(C5008,"SOFR",$K$2:$K$7,$L$2:$L$7,,,"Actual360","LogLinear",TRUE)</f>
        <v>QSObject:ContextInput:w1~input.qs_context_add_curve.2359132437744.5007.3.0:35619</v>
      </c>
      <c r="E5008" s="6" t="str">
        <f>_xll.QS.INSTRUMENT.SWAP("swap.5006",H5008,B5008,"USD","SOFR",I5008,J5008,0,"Actual360","Simple","Annual","Annual","Annual")</f>
        <v>QSObject:Swap:w1~swap.5006:11143</v>
      </c>
      <c r="F5008" s="6" t="str">
        <f>_xll.QS.TRADE.CREATE("trade.5006",E5008,A5008,"Receive")</f>
        <v>QSObject:SwapTrade:w1~trade.5006:26466</v>
      </c>
      <c r="G5008" s="3">
        <f>_xll.QS.EVALUATE(C5008,F5008)</f>
        <v>24848.197599426858</v>
      </c>
      <c r="H5008" s="5" t="s">
        <v>5049</v>
      </c>
      <c r="I5008" s="7">
        <v>1500600</v>
      </c>
      <c r="J5008" s="8">
        <v>3.5600000000000007E-2</v>
      </c>
    </row>
    <row r="5009" spans="1:10" x14ac:dyDescent="0.25">
      <c r="A5009" s="5" t="s">
        <v>5043</v>
      </c>
      <c r="B5009" s="5" t="s">
        <v>6876</v>
      </c>
      <c r="C5009" s="6" t="str">
        <f>_xll.QS.CONTEXT.CREATE("market.5007",A5009,"USD","SOFR")</f>
        <v>QSObject:PricingContext:w1~market.5007:11142</v>
      </c>
      <c r="D5009" s="6" t="str">
        <f>_xll.QS.CONTEXT.ADD.CURVE(C5009,"SOFR",$K$2:$K$7,$L$2:$L$7,,,"Actual360","LogLinear",TRUE)</f>
        <v>QSObject:ContextInput:w1~input.qs_context_add_curve.2359132437744.5008.3.0:35618</v>
      </c>
      <c r="E5009" s="6" t="str">
        <f>_xll.QS.INSTRUMENT.SWAP("swap.5007",H5009,B5009,"USD","SOFR",I5009,J5009,0,"Actual360","Simple","Annual","Annual","Annual")</f>
        <v>QSObject:Swap:w1~swap.5007:11141</v>
      </c>
      <c r="F5009" s="6" t="str">
        <f>_xll.QS.TRADE.CREATE("trade.5007",E5009,A5009,"Receive")</f>
        <v>QSObject:SwapTrade:w1~trade.5007:24974</v>
      </c>
      <c r="G5009" s="3">
        <f>_xll.QS.EVALUATE(C5009,F5009)</f>
        <v>25542.025755927942</v>
      </c>
      <c r="H5009" s="5" t="s">
        <v>5050</v>
      </c>
      <c r="I5009" s="7">
        <v>1500700</v>
      </c>
      <c r="J5009" s="8">
        <v>3.5700000000000003E-2</v>
      </c>
    </row>
    <row r="5010" spans="1:10" x14ac:dyDescent="0.25">
      <c r="A5010" s="5" t="s">
        <v>5044</v>
      </c>
      <c r="B5010" s="5" t="s">
        <v>6877</v>
      </c>
      <c r="C5010" s="6" t="str">
        <f>_xll.QS.CONTEXT.CREATE("market.5008",A5010,"USD","SOFR")</f>
        <v>QSObject:PricingContext:w1~market.5008:11140</v>
      </c>
      <c r="D5010" s="6" t="str">
        <f>_xll.QS.CONTEXT.ADD.CURVE(C5010,"SOFR",$K$2:$K$7,$L$2:$L$7,,,"Actual360","LogLinear",TRUE)</f>
        <v>QSObject:ContextInput:w1~input.qs_context_add_curve.2359132437744.5009.3.0:35617</v>
      </c>
      <c r="E5010" s="6" t="str">
        <f>_xll.QS.INSTRUMENT.SWAP("swap.5008",H5010,B5010,"USD","SOFR",I5010,J5010,0,"Actual360","Simple","Annual","Annual","Annual")</f>
        <v>QSObject:Swap:w1~swap.5008:11139</v>
      </c>
      <c r="F5010" s="6" t="str">
        <f>_xll.QS.TRADE.CREATE("trade.5008",E5010,A5010,"Receive")</f>
        <v>QSObject:SwapTrade:w1~trade.5008:25665</v>
      </c>
      <c r="G5010" s="3">
        <f>_xll.QS.EVALUATE(C5010,F5010)</f>
        <v>26244.161763124124</v>
      </c>
      <c r="H5010" s="5" t="s">
        <v>5051</v>
      </c>
      <c r="I5010" s="7">
        <v>1500800</v>
      </c>
      <c r="J5010" s="8">
        <v>3.5800000000000012E-2</v>
      </c>
    </row>
    <row r="5011" spans="1:10" x14ac:dyDescent="0.25">
      <c r="A5011" s="5" t="s">
        <v>5045</v>
      </c>
      <c r="B5011" s="5" t="s">
        <v>6878</v>
      </c>
      <c r="C5011" s="6" t="str">
        <f>_xll.QS.CONTEXT.CREATE("market.5009",A5011,"USD","SOFR")</f>
        <v>QSObject:PricingContext:w1~market.5009:11138</v>
      </c>
      <c r="D5011" s="6" t="str">
        <f>_xll.QS.CONTEXT.ADD.CURVE(C5011,"SOFR",$K$2:$K$7,$L$2:$L$7,,,"Actual360","LogLinear",TRUE)</f>
        <v>QSObject:ContextInput:w1~input.qs_context_add_curve.2359132437744.5010.3.0:35616</v>
      </c>
      <c r="E5011" s="6" t="str">
        <f>_xll.QS.INSTRUMENT.SWAP("swap.5009",H5011,B5011,"USD","SOFR",I5011,J5011,0,"Actual360","Simple","Annual","Annual","Annual")</f>
        <v>QSObject:Swap:w1~swap.5009:11137</v>
      </c>
      <c r="F5011" s="6" t="str">
        <f>_xll.QS.TRADE.CREATE("trade.5009",E5011,A5011,"Receive")</f>
        <v>QSObject:SwapTrade:w1~trade.5009:25664</v>
      </c>
      <c r="G5011" s="3">
        <f>_xll.QS.EVALUATE(C5011,F5011)</f>
        <v>26939.594768617302</v>
      </c>
      <c r="H5011" s="5" t="s">
        <v>5052</v>
      </c>
      <c r="I5011" s="7">
        <v>1500900</v>
      </c>
      <c r="J5011" s="8">
        <v>3.5900000000000001E-2</v>
      </c>
    </row>
    <row r="5012" spans="1:10" x14ac:dyDescent="0.25">
      <c r="A5012" s="5" t="s">
        <v>5046</v>
      </c>
      <c r="B5012" s="5" t="s">
        <v>6879</v>
      </c>
      <c r="C5012" s="6" t="str">
        <f>_xll.QS.CONTEXT.CREATE("market.5010",A5012,"USD","SOFR")</f>
        <v>QSObject:PricingContext:w1~market.5010:11136</v>
      </c>
      <c r="D5012" s="6" t="str">
        <f>_xll.QS.CONTEXT.ADD.CURVE(C5012,"SOFR",$K$2:$K$7,$L$2:$L$7,,,"Actual360","LogLinear",TRUE)</f>
        <v>QSObject:ContextInput:w1~input.qs_context_add_curve.2359132437744.5011.3.0:35615</v>
      </c>
      <c r="E5012" s="6" t="str">
        <f>_xll.QS.INSTRUMENT.SWAP("swap.5010",H5012,B5012,"USD","SOFR",I5012,J5012,0,"Actual360","Simple","Annual","Annual","Annual")</f>
        <v>QSObject:Swap:w1~swap.5010:11135</v>
      </c>
      <c r="F5012" s="6" t="str">
        <f>_xll.QS.TRADE.CREATE("trade.5010",E5012,A5012,"Receive")</f>
        <v>QSObject:SwapTrade:w1~trade.5010:25663</v>
      </c>
      <c r="G5012" s="3">
        <f>_xll.QS.EVALUATE(C5012,F5012)</f>
        <v>27451.182236574699</v>
      </c>
      <c r="H5012" s="5" t="s">
        <v>5053</v>
      </c>
      <c r="I5012" s="7">
        <v>1501000</v>
      </c>
      <c r="J5012" s="8">
        <v>3.5999999999999997E-2</v>
      </c>
    </row>
    <row r="5013" spans="1:10" x14ac:dyDescent="0.25">
      <c r="A5013" s="5" t="s">
        <v>5047</v>
      </c>
      <c r="B5013" s="5" t="s">
        <v>6880</v>
      </c>
      <c r="C5013" s="6" t="str">
        <f>_xll.QS.CONTEXT.CREATE("market.5011",A5013,"USD","SOFR")</f>
        <v>QSObject:PricingContext:w1~market.5011:11134</v>
      </c>
      <c r="D5013" s="6" t="str">
        <f>_xll.QS.CONTEXT.ADD.CURVE(C5013,"SOFR",$K$2:$K$7,$L$2:$L$7,,,"Actual360","LogLinear",TRUE)</f>
        <v>QSObject:ContextInput:w1~input.qs_context_add_curve.2359132437744.5012.3.0:35614</v>
      </c>
      <c r="E5013" s="6" t="str">
        <f>_xll.QS.INSTRUMENT.SWAP("swap.5011",H5013,B5013,"USD","SOFR",I5013,J5013,0,"Actual360","Simple","Annual","Annual","Annual")</f>
        <v>QSObject:Swap:w1~swap.5011:11133</v>
      </c>
      <c r="F5013" s="6" t="str">
        <f>_xll.QS.TRADE.CREATE("trade.5011",E5013,A5013,"Receive")</f>
        <v>QSObject:SwapTrade:w1~trade.5011:26465</v>
      </c>
      <c r="G5013" s="3">
        <f>_xll.QS.EVALUATE(C5013,F5013)</f>
        <v>28147.592177895349</v>
      </c>
      <c r="H5013" s="5" t="s">
        <v>5054</v>
      </c>
      <c r="I5013" s="7">
        <v>1501100</v>
      </c>
      <c r="J5013" s="8">
        <v>3.61E-2</v>
      </c>
    </row>
    <row r="5014" spans="1:10" x14ac:dyDescent="0.25">
      <c r="A5014" s="5" t="s">
        <v>5048</v>
      </c>
      <c r="B5014" s="5" t="s">
        <v>6881</v>
      </c>
      <c r="C5014" s="6" t="str">
        <f>_xll.QS.CONTEXT.CREATE("market.5012",A5014,"USD","SOFR")</f>
        <v>QSObject:PricingContext:w1~market.5012:11132</v>
      </c>
      <c r="D5014" s="6" t="str">
        <f>_xll.QS.CONTEXT.ADD.CURVE(C5014,"SOFR",$K$2:$K$7,$L$2:$L$7,,,"Actual360","LogLinear",TRUE)</f>
        <v>QSObject:ContextInput:w1~input.qs_context_add_curve.2359132437744.5013.3.0:35613</v>
      </c>
      <c r="E5014" s="6" t="str">
        <f>_xll.QS.INSTRUMENT.SWAP("swap.5012",H5014,B5014,"USD","SOFR",I5014,J5014,0,"Actual360","Simple","Annual","Annual","Annual")</f>
        <v>QSObject:Swap:w1~swap.5012:11131</v>
      </c>
      <c r="F5014" s="6" t="str">
        <f>_xll.QS.TRADE.CREATE("trade.5012",E5014,A5014,"Receive")</f>
        <v>QSObject:SwapTrade:w1~trade.5012:24973</v>
      </c>
      <c r="G5014" s="3">
        <f>_xll.QS.EVALUATE(C5014,F5014)</f>
        <v>28904.355434326288</v>
      </c>
      <c r="H5014" s="5" t="s">
        <v>5055</v>
      </c>
      <c r="I5014" s="7">
        <v>1501200</v>
      </c>
      <c r="J5014" s="8">
        <v>3.6200000000000003E-2</v>
      </c>
    </row>
    <row r="5015" spans="1:10" x14ac:dyDescent="0.25">
      <c r="A5015" s="5" t="s">
        <v>5049</v>
      </c>
      <c r="B5015" s="5" t="s">
        <v>6882</v>
      </c>
      <c r="C5015" s="6" t="str">
        <f>_xll.QS.CONTEXT.CREATE("market.5013",A5015,"USD","SOFR")</f>
        <v>QSObject:PricingContext:w1~market.5013:11130</v>
      </c>
      <c r="D5015" s="6" t="str">
        <f>_xll.QS.CONTEXT.ADD.CURVE(C5015,"SOFR",$K$2:$K$7,$L$2:$L$7,,,"Actual360","LogLinear",TRUE)</f>
        <v>QSObject:ContextInput:w1~input.qs_context_add_curve.2359132437744.5014.3.0:35612</v>
      </c>
      <c r="E5015" s="6" t="str">
        <f>_xll.QS.INSTRUMENT.SWAP("swap.5013",H5015,B5015,"USD","SOFR",I5015,J5015,0,"Actual360","Simple","Annual","Annual","Annual")</f>
        <v>QSObject:Swap:w1~swap.5013:11129</v>
      </c>
      <c r="F5015" s="6" t="str">
        <f>_xll.QS.TRADE.CREATE("trade.5013",E5015,A5015,"Receive")</f>
        <v>QSObject:SwapTrade:w1~trade.5013:26967</v>
      </c>
      <c r="G5015" s="3">
        <f>_xll.QS.EVALUATE(C5015,F5015)</f>
        <v>29708.717119250461</v>
      </c>
      <c r="H5015" s="5" t="s">
        <v>5056</v>
      </c>
      <c r="I5015" s="7">
        <v>1501300</v>
      </c>
      <c r="J5015" s="8">
        <v>3.6300000000000013E-2</v>
      </c>
    </row>
    <row r="5016" spans="1:10" x14ac:dyDescent="0.25">
      <c r="A5016" s="5" t="s">
        <v>5050</v>
      </c>
      <c r="B5016" s="5" t="s">
        <v>6883</v>
      </c>
      <c r="C5016" s="6" t="str">
        <f>_xll.QS.CONTEXT.CREATE("market.5014",A5016,"USD","SOFR")</f>
        <v>QSObject:PricingContext:w1~market.5014:11128</v>
      </c>
      <c r="D5016" s="6" t="str">
        <f>_xll.QS.CONTEXT.ADD.CURVE(C5016,"SOFR",$K$2:$K$7,$L$2:$L$7,,,"Actual360","LogLinear",TRUE)</f>
        <v>QSObject:ContextInput:w1~input.qs_context_add_curve.2359132437744.5015.3.0:35611</v>
      </c>
      <c r="E5016" s="6" t="str">
        <f>_xll.QS.INSTRUMENT.SWAP("swap.5014",H5016,B5016,"USD","SOFR",I5016,J5016,0,"Actual360","Simple","Annual","Annual","Annual")</f>
        <v>QSObject:Swap:w1~swap.5014:11127</v>
      </c>
      <c r="F5016" s="6" t="str">
        <f>_xll.QS.TRADE.CREATE("trade.5014",E5016,A5016,"Receive")</f>
        <v>QSObject:SwapTrade:w1~trade.5014:25662</v>
      </c>
      <c r="G5016" s="3">
        <f>_xll.QS.EVALUATE(C5016,F5016)</f>
        <v>30402.821046833596</v>
      </c>
      <c r="H5016" s="5" t="s">
        <v>5057</v>
      </c>
      <c r="I5016" s="7">
        <v>1501400</v>
      </c>
      <c r="J5016" s="8">
        <v>3.6400000000000002E-2</v>
      </c>
    </row>
    <row r="5017" spans="1:10" x14ac:dyDescent="0.25">
      <c r="A5017" s="5" t="s">
        <v>5051</v>
      </c>
      <c r="B5017" s="5" t="s">
        <v>6884</v>
      </c>
      <c r="C5017" s="6" t="str">
        <f>_xll.QS.CONTEXT.CREATE("market.5015",A5017,"USD","SOFR")</f>
        <v>QSObject:PricingContext:w1~market.5015:11126</v>
      </c>
      <c r="D5017" s="6" t="str">
        <f>_xll.QS.CONTEXT.ADD.CURVE(C5017,"SOFR",$K$2:$K$7,$L$2:$L$7,,,"Actual360","LogLinear",TRUE)</f>
        <v>QSObject:ContextInput:w1~input.qs_context_add_curve.2359132437744.5016.3.0:35610</v>
      </c>
      <c r="E5017" s="6" t="str">
        <f>_xll.QS.INSTRUMENT.SWAP("swap.5015",H5017,B5017,"USD","SOFR",I5017,J5017,0,"Actual360","Simple","Annual","Annual","Annual")</f>
        <v>QSObject:Swap:w1~swap.5015:11125</v>
      </c>
      <c r="F5017" s="6" t="str">
        <f>_xll.QS.TRADE.CREATE("trade.5015",E5017,A5017,"Receive")</f>
        <v>QSObject:SwapTrade:w1~trade.5015:24972</v>
      </c>
      <c r="G5017" s="3">
        <f>_xll.QS.EVALUATE(C5017,F5017)</f>
        <v>31105.440889707636</v>
      </c>
      <c r="H5017" s="5" t="s">
        <v>5058</v>
      </c>
      <c r="I5017" s="7">
        <v>1501500</v>
      </c>
      <c r="J5017" s="8">
        <v>3.6499999999999998E-2</v>
      </c>
    </row>
    <row r="5018" spans="1:10" x14ac:dyDescent="0.25">
      <c r="A5018" s="5" t="s">
        <v>5052</v>
      </c>
      <c r="B5018" s="5" t="s">
        <v>6885</v>
      </c>
      <c r="C5018" s="6" t="str">
        <f>_xll.QS.CONTEXT.CREATE("market.5016",A5018,"USD","SOFR")</f>
        <v>QSObject:PricingContext:w1~market.5016:11124</v>
      </c>
      <c r="D5018" s="6" t="str">
        <f>_xll.QS.CONTEXT.ADD.CURVE(C5018,"SOFR",$K$2:$K$7,$L$2:$L$7,,,"Actual360","LogLinear",TRUE)</f>
        <v>QSObject:ContextInput:w1~input.qs_context_add_curve.2359132437744.5017.3.0:35609</v>
      </c>
      <c r="E5018" s="6" t="str">
        <f>_xll.QS.INSTRUMENT.SWAP("swap.5016",H5018,B5018,"USD","SOFR",I5018,J5018,0,"Actual360","Simple","Annual","Annual","Annual")</f>
        <v>QSObject:Swap:w1~swap.5016:11123</v>
      </c>
      <c r="F5018" s="6" t="str">
        <f>_xll.QS.TRADE.CREATE("trade.5016",E5018,A5018,"Receive")</f>
        <v>QSObject:SwapTrade:w1~trade.5016:26464</v>
      </c>
      <c r="G5018" s="3">
        <f>_xll.QS.EVALUATE(C5018,F5018)</f>
        <v>31801.382790975716</v>
      </c>
      <c r="H5018" s="5" t="s">
        <v>5059</v>
      </c>
      <c r="I5018" s="7">
        <v>1501600</v>
      </c>
      <c r="J5018" s="8">
        <v>3.6600000000000001E-2</v>
      </c>
    </row>
    <row r="5019" spans="1:10" x14ac:dyDescent="0.25">
      <c r="A5019" s="5" t="s">
        <v>5053</v>
      </c>
      <c r="B5019" s="5" t="s">
        <v>6886</v>
      </c>
      <c r="C5019" s="6" t="str">
        <f>_xll.QS.CONTEXT.CREATE("market.5017",A5019,"USD","SOFR")</f>
        <v>QSObject:PricingContext:w1~market.5017:11122</v>
      </c>
      <c r="D5019" s="6" t="str">
        <f>_xll.QS.CONTEXT.ADD.CURVE(C5019,"SOFR",$K$2:$K$7,$L$2:$L$7,,,"Actual360","LogLinear",TRUE)</f>
        <v>QSObject:ContextInput:w1~input.qs_context_add_curve.2359132437744.5018.3.0:35608</v>
      </c>
      <c r="E5019" s="6" t="str">
        <f>_xll.QS.INSTRUMENT.SWAP("swap.5017",H5019,B5019,"USD","SOFR",I5019,J5019,0,"Actual360","Simple","Annual","Annual","Annual")</f>
        <v>QSObject:Swap:w1~swap.5017:11121</v>
      </c>
      <c r="F5019" s="6" t="str">
        <f>_xll.QS.TRADE.CREATE("trade.5017",E5019,A5019,"Receive")</f>
        <v>QSObject:SwapTrade:w1~trade.5017:26966</v>
      </c>
      <c r="G5019" s="3">
        <f>_xll.QS.EVALUATE(C5019,F5019)</f>
        <v>32312.556327355109</v>
      </c>
      <c r="H5019" s="5" t="s">
        <v>5060</v>
      </c>
      <c r="I5019" s="7">
        <v>1501700</v>
      </c>
      <c r="J5019" s="8">
        <v>3.6700000000000003E-2</v>
      </c>
    </row>
    <row r="5020" spans="1:10" x14ac:dyDescent="0.25">
      <c r="A5020" s="5" t="s">
        <v>5054</v>
      </c>
      <c r="B5020" s="5" t="s">
        <v>6887</v>
      </c>
      <c r="C5020" s="6" t="str">
        <f>_xll.QS.CONTEXT.CREATE("market.5018",A5020,"USD","SOFR")</f>
        <v>QSObject:PricingContext:w1~market.5018:11120</v>
      </c>
      <c r="D5020" s="6" t="str">
        <f>_xll.QS.CONTEXT.ADD.CURVE(C5020,"SOFR",$K$2:$K$7,$L$2:$L$7,,,"Actual360","LogLinear",TRUE)</f>
        <v>QSObject:ContextInput:w1~input.qs_context_add_curve.2359132437744.5019.3.0:35607</v>
      </c>
      <c r="E5020" s="6" t="str">
        <f>_xll.QS.INSTRUMENT.SWAP("swap.5018",H5020,B5020,"USD","SOFR",I5020,J5020,0,"Actual360","Simple","Annual","Annual","Annual")</f>
        <v>QSObject:Swap:w1~swap.5018:11119</v>
      </c>
      <c r="F5020" s="6" t="str">
        <f>_xll.QS.TRADE.CREATE("trade.5018",E5020,A5020,"Receive")</f>
        <v>QSObject:SwapTrade:w1~trade.5018:24971</v>
      </c>
      <c r="G5020" s="3">
        <f>_xll.QS.EVALUATE(C5020,F5020)</f>
        <v>33010.019640881423</v>
      </c>
      <c r="H5020" s="5" t="s">
        <v>5061</v>
      </c>
      <c r="I5020" s="7">
        <v>1501800</v>
      </c>
      <c r="J5020" s="8">
        <v>3.6800000000000013E-2</v>
      </c>
    </row>
    <row r="5021" spans="1:10" x14ac:dyDescent="0.25">
      <c r="A5021" s="5" t="s">
        <v>5055</v>
      </c>
      <c r="B5021" s="5" t="s">
        <v>6888</v>
      </c>
      <c r="C5021" s="6" t="str">
        <f>_xll.QS.CONTEXT.CREATE("market.5019",A5021,"USD","SOFR")</f>
        <v>QSObject:PricingContext:w1~market.5019:11118</v>
      </c>
      <c r="D5021" s="6" t="str">
        <f>_xll.QS.CONTEXT.ADD.CURVE(C5021,"SOFR",$K$2:$K$7,$L$2:$L$7,,,"Actual360","LogLinear",TRUE)</f>
        <v>QSObject:ContextInput:w1~input.qs_context_add_curve.2359132437744.5020.3.0:35606</v>
      </c>
      <c r="E5021" s="6" t="str">
        <f>_xll.QS.INSTRUMENT.SWAP("swap.5019",H5021,B5021,"USD","SOFR",I5021,J5021,0,"Actual360","Simple","Annual","Annual","Annual")</f>
        <v>QSObject:Swap:w1~swap.5019:11117</v>
      </c>
      <c r="F5021" s="6" t="str">
        <f>_xll.QS.TRADE.CREATE("trade.5019",E5021,A5021,"Receive")</f>
        <v>QSObject:SwapTrade:w1~trade.5019:26463</v>
      </c>
      <c r="G5021" s="3">
        <f>_xll.QS.EVALUATE(C5021,F5021)</f>
        <v>33768.015035505319</v>
      </c>
      <c r="H5021" s="5" t="s">
        <v>5062</v>
      </c>
      <c r="I5021" s="7">
        <v>1501900</v>
      </c>
      <c r="J5021" s="8">
        <v>3.6900000000000002E-2</v>
      </c>
    </row>
    <row r="5022" spans="1:10" x14ac:dyDescent="0.25">
      <c r="A5022" s="5" t="s">
        <v>5056</v>
      </c>
      <c r="B5022" s="5" t="s">
        <v>6889</v>
      </c>
      <c r="C5022" s="6" t="str">
        <f>_xll.QS.CONTEXT.CREATE("market.5020",A5022,"USD","SOFR")</f>
        <v>QSObject:PricingContext:w1~market.5020:11116</v>
      </c>
      <c r="D5022" s="6" t="str">
        <f>_xll.QS.CONTEXT.ADD.CURVE(C5022,"SOFR",$K$2:$K$7,$L$2:$L$7,,,"Actual360","LogLinear",TRUE)</f>
        <v>QSObject:ContextInput:w1~input.qs_context_add_curve.2359132437744.5021.3.0:35605</v>
      </c>
      <c r="E5022" s="6" t="str">
        <f>_xll.QS.INSTRUMENT.SWAP("swap.5020",H5022,B5022,"USD","SOFR",I5022,J5022,0,"Actual360","Simple","Annual","Annual","Annual")</f>
        <v>QSObject:Swap:w1~swap.5020:11115</v>
      </c>
      <c r="F5022" s="6" t="str">
        <f>_xll.QS.TRADE.CREATE("trade.5020",E5022,A5022,"Receive")</f>
        <v>QSObject:SwapTrade:w1~trade.5020:26965</v>
      </c>
      <c r="G5022" s="3">
        <f>_xll.QS.EVALUATE(C5022,F5022)</f>
        <v>34572.867024025712</v>
      </c>
      <c r="H5022" s="5" t="s">
        <v>5063</v>
      </c>
      <c r="I5022" s="7">
        <v>1502000</v>
      </c>
      <c r="J5022" s="8">
        <v>3.7000000000000012E-2</v>
      </c>
    </row>
    <row r="5023" spans="1:10" x14ac:dyDescent="0.25">
      <c r="A5023" s="5" t="s">
        <v>5057</v>
      </c>
      <c r="B5023" s="5" t="s">
        <v>6890</v>
      </c>
      <c r="C5023" s="6" t="str">
        <f>_xll.QS.CONTEXT.CREATE("market.5021",A5023,"USD","SOFR")</f>
        <v>QSObject:PricingContext:w1~market.5021:11114</v>
      </c>
      <c r="D5023" s="6" t="str">
        <f>_xll.QS.CONTEXT.ADD.CURVE(C5023,"SOFR",$K$2:$K$7,$L$2:$L$7,,,"Actual360","LogLinear",TRUE)</f>
        <v>QSObject:ContextInput:w1~input.qs_context_add_curve.2359132437744.5022.3.0:35604</v>
      </c>
      <c r="E5023" s="6" t="str">
        <f>_xll.QS.INSTRUMENT.SWAP("swap.5021",H5023,B5023,"USD","SOFR",I5023,J5023,0,"Actual360","Simple","Annual","Annual","Annual")</f>
        <v>QSObject:Swap:w1~swap.5021:11113</v>
      </c>
      <c r="F5023" s="6" t="str">
        <f>_xll.QS.TRADE.CREATE("trade.5021",E5023,A5023,"Receive")</f>
        <v>QSObject:SwapTrade:w1~trade.5021:25661</v>
      </c>
      <c r="G5023" s="3">
        <f>_xll.QS.EVALUATE(C5023,F5023)</f>
        <v>35267.904599344874</v>
      </c>
      <c r="H5023" s="5" t="s">
        <v>5064</v>
      </c>
      <c r="I5023" s="7">
        <v>1502100</v>
      </c>
      <c r="J5023" s="8">
        <v>3.7100000000000001E-2</v>
      </c>
    </row>
    <row r="5024" spans="1:10" x14ac:dyDescent="0.25">
      <c r="A5024" s="5" t="s">
        <v>5058</v>
      </c>
      <c r="B5024" s="5" t="s">
        <v>6891</v>
      </c>
      <c r="C5024" s="6" t="str">
        <f>_xll.QS.CONTEXT.CREATE("market.5022",A5024,"USD","SOFR")</f>
        <v>QSObject:PricingContext:w1~market.5022:11112</v>
      </c>
      <c r="D5024" s="6" t="str">
        <f>_xll.QS.CONTEXT.ADD.CURVE(C5024,"SOFR",$K$2:$K$7,$L$2:$L$7,,,"Actual360","LogLinear",TRUE)</f>
        <v>QSObject:ContextInput:w1~input.qs_context_add_curve.2359132437744.5023.3.0:35603</v>
      </c>
      <c r="E5024" s="6" t="str">
        <f>_xll.QS.INSTRUMENT.SWAP("swap.5022",H5024,B5024,"USD","SOFR",I5024,J5024,0,"Actual360","Simple","Annual","Annual","Annual")</f>
        <v>QSObject:Swap:w1~swap.5022:11111</v>
      </c>
      <c r="F5024" s="6" t="str">
        <f>_xll.QS.TRADE.CREATE("trade.5022",E5024,A5024,"Receive")</f>
        <v>QSObject:SwapTrade:w1~trade.5022:25660</v>
      </c>
      <c r="G5024" s="3">
        <f>_xll.QS.EVALUATE(C5024,F5024)</f>
        <v>35971.123976827614</v>
      </c>
      <c r="H5024" s="5" t="s">
        <v>5065</v>
      </c>
      <c r="I5024" s="7">
        <v>1502200</v>
      </c>
      <c r="J5024" s="8">
        <v>3.7199999999999997E-2</v>
      </c>
    </row>
    <row r="5025" spans="1:10" x14ac:dyDescent="0.25">
      <c r="A5025" s="5" t="s">
        <v>5059</v>
      </c>
      <c r="B5025" s="5" t="s">
        <v>6892</v>
      </c>
      <c r="C5025" s="6" t="str">
        <f>_xll.QS.CONTEXT.CREATE("market.5023",A5025,"USD","SOFR")</f>
        <v>QSObject:PricingContext:w1~market.5023:11110</v>
      </c>
      <c r="D5025" s="6" t="str">
        <f>_xll.QS.CONTEXT.ADD.CURVE(C5025,"SOFR",$K$2:$K$7,$L$2:$L$7,,,"Actual360","LogLinear",TRUE)</f>
        <v>QSObject:ContextInput:w1~input.qs_context_add_curve.2359132437744.5024.3.0:35602</v>
      </c>
      <c r="E5025" s="6" t="str">
        <f>_xll.QS.INSTRUMENT.SWAP("swap.5023",H5025,B5025,"USD","SOFR",I5025,J5025,0,"Actual360","Simple","Annual","Annual","Annual")</f>
        <v>QSObject:Swap:w1~swap.5023:11109</v>
      </c>
      <c r="F5025" s="6" t="str">
        <f>_xll.QS.TRADE.CREATE("trade.5023",E5025,A5025,"Receive")</f>
        <v>QSObject:SwapTrade:w1~trade.5023:26462</v>
      </c>
      <c r="G5025" s="3">
        <f>_xll.QS.EVALUATE(C5025,F5025)</f>
        <v>36668.453576943219</v>
      </c>
      <c r="H5025" s="5" t="s">
        <v>5066</v>
      </c>
      <c r="I5025" s="7">
        <v>1502300</v>
      </c>
      <c r="J5025" s="8">
        <v>3.73E-2</v>
      </c>
    </row>
    <row r="5026" spans="1:10" x14ac:dyDescent="0.25">
      <c r="A5026" s="5" t="s">
        <v>5060</v>
      </c>
      <c r="B5026" s="5" t="s">
        <v>6893</v>
      </c>
      <c r="C5026" s="6" t="str">
        <f>_xll.QS.CONTEXT.CREATE("market.5024",A5026,"USD","SOFR")</f>
        <v>QSObject:PricingContext:w1~market.5024:11108</v>
      </c>
      <c r="D5026" s="6" t="str">
        <f>_xll.QS.CONTEXT.ADD.CURVE(C5026,"SOFR",$K$2:$K$7,$L$2:$L$7,,,"Actual360","LogLinear",TRUE)</f>
        <v>QSObject:ContextInput:w1~input.qs_context_add_curve.2359132437744.5025.3.0:35601</v>
      </c>
      <c r="E5026" s="6" t="str">
        <f>_xll.QS.INSTRUMENT.SWAP("swap.5024",H5026,B5026,"USD","SOFR",I5026,J5026,0,"Actual360","Simple","Annual","Annual","Annual")</f>
        <v>QSObject:Swap:w1~swap.5024:11107</v>
      </c>
      <c r="F5026" s="6" t="str">
        <f>_xll.QS.TRADE.CREATE("trade.5024",E5026,A5026,"Receive")</f>
        <v>QSObject:SwapTrade:w1~trade.5024:24970</v>
      </c>
      <c r="G5026" s="3">
        <f>_xll.QS.EVALUATE(C5026,F5026)</f>
        <v>37116.884630222659</v>
      </c>
      <c r="H5026" s="5" t="s">
        <v>5067</v>
      </c>
      <c r="I5026" s="7">
        <v>1502400</v>
      </c>
      <c r="J5026" s="8">
        <v>3.7400000000000003E-2</v>
      </c>
    </row>
    <row r="5027" spans="1:10" x14ac:dyDescent="0.25">
      <c r="A5027" s="5" t="s">
        <v>5061</v>
      </c>
      <c r="B5027" s="5" t="s">
        <v>6894</v>
      </c>
      <c r="C5027" s="6" t="str">
        <f>_xll.QS.CONTEXT.CREATE("market.5025",A5027,"USD","SOFR")</f>
        <v>QSObject:PricingContext:w1~market.5025:11106</v>
      </c>
      <c r="D5027" s="6" t="str">
        <f>_xll.QS.CONTEXT.ADD.CURVE(C5027,"SOFR",$K$2:$K$7,$L$2:$L$7,,,"Actual360","LogLinear",TRUE)</f>
        <v>QSObject:ContextInput:w1~input.qs_context_add_curve.2359132437744.5026.3.0:35600</v>
      </c>
      <c r="E5027" s="6" t="str">
        <f>_xll.QS.INSTRUMENT.SWAP("swap.5025",H5027,B5027,"USD","SOFR",I5027,J5027,0,"Actual360","Simple","Annual","Annual","Annual")</f>
        <v>QSObject:Swap:w1~swap.5025:11105</v>
      </c>
      <c r="F5027" s="6" t="str">
        <f>_xll.QS.TRADE.CREATE("trade.5025",E5027,A5027,"Receive")</f>
        <v>QSObject:SwapTrade:w1~trade.5025:26964</v>
      </c>
      <c r="G5027" s="3">
        <f>_xll.QS.EVALUATE(C5027,F5027)</f>
        <v>37815.271647780872</v>
      </c>
      <c r="H5027" s="5" t="s">
        <v>5068</v>
      </c>
      <c r="I5027" s="7">
        <v>1502500</v>
      </c>
      <c r="J5027" s="8">
        <v>3.7500000000000012E-2</v>
      </c>
    </row>
    <row r="5028" spans="1:10" x14ac:dyDescent="0.25">
      <c r="A5028" s="5" t="s">
        <v>5062</v>
      </c>
      <c r="B5028" s="5" t="s">
        <v>6895</v>
      </c>
      <c r="C5028" s="6" t="str">
        <f>_xll.QS.CONTEXT.CREATE("market.5026",A5028,"USD","SOFR")</f>
        <v>QSObject:PricingContext:w1~market.5026:11104</v>
      </c>
      <c r="D5028" s="6" t="str">
        <f>_xll.QS.CONTEXT.ADD.CURVE(C5028,"SOFR",$K$2:$K$7,$L$2:$L$7,,,"Actual360","LogLinear",TRUE)</f>
        <v>QSObject:ContextInput:w1~input.qs_context_add_curve.2359132437744.5027.3.0:35599</v>
      </c>
      <c r="E5028" s="6" t="str">
        <f>_xll.QS.INSTRUMENT.SWAP("swap.5026",H5028,B5028,"USD","SOFR",I5028,J5028,0,"Actual360","Simple","Annual","Annual","Annual")</f>
        <v>QSObject:Swap:w1~swap.5026:11103</v>
      </c>
      <c r="F5028" s="6" t="str">
        <f>_xll.QS.TRADE.CREATE("trade.5026",E5028,A5028,"Receive")</f>
        <v>QSObject:SwapTrade:w1~trade.5026:26461</v>
      </c>
      <c r="G5028" s="3">
        <f>_xll.QS.EVALUATE(C5028,F5028)</f>
        <v>38574.54127087925</v>
      </c>
      <c r="H5028" s="5" t="s">
        <v>5069</v>
      </c>
      <c r="I5028" s="7">
        <v>1502600</v>
      </c>
      <c r="J5028" s="8">
        <v>3.7600000000000001E-2</v>
      </c>
    </row>
    <row r="5029" spans="1:10" x14ac:dyDescent="0.25">
      <c r="A5029" s="5" t="s">
        <v>5063</v>
      </c>
      <c r="B5029" s="5" t="s">
        <v>6896</v>
      </c>
      <c r="C5029" s="6" t="str">
        <f>_xll.QS.CONTEXT.CREATE("market.5027",A5029,"USD","SOFR")</f>
        <v>QSObject:PricingContext:w1~market.5027:11102</v>
      </c>
      <c r="D5029" s="6" t="str">
        <f>_xll.QS.CONTEXT.ADD.CURVE(C5029,"SOFR",$K$2:$K$7,$L$2:$L$7,,,"Actual360","LogLinear",TRUE)</f>
        <v>QSObject:ContextInput:w1~input.qs_context_add_curve.2359132437744.5028.3.0:35598</v>
      </c>
      <c r="E5029" s="6" t="str">
        <f>_xll.QS.INSTRUMENT.SWAP("swap.5027",H5029,B5029,"USD","SOFR",I5029,J5029,0,"Actual360","Simple","Annual","Annual","Annual")</f>
        <v>QSObject:Swap:w1~swap.5027:11101</v>
      </c>
      <c r="F5029" s="6" t="str">
        <f>_xll.QS.TRADE.CREATE("trade.5027",E5029,A5029,"Receive")</f>
        <v>QSObject:SwapTrade:w1~trade.5027:24969</v>
      </c>
      <c r="G5029" s="3">
        <f>_xll.QS.EVALUATE(C5029,F5029)</f>
        <v>39497.978750547845</v>
      </c>
      <c r="H5029" s="5" t="s">
        <v>5070</v>
      </c>
      <c r="I5029" s="7">
        <v>1502700</v>
      </c>
      <c r="J5029" s="8">
        <v>3.7699999999999997E-2</v>
      </c>
    </row>
    <row r="5030" spans="1:10" x14ac:dyDescent="0.25">
      <c r="A5030" s="5" t="s">
        <v>5064</v>
      </c>
      <c r="B5030" s="5" t="s">
        <v>6897</v>
      </c>
      <c r="C5030" s="6" t="str">
        <f>_xll.QS.CONTEXT.CREATE("market.5028",A5030,"USD","SOFR")</f>
        <v>QSObject:PricingContext:w1~market.5028:11100</v>
      </c>
      <c r="D5030" s="6" t="str">
        <f>_xll.QS.CONTEXT.ADD.CURVE(C5030,"SOFR",$K$2:$K$7,$L$2:$L$7,,,"Actual360","LogLinear",TRUE)</f>
        <v>QSObject:ContextInput:w1~input.qs_context_add_curve.2359132437744.5029.3.0:35597</v>
      </c>
      <c r="E5030" s="6" t="str">
        <f>_xll.QS.INSTRUMENT.SWAP("swap.5028",H5030,B5030,"USD","SOFR",I5030,J5030,0,"Actual360","Simple","Annual","Annual","Annual")</f>
        <v>QSObject:Swap:w1~swap.5028:11099</v>
      </c>
      <c r="F5030" s="6" t="str">
        <f>_xll.QS.TRADE.CREATE("trade.5028",E5030,A5030,"Receive")</f>
        <v>QSObject:SwapTrade:w1~trade.5028:25659</v>
      </c>
      <c r="G5030" s="3">
        <f>_xll.QS.EVALUATE(C5030,F5030)</f>
        <v>40193.659391835317</v>
      </c>
      <c r="H5030" s="5" t="s">
        <v>5071</v>
      </c>
      <c r="I5030" s="7">
        <v>1502800</v>
      </c>
      <c r="J5030" s="8">
        <v>3.78E-2</v>
      </c>
    </row>
    <row r="5031" spans="1:10" x14ac:dyDescent="0.25">
      <c r="A5031" s="5" t="s">
        <v>5065</v>
      </c>
      <c r="B5031" s="5" t="s">
        <v>6898</v>
      </c>
      <c r="C5031" s="6" t="str">
        <f>_xll.QS.CONTEXT.CREATE("market.5029",A5031,"USD","SOFR")</f>
        <v>QSObject:PricingContext:w1~market.5029:11098</v>
      </c>
      <c r="D5031" s="6" t="str">
        <f>_xll.QS.CONTEXT.ADD.CURVE(C5031,"SOFR",$K$2:$K$7,$L$2:$L$7,,,"Actual360","LogLinear",TRUE)</f>
        <v>QSObject:ContextInput:w1~input.qs_context_add_curve.2359132437744.5030.3.0:35596</v>
      </c>
      <c r="E5031" s="6" t="str">
        <f>_xll.QS.INSTRUMENT.SWAP("swap.5029",H5031,B5031,"USD","SOFR",I5031,J5031,0,"Actual360","Simple","Annual","Annual","Annual")</f>
        <v>QSObject:Swap:w1~swap.5029:11097</v>
      </c>
      <c r="F5031" s="6" t="str">
        <f>_xll.QS.TRADE.CREATE("trade.5029",E5031,A5031,"Receive")</f>
        <v>QSObject:SwapTrade:w1~trade.5029:26963</v>
      </c>
      <c r="G5031" s="3">
        <f>_xll.QS.EVALUATE(C5031,F5031)</f>
        <v>40902.904258059702</v>
      </c>
      <c r="H5031" s="5" t="s">
        <v>5072</v>
      </c>
      <c r="I5031" s="7">
        <v>1502900</v>
      </c>
      <c r="J5031" s="8">
        <v>3.7900000000000003E-2</v>
      </c>
    </row>
    <row r="5032" spans="1:10" x14ac:dyDescent="0.25">
      <c r="A5032" s="5" t="s">
        <v>5066</v>
      </c>
      <c r="B5032" s="5" t="s">
        <v>6899</v>
      </c>
      <c r="C5032" s="6" t="str">
        <f>_xll.QS.CONTEXT.CREATE("market.5030",A5032,"USD","SOFR")</f>
        <v>QSObject:PricingContext:w1~market.5030:11096</v>
      </c>
      <c r="D5032" s="6" t="str">
        <f>_xll.QS.CONTEXT.ADD.CURVE(C5032,"SOFR",$K$2:$K$7,$L$2:$L$7,,,"Actual360","LogLinear",TRUE)</f>
        <v>QSObject:ContextInput:w1~input.qs_context_add_curve.2359132437744.5031.3.0:35595</v>
      </c>
      <c r="E5032" s="6" t="str">
        <f>_xll.QS.INSTRUMENT.SWAP("swap.5030",H5032,B5032,"USD","SOFR",I5032,J5032,0,"Actual360","Simple","Annual","Annual","Annual")</f>
        <v>QSObject:Swap:w1~swap.5030:11095</v>
      </c>
      <c r="F5032" s="6" t="str">
        <f>_xll.QS.TRADE.CREATE("trade.5030",E5032,A5032,"Receive")</f>
        <v>QSObject:SwapTrade:w1~trade.5030:25658</v>
      </c>
      <c r="G5032" s="3">
        <f>_xll.QS.EVALUATE(C5032,F5032)</f>
        <v>41599.776156823216</v>
      </c>
      <c r="H5032" s="5" t="s">
        <v>5073</v>
      </c>
      <c r="I5032" s="7">
        <v>1503000</v>
      </c>
      <c r="J5032" s="8">
        <v>3.8000000000000013E-2</v>
      </c>
    </row>
    <row r="5033" spans="1:10" x14ac:dyDescent="0.25">
      <c r="A5033" s="5" t="s">
        <v>5067</v>
      </c>
      <c r="B5033" s="5" t="s">
        <v>6900</v>
      </c>
      <c r="C5033" s="6" t="str">
        <f>_xll.QS.CONTEXT.CREATE("market.5031",A5033,"USD","SOFR")</f>
        <v>QSObject:PricingContext:w1~market.5031:11094</v>
      </c>
      <c r="D5033" s="6" t="str">
        <f>_xll.QS.CONTEXT.ADD.CURVE(C5033,"SOFR",$K$2:$K$7,$L$2:$L$7,,,"Actual360","LogLinear",TRUE)</f>
        <v>QSObject:ContextInput:w1~input.qs_context_add_curve.2359132437744.5032.3.0:35594</v>
      </c>
      <c r="E5033" s="6" t="str">
        <f>_xll.QS.INSTRUMENT.SWAP("swap.5031",H5033,B5033,"USD","SOFR",I5033,J5033,0,"Actual360","Simple","Annual","Annual","Annual")</f>
        <v>QSObject:Swap:w1~swap.5031:11093</v>
      </c>
      <c r="F5033" s="6" t="str">
        <f>_xll.QS.TRADE.CREATE("trade.5031",E5033,A5033,"Receive")</f>
        <v>QSObject:SwapTrade:w1~trade.5031:26962</v>
      </c>
      <c r="G5033" s="3">
        <f>_xll.QS.EVALUATE(C5033,F5033)</f>
        <v>42110.123166830825</v>
      </c>
      <c r="H5033" s="5" t="s">
        <v>5074</v>
      </c>
      <c r="I5033" s="7">
        <v>1503100</v>
      </c>
      <c r="J5033" s="8">
        <v>3.8100000000000002E-2</v>
      </c>
    </row>
    <row r="5034" spans="1:10" x14ac:dyDescent="0.25">
      <c r="A5034" s="5" t="s">
        <v>5068</v>
      </c>
      <c r="B5034" s="5" t="s">
        <v>6901</v>
      </c>
      <c r="C5034" s="6" t="str">
        <f>_xll.QS.CONTEXT.CREATE("market.5032",A5034,"USD","SOFR")</f>
        <v>QSObject:PricingContext:w1~market.5032:11092</v>
      </c>
      <c r="D5034" s="6" t="str">
        <f>_xll.QS.CONTEXT.ADD.CURVE(C5034,"SOFR",$K$2:$K$7,$L$2:$L$7,,,"Actual360","LogLinear",TRUE)</f>
        <v>QSObject:ContextInput:w1~input.qs_context_add_curve.2359132437744.5033.3.0:35593</v>
      </c>
      <c r="E5034" s="6" t="str">
        <f>_xll.QS.INSTRUMENT.SWAP("swap.5032",H5034,B5034,"USD","SOFR",I5034,J5034,0,"Actual360","Simple","Annual","Annual","Annual")</f>
        <v>QSObject:Swap:w1~swap.5032:11091</v>
      </c>
      <c r="F5034" s="6" t="str">
        <f>_xll.QS.TRADE.CREATE("trade.5032",E5034,A5034,"Receive")</f>
        <v>QSObject:SwapTrade:w1~trade.5032:24968</v>
      </c>
      <c r="G5034" s="3">
        <f>_xll.QS.EVALUATE(C5034,F5034)</f>
        <v>42809.864448838845</v>
      </c>
      <c r="H5034" s="5" t="s">
        <v>5075</v>
      </c>
      <c r="I5034" s="7">
        <v>1503200</v>
      </c>
      <c r="J5034" s="8">
        <v>3.8199999999999998E-2</v>
      </c>
    </row>
    <row r="5035" spans="1:10" x14ac:dyDescent="0.25">
      <c r="A5035" s="5" t="s">
        <v>5069</v>
      </c>
      <c r="B5035" s="5" t="s">
        <v>6902</v>
      </c>
      <c r="C5035" s="6" t="str">
        <f>_xll.QS.CONTEXT.CREATE("market.5033",A5035,"USD","SOFR")</f>
        <v>QSObject:PricingContext:w1~market.5033:11090</v>
      </c>
      <c r="D5035" s="6" t="str">
        <f>_xll.QS.CONTEXT.ADD.CURVE(C5035,"SOFR",$K$2:$K$7,$L$2:$L$7,,,"Actual360","LogLinear",TRUE)</f>
        <v>QSObject:ContextInput:w1~input.qs_context_add_curve.2359132437744.5034.3.0:35592</v>
      </c>
      <c r="E5035" s="6" t="str">
        <f>_xll.QS.INSTRUMENT.SWAP("swap.5033",H5035,B5035,"USD","SOFR",I5035,J5035,0,"Actual360","Simple","Annual","Annual","Annual")</f>
        <v>QSObject:Swap:w1~swap.5033:11089</v>
      </c>
      <c r="F5035" s="6" t="str">
        <f>_xll.QS.TRADE.CREATE("trade.5033",E5035,A5035,"Receive")</f>
        <v>QSObject:SwapTrade:w1~trade.5033:26460</v>
      </c>
      <c r="G5035" s="3">
        <f>_xll.QS.EVALUATE(C5035,F5035)</f>
        <v>43509.500585168709</v>
      </c>
      <c r="H5035" s="5" t="s">
        <v>5076</v>
      </c>
      <c r="I5035" s="7">
        <v>1503300</v>
      </c>
      <c r="J5035" s="8">
        <v>3.8300000000000001E-2</v>
      </c>
    </row>
    <row r="5036" spans="1:10" x14ac:dyDescent="0.25">
      <c r="A5036" s="5" t="s">
        <v>5070</v>
      </c>
      <c r="B5036" s="5" t="s">
        <v>6903</v>
      </c>
      <c r="C5036" s="6" t="str">
        <f>_xll.QS.CONTEXT.CREATE("market.5034",A5036,"USD","SOFR")</f>
        <v>QSObject:PricingContext:w1~market.5034:11088</v>
      </c>
      <c r="D5036" s="6" t="str">
        <f>_xll.QS.CONTEXT.ADD.CURVE(C5036,"SOFR",$K$2:$K$7,$L$2:$L$7,,,"Actual360","LogLinear",TRUE)</f>
        <v>QSObject:ContextInput:w1~input.qs_context_add_curve.2359132437744.5035.3.0:35591</v>
      </c>
      <c r="E5036" s="6" t="str">
        <f>_xll.QS.INSTRUMENT.SWAP("swap.5034",H5036,B5036,"USD","SOFR",I5036,J5036,0,"Actual360","Simple","Annual","Annual","Annual")</f>
        <v>QSObject:Swap:w1~swap.5034:11087</v>
      </c>
      <c r="F5036" s="6" t="str">
        <f>_xll.QS.TRADE.CREATE("trade.5034",E5036,A5036,"Receive")</f>
        <v>QSObject:SwapTrade:w1~trade.5034:26961</v>
      </c>
      <c r="G5036" s="3">
        <f>_xll.QS.EVALUATE(C5036,F5036)</f>
        <v>44315.962165310011</v>
      </c>
      <c r="H5036" s="5" t="s">
        <v>5077</v>
      </c>
      <c r="I5036" s="7">
        <v>1503400</v>
      </c>
      <c r="J5036" s="8">
        <v>3.8399999999999997E-2</v>
      </c>
    </row>
    <row r="5037" spans="1:10" x14ac:dyDescent="0.25">
      <c r="A5037" s="5" t="s">
        <v>5071</v>
      </c>
      <c r="B5037" s="5" t="s">
        <v>6904</v>
      </c>
      <c r="C5037" s="6" t="str">
        <f>_xll.QS.CONTEXT.CREATE("market.5035",A5037,"USD","SOFR")</f>
        <v>QSObject:PricingContext:w1~market.5035:11086</v>
      </c>
      <c r="D5037" s="6" t="str">
        <f>_xll.QS.CONTEXT.ADD.CURVE(C5037,"SOFR",$K$2:$K$7,$L$2:$L$7,,,"Actual360","LogLinear",TRUE)</f>
        <v>QSObject:ContextInput:w1~input.qs_context_add_curve.2359132437744.5036.3.0:35590</v>
      </c>
      <c r="E5037" s="6" t="str">
        <f>_xll.QS.INSTRUMENT.SWAP("swap.5035",H5037,B5037,"USD","SOFR",I5037,J5037,0,"Actual360","Simple","Annual","Annual","Annual")</f>
        <v>QSObject:Swap:w1~swap.5035:11085</v>
      </c>
      <c r="F5037" s="6" t="str">
        <f>_xll.QS.TRADE.CREATE("trade.5035",E5037,A5037,"Receive")</f>
        <v>QSObject:SwapTrade:w1~trade.5035:24967</v>
      </c>
      <c r="G5037" s="3">
        <f>_xll.QS.EVALUATE(C5037,F5037)</f>
        <v>45012.335334633528</v>
      </c>
      <c r="H5037" s="5" t="s">
        <v>5078</v>
      </c>
      <c r="I5037" s="7">
        <v>1503500</v>
      </c>
      <c r="J5037" s="8">
        <v>3.8500000000000013E-2</v>
      </c>
    </row>
    <row r="5038" spans="1:10" x14ac:dyDescent="0.25">
      <c r="A5038" s="5" t="s">
        <v>5072</v>
      </c>
      <c r="B5038" s="5" t="s">
        <v>6905</v>
      </c>
      <c r="C5038" s="6" t="str">
        <f>_xll.QS.CONTEXT.CREATE("market.5036",A5038,"USD","SOFR")</f>
        <v>QSObject:PricingContext:w1~market.5036:11084</v>
      </c>
      <c r="D5038" s="6" t="str">
        <f>_xll.QS.CONTEXT.ADD.CURVE(C5038,"SOFR",$K$2:$K$7,$L$2:$L$7,,,"Actual360","LogLinear",TRUE)</f>
        <v>QSObject:ContextInput:w1~input.qs_context_add_curve.2359132437744.5037.3.0:35589</v>
      </c>
      <c r="E5038" s="6" t="str">
        <f>_xll.QS.INSTRUMENT.SWAP("swap.5036",H5038,B5038,"USD","SOFR",I5038,J5038,0,"Actual360","Simple","Annual","Annual","Annual")</f>
        <v>QSObject:Swap:w1~swap.5036:11083</v>
      </c>
      <c r="F5038" s="6" t="str">
        <f>_xll.QS.TRADE.CREATE("trade.5036",E5038,A5038,"Receive")</f>
        <v>QSObject:SwapTrade:w1~trade.5036:26459</v>
      </c>
      <c r="G5038" s="3">
        <f>_xll.QS.EVALUATE(C5038,F5038)</f>
        <v>45717.124113925893</v>
      </c>
      <c r="H5038" s="5" t="s">
        <v>5079</v>
      </c>
      <c r="I5038" s="7">
        <v>1503600</v>
      </c>
      <c r="J5038" s="8">
        <v>3.8600000000000002E-2</v>
      </c>
    </row>
    <row r="5039" spans="1:10" x14ac:dyDescent="0.25">
      <c r="A5039" s="5" t="s">
        <v>5073</v>
      </c>
      <c r="B5039" s="5" t="s">
        <v>6906</v>
      </c>
      <c r="C5039" s="6" t="str">
        <f>_xll.QS.CONTEXT.CREATE("market.5037",A5039,"USD","SOFR")</f>
        <v>QSObject:PricingContext:w1~market.5037:11082</v>
      </c>
      <c r="D5039" s="6" t="str">
        <f>_xll.QS.CONTEXT.ADD.CURVE(C5039,"SOFR",$K$2:$K$7,$L$2:$L$7,,,"Actual360","LogLinear",TRUE)</f>
        <v>QSObject:ContextInput:w1~input.qs_context_add_curve.2359132437744.5038.3.0:35588</v>
      </c>
      <c r="E5039" s="6" t="str">
        <f>_xll.QS.INSTRUMENT.SWAP("swap.5037",H5039,B5039,"USD","SOFR",I5039,J5039,0,"Actual360","Simple","Annual","Annual","Annual")</f>
        <v>QSObject:Swap:w1~swap.5037:11081</v>
      </c>
      <c r="F5039" s="6" t="str">
        <f>_xll.QS.TRADE.CREATE("trade.5037",E5039,A5039,"Receive")</f>
        <v>QSObject:SwapTrade:w1~trade.5037:25657</v>
      </c>
      <c r="G5039" s="3">
        <f>_xll.QS.EVALUATE(C5039,F5039)</f>
        <v>46415.21699449532</v>
      </c>
      <c r="H5039" s="5" t="s">
        <v>5080</v>
      </c>
      <c r="I5039" s="7">
        <v>1503700</v>
      </c>
      <c r="J5039" s="8">
        <v>3.8700000000000012E-2</v>
      </c>
    </row>
    <row r="5040" spans="1:10" x14ac:dyDescent="0.25">
      <c r="A5040" s="5" t="s">
        <v>5074</v>
      </c>
      <c r="B5040" s="5" t="s">
        <v>6907</v>
      </c>
      <c r="C5040" s="6" t="str">
        <f>_xll.QS.CONTEXT.CREATE("market.5038",A5040,"USD","SOFR")</f>
        <v>QSObject:PricingContext:w1~market.5038:11080</v>
      </c>
      <c r="D5040" s="6" t="str">
        <f>_xll.QS.CONTEXT.ADD.CURVE(C5040,"SOFR",$K$2:$K$7,$L$2:$L$7,,,"Actual360","LogLinear",TRUE)</f>
        <v>QSObject:ContextInput:w1~input.qs_context_add_curve.2359132437744.5039.3.0:35587</v>
      </c>
      <c r="E5040" s="6" t="str">
        <f>_xll.QS.INSTRUMENT.SWAP("swap.5038",H5040,B5040,"USD","SOFR",I5040,J5040,0,"Actual360","Simple","Annual","Annual","Annual")</f>
        <v>QSObject:Swap:w1~swap.5038:11079</v>
      </c>
      <c r="F5040" s="6" t="str">
        <f>_xll.QS.TRADE.CREATE("trade.5038",E5040,A5040,"Receive")</f>
        <v>QSObject:SwapTrade:w1~trade.5038:26960</v>
      </c>
      <c r="G5040" s="3">
        <f>_xll.QS.EVALUATE(C5040,F5040)</f>
        <v>46925.139859574687</v>
      </c>
      <c r="H5040" s="5" t="s">
        <v>5081</v>
      </c>
      <c r="I5040" s="7">
        <v>1503800</v>
      </c>
      <c r="J5040" s="8">
        <v>3.8800000000000001E-2</v>
      </c>
    </row>
    <row r="5041" spans="1:10" x14ac:dyDescent="0.25">
      <c r="A5041" s="5" t="s">
        <v>5075</v>
      </c>
      <c r="B5041" s="5" t="s">
        <v>6908</v>
      </c>
      <c r="C5041" s="6" t="str">
        <f>_xll.QS.CONTEXT.CREATE("market.5039",A5041,"USD","SOFR")</f>
        <v>QSObject:PricingContext:w1~market.5039:11078</v>
      </c>
      <c r="D5041" s="6" t="str">
        <f>_xll.QS.CONTEXT.ADD.CURVE(C5041,"SOFR",$K$2:$K$7,$L$2:$L$7,,,"Actual360","LogLinear",TRUE)</f>
        <v>QSObject:ContextInput:w1~input.qs_context_add_curve.2359132437744.5040.3.0:35586</v>
      </c>
      <c r="E5041" s="6" t="str">
        <f>_xll.QS.INSTRUMENT.SWAP("swap.5039",H5041,B5041,"USD","SOFR",I5041,J5041,0,"Actual360","Simple","Annual","Annual","Annual")</f>
        <v>QSObject:Swap:w1~swap.5039:11077</v>
      </c>
      <c r="F5041" s="6" t="str">
        <f>_xll.QS.TRADE.CREATE("trade.5039",E5041,A5041,"Receive")</f>
        <v>QSObject:SwapTrade:w1~trade.5039:25656</v>
      </c>
      <c r="G5041" s="3">
        <f>_xll.QS.EVALUATE(C5041,F5041)</f>
        <v>47625.766031204352</v>
      </c>
      <c r="H5041" s="5" t="s">
        <v>5082</v>
      </c>
      <c r="I5041" s="7">
        <v>1503900</v>
      </c>
      <c r="J5041" s="8">
        <v>3.8899999999999997E-2</v>
      </c>
    </row>
    <row r="5042" spans="1:10" x14ac:dyDescent="0.25">
      <c r="A5042" s="5" t="s">
        <v>5076</v>
      </c>
      <c r="B5042" s="5" t="s">
        <v>6909</v>
      </c>
      <c r="C5042" s="6" t="str">
        <f>_xll.QS.CONTEXT.CREATE("market.5040",A5042,"USD","SOFR")</f>
        <v>QSObject:PricingContext:w1~market.5040:11076</v>
      </c>
      <c r="D5042" s="6" t="str">
        <f>_xll.QS.CONTEXT.ADD.CURVE(C5042,"SOFR",$K$2:$K$7,$L$2:$L$7,,,"Actual360","LogLinear",TRUE)</f>
        <v>QSObject:ContextInput:w1~input.qs_context_add_curve.2359132437744.5041.3.0:35585</v>
      </c>
      <c r="E5042" s="6" t="str">
        <f>_xll.QS.INSTRUMENT.SWAP("swap.5040",H5042,B5042,"USD","SOFR",I5042,J5042,0,"Actual360","Simple","Annual","Annual","Annual")</f>
        <v>QSObject:Swap:w1~swap.5040:11075</v>
      </c>
      <c r="F5042" s="6" t="str">
        <f>_xll.QS.TRADE.CREATE("trade.5040",E5042,A5042,"Receive")</f>
        <v>QSObject:SwapTrade:w1~trade.5040:24966</v>
      </c>
      <c r="G5042" s="3">
        <f>_xll.QS.EVALUATE(C5042,F5042)</f>
        <v>48386.976041638351</v>
      </c>
      <c r="H5042" s="5" t="s">
        <v>5083</v>
      </c>
      <c r="I5042" s="7">
        <v>1504000</v>
      </c>
      <c r="J5042" s="8">
        <v>3.9000000000000007E-2</v>
      </c>
    </row>
    <row r="5043" spans="1:10" x14ac:dyDescent="0.25">
      <c r="A5043" s="5" t="s">
        <v>5077</v>
      </c>
      <c r="B5043" s="5" t="s">
        <v>6910</v>
      </c>
      <c r="C5043" s="6" t="str">
        <f>_xll.QS.CONTEXT.CREATE("market.5041",A5043,"USD","SOFR")</f>
        <v>QSObject:PricingContext:w1~market.5041:11074</v>
      </c>
      <c r="D5043" s="6" t="str">
        <f>_xll.QS.CONTEXT.ADD.CURVE(C5043,"SOFR",$K$2:$K$7,$L$2:$L$7,,,"Actual360","LogLinear",TRUE)</f>
        <v>QSObject:ContextInput:w1~input.qs_context_add_curve.2359132437744.5042.3.0:35584</v>
      </c>
      <c r="E5043" s="6" t="str">
        <f>_xll.QS.INSTRUMENT.SWAP("swap.5041",H5043,B5043,"USD","SOFR",I5043,J5043,0,"Actual360","Simple","Annual","Annual","Annual")</f>
        <v>QSObject:Swap:w1~swap.5041:11073</v>
      </c>
      <c r="F5043" s="6" t="str">
        <f>_xll.QS.TRADE.CREATE("trade.5041",E5043,A5043,"Receive")</f>
        <v>QSObject:SwapTrade:w1~trade.5041:26458</v>
      </c>
      <c r="G5043" s="3">
        <f>_xll.QS.EVALUATE(C5043,F5043)</f>
        <v>49194.206835338533</v>
      </c>
      <c r="H5043" s="5" t="s">
        <v>5084</v>
      </c>
      <c r="I5043" s="7">
        <v>1504100</v>
      </c>
      <c r="J5043" s="8">
        <v>3.9100000000000003E-2</v>
      </c>
    </row>
    <row r="5044" spans="1:10" x14ac:dyDescent="0.25">
      <c r="A5044" s="5" t="s">
        <v>5078</v>
      </c>
      <c r="B5044" s="5" t="s">
        <v>6911</v>
      </c>
      <c r="C5044" s="6" t="str">
        <f>_xll.QS.CONTEXT.CREATE("market.5042",A5044,"USD","SOFR")</f>
        <v>QSObject:PricingContext:w1~market.5042:11072</v>
      </c>
      <c r="D5044" s="6" t="str">
        <f>_xll.QS.CONTEXT.ADD.CURVE(C5044,"SOFR",$K$2:$K$7,$L$2:$L$7,,,"Actual360","LogLinear",TRUE)</f>
        <v>QSObject:ContextInput:w1~input.qs_context_add_curve.2359132437744.5043.3.0:35583</v>
      </c>
      <c r="E5044" s="6" t="str">
        <f>_xll.QS.INSTRUMENT.SWAP("swap.5042",H5044,B5044,"USD","SOFR",I5044,J5044,0,"Actual360","Simple","Annual","Annual","Annual")</f>
        <v>QSObject:Swap:w1~swap.5042:11071</v>
      </c>
      <c r="F5044" s="6" t="str">
        <f>_xll.QS.TRADE.CREATE("trade.5042",E5044,A5044,"Receive")</f>
        <v>QSObject:SwapTrade:w1~trade.5042:26959</v>
      </c>
      <c r="G5044" s="3">
        <f>_xll.QS.EVALUATE(C5044,F5044)</f>
        <v>49891.216235594533</v>
      </c>
      <c r="H5044" s="5" t="s">
        <v>5085</v>
      </c>
      <c r="I5044" s="7">
        <v>1504200</v>
      </c>
      <c r="J5044" s="8">
        <v>3.9200000000000013E-2</v>
      </c>
    </row>
    <row r="5045" spans="1:10" x14ac:dyDescent="0.25">
      <c r="A5045" s="5" t="s">
        <v>5079</v>
      </c>
      <c r="B5045" s="5" t="s">
        <v>6912</v>
      </c>
      <c r="C5045" s="6" t="str">
        <f>_xll.QS.CONTEXT.CREATE("market.5043",A5045,"USD","SOFR")</f>
        <v>QSObject:PricingContext:w1~market.5043:11070</v>
      </c>
      <c r="D5045" s="6" t="str">
        <f>_xll.QS.CONTEXT.ADD.CURVE(C5045,"SOFR",$K$2:$K$7,$L$2:$L$7,,,"Actual360","LogLinear",TRUE)</f>
        <v>QSObject:ContextInput:w1~input.qs_context_add_curve.2359132437744.5044.3.0:35582</v>
      </c>
      <c r="E5045" s="6" t="str">
        <f>_xll.QS.INSTRUMENT.SWAP("swap.5043",H5045,B5045,"USD","SOFR",I5045,J5045,0,"Actual360","Simple","Annual","Annual","Annual")</f>
        <v>QSObject:Swap:w1~swap.5043:11069</v>
      </c>
      <c r="F5045" s="6" t="str">
        <f>_xll.QS.TRADE.CREATE("trade.5043",E5045,A5045,"Receive")</f>
        <v>QSObject:SwapTrade:w1~trade.5043:24965</v>
      </c>
      <c r="G5045" s="3">
        <f>_xll.QS.EVALUATE(C5045,F5045)</f>
        <v>50596.96765683296</v>
      </c>
      <c r="H5045" s="5" t="s">
        <v>5086</v>
      </c>
      <c r="I5045" s="7">
        <v>1504300</v>
      </c>
      <c r="J5045" s="8">
        <v>3.9300000000000002E-2</v>
      </c>
    </row>
    <row r="5046" spans="1:10" x14ac:dyDescent="0.25">
      <c r="A5046" s="5" t="s">
        <v>5080</v>
      </c>
      <c r="B5046" s="5" t="s">
        <v>6913</v>
      </c>
      <c r="C5046" s="6" t="str">
        <f>_xll.QS.CONTEXT.CREATE("market.5044",A5046,"USD","SOFR")</f>
        <v>QSObject:PricingContext:w1~market.5044:11068</v>
      </c>
      <c r="D5046" s="6" t="str">
        <f>_xll.QS.CONTEXT.ADD.CURVE(C5046,"SOFR",$K$2:$K$7,$L$2:$L$7,,,"Actual360","LogLinear",TRUE)</f>
        <v>QSObject:ContextInput:w1~input.qs_context_add_curve.2359132437744.5045.3.0:35581</v>
      </c>
      <c r="E5046" s="6" t="str">
        <f>_xll.QS.INSTRUMENT.SWAP("swap.5044",H5046,B5046,"USD","SOFR",I5046,J5046,0,"Actual360","Simple","Annual","Annual","Annual")</f>
        <v>QSObject:Swap:w1~swap.5044:11067</v>
      </c>
      <c r="F5046" s="6" t="str">
        <f>_xll.QS.TRADE.CREATE("trade.5044",E5046,A5046,"Receive")</f>
        <v>QSObject:SwapTrade:w1~trade.5044:26457</v>
      </c>
      <c r="G5046" s="3">
        <f>_xll.QS.EVALUATE(C5046,F5046)</f>
        <v>51294.717567932283</v>
      </c>
      <c r="H5046" s="5" t="s">
        <v>5087</v>
      </c>
      <c r="I5046" s="7">
        <v>1504400</v>
      </c>
      <c r="J5046" s="8">
        <v>3.9399999999999998E-2</v>
      </c>
    </row>
    <row r="5047" spans="1:10" x14ac:dyDescent="0.25">
      <c r="A5047" s="5" t="s">
        <v>5081</v>
      </c>
      <c r="B5047" s="5" t="s">
        <v>6914</v>
      </c>
      <c r="C5047" s="6" t="str">
        <f>_xll.QS.CONTEXT.CREATE("market.5045",A5047,"USD","SOFR")</f>
        <v>QSObject:PricingContext:w1~market.5045:11066</v>
      </c>
      <c r="D5047" s="6" t="str">
        <f>_xll.QS.CONTEXT.ADD.CURVE(C5047,"SOFR",$K$2:$K$7,$L$2:$L$7,,,"Actual360","LogLinear",TRUE)</f>
        <v>QSObject:ContextInput:w1~input.qs_context_add_curve.2359132437744.5046.3.0:35580</v>
      </c>
      <c r="E5047" s="6" t="str">
        <f>_xll.QS.INSTRUMENT.SWAP("swap.5045",H5047,B5047,"USD","SOFR",I5047,J5047,0,"Actual360","Simple","Annual","Annual","Annual")</f>
        <v>QSObject:Swap:w1~swap.5045:11065</v>
      </c>
      <c r="F5047" s="6" t="str">
        <f>_xll.QS.TRADE.CREATE("trade.5045",E5047,A5047,"Receive")</f>
        <v>QSObject:SwapTrade:w1~trade.5045:25655</v>
      </c>
      <c r="G5047" s="3">
        <f>_xll.QS.EVALUATE(C5047,F5047)</f>
        <v>51804.92748660301</v>
      </c>
      <c r="H5047" s="5" t="s">
        <v>5088</v>
      </c>
      <c r="I5047" s="7">
        <v>1504500</v>
      </c>
      <c r="J5047" s="8">
        <v>3.9500000000000007E-2</v>
      </c>
    </row>
    <row r="5048" spans="1:10" x14ac:dyDescent="0.25">
      <c r="A5048" s="5" t="s">
        <v>5082</v>
      </c>
      <c r="B5048" s="5" t="s">
        <v>6915</v>
      </c>
      <c r="C5048" s="6" t="str">
        <f>_xll.QS.CONTEXT.CREATE("market.5046",A5048,"USD","SOFR")</f>
        <v>QSObject:PricingContext:w1~market.5046:11064</v>
      </c>
      <c r="D5048" s="6" t="str">
        <f>_xll.QS.CONTEXT.ADD.CURVE(C5048,"SOFR",$K$2:$K$7,$L$2:$L$7,,,"Actual360","LogLinear",TRUE)</f>
        <v>QSObject:ContextInput:w1~input.qs_context_add_curve.2359132437744.5047.3.0:35579</v>
      </c>
      <c r="E5048" s="6" t="str">
        <f>_xll.QS.INSTRUMENT.SWAP("swap.5046",H5048,B5048,"USD","SOFR",I5048,J5048,0,"Actual360","Simple","Annual","Annual","Annual")</f>
        <v>QSObject:Swap:w1~swap.5046:11063</v>
      </c>
      <c r="F5048" s="6" t="str">
        <f>_xll.QS.TRADE.CREATE("trade.5046",E5048,A5048,"Receive")</f>
        <v>QSObject:SwapTrade:w1~trade.5046:24964</v>
      </c>
      <c r="G5048" s="3">
        <f>_xll.QS.EVALUATE(C5048,F5048)</f>
        <v>52506.608663182073</v>
      </c>
      <c r="H5048" s="5" t="s">
        <v>5089</v>
      </c>
      <c r="I5048" s="7">
        <v>1504600</v>
      </c>
      <c r="J5048" s="8">
        <v>3.9600000000000003E-2</v>
      </c>
    </row>
    <row r="5049" spans="1:10" x14ac:dyDescent="0.25">
      <c r="A5049" s="5" t="s">
        <v>5083</v>
      </c>
      <c r="B5049" s="5" t="s">
        <v>6916</v>
      </c>
      <c r="C5049" s="6" t="str">
        <f>_xll.QS.CONTEXT.CREATE("market.5047",A5049,"USD","SOFR")</f>
        <v>QSObject:PricingContext:w1~market.5047:11062</v>
      </c>
      <c r="D5049" s="6" t="str">
        <f>_xll.QS.CONTEXT.ADD.CURVE(C5049,"SOFR",$K$2:$K$7,$L$2:$L$7,,,"Actual360","LogLinear",TRUE)</f>
        <v>QSObject:ContextInput:w1~input.qs_context_add_curve.2359132437744.5048.3.0:35578</v>
      </c>
      <c r="E5049" s="6" t="str">
        <f>_xll.QS.INSTRUMENT.SWAP("swap.5047",H5049,B5049,"USD","SOFR",I5049,J5049,0,"Actual360","Simple","Annual","Annual","Annual")</f>
        <v>QSObject:Swap:w1~swap.5047:11061</v>
      </c>
      <c r="F5049" s="6" t="str">
        <f>_xll.QS.TRADE.CREATE("trade.5047",E5049,A5049,"Receive")</f>
        <v>QSObject:SwapTrade:w1~trade.5047:26958</v>
      </c>
      <c r="G5049" s="3">
        <f>_xll.QS.EVALUATE(C5049,F5049)</f>
        <v>53268.97054862434</v>
      </c>
      <c r="H5049" s="5" t="s">
        <v>5090</v>
      </c>
      <c r="I5049" s="7">
        <v>1504700</v>
      </c>
      <c r="J5049" s="8">
        <v>3.9700000000000013E-2</v>
      </c>
    </row>
    <row r="5050" spans="1:10" x14ac:dyDescent="0.25">
      <c r="A5050" s="5" t="s">
        <v>5084</v>
      </c>
      <c r="B5050" s="5" t="s">
        <v>6917</v>
      </c>
      <c r="C5050" s="6" t="str">
        <f>_xll.QS.CONTEXT.CREATE("market.5048",A5050,"USD","SOFR")</f>
        <v>QSObject:PricingContext:w1~market.5048:11060</v>
      </c>
      <c r="D5050" s="6" t="str">
        <f>_xll.QS.CONTEXT.ADD.CURVE(C5050,"SOFR",$K$2:$K$7,$L$2:$L$7,,,"Actual360","LogLinear",TRUE)</f>
        <v>QSObject:ContextInput:w1~input.qs_context_add_curve.2359132437744.5049.3.0:35577</v>
      </c>
      <c r="E5050" s="6" t="str">
        <f>_xll.QS.INSTRUMENT.SWAP("swap.5048",H5050,B5050,"USD","SOFR",I5050,J5050,0,"Actual360","Simple","Annual","Annual","Annual")</f>
        <v>QSObject:Swap:w1~swap.5048:11059</v>
      </c>
      <c r="F5050" s="6" t="str">
        <f>_xll.QS.TRADE.CREATE("trade.5048",E5050,A5050,"Receive")</f>
        <v>QSObject:SwapTrade:w1~trade.5048:26456</v>
      </c>
      <c r="G5050" s="3">
        <f>_xll.QS.EVALUATE(C5050,F5050)</f>
        <v>54077.50102179082</v>
      </c>
      <c r="H5050" s="5" t="s">
        <v>5091</v>
      </c>
      <c r="I5050" s="7">
        <v>1504800</v>
      </c>
      <c r="J5050" s="8">
        <v>3.9800000000000002E-2</v>
      </c>
    </row>
    <row r="5051" spans="1:10" x14ac:dyDescent="0.25">
      <c r="A5051" s="5" t="s">
        <v>5085</v>
      </c>
      <c r="B5051" s="5" t="s">
        <v>6918</v>
      </c>
      <c r="C5051" s="6" t="str">
        <f>_xll.QS.CONTEXT.CREATE("market.5049",A5051,"USD","SOFR")</f>
        <v>QSObject:PricingContext:w1~market.5049:11058</v>
      </c>
      <c r="D5051" s="6" t="str">
        <f>_xll.QS.CONTEXT.ADD.CURVE(C5051,"SOFR",$K$2:$K$7,$L$2:$L$7,,,"Actual360","LogLinear",TRUE)</f>
        <v>QSObject:ContextInput:w1~input.qs_context_add_curve.2359132437744.5050.3.0:35576</v>
      </c>
      <c r="E5051" s="6" t="str">
        <f>_xll.QS.INSTRUMENT.SWAP("swap.5049",H5051,B5051,"USD","SOFR",I5051,J5051,0,"Actual360","Simple","Annual","Annual","Annual")</f>
        <v>QSObject:Swap:w1~swap.5049:11057</v>
      </c>
      <c r="F5051" s="6" t="str">
        <f>_xll.QS.TRADE.CREATE("trade.5049",E5051,A5051,"Receive")</f>
        <v>QSObject:SwapTrade:w1~trade.5049:26957</v>
      </c>
      <c r="G5051" s="3">
        <f>_xll.QS.EVALUATE(C5051,F5051)</f>
        <v>54775.17710050755</v>
      </c>
      <c r="H5051" s="5" t="s">
        <v>5092</v>
      </c>
      <c r="I5051" s="7">
        <v>1504900</v>
      </c>
      <c r="J5051" s="8">
        <v>3.9899999999999998E-2</v>
      </c>
    </row>
    <row r="5052" spans="1:10" x14ac:dyDescent="0.25">
      <c r="A5052" s="5" t="s">
        <v>5086</v>
      </c>
      <c r="B5052" s="5" t="s">
        <v>6919</v>
      </c>
      <c r="C5052" s="6" t="str">
        <f>_xll.QS.CONTEXT.CREATE("market.5050",A5052,"USD","SOFR")</f>
        <v>QSObject:PricingContext:w1~market.5050:11056</v>
      </c>
      <c r="D5052" s="6" t="str">
        <f>_xll.QS.CONTEXT.ADD.CURVE(C5052,"SOFR",$K$2:$K$7,$L$2:$L$7,,,"Actual360","LogLinear",TRUE)</f>
        <v>QSObject:ContextInput:w1~input.qs_context_add_curve.2359132437744.5051.3.0:35575</v>
      </c>
      <c r="E5052" s="6" t="str">
        <f>_xll.QS.INSTRUMENT.SWAP("swap.5050",H5052,B5052,"USD","SOFR",I5052,J5052,0,"Actual360","Simple","Annual","Annual","Annual")</f>
        <v>QSObject:Swap:w1~swap.5050:11055</v>
      </c>
      <c r="F5052" s="6" t="str">
        <f>_xll.QS.TRADE.CREATE("trade.5050",E5052,A5052,"Receive")</f>
        <v>QSObject:SwapTrade:w1~trade.5050:24963</v>
      </c>
      <c r="G5052" s="3">
        <f>_xll.QS.EVALUATE(C5052,F5052)</f>
        <v>20762.724810548752</v>
      </c>
      <c r="H5052" s="5" t="s">
        <v>5093</v>
      </c>
      <c r="I5052" s="7">
        <v>1505000</v>
      </c>
      <c r="J5052" s="8">
        <v>3.5000000000000003E-2</v>
      </c>
    </row>
    <row r="5053" spans="1:10" x14ac:dyDescent="0.25">
      <c r="A5053" s="5" t="s">
        <v>5087</v>
      </c>
      <c r="B5053" s="5" t="s">
        <v>6920</v>
      </c>
      <c r="C5053" s="6" t="str">
        <f>_xll.QS.CONTEXT.CREATE("market.5051",A5053,"USD","SOFR")</f>
        <v>QSObject:PricingContext:w1~market.5051:11054</v>
      </c>
      <c r="D5053" s="6" t="str">
        <f>_xll.QS.CONTEXT.ADD.CURVE(C5053,"SOFR",$K$2:$K$7,$L$2:$L$7,,,"Actual360","LogLinear",TRUE)</f>
        <v>QSObject:ContextInput:w1~input.qs_context_add_curve.2359132437744.5052.3.0:35574</v>
      </c>
      <c r="E5053" s="6" t="str">
        <f>_xll.QS.INSTRUMENT.SWAP("swap.5051",H5053,B5053,"USD","SOFR",I5053,J5053,0,"Actual360","Simple","Annual","Annual","Annual")</f>
        <v>QSObject:Swap:w1~swap.5051:11053</v>
      </c>
      <c r="F5053" s="6" t="str">
        <f>_xll.QS.TRADE.CREATE("trade.5051",E5053,A5053,"Receive")</f>
        <v>QSObject:SwapTrade:w1~trade.5051:26956</v>
      </c>
      <c r="G5053" s="3">
        <f>_xll.QS.EVALUATE(C5053,F5053)</f>
        <v>21459.708726620076</v>
      </c>
      <c r="H5053" s="5" t="s">
        <v>5094</v>
      </c>
      <c r="I5053" s="7">
        <v>1505100</v>
      </c>
      <c r="J5053" s="8">
        <v>3.5100000000000013E-2</v>
      </c>
    </row>
    <row r="5054" spans="1:10" x14ac:dyDescent="0.25">
      <c r="A5054" s="5" t="s">
        <v>5088</v>
      </c>
      <c r="B5054" s="5" t="s">
        <v>6921</v>
      </c>
      <c r="C5054" s="6" t="str">
        <f>_xll.QS.CONTEXT.CREATE("market.5052",A5054,"USD","SOFR")</f>
        <v>QSObject:PricingContext:w1~market.5052:11052</v>
      </c>
      <c r="D5054" s="6" t="str">
        <f>_xll.QS.CONTEXT.ADD.CURVE(C5054,"SOFR",$K$2:$K$7,$L$2:$L$7,,,"Actual360","LogLinear",TRUE)</f>
        <v>QSObject:ContextInput:w1~input.qs_context_add_curve.2359132437744.5053.3.0:35573</v>
      </c>
      <c r="E5054" s="6" t="str">
        <f>_xll.QS.INSTRUMENT.SWAP("swap.5052",H5054,B5054,"USD","SOFR",I5054,J5054,0,"Actual360","Simple","Annual","Annual","Annual")</f>
        <v>QSObject:Swap:w1~swap.5052:11051</v>
      </c>
      <c r="F5054" s="6" t="str">
        <f>_xll.QS.TRADE.CREATE("trade.5052",E5054,A5054,"Receive")</f>
        <v>QSObject:SwapTrade:w1~trade.5052:26455</v>
      </c>
      <c r="G5054" s="3">
        <f>_xll.QS.EVALUATE(C5054,F5054)</f>
        <v>21973.471011200563</v>
      </c>
      <c r="H5054" s="5" t="s">
        <v>5095</v>
      </c>
      <c r="I5054" s="7">
        <v>1505200</v>
      </c>
      <c r="J5054" s="8">
        <v>3.5200000000000002E-2</v>
      </c>
    </row>
    <row r="5055" spans="1:10" x14ac:dyDescent="0.25">
      <c r="A5055" s="5" t="s">
        <v>5089</v>
      </c>
      <c r="B5055" s="5" t="s">
        <v>6922</v>
      </c>
      <c r="C5055" s="6" t="str">
        <f>_xll.QS.CONTEXT.CREATE("market.5053",A5055,"USD","SOFR")</f>
        <v>QSObject:PricingContext:w1~market.5053:11050</v>
      </c>
      <c r="D5055" s="6" t="str">
        <f>_xll.QS.CONTEXT.ADD.CURVE(C5055,"SOFR",$K$2:$K$7,$L$2:$L$7,,,"Actual360","LogLinear",TRUE)</f>
        <v>QSObject:ContextInput:w1~input.qs_context_add_curve.2359132437744.5054.3.0:35572</v>
      </c>
      <c r="E5055" s="6" t="str">
        <f>_xll.QS.INSTRUMENT.SWAP("swap.5053",H5055,B5055,"USD","SOFR",I5055,J5055,0,"Actual360","Simple","Annual","Annual","Annual")</f>
        <v>QSObject:Swap:w1~swap.5053:11049</v>
      </c>
      <c r="F5055" s="6" t="str">
        <f>_xll.QS.TRADE.CREATE("trade.5053",E5055,A5055,"Receive")</f>
        <v>QSObject:SwapTrade:w1~trade.5053:25654</v>
      </c>
      <c r="G5055" s="3">
        <f>_xll.QS.EVALUATE(C5055,F5055)</f>
        <v>22670.989455654781</v>
      </c>
      <c r="H5055" s="5" t="s">
        <v>5096</v>
      </c>
      <c r="I5055" s="7">
        <v>1505300</v>
      </c>
      <c r="J5055" s="8">
        <v>3.5299999999999998E-2</v>
      </c>
    </row>
    <row r="5056" spans="1:10" x14ac:dyDescent="0.25">
      <c r="A5056" s="5" t="s">
        <v>5090</v>
      </c>
      <c r="B5056" s="5" t="s">
        <v>6923</v>
      </c>
      <c r="C5056" s="6" t="str">
        <f>_xll.QS.CONTEXT.CREATE("market.5054",A5056,"USD","SOFR")</f>
        <v>QSObject:PricingContext:w1~market.5054:11048</v>
      </c>
      <c r="D5056" s="6" t="str">
        <f>_xll.QS.CONTEXT.ADD.CURVE(C5056,"SOFR",$K$2:$K$7,$L$2:$L$7,,,"Actual360","LogLinear",TRUE)</f>
        <v>QSObject:ContextInput:w1~input.qs_context_add_curve.2359132437744.5055.3.0:35571</v>
      </c>
      <c r="E5056" s="6" t="str">
        <f>_xll.QS.INSTRUMENT.SWAP("swap.5054",H5056,B5056,"USD","SOFR",I5056,J5056,0,"Actual360","Simple","Annual","Annual","Annual")</f>
        <v>QSObject:Swap:w1~swap.5054:11047</v>
      </c>
      <c r="F5056" s="6" t="str">
        <f>_xll.QS.TRADE.CREATE("trade.5054",E5056,A5056,"Receive")</f>
        <v>QSObject:SwapTrade:w1~trade.5054:24962</v>
      </c>
      <c r="G5056" s="3">
        <f>_xll.QS.EVALUATE(C5056,F5056)</f>
        <v>23428.703687774716</v>
      </c>
      <c r="H5056" s="5" t="s">
        <v>5097</v>
      </c>
      <c r="I5056" s="7">
        <v>1505400</v>
      </c>
      <c r="J5056" s="8">
        <v>3.5400000000000001E-2</v>
      </c>
    </row>
    <row r="5057" spans="1:10" x14ac:dyDescent="0.25">
      <c r="A5057" s="5" t="s">
        <v>5091</v>
      </c>
      <c r="B5057" s="5" t="s">
        <v>6924</v>
      </c>
      <c r="C5057" s="6" t="str">
        <f>_xll.QS.CONTEXT.CREATE("market.5055",A5057,"USD","SOFR")</f>
        <v>QSObject:PricingContext:w1~market.5055:11046</v>
      </c>
      <c r="D5057" s="6" t="str">
        <f>_xll.QS.CONTEXT.ADD.CURVE(C5057,"SOFR",$K$2:$K$7,$L$2:$L$7,,,"Actual360","LogLinear",TRUE)</f>
        <v>QSObject:ContextInput:w1~input.qs_context_add_curve.2359132437744.5056.3.0:35570</v>
      </c>
      <c r="E5057" s="6" t="str">
        <f>_xll.QS.INSTRUMENT.SWAP("swap.5055",H5057,B5057,"USD","SOFR",I5057,J5057,0,"Actual360","Simple","Annual","Annual","Annual")</f>
        <v>QSObject:Swap:w1~swap.5055:11045</v>
      </c>
      <c r="F5057" s="6" t="str">
        <f>_xll.QS.TRADE.CREATE("trade.5055",E5057,A5057,"Receive")</f>
        <v>QSObject:SwapTrade:w1~trade.5055:25653</v>
      </c>
      <c r="G5057" s="3">
        <f>_xll.QS.EVALUATE(C5057,F5057)</f>
        <v>24172.906019325972</v>
      </c>
      <c r="H5057" s="5" t="s">
        <v>5098</v>
      </c>
      <c r="I5057" s="7">
        <v>1505500</v>
      </c>
      <c r="J5057" s="8">
        <v>3.5499999999999997E-2</v>
      </c>
    </row>
    <row r="5058" spans="1:10" x14ac:dyDescent="0.25">
      <c r="A5058" s="5" t="s">
        <v>5092</v>
      </c>
      <c r="B5058" s="5" t="s">
        <v>6925</v>
      </c>
      <c r="C5058" s="6" t="str">
        <f>_xll.QS.CONTEXT.CREATE("market.5056",A5058,"USD","SOFR")</f>
        <v>QSObject:PricingContext:w1~market.5056:11044</v>
      </c>
      <c r="D5058" s="6" t="str">
        <f>_xll.QS.CONTEXT.ADD.CURVE(C5058,"SOFR",$K$2:$K$7,$L$2:$L$7,,,"Actual360","LogLinear",TRUE)</f>
        <v>QSObject:ContextInput:w1~input.qs_context_add_curve.2359132437744.5057.3.0:35569</v>
      </c>
      <c r="E5058" s="6" t="str">
        <f>_xll.QS.INSTRUMENT.SWAP("swap.5056",H5058,B5058,"USD","SOFR",I5058,J5058,0,"Actual360","Simple","Annual","Annual","Annual")</f>
        <v>QSObject:Swap:w1~swap.5056:11043</v>
      </c>
      <c r="F5058" s="6" t="str">
        <f>_xll.QS.TRADE.CREATE("trade.5056",E5058,A5058,"Receive")</f>
        <v>QSObject:SwapTrade:w1~trade.5056:24961</v>
      </c>
      <c r="G5058" s="3">
        <f>_xll.QS.EVALUATE(C5058,F5058)</f>
        <v>24986.196042308366</v>
      </c>
      <c r="H5058" s="5" t="s">
        <v>5099</v>
      </c>
      <c r="I5058" s="7">
        <v>1505600</v>
      </c>
      <c r="J5058" s="8">
        <v>3.5600000000000007E-2</v>
      </c>
    </row>
    <row r="5059" spans="1:10" x14ac:dyDescent="0.25">
      <c r="A5059" s="5" t="s">
        <v>5093</v>
      </c>
      <c r="B5059" s="5" t="s">
        <v>6926</v>
      </c>
      <c r="C5059" s="6" t="str">
        <f>_xll.QS.CONTEXT.CREATE("market.5057",A5059,"USD","SOFR")</f>
        <v>QSObject:PricingContext:w1~market.5057:11042</v>
      </c>
      <c r="D5059" s="6" t="str">
        <f>_xll.QS.CONTEXT.ADD.CURVE(C5059,"SOFR",$K$2:$K$7,$L$2:$L$7,,,"Actual360","LogLinear",TRUE)</f>
        <v>QSObject:ContextInput:w1~input.qs_context_add_curve.2359132437744.5058.3.0:35568</v>
      </c>
      <c r="E5059" s="6" t="str">
        <f>_xll.QS.INSTRUMENT.SWAP("swap.5057",H5059,B5059,"USD","SOFR",I5059,J5059,0,"Actual360","Simple","Annual","Annual","Annual")</f>
        <v>QSObject:Swap:w1~swap.5057:11041</v>
      </c>
      <c r="F5059" s="6" t="str">
        <f>_xll.QS.TRADE.CREATE("trade.5057",E5059,A5059,"Receive")</f>
        <v>QSObject:SwapTrade:w1~trade.5057:26454</v>
      </c>
      <c r="G5059" s="3">
        <f>_xll.QS.EVALUATE(C5059,F5059)</f>
        <v>25691.775374440178</v>
      </c>
      <c r="H5059" s="5" t="s">
        <v>5100</v>
      </c>
      <c r="I5059" s="7">
        <v>1505700</v>
      </c>
      <c r="J5059" s="8">
        <v>3.5700000000000003E-2</v>
      </c>
    </row>
    <row r="5060" spans="1:10" x14ac:dyDescent="0.25">
      <c r="A5060" s="5" t="s">
        <v>5094</v>
      </c>
      <c r="B5060" s="5" t="s">
        <v>6927</v>
      </c>
      <c r="C5060" s="6" t="str">
        <f>_xll.QS.CONTEXT.CREATE("market.5058",A5060,"USD","SOFR")</f>
        <v>QSObject:PricingContext:w1~market.5058:11040</v>
      </c>
      <c r="D5060" s="6" t="str">
        <f>_xll.QS.CONTEXT.ADD.CURVE(C5060,"SOFR",$K$2:$K$7,$L$2:$L$7,,,"Actual360","LogLinear",TRUE)</f>
        <v>QSObject:ContextInput:w1~input.qs_context_add_curve.2359132437744.5059.3.0:35567</v>
      </c>
      <c r="E5060" s="6" t="str">
        <f>_xll.QS.INSTRUMENT.SWAP("swap.5058",H5060,B5060,"USD","SOFR",I5060,J5060,0,"Actual360","Simple","Annual","Annual","Annual")</f>
        <v>QSObject:Swap:w1~swap.5058:11039</v>
      </c>
      <c r="F5060" s="6" t="str">
        <f>_xll.QS.TRADE.CREATE("trade.5058",E5060,A5060,"Receive")</f>
        <v>QSObject:SwapTrade:w1~trade.5058:26955</v>
      </c>
      <c r="G5060" s="3">
        <f>_xll.QS.EVALUATE(C5060,F5060)</f>
        <v>26393.008301643829</v>
      </c>
      <c r="H5060" s="5" t="s">
        <v>5101</v>
      </c>
      <c r="I5060" s="7">
        <v>1505800</v>
      </c>
      <c r="J5060" s="8">
        <v>3.5800000000000012E-2</v>
      </c>
    </row>
    <row r="5061" spans="1:10" x14ac:dyDescent="0.25">
      <c r="A5061" s="5" t="s">
        <v>5095</v>
      </c>
      <c r="B5061" s="5" t="s">
        <v>6928</v>
      </c>
      <c r="C5061" s="6" t="str">
        <f>_xll.QS.CONTEXT.CREATE("market.5059",A5061,"USD","SOFR")</f>
        <v>QSObject:PricingContext:w1~market.5059:11038</v>
      </c>
      <c r="D5061" s="6" t="str">
        <f>_xll.QS.CONTEXT.ADD.CURVE(C5061,"SOFR",$K$2:$K$7,$L$2:$L$7,,,"Actual360","LogLinear",TRUE)</f>
        <v>QSObject:ContextInput:w1~input.qs_context_add_curve.2359132437744.5060.3.0:35566</v>
      </c>
      <c r="E5061" s="6" t="str">
        <f>_xll.QS.INSTRUMENT.SWAP("swap.5059",H5061,B5061,"USD","SOFR",I5061,J5061,0,"Actual360","Simple","Annual","Annual","Annual")</f>
        <v>QSObject:Swap:w1~swap.5059:11037</v>
      </c>
      <c r="F5061" s="6" t="str">
        <f>_xll.QS.TRADE.CREATE("trade.5059",E5061,A5061,"Receive")</f>
        <v>QSObject:SwapTrade:w1~trade.5059:26453</v>
      </c>
      <c r="G5061" s="3">
        <f>_xll.QS.EVALUATE(C5061,F5061)</f>
        <v>26906.359691338745</v>
      </c>
      <c r="H5061" s="5" t="s">
        <v>5102</v>
      </c>
      <c r="I5061" s="7">
        <v>1505900</v>
      </c>
      <c r="J5061" s="8">
        <v>3.5900000000000001E-2</v>
      </c>
    </row>
    <row r="5062" spans="1:10" x14ac:dyDescent="0.25">
      <c r="A5062" s="5" t="s">
        <v>5096</v>
      </c>
      <c r="B5062" s="5" t="s">
        <v>6929</v>
      </c>
      <c r="C5062" s="6" t="str">
        <f>_xll.QS.CONTEXT.CREATE("market.5060",A5062,"USD","SOFR")</f>
        <v>QSObject:PricingContext:w1~market.5060:11036</v>
      </c>
      <c r="D5062" s="6" t="str">
        <f>_xll.QS.CONTEXT.ADD.CURVE(C5062,"SOFR",$K$2:$K$7,$L$2:$L$7,,,"Actual360","LogLinear",TRUE)</f>
        <v>QSObject:ContextInput:w1~input.qs_context_add_curve.2359132437744.5061.3.0:35565</v>
      </c>
      <c r="E5062" s="6" t="str">
        <f>_xll.QS.INSTRUMENT.SWAP("swap.5060",H5062,B5062,"USD","SOFR",I5062,J5062,0,"Actual360","Simple","Annual","Annual","Annual")</f>
        <v>QSObject:Swap:w1~swap.5060:11035</v>
      </c>
      <c r="F5062" s="6" t="str">
        <f>_xll.QS.TRADE.CREATE("trade.5060",E5062,A5062,"Receive")</f>
        <v>QSObject:SwapTrade:w1~trade.5060:24960</v>
      </c>
      <c r="G5062" s="3">
        <f>_xll.QS.EVALUATE(C5062,F5062)</f>
        <v>27605.093866924923</v>
      </c>
      <c r="H5062" s="5" t="s">
        <v>5103</v>
      </c>
      <c r="I5062" s="7">
        <v>1506000</v>
      </c>
      <c r="J5062" s="8">
        <v>3.5999999999999997E-2</v>
      </c>
    </row>
    <row r="5063" spans="1:10" x14ac:dyDescent="0.25">
      <c r="A5063" s="5" t="s">
        <v>5097</v>
      </c>
      <c r="B5063" s="5" t="s">
        <v>6930</v>
      </c>
      <c r="C5063" s="6" t="str">
        <f>_xll.QS.CONTEXT.CREATE("market.5061",A5063,"USD","SOFR")</f>
        <v>QSObject:PricingContext:w1~market.5061:11034</v>
      </c>
      <c r="D5063" s="6" t="str">
        <f>_xll.QS.CONTEXT.ADD.CURVE(C5063,"SOFR",$K$2:$K$7,$L$2:$L$7,,,"Actual360","LogLinear",TRUE)</f>
        <v>QSObject:ContextInput:w1~input.qs_context_add_curve.2359132437744.5062.3.0:35564</v>
      </c>
      <c r="E5063" s="6" t="str">
        <f>_xll.QS.INSTRUMENT.SWAP("swap.5061",H5063,B5063,"USD","SOFR",I5063,J5063,0,"Actual360","Simple","Annual","Annual","Annual")</f>
        <v>QSObject:Swap:w1~swap.5061:11033</v>
      </c>
      <c r="F5063" s="6" t="str">
        <f>_xll.QS.TRADE.CREATE("trade.5061",E5063,A5063,"Receive")</f>
        <v>QSObject:SwapTrade:w1~trade.5061:24959</v>
      </c>
      <c r="G5063" s="3">
        <f>_xll.QS.EVALUATE(C5063,F5063)</f>
        <v>28473.468780907097</v>
      </c>
      <c r="H5063" s="5" t="s">
        <v>5104</v>
      </c>
      <c r="I5063" s="7">
        <v>1506100</v>
      </c>
      <c r="J5063" s="8">
        <v>3.61E-2</v>
      </c>
    </row>
    <row r="5064" spans="1:10" x14ac:dyDescent="0.25">
      <c r="A5064" s="5" t="s">
        <v>5098</v>
      </c>
      <c r="B5064" s="5" t="s">
        <v>6931</v>
      </c>
      <c r="C5064" s="6" t="str">
        <f>_xll.QS.CONTEXT.CREATE("market.5062",A5064,"USD","SOFR")</f>
        <v>QSObject:PricingContext:w1~market.5062:11032</v>
      </c>
      <c r="D5064" s="6" t="str">
        <f>_xll.QS.CONTEXT.ADD.CURVE(C5064,"SOFR",$K$2:$K$7,$L$2:$L$7,,,"Actual360","LogLinear",TRUE)</f>
        <v>QSObject:ContextInput:w1~input.qs_context_add_curve.2359132437744.5063.3.0:35563</v>
      </c>
      <c r="E5064" s="6" t="str">
        <f>_xll.QS.INSTRUMENT.SWAP("swap.5062",H5064,B5064,"USD","SOFR",I5064,J5064,0,"Actual360","Simple","Annual","Annual","Annual")</f>
        <v>QSObject:Swap:w1~swap.5062:11031</v>
      </c>
      <c r="F5064" s="6" t="str">
        <f>_xll.QS.TRADE.CREATE("trade.5062",E5064,A5064,"Receive")</f>
        <v>QSObject:SwapTrade:w1~trade.5062:25652</v>
      </c>
      <c r="G5064" s="3">
        <f>_xll.QS.EVALUATE(C5064,F5064)</f>
        <v>29110.406633632614</v>
      </c>
      <c r="H5064" s="5" t="s">
        <v>5105</v>
      </c>
      <c r="I5064" s="7">
        <v>1506200</v>
      </c>
      <c r="J5064" s="8">
        <v>3.6200000000000003E-2</v>
      </c>
    </row>
    <row r="5065" spans="1:10" x14ac:dyDescent="0.25">
      <c r="A5065" s="5" t="s">
        <v>5099</v>
      </c>
      <c r="B5065" s="5" t="s">
        <v>6932</v>
      </c>
      <c r="C5065" s="6" t="str">
        <f>_xll.QS.CONTEXT.CREATE("market.5063",A5065,"USD","SOFR")</f>
        <v>QSObject:PricingContext:w1~market.5063:11030</v>
      </c>
      <c r="D5065" s="6" t="str">
        <f>_xll.QS.CONTEXT.ADD.CURVE(C5065,"SOFR",$K$2:$K$7,$L$2:$L$7,,,"Actual360","LogLinear",TRUE)</f>
        <v>QSObject:ContextInput:w1~input.qs_context_add_curve.2359132437744.5064.3.0:35562</v>
      </c>
      <c r="E5065" s="6" t="str">
        <f>_xll.QS.INSTRUMENT.SWAP("swap.5063",H5065,B5065,"USD","SOFR",I5065,J5065,0,"Actual360","Simple","Annual","Annual","Annual")</f>
        <v>QSObject:Swap:w1~swap.5063:11029</v>
      </c>
      <c r="F5065" s="6" t="str">
        <f>_xll.QS.TRADE.CREATE("trade.5063",E5065,A5065,"Receive")</f>
        <v>QSObject:SwapTrade:w1~trade.5063:26954</v>
      </c>
      <c r="G5065" s="3">
        <f>_xll.QS.EVALUATE(C5065,F5065)</f>
        <v>29807.086299448805</v>
      </c>
      <c r="H5065" s="5" t="s">
        <v>5106</v>
      </c>
      <c r="I5065" s="7">
        <v>1506300</v>
      </c>
      <c r="J5065" s="8">
        <v>3.6300000000000013E-2</v>
      </c>
    </row>
    <row r="5066" spans="1:10" x14ac:dyDescent="0.25">
      <c r="A5066" s="5" t="s">
        <v>5100</v>
      </c>
      <c r="B5066" s="5" t="s">
        <v>6933</v>
      </c>
      <c r="C5066" s="6" t="str">
        <f>_xll.QS.CONTEXT.CREATE("market.5064",A5066,"USD","SOFR")</f>
        <v>QSObject:PricingContext:w1~market.5064:11028</v>
      </c>
      <c r="D5066" s="6" t="str">
        <f>_xll.QS.CONTEXT.ADD.CURVE(C5066,"SOFR",$K$2:$K$7,$L$2:$L$7,,,"Actual360","LogLinear",TRUE)</f>
        <v>QSObject:ContextInput:w1~input.qs_context_add_curve.2359132437744.5065.3.0:35561</v>
      </c>
      <c r="E5066" s="6" t="str">
        <f>_xll.QS.INSTRUMENT.SWAP("swap.5064",H5066,B5066,"USD","SOFR",I5066,J5066,0,"Actual360","Simple","Annual","Annual","Annual")</f>
        <v>QSObject:Swap:w1~swap.5064:11027</v>
      </c>
      <c r="F5066" s="6" t="str">
        <f>_xll.QS.TRADE.CREATE("trade.5064",E5066,A5066,"Receive")</f>
        <v>QSObject:SwapTrade:w1~trade.5064:26452</v>
      </c>
      <c r="G5066" s="3">
        <f>_xll.QS.EVALUATE(C5066,F5066)</f>
        <v>30512.12431486875</v>
      </c>
      <c r="H5066" s="5" t="s">
        <v>5107</v>
      </c>
      <c r="I5066" s="7">
        <v>1506400</v>
      </c>
      <c r="J5066" s="8">
        <v>3.6400000000000002E-2</v>
      </c>
    </row>
    <row r="5067" spans="1:10" x14ac:dyDescent="0.25">
      <c r="A5067" s="5" t="s">
        <v>5101</v>
      </c>
      <c r="B5067" s="5" t="s">
        <v>6934</v>
      </c>
      <c r="C5067" s="6" t="str">
        <f>_xll.QS.CONTEXT.CREATE("market.5065",A5067,"USD","SOFR")</f>
        <v>QSObject:PricingContext:w1~market.5065:11026</v>
      </c>
      <c r="D5067" s="6" t="str">
        <f>_xll.QS.CONTEXT.ADD.CURVE(C5067,"SOFR",$K$2:$K$7,$L$2:$L$7,,,"Actual360","LogLinear",TRUE)</f>
        <v>QSObject:ContextInput:w1~input.qs_context_add_curve.2359132437744.5066.3.0:35560</v>
      </c>
      <c r="E5067" s="6" t="str">
        <f>_xll.QS.INSTRUMENT.SWAP("swap.5065",H5067,B5067,"USD","SOFR",I5067,J5067,0,"Actual360","Simple","Annual","Annual","Annual")</f>
        <v>QSObject:Swap:w1~swap.5065:11025</v>
      </c>
      <c r="F5067" s="6" t="str">
        <f>_xll.QS.TRADE.CREATE("trade.5065",E5067,A5067,"Receive")</f>
        <v>QSObject:SwapTrade:w1~trade.5065:26953</v>
      </c>
      <c r="G5067" s="3">
        <f>_xll.QS.EVALUATE(C5067,F5067)</f>
        <v>31210.438217650488</v>
      </c>
      <c r="H5067" s="5" t="s">
        <v>5108</v>
      </c>
      <c r="I5067" s="7">
        <v>1506500</v>
      </c>
      <c r="J5067" s="8">
        <v>3.6499999999999998E-2</v>
      </c>
    </row>
    <row r="5068" spans="1:10" x14ac:dyDescent="0.25">
      <c r="A5068" s="5" t="s">
        <v>5102</v>
      </c>
      <c r="B5068" s="5" t="s">
        <v>6935</v>
      </c>
      <c r="C5068" s="6" t="str">
        <f>_xll.QS.CONTEXT.CREATE("market.5066",A5068,"USD","SOFR")</f>
        <v>QSObject:PricingContext:w1~market.5066:11024</v>
      </c>
      <c r="D5068" s="6" t="str">
        <f>_xll.QS.CONTEXT.ADD.CURVE(C5068,"SOFR",$K$2:$K$7,$L$2:$L$7,,,"Actual360","LogLinear",TRUE)</f>
        <v>QSObject:ContextInput:w1~input.qs_context_add_curve.2359132437744.5067.3.0:35559</v>
      </c>
      <c r="E5068" s="6" t="str">
        <f>_xll.QS.INSTRUMENT.SWAP("swap.5066",H5068,B5068,"USD","SOFR",I5068,J5068,0,"Actual360","Simple","Annual","Annual","Annual")</f>
        <v>QSObject:Swap:w1~swap.5066:11023</v>
      </c>
      <c r="F5068" s="6" t="str">
        <f>_xll.QS.TRADE.CREATE("trade.5066",E5068,A5068,"Receive")</f>
        <v>QSObject:SwapTrade:w1~trade.5066:26451</v>
      </c>
      <c r="G5068" s="3">
        <f>_xll.QS.EVALUATE(C5068,F5068)</f>
        <v>31723.342071523053</v>
      </c>
      <c r="H5068" s="5" t="s">
        <v>5109</v>
      </c>
      <c r="I5068" s="7">
        <v>1506600</v>
      </c>
      <c r="J5068" s="8">
        <v>3.6600000000000001E-2</v>
      </c>
    </row>
    <row r="5069" spans="1:10" x14ac:dyDescent="0.25">
      <c r="A5069" s="5" t="s">
        <v>5103</v>
      </c>
      <c r="B5069" s="5" t="s">
        <v>6936</v>
      </c>
      <c r="C5069" s="6" t="str">
        <f>_xll.QS.CONTEXT.CREATE("market.5067",A5069,"USD","SOFR")</f>
        <v>QSObject:PricingContext:w1~market.5067:11022</v>
      </c>
      <c r="D5069" s="6" t="str">
        <f>_xll.QS.CONTEXT.ADD.CURVE(C5069,"SOFR",$K$2:$K$7,$L$2:$L$7,,,"Actual360","LogLinear",TRUE)</f>
        <v>QSObject:ContextInput:w1~input.qs_context_add_curve.2359132437744.5068.3.0:35558</v>
      </c>
      <c r="E5069" s="6" t="str">
        <f>_xll.QS.INSTRUMENT.SWAP("swap.5067",H5069,B5069,"USD","SOFR",I5069,J5069,0,"Actual360","Simple","Annual","Annual","Annual")</f>
        <v>QSObject:Swap:w1~swap.5067:11021</v>
      </c>
      <c r="F5069" s="6" t="str">
        <f>_xll.QS.TRADE.CREATE("trade.5067",E5069,A5069,"Receive")</f>
        <v>QSObject:SwapTrade:w1~trade.5067:26952</v>
      </c>
      <c r="G5069" s="3">
        <f>_xll.QS.EVALUATE(C5069,F5069)</f>
        <v>32422.910920209455</v>
      </c>
      <c r="H5069" s="5" t="s">
        <v>5110</v>
      </c>
      <c r="I5069" s="7">
        <v>1506700</v>
      </c>
      <c r="J5069" s="8">
        <v>3.6700000000000003E-2</v>
      </c>
    </row>
    <row r="5070" spans="1:10" x14ac:dyDescent="0.25">
      <c r="A5070" s="5" t="s">
        <v>5104</v>
      </c>
      <c r="B5070" s="5" t="s">
        <v>6937</v>
      </c>
      <c r="C5070" s="6" t="str">
        <f>_xll.QS.CONTEXT.CREATE("market.5068",A5070,"USD","SOFR")</f>
        <v>QSObject:PricingContext:w1~market.5068:11020</v>
      </c>
      <c r="D5070" s="6" t="str">
        <f>_xll.QS.CONTEXT.ADD.CURVE(C5070,"SOFR",$K$2:$K$7,$L$2:$L$7,,,"Actual360","LogLinear",TRUE)</f>
        <v>QSObject:ContextInput:w1~input.qs_context_add_curve.2359132437744.5069.3.0:35557</v>
      </c>
      <c r="E5070" s="6" t="str">
        <f>_xll.QS.INSTRUMENT.SWAP("swap.5068",H5070,B5070,"USD","SOFR",I5070,J5070,0,"Actual360","Simple","Annual","Annual","Annual")</f>
        <v>QSObject:Swap:w1~swap.5068:11019</v>
      </c>
      <c r="F5070" s="6" t="str">
        <f>_xll.QS.TRADE.CREATE("trade.5068",E5070,A5070,"Receive")</f>
        <v>QSObject:SwapTrade:w1~trade.5068:26450</v>
      </c>
      <c r="G5070" s="3">
        <f>_xll.QS.EVALUATE(C5070,F5070)</f>
        <v>33183.018325397104</v>
      </c>
      <c r="H5070" s="5" t="s">
        <v>5111</v>
      </c>
      <c r="I5070" s="7">
        <v>1506800</v>
      </c>
      <c r="J5070" s="8">
        <v>3.6800000000000013E-2</v>
      </c>
    </row>
    <row r="5071" spans="1:10" x14ac:dyDescent="0.25">
      <c r="A5071" s="5" t="s">
        <v>5105</v>
      </c>
      <c r="B5071" s="5" t="s">
        <v>6938</v>
      </c>
      <c r="C5071" s="6" t="str">
        <f>_xll.QS.CONTEXT.CREATE("market.5069",A5071,"USD","SOFR")</f>
        <v>QSObject:PricingContext:w1~market.5069:11018</v>
      </c>
      <c r="D5071" s="6" t="str">
        <f>_xll.QS.CONTEXT.ADD.CURVE(C5071,"SOFR",$K$2:$K$7,$L$2:$L$7,,,"Actual360","LogLinear",TRUE)</f>
        <v>QSObject:ContextInput:w1~input.qs_context_add_curve.2359132437744.5070.3.0:35556</v>
      </c>
      <c r="E5071" s="6" t="str">
        <f>_xll.QS.INSTRUMENT.SWAP("swap.5069",H5071,B5071,"USD","SOFR",I5071,J5071,0,"Actual360","Simple","Annual","Annual","Annual")</f>
        <v>QSObject:Swap:w1~swap.5069:11017</v>
      </c>
      <c r="F5071" s="6" t="str">
        <f>_xll.QS.TRADE.CREATE("trade.5069",E5071,A5071,"Receive")</f>
        <v>QSObject:SwapTrade:w1~trade.5069:26951</v>
      </c>
      <c r="G5071" s="3">
        <f>_xll.QS.EVALUATE(C5071,F5071)</f>
        <v>33990.480973443402</v>
      </c>
      <c r="H5071" s="5" t="s">
        <v>5112</v>
      </c>
      <c r="I5071" s="7">
        <v>1506900</v>
      </c>
      <c r="J5071" s="8">
        <v>3.6900000000000002E-2</v>
      </c>
    </row>
    <row r="5072" spans="1:10" x14ac:dyDescent="0.25">
      <c r="A5072" s="5" t="s">
        <v>5106</v>
      </c>
      <c r="B5072" s="5" t="s">
        <v>6939</v>
      </c>
      <c r="C5072" s="6" t="str">
        <f>_xll.QS.CONTEXT.CREATE("market.5070",A5072,"USD","SOFR")</f>
        <v>QSObject:PricingContext:w1~market.5070:11016</v>
      </c>
      <c r="D5072" s="6" t="str">
        <f>_xll.QS.CONTEXT.ADD.CURVE(C5072,"SOFR",$K$2:$K$7,$L$2:$L$7,,,"Actual360","LogLinear",TRUE)</f>
        <v>QSObject:ContextInput:w1~input.qs_context_add_curve.2359132437744.5071.3.0:35555</v>
      </c>
      <c r="E5072" s="6" t="str">
        <f>_xll.QS.INSTRUMENT.SWAP("swap.5070",H5072,B5072,"USD","SOFR",I5072,J5072,0,"Actual360","Simple","Annual","Annual","Annual")</f>
        <v>QSObject:Swap:w1~swap.5070:11015</v>
      </c>
      <c r="F5072" s="6" t="str">
        <f>_xll.QS.TRADE.CREATE("trade.5070",E5072,A5072,"Receive")</f>
        <v>QSObject:SwapTrade:w1~trade.5070:26449</v>
      </c>
      <c r="G5072" s="3">
        <f>_xll.QS.EVALUATE(C5072,F5072)</f>
        <v>34687.905216242456</v>
      </c>
      <c r="H5072" s="5" t="s">
        <v>5113</v>
      </c>
      <c r="I5072" s="7">
        <v>1507000</v>
      </c>
      <c r="J5072" s="8">
        <v>3.7000000000000012E-2</v>
      </c>
    </row>
    <row r="5073" spans="1:10" x14ac:dyDescent="0.25">
      <c r="A5073" s="5" t="s">
        <v>5107</v>
      </c>
      <c r="B5073" s="5" t="s">
        <v>6940</v>
      </c>
      <c r="C5073" s="6" t="str">
        <f>_xll.QS.CONTEXT.CREATE("market.5071",A5073,"USD","SOFR")</f>
        <v>QSObject:PricingContext:w1~market.5071:11014</v>
      </c>
      <c r="D5073" s="6" t="str">
        <f>_xll.QS.CONTEXT.ADD.CURVE(C5073,"SOFR",$K$2:$K$7,$L$2:$L$7,,,"Actual360","LogLinear",TRUE)</f>
        <v>QSObject:ContextInput:w1~input.qs_context_add_curve.2359132437744.5072.3.0:35554</v>
      </c>
      <c r="E5073" s="6" t="str">
        <f>_xll.QS.INSTRUMENT.SWAP("swap.5071",H5073,B5073,"USD","SOFR",I5073,J5073,0,"Actual360","Simple","Annual","Annual","Annual")</f>
        <v>QSObject:Swap:w1~swap.5071:11013</v>
      </c>
      <c r="F5073" s="6" t="str">
        <f>_xll.QS.TRADE.CREATE("trade.5071",E5073,A5073,"Receive")</f>
        <v>QSObject:SwapTrade:w1~trade.5071:26950</v>
      </c>
      <c r="G5073" s="3">
        <f>_xll.QS.EVALUATE(C5073,F5073)</f>
        <v>35332.624317399306</v>
      </c>
      <c r="H5073" s="5" t="s">
        <v>5114</v>
      </c>
      <c r="I5073" s="7">
        <v>1507100</v>
      </c>
      <c r="J5073" s="8">
        <v>3.7100000000000001E-2</v>
      </c>
    </row>
    <row r="5074" spans="1:10" x14ac:dyDescent="0.25">
      <c r="A5074" s="5" t="s">
        <v>5108</v>
      </c>
      <c r="B5074" s="5" t="s">
        <v>6941</v>
      </c>
      <c r="C5074" s="6" t="str">
        <f>_xll.QS.CONTEXT.CREATE("market.5072",A5074,"USD","SOFR")</f>
        <v>QSObject:PricingContext:w1~market.5072:11012</v>
      </c>
      <c r="D5074" s="6" t="str">
        <f>_xll.QS.CONTEXT.ADD.CURVE(C5074,"SOFR",$K$2:$K$7,$L$2:$L$7,,,"Actual360","LogLinear",TRUE)</f>
        <v>QSObject:ContextInput:w1~input.qs_context_add_curve.2359132437744.5073.3.0:35553</v>
      </c>
      <c r="E5074" s="6" t="str">
        <f>_xll.QS.INSTRUMENT.SWAP("swap.5072",H5074,B5074,"USD","SOFR",I5074,J5074,0,"Actual360","Simple","Annual","Annual","Annual")</f>
        <v>QSObject:Swap:w1~swap.5072:11011</v>
      </c>
      <c r="F5074" s="6" t="str">
        <f>_xll.QS.TRADE.CREATE("trade.5072",E5074,A5074,"Receive")</f>
        <v>QSObject:SwapTrade:w1~trade.5072:26949</v>
      </c>
      <c r="G5074" s="3">
        <f>_xll.QS.EVALUATE(C5074,F5074)</f>
        <v>36147.954589473091</v>
      </c>
      <c r="H5074" s="5" t="s">
        <v>5115</v>
      </c>
      <c r="I5074" s="7">
        <v>1507200</v>
      </c>
      <c r="J5074" s="8">
        <v>3.7199999999999997E-2</v>
      </c>
    </row>
    <row r="5075" spans="1:10" x14ac:dyDescent="0.25">
      <c r="A5075" s="5" t="s">
        <v>5109</v>
      </c>
      <c r="B5075" s="5" t="s">
        <v>6942</v>
      </c>
      <c r="C5075" s="6" t="str">
        <f>_xll.QS.CONTEXT.CREATE("market.5073",A5075,"USD","SOFR")</f>
        <v>QSObject:PricingContext:w1~market.5073:11010</v>
      </c>
      <c r="D5075" s="6" t="str">
        <f>_xll.QS.CONTEXT.ADD.CURVE(C5075,"SOFR",$K$2:$K$7,$L$2:$L$7,,,"Actual360","LogLinear",TRUE)</f>
        <v>QSObject:ContextInput:w1~input.qs_context_add_curve.2359132437744.5074.3.0:35552</v>
      </c>
      <c r="E5075" s="6" t="str">
        <f>_xll.QS.INSTRUMENT.SWAP("swap.5073",H5075,B5075,"USD","SOFR",I5075,J5075,0,"Actual360","Simple","Annual","Annual","Annual")</f>
        <v>QSObject:Swap:w1~swap.5073:11009</v>
      </c>
      <c r="F5075" s="6" t="str">
        <f>_xll.QS.TRADE.CREATE("trade.5073",E5075,A5075,"Receive")</f>
        <v>QSObject:SwapTrade:w1~trade.5073:26448</v>
      </c>
      <c r="G5075" s="3">
        <f>_xll.QS.EVALUATE(C5075,F5075)</f>
        <v>36848.550500153848</v>
      </c>
      <c r="H5075" s="5" t="s">
        <v>5116</v>
      </c>
      <c r="I5075" s="7">
        <v>1507300</v>
      </c>
      <c r="J5075" s="8">
        <v>3.73E-2</v>
      </c>
    </row>
    <row r="5076" spans="1:10" x14ac:dyDescent="0.25">
      <c r="A5076" s="5" t="s">
        <v>5110</v>
      </c>
      <c r="B5076" s="5" t="s">
        <v>6943</v>
      </c>
      <c r="C5076" s="6" t="str">
        <f>_xll.QS.CONTEXT.CREATE("market.5074",A5076,"USD","SOFR")</f>
        <v>QSObject:PricingContext:w1~market.5074:11008</v>
      </c>
      <c r="D5076" s="6" t="str">
        <f>_xll.QS.CONTEXT.ADD.CURVE(C5076,"SOFR",$K$2:$K$7,$L$2:$L$7,,,"Actual360","LogLinear",TRUE)</f>
        <v>QSObject:ContextInput:w1~input.qs_context_add_curve.2359132437744.5075.3.0:35551</v>
      </c>
      <c r="E5076" s="6" t="str">
        <f>_xll.QS.INSTRUMENT.SWAP("swap.5074",H5076,B5076,"USD","SOFR",I5076,J5076,0,"Actual360","Simple","Annual","Annual","Annual")</f>
        <v>QSObject:Swap:w1~swap.5074:11007</v>
      </c>
      <c r="F5076" s="6" t="str">
        <f>_xll.QS.TRADE.CREATE("trade.5074",E5076,A5076,"Receive")</f>
        <v>QSObject:SwapTrade:w1~trade.5074:26948</v>
      </c>
      <c r="G5076" s="3">
        <f>_xll.QS.EVALUATE(C5076,F5076)</f>
        <v>37549.684987181383</v>
      </c>
      <c r="H5076" s="5" t="s">
        <v>5117</v>
      </c>
      <c r="I5076" s="7">
        <v>1507400</v>
      </c>
      <c r="J5076" s="8">
        <v>3.7400000000000003E-2</v>
      </c>
    </row>
    <row r="5077" spans="1:10" x14ac:dyDescent="0.25">
      <c r="A5077" s="5" t="s">
        <v>5111</v>
      </c>
      <c r="B5077" s="5" t="s">
        <v>6944</v>
      </c>
      <c r="C5077" s="6" t="str">
        <f>_xll.QS.CONTEXT.CREATE("market.5075",A5077,"USD","SOFR")</f>
        <v>QSObject:PricingContext:w1~market.5075:11006</v>
      </c>
      <c r="D5077" s="6" t="str">
        <f>_xll.QS.CONTEXT.ADD.CURVE(C5077,"SOFR",$K$2:$K$7,$L$2:$L$7,,,"Actual360","LogLinear",TRUE)</f>
        <v>QSObject:ContextInput:w1~input.qs_context_add_curve.2359132437744.5076.3.0:35550</v>
      </c>
      <c r="E5077" s="6" t="str">
        <f>_xll.QS.INSTRUMENT.SWAP("swap.5075",H5077,B5077,"USD","SOFR",I5077,J5077,0,"Actual360","Simple","Annual","Annual","Annual")</f>
        <v>QSObject:Swap:w1~swap.5075:11005</v>
      </c>
      <c r="F5077" s="6" t="str">
        <f>_xll.QS.TRADE.CREATE("trade.5075",E5077,A5077,"Receive")</f>
        <v>QSObject:SwapTrade:w1~trade.5075:26447</v>
      </c>
      <c r="G5077" s="3">
        <f>_xll.QS.EVALUATE(C5077,F5077)</f>
        <v>38233.700845719111</v>
      </c>
      <c r="H5077" s="5" t="s">
        <v>5118</v>
      </c>
      <c r="I5077" s="7">
        <v>1507500</v>
      </c>
      <c r="J5077" s="8">
        <v>3.7500000000000012E-2</v>
      </c>
    </row>
    <row r="5078" spans="1:10" x14ac:dyDescent="0.25">
      <c r="A5078" s="5" t="s">
        <v>5112</v>
      </c>
      <c r="B5078" s="5" t="s">
        <v>6945</v>
      </c>
      <c r="C5078" s="6" t="str">
        <f>_xll.QS.CONTEXT.CREATE("market.5076",A5078,"USD","SOFR")</f>
        <v>QSObject:PricingContext:w1~market.5076:11004</v>
      </c>
      <c r="D5078" s="6" t="str">
        <f>_xll.QS.CONTEXT.ADD.CURVE(C5078,"SOFR",$K$2:$K$7,$L$2:$L$7,,,"Actual360","LogLinear",TRUE)</f>
        <v>QSObject:ContextInput:w1~input.qs_context_add_curve.2359132437744.5077.3.0:35549</v>
      </c>
      <c r="E5078" s="6" t="str">
        <f>_xll.QS.INSTRUMENT.SWAP("swap.5076",H5078,B5078,"USD","SOFR",I5078,J5078,0,"Actual360","Simple","Annual","Annual","Annual")</f>
        <v>QSObject:Swap:w1~swap.5076:11003</v>
      </c>
      <c r="F5078" s="6" t="str">
        <f>_xll.QS.TRADE.CREATE("trade.5076",E5078,A5078,"Receive")</f>
        <v>QSObject:SwapTrade:w1~trade.5076:26947</v>
      </c>
      <c r="G5078" s="3">
        <f>_xll.QS.EVALUATE(C5078,F5078)</f>
        <v>38935.569893653126</v>
      </c>
      <c r="H5078" s="5" t="s">
        <v>5119</v>
      </c>
      <c r="I5078" s="7">
        <v>1507600</v>
      </c>
      <c r="J5078" s="8">
        <v>3.7600000000000001E-2</v>
      </c>
    </row>
    <row r="5079" spans="1:10" x14ac:dyDescent="0.25">
      <c r="A5079" s="5" t="s">
        <v>5113</v>
      </c>
      <c r="B5079" s="5" t="s">
        <v>6946</v>
      </c>
      <c r="C5079" s="6" t="str">
        <f>_xll.QS.CONTEXT.CREATE("market.5077",A5079,"USD","SOFR")</f>
        <v>QSObject:PricingContext:w1~market.5077:11002</v>
      </c>
      <c r="D5079" s="6" t="str">
        <f>_xll.QS.CONTEXT.ADD.CURVE(C5079,"SOFR",$K$2:$K$7,$L$2:$L$7,,,"Actual360","LogLinear",TRUE)</f>
        <v>QSObject:ContextInput:w1~input.qs_context_add_curve.2359132437744.5078.3.0:35548</v>
      </c>
      <c r="E5079" s="6" t="str">
        <f>_xll.QS.INSTRUMENT.SWAP("swap.5077",H5079,B5079,"USD","SOFR",I5079,J5079,0,"Actual360","Simple","Annual","Annual","Annual")</f>
        <v>QSObject:Swap:w1~swap.5077:11001</v>
      </c>
      <c r="F5079" s="6" t="str">
        <f>_xll.QS.TRADE.CREATE("trade.5077",E5079,A5079,"Receive")</f>
        <v>QSObject:SwapTrade:w1~trade.5077:26946</v>
      </c>
      <c r="G5079" s="3">
        <f>_xll.QS.EVALUATE(C5079,F5079)</f>
        <v>39641.264576185691</v>
      </c>
      <c r="H5079" s="5" t="s">
        <v>5120</v>
      </c>
      <c r="I5079" s="7">
        <v>1507700</v>
      </c>
      <c r="J5079" s="8">
        <v>3.7699999999999997E-2</v>
      </c>
    </row>
    <row r="5080" spans="1:10" x14ac:dyDescent="0.25">
      <c r="A5080" s="5" t="s">
        <v>5114</v>
      </c>
      <c r="B5080" s="5" t="s">
        <v>6947</v>
      </c>
      <c r="C5080" s="6" t="str">
        <f>_xll.QS.CONTEXT.CREATE("market.5078",A5080,"USD","SOFR")</f>
        <v>QSObject:PricingContext:w1~market.5078:11000</v>
      </c>
      <c r="D5080" s="6" t="str">
        <f>_xll.QS.CONTEXT.ADD.CURVE(C5080,"SOFR",$K$2:$K$7,$L$2:$L$7,,,"Actual360","LogLinear",TRUE)</f>
        <v>QSObject:ContextInput:w1~input.qs_context_add_curve.2359132437744.5079.3.0:35547</v>
      </c>
      <c r="E5080" s="6" t="str">
        <f>_xll.QS.INSTRUMENT.SWAP("swap.5078",H5080,B5080,"USD","SOFR",I5080,J5080,0,"Actual360","Simple","Annual","Annual","Annual")</f>
        <v>QSObject:Swap:w1~swap.5078:10999</v>
      </c>
      <c r="F5080" s="6" t="str">
        <f>_xll.QS.TRADE.CREATE("trade.5078",E5080,A5080,"Receive")</f>
        <v>QSObject:SwapTrade:w1~trade.5078:26446</v>
      </c>
      <c r="G5080" s="3">
        <f>_xll.QS.EVALUATE(C5080,F5080)</f>
        <v>40279.609479674982</v>
      </c>
      <c r="H5080" s="5" t="s">
        <v>5121</v>
      </c>
      <c r="I5080" s="7">
        <v>1507800</v>
      </c>
      <c r="J5080" s="8">
        <v>3.78E-2</v>
      </c>
    </row>
    <row r="5081" spans="1:10" x14ac:dyDescent="0.25">
      <c r="A5081" s="5" t="s">
        <v>5115</v>
      </c>
      <c r="B5081" s="5" t="s">
        <v>6948</v>
      </c>
      <c r="C5081" s="6" t="str">
        <f>_xll.QS.CONTEXT.CREATE("market.5079",A5081,"USD","SOFR")</f>
        <v>QSObject:PricingContext:w1~market.5079:10998</v>
      </c>
      <c r="D5081" s="6" t="str">
        <f>_xll.QS.CONTEXT.ADD.CURVE(C5081,"SOFR",$K$2:$K$7,$L$2:$L$7,,,"Actual360","LogLinear",TRUE)</f>
        <v>QSObject:ContextInput:w1~input.qs_context_add_curve.2359132437744.5080.3.0:35546</v>
      </c>
      <c r="E5081" s="6" t="str">
        <f>_xll.QS.INSTRUMENT.SWAP("swap.5079",H5081,B5081,"USD","SOFR",I5081,J5081,0,"Actual360","Simple","Annual","Annual","Annual")</f>
        <v>QSObject:Swap:w1~swap.5079:10997</v>
      </c>
      <c r="F5081" s="6" t="str">
        <f>_xll.QS.TRADE.CREATE("trade.5079",E5081,A5081,"Receive")</f>
        <v>QSObject:SwapTrade:w1~trade.5079:26445</v>
      </c>
      <c r="G5081" s="3">
        <f>_xll.QS.EVALUATE(C5081,F5081)</f>
        <v>40979.253438009844</v>
      </c>
      <c r="H5081" s="5" t="s">
        <v>5122</v>
      </c>
      <c r="I5081" s="7">
        <v>1507900</v>
      </c>
      <c r="J5081" s="8">
        <v>3.7900000000000003E-2</v>
      </c>
    </row>
    <row r="5082" spans="1:10" x14ac:dyDescent="0.25">
      <c r="A5082" s="5" t="s">
        <v>5116</v>
      </c>
      <c r="B5082" s="5" t="s">
        <v>6949</v>
      </c>
      <c r="C5082" s="6" t="str">
        <f>_xll.QS.CONTEXT.CREATE("market.5080",A5082,"USD","SOFR")</f>
        <v>QSObject:PricingContext:w1~market.5080:10996</v>
      </c>
      <c r="D5082" s="6" t="str">
        <f>_xll.QS.CONTEXT.ADD.CURVE(C5082,"SOFR",$K$2:$K$7,$L$2:$L$7,,,"Actual360","LogLinear",TRUE)</f>
        <v>QSObject:ContextInput:w1~input.qs_context_add_curve.2359132437744.5081.3.0:35545</v>
      </c>
      <c r="E5082" s="6" t="str">
        <f>_xll.QS.INSTRUMENT.SWAP("swap.5080",H5082,B5082,"USD","SOFR",I5082,J5082,0,"Actual360","Simple","Annual","Annual","Annual")</f>
        <v>QSObject:Swap:w1~swap.5080:10995</v>
      </c>
      <c r="F5082" s="6" t="str">
        <f>_xll.QS.TRADE.CREATE("trade.5080",E5082,A5082,"Receive")</f>
        <v>QSObject:SwapTrade:w1~trade.5080:26444</v>
      </c>
      <c r="G5082" s="3">
        <f>_xll.QS.EVALUATE(C5082,F5082)</f>
        <v>41491.342285275539</v>
      </c>
      <c r="H5082" s="5" t="s">
        <v>5123</v>
      </c>
      <c r="I5082" s="7">
        <v>1508000</v>
      </c>
      <c r="J5082" s="8">
        <v>3.8000000000000013E-2</v>
      </c>
    </row>
    <row r="5083" spans="1:10" x14ac:dyDescent="0.25">
      <c r="A5083" s="5" t="s">
        <v>5117</v>
      </c>
      <c r="B5083" s="5" t="s">
        <v>6950</v>
      </c>
      <c r="C5083" s="6" t="str">
        <f>_xll.QS.CONTEXT.CREATE("market.5081",A5083,"USD","SOFR")</f>
        <v>QSObject:PricingContext:w1~market.5081:10994</v>
      </c>
      <c r="D5083" s="6" t="str">
        <f>_xll.QS.CONTEXT.ADD.CURVE(C5083,"SOFR",$K$2:$K$7,$L$2:$L$7,,,"Actual360","LogLinear",TRUE)</f>
        <v>QSObject:ContextInput:w1~input.qs_context_add_curve.2359132437744.5082.3.0:35544</v>
      </c>
      <c r="E5083" s="6" t="str">
        <f>_xll.QS.INSTRUMENT.SWAP("swap.5081",H5083,B5083,"USD","SOFR",I5083,J5083,0,"Actual360","Simple","Annual","Annual","Annual")</f>
        <v>QSObject:Swap:w1~swap.5081:10993</v>
      </c>
      <c r="F5083" s="6" t="str">
        <f>_xll.QS.TRADE.CREATE("trade.5081",E5083,A5083,"Receive")</f>
        <v>QSObject:SwapTrade:w1~trade.5081:26443</v>
      </c>
      <c r="G5083" s="3">
        <f>_xll.QS.EVALUATE(C5083,F5083)</f>
        <v>42193.080642979032</v>
      </c>
      <c r="H5083" s="5" t="s">
        <v>5124</v>
      </c>
      <c r="I5083" s="7">
        <v>1508100</v>
      </c>
      <c r="J5083" s="8">
        <v>3.8100000000000002E-2</v>
      </c>
    </row>
    <row r="5084" spans="1:10" x14ac:dyDescent="0.25">
      <c r="A5084" s="5" t="s">
        <v>5118</v>
      </c>
      <c r="B5084" s="5" t="s">
        <v>6951</v>
      </c>
      <c r="C5084" s="6" t="str">
        <f>_xll.QS.CONTEXT.CREATE("market.5082",A5084,"USD","SOFR")</f>
        <v>QSObject:PricingContext:w1~market.5082:10992</v>
      </c>
      <c r="D5084" s="6" t="str">
        <f>_xll.QS.CONTEXT.ADD.CURVE(C5084,"SOFR",$K$2:$K$7,$L$2:$L$7,,,"Actual360","LogLinear",TRUE)</f>
        <v>QSObject:ContextInput:w1~input.qs_context_add_curve.2359132437744.5083.3.0:35543</v>
      </c>
      <c r="E5084" s="6" t="str">
        <f>_xll.QS.INSTRUMENT.SWAP("swap.5082",H5084,B5084,"USD","SOFR",I5084,J5084,0,"Actual360","Simple","Annual","Annual","Annual")</f>
        <v>QSObject:Swap:w1~swap.5082:10991</v>
      </c>
      <c r="F5084" s="6" t="str">
        <f>_xll.QS.TRADE.CREATE("trade.5082",E5084,A5084,"Receive")</f>
        <v>QSObject:SwapTrade:w1~trade.5082:26945</v>
      </c>
      <c r="G5084" s="3">
        <f>_xll.QS.EVALUATE(C5084,F5084)</f>
        <v>42955.493957473089</v>
      </c>
      <c r="H5084" s="5" t="s">
        <v>5125</v>
      </c>
      <c r="I5084" s="7">
        <v>1508200</v>
      </c>
      <c r="J5084" s="8">
        <v>3.8199999999999998E-2</v>
      </c>
    </row>
    <row r="5085" spans="1:10" x14ac:dyDescent="0.25">
      <c r="A5085" s="5" t="s">
        <v>5119</v>
      </c>
      <c r="B5085" s="5" t="s">
        <v>6952</v>
      </c>
      <c r="C5085" s="6" t="str">
        <f>_xll.QS.CONTEXT.CREATE("market.5083",A5085,"USD","SOFR")</f>
        <v>QSObject:PricingContext:w1~market.5083:10990</v>
      </c>
      <c r="D5085" s="6" t="str">
        <f>_xll.QS.CONTEXT.ADD.CURVE(C5085,"SOFR",$K$2:$K$7,$L$2:$L$7,,,"Actual360","LogLinear",TRUE)</f>
        <v>QSObject:ContextInput:w1~input.qs_context_add_curve.2359132437744.5084.3.0:35542</v>
      </c>
      <c r="E5085" s="6" t="str">
        <f>_xll.QS.INSTRUMENT.SWAP("swap.5083",H5085,B5085,"USD","SOFR",I5085,J5085,0,"Actual360","Simple","Annual","Annual","Annual")</f>
        <v>QSObject:Swap:w1~swap.5083:10989</v>
      </c>
      <c r="F5085" s="6" t="str">
        <f>_xll.QS.TRADE.CREATE("trade.5083",E5085,A5085,"Receive")</f>
        <v>QSObject:SwapTrade:w1~trade.5083:26944</v>
      </c>
      <c r="G5085" s="3">
        <f>_xll.QS.EVALUATE(C5085,F5085)</f>
        <v>43764.518121244801</v>
      </c>
      <c r="H5085" s="5" t="s">
        <v>5126</v>
      </c>
      <c r="I5085" s="7">
        <v>1508300</v>
      </c>
      <c r="J5085" s="8">
        <v>3.8300000000000001E-2</v>
      </c>
    </row>
    <row r="5086" spans="1:10" x14ac:dyDescent="0.25">
      <c r="A5086" s="5" t="s">
        <v>5120</v>
      </c>
      <c r="B5086" s="5" t="s">
        <v>6953</v>
      </c>
      <c r="C5086" s="6" t="str">
        <f>_xll.QS.CONTEXT.CREATE("market.5084",A5086,"USD","SOFR")</f>
        <v>QSObject:PricingContext:w1~market.5084:10988</v>
      </c>
      <c r="D5086" s="6" t="str">
        <f>_xll.QS.CONTEXT.ADD.CURVE(C5086,"SOFR",$K$2:$K$7,$L$2:$L$7,,,"Actual360","LogLinear",TRUE)</f>
        <v>QSObject:ContextInput:w1~input.qs_context_add_curve.2359132437744.5085.3.0:35541</v>
      </c>
      <c r="E5086" s="6" t="str">
        <f>_xll.QS.INSTRUMENT.SWAP("swap.5084",H5086,B5086,"USD","SOFR",I5086,J5086,0,"Actual360","Simple","Annual","Annual","Annual")</f>
        <v>QSObject:Swap:w1~swap.5084:10987</v>
      </c>
      <c r="F5086" s="6" t="str">
        <f>_xll.QS.TRADE.CREATE("trade.5084",E5086,A5086,"Receive")</f>
        <v>QSObject:SwapTrade:w1~trade.5084:26943</v>
      </c>
      <c r="G5086" s="3">
        <f>_xll.QS.EVALUATE(C5086,F5086)</f>
        <v>44463.106441676799</v>
      </c>
      <c r="H5086" s="5" t="s">
        <v>5127</v>
      </c>
      <c r="I5086" s="7">
        <v>1508400</v>
      </c>
      <c r="J5086" s="8">
        <v>3.8399999999999997E-2</v>
      </c>
    </row>
    <row r="5087" spans="1:10" x14ac:dyDescent="0.25">
      <c r="A5087" s="5" t="s">
        <v>5121</v>
      </c>
      <c r="B5087" s="5" t="s">
        <v>6954</v>
      </c>
      <c r="C5087" s="6" t="str">
        <f>_xll.QS.CONTEXT.CREATE("market.5085",A5087,"USD","SOFR")</f>
        <v>QSObject:PricingContext:w1~market.5085:10986</v>
      </c>
      <c r="D5087" s="6" t="str">
        <f>_xll.QS.CONTEXT.ADD.CURVE(C5087,"SOFR",$K$2:$K$7,$L$2:$L$7,,,"Actual360","LogLinear",TRUE)</f>
        <v>QSObject:ContextInput:w1~input.qs_context_add_curve.2359132437744.5086.3.0:35540</v>
      </c>
      <c r="E5087" s="6" t="str">
        <f>_xll.QS.INSTRUMENT.SWAP("swap.5085",H5087,B5087,"USD","SOFR",I5087,J5087,0,"Actual360","Simple","Annual","Annual","Annual")</f>
        <v>QSObject:Swap:w1~swap.5085:10985</v>
      </c>
      <c r="F5087" s="6" t="str">
        <f>_xll.QS.TRADE.CREATE("trade.5085",E5087,A5087,"Receive")</f>
        <v>QSObject:SwapTrade:w1~trade.5085:26442</v>
      </c>
      <c r="G5087" s="3">
        <f>_xll.QS.EVALUATE(C5087,F5087)</f>
        <v>45170.134184760536</v>
      </c>
      <c r="H5087" s="5" t="s">
        <v>5128</v>
      </c>
      <c r="I5087" s="7">
        <v>1508500</v>
      </c>
      <c r="J5087" s="8">
        <v>3.8500000000000013E-2</v>
      </c>
    </row>
    <row r="5088" spans="1:10" x14ac:dyDescent="0.25">
      <c r="A5088" s="5" t="s">
        <v>5122</v>
      </c>
      <c r="B5088" s="5" t="s">
        <v>6955</v>
      </c>
      <c r="C5088" s="6" t="str">
        <f>_xll.QS.CONTEXT.CREATE("market.5086",A5088,"USD","SOFR")</f>
        <v>QSObject:PricingContext:w1~market.5086:10984</v>
      </c>
      <c r="D5088" s="6" t="str">
        <f>_xll.QS.CONTEXT.ADD.CURVE(C5088,"SOFR",$K$2:$K$7,$L$2:$L$7,,,"Actual360","LogLinear",TRUE)</f>
        <v>QSObject:ContextInput:w1~input.qs_context_add_curve.2359132437744.5087.3.0:35539</v>
      </c>
      <c r="E5088" s="6" t="str">
        <f>_xll.QS.INSTRUMENT.SWAP("swap.5086",H5088,B5088,"USD","SOFR",I5088,J5088,0,"Actual360","Simple","Annual","Annual","Annual")</f>
        <v>QSObject:Swap:w1~swap.5086:10983</v>
      </c>
      <c r="F5088" s="6" t="str">
        <f>_xll.QS.TRADE.CREATE("trade.5086",E5088,A5088,"Receive")</f>
        <v>QSObject:SwapTrade:w1~trade.5086:26441</v>
      </c>
      <c r="G5088" s="3">
        <f>_xll.QS.EVALUATE(C5088,F5088)</f>
        <v>45870.443196687374</v>
      </c>
      <c r="H5088" s="5" t="s">
        <v>5129</v>
      </c>
      <c r="I5088" s="7">
        <v>1508600</v>
      </c>
      <c r="J5088" s="8">
        <v>3.8600000000000002E-2</v>
      </c>
    </row>
    <row r="5089" spans="1:10" x14ac:dyDescent="0.25">
      <c r="A5089" s="5" t="s">
        <v>5123</v>
      </c>
      <c r="B5089" s="5" t="s">
        <v>6956</v>
      </c>
      <c r="C5089" s="6" t="str">
        <f>_xll.QS.CONTEXT.CREATE("market.5087",A5089,"USD","SOFR")</f>
        <v>QSObject:PricingContext:w1~market.5087:10982</v>
      </c>
      <c r="D5089" s="6" t="str">
        <f>_xll.QS.CONTEXT.ADD.CURVE(C5089,"SOFR",$K$2:$K$7,$L$2:$L$7,,,"Actual360","LogLinear",TRUE)</f>
        <v>QSObject:ContextInput:w1~input.qs_context_add_curve.2359132437744.5088.3.0:35538</v>
      </c>
      <c r="E5089" s="6" t="str">
        <f>_xll.QS.INSTRUMENT.SWAP("swap.5087",H5089,B5089,"USD","SOFR",I5089,J5089,0,"Actual360","Simple","Annual","Annual","Annual")</f>
        <v>QSObject:Swap:w1~swap.5087:10981</v>
      </c>
      <c r="F5089" s="6" t="str">
        <f>_xll.QS.TRADE.CREATE("trade.5087",E5089,A5089,"Receive")</f>
        <v>QSObject:SwapTrade:w1~trade.5087:26942</v>
      </c>
      <c r="G5089" s="3">
        <f>_xll.QS.EVALUATE(C5089,F5089)</f>
        <v>46382.111411056219</v>
      </c>
      <c r="H5089" s="5" t="s">
        <v>5130</v>
      </c>
      <c r="I5089" s="7">
        <v>1508700</v>
      </c>
      <c r="J5089" s="8">
        <v>3.8700000000000012E-2</v>
      </c>
    </row>
    <row r="5090" spans="1:10" x14ac:dyDescent="0.25">
      <c r="A5090" s="5" t="s">
        <v>5124</v>
      </c>
      <c r="B5090" s="5" t="s">
        <v>6957</v>
      </c>
      <c r="C5090" s="6" t="str">
        <f>_xll.QS.CONTEXT.CREATE("market.5088",A5090,"USD","SOFR")</f>
        <v>QSObject:PricingContext:w1~market.5088:10980</v>
      </c>
      <c r="D5090" s="6" t="str">
        <f>_xll.QS.CONTEXT.ADD.CURVE(C5090,"SOFR",$K$2:$K$7,$L$2:$L$7,,,"Actual360","LogLinear",TRUE)</f>
        <v>QSObject:ContextInput:w1~input.qs_context_add_curve.2359132437744.5089.3.0:35537</v>
      </c>
      <c r="E5090" s="6" t="str">
        <f>_xll.QS.INSTRUMENT.SWAP("swap.5088",H5090,B5090,"USD","SOFR",I5090,J5090,0,"Actual360","Simple","Annual","Annual","Annual")</f>
        <v>QSObject:Swap:w1~swap.5088:10979</v>
      </c>
      <c r="F5090" s="6" t="str">
        <f>_xll.QS.TRADE.CREATE("trade.5088",E5090,A5090,"Receive")</f>
        <v>QSObject:SwapTrade:w1~trade.5088:26440</v>
      </c>
      <c r="G5090" s="3">
        <f>_xll.QS.EVALUATE(C5090,F5090)</f>
        <v>47084.905694887457</v>
      </c>
      <c r="H5090" s="5" t="s">
        <v>5131</v>
      </c>
      <c r="I5090" s="7">
        <v>1508800</v>
      </c>
      <c r="J5090" s="8">
        <v>3.8800000000000001E-2</v>
      </c>
    </row>
    <row r="5091" spans="1:10" x14ac:dyDescent="0.25">
      <c r="A5091" s="5" t="s">
        <v>5125</v>
      </c>
      <c r="B5091" s="5" t="s">
        <v>6958</v>
      </c>
      <c r="C5091" s="6" t="str">
        <f>_xll.QS.CONTEXT.CREATE("market.5089",A5091,"USD","SOFR")</f>
        <v>QSObject:PricingContext:w1~market.5089:10978</v>
      </c>
      <c r="D5091" s="6" t="str">
        <f>_xll.QS.CONTEXT.ADD.CURVE(C5091,"SOFR",$K$2:$K$7,$L$2:$L$7,,,"Actual360","LogLinear",TRUE)</f>
        <v>QSObject:ContextInput:w1~input.qs_context_add_curve.2359132437744.5090.3.0:35536</v>
      </c>
      <c r="E5091" s="6" t="str">
        <f>_xll.QS.INSTRUMENT.SWAP("swap.5089",H5091,B5091,"USD","SOFR",I5091,J5091,0,"Actual360","Simple","Annual","Annual","Annual")</f>
        <v>QSObject:Swap:w1~swap.5089:10977</v>
      </c>
      <c r="F5091" s="6" t="str">
        <f>_xll.QS.TRADE.CREATE("trade.5089",E5091,A5091,"Receive")</f>
        <v>QSObject:SwapTrade:w1~trade.5089:26941</v>
      </c>
      <c r="G5091" s="3">
        <f>_xll.QS.EVALUATE(C5091,F5091)</f>
        <v>47848.471165840187</v>
      </c>
      <c r="H5091" s="5" t="s">
        <v>5132</v>
      </c>
      <c r="I5091" s="7">
        <v>1508900</v>
      </c>
      <c r="J5091" s="8">
        <v>3.8899999999999997E-2</v>
      </c>
    </row>
    <row r="5092" spans="1:10" x14ac:dyDescent="0.25">
      <c r="A5092" s="5" t="s">
        <v>5126</v>
      </c>
      <c r="B5092" s="5" t="s">
        <v>6959</v>
      </c>
      <c r="C5092" s="6" t="str">
        <f>_xll.QS.CONTEXT.CREATE("market.5090",A5092,"USD","SOFR")</f>
        <v>QSObject:PricingContext:w1~market.5090:10976</v>
      </c>
      <c r="D5092" s="6" t="str">
        <f>_xll.QS.CONTEXT.ADD.CURVE(C5092,"SOFR",$K$2:$K$7,$L$2:$L$7,,,"Actual360","LogLinear",TRUE)</f>
        <v>QSObject:ContextInput:w1~input.qs_context_add_curve.2359132437744.5091.3.0:35535</v>
      </c>
      <c r="E5092" s="6" t="str">
        <f>_xll.QS.INSTRUMENT.SWAP("swap.5090",H5092,B5092,"USD","SOFR",I5092,J5092,0,"Actual360","Simple","Annual","Annual","Annual")</f>
        <v>QSObject:Swap:w1~swap.5090:10975</v>
      </c>
      <c r="F5092" s="6" t="str">
        <f>_xll.QS.TRADE.CREATE("trade.5090",E5092,A5092,"Receive")</f>
        <v>QSObject:SwapTrade:w1~trade.5090:26439</v>
      </c>
      <c r="G5092" s="3">
        <f>_xll.QS.EVALUATE(C5092,F5092)</f>
        <v>48658.26477329489</v>
      </c>
      <c r="H5092" s="5" t="s">
        <v>5133</v>
      </c>
      <c r="I5092" s="7">
        <v>1509000</v>
      </c>
      <c r="J5092" s="8">
        <v>3.9000000000000007E-2</v>
      </c>
    </row>
    <row r="5093" spans="1:10" x14ac:dyDescent="0.25">
      <c r="A5093" s="5" t="s">
        <v>5127</v>
      </c>
      <c r="B5093" s="5" t="s">
        <v>6960</v>
      </c>
      <c r="C5093" s="6" t="str">
        <f>_xll.QS.CONTEXT.CREATE("market.5091",A5093,"USD","SOFR")</f>
        <v>QSObject:PricingContext:w1~market.5091:10974</v>
      </c>
      <c r="D5093" s="6" t="str">
        <f>_xll.QS.CONTEXT.ADD.CURVE(C5093,"SOFR",$K$2:$K$7,$L$2:$L$7,,,"Actual360","LogLinear",TRUE)</f>
        <v>QSObject:ContextInput:w1~input.qs_context_add_curve.2359132437744.5092.3.0:35534</v>
      </c>
      <c r="E5093" s="6" t="str">
        <f>_xll.QS.INSTRUMENT.SWAP("swap.5091",H5093,B5093,"USD","SOFR",I5093,J5093,0,"Actual360","Simple","Annual","Annual","Annual")</f>
        <v>QSObject:Swap:w1~swap.5091:10973</v>
      </c>
      <c r="F5093" s="6" t="str">
        <f>_xll.QS.TRADE.CREATE("trade.5091",E5093,A5093,"Receive")</f>
        <v>QSObject:SwapTrade:w1~trade.5091:26940</v>
      </c>
      <c r="G5093" s="3">
        <f>_xll.QS.EVALUATE(C5093,F5093)</f>
        <v>49357.489294113882</v>
      </c>
      <c r="H5093" s="5" t="s">
        <v>5134</v>
      </c>
      <c r="I5093" s="7">
        <v>1509100</v>
      </c>
      <c r="J5093" s="8">
        <v>3.9100000000000003E-2</v>
      </c>
    </row>
    <row r="5094" spans="1:10" x14ac:dyDescent="0.25">
      <c r="A5094" s="5" t="s">
        <v>5128</v>
      </c>
      <c r="B5094" s="5" t="s">
        <v>6961</v>
      </c>
      <c r="C5094" s="6" t="str">
        <f>_xll.QS.CONTEXT.CREATE("market.5092",A5094,"USD","SOFR")</f>
        <v>QSObject:PricingContext:w1~market.5092:10972</v>
      </c>
      <c r="D5094" s="6" t="str">
        <f>_xll.QS.CONTEXT.ADD.CURVE(C5094,"SOFR",$K$2:$K$7,$L$2:$L$7,,,"Actual360","LogLinear",TRUE)</f>
        <v>QSObject:ContextInput:w1~input.qs_context_add_curve.2359132437744.5093.3.0:35533</v>
      </c>
      <c r="E5094" s="6" t="str">
        <f>_xll.QS.INSTRUMENT.SWAP("swap.5092",H5094,B5094,"USD","SOFR",I5094,J5094,0,"Actual360","Simple","Annual","Annual","Annual")</f>
        <v>QSObject:Swap:w1~swap.5092:10971</v>
      </c>
      <c r="F5094" s="6" t="str">
        <f>_xll.QS.TRADE.CREATE("trade.5092",E5094,A5094,"Receive")</f>
        <v>QSObject:SwapTrade:w1~trade.5092:26438</v>
      </c>
      <c r="G5094" s="3">
        <f>_xll.QS.EVALUATE(C5094,F5094)</f>
        <v>50065.180304967682</v>
      </c>
      <c r="H5094" s="5" t="s">
        <v>5135</v>
      </c>
      <c r="I5094" s="7">
        <v>1509200</v>
      </c>
      <c r="J5094" s="8">
        <v>3.9200000000000013E-2</v>
      </c>
    </row>
    <row r="5095" spans="1:10" x14ac:dyDescent="0.25">
      <c r="A5095" s="5" t="s">
        <v>5129</v>
      </c>
      <c r="B5095" s="5" t="s">
        <v>6962</v>
      </c>
      <c r="C5095" s="6" t="str">
        <f>_xll.QS.CONTEXT.CREATE("market.5093",A5095,"USD","SOFR")</f>
        <v>QSObject:PricingContext:w1~market.5093:10970</v>
      </c>
      <c r="D5095" s="6" t="str">
        <f>_xll.QS.CONTEXT.ADD.CURVE(C5095,"SOFR",$K$2:$K$7,$L$2:$L$7,,,"Actual360","LogLinear",TRUE)</f>
        <v>QSObject:ContextInput:w1~input.qs_context_add_curve.2359132437744.5094.3.0:35532</v>
      </c>
      <c r="E5095" s="6" t="str">
        <f>_xll.QS.INSTRUMENT.SWAP("swap.5093",H5095,B5095,"USD","SOFR",I5095,J5095,0,"Actual360","Simple","Annual","Annual","Annual")</f>
        <v>QSObject:Swap:w1~swap.5093:10969</v>
      </c>
      <c r="F5095" s="6" t="str">
        <f>_xll.QS.TRADE.CREATE("trade.5093",E5095,A5095,"Receive")</f>
        <v>QSObject:SwapTrade:w1~trade.5093:26939</v>
      </c>
      <c r="G5095" s="3">
        <f>_xll.QS.EVALUATE(C5095,F5095)</f>
        <v>50766.154387697352</v>
      </c>
      <c r="H5095" s="5" t="s">
        <v>5136</v>
      </c>
      <c r="I5095" s="7">
        <v>1509300</v>
      </c>
      <c r="J5095" s="8">
        <v>3.9300000000000002E-2</v>
      </c>
    </row>
    <row r="5096" spans="1:10" x14ac:dyDescent="0.25">
      <c r="A5096" s="5" t="s">
        <v>5130</v>
      </c>
      <c r="B5096" s="5" t="s">
        <v>6963</v>
      </c>
      <c r="C5096" s="6" t="str">
        <f>_xll.QS.CONTEXT.CREATE("market.5094",A5096,"USD","SOFR")</f>
        <v>QSObject:PricingContext:w1~market.5094:10968</v>
      </c>
      <c r="D5096" s="6" t="str">
        <f>_xll.QS.CONTEXT.ADD.CURVE(C5096,"SOFR",$K$2:$K$7,$L$2:$L$7,,,"Actual360","LogLinear",TRUE)</f>
        <v>QSObject:ContextInput:w1~input.qs_context_add_curve.2359132437744.5095.3.0:35531</v>
      </c>
      <c r="E5096" s="6" t="str">
        <f>_xll.QS.INSTRUMENT.SWAP("swap.5094",H5096,B5096,"USD","SOFR",I5096,J5096,0,"Actual360","Simple","Annual","Annual","Annual")</f>
        <v>QSObject:Swap:w1~swap.5094:10967</v>
      </c>
      <c r="F5096" s="6" t="str">
        <f>_xll.QS.TRADE.CREATE("trade.5094",E5096,A5096,"Receive")</f>
        <v>QSObject:SwapTrade:w1~trade.5094:26437</v>
      </c>
      <c r="G5096" s="3">
        <f>_xll.QS.EVALUATE(C5096,F5096)</f>
        <v>51277.401059741656</v>
      </c>
      <c r="H5096" s="5" t="s">
        <v>5137</v>
      </c>
      <c r="I5096" s="7">
        <v>1509400</v>
      </c>
      <c r="J5096" s="8">
        <v>3.9399999999999998E-2</v>
      </c>
    </row>
    <row r="5097" spans="1:10" x14ac:dyDescent="0.25">
      <c r="A5097" s="5" t="s">
        <v>5131</v>
      </c>
      <c r="B5097" s="5" t="s">
        <v>6964</v>
      </c>
      <c r="C5097" s="6" t="str">
        <f>_xll.QS.CONTEXT.CREATE("market.5095",A5097,"USD","SOFR")</f>
        <v>QSObject:PricingContext:w1~market.5095:10966</v>
      </c>
      <c r="D5097" s="6" t="str">
        <f>_xll.QS.CONTEXT.ADD.CURVE(C5097,"SOFR",$K$2:$K$7,$L$2:$L$7,,,"Actual360","LogLinear",TRUE)</f>
        <v>QSObject:ContextInput:w1~input.qs_context_add_curve.2359132437744.5096.3.0:35530</v>
      </c>
      <c r="E5097" s="6" t="str">
        <f>_xll.QS.INSTRUMENT.SWAP("swap.5095",H5097,B5097,"USD","SOFR",I5097,J5097,0,"Actual360","Simple","Annual","Annual","Annual")</f>
        <v>QSObject:Swap:w1~swap.5095:10965</v>
      </c>
      <c r="F5097" s="6" t="str">
        <f>_xll.QS.TRADE.CREATE("trade.5095",E5097,A5097,"Receive")</f>
        <v>QSObject:SwapTrade:w1~trade.5095:26436</v>
      </c>
      <c r="G5097" s="3">
        <f>_xll.QS.EVALUATE(C5097,F5097)</f>
        <v>51981.251648827056</v>
      </c>
      <c r="H5097" s="5" t="s">
        <v>5138</v>
      </c>
      <c r="I5097" s="7">
        <v>1509500</v>
      </c>
      <c r="J5097" s="8">
        <v>3.9500000000000007E-2</v>
      </c>
    </row>
    <row r="5098" spans="1:10" x14ac:dyDescent="0.25">
      <c r="A5098" s="5" t="s">
        <v>5132</v>
      </c>
      <c r="B5098" s="5" t="s">
        <v>6965</v>
      </c>
      <c r="C5098" s="6" t="str">
        <f>_xll.QS.CONTEXT.CREATE("market.5096",A5098,"USD","SOFR")</f>
        <v>QSObject:PricingContext:w1~market.5096:10964</v>
      </c>
      <c r="D5098" s="6" t="str">
        <f>_xll.QS.CONTEXT.ADD.CURVE(C5098,"SOFR",$K$2:$K$7,$L$2:$L$7,,,"Actual360","LogLinear",TRUE)</f>
        <v>QSObject:ContextInput:w1~input.qs_context_add_curve.2359132437744.5097.3.0:35529</v>
      </c>
      <c r="E5098" s="6" t="str">
        <f>_xll.QS.INSTRUMENT.SWAP("swap.5096",H5098,B5098,"USD","SOFR",I5098,J5098,0,"Actual360","Simple","Annual","Annual","Annual")</f>
        <v>QSObject:Swap:w1~swap.5096:10963</v>
      </c>
      <c r="F5098" s="6" t="str">
        <f>_xll.QS.TRADE.CREATE("trade.5096",E5098,A5098,"Receive")</f>
        <v>QSObject:SwapTrade:w1~trade.5096:26435</v>
      </c>
      <c r="G5098" s="3">
        <f>_xll.QS.EVALUATE(C5098,F5098)</f>
        <v>52745.969718510576</v>
      </c>
      <c r="H5098" s="5" t="s">
        <v>5139</v>
      </c>
      <c r="I5098" s="7">
        <v>1509600</v>
      </c>
      <c r="J5098" s="8">
        <v>3.9600000000000003E-2</v>
      </c>
    </row>
    <row r="5099" spans="1:10" x14ac:dyDescent="0.25">
      <c r="A5099" s="5" t="s">
        <v>5133</v>
      </c>
      <c r="B5099" s="5" t="s">
        <v>6966</v>
      </c>
      <c r="C5099" s="6" t="str">
        <f>_xll.QS.CONTEXT.CREATE("market.5097",A5099,"USD","SOFR")</f>
        <v>QSObject:PricingContext:w1~market.5097:10962</v>
      </c>
      <c r="D5099" s="6" t="str">
        <f>_xll.QS.CONTEXT.ADD.CURVE(C5099,"SOFR",$K$2:$K$7,$L$2:$L$7,,,"Actual360","LogLinear",TRUE)</f>
        <v>QSObject:ContextInput:w1~input.qs_context_add_curve.2359132437744.5098.3.0:35528</v>
      </c>
      <c r="E5099" s="6" t="str">
        <f>_xll.QS.INSTRUMENT.SWAP("swap.5097",H5099,B5099,"USD","SOFR",I5099,J5099,0,"Actual360","Simple","Annual","Annual","Annual")</f>
        <v>QSObject:Swap:w1~swap.5097:10961</v>
      </c>
      <c r="F5099" s="6" t="str">
        <f>_xll.QS.TRADE.CREATE("trade.5097",E5099,A5099,"Receive")</f>
        <v>QSObject:SwapTrade:w1~trade.5097:26938</v>
      </c>
      <c r="G5099" s="3">
        <f>_xll.QS.EVALUATE(C5099,F5099)</f>
        <v>53556.404361012414</v>
      </c>
      <c r="H5099" s="5" t="s">
        <v>5140</v>
      </c>
      <c r="I5099" s="7">
        <v>1509700</v>
      </c>
      <c r="J5099" s="8">
        <v>3.9700000000000013E-2</v>
      </c>
    </row>
    <row r="5100" spans="1:10" x14ac:dyDescent="0.25">
      <c r="A5100" s="5" t="s">
        <v>5134</v>
      </c>
      <c r="B5100" s="5" t="s">
        <v>6967</v>
      </c>
      <c r="C5100" s="6" t="str">
        <f>_xll.QS.CONTEXT.CREATE("market.5098",A5100,"USD","SOFR")</f>
        <v>QSObject:PricingContext:w1~market.5098:10960</v>
      </c>
      <c r="D5100" s="6" t="str">
        <f>_xll.QS.CONTEXT.ADD.CURVE(C5100,"SOFR",$K$2:$K$7,$L$2:$L$7,,,"Actual360","LogLinear",TRUE)</f>
        <v>QSObject:ContextInput:w1~input.qs_context_add_curve.2359132437744.5099.3.0:35527</v>
      </c>
      <c r="E5100" s="6" t="str">
        <f>_xll.QS.INSTRUMENT.SWAP("swap.5098",H5100,B5100,"USD","SOFR",I5100,J5100,0,"Actual360","Simple","Annual","Annual","Annual")</f>
        <v>QSObject:Swap:w1~swap.5098:10959</v>
      </c>
      <c r="F5100" s="6" t="str">
        <f>_xll.QS.TRADE.CREATE("trade.5098",E5100,A5100,"Receive")</f>
        <v>QSObject:SwapTrade:w1~trade.5098:26434</v>
      </c>
      <c r="G5100" s="3">
        <f>_xll.QS.EVALUATE(C5100,F5100)</f>
        <v>54255.870131964773</v>
      </c>
      <c r="H5100" s="5" t="s">
        <v>5141</v>
      </c>
      <c r="I5100" s="7">
        <v>1509800</v>
      </c>
      <c r="J5100" s="8">
        <v>3.9800000000000002E-2</v>
      </c>
    </row>
    <row r="5101" spans="1:10" x14ac:dyDescent="0.25">
      <c r="A5101" s="5" t="s">
        <v>5135</v>
      </c>
      <c r="B5101" s="5" t="s">
        <v>6968</v>
      </c>
      <c r="C5101" s="6" t="str">
        <f>_xll.QS.CONTEXT.CREATE("market.5099",A5101,"USD","SOFR")</f>
        <v>QSObject:PricingContext:w1~market.5099:10958</v>
      </c>
      <c r="D5101" s="6" t="str">
        <f>_xll.QS.CONTEXT.ADD.CURVE(C5101,"SOFR",$K$2:$K$7,$L$2:$L$7,,,"Actual360","LogLinear",TRUE)</f>
        <v>QSObject:ContextInput:w1~input.qs_context_add_curve.2359132437744.5100.3.0:35526</v>
      </c>
      <c r="E5101" s="6" t="str">
        <f>_xll.QS.INSTRUMENT.SWAP("swap.5099",H5101,B5101,"USD","SOFR",I5101,J5101,0,"Actual360","Simple","Annual","Annual","Annual")</f>
        <v>QSObject:Swap:w1~swap.5099:10957</v>
      </c>
      <c r="F5101" s="6" t="str">
        <f>_xll.QS.TRADE.CREATE("trade.5099",E5101,A5101,"Receive")</f>
        <v>QSObject:SwapTrade:w1~trade.5099:26433</v>
      </c>
      <c r="G5101" s="3">
        <f>_xll.QS.EVALUATE(C5101,F5101)</f>
        <v>54901.116676771766</v>
      </c>
      <c r="H5101" s="5" t="s">
        <v>5142</v>
      </c>
      <c r="I5101" s="7">
        <v>1509900</v>
      </c>
      <c r="J5101" s="8">
        <v>3.9899999999999998E-2</v>
      </c>
    </row>
    <row r="5102" spans="1:10" x14ac:dyDescent="0.25">
      <c r="A5102" s="5" t="s">
        <v>5136</v>
      </c>
      <c r="B5102" s="5" t="s">
        <v>6969</v>
      </c>
      <c r="C5102" s="6" t="str">
        <f>_xll.QS.CONTEXT.CREATE("market.5100",A5102,"USD","SOFR")</f>
        <v>QSObject:PricingContext:w1~market.5100:10956</v>
      </c>
      <c r="D5102" s="6" t="str">
        <f>_xll.QS.CONTEXT.ADD.CURVE(C5102,"SOFR",$K$2:$K$7,$L$2:$L$7,,,"Actual360","LogLinear",TRUE)</f>
        <v>QSObject:ContextInput:w1~input.qs_context_add_curve.2359132437744.5101.3.0:35525</v>
      </c>
      <c r="E5102" s="6" t="str">
        <f>_xll.QS.INSTRUMENT.SWAP("swap.5100",H5102,B5102,"USD","SOFR",I5102,J5102,0,"Actual360","Simple","Annual","Annual","Annual")</f>
        <v>QSObject:Swap:w1~swap.5100:10955</v>
      </c>
      <c r="F5102" s="6" t="str">
        <f>_xll.QS.TRADE.CREATE("trade.5100",E5102,A5102,"Receive")</f>
        <v>QSObject:SwapTrade:w1~trade.5100:26937</v>
      </c>
      <c r="G5102" s="3">
        <f>_xll.QS.EVALUATE(C5102,F5102)</f>
        <v>20888.319477324098</v>
      </c>
      <c r="H5102" s="5" t="s">
        <v>5143</v>
      </c>
      <c r="I5102" s="7">
        <v>1510000</v>
      </c>
      <c r="J5102" s="8">
        <v>3.5000000000000003E-2</v>
      </c>
    </row>
    <row r="5103" spans="1:10" x14ac:dyDescent="0.25">
      <c r="A5103" s="5" t="s">
        <v>5137</v>
      </c>
      <c r="B5103" s="5" t="s">
        <v>6970</v>
      </c>
      <c r="C5103" s="6" t="str">
        <f>_xll.QS.CONTEXT.CREATE("market.5101",A5103,"USD","SOFR")</f>
        <v>QSObject:PricingContext:w1~market.5101:10954</v>
      </c>
      <c r="D5103" s="6" t="str">
        <f>_xll.QS.CONTEXT.ADD.CURVE(C5103,"SOFR",$K$2:$K$7,$L$2:$L$7,,,"Actual360","LogLinear",TRUE)</f>
        <v>QSObject:ContextInput:w1~input.qs_context_add_curve.2359132437744.5102.3.0:35524</v>
      </c>
      <c r="E5103" s="6" t="str">
        <f>_xll.QS.INSTRUMENT.SWAP("swap.5101",H5103,B5103,"USD","SOFR",I5103,J5103,0,"Actual360","Simple","Annual","Annual","Annual")</f>
        <v>QSObject:Swap:w1~swap.5101:10953</v>
      </c>
      <c r="F5103" s="6" t="str">
        <f>_xll.QS.TRADE.CREATE("trade.5101",E5103,A5103,"Receive")</f>
        <v>QSObject:SwapTrade:w1~trade.5101:26936</v>
      </c>
      <c r="G5103" s="3">
        <f>_xll.QS.EVALUATE(C5103,F5103)</f>
        <v>21403.948965851734</v>
      </c>
      <c r="H5103" s="5" t="s">
        <v>5144</v>
      </c>
      <c r="I5103" s="7">
        <v>1510100</v>
      </c>
      <c r="J5103" s="8">
        <v>3.5100000000000013E-2</v>
      </c>
    </row>
    <row r="5104" spans="1:10" x14ac:dyDescent="0.25">
      <c r="A5104" s="5" t="s">
        <v>5138</v>
      </c>
      <c r="B5104" s="5" t="s">
        <v>6971</v>
      </c>
      <c r="C5104" s="6" t="str">
        <f>_xll.QS.CONTEXT.CREATE("market.5102",A5104,"USD","SOFR")</f>
        <v>QSObject:PricingContext:w1~market.5102:10952</v>
      </c>
      <c r="D5104" s="6" t="str">
        <f>_xll.QS.CONTEXT.ADD.CURVE(C5104,"SOFR",$K$2:$K$7,$L$2:$L$7,,,"Actual360","LogLinear",TRUE)</f>
        <v>QSObject:ContextInput:w1~input.qs_context_add_curve.2359132437744.5103.3.0:35523</v>
      </c>
      <c r="E5104" s="6" t="str">
        <f>_xll.QS.INSTRUMENT.SWAP("swap.5102",H5104,B5104,"USD","SOFR",I5104,J5104,0,"Actual360","Simple","Annual","Annual","Annual")</f>
        <v>QSObject:Swap:w1~swap.5102:10951</v>
      </c>
      <c r="F5104" s="6" t="str">
        <f>_xll.QS.TRADE.CREATE("trade.5102",E5104,A5104,"Receive")</f>
        <v>QSObject:SwapTrade:w1~trade.5102:26935</v>
      </c>
      <c r="G5104" s="3">
        <f>_xll.QS.EVALUATE(C5104,F5104)</f>
        <v>22103.781344190116</v>
      </c>
      <c r="H5104" s="5" t="s">
        <v>5145</v>
      </c>
      <c r="I5104" s="7">
        <v>1510200</v>
      </c>
      <c r="J5104" s="8">
        <v>3.5200000000000002E-2</v>
      </c>
    </row>
    <row r="5105" spans="1:10" x14ac:dyDescent="0.25">
      <c r="A5105" s="5" t="s">
        <v>5139</v>
      </c>
      <c r="B5105" s="5" t="s">
        <v>6972</v>
      </c>
      <c r="C5105" s="6" t="str">
        <f>_xll.QS.CONTEXT.CREATE("market.5103",A5105,"USD","SOFR")</f>
        <v>QSObject:PricingContext:w1~market.5103:10950</v>
      </c>
      <c r="D5105" s="6" t="str">
        <f>_xll.QS.CONTEXT.ADD.CURVE(C5105,"SOFR",$K$2:$K$7,$L$2:$L$7,,,"Actual360","LogLinear",TRUE)</f>
        <v>QSObject:ContextInput:w1~input.qs_context_add_curve.2359132437744.5104.3.0:35522</v>
      </c>
      <c r="E5105" s="6" t="str">
        <f>_xll.QS.INSTRUMENT.SWAP("swap.5103",H5105,B5105,"USD","SOFR",I5105,J5105,0,"Actual360","Simple","Annual","Annual","Annual")</f>
        <v>QSObject:Swap:w1~swap.5103:10949</v>
      </c>
      <c r="F5105" s="6" t="str">
        <f>_xll.QS.TRADE.CREATE("trade.5103",E5105,A5105,"Receive")</f>
        <v>QSObject:SwapTrade:w1~trade.5103:26432</v>
      </c>
      <c r="G5105" s="3">
        <f>_xll.QS.EVALUATE(C5105,F5105)</f>
        <v>22974.473858088655</v>
      </c>
      <c r="H5105" s="5" t="s">
        <v>5146</v>
      </c>
      <c r="I5105" s="7">
        <v>1510300</v>
      </c>
      <c r="J5105" s="8">
        <v>3.5299999999999998E-2</v>
      </c>
    </row>
    <row r="5106" spans="1:10" x14ac:dyDescent="0.25">
      <c r="A5106" s="5" t="s">
        <v>5140</v>
      </c>
      <c r="B5106" s="5" t="s">
        <v>6973</v>
      </c>
      <c r="C5106" s="6" t="str">
        <f>_xll.QS.CONTEXT.CREATE("market.5104",A5106,"USD","SOFR")</f>
        <v>QSObject:PricingContext:w1~market.5104:10948</v>
      </c>
      <c r="D5106" s="6" t="str">
        <f>_xll.QS.CONTEXT.ADD.CURVE(C5106,"SOFR",$K$2:$K$7,$L$2:$L$7,,,"Actual360","LogLinear",TRUE)</f>
        <v>QSObject:ContextInput:w1~input.qs_context_add_curve.2359132437744.5105.3.0:35521</v>
      </c>
      <c r="E5106" s="6" t="str">
        <f>_xll.QS.INSTRUMENT.SWAP("swap.5104",H5106,B5106,"USD","SOFR",I5106,J5106,0,"Actual360","Simple","Annual","Annual","Annual")</f>
        <v>QSObject:Swap:w1~swap.5104:10947</v>
      </c>
      <c r="F5106" s="6" t="str">
        <f>_xll.QS.TRADE.CREATE("trade.5104",E5106,A5106,"Receive")</f>
        <v>QSObject:SwapTrade:w1~trade.5104:26431</v>
      </c>
      <c r="G5106" s="3">
        <f>_xll.QS.EVALUATE(C5106,F5106)</f>
        <v>23676.769655637727</v>
      </c>
      <c r="H5106" s="5" t="s">
        <v>5147</v>
      </c>
      <c r="I5106" s="7">
        <v>1510400</v>
      </c>
      <c r="J5106" s="8">
        <v>3.5400000000000001E-2</v>
      </c>
    </row>
    <row r="5107" spans="1:10" x14ac:dyDescent="0.25">
      <c r="A5107" s="5" t="s">
        <v>5141</v>
      </c>
      <c r="B5107" s="5" t="s">
        <v>6974</v>
      </c>
      <c r="C5107" s="6" t="str">
        <f>_xll.QS.CONTEXT.CREATE("market.5105",A5107,"USD","SOFR")</f>
        <v>QSObject:PricingContext:w1~market.5105:10946</v>
      </c>
      <c r="D5107" s="6" t="str">
        <f>_xll.QS.CONTEXT.ADD.CURVE(C5107,"SOFR",$K$2:$K$7,$L$2:$L$7,,,"Actual360","LogLinear",TRUE)</f>
        <v>QSObject:ContextInput:w1~input.qs_context_add_curve.2359132437744.5106.3.0:35520</v>
      </c>
      <c r="E5107" s="6" t="str">
        <f>_xll.QS.INSTRUMENT.SWAP("swap.5105",H5107,B5107,"USD","SOFR",I5107,J5107,0,"Actual360","Simple","Annual","Annual","Annual")</f>
        <v>QSObject:Swap:w1~swap.5105:10945</v>
      </c>
      <c r="F5107" s="6" t="str">
        <f>_xll.QS.TRADE.CREATE("trade.5105",E5107,A5107,"Receive")</f>
        <v>QSObject:SwapTrade:w1~trade.5105:26934</v>
      </c>
      <c r="G5107" s="3">
        <f>_xll.QS.EVALUATE(C5107,F5107)</f>
        <v>24383.666557361001</v>
      </c>
      <c r="H5107" s="5" t="s">
        <v>5148</v>
      </c>
      <c r="I5107" s="7">
        <v>1510500</v>
      </c>
      <c r="J5107" s="8">
        <v>3.5499999999999997E-2</v>
      </c>
    </row>
    <row r="5108" spans="1:10" x14ac:dyDescent="0.25">
      <c r="A5108" s="5" t="s">
        <v>5142</v>
      </c>
      <c r="B5108" s="5" t="s">
        <v>6975</v>
      </c>
      <c r="C5108" s="6" t="str">
        <f>_xll.QS.CONTEXT.CREATE("market.5106",A5108,"USD","SOFR")</f>
        <v>QSObject:PricingContext:w1~market.5106:10944</v>
      </c>
      <c r="D5108" s="6" t="str">
        <f>_xll.QS.CONTEXT.ADD.CURVE(C5108,"SOFR",$K$2:$K$7,$L$2:$L$7,,,"Actual360","LogLinear",TRUE)</f>
        <v>QSObject:ContextInput:w1~input.qs_context_add_curve.2359132437744.5107.3.0:35519</v>
      </c>
      <c r="E5108" s="6" t="str">
        <f>_xll.QS.INSTRUMENT.SWAP("swap.5106",H5108,B5108,"USD","SOFR",I5108,J5108,0,"Actual360","Simple","Annual","Annual","Annual")</f>
        <v>QSObject:Swap:w1~swap.5106:10943</v>
      </c>
      <c r="F5108" s="6" t="str">
        <f>_xll.QS.TRADE.CREATE("trade.5106",E5108,A5108,"Receive")</f>
        <v>QSObject:SwapTrade:w1~trade.5106:26933</v>
      </c>
      <c r="G5108" s="3">
        <f>_xll.QS.EVALUATE(C5108,F5108)</f>
        <v>24959.521268859913</v>
      </c>
      <c r="H5108" s="5" t="s">
        <v>5149</v>
      </c>
      <c r="I5108" s="7">
        <v>1510600</v>
      </c>
      <c r="J5108" s="8">
        <v>3.5600000000000007E-2</v>
      </c>
    </row>
    <row r="5109" spans="1:10" x14ac:dyDescent="0.25">
      <c r="A5109" s="5" t="s">
        <v>5143</v>
      </c>
      <c r="B5109" s="5" t="s">
        <v>6976</v>
      </c>
      <c r="C5109" s="6" t="str">
        <f>_xll.QS.CONTEXT.CREATE("market.5107",A5109,"USD","SOFR")</f>
        <v>QSObject:PricingContext:w1~market.5107:10942</v>
      </c>
      <c r="D5109" s="6" t="str">
        <f>_xll.QS.CONTEXT.ADD.CURVE(C5109,"SOFR",$K$2:$K$7,$L$2:$L$7,,,"Actual360","LogLinear",TRUE)</f>
        <v>QSObject:ContextInput:w1~input.qs_context_add_curve.2359132437744.5108.3.0:35518</v>
      </c>
      <c r="E5109" s="6" t="str">
        <f>_xll.QS.INSTRUMENT.SWAP("swap.5107",H5109,B5109,"USD","SOFR",I5109,J5109,0,"Actual360","Simple","Annual","Annual","Annual")</f>
        <v>QSObject:Swap:w1~swap.5107:10941</v>
      </c>
      <c r="F5109" s="6" t="str">
        <f>_xll.QS.TRADE.CREATE("trade.5107",E5109,A5109,"Receive")</f>
        <v>QSObject:SwapTrade:w1~trade.5107:26932</v>
      </c>
      <c r="G5109" s="3">
        <f>_xll.QS.EVALUATE(C5109,F5109)</f>
        <v>25776.563020849258</v>
      </c>
      <c r="H5109" s="5" t="s">
        <v>5150</v>
      </c>
      <c r="I5109" s="7">
        <v>1510700</v>
      </c>
      <c r="J5109" s="8">
        <v>3.5700000000000003E-2</v>
      </c>
    </row>
    <row r="5110" spans="1:10" x14ac:dyDescent="0.25">
      <c r="A5110" s="5" t="s">
        <v>5144</v>
      </c>
      <c r="B5110" s="5" t="s">
        <v>6977</v>
      </c>
      <c r="C5110" s="6" t="str">
        <f>_xll.QS.CONTEXT.CREATE("market.5108",A5110,"USD","SOFR")</f>
        <v>QSObject:PricingContext:w1~market.5108:10940</v>
      </c>
      <c r="D5110" s="6" t="str">
        <f>_xll.QS.CONTEXT.ADD.CURVE(C5110,"SOFR",$K$2:$K$7,$L$2:$L$7,,,"Actual360","LogLinear",TRUE)</f>
        <v>QSObject:ContextInput:w1~input.qs_context_add_curve.2359132437744.5109.3.0:35517</v>
      </c>
      <c r="E5110" s="6" t="str">
        <f>_xll.QS.INSTRUMENT.SWAP("swap.5108",H5110,B5110,"USD","SOFR",I5110,J5110,0,"Actual360","Simple","Annual","Annual","Annual")</f>
        <v>QSObject:Swap:w1~swap.5108:10939</v>
      </c>
      <c r="F5110" s="6" t="str">
        <f>_xll.QS.TRADE.CREATE("trade.5108",E5110,A5110,"Receive")</f>
        <v>QSObject:SwapTrade:w1~trade.5108:26931</v>
      </c>
      <c r="G5110" s="3">
        <f>_xll.QS.EVALUATE(C5110,F5110)</f>
        <v>26291.782316865851</v>
      </c>
      <c r="H5110" s="5" t="s">
        <v>5151</v>
      </c>
      <c r="I5110" s="7">
        <v>1510800</v>
      </c>
      <c r="J5110" s="8">
        <v>3.5800000000000012E-2</v>
      </c>
    </row>
    <row r="5111" spans="1:10" x14ac:dyDescent="0.25">
      <c r="A5111" s="5" t="s">
        <v>5145</v>
      </c>
      <c r="B5111" s="5" t="s">
        <v>6978</v>
      </c>
      <c r="C5111" s="6" t="str">
        <f>_xll.QS.CONTEXT.CREATE("market.5109",A5111,"USD","SOFR")</f>
        <v>QSObject:PricingContext:w1~market.5109:10938</v>
      </c>
      <c r="D5111" s="6" t="str">
        <f>_xll.QS.CONTEXT.ADD.CURVE(C5111,"SOFR",$K$2:$K$7,$L$2:$L$7,,,"Actual360","LogLinear",TRUE)</f>
        <v>QSObject:ContextInput:w1~input.qs_context_add_curve.2359132437744.5110.3.0:35516</v>
      </c>
      <c r="E5111" s="6" t="str">
        <f>_xll.QS.INSTRUMENT.SWAP("swap.5109",H5111,B5111,"USD","SOFR",I5111,J5111,0,"Actual360","Simple","Annual","Annual","Annual")</f>
        <v>QSObject:Swap:w1~swap.5109:10937</v>
      </c>
      <c r="F5111" s="6" t="str">
        <f>_xll.QS.TRADE.CREATE("trade.5109",E5111,A5111,"Receive")</f>
        <v>QSObject:SwapTrade:w1~trade.5109:26930</v>
      </c>
      <c r="G5111" s="3">
        <f>_xll.QS.EVALUATE(C5111,F5111)</f>
        <v>26992.378538091514</v>
      </c>
      <c r="H5111" s="5" t="s">
        <v>5152</v>
      </c>
      <c r="I5111" s="7">
        <v>1510900</v>
      </c>
      <c r="J5111" s="8">
        <v>3.5900000000000001E-2</v>
      </c>
    </row>
    <row r="5112" spans="1:10" x14ac:dyDescent="0.25">
      <c r="A5112" s="5" t="s">
        <v>5146</v>
      </c>
      <c r="B5112" s="5" t="s">
        <v>6979</v>
      </c>
      <c r="C5112" s="6" t="str">
        <f>_xll.QS.CONTEXT.CREATE("market.5110",A5112,"USD","SOFR")</f>
        <v>QSObject:PricingContext:w1~market.5110:10936</v>
      </c>
      <c r="D5112" s="6" t="str">
        <f>_xll.QS.CONTEXT.ADD.CURVE(C5112,"SOFR",$K$2:$K$7,$L$2:$L$7,,,"Actual360","LogLinear",TRUE)</f>
        <v>QSObject:ContextInput:w1~input.qs_context_add_curve.2359132437744.5111.3.0:35515</v>
      </c>
      <c r="E5112" s="6" t="str">
        <f>_xll.QS.INSTRUMENT.SWAP("swap.5110",H5112,B5112,"USD","SOFR",I5112,J5112,0,"Actual360","Simple","Annual","Annual","Annual")</f>
        <v>QSObject:Swap:w1~swap.5110:10935</v>
      </c>
      <c r="F5112" s="6" t="str">
        <f>_xll.QS.TRADE.CREATE("trade.5110",E5112,A5112,"Receive")</f>
        <v>QSObject:SwapTrade:w1~trade.5110:26430</v>
      </c>
      <c r="G5112" s="3">
        <f>_xll.QS.EVALUATE(C5112,F5112)</f>
        <v>27864.224149188769</v>
      </c>
      <c r="H5112" s="5" t="s">
        <v>5153</v>
      </c>
      <c r="I5112" s="7">
        <v>1511000</v>
      </c>
      <c r="J5112" s="8">
        <v>3.5999999999999997E-2</v>
      </c>
    </row>
    <row r="5113" spans="1:10" x14ac:dyDescent="0.25">
      <c r="A5113" s="5" t="s">
        <v>5147</v>
      </c>
      <c r="B5113" s="5" t="s">
        <v>6980</v>
      </c>
      <c r="C5113" s="6" t="str">
        <f>_xll.QS.CONTEXT.CREATE("market.5111",A5113,"USD","SOFR")</f>
        <v>QSObject:PricingContext:w1~market.5111:10934</v>
      </c>
      <c r="D5113" s="6" t="str">
        <f>_xll.QS.CONTEXT.ADD.CURVE(C5113,"SOFR",$K$2:$K$7,$L$2:$L$7,,,"Actual360","LogLinear",TRUE)</f>
        <v>QSObject:ContextInput:w1~input.qs_context_add_curve.2359132437744.5112.3.0:35514</v>
      </c>
      <c r="E5113" s="6" t="str">
        <f>_xll.QS.INSTRUMENT.SWAP("swap.5111",H5113,B5113,"USD","SOFR",I5113,J5113,0,"Actual360","Simple","Annual","Annual","Annual")</f>
        <v>QSObject:Swap:w1~swap.5111:10933</v>
      </c>
      <c r="F5113" s="6" t="str">
        <f>_xll.QS.TRADE.CREATE("trade.5111",E5113,A5113,"Receive")</f>
        <v>QSObject:SwapTrade:w1~trade.5111:26429</v>
      </c>
      <c r="G5113" s="3">
        <f>_xll.QS.EVALUATE(C5113,F5113)</f>
        <v>28567.803535047889</v>
      </c>
      <c r="H5113" s="5" t="s">
        <v>5154</v>
      </c>
      <c r="I5113" s="7">
        <v>1511100</v>
      </c>
      <c r="J5113" s="8">
        <v>3.61E-2</v>
      </c>
    </row>
    <row r="5114" spans="1:10" x14ac:dyDescent="0.25">
      <c r="A5114" s="5" t="s">
        <v>5148</v>
      </c>
      <c r="B5114" s="5" t="s">
        <v>6981</v>
      </c>
      <c r="C5114" s="6" t="str">
        <f>_xll.QS.CONTEXT.CREATE("market.5112",A5114,"USD","SOFR")</f>
        <v>QSObject:PricingContext:w1~market.5112:10932</v>
      </c>
      <c r="D5114" s="6" t="str">
        <f>_xll.QS.CONTEXT.ADD.CURVE(C5114,"SOFR",$K$2:$K$7,$L$2:$L$7,,,"Actual360","LogLinear",TRUE)</f>
        <v>QSObject:ContextInput:w1~input.qs_context_add_curve.2359132437744.5113.3.0:35513</v>
      </c>
      <c r="E5114" s="6" t="str">
        <f>_xll.QS.INSTRUMENT.SWAP("swap.5112",H5114,B5114,"USD","SOFR",I5114,J5114,0,"Actual360","Simple","Annual","Annual","Annual")</f>
        <v>QSObject:Swap:w1~swap.5112:10931</v>
      </c>
      <c r="F5114" s="6" t="str">
        <f>_xll.QS.TRADE.CREATE("trade.5112",E5114,A5114,"Receive")</f>
        <v>QSObject:SwapTrade:w1~trade.5112:26929</v>
      </c>
      <c r="G5114" s="3">
        <f>_xll.QS.EVALUATE(C5114,F5114)</f>
        <v>29274.860393642899</v>
      </c>
      <c r="H5114" s="5" t="s">
        <v>5155</v>
      </c>
      <c r="I5114" s="7">
        <v>1511200</v>
      </c>
      <c r="J5114" s="8">
        <v>3.6200000000000003E-2</v>
      </c>
    </row>
    <row r="5115" spans="1:10" x14ac:dyDescent="0.25">
      <c r="A5115" s="5" t="s">
        <v>5149</v>
      </c>
      <c r="B5115" s="5" t="s">
        <v>6982</v>
      </c>
      <c r="C5115" s="6" t="str">
        <f>_xll.QS.CONTEXT.CREATE("market.5113",A5115,"USD","SOFR")</f>
        <v>QSObject:PricingContext:w1~market.5113:10930</v>
      </c>
      <c r="D5115" s="6" t="str">
        <f>_xll.QS.CONTEXT.ADD.CURVE(C5115,"SOFR",$K$2:$K$7,$L$2:$L$7,,,"Actual360","LogLinear",TRUE)</f>
        <v>QSObject:ContextInput:w1~input.qs_context_add_curve.2359132437744.5114.3.0:35512</v>
      </c>
      <c r="E5115" s="6" t="str">
        <f>_xll.QS.INSTRUMENT.SWAP("swap.5113",H5115,B5115,"USD","SOFR",I5115,J5115,0,"Actual360","Simple","Annual","Annual","Annual")</f>
        <v>QSObject:Swap:w1~swap.5113:10929</v>
      </c>
      <c r="F5115" s="6" t="str">
        <f>_xll.QS.TRADE.CREATE("trade.5113",E5115,A5115,"Receive")</f>
        <v>QSObject:SwapTrade:w1~trade.5113:26928</v>
      </c>
      <c r="G5115" s="3">
        <f>_xll.QS.EVALUATE(C5115,F5115)</f>
        <v>29914.106986473773</v>
      </c>
      <c r="H5115" s="5" t="s">
        <v>5156</v>
      </c>
      <c r="I5115" s="7">
        <v>1511300</v>
      </c>
      <c r="J5115" s="8">
        <v>3.6300000000000013E-2</v>
      </c>
    </row>
    <row r="5116" spans="1:10" x14ac:dyDescent="0.25">
      <c r="A5116" s="5" t="s">
        <v>5150</v>
      </c>
      <c r="B5116" s="5" t="s">
        <v>6983</v>
      </c>
      <c r="C5116" s="6" t="str">
        <f>_xll.QS.CONTEXT.CREATE("market.5114",A5116,"USD","SOFR")</f>
        <v>QSObject:PricingContext:w1~market.5114:10928</v>
      </c>
      <c r="D5116" s="6" t="str">
        <f>_xll.QS.CONTEXT.ADD.CURVE(C5116,"SOFR",$K$2:$K$7,$L$2:$L$7,,,"Actual360","LogLinear",TRUE)</f>
        <v>QSObject:ContextInput:w1~input.qs_context_add_curve.2359132437744.5115.3.0:35511</v>
      </c>
      <c r="E5116" s="6" t="str">
        <f>_xll.QS.INSTRUMENT.SWAP("swap.5114",H5116,B5116,"USD","SOFR",I5116,J5116,0,"Actual360","Simple","Annual","Annual","Annual")</f>
        <v>QSObject:Swap:w1~swap.5114:10927</v>
      </c>
      <c r="F5116" s="6" t="str">
        <f>_xll.QS.TRADE.CREATE("trade.5114",E5116,A5116,"Receive")</f>
        <v>QSObject:SwapTrade:w1~trade.5114:26428</v>
      </c>
      <c r="G5116" s="3">
        <f>_xll.QS.EVALUATE(C5116,F5116)</f>
        <v>30614.636826380549</v>
      </c>
      <c r="H5116" s="5" t="s">
        <v>5157</v>
      </c>
      <c r="I5116" s="7">
        <v>1511400</v>
      </c>
      <c r="J5116" s="8">
        <v>3.6400000000000002E-2</v>
      </c>
    </row>
    <row r="5117" spans="1:10" x14ac:dyDescent="0.25">
      <c r="A5117" s="5" t="s">
        <v>5151</v>
      </c>
      <c r="B5117" s="5" t="s">
        <v>6984</v>
      </c>
      <c r="C5117" s="6" t="str">
        <f>_xll.QS.CONTEXT.CREATE("market.5115",A5117,"USD","SOFR")</f>
        <v>QSObject:PricingContext:w1~market.5115:10926</v>
      </c>
      <c r="D5117" s="6" t="str">
        <f>_xll.QS.CONTEXT.ADD.CURVE(C5117,"SOFR",$K$2:$K$7,$L$2:$L$7,,,"Actual360","LogLinear",TRUE)</f>
        <v>QSObject:ContextInput:w1~input.qs_context_add_curve.2359132437744.5116.3.0:35510</v>
      </c>
      <c r="E5117" s="6" t="str">
        <f>_xll.QS.INSTRUMENT.SWAP("swap.5115",H5117,B5117,"USD","SOFR",I5117,J5117,0,"Actual360","Simple","Annual","Annual","Annual")</f>
        <v>QSObject:Swap:w1~swap.5115:10925</v>
      </c>
      <c r="F5117" s="6" t="str">
        <f>_xll.QS.TRADE.CREATE("trade.5115",E5117,A5117,"Receive")</f>
        <v>QSObject:SwapTrade:w1~trade.5115:26427</v>
      </c>
      <c r="G5117" s="3">
        <f>_xll.QS.EVALUATE(C5117,F5117)</f>
        <v>31129.31982398469</v>
      </c>
      <c r="H5117" s="5" t="s">
        <v>5158</v>
      </c>
      <c r="I5117" s="7">
        <v>1511500</v>
      </c>
      <c r="J5117" s="8">
        <v>3.6499999999999998E-2</v>
      </c>
    </row>
    <row r="5118" spans="1:10" x14ac:dyDescent="0.25">
      <c r="A5118" s="5" t="s">
        <v>5152</v>
      </c>
      <c r="B5118" s="5" t="s">
        <v>6985</v>
      </c>
      <c r="C5118" s="6" t="str">
        <f>_xll.QS.CONTEXT.CREATE("market.5116",A5118,"USD","SOFR")</f>
        <v>QSObject:PricingContext:w1~market.5116:10924</v>
      </c>
      <c r="D5118" s="6" t="str">
        <f>_xll.QS.CONTEXT.ADD.CURVE(C5118,"SOFR",$K$2:$K$7,$L$2:$L$7,,,"Actual360","LogLinear",TRUE)</f>
        <v>QSObject:ContextInput:w1~input.qs_context_add_curve.2359132437744.5117.3.0:35509</v>
      </c>
      <c r="E5118" s="6" t="str">
        <f>_xll.QS.INSTRUMENT.SWAP("swap.5116",H5118,B5118,"USD","SOFR",I5118,J5118,0,"Actual360","Simple","Annual","Annual","Annual")</f>
        <v>QSObject:Swap:w1~swap.5116:10923</v>
      </c>
      <c r="F5118" s="6" t="str">
        <f>_xll.QS.TRADE.CREATE("trade.5116",E5118,A5118,"Receive")</f>
        <v>QSObject:SwapTrade:w1~trade.5116:26927</v>
      </c>
      <c r="G5118" s="3">
        <f>_xll.QS.EVALUATE(C5118,F5118)</f>
        <v>31831.111300302749</v>
      </c>
      <c r="H5118" s="5" t="s">
        <v>5159</v>
      </c>
      <c r="I5118" s="7">
        <v>1511600</v>
      </c>
      <c r="J5118" s="8">
        <v>3.6600000000000001E-2</v>
      </c>
    </row>
    <row r="5119" spans="1:10" x14ac:dyDescent="0.25">
      <c r="A5119" s="5" t="s">
        <v>5153</v>
      </c>
      <c r="B5119" s="5" t="s">
        <v>6986</v>
      </c>
      <c r="C5119" s="6" t="str">
        <f>_xll.QS.CONTEXT.CREATE("market.5117",A5119,"USD","SOFR")</f>
        <v>QSObject:PricingContext:w1~market.5117:10922</v>
      </c>
      <c r="D5119" s="6" t="str">
        <f>_xll.QS.CONTEXT.ADD.CURVE(C5119,"SOFR",$K$2:$K$7,$L$2:$L$7,,,"Actual360","LogLinear",TRUE)</f>
        <v>QSObject:ContextInput:w1~input.qs_context_add_curve.2359132437744.5118.3.0:35508</v>
      </c>
      <c r="E5119" s="6" t="str">
        <f>_xll.QS.INSTRUMENT.SWAP("swap.5117",H5119,B5119,"USD","SOFR",I5119,J5119,0,"Actual360","Simple","Annual","Annual","Annual")</f>
        <v>QSObject:Swap:w1~swap.5117:10921</v>
      </c>
      <c r="F5119" s="6" t="str">
        <f>_xll.QS.TRADE.CREATE("trade.5117",E5119,A5119,"Receive")</f>
        <v>QSObject:SwapTrade:w1~trade.5117:26926</v>
      </c>
      <c r="G5119" s="3">
        <f>_xll.QS.EVALUATE(C5119,F5119)</f>
        <v>32593.572097855627</v>
      </c>
      <c r="H5119" s="5" t="s">
        <v>5160</v>
      </c>
      <c r="I5119" s="7">
        <v>1511700</v>
      </c>
      <c r="J5119" s="8">
        <v>3.6700000000000003E-2</v>
      </c>
    </row>
    <row r="5120" spans="1:10" x14ac:dyDescent="0.25">
      <c r="A5120" s="5" t="s">
        <v>5154</v>
      </c>
      <c r="B5120" s="5" t="s">
        <v>6987</v>
      </c>
      <c r="C5120" s="6" t="str">
        <f>_xll.QS.CONTEXT.CREATE("market.5118",A5120,"USD","SOFR")</f>
        <v>QSObject:PricingContext:w1~market.5118:10920</v>
      </c>
      <c r="D5120" s="6" t="str">
        <f>_xll.QS.CONTEXT.ADD.CURVE(C5120,"SOFR",$K$2:$K$7,$L$2:$L$7,,,"Actual360","LogLinear",TRUE)</f>
        <v>QSObject:ContextInput:w1~input.qs_context_add_curve.2359132437744.5119.3.0:35507</v>
      </c>
      <c r="E5120" s="6" t="str">
        <f>_xll.QS.INSTRUMENT.SWAP("swap.5118",H5120,B5120,"USD","SOFR",I5120,J5120,0,"Actual360","Simple","Annual","Annual","Annual")</f>
        <v>QSObject:Swap:w1~swap.5118:10919</v>
      </c>
      <c r="F5120" s="6" t="str">
        <f>_xll.QS.TRADE.CREATE("trade.5118",E5120,A5120,"Receive")</f>
        <v>QSObject:SwapTrade:w1~trade.5118:26426</v>
      </c>
      <c r="G5120" s="3">
        <f>_xll.QS.EVALUATE(C5120,F5120)</f>
        <v>33403.500375349089</v>
      </c>
      <c r="H5120" s="5" t="s">
        <v>5161</v>
      </c>
      <c r="I5120" s="7">
        <v>1511800</v>
      </c>
      <c r="J5120" s="8">
        <v>3.6800000000000013E-2</v>
      </c>
    </row>
    <row r="5121" spans="1:10" x14ac:dyDescent="0.25">
      <c r="A5121" s="5" t="s">
        <v>5155</v>
      </c>
      <c r="B5121" s="5" t="s">
        <v>6988</v>
      </c>
      <c r="C5121" s="6" t="str">
        <f>_xll.QS.CONTEXT.CREATE("market.5119",A5121,"USD","SOFR")</f>
        <v>QSObject:PricingContext:w1~market.5119:10918</v>
      </c>
      <c r="D5121" s="6" t="str">
        <f>_xll.QS.CONTEXT.ADD.CURVE(C5121,"SOFR",$K$2:$K$7,$L$2:$L$7,,,"Actual360","LogLinear",TRUE)</f>
        <v>QSObject:ContextInput:w1~input.qs_context_add_curve.2359132437744.5120.3.0:35506</v>
      </c>
      <c r="E5121" s="6" t="str">
        <f>_xll.QS.INSTRUMENT.SWAP("swap.5119",H5121,B5121,"USD","SOFR",I5121,J5121,0,"Actual360","Simple","Annual","Annual","Annual")</f>
        <v>QSObject:Swap:w1~swap.5119:10917</v>
      </c>
      <c r="F5121" s="6" t="str">
        <f>_xll.QS.TRADE.CREATE("trade.5119",E5121,A5121,"Receive")</f>
        <v>QSObject:SwapTrade:w1~trade.5119:26925</v>
      </c>
      <c r="G5121" s="3">
        <f>_xll.QS.EVALUATE(C5121,F5121)</f>
        <v>34102.956910790585</v>
      </c>
      <c r="H5121" s="5" t="s">
        <v>5162</v>
      </c>
      <c r="I5121" s="7">
        <v>1511900</v>
      </c>
      <c r="J5121" s="8">
        <v>3.6900000000000002E-2</v>
      </c>
    </row>
    <row r="5122" spans="1:10" x14ac:dyDescent="0.25">
      <c r="A5122" s="5" t="s">
        <v>5156</v>
      </c>
      <c r="B5122" s="5" t="s">
        <v>6989</v>
      </c>
      <c r="C5122" s="6" t="str">
        <f>_xll.QS.CONTEXT.CREATE("market.5120",A5122,"USD","SOFR")</f>
        <v>QSObject:PricingContext:w1~market.5120:10916</v>
      </c>
      <c r="D5122" s="6" t="str">
        <f>_xll.QS.CONTEXT.ADD.CURVE(C5122,"SOFR",$K$2:$K$7,$L$2:$L$7,,,"Actual360","LogLinear",TRUE)</f>
        <v>QSObject:ContextInput:w1~input.qs_context_add_curve.2359132437744.5121.3.0:35505</v>
      </c>
      <c r="E5122" s="6" t="str">
        <f>_xll.QS.INSTRUMENT.SWAP("swap.5120",H5122,B5122,"USD","SOFR",I5122,J5122,0,"Actual360","Simple","Annual","Annual","Annual")</f>
        <v>QSObject:Swap:w1~swap.5120:10915</v>
      </c>
      <c r="F5122" s="6" t="str">
        <f>_xll.QS.TRADE.CREATE("trade.5120",E5122,A5122,"Receive")</f>
        <v>QSObject:SwapTrade:w1~trade.5120:26425</v>
      </c>
      <c r="G5122" s="3">
        <f>_xll.QS.EVALUATE(C5122,F5122)</f>
        <v>34810.512975864403</v>
      </c>
      <c r="H5122" s="5" t="s">
        <v>5163</v>
      </c>
      <c r="I5122" s="7">
        <v>1512000</v>
      </c>
      <c r="J5122" s="8">
        <v>3.7000000000000012E-2</v>
      </c>
    </row>
    <row r="5123" spans="1:10" x14ac:dyDescent="0.25">
      <c r="A5123" s="5" t="s">
        <v>5157</v>
      </c>
      <c r="B5123" s="5" t="s">
        <v>6990</v>
      </c>
      <c r="C5123" s="6" t="str">
        <f>_xll.QS.CONTEXT.CREATE("market.5121",A5123,"USD","SOFR")</f>
        <v>QSObject:PricingContext:w1~market.5121:10914</v>
      </c>
      <c r="D5123" s="6" t="str">
        <f>_xll.QS.CONTEXT.ADD.CURVE(C5123,"SOFR",$K$2:$K$7,$L$2:$L$7,,,"Actual360","LogLinear",TRUE)</f>
        <v>QSObject:ContextInput:w1~input.qs_context_add_curve.2359132437744.5122.3.0:35504</v>
      </c>
      <c r="E5123" s="6" t="str">
        <f>_xll.QS.INSTRUMENT.SWAP("swap.5121",H5123,B5123,"USD","SOFR",I5123,J5123,0,"Actual360","Simple","Annual","Annual","Annual")</f>
        <v>QSObject:Swap:w1~swap.5121:10913</v>
      </c>
      <c r="F5123" s="6" t="str">
        <f>_xll.QS.TRADE.CREATE("trade.5121",E5123,A5123,"Receive")</f>
        <v>QSObject:SwapTrade:w1~trade.5121:26924</v>
      </c>
      <c r="G5123" s="3">
        <f>_xll.QS.EVALUATE(C5123,F5123)</f>
        <v>35512.328061184955</v>
      </c>
      <c r="H5123" s="5" t="s">
        <v>5164</v>
      </c>
      <c r="I5123" s="7">
        <v>1512100</v>
      </c>
      <c r="J5123" s="8">
        <v>3.7100000000000001E-2</v>
      </c>
    </row>
    <row r="5124" spans="1:10" x14ac:dyDescent="0.25">
      <c r="A5124" s="5" t="s">
        <v>5158</v>
      </c>
      <c r="B5124" s="5" t="s">
        <v>6991</v>
      </c>
      <c r="C5124" s="6" t="str">
        <f>_xll.QS.CONTEXT.CREATE("market.5122",A5124,"USD","SOFR")</f>
        <v>QSObject:PricingContext:w1~market.5122:10912</v>
      </c>
      <c r="D5124" s="6" t="str">
        <f>_xll.QS.CONTEXT.ADD.CURVE(C5124,"SOFR",$K$2:$K$7,$L$2:$L$7,,,"Actual360","LogLinear",TRUE)</f>
        <v>QSObject:ContextInput:w1~input.qs_context_add_curve.2359132437744.5123.3.0:35503</v>
      </c>
      <c r="E5124" s="6" t="str">
        <f>_xll.QS.INSTRUMENT.SWAP("swap.5122",H5124,B5124,"USD","SOFR",I5124,J5124,0,"Actual360","Simple","Annual","Annual","Annual")</f>
        <v>QSObject:Swap:w1~swap.5122:10911</v>
      </c>
      <c r="F5124" s="6" t="str">
        <f>_xll.QS.TRADE.CREATE("trade.5122",E5124,A5124,"Receive")</f>
        <v>QSObject:SwapTrade:w1~trade.5122:26923</v>
      </c>
      <c r="G5124" s="3">
        <f>_xll.QS.EVALUATE(C5124,F5124)</f>
        <v>35963.987365866597</v>
      </c>
      <c r="H5124" s="5" t="s">
        <v>5165</v>
      </c>
      <c r="I5124" s="7">
        <v>1512200</v>
      </c>
      <c r="J5124" s="8">
        <v>3.7199999999999997E-2</v>
      </c>
    </row>
    <row r="5125" spans="1:10" x14ac:dyDescent="0.25">
      <c r="A5125" s="5" t="s">
        <v>5159</v>
      </c>
      <c r="B5125" s="5" t="s">
        <v>6992</v>
      </c>
      <c r="C5125" s="6" t="str">
        <f>_xll.QS.CONTEXT.CREATE("market.5123",A5125,"USD","SOFR")</f>
        <v>QSObject:PricingContext:w1~market.5123:10910</v>
      </c>
      <c r="D5125" s="6" t="str">
        <f>_xll.QS.CONTEXT.ADD.CURVE(C5125,"SOFR",$K$2:$K$7,$L$2:$L$7,,,"Actual360","LogLinear",TRUE)</f>
        <v>QSObject:ContextInput:w1~input.qs_context_add_curve.2359132437744.5124.3.0:35502</v>
      </c>
      <c r="E5125" s="6" t="str">
        <f>_xll.QS.INSTRUMENT.SWAP("swap.5123",H5125,B5125,"USD","SOFR",I5125,J5125,0,"Actual360","Simple","Annual","Annual","Annual")</f>
        <v>QSObject:Swap:w1~swap.5123:10909</v>
      </c>
      <c r="F5125" s="6" t="str">
        <f>_xll.QS.TRADE.CREATE("trade.5123",E5125,A5125,"Receive")</f>
        <v>QSObject:SwapTrade:w1~trade.5123:26922</v>
      </c>
      <c r="G5125" s="3">
        <f>_xll.QS.EVALUATE(C5125,F5125)</f>
        <v>36666.704507162984</v>
      </c>
      <c r="H5125" s="5" t="s">
        <v>5166</v>
      </c>
      <c r="I5125" s="7">
        <v>1512300</v>
      </c>
      <c r="J5125" s="8">
        <v>3.73E-2</v>
      </c>
    </row>
    <row r="5126" spans="1:10" x14ac:dyDescent="0.25">
      <c r="A5126" s="5" t="s">
        <v>5160</v>
      </c>
      <c r="B5126" s="5" t="s">
        <v>6993</v>
      </c>
      <c r="C5126" s="6" t="str">
        <f>_xll.QS.CONTEXT.CREATE("market.5124",A5126,"USD","SOFR")</f>
        <v>QSObject:PricingContext:w1~market.5124:10908</v>
      </c>
      <c r="D5126" s="6" t="str">
        <f>_xll.QS.CONTEXT.ADD.CURVE(C5126,"SOFR",$K$2:$K$7,$L$2:$L$7,,,"Actual360","LogLinear",TRUE)</f>
        <v>QSObject:ContextInput:w1~input.qs_context_add_curve.2359132437744.5125.3.0:35501</v>
      </c>
      <c r="E5126" s="6" t="str">
        <f>_xll.QS.INSTRUMENT.SWAP("swap.5124",H5126,B5126,"USD","SOFR",I5126,J5126,0,"Actual360","Simple","Annual","Annual","Annual")</f>
        <v>QSObject:Swap:w1~swap.5124:10907</v>
      </c>
      <c r="F5126" s="6" t="str">
        <f>_xll.QS.TRADE.CREATE("trade.5124",E5126,A5126,"Receive")</f>
        <v>QSObject:SwapTrade:w1~trade.5124:26921</v>
      </c>
      <c r="G5126" s="3">
        <f>_xll.QS.EVALUATE(C5126,F5126)</f>
        <v>37430.605115407423</v>
      </c>
      <c r="H5126" s="5" t="s">
        <v>5167</v>
      </c>
      <c r="I5126" s="7">
        <v>1512400</v>
      </c>
      <c r="J5126" s="8">
        <v>3.7400000000000003E-2</v>
      </c>
    </row>
    <row r="5127" spans="1:10" x14ac:dyDescent="0.25">
      <c r="A5127" s="5" t="s">
        <v>5161</v>
      </c>
      <c r="B5127" s="5" t="s">
        <v>6994</v>
      </c>
      <c r="C5127" s="6" t="str">
        <f>_xll.QS.CONTEXT.CREATE("market.5125",A5127,"USD","SOFR")</f>
        <v>QSObject:PricingContext:w1~market.5125:10906</v>
      </c>
      <c r="D5127" s="6" t="str">
        <f>_xll.QS.CONTEXT.ADD.CURVE(C5127,"SOFR",$K$2:$K$7,$L$2:$L$7,,,"Actual360","LogLinear",TRUE)</f>
        <v>QSObject:ContextInput:w1~input.qs_context_add_curve.2359132437744.5126.3.0:35500</v>
      </c>
      <c r="E5127" s="6" t="str">
        <f>_xll.QS.INSTRUMENT.SWAP("swap.5125",H5127,B5127,"USD","SOFR",I5127,J5127,0,"Actual360","Simple","Annual","Annual","Annual")</f>
        <v>QSObject:Swap:w1~swap.5125:10905</v>
      </c>
      <c r="F5127" s="6" t="str">
        <f>_xll.QS.TRADE.CREATE("trade.5125",E5127,A5127,"Receive")</f>
        <v>QSObject:SwapTrade:w1~trade.5125:26920</v>
      </c>
      <c r="G5127" s="3">
        <f>_xll.QS.EVALUATE(C5127,F5127)</f>
        <v>38359.845564749914</v>
      </c>
      <c r="H5127" s="5" t="s">
        <v>5168</v>
      </c>
      <c r="I5127" s="7">
        <v>1512500</v>
      </c>
      <c r="J5127" s="8">
        <v>3.7500000000000012E-2</v>
      </c>
    </row>
    <row r="5128" spans="1:10" x14ac:dyDescent="0.25">
      <c r="A5128" s="5" t="s">
        <v>5162</v>
      </c>
      <c r="B5128" s="5" t="s">
        <v>6995</v>
      </c>
      <c r="C5128" s="6" t="str">
        <f>_xll.QS.CONTEXT.CREATE("market.5126",A5128,"USD","SOFR")</f>
        <v>QSObject:PricingContext:w1~market.5126:10904</v>
      </c>
      <c r="D5128" s="6" t="str">
        <f>_xll.QS.CONTEXT.ADD.CURVE(C5128,"SOFR",$K$2:$K$7,$L$2:$L$7,,,"Actual360","LogLinear",TRUE)</f>
        <v>QSObject:ContextInput:w1~input.qs_context_add_curve.2359132437744.5127.3.0:35499</v>
      </c>
      <c r="E5128" s="6" t="str">
        <f>_xll.QS.INSTRUMENT.SWAP("swap.5126",H5128,B5128,"USD","SOFR",I5128,J5128,0,"Actual360","Simple","Annual","Annual","Annual")</f>
        <v>QSObject:Swap:w1~swap.5126:10903</v>
      </c>
      <c r="F5128" s="6" t="str">
        <f>_xll.QS.TRADE.CREATE("trade.5126",E5128,A5128,"Receive")</f>
        <v>QSObject:SwapTrade:w1~trade.5126:26424</v>
      </c>
      <c r="G5128" s="3">
        <f>_xll.QS.EVALUATE(C5128,F5128)</f>
        <v>39059.967772111144</v>
      </c>
      <c r="H5128" s="5" t="s">
        <v>5169</v>
      </c>
      <c r="I5128" s="7">
        <v>1512600</v>
      </c>
      <c r="J5128" s="8">
        <v>3.7600000000000001E-2</v>
      </c>
    </row>
    <row r="5129" spans="1:10" x14ac:dyDescent="0.25">
      <c r="A5129" s="5" t="s">
        <v>5163</v>
      </c>
      <c r="B5129" s="5" t="s">
        <v>6996</v>
      </c>
      <c r="C5129" s="6" t="str">
        <f>_xll.QS.CONTEXT.CREATE("market.5127",A5129,"USD","SOFR")</f>
        <v>QSObject:PricingContext:w1~market.5127:10902</v>
      </c>
      <c r="D5129" s="6" t="str">
        <f>_xll.QS.CONTEXT.ADD.CURVE(C5129,"SOFR",$K$2:$K$7,$L$2:$L$7,,,"Actual360","LogLinear",TRUE)</f>
        <v>QSObject:ContextInput:w1~input.qs_context_add_curve.2359132437744.5128.3.0:35498</v>
      </c>
      <c r="E5129" s="6" t="str">
        <f>_xll.QS.INSTRUMENT.SWAP("swap.5127",H5129,B5129,"USD","SOFR",I5129,J5129,0,"Actual360","Simple","Annual","Annual","Annual")</f>
        <v>QSObject:Swap:w1~swap.5127:10901</v>
      </c>
      <c r="F5129" s="6" t="str">
        <f>_xll.QS.TRADE.CREATE("trade.5127",E5129,A5129,"Receive")</f>
        <v>QSObject:SwapTrade:w1~trade.5127:26919</v>
      </c>
      <c r="G5129" s="3">
        <f>_xll.QS.EVALUATE(C5129,F5129)</f>
        <v>39773.835914636285</v>
      </c>
      <c r="H5129" s="5" t="s">
        <v>5170</v>
      </c>
      <c r="I5129" s="7">
        <v>1512700</v>
      </c>
      <c r="J5129" s="8">
        <v>3.7699999999999997E-2</v>
      </c>
    </row>
    <row r="5130" spans="1:10" x14ac:dyDescent="0.25">
      <c r="A5130" s="5" t="s">
        <v>5164</v>
      </c>
      <c r="B5130" s="5" t="s">
        <v>6997</v>
      </c>
      <c r="C5130" s="6" t="str">
        <f>_xll.QS.CONTEXT.CREATE("market.5128",A5130,"USD","SOFR")</f>
        <v>QSObject:PricingContext:w1~market.5128:10900</v>
      </c>
      <c r="D5130" s="6" t="str">
        <f>_xll.QS.CONTEXT.ADD.CURVE(C5130,"SOFR",$K$2:$K$7,$L$2:$L$7,,,"Actual360","LogLinear",TRUE)</f>
        <v>QSObject:ContextInput:w1~input.qs_context_add_curve.2359132437744.5129.3.0:35497</v>
      </c>
      <c r="E5130" s="6" t="str">
        <f>_xll.QS.INSTRUMENT.SWAP("swap.5128",H5130,B5130,"USD","SOFR",I5130,J5130,0,"Actual360","Simple","Annual","Annual","Annual")</f>
        <v>QSObject:Swap:w1~swap.5128:10899</v>
      </c>
      <c r="F5130" s="6" t="str">
        <f>_xll.QS.TRADE.CREATE("trade.5128",E5130,A5130,"Receive")</f>
        <v>QSObject:SwapTrade:w1~trade.5128:26918</v>
      </c>
      <c r="G5130" s="3">
        <f>_xll.QS.EVALUATE(C5130,F5130)</f>
        <v>40475.126484291301</v>
      </c>
      <c r="H5130" s="5" t="s">
        <v>5171</v>
      </c>
      <c r="I5130" s="7">
        <v>1512800</v>
      </c>
      <c r="J5130" s="8">
        <v>3.78E-2</v>
      </c>
    </row>
    <row r="5131" spans="1:10" x14ac:dyDescent="0.25">
      <c r="A5131" s="5" t="s">
        <v>5165</v>
      </c>
      <c r="B5131" s="5" t="s">
        <v>6998</v>
      </c>
      <c r="C5131" s="6" t="str">
        <f>_xll.QS.CONTEXT.CREATE("market.5129",A5131,"USD","SOFR")</f>
        <v>QSObject:PricingContext:w1~market.5129:10898</v>
      </c>
      <c r="D5131" s="6" t="str">
        <f>_xll.QS.CONTEXT.ADD.CURVE(C5131,"SOFR",$K$2:$K$7,$L$2:$L$7,,,"Actual360","LogLinear",TRUE)</f>
        <v>QSObject:ContextInput:w1~input.qs_context_add_curve.2359132437744.5130.3.0:35496</v>
      </c>
      <c r="E5131" s="6" t="str">
        <f>_xll.QS.INSTRUMENT.SWAP("swap.5129",H5131,B5131,"USD","SOFR",I5131,J5131,0,"Actual360","Simple","Annual","Annual","Annual")</f>
        <v>QSObject:Swap:w1~swap.5129:10897</v>
      </c>
      <c r="F5131" s="6" t="str">
        <f>_xll.QS.TRADE.CREATE("trade.5129",E5131,A5131,"Receive")</f>
        <v>QSObject:SwapTrade:w1~trade.5129:26423</v>
      </c>
      <c r="G5131" s="3">
        <f>_xll.QS.EVALUATE(C5131,F5131)</f>
        <v>40988.97155796468</v>
      </c>
      <c r="H5131" s="5" t="s">
        <v>5172</v>
      </c>
      <c r="I5131" s="7">
        <v>1512900</v>
      </c>
      <c r="J5131" s="8">
        <v>3.7900000000000003E-2</v>
      </c>
    </row>
    <row r="5132" spans="1:10" x14ac:dyDescent="0.25">
      <c r="A5132" s="5" t="s">
        <v>5166</v>
      </c>
      <c r="B5132" s="5" t="s">
        <v>6999</v>
      </c>
      <c r="C5132" s="6" t="str">
        <f>_xll.QS.CONTEXT.CREATE("market.5130",A5132,"USD","SOFR")</f>
        <v>QSObject:PricingContext:w1~market.5130:10896</v>
      </c>
      <c r="D5132" s="6" t="str">
        <f>_xll.QS.CONTEXT.ADD.CURVE(C5132,"SOFR",$K$2:$K$7,$L$2:$L$7,,,"Actual360","LogLinear",TRUE)</f>
        <v>QSObject:ContextInput:w1~input.qs_context_add_curve.2359132437744.5131.3.0:35495</v>
      </c>
      <c r="E5132" s="6" t="str">
        <f>_xll.QS.INSTRUMENT.SWAP("swap.5130",H5132,B5132,"USD","SOFR",I5132,J5132,0,"Actual360","Simple","Annual","Annual","Annual")</f>
        <v>QSObject:Swap:w1~swap.5130:10895</v>
      </c>
      <c r="F5132" s="6" t="str">
        <f>_xll.QS.TRADE.CREATE("trade.5130",E5132,A5132,"Receive")</f>
        <v>QSObject:SwapTrade:w1~trade.5130:26917</v>
      </c>
      <c r="G5132" s="3">
        <f>_xll.QS.EVALUATE(C5132,F5132)</f>
        <v>41693.04638342742</v>
      </c>
      <c r="H5132" s="5" t="s">
        <v>5173</v>
      </c>
      <c r="I5132" s="7">
        <v>1513000</v>
      </c>
      <c r="J5132" s="8">
        <v>3.8000000000000013E-2</v>
      </c>
    </row>
    <row r="5133" spans="1:10" x14ac:dyDescent="0.25">
      <c r="A5133" s="5" t="s">
        <v>5167</v>
      </c>
      <c r="B5133" s="5" t="s">
        <v>7000</v>
      </c>
      <c r="C5133" s="6" t="str">
        <f>_xll.QS.CONTEXT.CREATE("market.5131",A5133,"USD","SOFR")</f>
        <v>QSObject:PricingContext:w1~market.5131:10894</v>
      </c>
      <c r="D5133" s="6" t="str">
        <f>_xll.QS.CONTEXT.ADD.CURVE(C5133,"SOFR",$K$2:$K$7,$L$2:$L$7,,,"Actual360","LogLinear",TRUE)</f>
        <v>QSObject:ContextInput:w1~input.qs_context_add_curve.2359132437744.5132.3.0:35494</v>
      </c>
      <c r="E5133" s="6" t="str">
        <f>_xll.QS.INSTRUMENT.SWAP("swap.5131",H5133,B5133,"USD","SOFR",I5133,J5133,0,"Actual360","Simple","Annual","Annual","Annual")</f>
        <v>QSObject:Swap:w1~swap.5131:10893</v>
      </c>
      <c r="F5133" s="6" t="str">
        <f>_xll.QS.TRADE.CREATE("trade.5131",E5133,A5133,"Receive")</f>
        <v>QSObject:SwapTrade:w1~trade.5131:26916</v>
      </c>
      <c r="G5133" s="3">
        <f>_xll.QS.EVALUATE(C5133,F5133)</f>
        <v>42397.016406717463</v>
      </c>
      <c r="H5133" s="5" t="s">
        <v>5174</v>
      </c>
      <c r="I5133" s="7">
        <v>1513100</v>
      </c>
      <c r="J5133" s="8">
        <v>3.8100000000000002E-2</v>
      </c>
    </row>
    <row r="5134" spans="1:10" x14ac:dyDescent="0.25">
      <c r="A5134" s="5" t="s">
        <v>5168</v>
      </c>
      <c r="B5134" s="5" t="s">
        <v>7001</v>
      </c>
      <c r="C5134" s="6" t="str">
        <f>_xll.QS.CONTEXT.CREATE("market.5132",A5134,"USD","SOFR")</f>
        <v>QSObject:PricingContext:w1~market.5132:10892</v>
      </c>
      <c r="D5134" s="6" t="str">
        <f>_xll.QS.CONTEXT.ADD.CURVE(C5134,"SOFR",$K$2:$K$7,$L$2:$L$7,,,"Actual360","LogLinear",TRUE)</f>
        <v>QSObject:ContextInput:w1~input.qs_context_add_curve.2359132437744.5133.3.0:35493</v>
      </c>
      <c r="E5134" s="6" t="str">
        <f>_xll.QS.INSTRUMENT.SWAP("swap.5132",H5134,B5134,"USD","SOFR",I5134,J5134,0,"Actual360","Simple","Annual","Annual","Annual")</f>
        <v>QSObject:Swap:w1~swap.5132:10891</v>
      </c>
      <c r="F5134" s="6" t="str">
        <f>_xll.QS.TRADE.CREATE("trade.5132",E5134,A5134,"Receive")</f>
        <v>QSObject:SwapTrade:w1~trade.5132:26422</v>
      </c>
      <c r="G5134" s="3">
        <f>_xll.QS.EVALUATE(C5134,F5134)</f>
        <v>43208.55266575639</v>
      </c>
      <c r="H5134" s="5" t="s">
        <v>5175</v>
      </c>
      <c r="I5134" s="7">
        <v>1513200</v>
      </c>
      <c r="J5134" s="8">
        <v>3.8199999999999998E-2</v>
      </c>
    </row>
    <row r="5135" spans="1:10" x14ac:dyDescent="0.25">
      <c r="A5135" s="5" t="s">
        <v>5169</v>
      </c>
      <c r="B5135" s="5" t="s">
        <v>7002</v>
      </c>
      <c r="C5135" s="6" t="str">
        <f>_xll.QS.CONTEXT.CREATE("market.5133",A5135,"USD","SOFR")</f>
        <v>QSObject:PricingContext:w1~market.5133:10890</v>
      </c>
      <c r="D5135" s="6" t="str">
        <f>_xll.QS.CONTEXT.ADD.CURVE(C5135,"SOFR",$K$2:$K$7,$L$2:$L$7,,,"Actual360","LogLinear",TRUE)</f>
        <v>QSObject:ContextInput:w1~input.qs_context_add_curve.2359132437744.5134.3.0:35492</v>
      </c>
      <c r="E5135" s="6" t="str">
        <f>_xll.QS.INSTRUMENT.SWAP("swap.5133",H5135,B5135,"USD","SOFR",I5135,J5135,0,"Actual360","Simple","Annual","Annual","Annual")</f>
        <v>QSObject:Swap:w1~swap.5133:10889</v>
      </c>
      <c r="F5135" s="6" t="str">
        <f>_xll.QS.TRADE.CREATE("trade.5133",E5135,A5135,"Receive")</f>
        <v>QSObject:SwapTrade:w1~trade.5133:26915</v>
      </c>
      <c r="G5135" s="3">
        <f>_xll.QS.EVALUATE(C5135,F5135)</f>
        <v>43909.356146206403</v>
      </c>
      <c r="H5135" s="5" t="s">
        <v>5176</v>
      </c>
      <c r="I5135" s="7">
        <v>1513300</v>
      </c>
      <c r="J5135" s="8">
        <v>3.8300000000000001E-2</v>
      </c>
    </row>
    <row r="5136" spans="1:10" x14ac:dyDescent="0.25">
      <c r="A5136" s="5" t="s">
        <v>5170</v>
      </c>
      <c r="B5136" s="5" t="s">
        <v>7003</v>
      </c>
      <c r="C5136" s="6" t="str">
        <f>_xll.QS.CONTEXT.CREATE("market.5134",A5136,"USD","SOFR")</f>
        <v>QSObject:PricingContext:w1~market.5134:10888</v>
      </c>
      <c r="D5136" s="6" t="str">
        <f>_xll.QS.CONTEXT.ADD.CURVE(C5136,"SOFR",$K$2:$K$7,$L$2:$L$7,,,"Actual360","LogLinear",TRUE)</f>
        <v>QSObject:ContextInput:w1~input.qs_context_add_curve.2359132437744.5135.3.0:35491</v>
      </c>
      <c r="E5136" s="6" t="str">
        <f>_xll.QS.INSTRUMENT.SWAP("swap.5134",H5136,B5136,"USD","SOFR",I5136,J5136,0,"Actual360","Simple","Annual","Annual","Annual")</f>
        <v>QSObject:Swap:w1~swap.5134:10887</v>
      </c>
      <c r="F5136" s="6" t="str">
        <f>_xll.QS.TRADE.CREATE("trade.5134",E5136,A5136,"Receive")</f>
        <v>QSObject:SwapTrade:w1~trade.5134:26421</v>
      </c>
      <c r="G5136" s="3">
        <f>_xll.QS.EVALUATE(C5136,F5136)</f>
        <v>44618.622840473261</v>
      </c>
      <c r="H5136" s="5" t="s">
        <v>5177</v>
      </c>
      <c r="I5136" s="7">
        <v>1513400</v>
      </c>
      <c r="J5136" s="8">
        <v>3.8399999999999997E-2</v>
      </c>
    </row>
    <row r="5137" spans="1:10" x14ac:dyDescent="0.25">
      <c r="A5137" s="5" t="s">
        <v>5171</v>
      </c>
      <c r="B5137" s="5" t="s">
        <v>7004</v>
      </c>
      <c r="C5137" s="6" t="str">
        <f>_xll.QS.CONTEXT.CREATE("market.5135",A5137,"USD","SOFR")</f>
        <v>QSObject:PricingContext:w1~market.5135:10886</v>
      </c>
      <c r="D5137" s="6" t="str">
        <f>_xll.QS.CONTEXT.ADD.CURVE(C5137,"SOFR",$K$2:$K$7,$L$2:$L$7,,,"Actual360","LogLinear",TRUE)</f>
        <v>QSObject:ContextInput:w1~input.qs_context_add_curve.2359132437744.5136.3.0:35490</v>
      </c>
      <c r="E5137" s="6" t="str">
        <f>_xll.QS.INSTRUMENT.SWAP("swap.5135",H5137,B5137,"USD","SOFR",I5137,J5137,0,"Actual360","Simple","Annual","Annual","Annual")</f>
        <v>QSObject:Swap:w1~swap.5135:10885</v>
      </c>
      <c r="F5137" s="6" t="str">
        <f>_xll.QS.TRADE.CREATE("trade.5135",E5137,A5137,"Receive")</f>
        <v>QSObject:SwapTrade:w1~trade.5135:26914</v>
      </c>
      <c r="G5137" s="3">
        <f>_xll.QS.EVALUATE(C5137,F5137)</f>
        <v>45321.147966547695</v>
      </c>
      <c r="H5137" s="5" t="s">
        <v>5178</v>
      </c>
      <c r="I5137" s="7">
        <v>1513500</v>
      </c>
      <c r="J5137" s="8">
        <v>3.8500000000000013E-2</v>
      </c>
    </row>
    <row r="5138" spans="1:10" x14ac:dyDescent="0.25">
      <c r="A5138" s="5" t="s">
        <v>5172</v>
      </c>
      <c r="B5138" s="5" t="s">
        <v>7005</v>
      </c>
      <c r="C5138" s="6" t="str">
        <f>_xll.QS.CONTEXT.CREATE("market.5136",A5138,"USD","SOFR")</f>
        <v>QSObject:PricingContext:w1~market.5136:10884</v>
      </c>
      <c r="D5138" s="6" t="str">
        <f>_xll.QS.CONTEXT.ADD.CURVE(C5138,"SOFR",$K$2:$K$7,$L$2:$L$7,,,"Actual360","LogLinear",TRUE)</f>
        <v>QSObject:ContextInput:w1~input.qs_context_add_curve.2359132437744.5137.3.0:35489</v>
      </c>
      <c r="E5138" s="6" t="str">
        <f>_xll.QS.INSTRUMENT.SWAP("swap.5136",H5138,B5138,"USD","SOFR",I5138,J5138,0,"Actual360","Simple","Annual","Annual","Annual")</f>
        <v>QSObject:Swap:w1~swap.5136:10883</v>
      </c>
      <c r="F5138" s="6" t="str">
        <f>_xll.QS.TRADE.CREATE("trade.5136",E5138,A5138,"Receive")</f>
        <v>QSObject:SwapTrade:w1~trade.5136:26420</v>
      </c>
      <c r="G5138" s="3">
        <f>_xll.QS.EVALUATE(C5138,F5138)</f>
        <v>46026.012169484253</v>
      </c>
      <c r="H5138" s="5" t="s">
        <v>5179</v>
      </c>
      <c r="I5138" s="7">
        <v>1513600</v>
      </c>
      <c r="J5138" s="8">
        <v>3.8600000000000002E-2</v>
      </c>
    </row>
    <row r="5139" spans="1:10" x14ac:dyDescent="0.25">
      <c r="A5139" s="5" t="s">
        <v>5173</v>
      </c>
      <c r="B5139" s="5" t="s">
        <v>7006</v>
      </c>
      <c r="C5139" s="6" t="str">
        <f>_xll.QS.CONTEXT.CREATE("market.5137",A5139,"USD","SOFR")</f>
        <v>QSObject:PricingContext:w1~market.5137:10882</v>
      </c>
      <c r="D5139" s="6" t="str">
        <f>_xll.QS.CONTEXT.ADD.CURVE(C5139,"SOFR",$K$2:$K$7,$L$2:$L$7,,,"Actual360","LogLinear",TRUE)</f>
        <v>QSObject:ContextInput:w1~input.qs_context_add_curve.2359132437744.5138.3.0:35488</v>
      </c>
      <c r="E5139" s="6" t="str">
        <f>_xll.QS.INSTRUMENT.SWAP("swap.5137",H5139,B5139,"USD","SOFR",I5139,J5139,0,"Actual360","Simple","Annual","Annual","Annual")</f>
        <v>QSObject:Swap:w1~swap.5137:10881</v>
      </c>
      <c r="F5139" s="6" t="str">
        <f>_xll.QS.TRADE.CREATE("trade.5137",E5139,A5139,"Receive")</f>
        <v>QSObject:SwapTrade:w1~trade.5137:26913</v>
      </c>
      <c r="G5139" s="3">
        <f>_xll.QS.EVALUATE(C5139,F5139)</f>
        <v>46539.524456539482</v>
      </c>
      <c r="H5139" s="5" t="s">
        <v>5180</v>
      </c>
      <c r="I5139" s="7">
        <v>1513700</v>
      </c>
      <c r="J5139" s="8">
        <v>3.8700000000000012E-2</v>
      </c>
    </row>
    <row r="5140" spans="1:10" x14ac:dyDescent="0.25">
      <c r="A5140" s="5" t="s">
        <v>5174</v>
      </c>
      <c r="B5140" s="5" t="s">
        <v>7007</v>
      </c>
      <c r="C5140" s="6" t="str">
        <f>_xll.QS.CONTEXT.CREATE("market.5138",A5140,"USD","SOFR")</f>
        <v>QSObject:PricingContext:w1~market.5138:10880</v>
      </c>
      <c r="D5140" s="6" t="str">
        <f>_xll.QS.CONTEXT.ADD.CURVE(C5140,"SOFR",$K$2:$K$7,$L$2:$L$7,,,"Actual360","LogLinear",TRUE)</f>
        <v>QSObject:ContextInput:w1~input.qs_context_add_curve.2359132437744.5139.3.0:35487</v>
      </c>
      <c r="E5140" s="6" t="str">
        <f>_xll.QS.INSTRUMENT.SWAP("swap.5138",H5140,B5140,"USD","SOFR",I5140,J5140,0,"Actual360","Simple","Annual","Annual","Annual")</f>
        <v>QSObject:Swap:w1~swap.5138:10879</v>
      </c>
      <c r="F5140" s="6" t="str">
        <f>_xll.QS.TRADE.CREATE("trade.5138",E5140,A5140,"Receive")</f>
        <v>QSObject:SwapTrade:w1~trade.5138:26419</v>
      </c>
      <c r="G5140" s="3">
        <f>_xll.QS.EVALUATE(C5140,F5140)</f>
        <v>47305.444945738542</v>
      </c>
      <c r="H5140" s="5" t="s">
        <v>5181</v>
      </c>
      <c r="I5140" s="7">
        <v>1513800</v>
      </c>
      <c r="J5140" s="8">
        <v>3.8800000000000001E-2</v>
      </c>
    </row>
    <row r="5141" spans="1:10" x14ac:dyDescent="0.25">
      <c r="A5141" s="5" t="s">
        <v>5175</v>
      </c>
      <c r="B5141" s="5" t="s">
        <v>7008</v>
      </c>
      <c r="C5141" s="6" t="str">
        <f>_xll.QS.CONTEXT.CREATE("market.5139",A5141,"USD","SOFR")</f>
        <v>QSObject:PricingContext:w1~market.5139:10878</v>
      </c>
      <c r="D5141" s="6" t="str">
        <f>_xll.QS.CONTEXT.ADD.CURVE(C5141,"SOFR",$K$2:$K$7,$L$2:$L$7,,,"Actual360","LogLinear",TRUE)</f>
        <v>QSObject:ContextInput:w1~input.qs_context_add_curve.2359132437744.5140.3.0:35486</v>
      </c>
      <c r="E5141" s="6" t="str">
        <f>_xll.QS.INSTRUMENT.SWAP("swap.5139",H5141,B5141,"USD","SOFR",I5141,J5141,0,"Actual360","Simple","Annual","Annual","Annual")</f>
        <v>QSObject:Swap:w1~swap.5139:10877</v>
      </c>
      <c r="F5141" s="6" t="str">
        <f>_xll.QS.TRADE.CREATE("trade.5139",E5141,A5141,"Receive")</f>
        <v>QSObject:SwapTrade:w1~trade.5139:26912</v>
      </c>
      <c r="G5141" s="3">
        <f>_xll.QS.EVALUATE(C5141,F5141)</f>
        <v>48117.801299828127</v>
      </c>
      <c r="H5141" s="5" t="s">
        <v>5182</v>
      </c>
      <c r="I5141" s="7">
        <v>1513900</v>
      </c>
      <c r="J5141" s="8">
        <v>3.8899999999999997E-2</v>
      </c>
    </row>
    <row r="5142" spans="1:10" x14ac:dyDescent="0.25">
      <c r="A5142" s="5" t="s">
        <v>5176</v>
      </c>
      <c r="B5142" s="5" t="s">
        <v>7009</v>
      </c>
      <c r="C5142" s="6" t="str">
        <f>_xll.QS.CONTEXT.CREATE("market.5140",A5142,"USD","SOFR")</f>
        <v>QSObject:PricingContext:w1~market.5140:10876</v>
      </c>
      <c r="D5142" s="6" t="str">
        <f>_xll.QS.CONTEXT.ADD.CURVE(C5142,"SOFR",$K$2:$K$7,$L$2:$L$7,,,"Actual360","LogLinear",TRUE)</f>
        <v>QSObject:ContextInput:w1~input.qs_context_add_curve.2359132437744.5141.3.0:35485</v>
      </c>
      <c r="E5142" s="6" t="str">
        <f>_xll.QS.INSTRUMENT.SWAP("swap.5140",H5142,B5142,"USD","SOFR",I5142,J5142,0,"Actual360","Simple","Annual","Annual","Annual")</f>
        <v>QSObject:Swap:w1~swap.5140:10875</v>
      </c>
      <c r="F5142" s="6" t="str">
        <f>_xll.QS.TRADE.CREATE("trade.5140",E5142,A5142,"Receive")</f>
        <v>QSObject:SwapTrade:w1~trade.5140:26911</v>
      </c>
      <c r="G5142" s="3">
        <f>_xll.QS.EVALUATE(C5142,F5142)</f>
        <v>48819.45328575946</v>
      </c>
      <c r="H5142" s="5" t="s">
        <v>5183</v>
      </c>
      <c r="I5142" s="7">
        <v>1514000</v>
      </c>
      <c r="J5142" s="8">
        <v>3.9000000000000007E-2</v>
      </c>
    </row>
    <row r="5143" spans="1:10" x14ac:dyDescent="0.25">
      <c r="A5143" s="5" t="s">
        <v>5177</v>
      </c>
      <c r="B5143" s="5" t="s">
        <v>7010</v>
      </c>
      <c r="C5143" s="6" t="str">
        <f>_xll.QS.CONTEXT.CREATE("market.5141",A5143,"USD","SOFR")</f>
        <v>QSObject:PricingContext:w1~market.5141:10874</v>
      </c>
      <c r="D5143" s="6" t="str">
        <f>_xll.QS.CONTEXT.ADD.CURVE(C5143,"SOFR",$K$2:$K$7,$L$2:$L$7,,,"Actual360","LogLinear",TRUE)</f>
        <v>QSObject:ContextInput:w1~input.qs_context_add_curve.2359132437744.5142.3.0:35484</v>
      </c>
      <c r="E5143" s="6" t="str">
        <f>_xll.QS.INSTRUMENT.SWAP("swap.5141",H5143,B5143,"USD","SOFR",I5143,J5143,0,"Actual360","Simple","Annual","Annual","Annual")</f>
        <v>QSObject:Swap:w1~swap.5141:10873</v>
      </c>
      <c r="F5143" s="6" t="str">
        <f>_xll.QS.TRADE.CREATE("trade.5141",E5143,A5143,"Receive")</f>
        <v>QSObject:SwapTrade:w1~trade.5141:26910</v>
      </c>
      <c r="G5143" s="3">
        <f>_xll.QS.EVALUATE(C5143,F5143)</f>
        <v>49529.170955383168</v>
      </c>
      <c r="H5143" s="5" t="s">
        <v>5184</v>
      </c>
      <c r="I5143" s="7">
        <v>1514100</v>
      </c>
      <c r="J5143" s="8">
        <v>3.9100000000000003E-2</v>
      </c>
    </row>
    <row r="5144" spans="1:10" x14ac:dyDescent="0.25">
      <c r="A5144" s="5" t="s">
        <v>5178</v>
      </c>
      <c r="B5144" s="5" t="s">
        <v>7011</v>
      </c>
      <c r="C5144" s="6" t="str">
        <f>_xll.QS.CONTEXT.CREATE("market.5142",A5144,"USD","SOFR")</f>
        <v>QSObject:PricingContext:w1~market.5142:10872</v>
      </c>
      <c r="D5144" s="6" t="str">
        <f>_xll.QS.CONTEXT.ADD.CURVE(C5144,"SOFR",$K$2:$K$7,$L$2:$L$7,,,"Actual360","LogLinear",TRUE)</f>
        <v>QSObject:ContextInput:w1~input.qs_context_add_curve.2359132437744.5143.3.0:35483</v>
      </c>
      <c r="E5144" s="6" t="str">
        <f>_xll.QS.INSTRUMENT.SWAP("swap.5142",H5144,B5144,"USD","SOFR",I5144,J5144,0,"Actual360","Simple","Annual","Annual","Annual")</f>
        <v>QSObject:Swap:w1~swap.5142:10871</v>
      </c>
      <c r="F5144" s="6" t="str">
        <f>_xll.QS.TRADE.CREATE("trade.5142",E5144,A5144,"Receive")</f>
        <v>QSObject:SwapTrade:w1~trade.5142:26909</v>
      </c>
      <c r="G5144" s="3">
        <f>_xll.QS.EVALUATE(C5144,F5144)</f>
        <v>50232.361211267635</v>
      </c>
      <c r="H5144" s="5" t="s">
        <v>5185</v>
      </c>
      <c r="I5144" s="7">
        <v>1514200</v>
      </c>
      <c r="J5144" s="8">
        <v>3.9200000000000013E-2</v>
      </c>
    </row>
    <row r="5145" spans="1:10" x14ac:dyDescent="0.25">
      <c r="A5145" s="5" t="s">
        <v>5179</v>
      </c>
      <c r="B5145" s="5" t="s">
        <v>7012</v>
      </c>
      <c r="C5145" s="6" t="str">
        <f>_xll.QS.CONTEXT.CREATE("market.5143",A5145,"USD","SOFR")</f>
        <v>QSObject:PricingContext:w1~market.5143:10870</v>
      </c>
      <c r="D5145" s="6" t="str">
        <f>_xll.QS.CONTEXT.ADD.CURVE(C5145,"SOFR",$K$2:$K$7,$L$2:$L$7,,,"Actual360","LogLinear",TRUE)</f>
        <v>QSObject:ContextInput:w1~input.qs_context_add_curve.2359132437744.5144.3.0:35482</v>
      </c>
      <c r="E5145" s="6" t="str">
        <f>_xll.QS.INSTRUMENT.SWAP("swap.5143",H5145,B5145,"USD","SOFR",I5145,J5145,0,"Actual360","Simple","Annual","Annual","Annual")</f>
        <v>QSObject:Swap:w1~swap.5143:10869</v>
      </c>
      <c r="F5145" s="6" t="str">
        <f>_xll.QS.TRADE.CREATE("trade.5143",E5145,A5145,"Receive")</f>
        <v>QSObject:SwapTrade:w1~trade.5143:26418</v>
      </c>
      <c r="G5145" s="3">
        <f>_xll.QS.EVALUATE(C5145,F5145)</f>
        <v>50745.351023992</v>
      </c>
      <c r="H5145" s="5" t="s">
        <v>5186</v>
      </c>
      <c r="I5145" s="7">
        <v>1514300</v>
      </c>
      <c r="J5145" s="8">
        <v>3.9300000000000002E-2</v>
      </c>
    </row>
    <row r="5146" spans="1:10" x14ac:dyDescent="0.25">
      <c r="A5146" s="5" t="s">
        <v>5180</v>
      </c>
      <c r="B5146" s="5" t="s">
        <v>7013</v>
      </c>
      <c r="C5146" s="6" t="str">
        <f>_xll.QS.CONTEXT.CREATE("market.5144",A5146,"USD","SOFR")</f>
        <v>QSObject:PricingContext:w1~market.5144:10868</v>
      </c>
      <c r="D5146" s="6" t="str">
        <f>_xll.QS.CONTEXT.ADD.CURVE(C5146,"SOFR",$K$2:$K$7,$L$2:$L$7,,,"Actual360","LogLinear",TRUE)</f>
        <v>QSObject:ContextInput:w1~input.qs_context_add_curve.2359132437744.5145.3.0:35481</v>
      </c>
      <c r="E5146" s="6" t="str">
        <f>_xll.QS.INSTRUMENT.SWAP("swap.5144",H5146,B5146,"USD","SOFR",I5146,J5146,0,"Actual360","Simple","Annual","Annual","Annual")</f>
        <v>QSObject:Swap:w1~swap.5144:10867</v>
      </c>
      <c r="F5146" s="6" t="str">
        <f>_xll.QS.TRADE.CREATE("trade.5144",E5146,A5146,"Receive")</f>
        <v>QSObject:SwapTrade:w1~trade.5144:26908</v>
      </c>
      <c r="G5146" s="3">
        <f>_xll.QS.EVALUATE(C5146,F5146)</f>
        <v>51451.370646013813</v>
      </c>
      <c r="H5146" s="5" t="s">
        <v>5187</v>
      </c>
      <c r="I5146" s="7">
        <v>1514400</v>
      </c>
      <c r="J5146" s="8">
        <v>3.9399999999999998E-2</v>
      </c>
    </row>
    <row r="5147" spans="1:10" x14ac:dyDescent="0.25">
      <c r="A5147" s="5" t="s">
        <v>5181</v>
      </c>
      <c r="B5147" s="5" t="s">
        <v>7014</v>
      </c>
      <c r="C5147" s="6" t="str">
        <f>_xll.QS.CONTEXT.CREATE("market.5145",A5147,"USD","SOFR")</f>
        <v>QSObject:PricingContext:w1~market.5145:10866</v>
      </c>
      <c r="D5147" s="6" t="str">
        <f>_xll.QS.CONTEXT.ADD.CURVE(C5147,"SOFR",$K$2:$K$7,$L$2:$L$7,,,"Actual360","LogLinear",TRUE)</f>
        <v>QSObject:ContextInput:w1~input.qs_context_add_curve.2359132437744.5146.3.0:35480</v>
      </c>
      <c r="E5147" s="6" t="str">
        <f>_xll.QS.INSTRUMENT.SWAP("swap.5145",H5147,B5147,"USD","SOFR",I5147,J5147,0,"Actual360","Simple","Annual","Annual","Annual")</f>
        <v>QSObject:Swap:w1~swap.5145:10865</v>
      </c>
      <c r="F5147" s="6" t="str">
        <f>_xll.QS.TRADE.CREATE("trade.5145",E5147,A5147,"Receive")</f>
        <v>QSObject:SwapTrade:w1~trade.5145:26417</v>
      </c>
      <c r="G5147" s="3">
        <f>_xll.QS.EVALUATE(C5147,F5147)</f>
        <v>52218.445250306613</v>
      </c>
      <c r="H5147" s="5" t="s">
        <v>5188</v>
      </c>
      <c r="I5147" s="7">
        <v>1514500</v>
      </c>
      <c r="J5147" s="8">
        <v>3.9500000000000007E-2</v>
      </c>
    </row>
    <row r="5148" spans="1:10" x14ac:dyDescent="0.25">
      <c r="A5148" s="5" t="s">
        <v>5182</v>
      </c>
      <c r="B5148" s="5" t="s">
        <v>7015</v>
      </c>
      <c r="C5148" s="6" t="str">
        <f>_xll.QS.CONTEXT.CREATE("market.5146",A5148,"USD","SOFR")</f>
        <v>QSObject:PricingContext:w1~market.5146:10864</v>
      </c>
      <c r="D5148" s="6" t="str">
        <f>_xll.QS.CONTEXT.ADD.CURVE(C5148,"SOFR",$K$2:$K$7,$L$2:$L$7,,,"Actual360","LogLinear",TRUE)</f>
        <v>QSObject:ContextInput:w1~input.qs_context_add_curve.2359132437744.5147.3.0:35479</v>
      </c>
      <c r="E5148" s="6" t="str">
        <f>_xll.QS.INSTRUMENT.SWAP("swap.5146",H5148,B5148,"USD","SOFR",I5148,J5148,0,"Actual360","Simple","Annual","Annual","Annual")</f>
        <v>QSObject:Swap:w1~swap.5146:10863</v>
      </c>
      <c r="F5148" s="6" t="str">
        <f>_xll.QS.TRADE.CREATE("trade.5146",E5148,A5148,"Receive")</f>
        <v>QSObject:SwapTrade:w1~trade.5146:26416</v>
      </c>
      <c r="G5148" s="3">
        <f>_xll.QS.EVALUATE(C5148,F5148)</f>
        <v>53031.571345323166</v>
      </c>
      <c r="H5148" s="5" t="s">
        <v>5189</v>
      </c>
      <c r="I5148" s="7">
        <v>1514600</v>
      </c>
      <c r="J5148" s="8">
        <v>3.9600000000000003E-2</v>
      </c>
    </row>
    <row r="5149" spans="1:10" x14ac:dyDescent="0.25">
      <c r="A5149" s="5" t="s">
        <v>5183</v>
      </c>
      <c r="B5149" s="5" t="s">
        <v>7016</v>
      </c>
      <c r="C5149" s="6" t="str">
        <f>_xll.QS.CONTEXT.CREATE("market.5147",A5149,"USD","SOFR")</f>
        <v>QSObject:PricingContext:w1~market.5147:10862</v>
      </c>
      <c r="D5149" s="6" t="str">
        <f>_xll.QS.CONTEXT.ADD.CURVE(C5149,"SOFR",$K$2:$K$7,$L$2:$L$7,,,"Actual360","LogLinear",TRUE)</f>
        <v>QSObject:ContextInput:w1~input.qs_context_add_curve.2359132437744.5148.3.0:35478</v>
      </c>
      <c r="E5149" s="6" t="str">
        <f>_xll.QS.INSTRUMENT.SWAP("swap.5147",H5149,B5149,"USD","SOFR",I5149,J5149,0,"Actual360","Simple","Annual","Annual","Annual")</f>
        <v>QSObject:Swap:w1~swap.5147:10861</v>
      </c>
      <c r="F5149" s="6" t="str">
        <f>_xll.QS.TRADE.CREATE("trade.5147",E5149,A5149,"Receive")</f>
        <v>QSObject:SwapTrade:w1~trade.5147:26907</v>
      </c>
      <c r="G5149" s="3">
        <f>_xll.QS.EVALUATE(C5149,F5149)</f>
        <v>53733.647156546365</v>
      </c>
      <c r="H5149" s="5" t="s">
        <v>5190</v>
      </c>
      <c r="I5149" s="7">
        <v>1514700</v>
      </c>
      <c r="J5149" s="8">
        <v>3.9700000000000013E-2</v>
      </c>
    </row>
    <row r="5150" spans="1:10" x14ac:dyDescent="0.25">
      <c r="A5150" s="5" t="s">
        <v>5184</v>
      </c>
      <c r="B5150" s="5" t="s">
        <v>7017</v>
      </c>
      <c r="C5150" s="6" t="str">
        <f>_xll.QS.CONTEXT.CREATE("market.5148",A5150,"USD","SOFR")</f>
        <v>QSObject:PricingContext:w1~market.5148:10860</v>
      </c>
      <c r="D5150" s="6" t="str">
        <f>_xll.QS.CONTEXT.ADD.CURVE(C5150,"SOFR",$K$2:$K$7,$L$2:$L$7,,,"Actual360","LogLinear",TRUE)</f>
        <v>QSObject:ContextInput:w1~input.qs_context_add_curve.2359132437744.5149.3.0:35477</v>
      </c>
      <c r="E5150" s="6" t="str">
        <f>_xll.QS.INSTRUMENT.SWAP("swap.5148",H5150,B5150,"USD","SOFR",I5150,J5150,0,"Actual360","Simple","Annual","Annual","Annual")</f>
        <v>QSObject:Swap:w1~swap.5148:10859</v>
      </c>
      <c r="F5150" s="6" t="str">
        <f>_xll.QS.TRADE.CREATE("trade.5148",E5150,A5150,"Receive")</f>
        <v>QSObject:SwapTrade:w1~trade.5148:26906</v>
      </c>
      <c r="G5150" s="3">
        <f>_xll.QS.EVALUATE(C5150,F5150)</f>
        <v>54444.240485414724</v>
      </c>
      <c r="H5150" s="5" t="s">
        <v>5191</v>
      </c>
      <c r="I5150" s="7">
        <v>1514800</v>
      </c>
      <c r="J5150" s="8">
        <v>3.9800000000000002E-2</v>
      </c>
    </row>
    <row r="5151" spans="1:10" x14ac:dyDescent="0.25">
      <c r="A5151" s="5" t="s">
        <v>5185</v>
      </c>
      <c r="B5151" s="5" t="s">
        <v>7018</v>
      </c>
      <c r="C5151" s="6" t="str">
        <f>_xll.QS.CONTEXT.CREATE("market.5149",A5151,"USD","SOFR")</f>
        <v>QSObject:PricingContext:w1~market.5149:10858</v>
      </c>
      <c r="D5151" s="6" t="str">
        <f>_xll.QS.CONTEXT.ADD.CURVE(C5151,"SOFR",$K$2:$K$7,$L$2:$L$7,,,"Actual360","LogLinear",TRUE)</f>
        <v>QSObject:ContextInput:w1~input.qs_context_add_curve.2359132437744.5150.3.0:35476</v>
      </c>
      <c r="E5151" s="6" t="str">
        <f>_xll.QS.INSTRUMENT.SWAP("swap.5149",H5151,B5151,"USD","SOFR",I5151,J5151,0,"Actual360","Simple","Annual","Annual","Annual")</f>
        <v>QSObject:Swap:w1~swap.5149:10857</v>
      </c>
      <c r="F5151" s="6" t="str">
        <f>_xll.QS.TRADE.CREATE("trade.5149",E5151,A5151,"Receive")</f>
        <v>QSObject:SwapTrade:w1~trade.5149:26905</v>
      </c>
      <c r="G5151" s="3">
        <f>_xll.QS.EVALUATE(C5151,F5151)</f>
        <v>55148.095888319578</v>
      </c>
      <c r="H5151" s="5" t="s">
        <v>5192</v>
      </c>
      <c r="I5151" s="7">
        <v>1514900</v>
      </c>
      <c r="J5151" s="8">
        <v>3.9899999999999998E-2</v>
      </c>
    </row>
    <row r="5152" spans="1:10" x14ac:dyDescent="0.25">
      <c r="A5152" s="5" t="s">
        <v>5186</v>
      </c>
      <c r="B5152" s="5" t="s">
        <v>7019</v>
      </c>
      <c r="C5152" s="6" t="str">
        <f>_xll.QS.CONTEXT.CREATE("market.5150",A5152,"USD","SOFR")</f>
        <v>QSObject:PricingContext:w1~market.5150:10856</v>
      </c>
      <c r="D5152" s="6" t="str">
        <f>_xll.QS.CONTEXT.ADD.CURVE(C5152,"SOFR",$K$2:$K$7,$L$2:$L$7,,,"Actual360","LogLinear",TRUE)</f>
        <v>QSObject:ContextInput:w1~input.qs_context_add_curve.2359132437744.5151.3.0:35475</v>
      </c>
      <c r="E5152" s="6" t="str">
        <f>_xll.QS.INSTRUMENT.SWAP("swap.5150",H5152,B5152,"USD","SOFR",I5152,J5152,0,"Actual360","Simple","Annual","Annual","Annual")</f>
        <v>QSObject:Swap:w1~swap.5150:10855</v>
      </c>
      <c r="F5152" s="6" t="str">
        <f>_xll.QS.TRADE.CREATE("trade.5150",E5152,A5152,"Receive")</f>
        <v>QSObject:SwapTrade:w1~trade.5150:26904</v>
      </c>
      <c r="G5152" s="3">
        <f>_xll.QS.EVALUATE(C5152,F5152)</f>
        <v>20657.332547447717</v>
      </c>
      <c r="H5152" s="5" t="s">
        <v>5193</v>
      </c>
      <c r="I5152" s="7">
        <v>1515000</v>
      </c>
      <c r="J5152" s="8">
        <v>3.5000000000000003E-2</v>
      </c>
    </row>
    <row r="5153" spans="1:10" x14ac:dyDescent="0.25">
      <c r="A5153" s="5" t="s">
        <v>5187</v>
      </c>
      <c r="B5153" s="5" t="s">
        <v>7020</v>
      </c>
      <c r="C5153" s="6" t="str">
        <f>_xll.QS.CONTEXT.CREATE("market.5151",A5153,"USD","SOFR")</f>
        <v>QSObject:PricingContext:w1~market.5151:10854</v>
      </c>
      <c r="D5153" s="6" t="str">
        <f>_xll.QS.CONTEXT.ADD.CURVE(C5153,"SOFR",$K$2:$K$7,$L$2:$L$7,,,"Actual360","LogLinear",TRUE)</f>
        <v>QSObject:ContextInput:w1~input.qs_context_add_curve.2359132437744.5152.3.0:35474</v>
      </c>
      <c r="E5153" s="6" t="str">
        <f>_xll.QS.INSTRUMENT.SWAP("swap.5151",H5153,B5153,"USD","SOFR",I5153,J5153,0,"Actual360","Simple","Annual","Annual","Annual")</f>
        <v>QSObject:Swap:w1~swap.5151:10853</v>
      </c>
      <c r="F5153" s="6" t="str">
        <f>_xll.QS.TRADE.CREATE("trade.5151",E5153,A5153,"Receive")</f>
        <v>QSObject:SwapTrade:w1~trade.5151:26903</v>
      </c>
      <c r="G5153" s="3">
        <f>_xll.QS.EVALUATE(C5153,F5153)</f>
        <v>21359.126481151172</v>
      </c>
      <c r="H5153" s="5" t="s">
        <v>5194</v>
      </c>
      <c r="I5153" s="7">
        <v>1515100</v>
      </c>
      <c r="J5153" s="8">
        <v>3.5100000000000013E-2</v>
      </c>
    </row>
    <row r="5154" spans="1:10" x14ac:dyDescent="0.25">
      <c r="A5154" s="5" t="s">
        <v>5188</v>
      </c>
      <c r="B5154" s="5" t="s">
        <v>7021</v>
      </c>
      <c r="C5154" s="6" t="str">
        <f>_xll.QS.CONTEXT.CREATE("market.5152",A5154,"USD","SOFR")</f>
        <v>QSObject:PricingContext:w1~market.5152:10852</v>
      </c>
      <c r="D5154" s="6" t="str">
        <f>_xll.QS.CONTEXT.ADD.CURVE(C5154,"SOFR",$K$2:$K$7,$L$2:$L$7,,,"Actual360","LogLinear",TRUE)</f>
        <v>QSObject:ContextInput:w1~input.qs_context_add_curve.2359132437744.5153.3.0:35473</v>
      </c>
      <c r="E5154" s="6" t="str">
        <f>_xll.QS.INSTRUMENT.SWAP("swap.5152",H5154,B5154,"USD","SOFR",I5154,J5154,0,"Actual360","Simple","Annual","Annual","Annual")</f>
        <v>QSObject:Swap:w1~swap.5152:10851</v>
      </c>
      <c r="F5154" s="6" t="str">
        <f>_xll.QS.TRADE.CREATE("trade.5152",E5154,A5154,"Receive")</f>
        <v>QSObject:SwapTrade:w1~trade.5152:26902</v>
      </c>
      <c r="G5154" s="3">
        <f>_xll.QS.EVALUATE(C5154,F5154)</f>
        <v>22121.52987258901</v>
      </c>
      <c r="H5154" s="5" t="s">
        <v>5195</v>
      </c>
      <c r="I5154" s="7">
        <v>1515200</v>
      </c>
      <c r="J5154" s="8">
        <v>3.5200000000000002E-2</v>
      </c>
    </row>
    <row r="5155" spans="1:10" x14ac:dyDescent="0.25">
      <c r="A5155" s="5" t="s">
        <v>5189</v>
      </c>
      <c r="B5155" s="5" t="s">
        <v>7022</v>
      </c>
      <c r="C5155" s="6" t="str">
        <f>_xll.QS.CONTEXT.CREATE("market.5153",A5155,"USD","SOFR")</f>
        <v>QSObject:PricingContext:w1~market.5153:10850</v>
      </c>
      <c r="D5155" s="6" t="str">
        <f>_xll.QS.CONTEXT.ADD.CURVE(C5155,"SOFR",$K$2:$K$7,$L$2:$L$7,,,"Actual360","LogLinear",TRUE)</f>
        <v>QSObject:ContextInput:w1~input.qs_context_add_curve.2359132437744.5154.3.0:35472</v>
      </c>
      <c r="E5155" s="6" t="str">
        <f>_xll.QS.INSTRUMENT.SWAP("swap.5153",H5155,B5155,"USD","SOFR",I5155,J5155,0,"Actual360","Simple","Annual","Annual","Annual")</f>
        <v>QSObject:Swap:w1~swap.5153:10849</v>
      </c>
      <c r="F5155" s="6" t="str">
        <f>_xll.QS.TRADE.CREATE("trade.5153",E5155,A5155,"Receive")</f>
        <v>QSObject:SwapTrade:w1~trade.5153:26901</v>
      </c>
      <c r="G5155" s="3">
        <f>_xll.QS.EVALUATE(C5155,F5155)</f>
        <v>23049.904406207264</v>
      </c>
      <c r="H5155" s="5" t="s">
        <v>5196</v>
      </c>
      <c r="I5155" s="7">
        <v>1515300</v>
      </c>
      <c r="J5155" s="8">
        <v>3.5299999999999998E-2</v>
      </c>
    </row>
    <row r="5156" spans="1:10" x14ac:dyDescent="0.25">
      <c r="A5156" s="5" t="s">
        <v>5190</v>
      </c>
      <c r="B5156" s="5" t="s">
        <v>7023</v>
      </c>
      <c r="C5156" s="6" t="str">
        <f>_xll.QS.CONTEXT.CREATE("market.5154",A5156,"USD","SOFR")</f>
        <v>QSObject:PricingContext:w1~market.5154:10848</v>
      </c>
      <c r="D5156" s="6" t="str">
        <f>_xll.QS.CONTEXT.ADD.CURVE(C5156,"SOFR",$K$2:$K$7,$L$2:$L$7,,,"Actual360","LogLinear",TRUE)</f>
        <v>QSObject:ContextInput:w1~input.qs_context_add_curve.2359132437744.5155.3.0:35471</v>
      </c>
      <c r="E5156" s="6" t="str">
        <f>_xll.QS.INSTRUMENT.SWAP("swap.5154",H5156,B5156,"USD","SOFR",I5156,J5156,0,"Actual360","Simple","Annual","Annual","Annual")</f>
        <v>QSObject:Swap:w1~swap.5154:10847</v>
      </c>
      <c r="F5156" s="6" t="str">
        <f>_xll.QS.TRADE.CREATE("trade.5154",E5156,A5156,"Receive")</f>
        <v>QSObject:SwapTrade:w1~trade.5154:26900</v>
      </c>
      <c r="G5156" s="3">
        <f>_xll.QS.EVALUATE(C5156,F5156)</f>
        <v>23750.333515017344</v>
      </c>
      <c r="H5156" s="5" t="s">
        <v>5197</v>
      </c>
      <c r="I5156" s="7">
        <v>1515400</v>
      </c>
      <c r="J5156" s="8">
        <v>3.5400000000000001E-2</v>
      </c>
    </row>
    <row r="5157" spans="1:10" x14ac:dyDescent="0.25">
      <c r="A5157" s="5" t="s">
        <v>5191</v>
      </c>
      <c r="B5157" s="5" t="s">
        <v>7024</v>
      </c>
      <c r="C5157" s="6" t="str">
        <f>_xll.QS.CONTEXT.CREATE("market.5155",A5157,"USD","SOFR")</f>
        <v>QSObject:PricingContext:w1~market.5155:10846</v>
      </c>
      <c r="D5157" s="6" t="str">
        <f>_xll.QS.CONTEXT.ADD.CURVE(C5157,"SOFR",$K$2:$K$7,$L$2:$L$7,,,"Actual360","LogLinear",TRUE)</f>
        <v>QSObject:ContextInput:w1~input.qs_context_add_curve.2359132437744.5156.3.0:35470</v>
      </c>
      <c r="E5157" s="6" t="str">
        <f>_xll.QS.INSTRUMENT.SWAP("swap.5155",H5157,B5157,"USD","SOFR",I5157,J5157,0,"Actual360","Simple","Annual","Annual","Annual")</f>
        <v>QSObject:Swap:w1~swap.5155:10845</v>
      </c>
      <c r="F5157" s="6" t="str">
        <f>_xll.QS.TRADE.CREATE("trade.5155",E5157,A5157,"Receive")</f>
        <v>QSObject:SwapTrade:w1~trade.5155:26899</v>
      </c>
      <c r="G5157" s="3">
        <f>_xll.QS.EVALUATE(C5157,F5157)</f>
        <v>24464.698152097873</v>
      </c>
      <c r="H5157" s="5" t="s">
        <v>5198</v>
      </c>
      <c r="I5157" s="7">
        <v>1515500</v>
      </c>
      <c r="J5157" s="8">
        <v>3.5499999999999997E-2</v>
      </c>
    </row>
    <row r="5158" spans="1:10" x14ac:dyDescent="0.25">
      <c r="A5158" s="5" t="s">
        <v>5192</v>
      </c>
      <c r="B5158" s="5" t="s">
        <v>7025</v>
      </c>
      <c r="C5158" s="6" t="str">
        <f>_xll.QS.CONTEXT.CREATE("market.5156",A5158,"USD","SOFR")</f>
        <v>QSObject:PricingContext:w1~market.5156:10844</v>
      </c>
      <c r="D5158" s="6" t="str">
        <f>_xll.QS.CONTEXT.ADD.CURVE(C5158,"SOFR",$K$2:$K$7,$L$2:$L$7,,,"Actual360","LogLinear",TRUE)</f>
        <v>QSObject:ContextInput:w1~input.qs_context_add_curve.2359132437744.5157.3.0:35469</v>
      </c>
      <c r="E5158" s="6" t="str">
        <f>_xll.QS.INSTRUMENT.SWAP("swap.5156",H5158,B5158,"USD","SOFR",I5158,J5158,0,"Actual360","Simple","Annual","Annual","Annual")</f>
        <v>QSObject:Swap:w1~swap.5156:10843</v>
      </c>
      <c r="F5158" s="6" t="str">
        <f>_xll.QS.TRADE.CREATE("trade.5156",E5158,A5158,"Receive")</f>
        <v>QSObject:SwapTrade:w1~trade.5156:26898</v>
      </c>
      <c r="G5158" s="3">
        <f>_xll.QS.EVALUATE(C5158,F5158)</f>
        <v>25166.654892825522</v>
      </c>
      <c r="H5158" s="5" t="s">
        <v>5199</v>
      </c>
      <c r="I5158" s="7">
        <v>1515600</v>
      </c>
      <c r="J5158" s="8">
        <v>3.5600000000000007E-2</v>
      </c>
    </row>
    <row r="5159" spans="1:10" x14ac:dyDescent="0.25">
      <c r="A5159" s="5" t="s">
        <v>5193</v>
      </c>
      <c r="B5159" s="5" t="s">
        <v>7026</v>
      </c>
      <c r="C5159" s="6" t="str">
        <f>_xll.QS.CONTEXT.CREATE("market.5157",A5159,"USD","SOFR")</f>
        <v>QSObject:PricingContext:w1~market.5157:10842</v>
      </c>
      <c r="D5159" s="6" t="str">
        <f>_xll.QS.CONTEXT.ADD.CURVE(C5159,"SOFR",$K$2:$K$7,$L$2:$L$7,,,"Actual360","LogLinear",TRUE)</f>
        <v>QSObject:ContextInput:w1~input.qs_context_add_curve.2359132437744.5158.3.0:35468</v>
      </c>
      <c r="E5159" s="6" t="str">
        <f>_xll.QS.INSTRUMENT.SWAP("swap.5157",H5159,B5159,"USD","SOFR",I5159,J5159,0,"Actual360","Simple","Annual","Annual","Annual")</f>
        <v>QSObject:Swap:w1~swap.5157:10841</v>
      </c>
      <c r="F5159" s="6" t="str">
        <f>_xll.QS.TRADE.CREATE("trade.5157",E5159,A5159,"Receive")</f>
        <v>QSObject:SwapTrade:w1~trade.5157:26897</v>
      </c>
      <c r="G5159" s="3">
        <f>_xll.QS.EVALUATE(C5159,F5159)</f>
        <v>25683.777481267316</v>
      </c>
      <c r="H5159" s="5" t="s">
        <v>5200</v>
      </c>
      <c r="I5159" s="7">
        <v>1515700</v>
      </c>
      <c r="J5159" s="8">
        <v>3.5700000000000003E-2</v>
      </c>
    </row>
    <row r="5160" spans="1:10" x14ac:dyDescent="0.25">
      <c r="A5160" s="5" t="s">
        <v>5194</v>
      </c>
      <c r="B5160" s="5" t="s">
        <v>7027</v>
      </c>
      <c r="C5160" s="6" t="str">
        <f>_xll.QS.CONTEXT.CREATE("market.5158",A5160,"USD","SOFR")</f>
        <v>QSObject:PricingContext:w1~market.5158:10840</v>
      </c>
      <c r="D5160" s="6" t="str">
        <f>_xll.QS.CONTEXT.ADD.CURVE(C5160,"SOFR",$K$2:$K$7,$L$2:$L$7,,,"Actual360","LogLinear",TRUE)</f>
        <v>QSObject:ContextInput:w1~input.qs_context_add_curve.2359132437744.5159.3.0:35467</v>
      </c>
      <c r="E5160" s="6" t="str">
        <f>_xll.QS.INSTRUMENT.SWAP("swap.5158",H5160,B5160,"USD","SOFR",I5160,J5160,0,"Actual360","Simple","Annual","Annual","Annual")</f>
        <v>QSObject:Swap:w1~swap.5158:10839</v>
      </c>
      <c r="F5160" s="6" t="str">
        <f>_xll.QS.TRADE.CREATE("trade.5158",E5160,A5160,"Receive")</f>
        <v>QSObject:SwapTrade:w1~trade.5158:26896</v>
      </c>
      <c r="G5160" s="3">
        <f>_xll.QS.EVALUATE(C5160,F5160)</f>
        <v>26386.623222907961</v>
      </c>
      <c r="H5160" s="5" t="s">
        <v>5201</v>
      </c>
      <c r="I5160" s="7">
        <v>1515800</v>
      </c>
      <c r="J5160" s="8">
        <v>3.5800000000000012E-2</v>
      </c>
    </row>
    <row r="5161" spans="1:10" x14ac:dyDescent="0.25">
      <c r="A5161" s="5" t="s">
        <v>5195</v>
      </c>
      <c r="B5161" s="5" t="s">
        <v>7028</v>
      </c>
      <c r="C5161" s="6" t="str">
        <f>_xll.QS.CONTEXT.CREATE("market.5159",A5161,"USD","SOFR")</f>
        <v>QSObject:PricingContext:w1~market.5159:10838</v>
      </c>
      <c r="D5161" s="6" t="str">
        <f>_xll.QS.CONTEXT.ADD.CURVE(C5161,"SOFR",$K$2:$K$7,$L$2:$L$7,,,"Actual360","LogLinear",TRUE)</f>
        <v>QSObject:ContextInput:w1~input.qs_context_add_curve.2359132437744.5160.3.0:35466</v>
      </c>
      <c r="E5161" s="6" t="str">
        <f>_xll.QS.INSTRUMENT.SWAP("swap.5159",H5161,B5161,"USD","SOFR",I5161,J5161,0,"Actual360","Simple","Annual","Annual","Annual")</f>
        <v>QSObject:Swap:w1~swap.5159:10837</v>
      </c>
      <c r="F5161" s="6" t="str">
        <f>_xll.QS.TRADE.CREATE("trade.5159",E5161,A5161,"Receive")</f>
        <v>QSObject:SwapTrade:w1~trade.5159:26895</v>
      </c>
      <c r="G5161" s="3">
        <f>_xll.QS.EVALUATE(C5161,F5161)</f>
        <v>27089.745287132813</v>
      </c>
      <c r="H5161" s="5" t="s">
        <v>5202</v>
      </c>
      <c r="I5161" s="7">
        <v>1515900</v>
      </c>
      <c r="J5161" s="8">
        <v>3.5900000000000001E-2</v>
      </c>
    </row>
    <row r="5162" spans="1:10" x14ac:dyDescent="0.25">
      <c r="A5162" s="5" t="s">
        <v>5196</v>
      </c>
      <c r="B5162" s="5" t="s">
        <v>7029</v>
      </c>
      <c r="C5162" s="6" t="str">
        <f>_xll.QS.CONTEXT.CREATE("market.5160",A5162,"USD","SOFR")</f>
        <v>QSObject:PricingContext:w1~market.5160:10836</v>
      </c>
      <c r="D5162" s="6" t="str">
        <f>_xll.QS.CONTEXT.ADD.CURVE(C5162,"SOFR",$K$2:$K$7,$L$2:$L$7,,,"Actual360","LogLinear",TRUE)</f>
        <v>QSObject:ContextInput:w1~input.qs_context_add_curve.2359132437744.5161.3.0:35465</v>
      </c>
      <c r="E5162" s="6" t="str">
        <f>_xll.QS.INSTRUMENT.SWAP("swap.5160",H5162,B5162,"USD","SOFR",I5162,J5162,0,"Actual360","Simple","Annual","Annual","Annual")</f>
        <v>QSObject:Swap:w1~swap.5160:10835</v>
      </c>
      <c r="F5162" s="6" t="str">
        <f>_xll.QS.TRADE.CREATE("trade.5160",E5162,A5162,"Receive")</f>
        <v>QSObject:SwapTrade:w1~trade.5160:26894</v>
      </c>
      <c r="G5162" s="3">
        <f>_xll.QS.EVALUATE(C5162,F5162)</f>
        <v>27901.202083878845</v>
      </c>
      <c r="H5162" s="5" t="s">
        <v>5203</v>
      </c>
      <c r="I5162" s="7">
        <v>1516000</v>
      </c>
      <c r="J5162" s="8">
        <v>3.5999999999999997E-2</v>
      </c>
    </row>
    <row r="5163" spans="1:10" x14ac:dyDescent="0.25">
      <c r="A5163" s="5" t="s">
        <v>5197</v>
      </c>
      <c r="B5163" s="5" t="s">
        <v>7030</v>
      </c>
      <c r="C5163" s="6" t="str">
        <f>_xll.QS.CONTEXT.CREATE("market.5161",A5163,"USD","SOFR")</f>
        <v>QSObject:PricingContext:w1~market.5161:10834</v>
      </c>
      <c r="D5163" s="6" t="str">
        <f>_xll.QS.CONTEXT.ADD.CURVE(C5163,"SOFR",$K$2:$K$7,$L$2:$L$7,,,"Actual360","LogLinear",TRUE)</f>
        <v>QSObject:ContextInput:w1~input.qs_context_add_curve.2359132437744.5162.3.0:35464</v>
      </c>
      <c r="E5163" s="6" t="str">
        <f>_xll.QS.INSTRUMENT.SWAP("swap.5161",H5163,B5163,"USD","SOFR",I5163,J5163,0,"Actual360","Simple","Annual","Annual","Annual")</f>
        <v>QSObject:Swap:w1~swap.5161:10833</v>
      </c>
      <c r="F5163" s="6" t="str">
        <f>_xll.QS.TRADE.CREATE("trade.5161",E5163,A5163,"Receive")</f>
        <v>QSObject:SwapTrade:w1~trade.5161:26893</v>
      </c>
      <c r="G5163" s="3">
        <f>_xll.QS.EVALUATE(C5163,F5163)</f>
        <v>28602.23951829056</v>
      </c>
      <c r="H5163" s="5" t="s">
        <v>5204</v>
      </c>
      <c r="I5163" s="7">
        <v>1516100</v>
      </c>
      <c r="J5163" s="8">
        <v>3.61E-2</v>
      </c>
    </row>
    <row r="5164" spans="1:10" x14ac:dyDescent="0.25">
      <c r="A5164" s="5" t="s">
        <v>5198</v>
      </c>
      <c r="B5164" s="5" t="s">
        <v>7031</v>
      </c>
      <c r="C5164" s="6" t="str">
        <f>_xll.QS.CONTEXT.CREATE("market.5162",A5164,"USD","SOFR")</f>
        <v>QSObject:PricingContext:w1~market.5162:10832</v>
      </c>
      <c r="D5164" s="6" t="str">
        <f>_xll.QS.CONTEXT.ADD.CURVE(C5164,"SOFR",$K$2:$K$7,$L$2:$L$7,,,"Actual360","LogLinear",TRUE)</f>
        <v>QSObject:ContextInput:w1~input.qs_context_add_curve.2359132437744.5163.3.0:35463</v>
      </c>
      <c r="E5164" s="6" t="str">
        <f>_xll.QS.INSTRUMENT.SWAP("swap.5162",H5164,B5164,"USD","SOFR",I5164,J5164,0,"Actual360","Simple","Annual","Annual","Annual")</f>
        <v>QSObject:Swap:w1~swap.5162:10831</v>
      </c>
      <c r="F5164" s="6" t="str">
        <f>_xll.QS.TRADE.CREATE("trade.5162",E5164,A5164,"Receive")</f>
        <v>QSObject:SwapTrade:w1~trade.5162:26892</v>
      </c>
      <c r="G5164" s="3">
        <f>_xll.QS.EVALUATE(C5164,F5164)</f>
        <v>29311.568242956913</v>
      </c>
      <c r="H5164" s="5" t="s">
        <v>5205</v>
      </c>
      <c r="I5164" s="7">
        <v>1516200</v>
      </c>
      <c r="J5164" s="8">
        <v>3.6200000000000003E-2</v>
      </c>
    </row>
    <row r="5165" spans="1:10" x14ac:dyDescent="0.25">
      <c r="A5165" s="5" t="s">
        <v>5199</v>
      </c>
      <c r="B5165" s="5" t="s">
        <v>7032</v>
      </c>
      <c r="C5165" s="6" t="str">
        <f>_xll.QS.CONTEXT.CREATE("market.5163",A5165,"USD","SOFR")</f>
        <v>QSObject:PricingContext:w1~market.5163:10830</v>
      </c>
      <c r="D5165" s="6" t="str">
        <f>_xll.QS.CONTEXT.ADD.CURVE(C5165,"SOFR",$K$2:$K$7,$L$2:$L$7,,,"Actual360","LogLinear",TRUE)</f>
        <v>QSObject:ContextInput:w1~input.qs_context_add_curve.2359132437744.5164.3.0:35462</v>
      </c>
      <c r="E5165" s="6" t="str">
        <f>_xll.QS.INSTRUMENT.SWAP("swap.5163",H5165,B5165,"USD","SOFR",I5165,J5165,0,"Actual360","Simple","Annual","Annual","Annual")</f>
        <v>QSObject:Swap:w1~swap.5163:10829</v>
      </c>
      <c r="F5165" s="6" t="str">
        <f>_xll.QS.TRADE.CREATE("trade.5163",E5165,A5165,"Receive")</f>
        <v>QSObject:SwapTrade:w1~trade.5163:26891</v>
      </c>
      <c r="G5165" s="3">
        <f>_xll.QS.EVALUATE(C5165,F5165)</f>
        <v>30014.314002778374</v>
      </c>
      <c r="H5165" s="5" t="s">
        <v>5206</v>
      </c>
      <c r="I5165" s="7">
        <v>1516300</v>
      </c>
      <c r="J5165" s="8">
        <v>3.6300000000000013E-2</v>
      </c>
    </row>
    <row r="5166" spans="1:10" x14ac:dyDescent="0.25">
      <c r="A5166" s="5" t="s">
        <v>5200</v>
      </c>
      <c r="B5166" s="5" t="s">
        <v>7033</v>
      </c>
      <c r="C5166" s="6" t="str">
        <f>_xll.QS.CONTEXT.CREATE("market.5164",A5166,"USD","SOFR")</f>
        <v>QSObject:PricingContext:w1~market.5164:10828</v>
      </c>
      <c r="D5166" s="6" t="str">
        <f>_xll.QS.CONTEXT.ADD.CURVE(C5166,"SOFR",$K$2:$K$7,$L$2:$L$7,,,"Actual360","LogLinear",TRUE)</f>
        <v>QSObject:ContextInput:w1~input.qs_context_add_curve.2359132437744.5165.3.0:35461</v>
      </c>
      <c r="E5166" s="6" t="str">
        <f>_xll.QS.INSTRUMENT.SWAP("swap.5164",H5166,B5166,"USD","SOFR",I5166,J5166,0,"Actual360","Simple","Annual","Annual","Annual")</f>
        <v>QSObject:Swap:w1~swap.5164:10827</v>
      </c>
      <c r="F5166" s="6" t="str">
        <f>_xll.QS.TRADE.CREATE("trade.5164",E5166,A5166,"Receive")</f>
        <v>QSObject:SwapTrade:w1~trade.5164:26890</v>
      </c>
      <c r="G5166" s="3">
        <f>_xll.QS.EVALUATE(C5166,F5166)</f>
        <v>30718.177303473072</v>
      </c>
      <c r="H5166" s="5" t="s">
        <v>5207</v>
      </c>
      <c r="I5166" s="7">
        <v>1516400</v>
      </c>
      <c r="J5166" s="8">
        <v>3.6400000000000002E-2</v>
      </c>
    </row>
    <row r="5167" spans="1:10" x14ac:dyDescent="0.25">
      <c r="A5167" s="5" t="s">
        <v>5201</v>
      </c>
      <c r="B5167" s="5" t="s">
        <v>7033</v>
      </c>
      <c r="C5167" s="6" t="str">
        <f>_xll.QS.CONTEXT.CREATE("market.5165",A5167,"USD","SOFR")</f>
        <v>QSObject:PricingContext:w1~market.5165:10826</v>
      </c>
      <c r="D5167" s="6" t="str">
        <f>_xll.QS.CONTEXT.ADD.CURVE(C5167,"SOFR",$K$2:$K$7,$L$2:$L$7,,,"Actual360","LogLinear",TRUE)</f>
        <v>QSObject:ContextInput:w1~input.qs_context_add_curve.2359132437744.5166.3.0:35460</v>
      </c>
      <c r="E5167" s="6" t="str">
        <f>_xll.QS.INSTRUMENT.SWAP("swap.5165",H5167,B5167,"USD","SOFR",I5167,J5167,0,"Actual360","Simple","Annual","Annual","Annual")</f>
        <v>QSObject:Swap:w1~swap.5165:10825</v>
      </c>
      <c r="F5167" s="6" t="str">
        <f>_xll.QS.TRADE.CREATE("trade.5165",E5167,A5167,"Receive")</f>
        <v>QSObject:SwapTrade:w1~trade.5165:26889</v>
      </c>
      <c r="G5167" s="3">
        <f>_xll.QS.EVALUATE(C5167,F5167)</f>
        <v>31422.519590763637</v>
      </c>
      <c r="H5167" s="5" t="s">
        <v>7034</v>
      </c>
      <c r="I5167" s="7">
        <v>1516500</v>
      </c>
      <c r="J5167" s="8">
        <v>3.6499999999999998E-2</v>
      </c>
    </row>
    <row r="5168" spans="1:10" x14ac:dyDescent="0.25">
      <c r="A5168" s="5" t="s">
        <v>5202</v>
      </c>
      <c r="B5168" s="5" t="s">
        <v>7035</v>
      </c>
      <c r="C5168" s="6" t="str">
        <f>_xll.QS.CONTEXT.CREATE("market.5166",A5168,"USD","SOFR")</f>
        <v>QSObject:PricingContext:w1~market.5166:10824</v>
      </c>
      <c r="D5168" s="6" t="str">
        <f>_xll.QS.CONTEXT.ADD.CURVE(C5168,"SOFR",$K$2:$K$7,$L$2:$L$7,,,"Actual360","LogLinear",TRUE)</f>
        <v>QSObject:ContextInput:w1~input.qs_context_add_curve.2359132437744.5167.3.0:35459</v>
      </c>
      <c r="E5168" s="6" t="str">
        <f>_xll.QS.INSTRUMENT.SWAP("swap.5166",H5168,B5168,"USD","SOFR",I5168,J5168,0,"Actual360","Simple","Annual","Annual","Annual")</f>
        <v>QSObject:Swap:w1~swap.5166:10823</v>
      </c>
      <c r="F5168" s="6" t="str">
        <f>_xll.QS.TRADE.CREATE("trade.5166",E5168,A5168,"Receive")</f>
        <v>QSObject:SwapTrade:w1~trade.5166:26888</v>
      </c>
      <c r="G5168" s="3">
        <f>_xll.QS.EVALUATE(C5168,F5168)</f>
        <v>31999.720344018737</v>
      </c>
      <c r="H5168" s="5" t="s">
        <v>5208</v>
      </c>
      <c r="I5168" s="7">
        <v>1516600</v>
      </c>
      <c r="J5168" s="8">
        <v>3.6600000000000001E-2</v>
      </c>
    </row>
    <row r="5169" spans="1:10" x14ac:dyDescent="0.25">
      <c r="A5169" s="5" t="s">
        <v>5203</v>
      </c>
      <c r="B5169" s="5" t="s">
        <v>7036</v>
      </c>
      <c r="C5169" s="6" t="str">
        <f>_xll.QS.CONTEXT.CREATE("market.5167",A5169,"USD","SOFR")</f>
        <v>QSObject:PricingContext:w1~market.5167:10822</v>
      </c>
      <c r="D5169" s="6" t="str">
        <f>_xll.QS.CONTEXT.ADD.CURVE(C5169,"SOFR",$K$2:$K$7,$L$2:$L$7,,,"Actual360","LogLinear",TRUE)</f>
        <v>QSObject:ContextInput:w1~input.qs_context_add_curve.2359132437744.5168.3.0:35458</v>
      </c>
      <c r="E5169" s="6" t="str">
        <f>_xll.QS.INSTRUMENT.SWAP("swap.5167",H5169,B5169,"USD","SOFR",I5169,J5169,0,"Actual360","Simple","Annual","Annual","Annual")</f>
        <v>QSObject:Swap:w1~swap.5167:10821</v>
      </c>
      <c r="F5169" s="6" t="str">
        <f>_xll.QS.TRADE.CREATE("trade.5167",E5169,A5169,"Receive")</f>
        <v>QSObject:SwapTrade:w1~trade.5167:26887</v>
      </c>
      <c r="G5169" s="3">
        <f>_xll.QS.EVALUATE(C5169,F5169)</f>
        <v>32853.934965067951</v>
      </c>
      <c r="H5169" s="5" t="s">
        <v>5209</v>
      </c>
      <c r="I5169" s="7">
        <v>1516700</v>
      </c>
      <c r="J5169" s="8">
        <v>3.6700000000000003E-2</v>
      </c>
    </row>
    <row r="5170" spans="1:10" x14ac:dyDescent="0.25">
      <c r="A5170" s="5" t="s">
        <v>5204</v>
      </c>
      <c r="B5170" s="5" t="s">
        <v>7037</v>
      </c>
      <c r="C5170" s="6" t="str">
        <f>_xll.QS.CONTEXT.CREATE("market.5168",A5170,"USD","SOFR")</f>
        <v>QSObject:PricingContext:w1~market.5168:10820</v>
      </c>
      <c r="D5170" s="6" t="str">
        <f>_xll.QS.CONTEXT.ADD.CURVE(C5170,"SOFR",$K$2:$K$7,$L$2:$L$7,,,"Actual360","LogLinear",TRUE)</f>
        <v>QSObject:ContextInput:w1~input.qs_context_add_curve.2359132437744.5169.3.0:35457</v>
      </c>
      <c r="E5170" s="6" t="str">
        <f>_xll.QS.INSTRUMENT.SWAP("swap.5168",H5170,B5170,"USD","SOFR",I5170,J5170,0,"Actual360","Simple","Annual","Annual","Annual")</f>
        <v>QSObject:Swap:w1~swap.5168:10819</v>
      </c>
      <c r="F5170" s="6" t="str">
        <f>_xll.QS.TRADE.CREATE("trade.5168",E5170,A5170,"Receive")</f>
        <v>QSObject:SwapTrade:w1~trade.5168:26886</v>
      </c>
      <c r="G5170" s="3">
        <f>_xll.QS.EVALUATE(C5170,F5170)</f>
        <v>33555.553743306649</v>
      </c>
      <c r="H5170" s="5" t="s">
        <v>5210</v>
      </c>
      <c r="I5170" s="7">
        <v>1516800</v>
      </c>
      <c r="J5170" s="8">
        <v>3.6800000000000013E-2</v>
      </c>
    </row>
    <row r="5171" spans="1:10" x14ac:dyDescent="0.25">
      <c r="A5171" s="5" t="s">
        <v>5205</v>
      </c>
      <c r="B5171" s="5" t="s">
        <v>7038</v>
      </c>
      <c r="C5171" s="6" t="str">
        <f>_xll.QS.CONTEXT.CREATE("market.5169",A5171,"USD","SOFR")</f>
        <v>QSObject:PricingContext:w1~market.5169:10818</v>
      </c>
      <c r="D5171" s="6" t="str">
        <f>_xll.QS.CONTEXT.ADD.CURVE(C5171,"SOFR",$K$2:$K$7,$L$2:$L$7,,,"Actual360","LogLinear",TRUE)</f>
        <v>QSObject:ContextInput:w1~input.qs_context_add_curve.2359132437744.5170.3.0:35456</v>
      </c>
      <c r="E5171" s="6" t="str">
        <f>_xll.QS.INSTRUMENT.SWAP("swap.5169",H5171,B5171,"USD","SOFR",I5171,J5171,0,"Actual360","Simple","Annual","Annual","Annual")</f>
        <v>QSObject:Swap:w1~swap.5169:10817</v>
      </c>
      <c r="F5171" s="6" t="str">
        <f>_xll.QS.TRADE.CREATE("trade.5169",E5171,A5171,"Receive")</f>
        <v>QSObject:SwapTrade:w1~trade.5169:26885</v>
      </c>
      <c r="G5171" s="3">
        <f>_xll.QS.EVALUATE(C5171,F5171)</f>
        <v>34265.396718067546</v>
      </c>
      <c r="H5171" s="5" t="s">
        <v>5211</v>
      </c>
      <c r="I5171" s="7">
        <v>1516900</v>
      </c>
      <c r="J5171" s="8">
        <v>3.6900000000000002E-2</v>
      </c>
    </row>
    <row r="5172" spans="1:10" x14ac:dyDescent="0.25">
      <c r="A5172" s="5" t="s">
        <v>5206</v>
      </c>
      <c r="B5172" s="5" t="s">
        <v>7039</v>
      </c>
      <c r="C5172" s="6" t="str">
        <f>_xll.QS.CONTEXT.CREATE("market.5170",A5172,"USD","SOFR")</f>
        <v>QSObject:PricingContext:w1~market.5170:10816</v>
      </c>
      <c r="D5172" s="6" t="str">
        <f>_xll.QS.CONTEXT.ADD.CURVE(C5172,"SOFR",$K$2:$K$7,$L$2:$L$7,,,"Actual360","LogLinear",TRUE)</f>
        <v>QSObject:ContextInput:w1~input.qs_context_add_curve.2359132437744.5171.3.0:35455</v>
      </c>
      <c r="E5172" s="6" t="str">
        <f>_xll.QS.INSTRUMENT.SWAP("swap.5170",H5172,B5172,"USD","SOFR",I5172,J5172,0,"Actual360","Simple","Annual","Annual","Annual")</f>
        <v>QSObject:Swap:w1~swap.5170:10815</v>
      </c>
      <c r="F5172" s="6" t="str">
        <f>_xll.QS.TRADE.CREATE("trade.5170",E5172,A5172,"Receive")</f>
        <v>QSObject:SwapTrade:w1~trade.5170:26884</v>
      </c>
      <c r="G5172" s="3">
        <f>_xll.QS.EVALUATE(C5172,F5172)</f>
        <v>34908.784992794586</v>
      </c>
      <c r="H5172" s="5" t="s">
        <v>5212</v>
      </c>
      <c r="I5172" s="7">
        <v>1517000</v>
      </c>
      <c r="J5172" s="8">
        <v>3.7000000000000012E-2</v>
      </c>
    </row>
    <row r="5173" spans="1:10" x14ac:dyDescent="0.25">
      <c r="A5173" s="5" t="s">
        <v>5207</v>
      </c>
      <c r="B5173" s="5" t="s">
        <v>7040</v>
      </c>
      <c r="C5173" s="6" t="str">
        <f>_xll.QS.CONTEXT.CREATE("market.5171",A5173,"USD","SOFR")</f>
        <v>QSObject:PricingContext:w1~market.5171:10814</v>
      </c>
      <c r="D5173" s="6" t="str">
        <f>_xll.QS.CONTEXT.ADD.CURVE(C5173,"SOFR",$K$2:$K$7,$L$2:$L$7,,,"Actual360","LogLinear",TRUE)</f>
        <v>QSObject:ContextInput:w1~input.qs_context_add_curve.2359132437744.5172.3.0:35454</v>
      </c>
      <c r="E5173" s="6" t="str">
        <f>_xll.QS.INSTRUMENT.SWAP("swap.5171",H5173,B5173,"USD","SOFR",I5173,J5173,0,"Actual360","Simple","Annual","Annual","Annual")</f>
        <v>QSObject:Swap:w1~swap.5171:10813</v>
      </c>
      <c r="F5173" s="6" t="str">
        <f>_xll.QS.TRADE.CREATE("trade.5171",E5173,A5173,"Receive")</f>
        <v>QSObject:SwapTrade:w1~trade.5171:26883</v>
      </c>
      <c r="G5173" s="3">
        <f>_xll.QS.EVALUATE(C5173,F5173)</f>
        <v>35504.808294166898</v>
      </c>
      <c r="H5173" s="5" t="s">
        <v>5213</v>
      </c>
      <c r="I5173" s="7">
        <v>1517100</v>
      </c>
      <c r="J5173" s="8">
        <v>3.7100000000000001E-2</v>
      </c>
    </row>
    <row r="5174" spans="1:10" x14ac:dyDescent="0.25">
      <c r="A5174" s="5" t="s">
        <v>7034</v>
      </c>
      <c r="B5174" s="5" t="s">
        <v>7041</v>
      </c>
      <c r="C5174" s="6" t="str">
        <f>_xll.QS.CONTEXT.CREATE("market.5172",A5174,"USD","SOFR")</f>
        <v>QSObject:PricingContext:w1~market.5172:10812</v>
      </c>
      <c r="D5174" s="6" t="str">
        <f>_xll.QS.CONTEXT.ADD.CURVE(C5174,"SOFR",$K$2:$K$7,$L$2:$L$7,,,"Actual360","LogLinear",TRUE)</f>
        <v>QSObject:ContextInput:w1~input.qs_context_add_curve.2359132437744.5173.3.0:35453</v>
      </c>
      <c r="E5174" s="6" t="str">
        <f>_xll.QS.INSTRUMENT.SWAP("swap.5172",H5174,B5174,"USD","SOFR",I5174,J5174,0,"Actual360","Simple","Annual","Annual","Annual")</f>
        <v>QSObject:Swap:w1~swap.5172:10811</v>
      </c>
      <c r="F5174" s="6" t="str">
        <f>_xll.QS.TRADE.CREATE("trade.5172",E5174,A5174,"Receive")</f>
        <v>QSObject:SwapTrade:w1~trade.5172:26882</v>
      </c>
      <c r="G5174" s="3">
        <f>_xll.QS.EVALUATE(C5174,F5174)</f>
        <v>36089.915440576842</v>
      </c>
      <c r="H5174" s="5" t="s">
        <v>5214</v>
      </c>
      <c r="I5174" s="7">
        <v>1517200</v>
      </c>
      <c r="J5174" s="8">
        <v>3.7199999999999997E-2</v>
      </c>
    </row>
    <row r="5175" spans="1:10" x14ac:dyDescent="0.25">
      <c r="A5175" s="5" t="s">
        <v>5208</v>
      </c>
      <c r="B5175" s="5" t="s">
        <v>7042</v>
      </c>
      <c r="C5175" s="6" t="str">
        <f>_xll.QS.CONTEXT.CREATE("market.5173",A5175,"USD","SOFR")</f>
        <v>QSObject:PricingContext:w1~market.5173:10810</v>
      </c>
      <c r="D5175" s="6" t="str">
        <f>_xll.QS.CONTEXT.ADD.CURVE(C5175,"SOFR",$K$2:$K$7,$L$2:$L$7,,,"Actual360","LogLinear",TRUE)</f>
        <v>QSObject:ContextInput:w1~input.qs_context_add_curve.2359132437744.5174.3.0:35452</v>
      </c>
      <c r="E5175" s="6" t="str">
        <f>_xll.QS.INSTRUMENT.SWAP("swap.5173",H5175,B5175,"USD","SOFR",I5175,J5175,0,"Actual360","Simple","Annual","Annual","Annual")</f>
        <v>QSObject:Swap:w1~swap.5173:10809</v>
      </c>
      <c r="F5175" s="6" t="str">
        <f>_xll.QS.TRADE.CREATE("trade.5173",E5175,A5175,"Receive")</f>
        <v>QSObject:SwapTrade:w1~trade.5173:26881</v>
      </c>
      <c r="G5175" s="3">
        <f>_xll.QS.EVALUATE(C5175,F5175)</f>
        <v>36856.032573682263</v>
      </c>
      <c r="H5175" s="5" t="s">
        <v>5215</v>
      </c>
      <c r="I5175" s="7">
        <v>1517300</v>
      </c>
      <c r="J5175" s="8">
        <v>3.73E-2</v>
      </c>
    </row>
    <row r="5176" spans="1:10" x14ac:dyDescent="0.25">
      <c r="A5176" s="5" t="s">
        <v>5209</v>
      </c>
      <c r="B5176" s="5" t="s">
        <v>7043</v>
      </c>
      <c r="C5176" s="6" t="str">
        <f>_xll.QS.CONTEXT.CREATE("market.5174",A5176,"USD","SOFR")</f>
        <v>QSObject:PricingContext:w1~market.5174:10808</v>
      </c>
      <c r="D5176" s="6" t="str">
        <f>_xll.QS.CONTEXT.ADD.CURVE(C5176,"SOFR",$K$2:$K$7,$L$2:$L$7,,,"Actual360","LogLinear",TRUE)</f>
        <v>QSObject:ContextInput:w1~input.qs_context_add_curve.2359132437744.5175.3.0:35451</v>
      </c>
      <c r="E5176" s="6" t="str">
        <f>_xll.QS.INSTRUMENT.SWAP("swap.5174",H5176,B5176,"USD","SOFR",I5176,J5176,0,"Actual360","Simple","Annual","Annual","Annual")</f>
        <v>QSObject:Swap:w1~swap.5174:10807</v>
      </c>
      <c r="F5176" s="6" t="str">
        <f>_xll.QS.TRADE.CREATE("trade.5174",E5176,A5176,"Receive")</f>
        <v>QSObject:SwapTrade:w1~trade.5174:26880</v>
      </c>
      <c r="G5176" s="3">
        <f>_xll.QS.EVALUATE(C5176,F5176)</f>
        <v>37598.261512160687</v>
      </c>
      <c r="H5176" s="5" t="s">
        <v>5216</v>
      </c>
      <c r="I5176" s="7">
        <v>1517400</v>
      </c>
      <c r="J5176" s="8">
        <v>3.7400000000000003E-2</v>
      </c>
    </row>
    <row r="5177" spans="1:10" x14ac:dyDescent="0.25">
      <c r="A5177" s="5" t="s">
        <v>5210</v>
      </c>
      <c r="B5177" s="5" t="s">
        <v>7044</v>
      </c>
      <c r="C5177" s="6" t="str">
        <f>_xll.QS.CONTEXT.CREATE("market.5175",A5177,"USD","SOFR")</f>
        <v>QSObject:PricingContext:w1~market.5175:10806</v>
      </c>
      <c r="D5177" s="6" t="str">
        <f>_xll.QS.CONTEXT.ADD.CURVE(C5177,"SOFR",$K$2:$K$7,$L$2:$L$7,,,"Actual360","LogLinear",TRUE)</f>
        <v>QSObject:ContextInput:w1~input.qs_context_add_curve.2359132437744.5176.3.0:35450</v>
      </c>
      <c r="E5177" s="6" t="str">
        <f>_xll.QS.INSTRUMENT.SWAP("swap.5175",H5177,B5177,"USD","SOFR",I5177,J5177,0,"Actual360","Simple","Annual","Annual","Annual")</f>
        <v>QSObject:Swap:w1~swap.5175:10805</v>
      </c>
      <c r="F5177" s="6" t="str">
        <f>_xll.QS.TRADE.CREATE("trade.5175",E5177,A5177,"Receive")</f>
        <v>QSObject:SwapTrade:w1~trade.5175:26879</v>
      </c>
      <c r="G5177" s="3">
        <f>_xll.QS.EVALUATE(C5177,F5177)</f>
        <v>38411.36403333801</v>
      </c>
      <c r="H5177" s="5" t="s">
        <v>5217</v>
      </c>
      <c r="I5177" s="7">
        <v>1517500</v>
      </c>
      <c r="J5177" s="8">
        <v>3.7500000000000012E-2</v>
      </c>
    </row>
    <row r="5178" spans="1:10" x14ac:dyDescent="0.25">
      <c r="A5178" s="5" t="s">
        <v>5211</v>
      </c>
      <c r="B5178" s="5" t="s">
        <v>7045</v>
      </c>
      <c r="C5178" s="6" t="str">
        <f>_xll.QS.CONTEXT.CREATE("market.5176",A5178,"USD","SOFR")</f>
        <v>QSObject:PricingContext:w1~market.5176:10804</v>
      </c>
      <c r="D5178" s="6" t="str">
        <f>_xll.QS.CONTEXT.ADD.CURVE(C5178,"SOFR",$K$2:$K$7,$L$2:$L$7,,,"Actual360","LogLinear",TRUE)</f>
        <v>QSObject:ContextInput:w1~input.qs_context_add_curve.2359132437744.5177.3.0:35449</v>
      </c>
      <c r="E5178" s="6" t="str">
        <f>_xll.QS.INSTRUMENT.SWAP("swap.5176",H5178,B5178,"USD","SOFR",I5178,J5178,0,"Actual360","Simple","Annual","Annual","Annual")</f>
        <v>QSObject:Swap:w1~swap.5176:10803</v>
      </c>
      <c r="F5178" s="6" t="str">
        <f>_xll.QS.TRADE.CREATE("trade.5176",E5178,A5178,"Receive")</f>
        <v>QSObject:SwapTrade:w1~trade.5176:26878</v>
      </c>
      <c r="G5178" s="3">
        <f>_xll.QS.EVALUATE(C5178,F5178)</f>
        <v>39180.03599839098</v>
      </c>
      <c r="H5178" s="5" t="s">
        <v>5218</v>
      </c>
      <c r="I5178" s="7">
        <v>1517600</v>
      </c>
      <c r="J5178" s="8">
        <v>3.7600000000000001E-2</v>
      </c>
    </row>
    <row r="5179" spans="1:10" x14ac:dyDescent="0.25">
      <c r="A5179" s="5" t="s">
        <v>5212</v>
      </c>
      <c r="B5179" s="5" t="s">
        <v>7046</v>
      </c>
      <c r="C5179" s="6" t="str">
        <f>_xll.QS.CONTEXT.CREATE("market.5177",A5179,"USD","SOFR")</f>
        <v>QSObject:PricingContext:w1~market.5177:10802</v>
      </c>
      <c r="D5179" s="6" t="str">
        <f>_xll.QS.CONTEXT.ADD.CURVE(C5179,"SOFR",$K$2:$K$7,$L$2:$L$7,,,"Actual360","LogLinear",TRUE)</f>
        <v>QSObject:ContextInput:w1~input.qs_context_add_curve.2359132437744.5178.3.0:35448</v>
      </c>
      <c r="E5179" s="6" t="str">
        <f>_xll.QS.INSTRUMENT.SWAP("swap.5177",H5179,B5179,"USD","SOFR",I5179,J5179,0,"Actual360","Simple","Annual","Annual","Annual")</f>
        <v>QSObject:Swap:w1~swap.5177:10801</v>
      </c>
      <c r="F5179" s="6" t="str">
        <f>_xll.QS.TRADE.CREATE("trade.5177",E5179,A5179,"Receive")</f>
        <v>QSObject:SwapTrade:w1~trade.5177:26877</v>
      </c>
      <c r="G5179" s="3">
        <f>_xll.QS.EVALUATE(C5179,F5179)</f>
        <v>39823.989973586678</v>
      </c>
      <c r="H5179" s="5" t="s">
        <v>5219</v>
      </c>
      <c r="I5179" s="7">
        <v>1517700</v>
      </c>
      <c r="J5179" s="8">
        <v>3.7699999999999997E-2</v>
      </c>
    </row>
    <row r="5180" spans="1:10" x14ac:dyDescent="0.25">
      <c r="A5180" s="5" t="s">
        <v>5213</v>
      </c>
      <c r="B5180" s="5" t="s">
        <v>7047</v>
      </c>
      <c r="C5180" s="6" t="str">
        <f>_xll.QS.CONTEXT.CREATE("market.5178",A5180,"USD","SOFR")</f>
        <v>QSObject:PricingContext:w1~market.5178:10800</v>
      </c>
      <c r="D5180" s="6" t="str">
        <f>_xll.QS.CONTEXT.ADD.CURVE(C5180,"SOFR",$K$2:$K$7,$L$2:$L$7,,,"Actual360","LogLinear",TRUE)</f>
        <v>QSObject:ContextInput:w1~input.qs_context_add_curve.2359132437744.5179.3.0:35447</v>
      </c>
      <c r="E5180" s="6" t="str">
        <f>_xll.QS.INSTRUMENT.SWAP("swap.5178",H5180,B5180,"USD","SOFR",I5180,J5180,0,"Actual360","Simple","Annual","Annual","Annual")</f>
        <v>QSObject:Swap:w1~swap.5178:10799</v>
      </c>
      <c r="F5180" s="6" t="str">
        <f>_xll.QS.TRADE.CREATE("trade.5178",E5180,A5180,"Receive")</f>
        <v>QSObject:SwapTrade:w1~trade.5178:26876</v>
      </c>
      <c r="G5180" s="3">
        <f>_xll.QS.EVALUATE(C5180,F5180)</f>
        <v>40414.840430201803</v>
      </c>
      <c r="H5180" s="5" t="s">
        <v>5220</v>
      </c>
      <c r="I5180" s="7">
        <v>1517800</v>
      </c>
      <c r="J5180" s="8">
        <v>3.78E-2</v>
      </c>
    </row>
    <row r="5181" spans="1:10" x14ac:dyDescent="0.25">
      <c r="A5181" s="5" t="s">
        <v>5214</v>
      </c>
      <c r="B5181" s="5" t="s">
        <v>7048</v>
      </c>
      <c r="C5181" s="6" t="str">
        <f>_xll.QS.CONTEXT.CREATE("market.5179",A5181,"USD","SOFR")</f>
        <v>QSObject:PricingContext:w1~market.5179:10798</v>
      </c>
      <c r="D5181" s="6" t="str">
        <f>_xll.QS.CONTEXT.ADD.CURVE(C5181,"SOFR",$K$2:$K$7,$L$2:$L$7,,,"Actual360","LogLinear",TRUE)</f>
        <v>QSObject:ContextInput:w1~input.qs_context_add_curve.2359132437744.5180.3.0:35446</v>
      </c>
      <c r="E5181" s="6" t="str">
        <f>_xll.QS.INSTRUMENT.SWAP("swap.5179",H5181,B5181,"USD","SOFR",I5181,J5181,0,"Actual360","Simple","Annual","Annual","Annual")</f>
        <v>QSObject:Swap:w1~swap.5179:10797</v>
      </c>
      <c r="F5181" s="6" t="str">
        <f>_xll.QS.TRADE.CREATE("trade.5179",E5181,A5181,"Receive")</f>
        <v>QSObject:SwapTrade:w1~trade.5179:26875</v>
      </c>
      <c r="G5181" s="3">
        <f>_xll.QS.EVALUATE(C5181,F5181)</f>
        <v>41008.135078358871</v>
      </c>
      <c r="H5181" s="5" t="s">
        <v>5221</v>
      </c>
      <c r="I5181" s="7">
        <v>1517900</v>
      </c>
      <c r="J5181" s="8">
        <v>3.7900000000000003E-2</v>
      </c>
    </row>
    <row r="5182" spans="1:10" x14ac:dyDescent="0.25">
      <c r="A5182" s="5" t="s">
        <v>5215</v>
      </c>
      <c r="B5182" s="5" t="s">
        <v>7049</v>
      </c>
      <c r="C5182" s="6" t="str">
        <f>_xll.QS.CONTEXT.CREATE("market.5180",A5182,"USD","SOFR")</f>
        <v>QSObject:PricingContext:w1~market.5180:10796</v>
      </c>
      <c r="D5182" s="6" t="str">
        <f>_xll.QS.CONTEXT.ADD.CURVE(C5182,"SOFR",$K$2:$K$7,$L$2:$L$7,,,"Actual360","LogLinear",TRUE)</f>
        <v>QSObject:ContextInput:w1~input.qs_context_add_curve.2359132437744.5181.3.0:35445</v>
      </c>
      <c r="E5182" s="6" t="str">
        <f>_xll.QS.INSTRUMENT.SWAP("swap.5180",H5182,B5182,"USD","SOFR",I5182,J5182,0,"Actual360","Simple","Annual","Annual","Annual")</f>
        <v>QSObject:Swap:w1~swap.5180:10795</v>
      </c>
      <c r="F5182" s="6" t="str">
        <f>_xll.QS.TRADE.CREATE("trade.5180",E5182,A5182,"Receive")</f>
        <v>QSObject:SwapTrade:w1~trade.5180:26874</v>
      </c>
      <c r="G5182" s="3">
        <f>_xll.QS.EVALUATE(C5182,F5182)</f>
        <v>41775.402146066226</v>
      </c>
      <c r="H5182" s="5" t="s">
        <v>5222</v>
      </c>
      <c r="I5182" s="7">
        <v>1518000</v>
      </c>
      <c r="J5182" s="8">
        <v>3.8000000000000013E-2</v>
      </c>
    </row>
    <row r="5183" spans="1:10" x14ac:dyDescent="0.25">
      <c r="A5183" s="5" t="s">
        <v>5216</v>
      </c>
      <c r="B5183" s="5" t="s">
        <v>7050</v>
      </c>
      <c r="C5183" s="6" t="str">
        <f>_xll.QS.CONTEXT.CREATE("market.5181",A5183,"USD","SOFR")</f>
        <v>QSObject:PricingContext:w1~market.5181:10794</v>
      </c>
      <c r="D5183" s="6" t="str">
        <f>_xll.QS.CONTEXT.ADD.CURVE(C5183,"SOFR",$K$2:$K$7,$L$2:$L$7,,,"Actual360","LogLinear",TRUE)</f>
        <v>QSObject:ContextInput:w1~input.qs_context_add_curve.2359132437744.5182.3.0:35444</v>
      </c>
      <c r="E5183" s="6" t="str">
        <f>_xll.QS.INSTRUMENT.SWAP("swap.5181",H5183,B5183,"USD","SOFR",I5183,J5183,0,"Actual360","Simple","Annual","Annual","Annual")</f>
        <v>QSObject:Swap:w1~swap.5181:10793</v>
      </c>
      <c r="F5183" s="6" t="str">
        <f>_xll.QS.TRADE.CREATE("trade.5181",E5183,A5183,"Receive")</f>
        <v>QSObject:SwapTrade:w1~trade.5181:26873</v>
      </c>
      <c r="G5183" s="3">
        <f>_xll.QS.EVALUATE(C5183,F5183)</f>
        <v>42515.918112356587</v>
      </c>
      <c r="H5183" s="5" t="s">
        <v>5223</v>
      </c>
      <c r="I5183" s="7">
        <v>1518100</v>
      </c>
      <c r="J5183" s="8">
        <v>3.8100000000000002E-2</v>
      </c>
    </row>
    <row r="5184" spans="1:10" x14ac:dyDescent="0.25">
      <c r="A5184" s="5" t="s">
        <v>5217</v>
      </c>
      <c r="B5184" s="5" t="s">
        <v>7051</v>
      </c>
      <c r="C5184" s="6" t="str">
        <f>_xll.QS.CONTEXT.CREATE("market.5182",A5184,"USD","SOFR")</f>
        <v>QSObject:PricingContext:w1~market.5182:10792</v>
      </c>
      <c r="D5184" s="6" t="str">
        <f>_xll.QS.CONTEXT.ADD.CURVE(C5184,"SOFR",$K$2:$K$7,$L$2:$L$7,,,"Actual360","LogLinear",TRUE)</f>
        <v>QSObject:ContextInput:w1~input.qs_context_add_curve.2359132437744.5183.3.0:35443</v>
      </c>
      <c r="E5184" s="6" t="str">
        <f>_xll.QS.INSTRUMENT.SWAP("swap.5182",H5184,B5184,"USD","SOFR",I5184,J5184,0,"Actual360","Simple","Annual","Annual","Annual")</f>
        <v>QSObject:Swap:w1~swap.5182:10791</v>
      </c>
      <c r="F5184" s="6" t="str">
        <f>_xll.QS.TRADE.CREATE("trade.5182",E5184,A5184,"Receive")</f>
        <v>QSObject:SwapTrade:w1~trade.5182:26872</v>
      </c>
      <c r="G5184" s="3">
        <f>_xll.QS.EVALUATE(C5184,F5184)</f>
        <v>43329.790070956202</v>
      </c>
      <c r="H5184" s="5" t="s">
        <v>5224</v>
      </c>
      <c r="I5184" s="7">
        <v>1518200</v>
      </c>
      <c r="J5184" s="8">
        <v>3.8199999999999998E-2</v>
      </c>
    </row>
    <row r="5185" spans="1:10" x14ac:dyDescent="0.25">
      <c r="A5185" s="5" t="s">
        <v>5218</v>
      </c>
      <c r="B5185" s="5" t="s">
        <v>7052</v>
      </c>
      <c r="C5185" s="6" t="str">
        <f>_xll.QS.CONTEXT.CREATE("market.5183",A5185,"USD","SOFR")</f>
        <v>QSObject:PricingContext:w1~market.5183:10790</v>
      </c>
      <c r="D5185" s="6" t="str">
        <f>_xll.QS.CONTEXT.ADD.CURVE(C5185,"SOFR",$K$2:$K$7,$L$2:$L$7,,,"Actual360","LogLinear",TRUE)</f>
        <v>QSObject:ContextInput:w1~input.qs_context_add_curve.2359132437744.5184.3.0:35442</v>
      </c>
      <c r="E5185" s="6" t="str">
        <f>_xll.QS.INSTRUMENT.SWAP("swap.5183",H5185,B5185,"USD","SOFR",I5185,J5185,0,"Actual360","Simple","Annual","Annual","Annual")</f>
        <v>QSObject:Swap:w1~swap.5183:10789</v>
      </c>
      <c r="F5185" s="6" t="str">
        <f>_xll.QS.TRADE.CREATE("trade.5183",E5185,A5185,"Receive")</f>
        <v>QSObject:SwapTrade:w1~trade.5183:26871</v>
      </c>
      <c r="G5185" s="3">
        <f>_xll.QS.EVALUATE(C5185,F5185)</f>
        <v>44099.194491735012</v>
      </c>
      <c r="H5185" s="5" t="s">
        <v>5225</v>
      </c>
      <c r="I5185" s="7">
        <v>1518300</v>
      </c>
      <c r="J5185" s="8">
        <v>3.8300000000000001E-2</v>
      </c>
    </row>
    <row r="5186" spans="1:10" x14ac:dyDescent="0.25">
      <c r="A5186" s="5" t="s">
        <v>5219</v>
      </c>
      <c r="B5186" s="5" t="s">
        <v>7053</v>
      </c>
      <c r="C5186" s="6" t="str">
        <f>_xll.QS.CONTEXT.CREATE("market.5184",A5186,"USD","SOFR")</f>
        <v>QSObject:PricingContext:w1~market.5184:10788</v>
      </c>
      <c r="D5186" s="6" t="str">
        <f>_xll.QS.CONTEXT.ADD.CURVE(C5186,"SOFR",$K$2:$K$7,$L$2:$L$7,,,"Actual360","LogLinear",TRUE)</f>
        <v>QSObject:ContextInput:w1~input.qs_context_add_curve.2359132437744.5185.3.0:35441</v>
      </c>
      <c r="E5186" s="6" t="str">
        <f>_xll.QS.INSTRUMENT.SWAP("swap.5184",H5186,B5186,"USD","SOFR",I5186,J5186,0,"Actual360","Simple","Annual","Annual","Annual")</f>
        <v>QSObject:Swap:w1~swap.5184:10787</v>
      </c>
      <c r="F5186" s="6" t="str">
        <f>_xll.QS.TRADE.CREATE("trade.5184",E5186,A5186,"Receive")</f>
        <v>QSObject:SwapTrade:w1~trade.5184:26870</v>
      </c>
      <c r="G5186" s="3">
        <f>_xll.QS.EVALUATE(C5186,F5186)</f>
        <v>44743.714118564065</v>
      </c>
      <c r="H5186" s="5" t="s">
        <v>5226</v>
      </c>
      <c r="I5186" s="7">
        <v>1518400</v>
      </c>
      <c r="J5186" s="8">
        <v>3.8399999999999997E-2</v>
      </c>
    </row>
    <row r="5187" spans="1:10" x14ac:dyDescent="0.25">
      <c r="A5187" s="5" t="s">
        <v>5220</v>
      </c>
      <c r="B5187" s="5" t="s">
        <v>7054</v>
      </c>
      <c r="C5187" s="6" t="str">
        <f>_xll.QS.CONTEXT.CREATE("market.5185",A5187,"USD","SOFR")</f>
        <v>QSObject:PricingContext:w1~market.5185:10786</v>
      </c>
      <c r="D5187" s="6" t="str">
        <f>_xll.QS.CONTEXT.ADD.CURVE(C5187,"SOFR",$K$2:$K$7,$L$2:$L$7,,,"Actual360","LogLinear",TRUE)</f>
        <v>QSObject:ContextInput:w1~input.qs_context_add_curve.2359132437744.5186.3.0:35440</v>
      </c>
      <c r="E5187" s="6" t="str">
        <f>_xll.QS.INSTRUMENT.SWAP("swap.5185",H5187,B5187,"USD","SOFR",I5187,J5187,0,"Actual360","Simple","Annual","Annual","Annual")</f>
        <v>QSObject:Swap:w1~swap.5185:10785</v>
      </c>
      <c r="F5187" s="6" t="str">
        <f>_xll.QS.TRADE.CREATE("trade.5185",E5187,A5187,"Receive")</f>
        <v>QSObject:SwapTrade:w1~trade.5185:26869</v>
      </c>
      <c r="G5187" s="3">
        <f>_xll.QS.EVALUATE(C5187,F5187)</f>
        <v>45329.386408623614</v>
      </c>
      <c r="H5187" s="5" t="s">
        <v>5227</v>
      </c>
      <c r="I5187" s="7">
        <v>1518500</v>
      </c>
      <c r="J5187" s="8">
        <v>3.8500000000000013E-2</v>
      </c>
    </row>
    <row r="5188" spans="1:10" x14ac:dyDescent="0.25">
      <c r="A5188" s="5" t="s">
        <v>5221</v>
      </c>
      <c r="B5188" s="5" t="s">
        <v>7055</v>
      </c>
      <c r="C5188" s="6" t="str">
        <f>_xll.QS.CONTEXT.CREATE("market.5186",A5188,"USD","SOFR")</f>
        <v>QSObject:PricingContext:w1~market.5186:10784</v>
      </c>
      <c r="D5188" s="6" t="str">
        <f>_xll.QS.CONTEXT.ADD.CURVE(C5188,"SOFR",$K$2:$K$7,$L$2:$L$7,,,"Actual360","LogLinear",TRUE)</f>
        <v>QSObject:ContextInput:w1~input.qs_context_add_curve.2359132437744.5187.3.0:35439</v>
      </c>
      <c r="E5188" s="6" t="str">
        <f>_xll.QS.INSTRUMENT.SWAP("swap.5186",H5188,B5188,"USD","SOFR",I5188,J5188,0,"Actual360","Simple","Annual","Annual","Annual")</f>
        <v>QSObject:Swap:w1~swap.5186:10783</v>
      </c>
      <c r="F5188" s="6" t="str">
        <f>_xll.QS.TRADE.CREATE("trade.5186",E5188,A5188,"Receive")</f>
        <v>QSObject:SwapTrade:w1~trade.5186:26868</v>
      </c>
      <c r="G5188" s="3">
        <f>_xll.QS.EVALUATE(C5188,F5188)</f>
        <v>45930.669917381179</v>
      </c>
      <c r="H5188" s="5" t="s">
        <v>5228</v>
      </c>
      <c r="I5188" s="7">
        <v>1518600</v>
      </c>
      <c r="J5188" s="8">
        <v>3.8600000000000002E-2</v>
      </c>
    </row>
    <row r="5189" spans="1:10" x14ac:dyDescent="0.25">
      <c r="A5189" s="5" t="s">
        <v>5222</v>
      </c>
      <c r="B5189" s="5" t="s">
        <v>7056</v>
      </c>
      <c r="C5189" s="6" t="str">
        <f>_xll.QS.CONTEXT.CREATE("market.5187",A5189,"USD","SOFR")</f>
        <v>QSObject:PricingContext:w1~market.5187:10782</v>
      </c>
      <c r="D5189" s="6" t="str">
        <f>_xll.QS.CONTEXT.ADD.CURVE(C5189,"SOFR",$K$2:$K$7,$L$2:$L$7,,,"Actual360","LogLinear",TRUE)</f>
        <v>QSObject:ContextInput:w1~input.qs_context_add_curve.2359132437744.5188.3.0:35438</v>
      </c>
      <c r="E5189" s="6" t="str">
        <f>_xll.QS.INSTRUMENT.SWAP("swap.5187",H5189,B5189,"USD","SOFR",I5189,J5189,0,"Actual360","Simple","Annual","Annual","Annual")</f>
        <v>QSObject:Swap:w1~swap.5187:10781</v>
      </c>
      <c r="F5189" s="6" t="str">
        <f>_xll.QS.TRADE.CREATE("trade.5187",E5189,A5189,"Receive")</f>
        <v>QSObject:SwapTrade:w1~trade.5187:26867</v>
      </c>
      <c r="G5189" s="3">
        <f>_xll.QS.EVALUATE(C5189,F5189)</f>
        <v>46699.293004796687</v>
      </c>
      <c r="H5189" s="5" t="s">
        <v>5229</v>
      </c>
      <c r="I5189" s="7">
        <v>1518700</v>
      </c>
      <c r="J5189" s="8">
        <v>3.8700000000000012E-2</v>
      </c>
    </row>
    <row r="5190" spans="1:10" x14ac:dyDescent="0.25">
      <c r="A5190" s="5" t="s">
        <v>5223</v>
      </c>
      <c r="B5190" s="5" t="s">
        <v>7057</v>
      </c>
      <c r="C5190" s="6" t="str">
        <f>_xll.QS.CONTEXT.CREATE("market.5188",A5190,"USD","SOFR")</f>
        <v>QSObject:PricingContext:w1~market.5188:10780</v>
      </c>
      <c r="D5190" s="6" t="str">
        <f>_xll.QS.CONTEXT.ADD.CURVE(C5190,"SOFR",$K$2:$K$7,$L$2:$L$7,,,"Actual360","LogLinear",TRUE)</f>
        <v>QSObject:ContextInput:w1~input.qs_context_add_curve.2359132437744.5189.3.0:35437</v>
      </c>
      <c r="E5190" s="6" t="str">
        <f>_xll.QS.INSTRUMENT.SWAP("swap.5188",H5190,B5190,"USD","SOFR",I5190,J5190,0,"Actual360","Simple","Annual","Annual","Annual")</f>
        <v>QSObject:Swap:w1~swap.5188:10779</v>
      </c>
      <c r="F5190" s="6" t="str">
        <f>_xll.QS.TRADE.CREATE("trade.5188",E5190,A5190,"Receive")</f>
        <v>QSObject:SwapTrade:w1~trade.5188:26866</v>
      </c>
      <c r="G5190" s="3">
        <f>_xll.QS.EVALUATE(C5190,F5190)</f>
        <v>47438.093806630612</v>
      </c>
      <c r="H5190" s="5" t="s">
        <v>5230</v>
      </c>
      <c r="I5190" s="7">
        <v>1518800</v>
      </c>
      <c r="J5190" s="8">
        <v>3.8800000000000001E-2</v>
      </c>
    </row>
    <row r="5191" spans="1:10" x14ac:dyDescent="0.25">
      <c r="A5191" s="5" t="s">
        <v>5224</v>
      </c>
      <c r="B5191" s="5" t="s">
        <v>7058</v>
      </c>
      <c r="C5191" s="6" t="str">
        <f>_xll.QS.CONTEXT.CREATE("market.5189",A5191,"USD","SOFR")</f>
        <v>QSObject:PricingContext:w1~market.5189:10778</v>
      </c>
      <c r="D5191" s="6" t="str">
        <f>_xll.QS.CONTEXT.ADD.CURVE(C5191,"SOFR",$K$2:$K$7,$L$2:$L$7,,,"Actual360","LogLinear",TRUE)</f>
        <v>QSObject:ContextInput:w1~input.qs_context_add_curve.2359132437744.5190.3.0:35436</v>
      </c>
      <c r="E5191" s="6" t="str">
        <f>_xll.QS.INSTRUMENT.SWAP("swap.5189",H5191,B5191,"USD","SOFR",I5191,J5191,0,"Actual360","Simple","Annual","Annual","Annual")</f>
        <v>QSObject:Swap:w1~swap.5189:10777</v>
      </c>
      <c r="F5191" s="6" t="str">
        <f>_xll.QS.TRADE.CREATE("trade.5189",E5191,A5191,"Receive")</f>
        <v>QSObject:SwapTrade:w1~trade.5189:26865</v>
      </c>
      <c r="G5191" s="3">
        <f>_xll.QS.EVALUATE(C5191,F5191)</f>
        <v>48252.737076349578</v>
      </c>
      <c r="H5191" s="5" t="s">
        <v>5231</v>
      </c>
      <c r="I5191" s="7">
        <v>1518900</v>
      </c>
      <c r="J5191" s="8">
        <v>3.8899999999999997E-2</v>
      </c>
    </row>
    <row r="5192" spans="1:10" x14ac:dyDescent="0.25">
      <c r="A5192" s="5" t="s">
        <v>5225</v>
      </c>
      <c r="B5192" s="5" t="s">
        <v>7059</v>
      </c>
      <c r="C5192" s="6" t="str">
        <f>_xll.QS.CONTEXT.CREATE("market.5190",A5192,"USD","SOFR")</f>
        <v>QSObject:PricingContext:w1~market.5190:10776</v>
      </c>
      <c r="D5192" s="6" t="str">
        <f>_xll.QS.CONTEXT.ADD.CURVE(C5192,"SOFR",$K$2:$K$7,$L$2:$L$7,,,"Actual360","LogLinear",TRUE)</f>
        <v>QSObject:ContextInput:w1~input.qs_context_add_curve.2359132437744.5191.3.0:35435</v>
      </c>
      <c r="E5192" s="6" t="str">
        <f>_xll.QS.INSTRUMENT.SWAP("swap.5190",H5192,B5192,"USD","SOFR",I5192,J5192,0,"Actual360","Simple","Annual","Annual","Annual")</f>
        <v>QSObject:Swap:w1~swap.5190:10775</v>
      </c>
      <c r="F5192" s="6" t="str">
        <f>_xll.QS.TRADE.CREATE("trade.5190",E5192,A5192,"Receive")</f>
        <v>QSObject:SwapTrade:w1~trade.5190:26864</v>
      </c>
      <c r="G5192" s="3">
        <f>_xll.QS.EVALUATE(C5192,F5192)</f>
        <v>49022.567529863751</v>
      </c>
      <c r="H5192" s="5" t="s">
        <v>5232</v>
      </c>
      <c r="I5192" s="7">
        <v>1519000</v>
      </c>
      <c r="J5192" s="8">
        <v>3.9000000000000007E-2</v>
      </c>
    </row>
    <row r="5193" spans="1:10" x14ac:dyDescent="0.25">
      <c r="A5193" s="5" t="s">
        <v>5226</v>
      </c>
      <c r="B5193" s="5" t="s">
        <v>7060</v>
      </c>
      <c r="C5193" s="6" t="str">
        <f>_xll.QS.CONTEXT.CREATE("market.5191",A5193,"USD","SOFR")</f>
        <v>QSObject:PricingContext:w1~market.5191:10774</v>
      </c>
      <c r="D5193" s="6" t="str">
        <f>_xll.QS.CONTEXT.ADD.CURVE(C5193,"SOFR",$K$2:$K$7,$L$2:$L$7,,,"Actual360","LogLinear",TRUE)</f>
        <v>QSObject:ContextInput:w1~input.qs_context_add_curve.2359132437744.5192.3.0:35434</v>
      </c>
      <c r="E5193" s="6" t="str">
        <f>_xll.QS.INSTRUMENT.SWAP("swap.5191",H5193,B5193,"USD","SOFR",I5193,J5193,0,"Actual360","Simple","Annual","Annual","Annual")</f>
        <v>QSObject:Swap:w1~swap.5191:10773</v>
      </c>
      <c r="F5193" s="6" t="str">
        <f>_xll.QS.TRADE.CREATE("trade.5191",E5193,A5193,"Receive")</f>
        <v>QSObject:SwapTrade:w1~trade.5191:26863</v>
      </c>
      <c r="G5193" s="3">
        <f>_xll.QS.EVALUATE(C5193,F5193)</f>
        <v>49669.30535736712</v>
      </c>
      <c r="H5193" s="5" t="s">
        <v>5233</v>
      </c>
      <c r="I5193" s="7">
        <v>1519100</v>
      </c>
      <c r="J5193" s="8">
        <v>3.9100000000000003E-2</v>
      </c>
    </row>
    <row r="5194" spans="1:10" x14ac:dyDescent="0.25">
      <c r="A5194" s="5" t="s">
        <v>5227</v>
      </c>
      <c r="B5194" s="5" t="s">
        <v>7061</v>
      </c>
      <c r="C5194" s="6" t="str">
        <f>_xll.QS.CONTEXT.CREATE("market.5192",A5194,"USD","SOFR")</f>
        <v>QSObject:PricingContext:w1~market.5192:10772</v>
      </c>
      <c r="D5194" s="6" t="str">
        <f>_xll.QS.CONTEXT.ADD.CURVE(C5194,"SOFR",$K$2:$K$7,$L$2:$L$7,,,"Actual360","LogLinear",TRUE)</f>
        <v>QSObject:ContextInput:w1~input.qs_context_add_curve.2359132437744.5193.3.0:35433</v>
      </c>
      <c r="E5194" s="6" t="str">
        <f>_xll.QS.INSTRUMENT.SWAP("swap.5192",H5194,B5194,"USD","SOFR",I5194,J5194,0,"Actual360","Simple","Annual","Annual","Annual")</f>
        <v>QSObject:Swap:w1~swap.5192:10771</v>
      </c>
      <c r="F5194" s="6" t="str">
        <f>_xll.QS.TRADE.CREATE("trade.5192",E5194,A5194,"Receive")</f>
        <v>QSObject:SwapTrade:w1~trade.5192:26862</v>
      </c>
      <c r="G5194" s="3">
        <f>_xll.QS.EVALUATE(C5194,F5194)</f>
        <v>50249.790692428352</v>
      </c>
      <c r="H5194" s="5" t="s">
        <v>5234</v>
      </c>
      <c r="I5194" s="7">
        <v>1519200</v>
      </c>
      <c r="J5194" s="8">
        <v>3.9200000000000013E-2</v>
      </c>
    </row>
    <row r="5195" spans="1:10" x14ac:dyDescent="0.25">
      <c r="A5195" s="5" t="s">
        <v>5228</v>
      </c>
      <c r="B5195" s="5" t="s">
        <v>7062</v>
      </c>
      <c r="C5195" s="6" t="str">
        <f>_xll.QS.CONTEXT.CREATE("market.5193",A5195,"USD","SOFR")</f>
        <v>QSObject:PricingContext:w1~market.5193:10770</v>
      </c>
      <c r="D5195" s="6" t="str">
        <f>_xll.QS.CONTEXT.ADD.CURVE(C5195,"SOFR",$K$2:$K$7,$L$2:$L$7,,,"Actual360","LogLinear",TRUE)</f>
        <v>QSObject:ContextInput:w1~input.qs_context_add_curve.2359132437744.5194.3.0:35432</v>
      </c>
      <c r="E5195" s="6" t="str">
        <f>_xll.QS.INSTRUMENT.SWAP("swap.5193",H5195,B5195,"USD","SOFR",I5195,J5195,0,"Actual360","Simple","Annual","Annual","Annual")</f>
        <v>QSObject:Swap:w1~swap.5193:10769</v>
      </c>
      <c r="F5195" s="6" t="str">
        <f>_xll.QS.TRADE.CREATE("trade.5193",E5195,A5195,"Receive")</f>
        <v>QSObject:SwapTrade:w1~trade.5193:26861</v>
      </c>
      <c r="G5195" s="3">
        <f>_xll.QS.EVALUATE(C5195,F5195)</f>
        <v>50859.489205163547</v>
      </c>
      <c r="H5195" s="5" t="s">
        <v>5235</v>
      </c>
      <c r="I5195" s="7">
        <v>1519300</v>
      </c>
      <c r="J5195" s="8">
        <v>3.9300000000000002E-2</v>
      </c>
    </row>
    <row r="5196" spans="1:10" x14ac:dyDescent="0.25">
      <c r="A5196" s="5" t="s">
        <v>5229</v>
      </c>
      <c r="B5196" s="5" t="s">
        <v>7063</v>
      </c>
      <c r="C5196" s="6" t="str">
        <f>_xll.QS.CONTEXT.CREATE("market.5194",A5196,"USD","SOFR")</f>
        <v>QSObject:PricingContext:w1~market.5194:10768</v>
      </c>
      <c r="D5196" s="6" t="str">
        <f>_xll.QS.CONTEXT.ADD.CURVE(C5196,"SOFR",$K$2:$K$7,$L$2:$L$7,,,"Actual360","LogLinear",TRUE)</f>
        <v>QSObject:ContextInput:w1~input.qs_context_add_curve.2359132437744.5195.3.0:35431</v>
      </c>
      <c r="E5196" s="6" t="str">
        <f>_xll.QS.INSTRUMENT.SWAP("swap.5194",H5196,B5196,"USD","SOFR",I5196,J5196,0,"Actual360","Simple","Annual","Annual","Annual")</f>
        <v>QSObject:Swap:w1~swap.5194:10767</v>
      </c>
      <c r="F5196" s="6" t="str">
        <f>_xll.QS.TRADE.CREATE("trade.5194",E5196,A5196,"Receive")</f>
        <v>QSObject:SwapTrade:w1~trade.5194:26860</v>
      </c>
      <c r="G5196" s="3">
        <f>_xll.QS.EVALUATE(C5196,F5196)</f>
        <v>51628.158863565703</v>
      </c>
      <c r="H5196" s="5" t="s">
        <v>5236</v>
      </c>
      <c r="I5196" s="7">
        <v>1519400</v>
      </c>
      <c r="J5196" s="8">
        <v>3.9399999999999998E-2</v>
      </c>
    </row>
    <row r="5197" spans="1:10" x14ac:dyDescent="0.25">
      <c r="A5197" s="5" t="s">
        <v>5230</v>
      </c>
      <c r="B5197" s="5" t="s">
        <v>7064</v>
      </c>
      <c r="C5197" s="6" t="str">
        <f>_xll.QS.CONTEXT.CREATE("market.5195",A5197,"USD","SOFR")</f>
        <v>QSObject:PricingContext:w1~market.5195:10766</v>
      </c>
      <c r="D5197" s="6" t="str">
        <f>_xll.QS.CONTEXT.ADD.CURVE(C5197,"SOFR",$K$2:$K$7,$L$2:$L$7,,,"Actual360","LogLinear",TRUE)</f>
        <v>QSObject:ContextInput:w1~input.qs_context_add_curve.2359132437744.5196.3.0:35430</v>
      </c>
      <c r="E5197" s="6" t="str">
        <f>_xll.QS.INSTRUMENT.SWAP("swap.5195",H5197,B5197,"USD","SOFR",I5197,J5197,0,"Actual360","Simple","Annual","Annual","Annual")</f>
        <v>QSObject:Swap:w1~swap.5195:10765</v>
      </c>
      <c r="F5197" s="6" t="str">
        <f>_xll.QS.TRADE.CREATE("trade.5195",E5197,A5197,"Receive")</f>
        <v>QSObject:SwapTrade:w1~trade.5195:26859</v>
      </c>
      <c r="G5197" s="3">
        <f>_xll.QS.EVALUATE(C5197,F5197)</f>
        <v>52364.247868977225</v>
      </c>
      <c r="H5197" s="5" t="s">
        <v>5237</v>
      </c>
      <c r="I5197" s="7">
        <v>1519500</v>
      </c>
      <c r="J5197" s="8">
        <v>3.9500000000000007E-2</v>
      </c>
    </row>
    <row r="5198" spans="1:10" x14ac:dyDescent="0.25">
      <c r="A5198" s="5" t="s">
        <v>5231</v>
      </c>
      <c r="B5198" s="5" t="s">
        <v>7065</v>
      </c>
      <c r="C5198" s="6" t="str">
        <f>_xll.QS.CONTEXT.CREATE("market.5196",A5198,"USD","SOFR")</f>
        <v>QSObject:PricingContext:w1~market.5196:10764</v>
      </c>
      <c r="D5198" s="6" t="str">
        <f>_xll.QS.CONTEXT.ADD.CURVE(C5198,"SOFR",$K$2:$K$7,$L$2:$L$7,,,"Actual360","LogLinear",TRUE)</f>
        <v>QSObject:ContextInput:w1~input.qs_context_add_curve.2359132437744.5197.3.0:35429</v>
      </c>
      <c r="E5198" s="6" t="str">
        <f>_xll.QS.INSTRUMENT.SWAP("swap.5196",H5198,B5198,"USD","SOFR",I5198,J5198,0,"Actual360","Simple","Annual","Annual","Annual")</f>
        <v>QSObject:Swap:w1~swap.5196:10763</v>
      </c>
      <c r="F5198" s="6" t="str">
        <f>_xll.QS.TRADE.CREATE("trade.5196",E5198,A5198,"Receive")</f>
        <v>QSObject:SwapTrade:w1~trade.5196:26858</v>
      </c>
      <c r="G5198" s="3">
        <f>_xll.QS.EVALUATE(C5198,F5198)</f>
        <v>53180.429882736171</v>
      </c>
      <c r="H5198" s="5" t="s">
        <v>5238</v>
      </c>
      <c r="I5198" s="7">
        <v>1519600</v>
      </c>
      <c r="J5198" s="8">
        <v>3.9600000000000003E-2</v>
      </c>
    </row>
    <row r="5199" spans="1:10" x14ac:dyDescent="0.25">
      <c r="A5199" s="5" t="s">
        <v>5232</v>
      </c>
      <c r="B5199" s="5" t="s">
        <v>7066</v>
      </c>
      <c r="C5199" s="6" t="str">
        <f>_xll.QS.CONTEXT.CREATE("market.5197",A5199,"USD","SOFR")</f>
        <v>QSObject:PricingContext:w1~market.5197:10762</v>
      </c>
      <c r="D5199" s="6" t="str">
        <f>_xll.QS.CONTEXT.ADD.CURVE(C5199,"SOFR",$K$2:$K$7,$L$2:$L$7,,,"Actual360","LogLinear",TRUE)</f>
        <v>QSObject:ContextInput:w1~input.qs_context_add_curve.2359132437744.5198.3.0:35428</v>
      </c>
      <c r="E5199" s="6" t="str">
        <f>_xll.QS.INSTRUMENT.SWAP("swap.5197",H5199,B5199,"USD","SOFR",I5199,J5199,0,"Actual360","Simple","Annual","Annual","Annual")</f>
        <v>QSObject:Swap:w1~swap.5197:10761</v>
      </c>
      <c r="F5199" s="6" t="str">
        <f>_xll.QS.TRADE.CREATE("trade.5197",E5199,A5199,"Receive")</f>
        <v>QSObject:SwapTrade:w1~trade.5197:26857</v>
      </c>
      <c r="G5199" s="3">
        <f>_xll.QS.EVALUATE(C5199,F5199)</f>
        <v>53951.069117486019</v>
      </c>
      <c r="H5199" s="5" t="s">
        <v>5239</v>
      </c>
      <c r="I5199" s="7">
        <v>1519700</v>
      </c>
      <c r="J5199" s="8">
        <v>3.9700000000000013E-2</v>
      </c>
    </row>
    <row r="5200" spans="1:10" x14ac:dyDescent="0.25">
      <c r="A5200" s="5" t="s">
        <v>5233</v>
      </c>
      <c r="B5200" s="5" t="s">
        <v>7067</v>
      </c>
      <c r="C5200" s="6" t="str">
        <f>_xll.QS.CONTEXT.CREATE("market.5198",A5200,"USD","SOFR")</f>
        <v>QSObject:PricingContext:w1~market.5198:10760</v>
      </c>
      <c r="D5200" s="6" t="str">
        <f>_xll.QS.CONTEXT.ADD.CURVE(C5200,"SOFR",$K$2:$K$7,$L$2:$L$7,,,"Actual360","LogLinear",TRUE)</f>
        <v>QSObject:ContextInput:w1~input.qs_context_add_curve.2359132437744.5199.3.0:35427</v>
      </c>
      <c r="E5200" s="6" t="str">
        <f>_xll.QS.INSTRUMENT.SWAP("swap.5198",H5200,B5200,"USD","SOFR",I5200,J5200,0,"Actual360","Simple","Annual","Annual","Annual")</f>
        <v>QSObject:Swap:w1~swap.5198:10759</v>
      </c>
      <c r="F5200" s="6" t="str">
        <f>_xll.QS.TRADE.CREATE("trade.5198",E5200,A5200,"Receive")</f>
        <v>QSObject:SwapTrade:w1~trade.5198:26856</v>
      </c>
      <c r="G5200" s="3">
        <f>_xll.QS.EVALUATE(C5200,F5200)</f>
        <v>54596.717306034043</v>
      </c>
      <c r="H5200" s="5" t="s">
        <v>5240</v>
      </c>
      <c r="I5200" s="7">
        <v>1519800</v>
      </c>
      <c r="J5200" s="8">
        <v>3.9800000000000002E-2</v>
      </c>
    </row>
    <row r="5201" spans="1:10" x14ac:dyDescent="0.25">
      <c r="A5201" s="5" t="s">
        <v>5234</v>
      </c>
      <c r="B5201" s="5" t="s">
        <v>7068</v>
      </c>
      <c r="C5201" s="6" t="str">
        <f>_xll.QS.CONTEXT.CREATE("market.5199",A5201,"USD","SOFR")</f>
        <v>QSObject:PricingContext:w1~market.5199:10758</v>
      </c>
      <c r="D5201" s="6" t="str">
        <f>_xll.QS.CONTEXT.ADD.CURVE(C5201,"SOFR",$K$2:$K$7,$L$2:$L$7,,,"Actual360","LogLinear",TRUE)</f>
        <v>QSObject:ContextInput:w1~input.qs_context_add_curve.2359132437744.5200.3.0:35426</v>
      </c>
      <c r="E5201" s="6" t="str">
        <f>_xll.QS.INSTRUMENT.SWAP("swap.5199",H5201,B5201,"USD","SOFR",I5201,J5201,0,"Actual360","Simple","Annual","Annual","Annual")</f>
        <v>QSObject:Swap:w1~swap.5199:10757</v>
      </c>
      <c r="F5201" s="6" t="str">
        <f>_xll.QS.TRADE.CREATE("trade.5199",E5201,A5201,"Receive")</f>
        <v>QSObject:SwapTrade:w1~trade.5199:26855</v>
      </c>
      <c r="G5201" s="3">
        <f>_xll.QS.EVALUATE(C5201,F5201)</f>
        <v>55172.014701930828</v>
      </c>
      <c r="H5201" s="5" t="s">
        <v>5241</v>
      </c>
      <c r="I5201" s="7">
        <v>1519900</v>
      </c>
      <c r="J5201" s="8">
        <v>3.9899999999999998E-2</v>
      </c>
    </row>
    <row r="5202" spans="1:10" x14ac:dyDescent="0.25">
      <c r="A5202" s="5" t="s">
        <v>5235</v>
      </c>
      <c r="B5202" s="5" t="s">
        <v>7069</v>
      </c>
      <c r="C5202" s="6" t="str">
        <f>_xll.QS.CONTEXT.CREATE("market.5200",A5202,"USD","SOFR")</f>
        <v>QSObject:PricingContext:w1~market.5200:10756</v>
      </c>
      <c r="D5202" s="6" t="str">
        <f>_xll.QS.CONTEXT.ADD.CURVE(C5202,"SOFR",$K$2:$K$7,$L$2:$L$7,,,"Actual360","LogLinear",TRUE)</f>
        <v>QSObject:ContextInput:w1~input.qs_context_add_curve.2359132437744.5201.3.0:35425</v>
      </c>
      <c r="E5202" s="6" t="str">
        <f>_xll.QS.INSTRUMENT.SWAP("swap.5200",H5202,B5202,"USD","SOFR",I5202,J5202,0,"Actual360","Simple","Annual","Annual","Annual")</f>
        <v>QSObject:Swap:w1~swap.5200:10755</v>
      </c>
      <c r="F5202" s="6" t="str">
        <f>_xll.QS.TRADE.CREATE("trade.5200",E5202,A5202,"Receive")</f>
        <v>QSObject:SwapTrade:w1~trade.5200:26854</v>
      </c>
      <c r="G5202" s="3">
        <f>_xll.QS.EVALUATE(C5202,F5202)</f>
        <v>20730.26415542169</v>
      </c>
      <c r="H5202" s="5" t="s">
        <v>5242</v>
      </c>
      <c r="I5202" s="7">
        <v>1520000</v>
      </c>
      <c r="J5202" s="8">
        <v>3.5000000000000003E-2</v>
      </c>
    </row>
    <row r="5203" spans="1:10" x14ac:dyDescent="0.25">
      <c r="A5203" s="5" t="s">
        <v>5236</v>
      </c>
      <c r="B5203" s="5" t="s">
        <v>7070</v>
      </c>
      <c r="C5203" s="6" t="str">
        <f>_xll.QS.CONTEXT.CREATE("market.5201",A5203,"USD","SOFR")</f>
        <v>QSObject:PricingContext:w1~market.5201:10754</v>
      </c>
      <c r="D5203" s="6" t="str">
        <f>_xll.QS.CONTEXT.ADD.CURVE(C5203,"SOFR",$K$2:$K$7,$L$2:$L$7,,,"Actual360","LogLinear",TRUE)</f>
        <v>QSObject:ContextInput:w1~input.qs_context_add_curve.2359132437744.5202.3.0:35424</v>
      </c>
      <c r="E5203" s="6" t="str">
        <f>_xll.QS.INSTRUMENT.SWAP("swap.5201",H5203,B5203,"USD","SOFR",I5203,J5203,0,"Actual360","Simple","Annual","Annual","Annual")</f>
        <v>QSObject:Swap:w1~swap.5201:10753</v>
      </c>
      <c r="F5203" s="6" t="str">
        <f>_xll.QS.TRADE.CREATE("trade.5201",E5203,A5203,"Receive")</f>
        <v>QSObject:SwapTrade:w1~trade.5201:26853</v>
      </c>
      <c r="G5203" s="3">
        <f>_xll.QS.EVALUATE(C5203,F5203)</f>
        <v>21495.081565738481</v>
      </c>
      <c r="H5203" s="5" t="s">
        <v>5243</v>
      </c>
      <c r="I5203" s="7">
        <v>1520100</v>
      </c>
      <c r="J5203" s="8">
        <v>3.5100000000000013E-2</v>
      </c>
    </row>
    <row r="5204" spans="1:10" x14ac:dyDescent="0.25">
      <c r="A5204" s="5" t="s">
        <v>5237</v>
      </c>
      <c r="B5204" s="5" t="s">
        <v>7071</v>
      </c>
      <c r="C5204" s="6" t="str">
        <f>_xll.QS.CONTEXT.CREATE("market.5202",A5204,"USD","SOFR")</f>
        <v>QSObject:PricingContext:w1~market.5202:10752</v>
      </c>
      <c r="D5204" s="6" t="str">
        <f>_xll.QS.CONTEXT.ADD.CURVE(C5204,"SOFR",$K$2:$K$7,$L$2:$L$7,,,"Actual360","LogLinear",TRUE)</f>
        <v>QSObject:ContextInput:w1~input.qs_context_add_curve.2359132437744.5203.3.0:35423</v>
      </c>
      <c r="E5204" s="6" t="str">
        <f>_xll.QS.INSTRUMENT.SWAP("swap.5202",H5204,B5204,"USD","SOFR",I5204,J5204,0,"Actual360","Simple","Annual","Annual","Annual")</f>
        <v>QSObject:Swap:w1~swap.5202:10751</v>
      </c>
      <c r="F5204" s="6" t="str">
        <f>_xll.QS.TRADE.CREATE("trade.5202",E5204,A5204,"Receive")</f>
        <v>QSObject:SwapTrade:w1~trade.5202:26852</v>
      </c>
      <c r="G5204" s="3">
        <f>_xll.QS.EVALUATE(C5204,F5204)</f>
        <v>22245.112656722224</v>
      </c>
      <c r="H5204" s="5" t="s">
        <v>5244</v>
      </c>
      <c r="I5204" s="7">
        <v>1520200</v>
      </c>
      <c r="J5204" s="8">
        <v>3.5200000000000002E-2</v>
      </c>
    </row>
    <row r="5205" spans="1:10" x14ac:dyDescent="0.25">
      <c r="A5205" s="5" t="s">
        <v>5238</v>
      </c>
      <c r="B5205" s="5" t="s">
        <v>7072</v>
      </c>
      <c r="C5205" s="6" t="str">
        <f>_xll.QS.CONTEXT.CREATE("market.5203",A5205,"USD","SOFR")</f>
        <v>QSObject:PricingContext:w1~market.5203:10750</v>
      </c>
      <c r="D5205" s="6" t="str">
        <f>_xll.QS.CONTEXT.ADD.CURVE(C5205,"SOFR",$K$2:$K$7,$L$2:$L$7,,,"Actual360","LogLinear",TRUE)</f>
        <v>QSObject:ContextInput:w1~input.qs_context_add_curve.2359132437744.5204.3.0:35422</v>
      </c>
      <c r="E5205" s="6" t="str">
        <f>_xll.QS.INSTRUMENT.SWAP("swap.5203",H5205,B5205,"USD","SOFR",I5205,J5205,0,"Actual360","Simple","Annual","Annual","Annual")</f>
        <v>QSObject:Swap:w1~swap.5203:10749</v>
      </c>
      <c r="F5205" s="6" t="str">
        <f>_xll.QS.TRADE.CREATE("trade.5203",E5205,A5205,"Receive")</f>
        <v>QSObject:SwapTrade:w1~trade.5203:26851</v>
      </c>
      <c r="G5205" s="3">
        <f>_xll.QS.EVALUATE(C5205,F5205)</f>
        <v>23058.712406179053</v>
      </c>
      <c r="H5205" s="5" t="s">
        <v>5245</v>
      </c>
      <c r="I5205" s="7">
        <v>1520300</v>
      </c>
      <c r="J5205" s="8">
        <v>3.5299999999999998E-2</v>
      </c>
    </row>
    <row r="5206" spans="1:10" x14ac:dyDescent="0.25">
      <c r="A5206" s="5" t="s">
        <v>5239</v>
      </c>
      <c r="B5206" s="5" t="s">
        <v>7073</v>
      </c>
      <c r="C5206" s="6" t="str">
        <f>_xll.QS.CONTEXT.CREATE("market.5204",A5206,"USD","SOFR")</f>
        <v>QSObject:PricingContext:w1~market.5204:10748</v>
      </c>
      <c r="D5206" s="6" t="str">
        <f>_xll.QS.CONTEXT.ADD.CURVE(C5206,"SOFR",$K$2:$K$7,$L$2:$L$7,,,"Actual360","LogLinear",TRUE)</f>
        <v>QSObject:ContextInput:w1~input.qs_context_add_curve.2359132437744.5205.3.0:35421</v>
      </c>
      <c r="E5206" s="6" t="str">
        <f>_xll.QS.INSTRUMENT.SWAP("swap.5204",H5206,B5206,"USD","SOFR",I5206,J5206,0,"Actual360","Simple","Annual","Annual","Annual")</f>
        <v>QSObject:Swap:w1~swap.5204:10747</v>
      </c>
      <c r="F5206" s="6" t="str">
        <f>_xll.QS.TRADE.CREATE("trade.5204",E5206,A5206,"Receive")</f>
        <v>QSObject:SwapTrade:w1~trade.5204:26850</v>
      </c>
      <c r="G5206" s="3">
        <f>_xll.QS.EVALUATE(C5206,F5206)</f>
        <v>23827.603899723734</v>
      </c>
      <c r="H5206" s="5" t="s">
        <v>5246</v>
      </c>
      <c r="I5206" s="7">
        <v>1520400</v>
      </c>
      <c r="J5206" s="8">
        <v>3.5400000000000001E-2</v>
      </c>
    </row>
    <row r="5207" spans="1:10" x14ac:dyDescent="0.25">
      <c r="A5207" s="5" t="s">
        <v>5240</v>
      </c>
      <c r="B5207" s="5" t="s">
        <v>7074</v>
      </c>
      <c r="C5207" s="6" t="str">
        <f>_xll.QS.CONTEXT.CREATE("market.5205",A5207,"USD","SOFR")</f>
        <v>QSObject:PricingContext:w1~market.5205:10746</v>
      </c>
      <c r="D5207" s="6" t="str">
        <f>_xll.QS.CONTEXT.ADD.CURVE(C5207,"SOFR",$K$2:$K$7,$L$2:$L$7,,,"Actual360","LogLinear",TRUE)</f>
        <v>QSObject:ContextInput:w1~input.qs_context_add_curve.2359132437744.5206.3.0:35420</v>
      </c>
      <c r="E5207" s="6" t="str">
        <f>_xll.QS.INSTRUMENT.SWAP("swap.5205",H5207,B5207,"USD","SOFR",I5207,J5207,0,"Actual360","Simple","Annual","Annual","Annual")</f>
        <v>QSObject:Swap:w1~swap.5205:10745</v>
      </c>
      <c r="F5207" s="6" t="str">
        <f>_xll.QS.TRADE.CREATE("trade.5205",E5207,A5207,"Receive")</f>
        <v>QSObject:SwapTrade:w1~trade.5205:26849</v>
      </c>
      <c r="G5207" s="3">
        <f>_xll.QS.EVALUATE(C5207,F5207)</f>
        <v>24422.819556744209</v>
      </c>
      <c r="H5207" s="5" t="s">
        <v>5247</v>
      </c>
      <c r="I5207" s="7">
        <v>1520500</v>
      </c>
      <c r="J5207" s="8">
        <v>3.5499999999999997E-2</v>
      </c>
    </row>
    <row r="5208" spans="1:10" x14ac:dyDescent="0.25">
      <c r="A5208" s="5" t="s">
        <v>5241</v>
      </c>
      <c r="B5208" s="5" t="s">
        <v>7075</v>
      </c>
      <c r="C5208" s="6" t="str">
        <f>_xll.QS.CONTEXT.CREATE("market.5206",A5208,"USD","SOFR")</f>
        <v>QSObject:PricingContext:w1~market.5206:10744</v>
      </c>
      <c r="D5208" s="6" t="str">
        <f>_xll.QS.CONTEXT.ADD.CURVE(C5208,"SOFR",$K$2:$K$7,$L$2:$L$7,,,"Actual360","LogLinear",TRUE)</f>
        <v>QSObject:ContextInput:w1~input.qs_context_add_curve.2359132437744.5207.3.0:35419</v>
      </c>
      <c r="E5208" s="6" t="str">
        <f>_xll.QS.INSTRUMENT.SWAP("swap.5206",H5208,B5208,"USD","SOFR",I5208,J5208,0,"Actual360","Simple","Annual","Annual","Annual")</f>
        <v>QSObject:Swap:w1~swap.5206:10743</v>
      </c>
      <c r="F5208" s="6" t="str">
        <f>_xll.QS.TRADE.CREATE("trade.5206",E5208,A5208,"Receive")</f>
        <v>QSObject:SwapTrade:w1~trade.5206:26848</v>
      </c>
      <c r="G5208" s="3">
        <f>_xll.QS.EVALUATE(C5208,F5208)</f>
        <v>24945.534910070011</v>
      </c>
      <c r="H5208" s="5" t="s">
        <v>5248</v>
      </c>
      <c r="I5208" s="7">
        <v>1520600</v>
      </c>
      <c r="J5208" s="8">
        <v>3.5600000000000007E-2</v>
      </c>
    </row>
    <row r="5209" spans="1:10" x14ac:dyDescent="0.25">
      <c r="A5209" s="5" t="s">
        <v>5242</v>
      </c>
      <c r="B5209" s="5" t="s">
        <v>7076</v>
      </c>
      <c r="C5209" s="6" t="str">
        <f>_xll.QS.CONTEXT.CREATE("market.5207",A5209,"USD","SOFR")</f>
        <v>QSObject:PricingContext:w1~market.5207:10742</v>
      </c>
      <c r="D5209" s="6" t="str">
        <f>_xll.QS.CONTEXT.ADD.CURVE(C5209,"SOFR",$K$2:$K$7,$L$2:$L$7,,,"Actual360","LogLinear",TRUE)</f>
        <v>QSObject:ContextInput:w1~input.qs_context_add_curve.2359132437744.5208.3.0:35418</v>
      </c>
      <c r="E5209" s="6" t="str">
        <f>_xll.QS.INSTRUMENT.SWAP("swap.5207",H5209,B5209,"USD","SOFR",I5209,J5209,0,"Actual360","Simple","Annual","Annual","Annual")</f>
        <v>QSObject:Swap:w1~swap.5207:10741</v>
      </c>
      <c r="F5209" s="6" t="str">
        <f>_xll.QS.TRADE.CREATE("trade.5207",E5209,A5209,"Receive")</f>
        <v>QSObject:SwapTrade:w1~trade.5207:26847</v>
      </c>
      <c r="G5209" s="3">
        <f>_xll.QS.EVALUATE(C5209,F5209)</f>
        <v>25650.66068737457</v>
      </c>
      <c r="H5209" s="5" t="s">
        <v>5249</v>
      </c>
      <c r="I5209" s="7">
        <v>1520700</v>
      </c>
      <c r="J5209" s="8">
        <v>3.5700000000000003E-2</v>
      </c>
    </row>
    <row r="5210" spans="1:10" x14ac:dyDescent="0.25">
      <c r="A5210" s="5" t="s">
        <v>5243</v>
      </c>
      <c r="B5210" s="5" t="s">
        <v>7077</v>
      </c>
      <c r="C5210" s="6" t="str">
        <f>_xll.QS.CONTEXT.CREATE("market.5208",A5210,"USD","SOFR")</f>
        <v>QSObject:PricingContext:w1~market.5208:10740</v>
      </c>
      <c r="D5210" s="6" t="str">
        <f>_xll.QS.CONTEXT.ADD.CURVE(C5210,"SOFR",$K$2:$K$7,$L$2:$L$7,,,"Actual360","LogLinear",TRUE)</f>
        <v>QSObject:ContextInput:w1~input.qs_context_add_curve.2359132437744.5209.3.0:35417</v>
      </c>
      <c r="E5210" s="6" t="str">
        <f>_xll.QS.INSTRUMENT.SWAP("swap.5208",H5210,B5210,"USD","SOFR",I5210,J5210,0,"Actual360","Simple","Annual","Annual","Annual")</f>
        <v>QSObject:Swap:w1~swap.5208:10739</v>
      </c>
      <c r="F5210" s="6" t="str">
        <f>_xll.QS.TRADE.CREATE("trade.5208",E5210,A5210,"Receive")</f>
        <v>QSObject:SwapTrade:w1~trade.5208:26846</v>
      </c>
      <c r="G5210" s="3">
        <f>_xll.QS.EVALUATE(C5210,F5210)</f>
        <v>26416.602093241308</v>
      </c>
      <c r="H5210" s="5" t="s">
        <v>5250</v>
      </c>
      <c r="I5210" s="7">
        <v>1520800</v>
      </c>
      <c r="J5210" s="8">
        <v>3.5800000000000012E-2</v>
      </c>
    </row>
    <row r="5211" spans="1:10" x14ac:dyDescent="0.25">
      <c r="A5211" s="5" t="s">
        <v>5244</v>
      </c>
      <c r="B5211" s="5" t="s">
        <v>7078</v>
      </c>
      <c r="C5211" s="6" t="str">
        <f>_xll.QS.CONTEXT.CREATE("market.5209",A5211,"USD","SOFR")</f>
        <v>QSObject:PricingContext:w1~market.5209:10738</v>
      </c>
      <c r="D5211" s="6" t="str">
        <f>_xll.QS.CONTEXT.ADD.CURVE(C5211,"SOFR",$K$2:$K$7,$L$2:$L$7,,,"Actual360","LogLinear",TRUE)</f>
        <v>QSObject:ContextInput:w1~input.qs_context_add_curve.2359132437744.5210.3.0:35416</v>
      </c>
      <c r="E5211" s="6" t="str">
        <f>_xll.QS.INSTRUMENT.SWAP("swap.5209",H5211,B5211,"USD","SOFR",I5211,J5211,0,"Actual360","Simple","Annual","Annual","Annual")</f>
        <v>QSObject:Swap:w1~swap.5209:10737</v>
      </c>
      <c r="F5211" s="6" t="str">
        <f>_xll.QS.TRADE.CREATE("trade.5209",E5211,A5211,"Receive")</f>
        <v>QSObject:SwapTrade:w1~trade.5209:26845</v>
      </c>
      <c r="G5211" s="3">
        <f>_xll.QS.EVALUATE(C5211,F5211)</f>
        <v>27332.791017887583</v>
      </c>
      <c r="H5211" s="5" t="s">
        <v>5251</v>
      </c>
      <c r="I5211" s="7">
        <v>1520900</v>
      </c>
      <c r="J5211" s="8">
        <v>3.5900000000000001E-2</v>
      </c>
    </row>
    <row r="5212" spans="1:10" x14ac:dyDescent="0.25">
      <c r="A5212" s="5" t="s">
        <v>5245</v>
      </c>
      <c r="B5212" s="5" t="s">
        <v>7079</v>
      </c>
      <c r="C5212" s="6" t="str">
        <f>_xll.QS.CONTEXT.CREATE("market.5210",A5212,"USD","SOFR")</f>
        <v>QSObject:PricingContext:w1~market.5210:10736</v>
      </c>
      <c r="D5212" s="6" t="str">
        <f>_xll.QS.CONTEXT.ADD.CURVE(C5212,"SOFR",$K$2:$K$7,$L$2:$L$7,,,"Actual360","LogLinear",TRUE)</f>
        <v>QSObject:ContextInput:w1~input.qs_context_add_curve.2359132437744.5211.3.0:35415</v>
      </c>
      <c r="E5212" s="6" t="str">
        <f>_xll.QS.INSTRUMENT.SWAP("swap.5210",H5212,B5212,"USD","SOFR",I5212,J5212,0,"Actual360","Simple","Annual","Annual","Annual")</f>
        <v>QSObject:Swap:w1~swap.5210:10735</v>
      </c>
      <c r="F5212" s="6" t="str">
        <f>_xll.QS.TRADE.CREATE("trade.5210",E5212,A5212,"Receive")</f>
        <v>QSObject:SwapTrade:w1~trade.5210:26844</v>
      </c>
      <c r="G5212" s="3">
        <f>_xll.QS.EVALUATE(C5212,F5212)</f>
        <v>28048.651839875463</v>
      </c>
      <c r="H5212" s="5" t="s">
        <v>5252</v>
      </c>
      <c r="I5212" s="7">
        <v>1521000</v>
      </c>
      <c r="J5212" s="8">
        <v>3.5999999999999997E-2</v>
      </c>
    </row>
    <row r="5213" spans="1:10" x14ac:dyDescent="0.25">
      <c r="A5213" s="5" t="s">
        <v>5246</v>
      </c>
      <c r="B5213" s="5" t="s">
        <v>7080</v>
      </c>
      <c r="C5213" s="6" t="str">
        <f>_xll.QS.CONTEXT.CREATE("market.5211",A5213,"USD","SOFR")</f>
        <v>QSObject:PricingContext:w1~market.5211:10734</v>
      </c>
      <c r="D5213" s="6" t="str">
        <f>_xll.QS.CONTEXT.ADD.CURVE(C5213,"SOFR",$K$2:$K$7,$L$2:$L$7,,,"Actual360","LogLinear",TRUE)</f>
        <v>QSObject:ContextInput:w1~input.qs_context_add_curve.2359132437744.5212.3.0:35414</v>
      </c>
      <c r="E5213" s="6" t="str">
        <f>_xll.QS.INSTRUMENT.SWAP("swap.5211",H5213,B5213,"USD","SOFR",I5213,J5213,0,"Actual360","Simple","Annual","Annual","Annual")</f>
        <v>QSObject:Swap:w1~swap.5211:10733</v>
      </c>
      <c r="F5213" s="6" t="str">
        <f>_xll.QS.TRADE.CREATE("trade.5211",E5213,A5213,"Receive")</f>
        <v>QSObject:SwapTrade:w1~trade.5211:26843</v>
      </c>
      <c r="G5213" s="3">
        <f>_xll.QS.EVALUATE(C5213,F5213)</f>
        <v>28750.337003991524</v>
      </c>
      <c r="H5213" s="5" t="s">
        <v>5253</v>
      </c>
      <c r="I5213" s="7">
        <v>1521100</v>
      </c>
      <c r="J5213" s="8">
        <v>3.61E-2</v>
      </c>
    </row>
    <row r="5214" spans="1:10" x14ac:dyDescent="0.25">
      <c r="A5214" s="5" t="s">
        <v>5247</v>
      </c>
      <c r="B5214" s="5" t="s">
        <v>7081</v>
      </c>
      <c r="C5214" s="6" t="str">
        <f>_xll.QS.CONTEXT.CREATE("market.5212",A5214,"USD","SOFR")</f>
        <v>QSObject:PricingContext:w1~market.5212:10732</v>
      </c>
      <c r="D5214" s="6" t="str">
        <f>_xll.QS.CONTEXT.ADD.CURVE(C5214,"SOFR",$K$2:$K$7,$L$2:$L$7,,,"Actual360","LogLinear",TRUE)</f>
        <v>QSObject:ContextInput:w1~input.qs_context_add_curve.2359132437744.5213.3.0:35413</v>
      </c>
      <c r="E5214" s="6" t="str">
        <f>_xll.QS.INSTRUMENT.SWAP("swap.5212",H5214,B5214,"USD","SOFR",I5214,J5214,0,"Actual360","Simple","Annual","Annual","Annual")</f>
        <v>QSObject:Swap:w1~swap.5212:10731</v>
      </c>
      <c r="F5214" s="6" t="str">
        <f>_xll.QS.TRADE.CREATE("trade.5212",E5214,A5214,"Receive")</f>
        <v>QSObject:SwapTrade:w1~trade.5212:26842</v>
      </c>
      <c r="G5214" s="3">
        <f>_xll.QS.EVALUATE(C5214,F5214)</f>
        <v>29393.410301558404</v>
      </c>
      <c r="H5214" s="5" t="s">
        <v>5254</v>
      </c>
      <c r="I5214" s="7">
        <v>1521200</v>
      </c>
      <c r="J5214" s="8">
        <v>3.6200000000000003E-2</v>
      </c>
    </row>
    <row r="5215" spans="1:10" x14ac:dyDescent="0.25">
      <c r="A5215" s="5" t="s">
        <v>5248</v>
      </c>
      <c r="B5215" s="5" t="s">
        <v>7082</v>
      </c>
      <c r="C5215" s="6" t="str">
        <f>_xll.QS.CONTEXT.CREATE("market.5213",A5215,"USD","SOFR")</f>
        <v>QSObject:PricingContext:w1~market.5213:10730</v>
      </c>
      <c r="D5215" s="6" t="str">
        <f>_xll.QS.CONTEXT.ADD.CURVE(C5215,"SOFR",$K$2:$K$7,$L$2:$L$7,,,"Actual360","LogLinear",TRUE)</f>
        <v>QSObject:ContextInput:w1~input.qs_context_add_curve.2359132437744.5214.3.0:35412</v>
      </c>
      <c r="E5215" s="6" t="str">
        <f>_xll.QS.INSTRUMENT.SWAP("swap.5213",H5215,B5215,"USD","SOFR",I5215,J5215,0,"Actual360","Simple","Annual","Annual","Annual")</f>
        <v>QSObject:Swap:w1~swap.5213:10729</v>
      </c>
      <c r="F5215" s="6" t="str">
        <f>_xll.QS.TRADE.CREATE("trade.5213",E5215,A5215,"Receive")</f>
        <v>QSObject:SwapTrade:w1~trade.5213:26841</v>
      </c>
      <c r="G5215" s="3">
        <f>_xll.QS.EVALUATE(C5215,F5215)</f>
        <v>29997.317566080797</v>
      </c>
      <c r="H5215" s="5" t="s">
        <v>5255</v>
      </c>
      <c r="I5215" s="7">
        <v>1521300</v>
      </c>
      <c r="J5215" s="8">
        <v>3.6300000000000013E-2</v>
      </c>
    </row>
    <row r="5216" spans="1:10" x14ac:dyDescent="0.25">
      <c r="A5216" s="5" t="s">
        <v>5249</v>
      </c>
      <c r="B5216" s="5" t="s">
        <v>7083</v>
      </c>
      <c r="C5216" s="6" t="str">
        <f>_xll.QS.CONTEXT.CREATE("market.5214",A5216,"USD","SOFR")</f>
        <v>QSObject:PricingContext:w1~market.5214:10728</v>
      </c>
      <c r="D5216" s="6" t="str">
        <f>_xll.QS.CONTEXT.ADD.CURVE(C5216,"SOFR",$K$2:$K$7,$L$2:$L$7,,,"Actual360","LogLinear",TRUE)</f>
        <v>QSObject:ContextInput:w1~input.qs_context_add_curve.2359132437744.5215.3.0:35411</v>
      </c>
      <c r="E5216" s="6" t="str">
        <f>_xll.QS.INSTRUMENT.SWAP("swap.5214",H5216,B5216,"USD","SOFR",I5216,J5216,0,"Actual360","Simple","Annual","Annual","Annual")</f>
        <v>QSObject:Swap:w1~swap.5214:10727</v>
      </c>
      <c r="F5216" s="6" t="str">
        <f>_xll.QS.TRADE.CREATE("trade.5214",E5216,A5216,"Receive")</f>
        <v>QSObject:SwapTrade:w1~trade.5214:26840</v>
      </c>
      <c r="G5216" s="3">
        <f>_xll.QS.EVALUATE(C5216,F5216)</f>
        <v>30574.821151946671</v>
      </c>
      <c r="H5216" s="5" t="s">
        <v>5256</v>
      </c>
      <c r="I5216" s="7">
        <v>1521400</v>
      </c>
      <c r="J5216" s="8">
        <v>3.6400000000000002E-2</v>
      </c>
    </row>
    <row r="5217" spans="1:10" x14ac:dyDescent="0.25">
      <c r="A5217" s="5" t="s">
        <v>5250</v>
      </c>
      <c r="B5217" s="5" t="s">
        <v>7084</v>
      </c>
      <c r="C5217" s="6" t="str">
        <f>_xll.QS.CONTEXT.CREATE("market.5215",A5217,"USD","SOFR")</f>
        <v>QSObject:PricingContext:w1~market.5215:10726</v>
      </c>
      <c r="D5217" s="6" t="str">
        <f>_xll.QS.CONTEXT.ADD.CURVE(C5217,"SOFR",$K$2:$K$7,$L$2:$L$7,,,"Actual360","LogLinear",TRUE)</f>
        <v>QSObject:ContextInput:w1~input.qs_context_add_curve.2359132437744.5216.3.0:35410</v>
      </c>
      <c r="E5217" s="6" t="str">
        <f>_xll.QS.INSTRUMENT.SWAP("swap.5215",H5217,B5217,"USD","SOFR",I5217,J5217,0,"Actual360","Simple","Annual","Annual","Annual")</f>
        <v>QSObject:Swap:w1~swap.5215:10725</v>
      </c>
      <c r="F5217" s="6" t="str">
        <f>_xll.QS.TRADE.CREATE("trade.5215",E5217,A5217,"Receive")</f>
        <v>QSObject:SwapTrade:w1~trade.5215:26839</v>
      </c>
      <c r="G5217" s="3">
        <f>_xll.QS.EVALUATE(C5217,F5217)</f>
        <v>31343.285123696238</v>
      </c>
      <c r="H5217" s="5" t="s">
        <v>5257</v>
      </c>
      <c r="I5217" s="7">
        <v>1521500</v>
      </c>
      <c r="J5217" s="8">
        <v>3.6499999999999998E-2</v>
      </c>
    </row>
    <row r="5218" spans="1:10" x14ac:dyDescent="0.25">
      <c r="A5218" s="5" t="s">
        <v>5251</v>
      </c>
      <c r="B5218" s="5" t="s">
        <v>7085</v>
      </c>
      <c r="C5218" s="6" t="str">
        <f>_xll.QS.CONTEXT.CREATE("market.5216",A5218,"USD","SOFR")</f>
        <v>QSObject:PricingContext:w1~market.5216:10724</v>
      </c>
      <c r="D5218" s="6" t="str">
        <f>_xll.QS.CONTEXT.ADD.CURVE(C5218,"SOFR",$K$2:$K$7,$L$2:$L$7,,,"Actual360","LogLinear",TRUE)</f>
        <v>QSObject:ContextInput:w1~input.qs_context_add_curve.2359132437744.5217.3.0:35409</v>
      </c>
      <c r="E5218" s="6" t="str">
        <f>_xll.QS.INSTRUMENT.SWAP("swap.5216",H5218,B5218,"USD","SOFR",I5218,J5218,0,"Actual360","Simple","Annual","Annual","Annual")</f>
        <v>QSObject:Swap:w1~swap.5216:10723</v>
      </c>
      <c r="F5218" s="6" t="str">
        <f>_xll.QS.TRADE.CREATE("trade.5216",E5218,A5218,"Receive")</f>
        <v>QSObject:SwapTrade:w1~trade.5216:26838</v>
      </c>
      <c r="G5218" s="3">
        <f>_xll.QS.EVALUATE(C5218,F5218)</f>
        <v>32089.061252764543</v>
      </c>
      <c r="H5218" s="5" t="s">
        <v>5258</v>
      </c>
      <c r="I5218" s="7">
        <v>1521600</v>
      </c>
      <c r="J5218" s="8">
        <v>3.6600000000000001E-2</v>
      </c>
    </row>
    <row r="5219" spans="1:10" x14ac:dyDescent="0.25">
      <c r="A5219" s="5" t="s">
        <v>5252</v>
      </c>
      <c r="B5219" s="5" t="s">
        <v>7086</v>
      </c>
      <c r="C5219" s="6" t="str">
        <f>_xll.QS.CONTEXT.CREATE("market.5217",A5219,"USD","SOFR")</f>
        <v>QSObject:PricingContext:w1~market.5217:10722</v>
      </c>
      <c r="D5219" s="6" t="str">
        <f>_xll.QS.CONTEXT.ADD.CURVE(C5219,"SOFR",$K$2:$K$7,$L$2:$L$7,,,"Actual360","LogLinear",TRUE)</f>
        <v>QSObject:ContextInput:w1~input.qs_context_add_curve.2359132437744.5218.3.0:35408</v>
      </c>
      <c r="E5219" s="6" t="str">
        <f>_xll.QS.INSTRUMENT.SWAP("swap.5217",H5219,B5219,"USD","SOFR",I5219,J5219,0,"Actual360","Simple","Annual","Annual","Annual")</f>
        <v>QSObject:Swap:w1~swap.5217:10721</v>
      </c>
      <c r="F5219" s="6" t="str">
        <f>_xll.QS.TRADE.CREATE("trade.5217",E5219,A5219,"Receive")</f>
        <v>QSObject:SwapTrade:w1~trade.5217:26837</v>
      </c>
      <c r="G5219" s="3">
        <f>_xll.QS.EVALUATE(C5219,F5219)</f>
        <v>32903.952926783881</v>
      </c>
      <c r="H5219" s="5" t="s">
        <v>5259</v>
      </c>
      <c r="I5219" s="7">
        <v>1521700</v>
      </c>
      <c r="J5219" s="8">
        <v>3.6700000000000003E-2</v>
      </c>
    </row>
    <row r="5220" spans="1:10" x14ac:dyDescent="0.25">
      <c r="A5220" s="5" t="s">
        <v>5253</v>
      </c>
      <c r="B5220" s="5" t="s">
        <v>7087</v>
      </c>
      <c r="C5220" s="6" t="str">
        <f>_xll.QS.CONTEXT.CREATE("market.5218",A5220,"USD","SOFR")</f>
        <v>QSObject:PricingContext:w1~market.5218:10720</v>
      </c>
      <c r="D5220" s="6" t="str">
        <f>_xll.QS.CONTEXT.ADD.CURVE(C5220,"SOFR",$K$2:$K$7,$L$2:$L$7,,,"Actual360","LogLinear",TRUE)</f>
        <v>QSObject:ContextInput:w1~input.qs_context_add_curve.2359132437744.5219.3.0:35407</v>
      </c>
      <c r="E5220" s="6" t="str">
        <f>_xll.QS.INSTRUMENT.SWAP("swap.5218",H5220,B5220,"USD","SOFR",I5220,J5220,0,"Actual360","Simple","Annual","Annual","Annual")</f>
        <v>QSObject:Swap:w1~swap.5218:10719</v>
      </c>
      <c r="F5220" s="6" t="str">
        <f>_xll.QS.TRADE.CREATE("trade.5218",E5220,A5220,"Receive")</f>
        <v>QSObject:SwapTrade:w1~trade.5218:26836</v>
      </c>
      <c r="G5220" s="3">
        <f>_xll.QS.EVALUATE(C5220,F5220)</f>
        <v>33674.314056823947</v>
      </c>
      <c r="H5220" s="5" t="s">
        <v>5260</v>
      </c>
      <c r="I5220" s="7">
        <v>1521800</v>
      </c>
      <c r="J5220" s="8">
        <v>3.6800000000000013E-2</v>
      </c>
    </row>
    <row r="5221" spans="1:10" x14ac:dyDescent="0.25">
      <c r="A5221" s="5" t="s">
        <v>5254</v>
      </c>
      <c r="B5221" s="5" t="s">
        <v>7088</v>
      </c>
      <c r="C5221" s="6" t="str">
        <f>_xll.QS.CONTEXT.CREATE("market.5219",A5221,"USD","SOFR")</f>
        <v>QSObject:PricingContext:w1~market.5219:10718</v>
      </c>
      <c r="D5221" s="6" t="str">
        <f>_xll.QS.CONTEXT.ADD.CURVE(C5221,"SOFR",$K$2:$K$7,$L$2:$L$7,,,"Actual360","LogLinear",TRUE)</f>
        <v>QSObject:ContextInput:w1~input.qs_context_add_curve.2359132437744.5220.3.0:35406</v>
      </c>
      <c r="E5221" s="6" t="str">
        <f>_xll.QS.INSTRUMENT.SWAP("swap.5219",H5221,B5221,"USD","SOFR",I5221,J5221,0,"Actual360","Simple","Annual","Annual","Annual")</f>
        <v>QSObject:Swap:w1~swap.5219:10717</v>
      </c>
      <c r="F5221" s="6" t="str">
        <f>_xll.QS.TRADE.CREATE("trade.5219",E5221,A5221,"Receive")</f>
        <v>QSObject:SwapTrade:w1~trade.5219:26835</v>
      </c>
      <c r="G5221" s="3">
        <f>_xll.QS.EVALUATE(C5221,F5221)</f>
        <v>34319.732140998167</v>
      </c>
      <c r="H5221" s="5" t="s">
        <v>5261</v>
      </c>
      <c r="I5221" s="7">
        <v>1521900</v>
      </c>
      <c r="J5221" s="8">
        <v>3.6900000000000002E-2</v>
      </c>
    </row>
    <row r="5222" spans="1:10" x14ac:dyDescent="0.25">
      <c r="A5222" s="5" t="s">
        <v>5255</v>
      </c>
      <c r="B5222" s="5" t="s">
        <v>7089</v>
      </c>
      <c r="C5222" s="6" t="str">
        <f>_xll.QS.CONTEXT.CREATE("market.5220",A5222,"USD","SOFR")</f>
        <v>QSObject:PricingContext:w1~market.5220:10716</v>
      </c>
      <c r="D5222" s="6" t="str">
        <f>_xll.QS.CONTEXT.ADD.CURVE(C5222,"SOFR",$K$2:$K$7,$L$2:$L$7,,,"Actual360","LogLinear",TRUE)</f>
        <v>QSObject:ContextInput:w1~input.qs_context_add_curve.2359132437744.5221.3.0:35405</v>
      </c>
      <c r="E5222" s="6" t="str">
        <f>_xll.QS.INSTRUMENT.SWAP("swap.5220",H5222,B5222,"USD","SOFR",I5222,J5222,0,"Actual360","Simple","Annual","Annual","Annual")</f>
        <v>QSObject:Swap:w1~swap.5220:10715</v>
      </c>
      <c r="F5222" s="6" t="str">
        <f>_xll.QS.TRADE.CREATE("trade.5220",E5222,A5222,"Receive")</f>
        <v>QSObject:SwapTrade:w1~trade.5220:26834</v>
      </c>
      <c r="G5222" s="3">
        <f>_xll.QS.EVALUATE(C5222,F5222)</f>
        <v>34918.450920986819</v>
      </c>
      <c r="H5222" s="5" t="s">
        <v>5262</v>
      </c>
      <c r="I5222" s="7">
        <v>1522000</v>
      </c>
      <c r="J5222" s="8">
        <v>3.7000000000000012E-2</v>
      </c>
    </row>
    <row r="5223" spans="1:10" x14ac:dyDescent="0.25">
      <c r="A5223" s="5" t="s">
        <v>5256</v>
      </c>
      <c r="B5223" s="5" t="s">
        <v>7090</v>
      </c>
      <c r="C5223" s="6" t="str">
        <f>_xll.QS.CONTEXT.CREATE("market.5221",A5223,"USD","SOFR")</f>
        <v>QSObject:PricingContext:w1~market.5221:10714</v>
      </c>
      <c r="D5223" s="6" t="str">
        <f>_xll.QS.CONTEXT.ADD.CURVE(C5223,"SOFR",$K$2:$K$7,$L$2:$L$7,,,"Actual360","LogLinear",TRUE)</f>
        <v>QSObject:ContextInput:w1~input.qs_context_add_curve.2359132437744.5222.3.0:35404</v>
      </c>
      <c r="E5223" s="6" t="str">
        <f>_xll.QS.INSTRUMENT.SWAP("swap.5221",H5223,B5223,"USD","SOFR",I5223,J5223,0,"Actual360","Simple","Annual","Annual","Annual")</f>
        <v>QSObject:Swap:w1~swap.5221:10713</v>
      </c>
      <c r="F5223" s="6" t="str">
        <f>_xll.QS.TRADE.CREATE("trade.5221",E5223,A5223,"Receive")</f>
        <v>QSObject:SwapTrade:w1~trade.5221:26833</v>
      </c>
      <c r="G5223" s="3">
        <f>_xll.QS.EVALUATE(C5223,F5223)</f>
        <v>35504.298315995424</v>
      </c>
      <c r="H5223" s="5" t="s">
        <v>5263</v>
      </c>
      <c r="I5223" s="7">
        <v>1522100</v>
      </c>
      <c r="J5223" s="8">
        <v>3.7100000000000001E-2</v>
      </c>
    </row>
    <row r="5224" spans="1:10" x14ac:dyDescent="0.25">
      <c r="A5224" s="5" t="s">
        <v>5257</v>
      </c>
      <c r="B5224" s="5" t="s">
        <v>7091</v>
      </c>
      <c r="C5224" s="6" t="str">
        <f>_xll.QS.CONTEXT.CREATE("market.5222",A5224,"USD","SOFR")</f>
        <v>QSObject:PricingContext:w1~market.5222:10712</v>
      </c>
      <c r="D5224" s="6" t="str">
        <f>_xll.QS.CONTEXT.ADD.CURVE(C5224,"SOFR",$K$2:$K$7,$L$2:$L$7,,,"Actual360","LogLinear",TRUE)</f>
        <v>QSObject:ContextInput:w1~input.qs_context_add_curve.2359132437744.5223.3.0:35403</v>
      </c>
      <c r="E5224" s="6" t="str">
        <f>_xll.QS.INSTRUMENT.SWAP("swap.5222",H5224,B5224,"USD","SOFR",I5224,J5224,0,"Actual360","Simple","Annual","Annual","Annual")</f>
        <v>QSObject:Swap:w1~swap.5222:10711</v>
      </c>
      <c r="F5224" s="6" t="str">
        <f>_xll.QS.TRADE.CREATE("trade.5222",E5224,A5224,"Receive")</f>
        <v>QSObject:SwapTrade:w1~trade.5222:26832</v>
      </c>
      <c r="G5224" s="3">
        <f>_xll.QS.EVALUATE(C5224,F5224)</f>
        <v>36272.777086871531</v>
      </c>
      <c r="H5224" s="5" t="s">
        <v>5264</v>
      </c>
      <c r="I5224" s="7">
        <v>1522200</v>
      </c>
      <c r="J5224" s="8">
        <v>3.7199999999999997E-2</v>
      </c>
    </row>
    <row r="5225" spans="1:10" x14ac:dyDescent="0.25">
      <c r="A5225" s="5" t="s">
        <v>5258</v>
      </c>
      <c r="B5225" s="5" t="s">
        <v>7092</v>
      </c>
      <c r="C5225" s="6" t="str">
        <f>_xll.QS.CONTEXT.CREATE("market.5223",A5225,"USD","SOFR")</f>
        <v>QSObject:PricingContext:w1~market.5223:10710</v>
      </c>
      <c r="D5225" s="6" t="str">
        <f>_xll.QS.CONTEXT.ADD.CURVE(C5225,"SOFR",$K$2:$K$7,$L$2:$L$7,,,"Actual360","LogLinear",TRUE)</f>
        <v>QSObject:ContextInput:w1~input.qs_context_add_curve.2359132437744.5224.3.0:35402</v>
      </c>
      <c r="E5225" s="6" t="str">
        <f>_xll.QS.INSTRUMENT.SWAP("swap.5223",H5225,B5225,"USD","SOFR",I5225,J5225,0,"Actual360","Simple","Annual","Annual","Annual")</f>
        <v>QSObject:Swap:w1~swap.5223:10709</v>
      </c>
      <c r="F5225" s="6" t="str">
        <f>_xll.QS.TRADE.CREATE("trade.5223",E5225,A5225,"Receive")</f>
        <v>QSObject:SwapTrade:w1~trade.5223:26831</v>
      </c>
      <c r="G5225" s="3">
        <f>_xll.QS.EVALUATE(C5225,F5225)</f>
        <v>37017.698797964884</v>
      </c>
      <c r="H5225" s="5" t="s">
        <v>5265</v>
      </c>
      <c r="I5225" s="7">
        <v>1522300</v>
      </c>
      <c r="J5225" s="8">
        <v>3.73E-2</v>
      </c>
    </row>
    <row r="5226" spans="1:10" x14ac:dyDescent="0.25">
      <c r="A5226" s="5" t="s">
        <v>5259</v>
      </c>
      <c r="B5226" s="5" t="s">
        <v>7093</v>
      </c>
      <c r="C5226" s="6" t="str">
        <f>_xll.QS.CONTEXT.CREATE("market.5224",A5226,"USD","SOFR")</f>
        <v>QSObject:PricingContext:w1~market.5224:10708</v>
      </c>
      <c r="D5226" s="6" t="str">
        <f>_xll.QS.CONTEXT.ADD.CURVE(C5226,"SOFR",$K$2:$K$7,$L$2:$L$7,,,"Actual360","LogLinear",TRUE)</f>
        <v>QSObject:ContextInput:w1~input.qs_context_add_curve.2359132437744.5225.3.0:35401</v>
      </c>
      <c r="E5226" s="6" t="str">
        <f>_xll.QS.INSTRUMENT.SWAP("swap.5224",H5226,B5226,"USD","SOFR",I5226,J5226,0,"Actual360","Simple","Annual","Annual","Annual")</f>
        <v>QSObject:Swap:w1~swap.5224:10707</v>
      </c>
      <c r="F5226" s="6" t="str">
        <f>_xll.QS.TRADE.CREATE("trade.5224",E5226,A5226,"Receive")</f>
        <v>QSObject:SwapTrade:w1~trade.5224:26830</v>
      </c>
      <c r="G5226" s="3">
        <f>_xll.QS.EVALUATE(C5226,F5226)</f>
        <v>37833.356290153548</v>
      </c>
      <c r="H5226" s="5" t="s">
        <v>5266</v>
      </c>
      <c r="I5226" s="7">
        <v>1522400</v>
      </c>
      <c r="J5226" s="8">
        <v>3.7400000000000003E-2</v>
      </c>
    </row>
    <row r="5227" spans="1:10" x14ac:dyDescent="0.25">
      <c r="A5227" s="5" t="s">
        <v>5260</v>
      </c>
      <c r="B5227" s="5" t="s">
        <v>7094</v>
      </c>
      <c r="C5227" s="6" t="str">
        <f>_xll.QS.CONTEXT.CREATE("market.5225",A5227,"USD","SOFR")</f>
        <v>QSObject:PricingContext:w1~market.5225:10706</v>
      </c>
      <c r="D5227" s="6" t="str">
        <f>_xll.QS.CONTEXT.ADD.CURVE(C5227,"SOFR",$K$2:$K$7,$L$2:$L$7,,,"Actual360","LogLinear",TRUE)</f>
        <v>QSObject:ContextInput:w1~input.qs_context_add_curve.2359132437744.5226.3.0:35400</v>
      </c>
      <c r="E5227" s="6" t="str">
        <f>_xll.QS.INSTRUMENT.SWAP("swap.5225",H5227,B5227,"USD","SOFR",I5227,J5227,0,"Actual360","Simple","Annual","Annual","Annual")</f>
        <v>QSObject:Swap:w1~swap.5225:10705</v>
      </c>
      <c r="F5227" s="6" t="str">
        <f>_xll.QS.TRADE.CREATE("trade.5225",E5227,A5227,"Receive")</f>
        <v>QSObject:SwapTrade:w1~trade.5225:26829</v>
      </c>
      <c r="G5227" s="3">
        <f>_xll.QS.EVALUATE(C5227,F5227)</f>
        <v>38604.67331579631</v>
      </c>
      <c r="H5227" s="5" t="s">
        <v>5267</v>
      </c>
      <c r="I5227" s="7">
        <v>1522500</v>
      </c>
      <c r="J5227" s="8">
        <v>3.7500000000000012E-2</v>
      </c>
    </row>
    <row r="5228" spans="1:10" x14ac:dyDescent="0.25">
      <c r="A5228" s="5" t="s">
        <v>5261</v>
      </c>
      <c r="B5228" s="5" t="s">
        <v>7095</v>
      </c>
      <c r="C5228" s="6" t="str">
        <f>_xll.QS.CONTEXT.CREATE("market.5226",A5228,"USD","SOFR")</f>
        <v>QSObject:PricingContext:w1~market.5226:10704</v>
      </c>
      <c r="D5228" s="6" t="str">
        <f>_xll.QS.CONTEXT.ADD.CURVE(C5228,"SOFR",$K$2:$K$7,$L$2:$L$7,,,"Actual360","LogLinear",TRUE)</f>
        <v>QSObject:ContextInput:w1~input.qs_context_add_curve.2359132437744.5227.3.0:35399</v>
      </c>
      <c r="E5228" s="6" t="str">
        <f>_xll.QS.INSTRUMENT.SWAP("swap.5226",H5228,B5228,"USD","SOFR",I5228,J5228,0,"Actual360","Simple","Annual","Annual","Annual")</f>
        <v>QSObject:Swap:w1~swap.5226:10703</v>
      </c>
      <c r="F5228" s="6" t="str">
        <f>_xll.QS.TRADE.CREATE("trade.5226",E5228,A5228,"Receive")</f>
        <v>QSObject:SwapTrade:w1~trade.5226:26828</v>
      </c>
      <c r="G5228" s="3">
        <f>_xll.QS.EVALUATE(C5228,F5228)</f>
        <v>39251.368535821428</v>
      </c>
      <c r="H5228" s="5" t="s">
        <v>5268</v>
      </c>
      <c r="I5228" s="7">
        <v>1522600</v>
      </c>
      <c r="J5228" s="8">
        <v>3.7600000000000001E-2</v>
      </c>
    </row>
    <row r="5229" spans="1:10" x14ac:dyDescent="0.25">
      <c r="A5229" s="5" t="s">
        <v>5262</v>
      </c>
      <c r="B5229" s="5" t="s">
        <v>7096</v>
      </c>
      <c r="C5229" s="6" t="str">
        <f>_xll.QS.CONTEXT.CREATE("market.5227",A5229,"USD","SOFR")</f>
        <v>QSObject:PricingContext:w1~market.5227:10702</v>
      </c>
      <c r="D5229" s="6" t="str">
        <f>_xll.QS.CONTEXT.ADD.CURVE(C5229,"SOFR",$K$2:$K$7,$L$2:$L$7,,,"Actual360","LogLinear",TRUE)</f>
        <v>QSObject:ContextInput:w1~input.qs_context_add_curve.2359132437744.5228.3.0:35398</v>
      </c>
      <c r="E5229" s="6" t="str">
        <f>_xll.QS.INSTRUMENT.SWAP("swap.5227",H5229,B5229,"USD","SOFR",I5229,J5229,0,"Actual360","Simple","Annual","Annual","Annual")</f>
        <v>QSObject:Swap:w1~swap.5227:10701</v>
      </c>
      <c r="F5229" s="6" t="str">
        <f>_xll.QS.TRADE.CREATE("trade.5227",E5229,A5229,"Receive")</f>
        <v>QSObject:SwapTrade:w1~trade.5227:26827</v>
      </c>
      <c r="G5229" s="3">
        <f>_xll.QS.EVALUATE(C5229,F5229)</f>
        <v>39843.9641806566</v>
      </c>
      <c r="H5229" s="5" t="s">
        <v>5269</v>
      </c>
      <c r="I5229" s="7">
        <v>1522700</v>
      </c>
      <c r="J5229" s="8">
        <v>3.7699999999999997E-2</v>
      </c>
    </row>
    <row r="5230" spans="1:10" x14ac:dyDescent="0.25">
      <c r="A5230" s="5" t="s">
        <v>5263</v>
      </c>
      <c r="B5230" s="5" t="s">
        <v>7097</v>
      </c>
      <c r="C5230" s="6" t="str">
        <f>_xll.QS.CONTEXT.CREATE("market.5228",A5230,"USD","SOFR")</f>
        <v>QSObject:PricingContext:w1~market.5228:10700</v>
      </c>
      <c r="D5230" s="6" t="str">
        <f>_xll.QS.CONTEXT.ADD.CURVE(C5230,"SOFR",$K$2:$K$7,$L$2:$L$7,,,"Actual360","LogLinear",TRUE)</f>
        <v>QSObject:ContextInput:w1~input.qs_context_add_curve.2359132437744.5229.3.0:35397</v>
      </c>
      <c r="E5230" s="6" t="str">
        <f>_xll.QS.INSTRUMENT.SWAP("swap.5228",H5230,B5230,"USD","SOFR",I5230,J5230,0,"Actual360","Simple","Annual","Annual","Annual")</f>
        <v>QSObject:Swap:w1~swap.5228:10699</v>
      </c>
      <c r="F5230" s="6" t="str">
        <f>_xll.QS.TRADE.CREATE("trade.5228",E5230,A5230,"Receive")</f>
        <v>QSObject:SwapTrade:w1~trade.5228:26826</v>
      </c>
      <c r="G5230" s="3">
        <f>_xll.QS.EVALUATE(C5230,F5230)</f>
        <v>40438.030738278227</v>
      </c>
      <c r="H5230" s="5" t="s">
        <v>5270</v>
      </c>
      <c r="I5230" s="7">
        <v>1522800</v>
      </c>
      <c r="J5230" s="8">
        <v>3.78E-2</v>
      </c>
    </row>
    <row r="5231" spans="1:10" x14ac:dyDescent="0.25">
      <c r="A5231" s="5" t="s">
        <v>5264</v>
      </c>
      <c r="B5231" s="5" t="s">
        <v>7098</v>
      </c>
      <c r="C5231" s="6" t="str">
        <f>_xll.QS.CONTEXT.CREATE("market.5229",A5231,"USD","SOFR")</f>
        <v>QSObject:PricingContext:w1~market.5229:10698</v>
      </c>
      <c r="D5231" s="6" t="str">
        <f>_xll.QS.CONTEXT.ADD.CURVE(C5231,"SOFR",$K$2:$K$7,$L$2:$L$7,,,"Actual360","LogLinear",TRUE)</f>
        <v>QSObject:ContextInput:w1~input.qs_context_add_curve.2359132437744.5230.3.0:35396</v>
      </c>
      <c r="E5231" s="6" t="str">
        <f>_xll.QS.INSTRUMENT.SWAP("swap.5229",H5231,B5231,"USD","SOFR",I5231,J5231,0,"Actual360","Simple","Annual","Annual","Annual")</f>
        <v>QSObject:Swap:w1~swap.5229:10697</v>
      </c>
      <c r="F5231" s="6" t="str">
        <f>_xll.QS.TRADE.CREATE("trade.5229",E5231,A5231,"Receive")</f>
        <v>QSObject:SwapTrade:w1~trade.5229:26825</v>
      </c>
      <c r="G5231" s="3">
        <f>_xll.QS.EVALUATE(C5231,F5231)</f>
        <v>41207.651610919667</v>
      </c>
      <c r="H5231" s="5" t="s">
        <v>5271</v>
      </c>
      <c r="I5231" s="7">
        <v>1522900</v>
      </c>
      <c r="J5231" s="8">
        <v>3.7900000000000003E-2</v>
      </c>
    </row>
    <row r="5232" spans="1:10" x14ac:dyDescent="0.25">
      <c r="A5232" s="5" t="s">
        <v>5265</v>
      </c>
      <c r="B5232" s="5" t="s">
        <v>7099</v>
      </c>
      <c r="C5232" s="6" t="str">
        <f>_xll.QS.CONTEXT.CREATE("market.5230",A5232,"USD","SOFR")</f>
        <v>QSObject:PricingContext:w1~market.5230:10696</v>
      </c>
      <c r="D5232" s="6" t="str">
        <f>_xll.QS.CONTEXT.ADD.CURVE(C5232,"SOFR",$K$2:$K$7,$L$2:$L$7,,,"Actual360","LogLinear",TRUE)</f>
        <v>QSObject:ContextInput:w1~input.qs_context_add_curve.2359132437744.5231.3.0:35395</v>
      </c>
      <c r="E5232" s="6" t="str">
        <f>_xll.QS.INSTRUMENT.SWAP("swap.5230",H5232,B5232,"USD","SOFR",I5232,J5232,0,"Actual360","Simple","Annual","Annual","Annual")</f>
        <v>QSObject:Swap:w1~swap.5230:10695</v>
      </c>
      <c r="F5232" s="6" t="str">
        <f>_xll.QS.TRADE.CREATE("trade.5230",E5232,A5232,"Receive")</f>
        <v>QSObject:SwapTrade:w1~trade.5230:26824</v>
      </c>
      <c r="G5232" s="3">
        <f>_xll.QS.EVALUATE(C5232,F5232)</f>
        <v>41949.977785862371</v>
      </c>
      <c r="H5232" s="5" t="s">
        <v>5272</v>
      </c>
      <c r="I5232" s="7">
        <v>1523000</v>
      </c>
      <c r="J5232" s="8">
        <v>3.8000000000000013E-2</v>
      </c>
    </row>
    <row r="5233" spans="1:10" x14ac:dyDescent="0.25">
      <c r="A5233" s="5" t="s">
        <v>5266</v>
      </c>
      <c r="B5233" s="5" t="s">
        <v>7100</v>
      </c>
      <c r="C5233" s="6" t="str">
        <f>_xll.QS.CONTEXT.CREATE("market.5231",A5233,"USD","SOFR")</f>
        <v>QSObject:PricingContext:w1~market.5231:10694</v>
      </c>
      <c r="D5233" s="6" t="str">
        <f>_xll.QS.CONTEXT.ADD.CURVE(C5233,"SOFR",$K$2:$K$7,$L$2:$L$7,,,"Actual360","LogLinear",TRUE)</f>
        <v>QSObject:ContextInput:w1~input.qs_context_add_curve.2359132437744.5232.3.0:35394</v>
      </c>
      <c r="E5233" s="6" t="str">
        <f>_xll.QS.INSTRUMENT.SWAP("swap.5231",H5233,B5233,"USD","SOFR",I5233,J5233,0,"Actual360","Simple","Annual","Annual","Annual")</f>
        <v>QSObject:Swap:w1~swap.5231:10693</v>
      </c>
      <c r="F5233" s="6" t="str">
        <f>_xll.QS.TRADE.CREATE("trade.5231",E5233,A5233,"Receive")</f>
        <v>QSObject:SwapTrade:w1~trade.5231:26823</v>
      </c>
      <c r="G5233" s="3">
        <f>_xll.QS.EVALUATE(C5233,F5233)</f>
        <v>42767.018263709833</v>
      </c>
      <c r="H5233" s="5" t="s">
        <v>5273</v>
      </c>
      <c r="I5233" s="7">
        <v>1523100</v>
      </c>
      <c r="J5233" s="8">
        <v>3.8100000000000002E-2</v>
      </c>
    </row>
    <row r="5234" spans="1:10" x14ac:dyDescent="0.25">
      <c r="A5234" s="5" t="s">
        <v>5267</v>
      </c>
      <c r="B5234" s="5" t="s">
        <v>7101</v>
      </c>
      <c r="C5234" s="6" t="str">
        <f>_xll.QS.CONTEXT.CREATE("market.5232",A5234,"USD","SOFR")</f>
        <v>QSObject:PricingContext:w1~market.5232:10692</v>
      </c>
      <c r="D5234" s="6" t="str">
        <f>_xll.QS.CONTEXT.ADD.CURVE(C5234,"SOFR",$K$2:$K$7,$L$2:$L$7,,,"Actual360","LogLinear",TRUE)</f>
        <v>QSObject:ContextInput:w1~input.qs_context_add_curve.2359132437744.5233.3.0:35393</v>
      </c>
      <c r="E5234" s="6" t="str">
        <f>_xll.QS.INSTRUMENT.SWAP("swap.5232",H5234,B5234,"USD","SOFR",I5234,J5234,0,"Actual360","Simple","Annual","Annual","Annual")</f>
        <v>QSObject:Swap:w1~swap.5232:10691</v>
      </c>
      <c r="F5234" s="6" t="str">
        <f>_xll.QS.TRADE.CREATE("trade.5232",E5234,A5234,"Receive")</f>
        <v>QSObject:SwapTrade:w1~trade.5232:26822</v>
      </c>
      <c r="G5234" s="3">
        <f>_xll.QS.EVALUATE(C5234,F5234)</f>
        <v>43539.100719776827</v>
      </c>
      <c r="H5234" s="5" t="s">
        <v>5274</v>
      </c>
      <c r="I5234" s="7">
        <v>1523200</v>
      </c>
      <c r="J5234" s="8">
        <v>3.8199999999999998E-2</v>
      </c>
    </row>
    <row r="5235" spans="1:10" x14ac:dyDescent="0.25">
      <c r="A5235" s="5" t="s">
        <v>5268</v>
      </c>
      <c r="B5235" s="5" t="s">
        <v>7102</v>
      </c>
      <c r="C5235" s="6" t="str">
        <f>_xll.QS.CONTEXT.CREATE("market.5233",A5235,"USD","SOFR")</f>
        <v>QSObject:PricingContext:w1~market.5233:10690</v>
      </c>
      <c r="D5235" s="6" t="str">
        <f>_xll.QS.CONTEXT.ADD.CURVE(C5235,"SOFR",$K$2:$K$7,$L$2:$L$7,,,"Actual360","LogLinear",TRUE)</f>
        <v>QSObject:ContextInput:w1~input.qs_context_add_curve.2359132437744.5234.3.0:35392</v>
      </c>
      <c r="E5235" s="6" t="str">
        <f>_xll.QS.INSTRUMENT.SWAP("swap.5233",H5235,B5235,"USD","SOFR",I5235,J5235,0,"Actual360","Simple","Annual","Annual","Annual")</f>
        <v>QSObject:Swap:w1~swap.5233:10689</v>
      </c>
      <c r="F5235" s="6" t="str">
        <f>_xll.QS.TRADE.CREATE("trade.5233",E5235,A5235,"Receive")</f>
        <v>QSObject:SwapTrade:w1~trade.5233:26821</v>
      </c>
      <c r="G5235" s="3">
        <f>_xll.QS.EVALUATE(C5235,F5235)</f>
        <v>44185.65236717349</v>
      </c>
      <c r="H5235" s="5" t="s">
        <v>5275</v>
      </c>
      <c r="I5235" s="7">
        <v>1523300</v>
      </c>
      <c r="J5235" s="8">
        <v>3.8300000000000001E-2</v>
      </c>
    </row>
    <row r="5236" spans="1:10" x14ac:dyDescent="0.25">
      <c r="A5236" s="5" t="s">
        <v>5269</v>
      </c>
      <c r="B5236" s="5" t="s">
        <v>7103</v>
      </c>
      <c r="C5236" s="6" t="str">
        <f>_xll.QS.CONTEXT.CREATE("market.5234",A5236,"USD","SOFR")</f>
        <v>QSObject:PricingContext:w1~market.5234:10688</v>
      </c>
      <c r="D5236" s="6" t="str">
        <f>_xll.QS.CONTEXT.ADD.CURVE(C5236,"SOFR",$K$2:$K$7,$L$2:$L$7,,,"Actual360","LogLinear",TRUE)</f>
        <v>QSObject:ContextInput:w1~input.qs_context_add_curve.2359132437744.5235.3.0:35391</v>
      </c>
      <c r="E5236" s="6" t="str">
        <f>_xll.QS.INSTRUMENT.SWAP("swap.5234",H5236,B5236,"USD","SOFR",I5236,J5236,0,"Actual360","Simple","Annual","Annual","Annual")</f>
        <v>QSObject:Swap:w1~swap.5234:10687</v>
      </c>
      <c r="F5236" s="6" t="str">
        <f>_xll.QS.TRADE.CREATE("trade.5234",E5236,A5236,"Receive")</f>
        <v>QSObject:SwapTrade:w1~trade.5234:26820</v>
      </c>
      <c r="G5236" s="3">
        <f>_xll.QS.EVALUATE(C5236,F5236)</f>
        <v>44773.986190119416</v>
      </c>
      <c r="H5236" s="5" t="s">
        <v>5276</v>
      </c>
      <c r="I5236" s="7">
        <v>1523400</v>
      </c>
      <c r="J5236" s="8">
        <v>3.8399999999999997E-2</v>
      </c>
    </row>
    <row r="5237" spans="1:10" x14ac:dyDescent="0.25">
      <c r="A5237" s="5" t="s">
        <v>5270</v>
      </c>
      <c r="B5237" s="5" t="s">
        <v>7104</v>
      </c>
      <c r="C5237" s="6" t="str">
        <f>_xll.QS.CONTEXT.CREATE("market.5235",A5237,"USD","SOFR")</f>
        <v>QSObject:PricingContext:w1~market.5235:10686</v>
      </c>
      <c r="D5237" s="6" t="str">
        <f>_xll.QS.CONTEXT.ADD.CURVE(C5237,"SOFR",$K$2:$K$7,$L$2:$L$7,,,"Actual360","LogLinear",TRUE)</f>
        <v>QSObject:ContextInput:w1~input.qs_context_add_curve.2359132437744.5236.3.0:35390</v>
      </c>
      <c r="E5237" s="6" t="str">
        <f>_xll.QS.INSTRUMENT.SWAP("swap.5235",H5237,B5237,"USD","SOFR",I5237,J5237,0,"Actual360","Simple","Annual","Annual","Annual")</f>
        <v>QSObject:Swap:w1~swap.5235:10685</v>
      </c>
      <c r="F5237" s="6" t="str">
        <f>_xll.QS.TRADE.CREATE("trade.5235",E5237,A5237,"Receive")</f>
        <v>QSObject:SwapTrade:w1~trade.5235:26819</v>
      </c>
      <c r="G5237" s="3">
        <f>_xll.QS.EVALUATE(C5237,F5237)</f>
        <v>45376.271276894338</v>
      </c>
      <c r="H5237" s="5" t="s">
        <v>5277</v>
      </c>
      <c r="I5237" s="7">
        <v>1523500</v>
      </c>
      <c r="J5237" s="8">
        <v>3.8500000000000013E-2</v>
      </c>
    </row>
    <row r="5238" spans="1:10" x14ac:dyDescent="0.25">
      <c r="A5238" s="5" t="s">
        <v>5271</v>
      </c>
      <c r="B5238" s="5" t="s">
        <v>7105</v>
      </c>
      <c r="C5238" s="6" t="str">
        <f>_xll.QS.CONTEXT.CREATE("market.5236",A5238,"USD","SOFR")</f>
        <v>QSObject:PricingContext:w1~market.5236:10684</v>
      </c>
      <c r="D5238" s="6" t="str">
        <f>_xll.QS.CONTEXT.ADD.CURVE(C5238,"SOFR",$K$2:$K$7,$L$2:$L$7,,,"Actual360","LogLinear",TRUE)</f>
        <v>QSObject:ContextInput:w1~input.qs_context_add_curve.2359132437744.5237.3.0:35389</v>
      </c>
      <c r="E5238" s="6" t="str">
        <f>_xll.QS.INSTRUMENT.SWAP("swap.5236",H5238,B5238,"USD","SOFR",I5238,J5238,0,"Actual360","Simple","Annual","Annual","Annual")</f>
        <v>QSObject:Swap:w1~swap.5236:10683</v>
      </c>
      <c r="F5238" s="6" t="str">
        <f>_xll.QS.TRADE.CREATE("trade.5236",E5238,A5238,"Receive")</f>
        <v>QSObject:SwapTrade:w1~trade.5236:26818</v>
      </c>
      <c r="G5238" s="3">
        <f>_xll.QS.EVALUATE(C5238,F5238)</f>
        <v>46147.044022839647</v>
      </c>
      <c r="H5238" s="5" t="s">
        <v>5278</v>
      </c>
      <c r="I5238" s="7">
        <v>1523600</v>
      </c>
      <c r="J5238" s="8">
        <v>3.8600000000000002E-2</v>
      </c>
    </row>
    <row r="5239" spans="1:10" x14ac:dyDescent="0.25">
      <c r="A5239" s="5" t="s">
        <v>5272</v>
      </c>
      <c r="B5239" s="5" t="s">
        <v>7106</v>
      </c>
      <c r="C5239" s="6" t="str">
        <f>_xll.QS.CONTEXT.CREATE("market.5237",A5239,"USD","SOFR")</f>
        <v>QSObject:PricingContext:w1~market.5237:10682</v>
      </c>
      <c r="D5239" s="6" t="str">
        <f>_xll.QS.CONTEXT.ADD.CURVE(C5239,"SOFR",$K$2:$K$7,$L$2:$L$7,,,"Actual360","LogLinear",TRUE)</f>
        <v>QSObject:ContextInput:w1~input.qs_context_add_curve.2359132437744.5238.3.0:35313</v>
      </c>
      <c r="E5239" s="6" t="str">
        <f>_xll.QS.INSTRUMENT.SWAP("swap.5237",H5239,B5239,"USD","SOFR",I5239,J5239,0,"Actual360","Simple","Annual","Annual","Annual")</f>
        <v>QSObject:Swap:w1~swap.5237:10681</v>
      </c>
      <c r="F5239" s="6" t="str">
        <f>_xll.QS.TRADE.CREATE("trade.5237",E5239,A5239,"Receive")</f>
        <v>QSObject:SwapTrade:w1~trade.5237:26817</v>
      </c>
      <c r="G5239" s="3">
        <f>_xll.QS.EVALUATE(C5239,F5239)</f>
        <v>46888.513163870048</v>
      </c>
      <c r="H5239" s="5" t="s">
        <v>5279</v>
      </c>
      <c r="I5239" s="7">
        <v>1523700</v>
      </c>
      <c r="J5239" s="8">
        <v>3.8700000000000012E-2</v>
      </c>
    </row>
    <row r="5240" spans="1:10" x14ac:dyDescent="0.25">
      <c r="A5240" s="5" t="s">
        <v>5273</v>
      </c>
      <c r="B5240" s="5" t="s">
        <v>7107</v>
      </c>
      <c r="C5240" s="6" t="str">
        <f>_xll.QS.CONTEXT.CREATE("market.5238",A5240,"USD","SOFR")</f>
        <v>QSObject:PricingContext:w1~market.5238:10680</v>
      </c>
      <c r="D5240" s="6" t="str">
        <f>_xll.QS.CONTEXT.ADD.CURVE(C5240,"SOFR",$K$2:$K$7,$L$2:$L$7,,,"Actual360","LogLinear",TRUE)</f>
        <v>QSObject:ContextInput:w1~input.qs_context_add_curve.2359132437744.5239.3.0:35312</v>
      </c>
      <c r="E5240" s="6" t="str">
        <f>_xll.QS.INSTRUMENT.SWAP("swap.5238",H5240,B5240,"USD","SOFR",I5240,J5240,0,"Actual360","Simple","Annual","Annual","Annual")</f>
        <v>QSObject:Swap:w1~swap.5238:10679</v>
      </c>
      <c r="F5240" s="6" t="str">
        <f>_xll.QS.TRADE.CREATE("trade.5238",E5240,A5240,"Receive")</f>
        <v>QSObject:SwapTrade:w1~trade.5238:26816</v>
      </c>
      <c r="G5240" s="3">
        <f>_xll.QS.EVALUATE(C5240,F5240)</f>
        <v>47705.716060004452</v>
      </c>
      <c r="H5240" s="5" t="s">
        <v>5280</v>
      </c>
      <c r="I5240" s="7">
        <v>1523800</v>
      </c>
      <c r="J5240" s="8">
        <v>3.8800000000000001E-2</v>
      </c>
    </row>
    <row r="5241" spans="1:10" x14ac:dyDescent="0.25">
      <c r="A5241" s="5" t="s">
        <v>5274</v>
      </c>
      <c r="B5241" s="5" t="s">
        <v>7108</v>
      </c>
      <c r="C5241" s="6" t="str">
        <f>_xll.QS.CONTEXT.CREATE("market.5239",A5241,"USD","SOFR")</f>
        <v>QSObject:PricingContext:w1~market.5239:10678</v>
      </c>
      <c r="D5241" s="6" t="str">
        <f>_xll.QS.CONTEXT.ADD.CURVE(C5241,"SOFR",$K$2:$K$7,$L$2:$L$7,,,"Actual360","LogLinear",TRUE)</f>
        <v>QSObject:ContextInput:w1~input.qs_context_add_curve.2359132437744.5240.3.0:35311</v>
      </c>
      <c r="E5241" s="6" t="str">
        <f>_xll.QS.INSTRUMENT.SWAP("swap.5239",H5241,B5241,"USD","SOFR",I5241,J5241,0,"Actual360","Simple","Annual","Annual","Annual")</f>
        <v>QSObject:Swap:w1~swap.5239:10677</v>
      </c>
      <c r="F5241" s="6" t="str">
        <f>_xll.QS.TRADE.CREATE("trade.5239",E5241,A5241,"Receive")</f>
        <v>QSObject:SwapTrade:w1~trade.5239:26815</v>
      </c>
      <c r="G5241" s="3">
        <f>_xll.QS.EVALUATE(C5241,F5241)</f>
        <v>48478.272870784356</v>
      </c>
      <c r="H5241" s="5" t="s">
        <v>5281</v>
      </c>
      <c r="I5241" s="7">
        <v>1523900</v>
      </c>
      <c r="J5241" s="8">
        <v>3.8899999999999997E-2</v>
      </c>
    </row>
    <row r="5242" spans="1:10" x14ac:dyDescent="0.25">
      <c r="A5242" s="5" t="s">
        <v>5275</v>
      </c>
      <c r="B5242" s="5" t="s">
        <v>7109</v>
      </c>
      <c r="C5242" s="6" t="str">
        <f>_xll.QS.CONTEXT.CREATE("market.5240",A5242,"USD","SOFR")</f>
        <v>QSObject:PricingContext:w1~market.5240:10676</v>
      </c>
      <c r="D5242" s="6" t="str">
        <f>_xll.QS.CONTEXT.ADD.CURVE(C5242,"SOFR",$K$2:$K$7,$L$2:$L$7,,,"Actual360","LogLinear",TRUE)</f>
        <v>QSObject:ContextInput:w1~input.qs_context_add_curve.2359132437744.5241.3.0:35310</v>
      </c>
      <c r="E5242" s="6" t="str">
        <f>_xll.QS.INSTRUMENT.SWAP("swap.5240",H5242,B5242,"USD","SOFR",I5242,J5242,0,"Actual360","Simple","Annual","Annual","Annual")</f>
        <v>QSObject:Swap:w1~swap.5240:10675</v>
      </c>
      <c r="F5242" s="6" t="str">
        <f>_xll.QS.TRADE.CREATE("trade.5240",E5242,A5242,"Receive")</f>
        <v>QSObject:SwapTrade:w1~trade.5240:26814</v>
      </c>
      <c r="G5242" s="3">
        <f>_xll.QS.EVALUATE(C5242,F5242)</f>
        <v>49125.389953542159</v>
      </c>
      <c r="H5242" s="5" t="s">
        <v>5282</v>
      </c>
      <c r="I5242" s="7">
        <v>1524000</v>
      </c>
      <c r="J5242" s="8">
        <v>3.9000000000000007E-2</v>
      </c>
    </row>
    <row r="5243" spans="1:10" x14ac:dyDescent="0.25">
      <c r="A5243" s="5" t="s">
        <v>5276</v>
      </c>
      <c r="B5243" s="5" t="s">
        <v>7110</v>
      </c>
      <c r="C5243" s="6" t="str">
        <f>_xll.QS.CONTEXT.CREATE("market.5241",A5243,"USD","SOFR")</f>
        <v>QSObject:PricingContext:w1~market.5241:10674</v>
      </c>
      <c r="D5243" s="6" t="str">
        <f>_xll.QS.CONTEXT.ADD.CURVE(C5243,"SOFR",$K$2:$K$7,$L$2:$L$7,,,"Actual360","LogLinear",TRUE)</f>
        <v>QSObject:ContextInput:w1~input.qs_context_add_curve.2359132437744.5242.3.0:35309</v>
      </c>
      <c r="E5243" s="6" t="str">
        <f>_xll.QS.INSTRUMENT.SWAP("swap.5241",H5243,B5243,"USD","SOFR",I5243,J5243,0,"Actual360","Simple","Annual","Annual","Annual")</f>
        <v>QSObject:Swap:w1~swap.5241:10673</v>
      </c>
      <c r="F5243" s="6" t="str">
        <f>_xll.QS.TRADE.CREATE("trade.5241",E5243,A5243,"Receive")</f>
        <v>QSObject:SwapTrade:w1~trade.5241:26813</v>
      </c>
      <c r="G5243" s="3">
        <f>_xll.QS.EVALUATE(C5243,F5243)</f>
        <v>49708.522041968907</v>
      </c>
      <c r="H5243" s="5" t="s">
        <v>5283</v>
      </c>
      <c r="I5243" s="7">
        <v>1524100</v>
      </c>
      <c r="J5243" s="8">
        <v>3.9100000000000003E-2</v>
      </c>
    </row>
    <row r="5244" spans="1:10" x14ac:dyDescent="0.25">
      <c r="A5244" s="5" t="s">
        <v>5277</v>
      </c>
      <c r="B5244" s="5" t="s">
        <v>7111</v>
      </c>
      <c r="C5244" s="6" t="str">
        <f>_xll.QS.CONTEXT.CREATE("market.5242",A5244,"USD","SOFR")</f>
        <v>QSObject:PricingContext:w1~market.5242:10672</v>
      </c>
      <c r="D5244" s="6" t="str">
        <f>_xll.QS.CONTEXT.ADD.CURVE(C5244,"SOFR",$K$2:$K$7,$L$2:$L$7,,,"Actual360","LogLinear",TRUE)</f>
        <v>QSObject:ContextInput:w1~input.qs_context_add_curve.2359132437744.5243.3.0:35308</v>
      </c>
      <c r="E5244" s="6" t="str">
        <f>_xll.QS.INSTRUMENT.SWAP("swap.5242",H5244,B5244,"USD","SOFR",I5244,J5244,0,"Actual360","Simple","Annual","Annual","Annual")</f>
        <v>QSObject:Swap:w1~swap.5242:10671</v>
      </c>
      <c r="F5244" s="6" t="str">
        <f>_xll.QS.TRADE.CREATE("trade.5242",E5244,A5244,"Receive")</f>
        <v>QSObject:SwapTrade:w1~trade.5242:26812</v>
      </c>
      <c r="G5244" s="3">
        <f>_xll.QS.EVALUATE(C5244,F5244)</f>
        <v>50319.032664085775</v>
      </c>
      <c r="H5244" s="5" t="s">
        <v>5284</v>
      </c>
      <c r="I5244" s="7">
        <v>1524200</v>
      </c>
      <c r="J5244" s="8">
        <v>3.9200000000000013E-2</v>
      </c>
    </row>
    <row r="5245" spans="1:10" x14ac:dyDescent="0.25">
      <c r="A5245" s="5" t="s">
        <v>5278</v>
      </c>
      <c r="B5245" s="5" t="s">
        <v>7112</v>
      </c>
      <c r="C5245" s="6" t="str">
        <f>_xll.QS.CONTEXT.CREATE("market.5243",A5245,"USD","SOFR")</f>
        <v>QSObject:PricingContext:w1~market.5243:10670</v>
      </c>
      <c r="D5245" s="6" t="str">
        <f>_xll.QS.CONTEXT.ADD.CURVE(C5245,"SOFR",$K$2:$K$7,$L$2:$L$7,,,"Actual360","LogLinear",TRUE)</f>
        <v>QSObject:ContextInput:w1~input.qs_context_add_curve.2359132437744.5244.3.0:35307</v>
      </c>
      <c r="E5245" s="6" t="str">
        <f>_xll.QS.INSTRUMENT.SWAP("swap.5243",H5245,B5245,"USD","SOFR",I5245,J5245,0,"Actual360","Simple","Annual","Annual","Annual")</f>
        <v>QSObject:Swap:w1~swap.5243:10669</v>
      </c>
      <c r="F5245" s="6" t="str">
        <f>_xll.QS.TRADE.CREATE("trade.5243",E5245,A5245,"Receive")</f>
        <v>QSObject:SwapTrade:w1~trade.5243:26811</v>
      </c>
      <c r="G5245" s="3">
        <f>_xll.QS.EVALUATE(C5245,F5245)</f>
        <v>51090.957721106577</v>
      </c>
      <c r="H5245" s="5" t="s">
        <v>5285</v>
      </c>
      <c r="I5245" s="7">
        <v>1524300</v>
      </c>
      <c r="J5245" s="8">
        <v>3.9300000000000002E-2</v>
      </c>
    </row>
    <row r="5246" spans="1:10" x14ac:dyDescent="0.25">
      <c r="A5246" s="5" t="s">
        <v>5279</v>
      </c>
      <c r="B5246" s="5" t="s">
        <v>7113</v>
      </c>
      <c r="C5246" s="6" t="str">
        <f>_xll.QS.CONTEXT.CREATE("market.5244",A5246,"USD","SOFR")</f>
        <v>QSObject:PricingContext:w1~market.5244:10668</v>
      </c>
      <c r="D5246" s="6" t="str">
        <f>_xll.QS.CONTEXT.ADD.CURVE(C5246,"SOFR",$K$2:$K$7,$L$2:$L$7,,,"Actual360","LogLinear",TRUE)</f>
        <v>QSObject:ContextInput:w1~input.qs_context_add_curve.2359132437744.5245.3.0:35306</v>
      </c>
      <c r="E5246" s="6" t="str">
        <f>_xll.QS.INSTRUMENT.SWAP("swap.5244",H5246,B5246,"USD","SOFR",I5246,J5246,0,"Actual360","Simple","Annual","Annual","Annual")</f>
        <v>QSObject:Swap:w1~swap.5244:10667</v>
      </c>
      <c r="F5246" s="6" t="str">
        <f>_xll.QS.TRADE.CREATE("trade.5244",E5246,A5246,"Receive")</f>
        <v>QSObject:SwapTrade:w1~trade.5244:26810</v>
      </c>
      <c r="G5246" s="3">
        <f>_xll.QS.EVALUATE(C5246,F5246)</f>
        <v>51830.701989061265</v>
      </c>
      <c r="H5246" s="5" t="s">
        <v>5286</v>
      </c>
      <c r="I5246" s="7">
        <v>1524400</v>
      </c>
      <c r="J5246" s="8">
        <v>3.9399999999999998E-2</v>
      </c>
    </row>
    <row r="5247" spans="1:10" x14ac:dyDescent="0.25">
      <c r="A5247" s="5" t="s">
        <v>5280</v>
      </c>
      <c r="B5247" s="5" t="s">
        <v>7114</v>
      </c>
      <c r="C5247" s="6" t="str">
        <f>_xll.QS.CONTEXT.CREATE("market.5245",A5247,"USD","SOFR")</f>
        <v>QSObject:PricingContext:w1~market.5245:10666</v>
      </c>
      <c r="D5247" s="6" t="str">
        <f>_xll.QS.CONTEXT.ADD.CURVE(C5247,"SOFR",$K$2:$K$7,$L$2:$L$7,,,"Actual360","LogLinear",TRUE)</f>
        <v>QSObject:ContextInput:w1~input.qs_context_add_curve.2359132437744.5246.3.0:35305</v>
      </c>
      <c r="E5247" s="6" t="str">
        <f>_xll.QS.INSTRUMENT.SWAP("swap.5245",H5247,B5247,"USD","SOFR",I5247,J5247,0,"Actual360","Simple","Annual","Annual","Annual")</f>
        <v>QSObject:Swap:w1~swap.5245:10665</v>
      </c>
      <c r="F5247" s="6" t="str">
        <f>_xll.QS.TRADE.CREATE("trade.5245",E5247,A5247,"Receive")</f>
        <v>QSObject:SwapTrade:w1~trade.5245:26809</v>
      </c>
      <c r="G5247" s="3">
        <f>_xll.QS.EVALUATE(C5247,F5247)</f>
        <v>52648.674686628903</v>
      </c>
      <c r="H5247" s="5" t="s">
        <v>5287</v>
      </c>
      <c r="I5247" s="7">
        <v>1524500</v>
      </c>
      <c r="J5247" s="8">
        <v>3.9500000000000007E-2</v>
      </c>
    </row>
    <row r="5248" spans="1:10" x14ac:dyDescent="0.25">
      <c r="A5248" s="5" t="s">
        <v>5281</v>
      </c>
      <c r="B5248" s="5" t="s">
        <v>7115</v>
      </c>
      <c r="C5248" s="6" t="str">
        <f>_xll.QS.CONTEXT.CREATE("market.5246",A5248,"USD","SOFR")</f>
        <v>QSObject:PricingContext:w1~market.5246:10664</v>
      </c>
      <c r="D5248" s="6" t="str">
        <f>_xll.QS.CONTEXT.ADD.CURVE(C5248,"SOFR",$K$2:$K$7,$L$2:$L$7,,,"Actual360","LogLinear",TRUE)</f>
        <v>QSObject:ContextInput:w1~input.qs_context_add_curve.2359132437744.5247.3.0:35304</v>
      </c>
      <c r="E5248" s="6" t="str">
        <f>_xll.QS.INSTRUMENT.SWAP("swap.5246",H5248,B5248,"USD","SOFR",I5248,J5248,0,"Actual360","Simple","Annual","Annual","Annual")</f>
        <v>QSObject:Swap:w1~swap.5246:10663</v>
      </c>
      <c r="F5248" s="6" t="str">
        <f>_xll.QS.TRADE.CREATE("trade.5246",E5248,A5248,"Receive")</f>
        <v>QSObject:SwapTrade:w1~trade.5246:26808</v>
      </c>
      <c r="G5248" s="3">
        <f>_xll.QS.EVALUATE(C5248,F5248)</f>
        <v>53421.964234812665</v>
      </c>
      <c r="H5248" s="5" t="s">
        <v>5288</v>
      </c>
      <c r="I5248" s="7">
        <v>1524600</v>
      </c>
      <c r="J5248" s="8">
        <v>3.9600000000000003E-2</v>
      </c>
    </row>
    <row r="5249" spans="1:10" x14ac:dyDescent="0.25">
      <c r="A5249" s="5" t="s">
        <v>5282</v>
      </c>
      <c r="B5249" s="5" t="s">
        <v>7116</v>
      </c>
      <c r="C5249" s="6" t="str">
        <f>_xll.QS.CONTEXT.CREATE("market.5247",A5249,"USD","SOFR")</f>
        <v>QSObject:PricingContext:w1~market.5247:10662</v>
      </c>
      <c r="D5249" s="6" t="str">
        <f>_xll.QS.CONTEXT.ADD.CURVE(C5249,"SOFR",$K$2:$K$7,$L$2:$L$7,,,"Actual360","LogLinear",TRUE)</f>
        <v>QSObject:ContextInput:w1~input.qs_context_add_curve.2359132437744.5248.3.0:35303</v>
      </c>
      <c r="E5249" s="6" t="str">
        <f>_xll.QS.INSTRUMENT.SWAP("swap.5247",H5249,B5249,"USD","SOFR",I5249,J5249,0,"Actual360","Simple","Annual","Annual","Annual")</f>
        <v>QSObject:Swap:w1~swap.5247:10661</v>
      </c>
      <c r="F5249" s="6" t="str">
        <f>_xll.QS.TRADE.CREATE("trade.5247",E5249,A5249,"Receive")</f>
        <v>QSObject:SwapTrade:w1~trade.5247:26807</v>
      </c>
      <c r="G5249" s="3">
        <f>_xll.QS.EVALUATE(C5249,F5249)</f>
        <v>54069.646704096122</v>
      </c>
      <c r="H5249" s="5" t="s">
        <v>5289</v>
      </c>
      <c r="I5249" s="7">
        <v>1524700</v>
      </c>
      <c r="J5249" s="8">
        <v>3.9700000000000013E-2</v>
      </c>
    </row>
    <row r="5250" spans="1:10" x14ac:dyDescent="0.25">
      <c r="A5250" s="5" t="s">
        <v>5283</v>
      </c>
      <c r="B5250" s="5" t="s">
        <v>7117</v>
      </c>
      <c r="C5250" s="6" t="str">
        <f>_xll.QS.CONTEXT.CREATE("market.5248",A5250,"USD","SOFR")</f>
        <v>QSObject:PricingContext:w1~market.5248:10660</v>
      </c>
      <c r="D5250" s="6" t="str">
        <f>_xll.QS.CONTEXT.ADD.CURVE(C5250,"SOFR",$K$2:$K$7,$L$2:$L$7,,,"Actual360","LogLinear",TRUE)</f>
        <v>QSObject:ContextInput:w1~input.qs_context_add_curve.2359132437744.5249.3.0:35302</v>
      </c>
      <c r="E5250" s="6" t="str">
        <f>_xll.QS.INSTRUMENT.SWAP("swap.5248",H5250,B5250,"USD","SOFR",I5250,J5250,0,"Actual360","Simple","Annual","Annual","Annual")</f>
        <v>QSObject:Swap:w1~swap.5248:10659</v>
      </c>
      <c r="F5250" s="6" t="str">
        <f>_xll.QS.TRADE.CREATE("trade.5248",E5250,A5250,"Receive")</f>
        <v>QSObject:SwapTrade:w1~trade.5248:26806</v>
      </c>
      <c r="G5250" s="3">
        <f>_xll.QS.EVALUATE(C5250,F5250)</f>
        <v>54647.571736205493</v>
      </c>
      <c r="H5250" s="5" t="s">
        <v>5290</v>
      </c>
      <c r="I5250" s="7">
        <v>1524800</v>
      </c>
      <c r="J5250" s="8">
        <v>3.9800000000000002E-2</v>
      </c>
    </row>
    <row r="5251" spans="1:10" x14ac:dyDescent="0.25">
      <c r="A5251" s="5" t="s">
        <v>5284</v>
      </c>
      <c r="B5251" s="5" t="s">
        <v>7118</v>
      </c>
      <c r="C5251" s="6" t="str">
        <f>_xll.QS.CONTEXT.CREATE("market.5249",A5251,"USD","SOFR")</f>
        <v>QSObject:PricingContext:w1~market.5249:10658</v>
      </c>
      <c r="D5251" s="6" t="str">
        <f>_xll.QS.CONTEXT.ADD.CURVE(C5251,"SOFR",$K$2:$K$7,$L$2:$L$7,,,"Actual360","LogLinear",TRUE)</f>
        <v>QSObject:ContextInput:w1~input.qs_context_add_curve.2359132437744.5250.3.0:35301</v>
      </c>
      <c r="E5251" s="6" t="str">
        <f>_xll.QS.INSTRUMENT.SWAP("swap.5249",H5251,B5251,"USD","SOFR",I5251,J5251,0,"Actual360","Simple","Annual","Annual","Annual")</f>
        <v>QSObject:Swap:w1~swap.5249:10657</v>
      </c>
      <c r="F5251" s="6" t="str">
        <f>_xll.QS.TRADE.CREATE("trade.5249",E5251,A5251,"Receive")</f>
        <v>QSObject:SwapTrade:w1~trade.5249:26805</v>
      </c>
      <c r="G5251" s="3">
        <f>_xll.QS.EVALUATE(C5251,F5251)</f>
        <v>55235.726419084254</v>
      </c>
      <c r="H5251" s="5" t="s">
        <v>5291</v>
      </c>
      <c r="I5251" s="7">
        <v>1524900</v>
      </c>
      <c r="J5251" s="8">
        <v>3.9899999999999998E-2</v>
      </c>
    </row>
    <row r="5252" spans="1:10" x14ac:dyDescent="0.25">
      <c r="A5252" s="5" t="s">
        <v>5285</v>
      </c>
      <c r="B5252" s="5" t="s">
        <v>7119</v>
      </c>
      <c r="C5252" s="6" t="str">
        <f>_xll.QS.CONTEXT.CREATE("market.5250",A5252,"USD","SOFR")</f>
        <v>QSObject:PricingContext:w1~market.5250:10656</v>
      </c>
      <c r="D5252" s="6" t="str">
        <f>_xll.QS.CONTEXT.ADD.CURVE(C5252,"SOFR",$K$2:$K$7,$L$2:$L$7,,,"Actual360","LogLinear",TRUE)</f>
        <v>QSObject:ContextInput:w1~input.qs_context_add_curve.2359132437744.5251.3.0:35300</v>
      </c>
      <c r="E5252" s="6" t="str">
        <f>_xll.QS.INSTRUMENT.SWAP("swap.5250",H5252,B5252,"USD","SOFR",I5252,J5252,0,"Actual360","Simple","Annual","Annual","Annual")</f>
        <v>QSObject:Swap:w1~swap.5250:10655</v>
      </c>
      <c r="F5252" s="6" t="str">
        <f>_xll.QS.TRADE.CREATE("trade.5250",E5252,A5252,"Receive")</f>
        <v>QSObject:SwapTrade:w1~trade.5250:26804</v>
      </c>
      <c r="G5252" s="3">
        <f>_xll.QS.EVALUATE(C5252,F5252)</f>
        <v>20813.532660571422</v>
      </c>
      <c r="H5252" s="5" t="s">
        <v>5292</v>
      </c>
      <c r="I5252" s="7">
        <v>1525000</v>
      </c>
      <c r="J5252" s="8">
        <v>3.5000000000000003E-2</v>
      </c>
    </row>
    <row r="5253" spans="1:10" x14ac:dyDescent="0.25">
      <c r="A5253" s="5" t="s">
        <v>5286</v>
      </c>
      <c r="B5253" s="5" t="s">
        <v>7120</v>
      </c>
      <c r="C5253" s="6" t="str">
        <f>_xll.QS.CONTEXT.CREATE("market.5251",A5253,"USD","SOFR")</f>
        <v>QSObject:PricingContext:w1~market.5251:10654</v>
      </c>
      <c r="D5253" s="6" t="str">
        <f>_xll.QS.CONTEXT.ADD.CURVE(C5253,"SOFR",$K$2:$K$7,$L$2:$L$7,,,"Actual360","LogLinear",TRUE)</f>
        <v>QSObject:ContextInput:w1~input.qs_context_add_curve.2359132437744.5252.3.0:35299</v>
      </c>
      <c r="E5253" s="6" t="str">
        <f>_xll.QS.INSTRUMENT.SWAP("swap.5251",H5253,B5253,"USD","SOFR",I5253,J5253,0,"Actual360","Simple","Annual","Annual","Annual")</f>
        <v>QSObject:Swap:w1~swap.5251:10653</v>
      </c>
      <c r="F5253" s="6" t="str">
        <f>_xll.QS.TRADE.CREATE("trade.5251",E5253,A5253,"Receive")</f>
        <v>QSObject:SwapTrade:w1~trade.5251:26803</v>
      </c>
      <c r="G5253" s="3">
        <f>_xll.QS.EVALUATE(C5253,F5253)</f>
        <v>21566.638690125379</v>
      </c>
      <c r="H5253" s="5" t="s">
        <v>5293</v>
      </c>
      <c r="I5253" s="7">
        <v>1525100</v>
      </c>
      <c r="J5253" s="8">
        <v>3.5100000000000013E-2</v>
      </c>
    </row>
    <row r="5254" spans="1:10" x14ac:dyDescent="0.25">
      <c r="A5254" s="5" t="s">
        <v>5287</v>
      </c>
      <c r="B5254" s="5" t="s">
        <v>7121</v>
      </c>
      <c r="C5254" s="6" t="str">
        <f>_xll.QS.CONTEXT.CREATE("market.5252",A5254,"USD","SOFR")</f>
        <v>QSObject:PricingContext:w1~market.5252:10652</v>
      </c>
      <c r="D5254" s="6" t="str">
        <f>_xll.QS.CONTEXT.ADD.CURVE(C5254,"SOFR",$K$2:$K$7,$L$2:$L$7,,,"Actual360","LogLinear",TRUE)</f>
        <v>QSObject:ContextInput:w1~input.qs_context_add_curve.2359132437744.5253.3.0:35298</v>
      </c>
      <c r="E5254" s="6" t="str">
        <f>_xll.QS.INSTRUMENT.SWAP("swap.5252",H5254,B5254,"USD","SOFR",I5254,J5254,0,"Actual360","Simple","Annual","Annual","Annual")</f>
        <v>QSObject:Swap:w1~swap.5252:10651</v>
      </c>
      <c r="F5254" s="6" t="str">
        <f>_xll.QS.TRADE.CREATE("trade.5252",E5254,A5254,"Receive")</f>
        <v>QSObject:SwapTrade:w1~trade.5252:26802</v>
      </c>
      <c r="G5254" s="3">
        <f>_xll.QS.EVALUATE(C5254,F5254)</f>
        <v>22485.672661297707</v>
      </c>
      <c r="H5254" s="5" t="s">
        <v>5294</v>
      </c>
      <c r="I5254" s="7">
        <v>1525200</v>
      </c>
      <c r="J5254" s="8">
        <v>3.5200000000000002E-2</v>
      </c>
    </row>
    <row r="5255" spans="1:10" x14ac:dyDescent="0.25">
      <c r="A5255" s="5" t="s">
        <v>5288</v>
      </c>
      <c r="B5255" s="5" t="s">
        <v>7122</v>
      </c>
      <c r="C5255" s="6" t="str">
        <f>_xll.QS.CONTEXT.CREATE("market.5253",A5255,"USD","SOFR")</f>
        <v>QSObject:PricingContext:w1~market.5253:10650</v>
      </c>
      <c r="D5255" s="6" t="str">
        <f>_xll.QS.CONTEXT.ADD.CURVE(C5255,"SOFR",$K$2:$K$7,$L$2:$L$7,,,"Actual360","LogLinear",TRUE)</f>
        <v>QSObject:ContextInput:w1~input.qs_context_add_curve.2359132437744.5254.3.0:35297</v>
      </c>
      <c r="E5255" s="6" t="str">
        <f>_xll.QS.INSTRUMENT.SWAP("swap.5253",H5255,B5255,"USD","SOFR",I5255,J5255,0,"Actual360","Simple","Annual","Annual","Annual")</f>
        <v>QSObject:Swap:w1~swap.5253:10649</v>
      </c>
      <c r="F5255" s="6" t="str">
        <f>_xll.QS.TRADE.CREATE("trade.5253",E5255,A5255,"Receive")</f>
        <v>QSObject:SwapTrade:w1~trade.5253:26801</v>
      </c>
      <c r="G5255" s="3">
        <f>_xll.QS.EVALUATE(C5255,F5255)</f>
        <v>23202.791727889104</v>
      </c>
      <c r="H5255" s="5" t="s">
        <v>5295</v>
      </c>
      <c r="I5255" s="7">
        <v>1525300</v>
      </c>
      <c r="J5255" s="8">
        <v>3.5299999999999998E-2</v>
      </c>
    </row>
    <row r="5256" spans="1:10" x14ac:dyDescent="0.25">
      <c r="A5256" s="5" t="s">
        <v>5289</v>
      </c>
      <c r="B5256" s="5" t="s">
        <v>7123</v>
      </c>
      <c r="C5256" s="6" t="str">
        <f>_xll.QS.CONTEXT.CREATE("market.5254",A5256,"USD","SOFR")</f>
        <v>QSObject:PricingContext:w1~market.5254:10648</v>
      </c>
      <c r="D5256" s="6" t="str">
        <f>_xll.QS.CONTEXT.ADD.CURVE(C5256,"SOFR",$K$2:$K$7,$L$2:$L$7,,,"Actual360","LogLinear",TRUE)</f>
        <v>QSObject:ContextInput:w1~input.qs_context_add_curve.2359132437744.5255.3.0:35296</v>
      </c>
      <c r="E5256" s="6" t="str">
        <f>_xll.QS.INSTRUMENT.SWAP("swap.5254",H5256,B5256,"USD","SOFR",I5256,J5256,0,"Actual360","Simple","Annual","Annual","Annual")</f>
        <v>QSObject:Swap:w1~swap.5254:10647</v>
      </c>
      <c r="F5256" s="6" t="str">
        <f>_xll.QS.TRADE.CREATE("trade.5254",E5256,A5256,"Receive")</f>
        <v>QSObject:SwapTrade:w1~trade.5254:26800</v>
      </c>
      <c r="G5256" s="3">
        <f>_xll.QS.EVALUATE(C5256,F5256)</f>
        <v>23904.827451603109</v>
      </c>
      <c r="H5256" s="5" t="s">
        <v>5296</v>
      </c>
      <c r="I5256" s="7">
        <v>1525400</v>
      </c>
      <c r="J5256" s="8">
        <v>3.5400000000000001E-2</v>
      </c>
    </row>
    <row r="5257" spans="1:10" x14ac:dyDescent="0.25">
      <c r="A5257" s="5" t="s">
        <v>5290</v>
      </c>
      <c r="B5257" s="5" t="s">
        <v>7124</v>
      </c>
      <c r="C5257" s="6" t="str">
        <f>_xll.QS.CONTEXT.CREATE("market.5255",A5257,"USD","SOFR")</f>
        <v>QSObject:PricingContext:w1~market.5255:10646</v>
      </c>
      <c r="D5257" s="6" t="str">
        <f>_xll.QS.CONTEXT.ADD.CURVE(C5257,"SOFR",$K$2:$K$7,$L$2:$L$7,,,"Actual360","LogLinear",TRUE)</f>
        <v>QSObject:ContextInput:w1~input.qs_context_add_curve.2359132437744.5256.3.0:35295</v>
      </c>
      <c r="E5257" s="6" t="str">
        <f>_xll.QS.INSTRUMENT.SWAP("swap.5255",H5257,B5257,"USD","SOFR",I5257,J5257,0,"Actual360","Simple","Annual","Annual","Annual")</f>
        <v>QSObject:Swap:w1~swap.5255:10645</v>
      </c>
      <c r="F5257" s="6" t="str">
        <f>_xll.QS.TRADE.CREATE("trade.5255",E5257,A5257,"Receive")</f>
        <v>QSObject:SwapTrade:w1~trade.5255:26799</v>
      </c>
      <c r="G5257" s="3">
        <f>_xll.QS.EVALUATE(C5257,F5257)</f>
        <v>24566.162673531711</v>
      </c>
      <c r="H5257" s="5" t="s">
        <v>5297</v>
      </c>
      <c r="I5257" s="7">
        <v>1525500</v>
      </c>
      <c r="J5257" s="8">
        <v>3.5499999999999997E-2</v>
      </c>
    </row>
    <row r="5258" spans="1:10" x14ac:dyDescent="0.25">
      <c r="A5258" s="5" t="s">
        <v>5291</v>
      </c>
      <c r="B5258" s="5" t="s">
        <v>7125</v>
      </c>
      <c r="C5258" s="6" t="str">
        <f>_xll.QS.CONTEXT.CREATE("market.5256",A5258,"USD","SOFR")</f>
        <v>QSObject:PricingContext:w1~market.5256:10644</v>
      </c>
      <c r="D5258" s="6" t="str">
        <f>_xll.QS.CONTEXT.ADD.CURVE(C5258,"SOFR",$K$2:$K$7,$L$2:$L$7,,,"Actual360","LogLinear",TRUE)</f>
        <v>QSObject:ContextInput:w1~input.qs_context_add_curve.2359132437744.5257.3.0:35294</v>
      </c>
      <c r="E5258" s="6" t="str">
        <f>_xll.QS.INSTRUMENT.SWAP("swap.5256",H5258,B5258,"USD","SOFR",I5258,J5258,0,"Actual360","Simple","Annual","Annual","Annual")</f>
        <v>QSObject:Swap:w1~swap.5256:10643</v>
      </c>
      <c r="F5258" s="6" t="str">
        <f>_xll.QS.TRADE.CREATE("trade.5256",E5258,A5258,"Receive")</f>
        <v>QSObject:SwapTrade:w1~trade.5256:26798</v>
      </c>
      <c r="G5258" s="3">
        <f>_xll.QS.EVALUATE(C5258,F5258)</f>
        <v>25273.707312872517</v>
      </c>
      <c r="H5258" s="5" t="s">
        <v>5298</v>
      </c>
      <c r="I5258" s="7">
        <v>1525600</v>
      </c>
      <c r="J5258" s="8">
        <v>3.5600000000000007E-2</v>
      </c>
    </row>
    <row r="5259" spans="1:10" x14ac:dyDescent="0.25">
      <c r="A5259" s="5" t="s">
        <v>5292</v>
      </c>
      <c r="B5259" s="5" t="s">
        <v>7126</v>
      </c>
      <c r="C5259" s="6" t="str">
        <f>_xll.QS.CONTEXT.CREATE("market.5257",A5259,"USD","SOFR")</f>
        <v>QSObject:PricingContext:w1~market.5257:10642</v>
      </c>
      <c r="D5259" s="6" t="str">
        <f>_xll.QS.CONTEXT.ADD.CURVE(C5259,"SOFR",$K$2:$K$7,$L$2:$L$7,,,"Actual360","LogLinear",TRUE)</f>
        <v>QSObject:ContextInput:w1~input.qs_context_add_curve.2359132437744.5258.3.0:35293</v>
      </c>
      <c r="E5259" s="6" t="str">
        <f>_xll.QS.INSTRUMENT.SWAP("swap.5257",H5259,B5259,"USD","SOFR",I5259,J5259,0,"Actual360","Simple","Annual","Annual","Annual")</f>
        <v>QSObject:Swap:w1~swap.5257:10641</v>
      </c>
      <c r="F5259" s="6" t="str">
        <f>_xll.QS.TRADE.CREATE("trade.5257",E5259,A5259,"Receive")</f>
        <v>QSObject:SwapTrade:w1~trade.5257:26797</v>
      </c>
      <c r="G5259" s="3">
        <f>_xll.QS.EVALUATE(C5259,F5259)</f>
        <v>25985.339510715901</v>
      </c>
      <c r="H5259" s="5" t="s">
        <v>5299</v>
      </c>
      <c r="I5259" s="7">
        <v>1525700</v>
      </c>
      <c r="J5259" s="8">
        <v>3.5700000000000003E-2</v>
      </c>
    </row>
    <row r="5260" spans="1:10" x14ac:dyDescent="0.25">
      <c r="A5260" s="5" t="s">
        <v>5293</v>
      </c>
      <c r="B5260" s="5" t="s">
        <v>7127</v>
      </c>
      <c r="C5260" s="6" t="str">
        <f>_xll.QS.CONTEXT.CREATE("market.5258",A5260,"USD","SOFR")</f>
        <v>QSObject:PricingContext:w1~market.5258:10640</v>
      </c>
      <c r="D5260" s="6" t="str">
        <f>_xll.QS.CONTEXT.ADD.CURVE(C5260,"SOFR",$K$2:$K$7,$L$2:$L$7,,,"Actual360","LogLinear",TRUE)</f>
        <v>QSObject:ContextInput:w1~input.qs_context_add_curve.2359132437744.5259.3.0:35292</v>
      </c>
      <c r="E5260" s="6" t="str">
        <f>_xll.QS.INSTRUMENT.SWAP("swap.5258",H5260,B5260,"USD","SOFR",I5260,J5260,0,"Actual360","Simple","Annual","Annual","Annual")</f>
        <v>QSObject:Swap:w1~swap.5258:10639</v>
      </c>
      <c r="F5260" s="6" t="str">
        <f>_xll.QS.TRADE.CREATE("trade.5258",E5260,A5260,"Receive")</f>
        <v>QSObject:SwapTrade:w1~trade.5258:26796</v>
      </c>
      <c r="G5260" s="3">
        <f>_xll.QS.EVALUATE(C5260,F5260)</f>
        <v>26549.463781267979</v>
      </c>
      <c r="H5260" s="5" t="s">
        <v>5300</v>
      </c>
      <c r="I5260" s="7">
        <v>1525800</v>
      </c>
      <c r="J5260" s="8">
        <v>3.5800000000000012E-2</v>
      </c>
    </row>
    <row r="5261" spans="1:10" x14ac:dyDescent="0.25">
      <c r="A5261" s="5" t="s">
        <v>5294</v>
      </c>
      <c r="B5261" s="5" t="s">
        <v>7128</v>
      </c>
      <c r="C5261" s="6" t="str">
        <f>_xll.QS.CONTEXT.CREATE("market.5259",A5261,"USD","SOFR")</f>
        <v>QSObject:PricingContext:w1~market.5259:10638</v>
      </c>
      <c r="D5261" s="6" t="str">
        <f>_xll.QS.CONTEXT.ADD.CURVE(C5261,"SOFR",$K$2:$K$7,$L$2:$L$7,,,"Actual360","LogLinear",TRUE)</f>
        <v>QSObject:ContextInput:w1~input.qs_context_add_curve.2359132437744.5260.3.0:35291</v>
      </c>
      <c r="E5261" s="6" t="str">
        <f>_xll.QS.INSTRUMENT.SWAP("swap.5259",H5261,B5261,"USD","SOFR",I5261,J5261,0,"Actual360","Simple","Annual","Annual","Annual")</f>
        <v>QSObject:Swap:w1~swap.5259:10637</v>
      </c>
      <c r="F5261" s="6" t="str">
        <f>_xll.QS.TRADE.CREATE("trade.5259",E5261,A5261,"Receive")</f>
        <v>QSObject:SwapTrade:w1~trade.5259:26795</v>
      </c>
      <c r="G5261" s="3">
        <f>_xll.QS.EVALUATE(C5261,F5261)</f>
        <v>27424.182059002371</v>
      </c>
      <c r="H5261" s="5" t="s">
        <v>5301</v>
      </c>
      <c r="I5261" s="7">
        <v>1525900</v>
      </c>
      <c r="J5261" s="8">
        <v>3.5900000000000001E-2</v>
      </c>
    </row>
    <row r="5262" spans="1:10" x14ac:dyDescent="0.25">
      <c r="A5262" s="5" t="s">
        <v>5295</v>
      </c>
      <c r="B5262" s="5" t="s">
        <v>7129</v>
      </c>
      <c r="C5262" s="6" t="str">
        <f>_xll.QS.CONTEXT.CREATE("market.5260",A5262,"USD","SOFR")</f>
        <v>QSObject:PricingContext:w1~market.5260:10636</v>
      </c>
      <c r="D5262" s="6" t="str">
        <f>_xll.QS.CONTEXT.ADD.CURVE(C5262,"SOFR",$K$2:$K$7,$L$2:$L$7,,,"Actual360","LogLinear",TRUE)</f>
        <v>QSObject:ContextInput:w1~input.qs_context_add_curve.2359132437744.5261.3.0:35290</v>
      </c>
      <c r="E5262" s="6" t="str">
        <f>_xll.QS.INSTRUMENT.SWAP("swap.5260",H5262,B5262,"USD","SOFR",I5262,J5262,0,"Actual360","Simple","Annual","Annual","Annual")</f>
        <v>QSObject:Swap:w1~swap.5260:10635</v>
      </c>
      <c r="F5262" s="6" t="str">
        <f>_xll.QS.TRADE.CREATE("trade.5260",E5262,A5262,"Receive")</f>
        <v>QSObject:SwapTrade:w1~trade.5260:26794</v>
      </c>
      <c r="G5262" s="3">
        <f>_xll.QS.EVALUATE(C5262,F5262)</f>
        <v>28139.390598662314</v>
      </c>
      <c r="H5262" s="5" t="s">
        <v>5302</v>
      </c>
      <c r="I5262" s="7">
        <v>1526000</v>
      </c>
      <c r="J5262" s="8">
        <v>3.5999999999999997E-2</v>
      </c>
    </row>
    <row r="5263" spans="1:10" x14ac:dyDescent="0.25">
      <c r="A5263" s="5" t="s">
        <v>5296</v>
      </c>
      <c r="B5263" s="5" t="s">
        <v>7130</v>
      </c>
      <c r="C5263" s="6" t="str">
        <f>_xll.QS.CONTEXT.CREATE("market.5261",A5263,"USD","SOFR")</f>
        <v>QSObject:PricingContext:w1~market.5261:10634</v>
      </c>
      <c r="D5263" s="6" t="str">
        <f>_xll.QS.CONTEXT.ADD.CURVE(C5263,"SOFR",$K$2:$K$7,$L$2:$L$7,,,"Actual360","LogLinear",TRUE)</f>
        <v>QSObject:ContextInput:w1~input.qs_context_add_curve.2359132437744.5262.3.0:35289</v>
      </c>
      <c r="E5263" s="6" t="str">
        <f>_xll.QS.INSTRUMENT.SWAP("swap.5261",H5263,B5263,"USD","SOFR",I5263,J5263,0,"Actual360","Simple","Annual","Annual","Annual")</f>
        <v>QSObject:Swap:w1~swap.5261:10633</v>
      </c>
      <c r="F5263" s="6" t="str">
        <f>_xll.QS.TRADE.CREATE("trade.5261",E5263,A5263,"Receive")</f>
        <v>QSObject:SwapTrade:w1~trade.5261:26793</v>
      </c>
      <c r="G5263" s="3">
        <f>_xll.QS.EVALUATE(C5263,F5263)</f>
        <v>28846.023387149064</v>
      </c>
      <c r="H5263" s="5" t="s">
        <v>5303</v>
      </c>
      <c r="I5263" s="7">
        <v>1526100</v>
      </c>
      <c r="J5263" s="8">
        <v>3.61E-2</v>
      </c>
    </row>
    <row r="5264" spans="1:10" x14ac:dyDescent="0.25">
      <c r="A5264" s="5" t="s">
        <v>5297</v>
      </c>
      <c r="B5264" s="5" t="s">
        <v>7131</v>
      </c>
      <c r="C5264" s="6" t="str">
        <f>_xll.QS.CONTEXT.CREATE("market.5262",A5264,"USD","SOFR")</f>
        <v>QSObject:PricingContext:w1~market.5262:10632</v>
      </c>
      <c r="D5264" s="6" t="str">
        <f>_xll.QS.CONTEXT.ADD.CURVE(C5264,"SOFR",$K$2:$K$7,$L$2:$L$7,,,"Actual360","LogLinear",TRUE)</f>
        <v>QSObject:ContextInput:w1~input.qs_context_add_curve.2359132437744.5263.3.0:35288</v>
      </c>
      <c r="E5264" s="6" t="str">
        <f>_xll.QS.INSTRUMENT.SWAP("swap.5262",H5264,B5264,"USD","SOFR",I5264,J5264,0,"Actual360","Simple","Annual","Annual","Annual")</f>
        <v>QSObject:Swap:w1~swap.5262:10631</v>
      </c>
      <c r="F5264" s="6" t="str">
        <f>_xll.QS.TRADE.CREATE("trade.5262",E5264,A5264,"Receive")</f>
        <v>QSObject:SwapTrade:w1~trade.5262:26792</v>
      </c>
      <c r="G5264" s="3">
        <f>_xll.QS.EVALUATE(C5264,F5264)</f>
        <v>29452.63963589129</v>
      </c>
      <c r="H5264" s="5" t="s">
        <v>5304</v>
      </c>
      <c r="I5264" s="7">
        <v>1526200</v>
      </c>
      <c r="J5264" s="8">
        <v>3.6200000000000003E-2</v>
      </c>
    </row>
    <row r="5265" spans="1:10" x14ac:dyDescent="0.25">
      <c r="A5265" s="5" t="s">
        <v>5298</v>
      </c>
      <c r="B5265" s="5" t="s">
        <v>7132</v>
      </c>
      <c r="C5265" s="6" t="str">
        <f>_xll.QS.CONTEXT.CREATE("market.5263",A5265,"USD","SOFR")</f>
        <v>QSObject:PricingContext:w1~market.5263:10630</v>
      </c>
      <c r="D5265" s="6" t="str">
        <f>_xll.QS.CONTEXT.ADD.CURVE(C5265,"SOFR",$K$2:$K$7,$L$2:$L$7,,,"Actual360","LogLinear",TRUE)</f>
        <v>QSObject:ContextInput:w1~input.qs_context_add_curve.2359132437744.5264.3.0:35287</v>
      </c>
      <c r="E5265" s="6" t="str">
        <f>_xll.QS.INSTRUMENT.SWAP("swap.5263",H5265,B5265,"USD","SOFR",I5265,J5265,0,"Actual360","Simple","Annual","Annual","Annual")</f>
        <v>QSObject:Swap:w1~swap.5263:10629</v>
      </c>
      <c r="F5265" s="6" t="str">
        <f>_xll.QS.TRADE.CREATE("trade.5263",E5265,A5265,"Receive")</f>
        <v>QSObject:SwapTrade:w1~trade.5263:26791</v>
      </c>
      <c r="G5265" s="3">
        <f>_xll.QS.EVALUATE(C5265,F5265)</f>
        <v>30030.814481820227</v>
      </c>
      <c r="H5265" s="5" t="s">
        <v>5305</v>
      </c>
      <c r="I5265" s="7">
        <v>1526300</v>
      </c>
      <c r="J5265" s="8">
        <v>3.6300000000000013E-2</v>
      </c>
    </row>
    <row r="5266" spans="1:10" x14ac:dyDescent="0.25">
      <c r="A5266" s="5" t="s">
        <v>5299</v>
      </c>
      <c r="B5266" s="5" t="s">
        <v>7133</v>
      </c>
      <c r="C5266" s="6" t="str">
        <f>_xll.QS.CONTEXT.CREATE("market.5264",A5266,"USD","SOFR")</f>
        <v>QSObject:PricingContext:w1~market.5264:10628</v>
      </c>
      <c r="D5266" s="6" t="str">
        <f>_xll.QS.CONTEXT.ADD.CURVE(C5266,"SOFR",$K$2:$K$7,$L$2:$L$7,,,"Actual360","LogLinear",TRUE)</f>
        <v>QSObject:ContextInput:w1~input.qs_context_add_curve.2359132437744.5265.3.0:35286</v>
      </c>
      <c r="E5266" s="6" t="str">
        <f>_xll.QS.INSTRUMENT.SWAP("swap.5264",H5266,B5266,"USD","SOFR",I5266,J5266,0,"Actual360","Simple","Annual","Annual","Annual")</f>
        <v>QSObject:Swap:w1~swap.5264:10627</v>
      </c>
      <c r="F5266" s="6" t="str">
        <f>_xll.QS.TRADE.CREATE("trade.5264",E5266,A5266,"Receive")</f>
        <v>QSObject:SwapTrade:w1~trade.5264:26790</v>
      </c>
      <c r="G5266" s="3">
        <f>_xll.QS.EVALUATE(C5266,F5266)</f>
        <v>30739.155718248898</v>
      </c>
      <c r="H5266" s="5" t="s">
        <v>5306</v>
      </c>
      <c r="I5266" s="7">
        <v>1526400</v>
      </c>
      <c r="J5266" s="8">
        <v>3.6400000000000002E-2</v>
      </c>
    </row>
    <row r="5267" spans="1:10" x14ac:dyDescent="0.25">
      <c r="A5267" s="5" t="s">
        <v>5300</v>
      </c>
      <c r="B5267" s="5" t="s">
        <v>7134</v>
      </c>
      <c r="C5267" s="6" t="str">
        <f>_xll.QS.CONTEXT.CREATE("market.5265",A5267,"USD","SOFR")</f>
        <v>QSObject:PricingContext:w1~market.5265:10626</v>
      </c>
      <c r="D5267" s="6" t="str">
        <f>_xll.QS.CONTEXT.ADD.CURVE(C5267,"SOFR",$K$2:$K$7,$L$2:$L$7,,,"Actual360","LogLinear",TRUE)</f>
        <v>QSObject:ContextInput:w1~input.qs_context_add_curve.2359132437744.5266.3.0:35285</v>
      </c>
      <c r="E5267" s="6" t="str">
        <f>_xll.QS.INSTRUMENT.SWAP("swap.5265",H5267,B5267,"USD","SOFR",I5267,J5267,0,"Actual360","Simple","Annual","Annual","Annual")</f>
        <v>QSObject:Swap:w1~swap.5265:10625</v>
      </c>
      <c r="F5267" s="6" t="str">
        <f>_xll.QS.TRADE.CREATE("trade.5265",E5267,A5267,"Receive")</f>
        <v>QSObject:SwapTrade:w1~trade.5265:26789</v>
      </c>
      <c r="G5267" s="3">
        <f>_xll.QS.EVALUATE(C5267,F5267)</f>
        <v>31488.479405407859</v>
      </c>
      <c r="H5267" s="5" t="s">
        <v>5307</v>
      </c>
      <c r="I5267" s="7">
        <v>1526500</v>
      </c>
      <c r="J5267" s="8">
        <v>3.6499999999999998E-2</v>
      </c>
    </row>
    <row r="5268" spans="1:10" x14ac:dyDescent="0.25">
      <c r="A5268" s="5" t="s">
        <v>5301</v>
      </c>
      <c r="B5268" s="5" t="s">
        <v>7135</v>
      </c>
      <c r="C5268" s="6" t="str">
        <f>_xll.QS.CONTEXT.CREATE("market.5266",A5268,"USD","SOFR")</f>
        <v>QSObject:PricingContext:w1~market.5266:10624</v>
      </c>
      <c r="D5268" s="6" t="str">
        <f>_xll.QS.CONTEXT.ADD.CURVE(C5268,"SOFR",$K$2:$K$7,$L$2:$L$7,,,"Actual360","LogLinear",TRUE)</f>
        <v>QSObject:ContextInput:w1~input.qs_context_add_curve.2359132437744.5267.3.0:35284</v>
      </c>
      <c r="E5268" s="6" t="str">
        <f>_xll.QS.INSTRUMENT.SWAP("swap.5266",H5268,B5268,"USD","SOFR",I5268,J5268,0,"Actual360","Simple","Annual","Annual","Annual")</f>
        <v>QSObject:Swap:w1~swap.5266:10623</v>
      </c>
      <c r="F5268" s="6" t="str">
        <f>_xll.QS.TRADE.CREATE("trade.5266",E5268,A5268,"Receive")</f>
        <v>QSObject:SwapTrade:w1~trade.5266:26788</v>
      </c>
      <c r="G5268" s="3">
        <f>_xll.QS.EVALUATE(C5268,F5268)</f>
        <v>32305.933975869317</v>
      </c>
      <c r="H5268" s="5" t="s">
        <v>5308</v>
      </c>
      <c r="I5268" s="7">
        <v>1526600</v>
      </c>
      <c r="J5268" s="8">
        <v>3.6600000000000001E-2</v>
      </c>
    </row>
    <row r="5269" spans="1:10" x14ac:dyDescent="0.25">
      <c r="A5269" s="5" t="s">
        <v>5302</v>
      </c>
      <c r="B5269" s="5" t="s">
        <v>7136</v>
      </c>
      <c r="C5269" s="6" t="str">
        <f>_xll.QS.CONTEXT.CREATE("market.5267",A5269,"USD","SOFR")</f>
        <v>QSObject:PricingContext:w1~market.5267:10622</v>
      </c>
      <c r="D5269" s="6" t="str">
        <f>_xll.QS.CONTEXT.ADD.CURVE(C5269,"SOFR",$K$2:$K$7,$L$2:$L$7,,,"Actual360","LogLinear",TRUE)</f>
        <v>QSObject:ContextInput:w1~input.qs_context_add_curve.2359132437744.5268.3.0:35283</v>
      </c>
      <c r="E5269" s="6" t="str">
        <f>_xll.QS.INSTRUMENT.SWAP("swap.5267",H5269,B5269,"USD","SOFR",I5269,J5269,0,"Actual360","Simple","Annual","Annual","Annual")</f>
        <v>QSObject:Swap:w1~swap.5267:10621</v>
      </c>
      <c r="F5269" s="6" t="str">
        <f>_xll.QS.TRADE.CREATE("trade.5267",E5269,A5269,"Receive")</f>
        <v>QSObject:SwapTrade:w1~trade.5267:26787</v>
      </c>
      <c r="G5269" s="3">
        <f>_xll.QS.EVALUATE(C5269,F5269)</f>
        <v>33078.712182559313</v>
      </c>
      <c r="H5269" s="5" t="s">
        <v>5309</v>
      </c>
      <c r="I5269" s="7">
        <v>1526700</v>
      </c>
      <c r="J5269" s="8">
        <v>3.6700000000000003E-2</v>
      </c>
    </row>
    <row r="5270" spans="1:10" x14ac:dyDescent="0.25">
      <c r="A5270" s="5" t="s">
        <v>5303</v>
      </c>
      <c r="B5270" s="5" t="s">
        <v>7137</v>
      </c>
      <c r="C5270" s="6" t="str">
        <f>_xll.QS.CONTEXT.CREATE("market.5268",A5270,"USD","SOFR")</f>
        <v>QSObject:PricingContext:w1~market.5268:10620</v>
      </c>
      <c r="D5270" s="6" t="str">
        <f>_xll.QS.CONTEXT.ADD.CURVE(C5270,"SOFR",$K$2:$K$7,$L$2:$L$7,,,"Actual360","LogLinear",TRUE)</f>
        <v>QSObject:ContextInput:w1~input.qs_context_add_curve.2359132437744.5269.3.0:35282</v>
      </c>
      <c r="E5270" s="6" t="str">
        <f>_xll.QS.INSTRUMENT.SWAP("swap.5268",H5270,B5270,"USD","SOFR",I5270,J5270,0,"Actual360","Simple","Annual","Annual","Annual")</f>
        <v>QSObject:Swap:w1~swap.5268:10619</v>
      </c>
      <c r="F5270" s="6" t="str">
        <f>_xll.QS.TRADE.CREATE("trade.5268",E5270,A5270,"Receive")</f>
        <v>QSObject:SwapTrade:w1~trade.5268:26786</v>
      </c>
      <c r="G5270" s="3">
        <f>_xll.QS.EVALUATE(C5270,F5270)</f>
        <v>33660.640201736707</v>
      </c>
      <c r="H5270" s="5" t="s">
        <v>5310</v>
      </c>
      <c r="I5270" s="7">
        <v>1526800</v>
      </c>
      <c r="J5270" s="8">
        <v>3.6800000000000013E-2</v>
      </c>
    </row>
    <row r="5271" spans="1:10" x14ac:dyDescent="0.25">
      <c r="A5271" s="5" t="s">
        <v>5304</v>
      </c>
      <c r="B5271" s="5" t="s">
        <v>7138</v>
      </c>
      <c r="C5271" s="6" t="str">
        <f>_xll.QS.CONTEXT.CREATE("market.5269",A5271,"USD","SOFR")</f>
        <v>QSObject:PricingContext:w1~market.5269:10618</v>
      </c>
      <c r="D5271" s="6" t="str">
        <f>_xll.QS.CONTEXT.ADD.CURVE(C5271,"SOFR",$K$2:$K$7,$L$2:$L$7,,,"Actual360","LogLinear",TRUE)</f>
        <v>QSObject:ContextInput:w1~input.qs_context_add_curve.2359132437744.5270.3.0:35281</v>
      </c>
      <c r="E5271" s="6" t="str">
        <f>_xll.QS.INSTRUMENT.SWAP("swap.5269",H5271,B5271,"USD","SOFR",I5271,J5271,0,"Actual360","Simple","Annual","Annual","Annual")</f>
        <v>QSObject:Swap:w1~swap.5269:10617</v>
      </c>
      <c r="F5271" s="6" t="str">
        <f>_xll.QS.TRADE.CREATE("trade.5269",E5271,A5271,"Receive")</f>
        <v>QSObject:SwapTrade:w1~trade.5269:26785</v>
      </c>
      <c r="G5271" s="3">
        <f>_xll.QS.EVALUATE(C5271,F5271)</f>
        <v>34327.589890608033</v>
      </c>
      <c r="H5271" s="5" t="s">
        <v>5311</v>
      </c>
      <c r="I5271" s="7">
        <v>1526900</v>
      </c>
      <c r="J5271" s="8">
        <v>3.6900000000000002E-2</v>
      </c>
    </row>
    <row r="5272" spans="1:10" x14ac:dyDescent="0.25">
      <c r="A5272" s="5" t="s">
        <v>5305</v>
      </c>
      <c r="B5272" s="5" t="s">
        <v>7139</v>
      </c>
      <c r="C5272" s="6" t="str">
        <f>_xll.QS.CONTEXT.CREATE("market.5270",A5272,"USD","SOFR")</f>
        <v>QSObject:PricingContext:w1~market.5270:10616</v>
      </c>
      <c r="D5272" s="6" t="str">
        <f>_xll.QS.CONTEXT.ADD.CURVE(C5272,"SOFR",$K$2:$K$7,$L$2:$L$7,,,"Actual360","LogLinear",TRUE)</f>
        <v>QSObject:ContextInput:w1~input.qs_context_add_curve.2359132437744.5271.3.0:35280</v>
      </c>
      <c r="E5272" s="6" t="str">
        <f>_xll.QS.INSTRUMENT.SWAP("swap.5270",H5272,B5272,"USD","SOFR",I5272,J5272,0,"Actual360","Simple","Annual","Annual","Annual")</f>
        <v>QSObject:Swap:w1~swap.5270:10615</v>
      </c>
      <c r="F5272" s="6" t="str">
        <f>_xll.QS.TRADE.CREATE("trade.5270",E5272,A5272,"Receive")</f>
        <v>QSObject:SwapTrade:w1~trade.5270:26784</v>
      </c>
      <c r="G5272" s="3">
        <f>_xll.QS.EVALUATE(C5272,F5272)</f>
        <v>34914.185807323302</v>
      </c>
      <c r="H5272" s="5" t="s">
        <v>5312</v>
      </c>
      <c r="I5272" s="7">
        <v>1527000</v>
      </c>
      <c r="J5272" s="8">
        <v>3.7000000000000012E-2</v>
      </c>
    </row>
    <row r="5273" spans="1:10" x14ac:dyDescent="0.25">
      <c r="A5273" s="5" t="s">
        <v>5306</v>
      </c>
      <c r="B5273" s="5" t="s">
        <v>7140</v>
      </c>
      <c r="C5273" s="6" t="str">
        <f>_xll.QS.CONTEXT.CREATE("market.5271",A5273,"USD","SOFR")</f>
        <v>QSObject:PricingContext:w1~market.5271:10614</v>
      </c>
      <c r="D5273" s="6" t="str">
        <f>_xll.QS.CONTEXT.ADD.CURVE(C5273,"SOFR",$K$2:$K$7,$L$2:$L$7,,,"Actual360","LogLinear",TRUE)</f>
        <v>QSObject:ContextInput:w1~input.qs_context_add_curve.2359132437744.5272.3.0:35279</v>
      </c>
      <c r="E5273" s="6" t="str">
        <f>_xll.QS.INSTRUMENT.SWAP("swap.5271",H5273,B5273,"USD","SOFR",I5273,J5273,0,"Actual360","Simple","Annual","Annual","Annual")</f>
        <v>QSObject:Swap:w1~swap.5271:10613</v>
      </c>
      <c r="F5273" s="6" t="str">
        <f>_xll.QS.TRADE.CREATE("trade.5271",E5273,A5273,"Receive")</f>
        <v>QSObject:SwapTrade:w1~trade.5271:26783</v>
      </c>
      <c r="G5273" s="3">
        <f>_xll.QS.EVALUATE(C5273,F5273)</f>
        <v>35685.007110664192</v>
      </c>
      <c r="H5273" s="5" t="s">
        <v>5313</v>
      </c>
      <c r="I5273" s="7">
        <v>1527100</v>
      </c>
      <c r="J5273" s="8">
        <v>3.7100000000000001E-2</v>
      </c>
    </row>
    <row r="5274" spans="1:10" x14ac:dyDescent="0.25">
      <c r="A5274" s="5" t="s">
        <v>5307</v>
      </c>
      <c r="B5274" s="5" t="s">
        <v>7141</v>
      </c>
      <c r="C5274" s="6" t="str">
        <f>_xll.QS.CONTEXT.CREATE("market.5272",A5274,"USD","SOFR")</f>
        <v>QSObject:PricingContext:w1~market.5272:10612</v>
      </c>
      <c r="D5274" s="6" t="str">
        <f>_xll.QS.CONTEXT.ADD.CURVE(C5274,"SOFR",$K$2:$K$7,$L$2:$L$7,,,"Actual360","LogLinear",TRUE)</f>
        <v>QSObject:ContextInput:w1~input.qs_context_add_curve.2359132437744.5273.3.0:35278</v>
      </c>
      <c r="E5274" s="6" t="str">
        <f>_xll.QS.INSTRUMENT.SWAP("swap.5272",H5274,B5274,"USD","SOFR",I5274,J5274,0,"Actual360","Simple","Annual","Annual","Annual")</f>
        <v>QSObject:Swap:w1~swap.5272:10611</v>
      </c>
      <c r="F5274" s="6" t="str">
        <f>_xll.QS.TRADE.CREATE("trade.5272",E5274,A5274,"Receive")</f>
        <v>QSObject:SwapTrade:w1~trade.5272:26782</v>
      </c>
      <c r="G5274" s="3">
        <f>_xll.QS.EVALUATE(C5274,F5274)</f>
        <v>36432.604985204336</v>
      </c>
      <c r="H5274" s="5" t="s">
        <v>5314</v>
      </c>
      <c r="I5274" s="7">
        <v>1527200</v>
      </c>
      <c r="J5274" s="8">
        <v>3.7199999999999997E-2</v>
      </c>
    </row>
    <row r="5275" spans="1:10" x14ac:dyDescent="0.25">
      <c r="A5275" s="5" t="s">
        <v>5308</v>
      </c>
      <c r="B5275" s="5" t="s">
        <v>7142</v>
      </c>
      <c r="C5275" s="6" t="str">
        <f>_xll.QS.CONTEXT.CREATE("market.5273",A5275,"USD","SOFR")</f>
        <v>QSObject:PricingContext:w1~market.5273:10610</v>
      </c>
      <c r="D5275" s="6" t="str">
        <f>_xll.QS.CONTEXT.ADD.CURVE(C5275,"SOFR",$K$2:$K$7,$L$2:$L$7,,,"Actual360","LogLinear",TRUE)</f>
        <v>QSObject:ContextInput:w1~input.qs_context_add_curve.2359132437744.5274.3.0:35277</v>
      </c>
      <c r="E5275" s="6" t="str">
        <f>_xll.QS.INSTRUMENT.SWAP("swap.5273",H5275,B5275,"USD","SOFR",I5275,J5275,0,"Actual360","Simple","Annual","Annual","Annual")</f>
        <v>QSObject:Swap:w1~swap.5273:10609</v>
      </c>
      <c r="F5275" s="6" t="str">
        <f>_xll.QS.TRADE.CREATE("trade.5273",E5275,A5275,"Receive")</f>
        <v>QSObject:SwapTrade:w1~trade.5273:26781</v>
      </c>
      <c r="G5275" s="3">
        <f>_xll.QS.EVALUATE(C5275,F5275)</f>
        <v>37321.978074952516</v>
      </c>
      <c r="H5275" s="5" t="s">
        <v>5315</v>
      </c>
      <c r="I5275" s="7">
        <v>1527300</v>
      </c>
      <c r="J5275" s="8">
        <v>3.73E-2</v>
      </c>
    </row>
    <row r="5276" spans="1:10" x14ac:dyDescent="0.25">
      <c r="A5276" s="5" t="s">
        <v>5309</v>
      </c>
      <c r="B5276" s="5" t="s">
        <v>7143</v>
      </c>
      <c r="C5276" s="6" t="str">
        <f>_xll.QS.CONTEXT.CREATE("market.5274",A5276,"USD","SOFR")</f>
        <v>QSObject:PricingContext:w1~market.5274:10608</v>
      </c>
      <c r="D5276" s="6" t="str">
        <f>_xll.QS.CONTEXT.ADD.CURVE(C5276,"SOFR",$K$2:$K$7,$L$2:$L$7,,,"Actual360","LogLinear",TRUE)</f>
        <v>QSObject:ContextInput:w1~input.qs_context_add_curve.2359132437744.5275.3.0:35276</v>
      </c>
      <c r="E5276" s="6" t="str">
        <f>_xll.QS.INSTRUMENT.SWAP("swap.5274",H5276,B5276,"USD","SOFR",I5276,J5276,0,"Actual360","Simple","Annual","Annual","Annual")</f>
        <v>QSObject:Swap:w1~swap.5274:10607</v>
      </c>
      <c r="F5276" s="6" t="str">
        <f>_xll.QS.TRADE.CREATE("trade.5274",E5276,A5276,"Receive")</f>
        <v>QSObject:SwapTrade:w1~trade.5274:26780</v>
      </c>
      <c r="G5276" s="3">
        <f>_xll.QS.EVALUATE(C5276,F5276)</f>
        <v>38026.133301512527</v>
      </c>
      <c r="H5276" s="5" t="s">
        <v>5316</v>
      </c>
      <c r="I5276" s="7">
        <v>1527400</v>
      </c>
      <c r="J5276" s="8">
        <v>3.7400000000000003E-2</v>
      </c>
    </row>
    <row r="5277" spans="1:10" x14ac:dyDescent="0.25">
      <c r="A5277" s="5" t="s">
        <v>5310</v>
      </c>
      <c r="B5277" s="5" t="s">
        <v>7144</v>
      </c>
      <c r="C5277" s="6" t="str">
        <f>_xll.QS.CONTEXT.CREATE("market.5275",A5277,"USD","SOFR")</f>
        <v>QSObject:PricingContext:w1~market.5275:10606</v>
      </c>
      <c r="D5277" s="6" t="str">
        <f>_xll.QS.CONTEXT.ADD.CURVE(C5277,"SOFR",$K$2:$K$7,$L$2:$L$7,,,"Actual360","LogLinear",TRUE)</f>
        <v>QSObject:ContextInput:w1~input.qs_context_add_curve.2359132437744.5276.3.0:35275</v>
      </c>
      <c r="E5277" s="6" t="str">
        <f>_xll.QS.INSTRUMENT.SWAP("swap.5275",H5277,B5277,"USD","SOFR",I5277,J5277,0,"Actual360","Simple","Annual","Annual","Annual")</f>
        <v>QSObject:Swap:w1~swap.5275:10605</v>
      </c>
      <c r="F5277" s="6" t="str">
        <f>_xll.QS.TRADE.CREATE("trade.5275",E5277,A5277,"Receive")</f>
        <v>QSObject:SwapTrade:w1~trade.5275:26779</v>
      </c>
      <c r="G5277" s="3">
        <f>_xll.QS.EVALUATE(C5277,F5277)</f>
        <v>38672.358752208434</v>
      </c>
      <c r="H5277" s="5" t="s">
        <v>5317</v>
      </c>
      <c r="I5277" s="7">
        <v>1527500</v>
      </c>
      <c r="J5277" s="8">
        <v>3.7500000000000012E-2</v>
      </c>
    </row>
    <row r="5278" spans="1:10" x14ac:dyDescent="0.25">
      <c r="A5278" s="5" t="s">
        <v>5311</v>
      </c>
      <c r="B5278" s="5" t="s">
        <v>7145</v>
      </c>
      <c r="C5278" s="6" t="str">
        <f>_xll.QS.CONTEXT.CREATE("market.5276",A5278,"USD","SOFR")</f>
        <v>QSObject:PricingContext:w1~market.5276:10604</v>
      </c>
      <c r="D5278" s="6" t="str">
        <f>_xll.QS.CONTEXT.ADD.CURVE(C5278,"SOFR",$K$2:$K$7,$L$2:$L$7,,,"Actual360","LogLinear",TRUE)</f>
        <v>QSObject:ContextInput:w1~input.qs_context_add_curve.2359132437744.5277.3.0:35274</v>
      </c>
      <c r="E5278" s="6" t="str">
        <f>_xll.QS.INSTRUMENT.SWAP("swap.5276",H5278,B5278,"USD","SOFR",I5278,J5278,0,"Actual360","Simple","Annual","Annual","Annual")</f>
        <v>QSObject:Swap:w1~swap.5276:10603</v>
      </c>
      <c r="F5278" s="6" t="str">
        <f>_xll.QS.TRADE.CREATE("trade.5276",E5278,A5278,"Receive")</f>
        <v>QSObject:SwapTrade:w1~trade.5276:26778</v>
      </c>
      <c r="G5278" s="3">
        <f>_xll.QS.EVALUATE(C5278,F5278)</f>
        <v>39268.57408872473</v>
      </c>
      <c r="H5278" s="5" t="s">
        <v>5318</v>
      </c>
      <c r="I5278" s="7">
        <v>1527600</v>
      </c>
      <c r="J5278" s="8">
        <v>3.7600000000000001E-2</v>
      </c>
    </row>
    <row r="5279" spans="1:10" x14ac:dyDescent="0.25">
      <c r="A5279" s="5" t="s">
        <v>5312</v>
      </c>
      <c r="B5279" s="5" t="s">
        <v>7146</v>
      </c>
      <c r="C5279" s="6" t="str">
        <f>_xll.QS.CONTEXT.CREATE("market.5277",A5279,"USD","SOFR")</f>
        <v>QSObject:PricingContext:w1~market.5277:10602</v>
      </c>
      <c r="D5279" s="6" t="str">
        <f>_xll.QS.CONTEXT.ADD.CURVE(C5279,"SOFR",$K$2:$K$7,$L$2:$L$7,,,"Actual360","LogLinear",TRUE)</f>
        <v>QSObject:ContextInput:w1~input.qs_context_add_curve.2359132437744.5278.3.0:35273</v>
      </c>
      <c r="E5279" s="6" t="str">
        <f>_xll.QS.INSTRUMENT.SWAP("swap.5277",H5279,B5279,"USD","SOFR",I5279,J5279,0,"Actual360","Simple","Annual","Annual","Annual")</f>
        <v>QSObject:Swap:w1~swap.5277:10601</v>
      </c>
      <c r="F5279" s="6" t="str">
        <f>_xll.QS.TRADE.CREATE("trade.5277",E5279,A5279,"Receive")</f>
        <v>QSObject:SwapTrade:w1~trade.5277:26777</v>
      </c>
      <c r="G5279" s="3">
        <f>_xll.QS.EVALUATE(C5279,F5279)</f>
        <v>39863.405549622272</v>
      </c>
      <c r="H5279" s="5" t="s">
        <v>5319</v>
      </c>
      <c r="I5279" s="7">
        <v>1527700</v>
      </c>
      <c r="J5279" s="8">
        <v>3.7699999999999997E-2</v>
      </c>
    </row>
    <row r="5280" spans="1:10" x14ac:dyDescent="0.25">
      <c r="A5280" s="5" t="s">
        <v>5313</v>
      </c>
      <c r="B5280" s="5" t="s">
        <v>7147</v>
      </c>
      <c r="C5280" s="6" t="str">
        <f>_xll.QS.CONTEXT.CREATE("market.5278",A5280,"USD","SOFR")</f>
        <v>QSObject:PricingContext:w1~market.5278:10600</v>
      </c>
      <c r="D5280" s="6" t="str">
        <f>_xll.QS.CONTEXT.ADD.CURVE(C5280,"SOFR",$K$2:$K$7,$L$2:$L$7,,,"Actual360","LogLinear",TRUE)</f>
        <v>QSObject:ContextInput:w1~input.qs_context_add_curve.2359132437744.5279.3.0:35272</v>
      </c>
      <c r="E5280" s="6" t="str">
        <f>_xll.QS.INSTRUMENT.SWAP("swap.5278",H5280,B5280,"USD","SOFR",I5280,J5280,0,"Actual360","Simple","Annual","Annual","Annual")</f>
        <v>QSObject:Swap:w1~swap.5278:10599</v>
      </c>
      <c r="F5280" s="6" t="str">
        <f>_xll.QS.TRADE.CREATE("trade.5278",E5280,A5280,"Receive")</f>
        <v>QSObject:SwapTrade:w1~trade.5278:26776</v>
      </c>
      <c r="G5280" s="3">
        <f>_xll.QS.EVALUATE(C5280,F5280)</f>
        <v>40635.379789426661</v>
      </c>
      <c r="H5280" s="5" t="s">
        <v>5320</v>
      </c>
      <c r="I5280" s="7">
        <v>1527800</v>
      </c>
      <c r="J5280" s="8">
        <v>3.78E-2</v>
      </c>
    </row>
    <row r="5281" spans="1:10" x14ac:dyDescent="0.25">
      <c r="A5281" s="5" t="s">
        <v>5314</v>
      </c>
      <c r="B5281" s="5" t="s">
        <v>7148</v>
      </c>
      <c r="C5281" s="6" t="str">
        <f>_xll.QS.CONTEXT.CREATE("market.5279",A5281,"USD","SOFR")</f>
        <v>QSObject:PricingContext:w1~market.5279:10598</v>
      </c>
      <c r="D5281" s="6" t="str">
        <f>_xll.QS.CONTEXT.ADD.CURVE(C5281,"SOFR",$K$2:$K$7,$L$2:$L$7,,,"Actual360","LogLinear",TRUE)</f>
        <v>QSObject:ContextInput:w1~input.qs_context_add_curve.2359132437744.5280.3.0:35271</v>
      </c>
      <c r="E5281" s="6" t="str">
        <f>_xll.QS.INSTRUMENT.SWAP("swap.5279",H5281,B5281,"USD","SOFR",I5281,J5281,0,"Actual360","Simple","Annual","Annual","Annual")</f>
        <v>QSObject:Swap:w1~swap.5279:10597</v>
      </c>
      <c r="F5281" s="6" t="str">
        <f>_xll.QS.TRADE.CREATE("trade.5279",E5281,A5281,"Receive")</f>
        <v>QSObject:SwapTrade:w1~trade.5279:26775</v>
      </c>
      <c r="G5281" s="3">
        <f>_xll.QS.EVALUATE(C5281,F5281)</f>
        <v>41381.24965907869</v>
      </c>
      <c r="H5281" s="5" t="s">
        <v>5321</v>
      </c>
      <c r="I5281" s="7">
        <v>1527900</v>
      </c>
      <c r="J5281" s="8">
        <v>3.7900000000000003E-2</v>
      </c>
    </row>
    <row r="5282" spans="1:10" x14ac:dyDescent="0.25">
      <c r="A5282" s="5" t="s">
        <v>5315</v>
      </c>
      <c r="B5282" s="5" t="s">
        <v>7149</v>
      </c>
      <c r="C5282" s="6" t="str">
        <f>_xll.QS.CONTEXT.CREATE("market.5280",A5282,"USD","SOFR")</f>
        <v>QSObject:PricingContext:w1~market.5280:10596</v>
      </c>
      <c r="D5282" s="6" t="str">
        <f>_xll.QS.CONTEXT.ADD.CURVE(C5282,"SOFR",$K$2:$K$7,$L$2:$L$7,,,"Actual360","LogLinear",TRUE)</f>
        <v>QSObject:ContextInput:w1~input.qs_context_add_curve.2359132437744.5281.3.0:35270</v>
      </c>
      <c r="E5282" s="6" t="str">
        <f>_xll.QS.INSTRUMENT.SWAP("swap.5280",H5282,B5282,"USD","SOFR",I5282,J5282,0,"Actual360","Simple","Annual","Annual","Annual")</f>
        <v>QSObject:Swap:w1~swap.5280:10595</v>
      </c>
      <c r="F5282" s="6" t="str">
        <f>_xll.QS.TRADE.CREATE("trade.5280",E5282,A5282,"Receive")</f>
        <v>QSObject:SwapTrade:w1~trade.5280:26774</v>
      </c>
      <c r="G5282" s="3">
        <f>_xll.QS.EVALUATE(C5282,F5282)</f>
        <v>42200.243956936516</v>
      </c>
      <c r="H5282" s="5" t="s">
        <v>5322</v>
      </c>
      <c r="I5282" s="7">
        <v>1528000</v>
      </c>
      <c r="J5282" s="8">
        <v>3.8000000000000013E-2</v>
      </c>
    </row>
    <row r="5283" spans="1:10" x14ac:dyDescent="0.25">
      <c r="A5283" s="5" t="s">
        <v>5316</v>
      </c>
      <c r="B5283" s="5" t="s">
        <v>7150</v>
      </c>
      <c r="C5283" s="6" t="str">
        <f>_xll.QS.CONTEXT.CREATE("market.5281",A5283,"USD","SOFR")</f>
        <v>QSObject:PricingContext:w1~market.5281:10594</v>
      </c>
      <c r="D5283" s="6" t="str">
        <f>_xll.QS.CONTEXT.ADD.CURVE(C5283,"SOFR",$K$2:$K$7,$L$2:$L$7,,,"Actual360","LogLinear",TRUE)</f>
        <v>QSObject:ContextInput:w1~input.qs_context_add_curve.2359132437744.5282.3.0:35269</v>
      </c>
      <c r="E5283" s="6" t="str">
        <f>_xll.QS.INSTRUMENT.SWAP("swap.5281",H5283,B5283,"USD","SOFR",I5283,J5283,0,"Actual360","Simple","Annual","Annual","Annual")</f>
        <v>QSObject:Swap:w1~swap.5281:10593</v>
      </c>
      <c r="F5283" s="6" t="str">
        <f>_xll.QS.TRADE.CREATE("trade.5281",E5283,A5283,"Receive")</f>
        <v>QSObject:SwapTrade:w1~trade.5281:26773</v>
      </c>
      <c r="G5283" s="3">
        <f>_xll.QS.EVALUATE(C5283,F5283)</f>
        <v>42974.487734797571</v>
      </c>
      <c r="H5283" s="5" t="s">
        <v>5323</v>
      </c>
      <c r="I5283" s="7">
        <v>1528100</v>
      </c>
      <c r="J5283" s="8">
        <v>3.8100000000000002E-2</v>
      </c>
    </row>
    <row r="5284" spans="1:10" x14ac:dyDescent="0.25">
      <c r="A5284" s="5" t="s">
        <v>5317</v>
      </c>
      <c r="B5284" s="5" t="s">
        <v>7151</v>
      </c>
      <c r="C5284" s="6" t="str">
        <f>_xll.QS.CONTEXT.CREATE("market.5282",A5284,"USD","SOFR")</f>
        <v>QSObject:PricingContext:w1~market.5282:10592</v>
      </c>
      <c r="D5284" s="6" t="str">
        <f>_xll.QS.CONTEXT.ADD.CURVE(C5284,"SOFR",$K$2:$K$7,$L$2:$L$7,,,"Actual360","LogLinear",TRUE)</f>
        <v>QSObject:ContextInput:w1~input.qs_context_add_curve.2359132437744.5283.3.0:35268</v>
      </c>
      <c r="E5284" s="6" t="str">
        <f>_xll.QS.INSTRUMENT.SWAP("swap.5282",H5284,B5284,"USD","SOFR",I5284,J5284,0,"Actual360","Simple","Annual","Annual","Annual")</f>
        <v>QSObject:Swap:w1~swap.5282:10591</v>
      </c>
      <c r="F5284" s="6" t="str">
        <f>_xll.QS.TRADE.CREATE("trade.5282",E5284,A5284,"Receive")</f>
        <v>QSObject:SwapTrade:w1~trade.5282:26772</v>
      </c>
      <c r="G5284" s="3">
        <f>_xll.QS.EVALUATE(C5284,F5284)</f>
        <v>43623.071451597847</v>
      </c>
      <c r="H5284" s="5" t="s">
        <v>5324</v>
      </c>
      <c r="I5284" s="7">
        <v>1528200</v>
      </c>
      <c r="J5284" s="8">
        <v>3.8199999999999998E-2</v>
      </c>
    </row>
    <row r="5285" spans="1:10" x14ac:dyDescent="0.25">
      <c r="A5285" s="5" t="s">
        <v>5318</v>
      </c>
      <c r="B5285" s="5" t="s">
        <v>7152</v>
      </c>
      <c r="C5285" s="6" t="str">
        <f>_xll.QS.CONTEXT.CREATE("market.5283",A5285,"USD","SOFR")</f>
        <v>QSObject:PricingContext:w1~market.5283:10590</v>
      </c>
      <c r="D5285" s="6" t="str">
        <f>_xll.QS.CONTEXT.ADD.CURVE(C5285,"SOFR",$K$2:$K$7,$L$2:$L$7,,,"Actual360","LogLinear",TRUE)</f>
        <v>QSObject:ContextInput:w1~input.qs_context_add_curve.2359132437744.5284.3.0:35267</v>
      </c>
      <c r="E5285" s="6" t="str">
        <f>_xll.QS.INSTRUMENT.SWAP("swap.5283",H5285,B5285,"USD","SOFR",I5285,J5285,0,"Actual360","Simple","Annual","Annual","Annual")</f>
        <v>QSObject:Swap:w1~swap.5283:10589</v>
      </c>
      <c r="F5285" s="6" t="str">
        <f>_xll.QS.TRADE.CREATE("trade.5283",E5285,A5285,"Receive")</f>
        <v>QSObject:SwapTrade:w1~trade.5283:26771</v>
      </c>
      <c r="G5285" s="3">
        <f>_xll.QS.EVALUATE(C5285,F5285)</f>
        <v>44214.072129228327</v>
      </c>
      <c r="H5285" s="5" t="s">
        <v>5325</v>
      </c>
      <c r="I5285" s="7">
        <v>1528300</v>
      </c>
      <c r="J5285" s="8">
        <v>3.8300000000000001E-2</v>
      </c>
    </row>
    <row r="5286" spans="1:10" x14ac:dyDescent="0.25">
      <c r="A5286" s="5" t="s">
        <v>5319</v>
      </c>
      <c r="B5286" s="5" t="s">
        <v>7153</v>
      </c>
      <c r="C5286" s="6" t="str">
        <f>_xll.QS.CONTEXT.CREATE("market.5284",A5286,"USD","SOFR")</f>
        <v>QSObject:PricingContext:w1~market.5284:10588</v>
      </c>
      <c r="D5286" s="6" t="str">
        <f>_xll.QS.CONTEXT.ADD.CURVE(C5286,"SOFR",$K$2:$K$7,$L$2:$L$7,,,"Actual360","LogLinear",TRUE)</f>
        <v>QSObject:ContextInput:w1~input.qs_context_add_curve.2359132437744.5285.3.0:35266</v>
      </c>
      <c r="E5286" s="6" t="str">
        <f>_xll.QS.INSTRUMENT.SWAP("swap.5284",H5286,B5286,"USD","SOFR",I5286,J5286,0,"Actual360","Simple","Annual","Annual","Annual")</f>
        <v>QSObject:Swap:w1~swap.5284:10587</v>
      </c>
      <c r="F5286" s="6" t="str">
        <f>_xll.QS.TRADE.CREATE("trade.5284",E5286,A5286,"Receive")</f>
        <v>QSObject:SwapTrade:w1~trade.5284:26770</v>
      </c>
      <c r="G5286" s="3">
        <f>_xll.QS.EVALUATE(C5286,F5286)</f>
        <v>44817.146140496974</v>
      </c>
      <c r="H5286" s="5" t="s">
        <v>5326</v>
      </c>
      <c r="I5286" s="7">
        <v>1528400</v>
      </c>
      <c r="J5286" s="8">
        <v>3.8399999999999997E-2</v>
      </c>
    </row>
    <row r="5287" spans="1:10" x14ac:dyDescent="0.25">
      <c r="A5287" s="5" t="s">
        <v>5320</v>
      </c>
      <c r="B5287" s="5" t="s">
        <v>7154</v>
      </c>
      <c r="C5287" s="6" t="str">
        <f>_xll.QS.CONTEXT.CREATE("market.5285",A5287,"USD","SOFR")</f>
        <v>QSObject:PricingContext:w1~market.5285:10586</v>
      </c>
      <c r="D5287" s="6" t="str">
        <f>_xll.QS.CONTEXT.ADD.CURVE(C5287,"SOFR",$K$2:$K$7,$L$2:$L$7,,,"Actual360","LogLinear",TRUE)</f>
        <v>QSObject:ContextInput:w1~input.qs_context_add_curve.2359132437744.5286.3.0:35265</v>
      </c>
      <c r="E5287" s="6" t="str">
        <f>_xll.QS.INSTRUMENT.SWAP("swap.5285",H5287,B5287,"USD","SOFR",I5287,J5287,0,"Actual360","Simple","Annual","Annual","Annual")</f>
        <v>QSObject:Swap:w1~swap.5285:10585</v>
      </c>
      <c r="F5287" s="6" t="str">
        <f>_xll.QS.TRADE.CREATE("trade.5285",E5287,A5287,"Receive")</f>
        <v>QSObject:SwapTrade:w1~trade.5285:26769</v>
      </c>
      <c r="G5287" s="3">
        <f>_xll.QS.EVALUATE(C5287,F5287)</f>
        <v>45590.273754535825</v>
      </c>
      <c r="H5287" s="5" t="s">
        <v>5327</v>
      </c>
      <c r="I5287" s="7">
        <v>1528500</v>
      </c>
      <c r="J5287" s="8">
        <v>3.8500000000000013E-2</v>
      </c>
    </row>
    <row r="5288" spans="1:10" x14ac:dyDescent="0.25">
      <c r="A5288" s="5" t="s">
        <v>5321</v>
      </c>
      <c r="B5288" s="5" t="s">
        <v>7155</v>
      </c>
      <c r="C5288" s="6" t="str">
        <f>_xll.QS.CONTEXT.CREATE("market.5286",A5288,"USD","SOFR")</f>
        <v>QSObject:PricingContext:w1~market.5286:10584</v>
      </c>
      <c r="D5288" s="6" t="str">
        <f>_xll.QS.CONTEXT.ADD.CURVE(C5288,"SOFR",$K$2:$K$7,$L$2:$L$7,,,"Actual360","LogLinear",TRUE)</f>
        <v>QSObject:ContextInput:w1~input.qs_context_add_curve.2359132437744.5287.3.0:35264</v>
      </c>
      <c r="E5288" s="6" t="str">
        <f>_xll.QS.INSTRUMENT.SWAP("swap.5286",H5288,B5288,"USD","SOFR",I5288,J5288,0,"Actual360","Simple","Annual","Annual","Annual")</f>
        <v>QSObject:Swap:w1~swap.5286:10583</v>
      </c>
      <c r="F5288" s="6" t="str">
        <f>_xll.QS.TRADE.CREATE("trade.5286",E5288,A5288,"Receive")</f>
        <v>QSObject:SwapTrade:w1~trade.5286:26768</v>
      </c>
      <c r="G5288" s="3">
        <f>_xll.QS.EVALUATE(C5288,F5288)</f>
        <v>46334.413427031141</v>
      </c>
      <c r="H5288" s="5" t="s">
        <v>5328</v>
      </c>
      <c r="I5288" s="7">
        <v>1528600</v>
      </c>
      <c r="J5288" s="8">
        <v>3.8600000000000002E-2</v>
      </c>
    </row>
    <row r="5289" spans="1:10" x14ac:dyDescent="0.25">
      <c r="A5289" s="5" t="s">
        <v>5322</v>
      </c>
      <c r="B5289" s="5" t="s">
        <v>7156</v>
      </c>
      <c r="C5289" s="6" t="str">
        <f>_xll.QS.CONTEXT.CREATE("market.5287",A5289,"USD","SOFR")</f>
        <v>QSObject:PricingContext:w1~market.5287:10582</v>
      </c>
      <c r="D5289" s="6" t="str">
        <f>_xll.QS.CONTEXT.ADD.CURVE(C5289,"SOFR",$K$2:$K$7,$L$2:$L$7,,,"Actual360","LogLinear",TRUE)</f>
        <v>QSObject:ContextInput:w1~input.qs_context_add_curve.2359132437744.5288.3.0:35263</v>
      </c>
      <c r="E5289" s="6" t="str">
        <f>_xll.QS.INSTRUMENT.SWAP("swap.5287",H5289,B5289,"USD","SOFR",I5289,J5289,0,"Actual360","Simple","Annual","Annual","Annual")</f>
        <v>QSObject:Swap:w1~swap.5287:10581</v>
      </c>
      <c r="F5289" s="6" t="str">
        <f>_xll.QS.TRADE.CREATE("trade.5287",E5289,A5289,"Receive")</f>
        <v>QSObject:SwapTrade:w1~trade.5287:26767</v>
      </c>
      <c r="G5289" s="3">
        <f>_xll.QS.EVALUATE(C5289,F5289)</f>
        <v>47154.404056803236</v>
      </c>
      <c r="H5289" s="5" t="s">
        <v>5329</v>
      </c>
      <c r="I5289" s="7">
        <v>1528700</v>
      </c>
      <c r="J5289" s="8">
        <v>3.8700000000000012E-2</v>
      </c>
    </row>
    <row r="5290" spans="1:10" x14ac:dyDescent="0.25">
      <c r="A5290" s="5" t="s">
        <v>5323</v>
      </c>
      <c r="B5290" s="5" t="s">
        <v>7157</v>
      </c>
      <c r="C5290" s="6" t="str">
        <f>_xll.QS.CONTEXT.CREATE("market.5288",A5290,"USD","SOFR")</f>
        <v>QSObject:PricingContext:w1~market.5288:10580</v>
      </c>
      <c r="D5290" s="6" t="str">
        <f>_xll.QS.CONTEXT.ADD.CURVE(C5290,"SOFR",$K$2:$K$7,$L$2:$L$7,,,"Actual360","LogLinear",TRUE)</f>
        <v>QSObject:ContextInput:w1~input.qs_context_add_curve.2359132437744.5289.3.0:35262</v>
      </c>
      <c r="E5290" s="6" t="str">
        <f>_xll.QS.INSTRUMENT.SWAP("swap.5288",H5290,B5290,"USD","SOFR",I5290,J5290,0,"Actual360","Simple","Annual","Annual","Annual")</f>
        <v>QSObject:Swap:w1~swap.5288:10579</v>
      </c>
      <c r="F5290" s="6" t="str">
        <f>_xll.QS.TRADE.CREATE("trade.5288",E5290,A5290,"Receive")</f>
        <v>QSObject:SwapTrade:w1~trade.5288:26766</v>
      </c>
      <c r="G5290" s="3">
        <f>_xll.QS.EVALUATE(C5290,F5290)</f>
        <v>47929.154330447782</v>
      </c>
      <c r="H5290" s="5" t="s">
        <v>5330</v>
      </c>
      <c r="I5290" s="7">
        <v>1528800</v>
      </c>
      <c r="J5290" s="8">
        <v>3.8800000000000001E-2</v>
      </c>
    </row>
    <row r="5291" spans="1:10" x14ac:dyDescent="0.25">
      <c r="A5291" s="5" t="s">
        <v>5324</v>
      </c>
      <c r="B5291" s="5" t="s">
        <v>7158</v>
      </c>
      <c r="C5291" s="6" t="str">
        <f>_xll.QS.CONTEXT.CREATE("market.5289",A5291,"USD","SOFR")</f>
        <v>QSObject:PricingContext:w1~market.5289:10578</v>
      </c>
      <c r="D5291" s="6" t="str">
        <f>_xll.QS.CONTEXT.ADD.CURVE(C5291,"SOFR",$K$2:$K$7,$L$2:$L$7,,,"Actual360","LogLinear",TRUE)</f>
        <v>QSObject:ContextInput:w1~input.qs_context_add_curve.2359132437744.5290.3.0:35261</v>
      </c>
      <c r="E5291" s="6" t="str">
        <f>_xll.QS.INSTRUMENT.SWAP("swap.5289",H5291,B5291,"USD","SOFR",I5291,J5291,0,"Actual360","Simple","Annual","Annual","Annual")</f>
        <v>QSObject:Swap:w1~swap.5289:10577</v>
      </c>
      <c r="F5291" s="6" t="str">
        <f>_xll.QS.TRADE.CREATE("trade.5289",E5291,A5291,"Receive")</f>
        <v>QSObject:SwapTrade:w1~trade.5289:26765</v>
      </c>
      <c r="G5291" s="3">
        <f>_xll.QS.EVALUATE(C5291,F5291)</f>
        <v>48578.158465817629</v>
      </c>
      <c r="H5291" s="5" t="s">
        <v>5331</v>
      </c>
      <c r="I5291" s="7">
        <v>1528900</v>
      </c>
      <c r="J5291" s="8">
        <v>3.8899999999999997E-2</v>
      </c>
    </row>
    <row r="5292" spans="1:10" x14ac:dyDescent="0.25">
      <c r="A5292" s="5" t="s">
        <v>5325</v>
      </c>
      <c r="B5292" s="5" t="s">
        <v>7159</v>
      </c>
      <c r="C5292" s="6" t="str">
        <f>_xll.QS.CONTEXT.CREATE("market.5290",A5292,"USD","SOFR")</f>
        <v>QSObject:PricingContext:w1~market.5290:10576</v>
      </c>
      <c r="D5292" s="6" t="str">
        <f>_xll.QS.CONTEXT.ADD.CURVE(C5292,"SOFR",$K$2:$K$7,$L$2:$L$7,,,"Actual360","LogLinear",TRUE)</f>
        <v>QSObject:ContextInput:w1~input.qs_context_add_curve.2359132437744.5291.3.0:35260</v>
      </c>
      <c r="E5292" s="6" t="str">
        <f>_xll.QS.INSTRUMENT.SWAP("swap.5290",H5292,B5292,"USD","SOFR",I5292,J5292,0,"Actual360","Simple","Annual","Annual","Annual")</f>
        <v>QSObject:Swap:w1~swap.5290:10575</v>
      </c>
      <c r="F5292" s="6" t="str">
        <f>_xll.QS.TRADE.CREATE("trade.5290",E5292,A5292,"Receive")</f>
        <v>QSObject:SwapTrade:w1~trade.5290:26764</v>
      </c>
      <c r="G5292" s="3">
        <f>_xll.QS.EVALUATE(C5292,F5292)</f>
        <v>49031.764015150278</v>
      </c>
      <c r="H5292" s="5" t="s">
        <v>5332</v>
      </c>
      <c r="I5292" s="7">
        <v>1529000</v>
      </c>
      <c r="J5292" s="8">
        <v>3.9000000000000007E-2</v>
      </c>
    </row>
    <row r="5293" spans="1:10" x14ac:dyDescent="0.25">
      <c r="A5293" s="5" t="s">
        <v>5326</v>
      </c>
      <c r="B5293" s="5" t="s">
        <v>7160</v>
      </c>
      <c r="C5293" s="6" t="str">
        <f>_xll.QS.CONTEXT.CREATE("market.5291",A5293,"USD","SOFR")</f>
        <v>QSObject:PricingContext:w1~market.5291:10574</v>
      </c>
      <c r="D5293" s="6" t="str">
        <f>_xll.QS.CONTEXT.ADD.CURVE(C5293,"SOFR",$K$2:$K$7,$L$2:$L$7,,,"Actual360","LogLinear",TRUE)</f>
        <v>QSObject:ContextInput:w1~input.qs_context_add_curve.2359132437744.5292.3.0:35259</v>
      </c>
      <c r="E5293" s="6" t="str">
        <f>_xll.QS.INSTRUMENT.SWAP("swap.5291",H5293,B5293,"USD","SOFR",I5293,J5293,0,"Actual360","Simple","Annual","Annual","Annual")</f>
        <v>QSObject:Swap:w1~swap.5291:10573</v>
      </c>
      <c r="F5293" s="6" t="str">
        <f>_xll.QS.TRADE.CREATE("trade.5291",E5293,A5293,"Receive")</f>
        <v>QSObject:SwapTrade:w1~trade.5291:26763</v>
      </c>
      <c r="G5293" s="3">
        <f>_xll.QS.EVALUATE(C5293,F5293)</f>
        <v>49743.647691057602</v>
      </c>
      <c r="H5293" s="5" t="s">
        <v>5333</v>
      </c>
      <c r="I5293" s="7">
        <v>1529100</v>
      </c>
      <c r="J5293" s="8">
        <v>3.9100000000000003E-2</v>
      </c>
    </row>
    <row r="5294" spans="1:10" x14ac:dyDescent="0.25">
      <c r="A5294" s="5" t="s">
        <v>5327</v>
      </c>
      <c r="B5294" s="5" t="s">
        <v>7161</v>
      </c>
      <c r="C5294" s="6" t="str">
        <f>_xll.QS.CONTEXT.CREATE("market.5292",A5294,"USD","SOFR")</f>
        <v>QSObject:PricingContext:w1~market.5292:10572</v>
      </c>
      <c r="D5294" s="6" t="str">
        <f>_xll.QS.CONTEXT.ADD.CURVE(C5294,"SOFR",$K$2:$K$7,$L$2:$L$7,,,"Actual360","LogLinear",TRUE)</f>
        <v>QSObject:ContextInput:w1~input.qs_context_add_curve.2359132437744.5293.3.0:35258</v>
      </c>
      <c r="E5294" s="6" t="str">
        <f>_xll.QS.INSTRUMENT.SWAP("swap.5292",H5294,B5294,"USD","SOFR",I5294,J5294,0,"Actual360","Simple","Annual","Annual","Annual")</f>
        <v>QSObject:Swap:w1~swap.5292:10571</v>
      </c>
      <c r="F5294" s="6" t="str">
        <f>_xll.QS.TRADE.CREATE("trade.5292",E5294,A5294,"Receive")</f>
        <v>QSObject:SwapTrade:w1~trade.5292:26762</v>
      </c>
      <c r="G5294" s="3">
        <f>_xll.QS.EVALUATE(C5294,F5294)</f>
        <v>50517.847745448256</v>
      </c>
      <c r="H5294" s="5" t="s">
        <v>5334</v>
      </c>
      <c r="I5294" s="7">
        <v>1529200</v>
      </c>
      <c r="J5294" s="8">
        <v>3.9200000000000013E-2</v>
      </c>
    </row>
    <row r="5295" spans="1:10" x14ac:dyDescent="0.25">
      <c r="A5295" s="5" t="s">
        <v>5328</v>
      </c>
      <c r="B5295" s="5" t="s">
        <v>7162</v>
      </c>
      <c r="C5295" s="6" t="str">
        <f>_xll.QS.CONTEXT.CREATE("market.5293",A5295,"USD","SOFR")</f>
        <v>QSObject:PricingContext:w1~market.5293:10570</v>
      </c>
      <c r="D5295" s="6" t="str">
        <f>_xll.QS.CONTEXT.ADD.CURVE(C5295,"SOFR",$K$2:$K$7,$L$2:$L$7,,,"Actual360","LogLinear",TRUE)</f>
        <v>QSObject:ContextInput:w1~input.qs_context_add_curve.2359132437744.5294.3.0:35257</v>
      </c>
      <c r="E5295" s="6" t="str">
        <f>_xll.QS.INSTRUMENT.SWAP("swap.5293",H5295,B5295,"USD","SOFR",I5295,J5295,0,"Actual360","Simple","Annual","Annual","Annual")</f>
        <v>QSObject:Swap:w1~swap.5293:10569</v>
      </c>
      <c r="F5295" s="6" t="str">
        <f>_xll.QS.TRADE.CREATE("trade.5293",E5295,A5295,"Receive")</f>
        <v>QSObject:SwapTrade:w1~trade.5293:26761</v>
      </c>
      <c r="G5295" s="3">
        <f>_xll.QS.EVALUATE(C5295,F5295)</f>
        <v>51461.569930264086</v>
      </c>
      <c r="H5295" s="5" t="s">
        <v>5335</v>
      </c>
      <c r="I5295" s="7">
        <v>1529300</v>
      </c>
      <c r="J5295" s="8">
        <v>3.9300000000000002E-2</v>
      </c>
    </row>
    <row r="5296" spans="1:10" x14ac:dyDescent="0.25">
      <c r="A5296" s="5" t="s">
        <v>5329</v>
      </c>
      <c r="B5296" s="5" t="s">
        <v>7163</v>
      </c>
      <c r="C5296" s="6" t="str">
        <f>_xll.QS.CONTEXT.CREATE("market.5294",A5296,"USD","SOFR")</f>
        <v>QSObject:PricingContext:w1~market.5294:10568</v>
      </c>
      <c r="D5296" s="6" t="str">
        <f>_xll.QS.CONTEXT.ADD.CURVE(C5296,"SOFR",$K$2:$K$7,$L$2:$L$7,,,"Actual360","LogLinear",TRUE)</f>
        <v>QSObject:ContextInput:w1~input.qs_context_add_curve.2359132437744.5295.3.0:35256</v>
      </c>
      <c r="E5296" s="6" t="str">
        <f>_xll.QS.INSTRUMENT.SWAP("swap.5294",H5296,B5296,"USD","SOFR",I5296,J5296,0,"Actual360","Simple","Annual","Annual","Annual")</f>
        <v>QSObject:Swap:w1~swap.5294:10567</v>
      </c>
      <c r="F5296" s="6" t="str">
        <f>_xll.QS.TRADE.CREATE("trade.5294",E5296,A5296,"Receive")</f>
        <v>QSObject:SwapTrade:w1~trade.5294:26760</v>
      </c>
      <c r="G5296" s="3">
        <f>_xll.QS.EVALUATE(C5296,F5296)</f>
        <v>52169.003703922695</v>
      </c>
      <c r="H5296" s="5" t="s">
        <v>5336</v>
      </c>
      <c r="I5296" s="7">
        <v>1529400</v>
      </c>
      <c r="J5296" s="8">
        <v>3.9399999999999998E-2</v>
      </c>
    </row>
    <row r="5297" spans="1:10" x14ac:dyDescent="0.25">
      <c r="A5297" s="5" t="s">
        <v>5330</v>
      </c>
      <c r="B5297" s="5" t="s">
        <v>7164</v>
      </c>
      <c r="C5297" s="6" t="str">
        <f>_xll.QS.CONTEXT.CREATE("market.5295",A5297,"USD","SOFR")</f>
        <v>QSObject:PricingContext:w1~market.5295:10566</v>
      </c>
      <c r="D5297" s="6" t="str">
        <f>_xll.QS.CONTEXT.ADD.CURVE(C5297,"SOFR",$K$2:$K$7,$L$2:$L$7,,,"Actual360","LogLinear",TRUE)</f>
        <v>QSObject:ContextInput:w1~input.qs_context_add_curve.2359132437744.5296.3.0:35255</v>
      </c>
      <c r="E5297" s="6" t="str">
        <f>_xll.QS.INSTRUMENT.SWAP("swap.5295",H5297,B5297,"USD","SOFR",I5297,J5297,0,"Actual360","Simple","Annual","Annual","Annual")</f>
        <v>QSObject:Swap:w1~swap.5295:10565</v>
      </c>
      <c r="F5297" s="6" t="str">
        <f>_xll.QS.TRADE.CREATE("trade.5295",E5297,A5297,"Receive")</f>
        <v>QSObject:SwapTrade:w1~trade.5295:26759</v>
      </c>
      <c r="G5297" s="3">
        <f>_xll.QS.EVALUATE(C5297,F5297)</f>
        <v>52890.141466975329</v>
      </c>
      <c r="H5297" s="5" t="s">
        <v>5337</v>
      </c>
      <c r="I5297" s="7">
        <v>1529500</v>
      </c>
      <c r="J5297" s="8">
        <v>3.9500000000000007E-2</v>
      </c>
    </row>
    <row r="5298" spans="1:10" x14ac:dyDescent="0.25">
      <c r="A5298" s="5" t="s">
        <v>5331</v>
      </c>
      <c r="B5298" s="5" t="s">
        <v>7165</v>
      </c>
      <c r="C5298" s="6" t="str">
        <f>_xll.QS.CONTEXT.CREATE("market.5296",A5298,"USD","SOFR")</f>
        <v>QSObject:PricingContext:w1~market.5296:10564</v>
      </c>
      <c r="D5298" s="6" t="str">
        <f>_xll.QS.CONTEXT.ADD.CURVE(C5298,"SOFR",$K$2:$K$7,$L$2:$L$7,,,"Actual360","LogLinear",TRUE)</f>
        <v>QSObject:ContextInput:w1~input.qs_context_add_curve.2359132437744.5297.3.0:35254</v>
      </c>
      <c r="E5298" s="6" t="str">
        <f>_xll.QS.INSTRUMENT.SWAP("swap.5296",H5298,B5298,"USD","SOFR",I5298,J5298,0,"Actual360","Simple","Annual","Annual","Annual")</f>
        <v>QSObject:Swap:w1~swap.5296:10563</v>
      </c>
      <c r="F5298" s="6" t="str">
        <f>_xll.QS.TRADE.CREATE("trade.5296",E5298,A5298,"Receive")</f>
        <v>QSObject:SwapTrade:w1~trade.5296:26758</v>
      </c>
      <c r="G5298" s="3">
        <f>_xll.QS.EVALUATE(C5298,F5298)</f>
        <v>53600.077022925587</v>
      </c>
      <c r="H5298" s="5" t="s">
        <v>5338</v>
      </c>
      <c r="I5298" s="7">
        <v>1529600</v>
      </c>
      <c r="J5298" s="8">
        <v>3.9600000000000003E-2</v>
      </c>
    </row>
    <row r="5299" spans="1:10" x14ac:dyDescent="0.25">
      <c r="A5299" s="5" t="s">
        <v>5332</v>
      </c>
      <c r="B5299" s="5" t="s">
        <v>7166</v>
      </c>
      <c r="C5299" s="6" t="str">
        <f>_xll.QS.CONTEXT.CREATE("market.5297",A5299,"USD","SOFR")</f>
        <v>QSObject:PricingContext:w1~market.5297:10562</v>
      </c>
      <c r="D5299" s="6" t="str">
        <f>_xll.QS.CONTEXT.ADD.CURVE(C5299,"SOFR",$K$2:$K$7,$L$2:$L$7,,,"Actual360","LogLinear",TRUE)</f>
        <v>QSObject:ContextInput:w1~input.qs_context_add_curve.2359132437744.5298.3.0:35253</v>
      </c>
      <c r="E5299" s="6" t="str">
        <f>_xll.QS.INSTRUMENT.SWAP("swap.5297",H5299,B5299,"USD","SOFR",I5299,J5299,0,"Actual360","Simple","Annual","Annual","Annual")</f>
        <v>QSObject:Swap:w1~swap.5297:10561</v>
      </c>
      <c r="F5299" s="6" t="str">
        <f>_xll.QS.TRADE.CREATE("trade.5297",E5299,A5299,"Receive")</f>
        <v>QSObject:SwapTrade:w1~trade.5297:26757</v>
      </c>
      <c r="G5299" s="3">
        <f>_xll.QS.EVALUATE(C5299,F5299)</f>
        <v>54180.619230619763</v>
      </c>
      <c r="H5299" s="5" t="s">
        <v>5339</v>
      </c>
      <c r="I5299" s="7">
        <v>1529700</v>
      </c>
      <c r="J5299" s="8">
        <v>3.9700000000000013E-2</v>
      </c>
    </row>
    <row r="5300" spans="1:10" x14ac:dyDescent="0.25">
      <c r="A5300" s="5" t="s">
        <v>5333</v>
      </c>
      <c r="B5300" s="5" t="s">
        <v>7167</v>
      </c>
      <c r="C5300" s="6" t="str">
        <f>_xll.QS.CONTEXT.CREATE("market.5298",A5300,"USD","SOFR")</f>
        <v>QSObject:PricingContext:w1~market.5298:10560</v>
      </c>
      <c r="D5300" s="6" t="str">
        <f>_xll.QS.CONTEXT.ADD.CURVE(C5300,"SOFR",$K$2:$K$7,$L$2:$L$7,,,"Actual360","LogLinear",TRUE)</f>
        <v>QSObject:ContextInput:w1~input.qs_context_add_curve.2359132437744.5299.3.0:35252</v>
      </c>
      <c r="E5300" s="6" t="str">
        <f>_xll.QS.INSTRUMENT.SWAP("swap.5298",H5300,B5300,"USD","SOFR",I5300,J5300,0,"Actual360","Simple","Annual","Annual","Annual")</f>
        <v>QSObject:Swap:w1~swap.5298:10559</v>
      </c>
      <c r="F5300" s="6" t="str">
        <f>_xll.QS.TRADE.CREATE("trade.5298",E5300,A5300,"Receive")</f>
        <v>QSObject:SwapTrade:w1~trade.5298:26756</v>
      </c>
      <c r="G5300" s="3">
        <f>_xll.QS.EVALUATE(C5300,F5300)</f>
        <v>54799.9928640125</v>
      </c>
      <c r="H5300" s="5" t="s">
        <v>5340</v>
      </c>
      <c r="I5300" s="7">
        <v>1529800</v>
      </c>
      <c r="J5300" s="8">
        <v>3.9800000000000002E-2</v>
      </c>
    </row>
    <row r="5301" spans="1:10" x14ac:dyDescent="0.25">
      <c r="A5301" s="5" t="s">
        <v>5334</v>
      </c>
      <c r="B5301" s="5" t="s">
        <v>7168</v>
      </c>
      <c r="C5301" s="6" t="str">
        <f>_xll.QS.CONTEXT.CREATE("market.5299",A5301,"USD","SOFR")</f>
        <v>QSObject:PricingContext:w1~market.5299:10558</v>
      </c>
      <c r="D5301" s="6" t="str">
        <f>_xll.QS.CONTEXT.ADD.CURVE(C5301,"SOFR",$K$2:$K$7,$L$2:$L$7,,,"Actual360","LogLinear",TRUE)</f>
        <v>QSObject:ContextInput:w1~input.qs_context_add_curve.2359132437744.5300.3.0:35251</v>
      </c>
      <c r="E5301" s="6" t="str">
        <f>_xll.QS.INSTRUMENT.SWAP("swap.5299",H5301,B5301,"USD","SOFR",I5301,J5301,0,"Actual360","Simple","Annual","Annual","Annual")</f>
        <v>QSObject:Swap:w1~swap.5299:10557</v>
      </c>
      <c r="F5301" s="6" t="str">
        <f>_xll.QS.TRADE.CREATE("trade.5299",E5301,A5301,"Receive")</f>
        <v>QSObject:SwapTrade:w1~trade.5299:26755</v>
      </c>
      <c r="G5301" s="3">
        <f>_xll.QS.EVALUATE(C5301,F5301)</f>
        <v>55513.625543795082</v>
      </c>
      <c r="H5301" s="5" t="s">
        <v>5341</v>
      </c>
      <c r="I5301" s="7">
        <v>1529900</v>
      </c>
      <c r="J5301" s="8">
        <v>3.9899999999999998E-2</v>
      </c>
    </row>
    <row r="5302" spans="1:10" x14ac:dyDescent="0.25">
      <c r="A5302" s="5" t="s">
        <v>5335</v>
      </c>
      <c r="B5302" s="5" t="s">
        <v>7169</v>
      </c>
      <c r="C5302" s="6" t="str">
        <f>_xll.QS.CONTEXT.CREATE("market.5300",A5302,"USD","SOFR")</f>
        <v>QSObject:PricingContext:w1~market.5300:10556</v>
      </c>
      <c r="D5302" s="6" t="str">
        <f>_xll.QS.CONTEXT.ADD.CURVE(C5302,"SOFR",$K$2:$K$7,$L$2:$L$7,,,"Actual360","LogLinear",TRUE)</f>
        <v>QSObject:ContextInput:w1~input.qs_context_add_curve.2359132437744.5301.3.0:35250</v>
      </c>
      <c r="E5302" s="6" t="str">
        <f>_xll.QS.INSTRUMENT.SWAP("swap.5300",H5302,B5302,"USD","SOFR",I5302,J5302,0,"Actual360","Simple","Annual","Annual","Annual")</f>
        <v>QSObject:Swap:w1~swap.5300:10555</v>
      </c>
      <c r="F5302" s="6" t="str">
        <f>_xll.QS.TRADE.CREATE("trade.5300",E5302,A5302,"Receive")</f>
        <v>QSObject:SwapTrade:w1~trade.5300:26754</v>
      </c>
      <c r="G5302" s="3">
        <f>_xll.QS.EVALUATE(C5302,F5302)</f>
        <v>20977.696512936614</v>
      </c>
      <c r="H5302" s="5" t="s">
        <v>5342</v>
      </c>
      <c r="I5302" s="7">
        <v>1530000</v>
      </c>
      <c r="J5302" s="8">
        <v>3.5000000000000003E-2</v>
      </c>
    </row>
    <row r="5303" spans="1:10" x14ac:dyDescent="0.25">
      <c r="A5303" s="5" t="s">
        <v>5336</v>
      </c>
      <c r="B5303" s="5" t="s">
        <v>7170</v>
      </c>
      <c r="C5303" s="6" t="str">
        <f>_xll.QS.CONTEXT.CREATE("market.5301",A5303,"USD","SOFR")</f>
        <v>QSObject:PricingContext:w1~market.5301:10554</v>
      </c>
      <c r="D5303" s="6" t="str">
        <f>_xll.QS.CONTEXT.ADD.CURVE(C5303,"SOFR",$K$2:$K$7,$L$2:$L$7,,,"Actual360","LogLinear",TRUE)</f>
        <v>QSObject:ContextInput:w1~input.qs_context_add_curve.2359132437744.5302.3.0:35249</v>
      </c>
      <c r="E5303" s="6" t="str">
        <f>_xll.QS.INSTRUMENT.SWAP("swap.5301",H5303,B5303,"USD","SOFR",I5303,J5303,0,"Actual360","Simple","Annual","Annual","Annual")</f>
        <v>QSObject:Swap:w1~swap.5301:10553</v>
      </c>
      <c r="F5303" s="6" t="str">
        <f>_xll.QS.TRADE.CREATE("trade.5301",E5303,A5303,"Receive")</f>
        <v>QSObject:SwapTrade:w1~trade.5301:26753</v>
      </c>
      <c r="G5303" s="3">
        <f>_xll.QS.EVALUATE(C5303,F5303)</f>
        <v>21796.171773661124</v>
      </c>
      <c r="H5303" s="5" t="s">
        <v>5343</v>
      </c>
      <c r="I5303" s="7">
        <v>1530100</v>
      </c>
      <c r="J5303" s="8">
        <v>3.5100000000000013E-2</v>
      </c>
    </row>
    <row r="5304" spans="1:10" x14ac:dyDescent="0.25">
      <c r="A5304" s="5" t="s">
        <v>5337</v>
      </c>
      <c r="B5304" s="5" t="s">
        <v>7171</v>
      </c>
      <c r="C5304" s="6" t="str">
        <f>_xll.QS.CONTEXT.CREATE("market.5302",A5304,"USD","SOFR")</f>
        <v>QSObject:PricingContext:w1~market.5302:10552</v>
      </c>
      <c r="D5304" s="6" t="str">
        <f>_xll.QS.CONTEXT.ADD.CURVE(C5304,"SOFR",$K$2:$K$7,$L$2:$L$7,,,"Actual360","LogLinear",TRUE)</f>
        <v>QSObject:ContextInput:w1~input.qs_context_add_curve.2359132437744.5303.3.0:35248</v>
      </c>
      <c r="E5304" s="6" t="str">
        <f>_xll.QS.INSTRUMENT.SWAP("swap.5302",H5304,B5304,"USD","SOFR",I5304,J5304,0,"Actual360","Simple","Annual","Annual","Annual")</f>
        <v>QSObject:Swap:w1~swap.5302:10551</v>
      </c>
      <c r="F5304" s="6" t="str">
        <f>_xll.QS.TRADE.CREATE("trade.5302",E5304,A5304,"Receive")</f>
        <v>QSObject:SwapTrade:w1~trade.5302:26752</v>
      </c>
      <c r="G5304" s="3">
        <f>_xll.QS.EVALUATE(C5304,F5304)</f>
        <v>22569.903505833659</v>
      </c>
      <c r="H5304" s="5" t="s">
        <v>5344</v>
      </c>
      <c r="I5304" s="7">
        <v>1530200</v>
      </c>
      <c r="J5304" s="8">
        <v>3.5200000000000002E-2</v>
      </c>
    </row>
    <row r="5305" spans="1:10" x14ac:dyDescent="0.25">
      <c r="A5305" s="5" t="s">
        <v>5338</v>
      </c>
      <c r="B5305" s="5" t="s">
        <v>7172</v>
      </c>
      <c r="C5305" s="6" t="str">
        <f>_xll.QS.CONTEXT.CREATE("market.5303",A5305,"USD","SOFR")</f>
        <v>QSObject:PricingContext:w1~market.5303:10550</v>
      </c>
      <c r="D5305" s="6" t="str">
        <f>_xll.QS.CONTEXT.ADD.CURVE(C5305,"SOFR",$K$2:$K$7,$L$2:$L$7,,,"Actual360","LogLinear",TRUE)</f>
        <v>QSObject:ContextInput:w1~input.qs_context_add_curve.2359132437744.5304.3.0:35247</v>
      </c>
      <c r="E5305" s="6" t="str">
        <f>_xll.QS.INSTRUMENT.SWAP("swap.5303",H5305,B5305,"USD","SOFR",I5305,J5305,0,"Actual360","Simple","Annual","Annual","Annual")</f>
        <v>QSObject:Swap:w1~swap.5303:10549</v>
      </c>
      <c r="F5305" s="6" t="str">
        <f>_xll.QS.TRADE.CREATE("trade.5303",E5305,A5305,"Receive")</f>
        <v>QSObject:SwapTrade:w1~trade.5303:26751</v>
      </c>
      <c r="G5305" s="3">
        <f>_xll.QS.EVALUATE(C5305,F5305)</f>
        <v>23218.258450564528</v>
      </c>
      <c r="H5305" s="5" t="s">
        <v>5345</v>
      </c>
      <c r="I5305" s="7">
        <v>1530300</v>
      </c>
      <c r="J5305" s="8">
        <v>3.5299999999999998E-2</v>
      </c>
    </row>
    <row r="5306" spans="1:10" x14ac:dyDescent="0.25">
      <c r="A5306" s="5" t="s">
        <v>5339</v>
      </c>
      <c r="B5306" s="5" t="s">
        <v>7173</v>
      </c>
      <c r="C5306" s="6" t="str">
        <f>_xll.QS.CONTEXT.CREATE("market.5304",A5306,"USD","SOFR")</f>
        <v>QSObject:PricingContext:w1~market.5304:10548</v>
      </c>
      <c r="D5306" s="6" t="str">
        <f>_xll.QS.CONTEXT.ADD.CURVE(C5306,"SOFR",$K$2:$K$7,$L$2:$L$7,,,"Actual360","LogLinear",TRUE)</f>
        <v>QSObject:ContextInput:w1~input.qs_context_add_curve.2359132437744.5305.3.0:35246</v>
      </c>
      <c r="E5306" s="6" t="str">
        <f>_xll.QS.INSTRUMENT.SWAP("swap.5304",H5306,B5306,"USD","SOFR",I5306,J5306,0,"Actual360","Simple","Annual","Annual","Annual")</f>
        <v>QSObject:Swap:w1~swap.5304:10547</v>
      </c>
      <c r="F5306" s="6" t="str">
        <f>_xll.QS.TRADE.CREATE("trade.5304",E5306,A5306,"Receive")</f>
        <v>QSObject:SwapTrade:w1~trade.5304:26750</v>
      </c>
      <c r="G5306" s="3">
        <f>_xll.QS.EVALUATE(C5306,F5306)</f>
        <v>23832.830994093936</v>
      </c>
      <c r="H5306" s="5" t="s">
        <v>5346</v>
      </c>
      <c r="I5306" s="7">
        <v>1530400</v>
      </c>
      <c r="J5306" s="8">
        <v>3.5400000000000001E-2</v>
      </c>
    </row>
    <row r="5307" spans="1:10" x14ac:dyDescent="0.25">
      <c r="A5307" s="5" t="s">
        <v>5340</v>
      </c>
      <c r="B5307" s="5" t="s">
        <v>7174</v>
      </c>
      <c r="C5307" s="6" t="str">
        <f>_xll.QS.CONTEXT.CREATE("market.5305",A5307,"USD","SOFR")</f>
        <v>QSObject:PricingContext:w1~market.5305:10546</v>
      </c>
      <c r="D5307" s="6" t="str">
        <f>_xll.QS.CONTEXT.ADD.CURVE(C5307,"SOFR",$K$2:$K$7,$L$2:$L$7,,,"Actual360","LogLinear",TRUE)</f>
        <v>QSObject:ContextInput:w1~input.qs_context_add_curve.2359132437744.5306.3.0:35245</v>
      </c>
      <c r="E5307" s="6" t="str">
        <f>_xll.QS.INSTRUMENT.SWAP("swap.5305",H5307,B5307,"USD","SOFR",I5307,J5307,0,"Actual360","Simple","Annual","Annual","Annual")</f>
        <v>QSObject:Swap:w1~swap.5305:10545</v>
      </c>
      <c r="F5307" s="6" t="str">
        <f>_xll.QS.TRADE.CREATE("trade.5305",E5307,A5307,"Receive")</f>
        <v>QSObject:SwapTrade:w1~trade.5305:26749</v>
      </c>
      <c r="G5307" s="3">
        <f>_xll.QS.EVALUATE(C5307,F5307)</f>
        <v>24403.662674443651</v>
      </c>
      <c r="H5307" s="5" t="s">
        <v>5347</v>
      </c>
      <c r="I5307" s="7">
        <v>1530500</v>
      </c>
      <c r="J5307" s="8">
        <v>3.5499999999999997E-2</v>
      </c>
    </row>
    <row r="5308" spans="1:10" x14ac:dyDescent="0.25">
      <c r="A5308" s="5" t="s">
        <v>5341</v>
      </c>
      <c r="B5308" s="5" t="s">
        <v>7175</v>
      </c>
      <c r="C5308" s="6" t="str">
        <f>_xll.QS.CONTEXT.CREATE("market.5306",A5308,"USD","SOFR")</f>
        <v>QSObject:PricingContext:w1~market.5306:10544</v>
      </c>
      <c r="D5308" s="6" t="str">
        <f>_xll.QS.CONTEXT.ADD.CURVE(C5308,"SOFR",$K$2:$K$7,$L$2:$L$7,,,"Actual360","LogLinear",TRUE)</f>
        <v>QSObject:ContextInput:w1~input.qs_context_add_curve.2359132437744.5307.3.0:35244</v>
      </c>
      <c r="E5308" s="6" t="str">
        <f>_xll.QS.INSTRUMENT.SWAP("swap.5306",H5308,B5308,"USD","SOFR",I5308,J5308,0,"Actual360","Simple","Annual","Annual","Annual")</f>
        <v>QSObject:Swap:w1~swap.5306:10543</v>
      </c>
      <c r="F5308" s="6" t="str">
        <f>_xll.QS.TRADE.CREATE("trade.5306",E5308,A5308,"Receive")</f>
        <v>QSObject:SwapTrade:w1~trade.5306:26748</v>
      </c>
      <c r="G5308" s="3">
        <f>_xll.QS.EVALUATE(C5308,F5308)</f>
        <v>25174.527844772158</v>
      </c>
      <c r="H5308" s="5" t="s">
        <v>5348</v>
      </c>
      <c r="I5308" s="7">
        <v>1530600</v>
      </c>
      <c r="J5308" s="8">
        <v>3.5600000000000007E-2</v>
      </c>
    </row>
    <row r="5309" spans="1:10" x14ac:dyDescent="0.25">
      <c r="A5309" s="5" t="s">
        <v>5342</v>
      </c>
      <c r="B5309" s="5" t="s">
        <v>7176</v>
      </c>
      <c r="C5309" s="6" t="str">
        <f>_xll.QS.CONTEXT.CREATE("market.5307",A5309,"USD","SOFR")</f>
        <v>QSObject:PricingContext:w1~market.5307:10542</v>
      </c>
      <c r="D5309" s="6" t="str">
        <f>_xll.QS.CONTEXT.ADD.CURVE(C5309,"SOFR",$K$2:$K$7,$L$2:$L$7,,,"Actual360","LogLinear",TRUE)</f>
        <v>QSObject:ContextInput:w1~input.qs_context_add_curve.2359132437744.5308.3.0:35243</v>
      </c>
      <c r="E5309" s="6" t="str">
        <f>_xll.QS.INSTRUMENT.SWAP("swap.5307",H5309,B5309,"USD","SOFR",I5309,J5309,0,"Actual360","Simple","Annual","Annual","Annual")</f>
        <v>QSObject:Swap:w1~swap.5307:10541</v>
      </c>
      <c r="F5309" s="6" t="str">
        <f>_xll.QS.TRADE.CREATE("trade.5307",E5309,A5309,"Receive")</f>
        <v>QSObject:SwapTrade:w1~trade.5307:26747</v>
      </c>
      <c r="G5309" s="3">
        <f>_xll.QS.EVALUATE(C5309,F5309)</f>
        <v>25928.277941415749</v>
      </c>
      <c r="H5309" s="5" t="s">
        <v>5349</v>
      </c>
      <c r="I5309" s="7">
        <v>1530700</v>
      </c>
      <c r="J5309" s="8">
        <v>3.5700000000000003E-2</v>
      </c>
    </row>
    <row r="5310" spans="1:10" x14ac:dyDescent="0.25">
      <c r="A5310" s="5" t="s">
        <v>5343</v>
      </c>
      <c r="B5310" s="5" t="s">
        <v>7177</v>
      </c>
      <c r="C5310" s="6" t="str">
        <f>_xll.QS.CONTEXT.CREATE("market.5308",A5310,"USD","SOFR")</f>
        <v>QSObject:PricingContext:w1~market.5308:10540</v>
      </c>
      <c r="D5310" s="6" t="str">
        <f>_xll.QS.CONTEXT.ADD.CURVE(C5310,"SOFR",$K$2:$K$7,$L$2:$L$7,,,"Actual360","LogLinear",TRUE)</f>
        <v>QSObject:ContextInput:w1~input.qs_context_add_curve.2359132437744.5309.3.0:35242</v>
      </c>
      <c r="E5310" s="6" t="str">
        <f>_xll.QS.INSTRUMENT.SWAP("swap.5308",H5310,B5310,"USD","SOFR",I5310,J5310,0,"Actual360","Simple","Annual","Annual","Annual")</f>
        <v>QSObject:Swap:w1~swap.5308:10539</v>
      </c>
      <c r="F5310" s="6" t="str">
        <f>_xll.QS.TRADE.CREATE("trade.5308",E5310,A5310,"Receive")</f>
        <v>QSObject:SwapTrade:w1~trade.5308:26746</v>
      </c>
      <c r="G5310" s="3">
        <f>_xll.QS.EVALUATE(C5310,F5310)</f>
        <v>26747.523128103661</v>
      </c>
      <c r="H5310" s="5" t="s">
        <v>5350</v>
      </c>
      <c r="I5310" s="7">
        <v>1530800</v>
      </c>
      <c r="J5310" s="8">
        <v>3.5800000000000012E-2</v>
      </c>
    </row>
    <row r="5311" spans="1:10" x14ac:dyDescent="0.25">
      <c r="A5311" s="5" t="s">
        <v>5344</v>
      </c>
      <c r="B5311" s="5" t="s">
        <v>7178</v>
      </c>
      <c r="C5311" s="6" t="str">
        <f>_xll.QS.CONTEXT.CREATE("market.5309",A5311,"USD","SOFR")</f>
        <v>QSObject:PricingContext:w1~market.5309:10538</v>
      </c>
      <c r="D5311" s="6" t="str">
        <f>_xll.QS.CONTEXT.ADD.CURVE(C5311,"SOFR",$K$2:$K$7,$L$2:$L$7,,,"Actual360","LogLinear",TRUE)</f>
        <v>QSObject:ContextInput:w1~input.qs_context_add_curve.2359132437744.5310.3.0:35241</v>
      </c>
      <c r="E5311" s="6" t="str">
        <f>_xll.QS.INSTRUMENT.SWAP("swap.5309",H5311,B5311,"USD","SOFR",I5311,J5311,0,"Actual360","Simple","Annual","Annual","Annual")</f>
        <v>QSObject:Swap:w1~swap.5309:10537</v>
      </c>
      <c r="F5311" s="6" t="str">
        <f>_xll.QS.TRADE.CREATE("trade.5309",E5311,A5311,"Receive")</f>
        <v>QSObject:SwapTrade:w1~trade.5309:26745</v>
      </c>
      <c r="G5311" s="3">
        <f>_xll.QS.EVALUATE(C5311,F5311)</f>
        <v>27521.987694043608</v>
      </c>
      <c r="H5311" s="5" t="s">
        <v>5351</v>
      </c>
      <c r="I5311" s="7">
        <v>1530900</v>
      </c>
      <c r="J5311" s="8">
        <v>3.5900000000000001E-2</v>
      </c>
    </row>
    <row r="5312" spans="1:10" x14ac:dyDescent="0.25">
      <c r="A5312" s="5" t="s">
        <v>5345</v>
      </c>
      <c r="B5312" s="5" t="s">
        <v>7179</v>
      </c>
      <c r="C5312" s="6" t="str">
        <f>_xll.QS.CONTEXT.CREATE("market.5310",A5312,"USD","SOFR")</f>
        <v>QSObject:PricingContext:w1~market.5310:10536</v>
      </c>
      <c r="D5312" s="6" t="str">
        <f>_xll.QS.CONTEXT.ADD.CURVE(C5312,"SOFR",$K$2:$K$7,$L$2:$L$7,,,"Actual360","LogLinear",TRUE)</f>
        <v>QSObject:ContextInput:w1~input.qs_context_add_curve.2359132437744.5311.3.0:35240</v>
      </c>
      <c r="E5312" s="6" t="str">
        <f>_xll.QS.INSTRUMENT.SWAP("swap.5310",H5312,B5312,"USD","SOFR",I5312,J5312,0,"Actual360","Simple","Annual","Annual","Annual")</f>
        <v>QSObject:Swap:w1~swap.5310:10535</v>
      </c>
      <c r="F5312" s="6" t="str">
        <f>_xll.QS.TRADE.CREATE("trade.5310",E5312,A5312,"Receive")</f>
        <v>QSObject:SwapTrade:w1~trade.5310:26744</v>
      </c>
      <c r="G5312" s="3">
        <f>_xll.QS.EVALUATE(C5312,F5312)</f>
        <v>28170.907934605093</v>
      </c>
      <c r="H5312" s="5" t="s">
        <v>5352</v>
      </c>
      <c r="I5312" s="7">
        <v>1531000</v>
      </c>
      <c r="J5312" s="8">
        <v>3.5999999999999997E-2</v>
      </c>
    </row>
    <row r="5313" spans="1:10" x14ac:dyDescent="0.25">
      <c r="A5313" s="5" t="s">
        <v>5346</v>
      </c>
      <c r="B5313" s="5" t="s">
        <v>7180</v>
      </c>
      <c r="C5313" s="6" t="str">
        <f>_xll.QS.CONTEXT.CREATE("market.5311",A5313,"USD","SOFR")</f>
        <v>QSObject:PricingContext:w1~market.5311:10534</v>
      </c>
      <c r="D5313" s="6" t="str">
        <f>_xll.QS.CONTEXT.ADD.CURVE(C5313,"SOFR",$K$2:$K$7,$L$2:$L$7,,,"Actual360","LogLinear",TRUE)</f>
        <v>QSObject:ContextInput:w1~input.qs_context_add_curve.2359132437744.5312.3.0:35239</v>
      </c>
      <c r="E5313" s="6" t="str">
        <f>_xll.QS.INSTRUMENT.SWAP("swap.5311",H5313,B5313,"USD","SOFR",I5313,J5313,0,"Actual360","Simple","Annual","Annual","Annual")</f>
        <v>QSObject:Swap:w1~swap.5311:10533</v>
      </c>
      <c r="F5313" s="6" t="str">
        <f>_xll.QS.TRADE.CREATE("trade.5311",E5313,A5313,"Receive")</f>
        <v>QSObject:SwapTrade:w1~trade.5311:26743</v>
      </c>
      <c r="G5313" s="3">
        <f>_xll.QS.EVALUATE(C5313,F5313)</f>
        <v>28780.263538477695</v>
      </c>
      <c r="H5313" s="5" t="s">
        <v>5353</v>
      </c>
      <c r="I5313" s="7">
        <v>1531100</v>
      </c>
      <c r="J5313" s="8">
        <v>3.61E-2</v>
      </c>
    </row>
    <row r="5314" spans="1:10" x14ac:dyDescent="0.25">
      <c r="A5314" s="5" t="s">
        <v>5347</v>
      </c>
      <c r="B5314" s="5" t="s">
        <v>7181</v>
      </c>
      <c r="C5314" s="6" t="str">
        <f>_xll.QS.CONTEXT.CREATE("market.5312",A5314,"USD","SOFR")</f>
        <v>QSObject:PricingContext:w1~market.5312:10532</v>
      </c>
      <c r="D5314" s="6" t="str">
        <f>_xll.QS.CONTEXT.ADD.CURVE(C5314,"SOFR",$K$2:$K$7,$L$2:$L$7,,,"Actual360","LogLinear",TRUE)</f>
        <v>QSObject:ContextInput:w1~input.qs_context_add_curve.2359132437744.5313.3.0:35238</v>
      </c>
      <c r="E5314" s="6" t="str">
        <f>_xll.QS.INSTRUMENT.SWAP("swap.5312",H5314,B5314,"USD","SOFR",I5314,J5314,0,"Actual360","Simple","Annual","Annual","Annual")</f>
        <v>QSObject:Swap:w1~swap.5312:10531</v>
      </c>
      <c r="F5314" s="6" t="str">
        <f>_xll.QS.TRADE.CREATE("trade.5312",E5314,A5314,"Receive")</f>
        <v>QSObject:SwapTrade:w1~trade.5312:26742</v>
      </c>
      <c r="G5314" s="3">
        <f>_xll.QS.EVALUATE(C5314,F5314)</f>
        <v>29359.340771850715</v>
      </c>
      <c r="H5314" s="5" t="s">
        <v>5354</v>
      </c>
      <c r="I5314" s="7">
        <v>1531200</v>
      </c>
      <c r="J5314" s="8">
        <v>3.6200000000000003E-2</v>
      </c>
    </row>
    <row r="5315" spans="1:10" x14ac:dyDescent="0.25">
      <c r="A5315" s="5" t="s">
        <v>5348</v>
      </c>
      <c r="B5315" s="5" t="s">
        <v>7182</v>
      </c>
      <c r="C5315" s="6" t="str">
        <f>_xll.QS.CONTEXT.CREATE("market.5313",A5315,"USD","SOFR")</f>
        <v>QSObject:PricingContext:w1~market.5313:10530</v>
      </c>
      <c r="D5315" s="6" t="str">
        <f>_xll.QS.CONTEXT.ADD.CURVE(C5315,"SOFR",$K$2:$K$7,$L$2:$L$7,,,"Actual360","LogLinear",TRUE)</f>
        <v>QSObject:ContextInput:w1~input.qs_context_add_curve.2359132437744.5314.3.0:35237</v>
      </c>
      <c r="E5315" s="6" t="str">
        <f>_xll.QS.INSTRUMENT.SWAP("swap.5313",H5315,B5315,"USD","SOFR",I5315,J5315,0,"Actual360","Simple","Annual","Annual","Annual")</f>
        <v>QSObject:Swap:w1~swap.5313:10529</v>
      </c>
      <c r="F5315" s="6" t="str">
        <f>_xll.QS.TRADE.CREATE("trade.5313",E5315,A5315,"Receive")</f>
        <v>QSObject:SwapTrade:w1~trade.5313:26741</v>
      </c>
      <c r="G5315" s="3">
        <f>_xll.QS.EVALUATE(C5315,F5315)</f>
        <v>30131.35950403021</v>
      </c>
      <c r="H5315" s="5" t="s">
        <v>5355</v>
      </c>
      <c r="I5315" s="7">
        <v>1531300</v>
      </c>
      <c r="J5315" s="8">
        <v>3.6300000000000013E-2</v>
      </c>
    </row>
    <row r="5316" spans="1:10" x14ac:dyDescent="0.25">
      <c r="A5316" s="5" t="s">
        <v>5349</v>
      </c>
      <c r="B5316" s="5" t="s">
        <v>7183</v>
      </c>
      <c r="C5316" s="6" t="str">
        <f>_xll.QS.CONTEXT.CREATE("market.5314",A5316,"USD","SOFR")</f>
        <v>QSObject:PricingContext:w1~market.5314:10528</v>
      </c>
      <c r="D5316" s="6" t="str">
        <f>_xll.QS.CONTEXT.ADD.CURVE(C5316,"SOFR",$K$2:$K$7,$L$2:$L$7,,,"Actual360","LogLinear",TRUE)</f>
        <v>QSObject:ContextInput:w1~input.qs_context_add_curve.2359132437744.5315.3.0:35236</v>
      </c>
      <c r="E5316" s="6" t="str">
        <f>_xll.QS.INSTRUMENT.SWAP("swap.5314",H5316,B5316,"USD","SOFR",I5316,J5316,0,"Actual360","Simple","Annual","Annual","Annual")</f>
        <v>QSObject:Swap:w1~swap.5314:10527</v>
      </c>
      <c r="F5316" s="6" t="str">
        <f>_xll.QS.TRADE.CREATE("trade.5314",E5316,A5316,"Receive")</f>
        <v>QSObject:SwapTrade:w1~trade.5314:26740</v>
      </c>
      <c r="G5316" s="3">
        <f>_xll.QS.EVALUATE(C5316,F5316)</f>
        <v>30883.378463973269</v>
      </c>
      <c r="H5316" s="5" t="s">
        <v>5356</v>
      </c>
      <c r="I5316" s="7">
        <v>1531400</v>
      </c>
      <c r="J5316" s="8">
        <v>3.6400000000000002E-2</v>
      </c>
    </row>
    <row r="5317" spans="1:10" x14ac:dyDescent="0.25">
      <c r="A5317" s="5" t="s">
        <v>5350</v>
      </c>
      <c r="B5317" s="5" t="s">
        <v>7184</v>
      </c>
      <c r="C5317" s="6" t="str">
        <f>_xll.QS.CONTEXT.CREATE("market.5315",A5317,"USD","SOFR")</f>
        <v>QSObject:PricingContext:w1~market.5315:10526</v>
      </c>
      <c r="D5317" s="6" t="str">
        <f>_xll.QS.CONTEXT.ADD.CURVE(C5317,"SOFR",$K$2:$K$7,$L$2:$L$7,,,"Actual360","LogLinear",TRUE)</f>
        <v>QSObject:ContextInput:w1~input.qs_context_add_curve.2359132437744.5316.3.0:35235</v>
      </c>
      <c r="E5317" s="6" t="str">
        <f>_xll.QS.INSTRUMENT.SWAP("swap.5315",H5317,B5317,"USD","SOFR",I5317,J5317,0,"Actual360","Simple","Annual","Annual","Annual")</f>
        <v>QSObject:Swap:w1~swap.5315:10525</v>
      </c>
      <c r="F5317" s="6" t="str">
        <f>_xll.QS.TRADE.CREATE("trade.5315",E5317,A5317,"Receive")</f>
        <v>QSObject:SwapTrade:w1~trade.5315:26739</v>
      </c>
      <c r="G5317" s="3">
        <f>_xll.QS.EVALUATE(C5317,F5317)</f>
        <v>31703.393643678835</v>
      </c>
      <c r="H5317" s="5" t="s">
        <v>5357</v>
      </c>
      <c r="I5317" s="7">
        <v>1531500</v>
      </c>
      <c r="J5317" s="8">
        <v>3.6499999999999998E-2</v>
      </c>
    </row>
    <row r="5318" spans="1:10" x14ac:dyDescent="0.25">
      <c r="A5318" s="5" t="s">
        <v>5351</v>
      </c>
      <c r="B5318" s="5" t="s">
        <v>7185</v>
      </c>
      <c r="C5318" s="6" t="str">
        <f>_xll.QS.CONTEXT.CREATE("market.5316",A5318,"USD","SOFR")</f>
        <v>QSObject:PricingContext:w1~market.5316:10524</v>
      </c>
      <c r="D5318" s="6" t="str">
        <f>_xll.QS.CONTEXT.ADD.CURVE(C5318,"SOFR",$K$2:$K$7,$L$2:$L$7,,,"Actual360","LogLinear",TRUE)</f>
        <v>QSObject:ContextInput:w1~input.qs_context_add_curve.2359132437744.5317.3.0:35234</v>
      </c>
      <c r="E5318" s="6" t="str">
        <f>_xll.QS.INSTRUMENT.SWAP("swap.5316",H5318,B5318,"USD","SOFR",I5318,J5318,0,"Actual360","Simple","Annual","Annual","Annual")</f>
        <v>QSObject:Swap:w1~swap.5316:10523</v>
      </c>
      <c r="F5318" s="6" t="str">
        <f>_xll.QS.TRADE.CREATE("trade.5316",E5318,A5318,"Receive")</f>
        <v>QSObject:SwapTrade:w1~trade.5316:26738</v>
      </c>
      <c r="G5318" s="3">
        <f>_xll.QS.EVALUATE(C5318,F5318)</f>
        <v>32478.591095274052</v>
      </c>
      <c r="H5318" s="5" t="s">
        <v>5358</v>
      </c>
      <c r="I5318" s="7">
        <v>1531600</v>
      </c>
      <c r="J5318" s="8">
        <v>3.6600000000000001E-2</v>
      </c>
    </row>
    <row r="5319" spans="1:10" x14ac:dyDescent="0.25">
      <c r="A5319" s="5" t="s">
        <v>5352</v>
      </c>
      <c r="B5319" s="5" t="s">
        <v>7186</v>
      </c>
      <c r="C5319" s="6" t="str">
        <f>_xll.QS.CONTEXT.CREATE("market.5317",A5319,"USD","SOFR")</f>
        <v>QSObject:PricingContext:w1~market.5317:10522</v>
      </c>
      <c r="D5319" s="6" t="str">
        <f>_xll.QS.CONTEXT.ADD.CURVE(C5319,"SOFR",$K$2:$K$7,$L$2:$L$7,,,"Actual360","LogLinear",TRUE)</f>
        <v>QSObject:ContextInput:w1~input.qs_context_add_curve.2359132437744.5318.3.0:35233</v>
      </c>
      <c r="E5319" s="6" t="str">
        <f>_xll.QS.INSTRUMENT.SWAP("swap.5317",H5319,B5319,"USD","SOFR",I5319,J5319,0,"Actual360","Simple","Annual","Annual","Annual")</f>
        <v>QSObject:Swap:w1~swap.5317:10521</v>
      </c>
      <c r="F5319" s="6" t="str">
        <f>_xll.QS.TRADE.CREATE("trade.5317",E5319,A5319,"Receive")</f>
        <v>QSObject:SwapTrade:w1~trade.5317:26737</v>
      </c>
      <c r="G5319" s="3">
        <f>_xll.QS.EVALUATE(C5319,F5319)</f>
        <v>33128.32101862433</v>
      </c>
      <c r="H5319" s="5" t="s">
        <v>5359</v>
      </c>
      <c r="I5319" s="7">
        <v>1531700</v>
      </c>
      <c r="J5319" s="8">
        <v>3.6700000000000003E-2</v>
      </c>
    </row>
    <row r="5320" spans="1:10" x14ac:dyDescent="0.25">
      <c r="A5320" s="5" t="s">
        <v>5353</v>
      </c>
      <c r="B5320" s="5" t="s">
        <v>7187</v>
      </c>
      <c r="C5320" s="6" t="str">
        <f>_xll.QS.CONTEXT.CREATE("market.5318",A5320,"USD","SOFR")</f>
        <v>QSObject:PricingContext:w1~market.5318:10520</v>
      </c>
      <c r="D5320" s="6" t="str">
        <f>_xll.QS.CONTEXT.ADD.CURVE(C5320,"SOFR",$K$2:$K$7,$L$2:$L$7,,,"Actual360","LogLinear",TRUE)</f>
        <v>QSObject:ContextInput:w1~input.qs_context_add_curve.2359132437744.5319.3.0:35232</v>
      </c>
      <c r="E5320" s="6" t="str">
        <f>_xll.QS.INSTRUMENT.SWAP("swap.5318",H5320,B5320,"USD","SOFR",I5320,J5320,0,"Actual360","Simple","Annual","Annual","Annual")</f>
        <v>QSObject:Swap:w1~swap.5318:10519</v>
      </c>
      <c r="F5320" s="6" t="str">
        <f>_xll.QS.TRADE.CREATE("trade.5318",E5320,A5320,"Receive")</f>
        <v>QSObject:SwapTrade:w1~trade.5318:26736</v>
      </c>
      <c r="G5320" s="3">
        <f>_xll.QS.EVALUATE(C5320,F5320)</f>
        <v>33798.200235974211</v>
      </c>
      <c r="H5320" s="5" t="s">
        <v>5360</v>
      </c>
      <c r="I5320" s="7">
        <v>1531800</v>
      </c>
      <c r="J5320" s="8">
        <v>3.6800000000000013E-2</v>
      </c>
    </row>
    <row r="5321" spans="1:10" x14ac:dyDescent="0.25">
      <c r="A5321" s="5" t="s">
        <v>5354</v>
      </c>
      <c r="B5321" s="5" t="s">
        <v>7188</v>
      </c>
      <c r="C5321" s="6" t="str">
        <f>_xll.QS.CONTEXT.CREATE("market.5319",A5321,"USD","SOFR")</f>
        <v>QSObject:PricingContext:w1~market.5319:10518</v>
      </c>
      <c r="D5321" s="6" t="str">
        <f>_xll.QS.CONTEXT.ADD.CURVE(C5321,"SOFR",$K$2:$K$7,$L$2:$L$7,,,"Actual360","LogLinear",TRUE)</f>
        <v>QSObject:ContextInput:w1~input.qs_context_add_curve.2359132437744.5320.3.0:35231</v>
      </c>
      <c r="E5321" s="6" t="str">
        <f>_xll.QS.INSTRUMENT.SWAP("swap.5319",H5321,B5321,"USD","SOFR",I5321,J5321,0,"Actual360","Simple","Annual","Annual","Annual")</f>
        <v>QSObject:Swap:w1~swap.5319:10517</v>
      </c>
      <c r="F5321" s="6" t="str">
        <f>_xll.QS.TRADE.CREATE("trade.5319",E5321,A5321,"Receive")</f>
        <v>QSObject:SwapTrade:w1~trade.5319:26735</v>
      </c>
      <c r="G5321" s="3">
        <f>_xll.QS.EVALUATE(C5321,F5321)</f>
        <v>34319.539717832995</v>
      </c>
      <c r="H5321" s="5" t="s">
        <v>5361</v>
      </c>
      <c r="I5321" s="7">
        <v>1531900</v>
      </c>
      <c r="J5321" s="8">
        <v>3.6900000000000002E-2</v>
      </c>
    </row>
    <row r="5322" spans="1:10" x14ac:dyDescent="0.25">
      <c r="A5322" s="5" t="s">
        <v>5355</v>
      </c>
      <c r="B5322" s="5" t="s">
        <v>7189</v>
      </c>
      <c r="C5322" s="6" t="str">
        <f>_xll.QS.CONTEXT.CREATE("market.5320",A5322,"USD","SOFR")</f>
        <v>QSObject:PricingContext:w1~market.5320:10516</v>
      </c>
      <c r="D5322" s="6" t="str">
        <f>_xll.QS.CONTEXT.ADD.CURVE(C5322,"SOFR",$K$2:$K$7,$L$2:$L$7,,,"Actual360","LogLinear",TRUE)</f>
        <v>QSObject:ContextInput:w1~input.qs_context_add_curve.2359132437744.5321.3.0:35230</v>
      </c>
      <c r="E5322" s="6" t="str">
        <f>_xll.QS.INSTRUMENT.SWAP("swap.5320",H5322,B5322,"USD","SOFR",I5322,J5322,0,"Actual360","Simple","Annual","Annual","Annual")</f>
        <v>QSObject:Swap:w1~swap.5320:10515</v>
      </c>
      <c r="F5322" s="6" t="str">
        <f>_xll.QS.TRADE.CREATE("trade.5320",E5322,A5322,"Receive")</f>
        <v>QSObject:SwapTrade:w1~trade.5320:26734</v>
      </c>
      <c r="G5322" s="3">
        <f>_xll.QS.EVALUATE(C5322,F5322)</f>
        <v>35092.712449634979</v>
      </c>
      <c r="H5322" s="5" t="s">
        <v>5362</v>
      </c>
      <c r="I5322" s="7">
        <v>1532000</v>
      </c>
      <c r="J5322" s="8">
        <v>3.7000000000000012E-2</v>
      </c>
    </row>
    <row r="5323" spans="1:10" x14ac:dyDescent="0.25">
      <c r="A5323" s="5" t="s">
        <v>5356</v>
      </c>
      <c r="B5323" s="5" t="s">
        <v>7190</v>
      </c>
      <c r="C5323" s="6" t="str">
        <f>_xll.QS.CONTEXT.CREATE("market.5321",A5323,"USD","SOFR")</f>
        <v>QSObject:PricingContext:w1~market.5321:10514</v>
      </c>
      <c r="D5323" s="6" t="str">
        <f>_xll.QS.CONTEXT.ADD.CURVE(C5323,"SOFR",$K$2:$K$7,$L$2:$L$7,,,"Actual360","LogLinear",TRUE)</f>
        <v>QSObject:ContextInput:w1~input.qs_context_add_curve.2359132437744.5322.3.0:35229</v>
      </c>
      <c r="E5323" s="6" t="str">
        <f>_xll.QS.INSTRUMENT.SWAP("swap.5321",H5323,B5323,"USD","SOFR",I5323,J5323,0,"Actual360","Simple","Annual","Annual","Annual")</f>
        <v>QSObject:Swap:w1~swap.5321:10513</v>
      </c>
      <c r="F5323" s="6" t="str">
        <f>_xll.QS.TRADE.CREATE("trade.5321",E5323,A5323,"Receive")</f>
        <v>QSObject:SwapTrade:w1~trade.5321:26733</v>
      </c>
      <c r="G5323" s="3">
        <f>_xll.QS.EVALUATE(C5323,F5323)</f>
        <v>35842.998080608857</v>
      </c>
      <c r="H5323" s="5" t="s">
        <v>5363</v>
      </c>
      <c r="I5323" s="7">
        <v>1532100</v>
      </c>
      <c r="J5323" s="8">
        <v>3.7100000000000001E-2</v>
      </c>
    </row>
    <row r="5324" spans="1:10" x14ac:dyDescent="0.25">
      <c r="A5324" s="5" t="s">
        <v>5357</v>
      </c>
      <c r="B5324" s="5" t="s">
        <v>7191</v>
      </c>
      <c r="C5324" s="6" t="str">
        <f>_xll.QS.CONTEXT.CREATE("market.5322",A5324,"USD","SOFR")</f>
        <v>QSObject:PricingContext:w1~market.5322:10512</v>
      </c>
      <c r="D5324" s="6" t="str">
        <f>_xll.QS.CONTEXT.ADD.CURVE(C5324,"SOFR",$K$2:$K$7,$L$2:$L$7,,,"Actual360","LogLinear",TRUE)</f>
        <v>QSObject:ContextInput:w1~input.qs_context_add_curve.2359132437744.5323.3.0:35228</v>
      </c>
      <c r="E5324" s="6" t="str">
        <f>_xll.QS.INSTRUMENT.SWAP("swap.5322",H5324,B5324,"USD","SOFR",I5324,J5324,0,"Actual360","Simple","Annual","Annual","Annual")</f>
        <v>QSObject:Swap:w1~swap.5322:10511</v>
      </c>
      <c r="F5324" s="6" t="str">
        <f>_xll.QS.TRADE.CREATE("trade.5322",E5324,A5324,"Receive")</f>
        <v>QSObject:SwapTrade:w1~trade.5322:26732</v>
      </c>
      <c r="G5324" s="3">
        <f>_xll.QS.EVALUATE(C5324,F5324)</f>
        <v>36722.892148721839</v>
      </c>
      <c r="H5324" s="5" t="s">
        <v>5364</v>
      </c>
      <c r="I5324" s="7">
        <v>1532200</v>
      </c>
      <c r="J5324" s="8">
        <v>3.7199999999999997E-2</v>
      </c>
    </row>
    <row r="5325" spans="1:10" x14ac:dyDescent="0.25">
      <c r="A5325" s="5" t="s">
        <v>5358</v>
      </c>
      <c r="B5325" s="5" t="s">
        <v>7192</v>
      </c>
      <c r="C5325" s="6" t="str">
        <f>_xll.QS.CONTEXT.CREATE("market.5323",A5325,"USD","SOFR")</f>
        <v>QSObject:PricingContext:w1~market.5323:10510</v>
      </c>
      <c r="D5325" s="6" t="str">
        <f>_xll.QS.CONTEXT.ADD.CURVE(C5325,"SOFR",$K$2:$K$7,$L$2:$L$7,,,"Actual360","LogLinear",TRUE)</f>
        <v>QSObject:ContextInput:w1~input.qs_context_add_curve.2359132437744.5324.3.0:35227</v>
      </c>
      <c r="E5325" s="6" t="str">
        <f>_xll.QS.INSTRUMENT.SWAP("swap.5323",H5325,B5325,"USD","SOFR",I5325,J5325,0,"Actual360","Simple","Annual","Annual","Annual")</f>
        <v>QSObject:Swap:w1~swap.5323:10509</v>
      </c>
      <c r="F5325" s="6" t="str">
        <f>_xll.QS.TRADE.CREATE("trade.5323",E5325,A5325,"Receive")</f>
        <v>QSObject:SwapTrade:w1~trade.5323:26731</v>
      </c>
      <c r="G5325" s="3">
        <f>_xll.QS.EVALUATE(C5325,F5325)</f>
        <v>37439.713709525393</v>
      </c>
      <c r="H5325" s="5" t="s">
        <v>5365</v>
      </c>
      <c r="I5325" s="7">
        <v>1532300</v>
      </c>
      <c r="J5325" s="8">
        <v>3.73E-2</v>
      </c>
    </row>
    <row r="5326" spans="1:10" x14ac:dyDescent="0.25">
      <c r="A5326" s="5" t="s">
        <v>5359</v>
      </c>
      <c r="B5326" s="5" t="s">
        <v>7193</v>
      </c>
      <c r="C5326" s="6" t="str">
        <f>_xll.QS.CONTEXT.CREATE("market.5324",A5326,"USD","SOFR")</f>
        <v>QSObject:PricingContext:w1~market.5324:10508</v>
      </c>
      <c r="D5326" s="6" t="str">
        <f>_xll.QS.CONTEXT.ADD.CURVE(C5326,"SOFR",$K$2:$K$7,$L$2:$L$7,,,"Actual360","LogLinear",TRUE)</f>
        <v>QSObject:ContextInput:w1~input.qs_context_add_curve.2359132437744.5325.3.0:35226</v>
      </c>
      <c r="E5326" s="6" t="str">
        <f>_xll.QS.INSTRUMENT.SWAP("swap.5324",H5326,B5326,"USD","SOFR",I5326,J5326,0,"Actual360","Simple","Annual","Annual","Annual")</f>
        <v>QSObject:Swap:w1~swap.5324:10507</v>
      </c>
      <c r="F5326" s="6" t="str">
        <f>_xll.QS.TRADE.CREATE("trade.5324",E5326,A5326,"Receive")</f>
        <v>QSObject:SwapTrade:w1~trade.5324:26730</v>
      </c>
      <c r="G5326" s="3">
        <f>_xll.QS.EVALUATE(C5326,F5326)</f>
        <v>38089.764395241284</v>
      </c>
      <c r="H5326" s="5" t="s">
        <v>5366</v>
      </c>
      <c r="I5326" s="7">
        <v>1532400</v>
      </c>
      <c r="J5326" s="8">
        <v>3.7400000000000003E-2</v>
      </c>
    </row>
    <row r="5327" spans="1:10" x14ac:dyDescent="0.25">
      <c r="A5327" s="5" t="s">
        <v>5360</v>
      </c>
      <c r="B5327" s="5" t="s">
        <v>7194</v>
      </c>
      <c r="C5327" s="6" t="str">
        <f>_xll.QS.CONTEXT.CREATE("market.5325",A5327,"USD","SOFR")</f>
        <v>QSObject:PricingContext:w1~market.5325:10506</v>
      </c>
      <c r="D5327" s="6" t="str">
        <f>_xll.QS.CONTEXT.ADD.CURVE(C5327,"SOFR",$K$2:$K$7,$L$2:$L$7,,,"Actual360","LogLinear",TRUE)</f>
        <v>QSObject:ContextInput:w1~input.qs_context_add_curve.2359132437744.5326.3.0:35225</v>
      </c>
      <c r="E5327" s="6" t="str">
        <f>_xll.QS.INSTRUMENT.SWAP("swap.5325",H5327,B5327,"USD","SOFR",I5327,J5327,0,"Actual360","Simple","Annual","Annual","Annual")</f>
        <v>QSObject:Swap:w1~swap.5325:10505</v>
      </c>
      <c r="F5327" s="6" t="str">
        <f>_xll.QS.TRADE.CREATE("trade.5325",E5327,A5327,"Receive")</f>
        <v>QSObject:SwapTrade:w1~trade.5325:26729</v>
      </c>
      <c r="G5327" s="3">
        <f>_xll.QS.EVALUATE(C5327,F5327)</f>
        <v>38688.670154405983</v>
      </c>
      <c r="H5327" s="5" t="s">
        <v>5367</v>
      </c>
      <c r="I5327" s="7">
        <v>1532500</v>
      </c>
      <c r="J5327" s="8">
        <v>3.7500000000000012E-2</v>
      </c>
    </row>
    <row r="5328" spans="1:10" x14ac:dyDescent="0.25">
      <c r="A5328" s="5" t="s">
        <v>5361</v>
      </c>
      <c r="B5328" s="5" t="s">
        <v>7195</v>
      </c>
      <c r="C5328" s="6" t="str">
        <f>_xll.QS.CONTEXT.CREATE("market.5326",A5328,"USD","SOFR")</f>
        <v>QSObject:PricingContext:w1~market.5326:10504</v>
      </c>
      <c r="D5328" s="6" t="str">
        <f>_xll.QS.CONTEXT.ADD.CURVE(C5328,"SOFR",$K$2:$K$7,$L$2:$L$7,,,"Actual360","LogLinear",TRUE)</f>
        <v>QSObject:ContextInput:w1~input.qs_context_add_curve.2359132437744.5327.3.0:35224</v>
      </c>
      <c r="E5328" s="6" t="str">
        <f>_xll.QS.INSTRUMENT.SWAP("swap.5326",H5328,B5328,"USD","SOFR",I5328,J5328,0,"Actual360","Simple","Annual","Annual","Annual")</f>
        <v>QSObject:Swap:w1~swap.5326:10503</v>
      </c>
      <c r="F5328" s="6" t="str">
        <f>_xll.QS.TRADE.CREATE("trade.5326",E5328,A5328,"Receive")</f>
        <v>QSObject:SwapTrade:w1~trade.5326:26728</v>
      </c>
      <c r="G5328" s="3">
        <f>_xll.QS.EVALUATE(C5328,F5328)</f>
        <v>39284.25951239108</v>
      </c>
      <c r="H5328" s="5" t="s">
        <v>5368</v>
      </c>
      <c r="I5328" s="7">
        <v>1532600</v>
      </c>
      <c r="J5328" s="8">
        <v>3.7600000000000001E-2</v>
      </c>
    </row>
    <row r="5329" spans="1:10" x14ac:dyDescent="0.25">
      <c r="A5329" s="5" t="s">
        <v>5362</v>
      </c>
      <c r="B5329" s="5" t="s">
        <v>7196</v>
      </c>
      <c r="C5329" s="6" t="str">
        <f>_xll.QS.CONTEXT.CREATE("market.5327",A5329,"USD","SOFR")</f>
        <v>QSObject:PricingContext:w1~market.5327:10502</v>
      </c>
      <c r="D5329" s="6" t="str">
        <f>_xll.QS.CONTEXT.ADD.CURVE(C5329,"SOFR",$K$2:$K$7,$L$2:$L$7,,,"Actual360","LogLinear",TRUE)</f>
        <v>QSObject:ContextInput:w1~input.qs_context_add_curve.2359132437744.5328.3.0:35223</v>
      </c>
      <c r="E5329" s="6" t="str">
        <f>_xll.QS.INSTRUMENT.SWAP("swap.5327",H5329,B5329,"USD","SOFR",I5329,J5329,0,"Actual360","Simple","Annual","Annual","Annual")</f>
        <v>QSObject:Swap:w1~swap.5327:10501</v>
      </c>
      <c r="F5329" s="6" t="str">
        <f>_xll.QS.TRADE.CREATE("trade.5327",E5329,A5329,"Receive")</f>
        <v>QSObject:SwapTrade:w1~trade.5327:26727</v>
      </c>
      <c r="G5329" s="3">
        <f>_xll.QS.EVALUATE(C5329,F5329)</f>
        <v>40058.586681586428</v>
      </c>
      <c r="H5329" s="5" t="s">
        <v>5369</v>
      </c>
      <c r="I5329" s="7">
        <v>1532700</v>
      </c>
      <c r="J5329" s="8">
        <v>3.7699999999999997E-2</v>
      </c>
    </row>
    <row r="5330" spans="1:10" x14ac:dyDescent="0.25">
      <c r="A5330" s="5" t="s">
        <v>5363</v>
      </c>
      <c r="B5330" s="5" t="s">
        <v>7197</v>
      </c>
      <c r="C5330" s="6" t="str">
        <f>_xll.QS.CONTEXT.CREATE("market.5328",A5330,"USD","SOFR")</f>
        <v>QSObject:PricingContext:w1~market.5328:10500</v>
      </c>
      <c r="D5330" s="6" t="str">
        <f>_xll.QS.CONTEXT.ADD.CURVE(C5330,"SOFR",$K$2:$K$7,$L$2:$L$7,,,"Actual360","LogLinear",TRUE)</f>
        <v>QSObject:ContextInput:w1~input.qs_context_add_curve.2359132437744.5329.3.0:35222</v>
      </c>
      <c r="E5330" s="6" t="str">
        <f>_xll.QS.INSTRUMENT.SWAP("swap.5328",H5330,B5330,"USD","SOFR",I5330,J5330,0,"Actual360","Simple","Annual","Annual","Annual")</f>
        <v>QSObject:Swap:w1~swap.5328:10499</v>
      </c>
      <c r="F5330" s="6" t="str">
        <f>_xll.QS.TRADE.CREATE("trade.5328",E5330,A5330,"Receive")</f>
        <v>QSObject:SwapTrade:w1~trade.5328:26726</v>
      </c>
      <c r="G5330" s="3">
        <f>_xll.QS.EVALUATE(C5330,F5330)</f>
        <v>40807.136791322562</v>
      </c>
      <c r="H5330" s="5" t="s">
        <v>5370</v>
      </c>
      <c r="I5330" s="7">
        <v>1532800</v>
      </c>
      <c r="J5330" s="8">
        <v>3.78E-2</v>
      </c>
    </row>
    <row r="5331" spans="1:10" x14ac:dyDescent="0.25">
      <c r="A5331" s="5" t="s">
        <v>5364</v>
      </c>
      <c r="B5331" s="5" t="s">
        <v>7198</v>
      </c>
      <c r="C5331" s="6" t="str">
        <f>_xll.QS.CONTEXT.CREATE("market.5329",A5331,"USD","SOFR")</f>
        <v>QSObject:PricingContext:w1~market.5329:10498</v>
      </c>
      <c r="D5331" s="6" t="str">
        <f>_xll.QS.CONTEXT.ADD.CURVE(C5331,"SOFR",$K$2:$K$7,$L$2:$L$7,,,"Actual360","LogLinear",TRUE)</f>
        <v>QSObject:ContextInput:w1~input.qs_context_add_curve.2359132437744.5330.3.0:35221</v>
      </c>
      <c r="E5331" s="6" t="str">
        <f>_xll.QS.INSTRUMENT.SWAP("swap.5329",H5331,B5331,"USD","SOFR",I5331,J5331,0,"Actual360","Simple","Annual","Annual","Annual")</f>
        <v>QSObject:Swap:w1~swap.5329:10497</v>
      </c>
      <c r="F5331" s="6" t="str">
        <f>_xll.QS.TRADE.CREATE("trade.5329",E5331,A5331,"Receive")</f>
        <v>QSObject:SwapTrade:w1~trade.5329:26725</v>
      </c>
      <c r="G5331" s="3">
        <f>_xll.QS.EVALUATE(C5331,F5331)</f>
        <v>41628.692158227495</v>
      </c>
      <c r="H5331" s="5" t="s">
        <v>5371</v>
      </c>
      <c r="I5331" s="7">
        <v>1532900</v>
      </c>
      <c r="J5331" s="8">
        <v>3.7900000000000003E-2</v>
      </c>
    </row>
    <row r="5332" spans="1:10" x14ac:dyDescent="0.25">
      <c r="A5332" s="5" t="s">
        <v>5365</v>
      </c>
      <c r="B5332" s="5" t="s">
        <v>7199</v>
      </c>
      <c r="C5332" s="6" t="str">
        <f>_xll.QS.CONTEXT.CREATE("market.5330",A5332,"USD","SOFR")</f>
        <v>QSObject:PricingContext:w1~market.5330:10496</v>
      </c>
      <c r="D5332" s="6" t="str">
        <f>_xll.QS.CONTEXT.ADD.CURVE(C5332,"SOFR",$K$2:$K$7,$L$2:$L$7,,,"Actual360","LogLinear",TRUE)</f>
        <v>QSObject:ContextInput:w1~input.qs_context_add_curve.2359132437744.5331.3.0:35220</v>
      </c>
      <c r="E5332" s="6" t="str">
        <f>_xll.QS.INSTRUMENT.SWAP("swap.5330",H5332,B5332,"USD","SOFR",I5332,J5332,0,"Actual360","Simple","Annual","Annual","Annual")</f>
        <v>QSObject:Swap:w1~swap.5330:10495</v>
      </c>
      <c r="F5332" s="6" t="str">
        <f>_xll.QS.TRADE.CREATE("trade.5330",E5332,A5332,"Receive")</f>
        <v>QSObject:SwapTrade:w1~trade.5330:26724</v>
      </c>
      <c r="G5332" s="3">
        <f>_xll.QS.EVALUATE(C5332,F5332)</f>
        <v>42405.355536797695</v>
      </c>
      <c r="H5332" s="5" t="s">
        <v>5372</v>
      </c>
      <c r="I5332" s="7">
        <v>1533000</v>
      </c>
      <c r="J5332" s="8">
        <v>3.8000000000000013E-2</v>
      </c>
    </row>
    <row r="5333" spans="1:10" x14ac:dyDescent="0.25">
      <c r="A5333" s="5" t="s">
        <v>5366</v>
      </c>
      <c r="B5333" s="5" t="s">
        <v>7200</v>
      </c>
      <c r="C5333" s="6" t="str">
        <f>_xll.QS.CONTEXT.CREATE("market.5331",A5333,"USD","SOFR")</f>
        <v>QSObject:PricingContext:w1~market.5331:10494</v>
      </c>
      <c r="D5333" s="6" t="str">
        <f>_xll.QS.CONTEXT.ADD.CURVE(C5333,"SOFR",$K$2:$K$7,$L$2:$L$7,,,"Actual360","LogLinear",TRUE)</f>
        <v>QSObject:ContextInput:w1~input.qs_context_add_curve.2359132437744.5332.3.0:35219</v>
      </c>
      <c r="E5333" s="6" t="str">
        <f>_xll.QS.INSTRUMENT.SWAP("swap.5331",H5333,B5333,"USD","SOFR",I5333,J5333,0,"Actual360","Simple","Annual","Annual","Annual")</f>
        <v>QSObject:Swap:w1~swap.5331:10493</v>
      </c>
      <c r="F5333" s="6" t="str">
        <f>_xll.QS.TRADE.CREATE("trade.5331",E5333,A5333,"Receive")</f>
        <v>QSObject:SwapTrade:w1~trade.5331:26723</v>
      </c>
      <c r="G5333" s="3">
        <f>_xll.QS.EVALUATE(C5333,F5333)</f>
        <v>43055.971371837171</v>
      </c>
      <c r="H5333" s="5" t="s">
        <v>5373</v>
      </c>
      <c r="I5333" s="7">
        <v>1533100</v>
      </c>
      <c r="J5333" s="8">
        <v>3.8100000000000002E-2</v>
      </c>
    </row>
    <row r="5334" spans="1:10" x14ac:dyDescent="0.25">
      <c r="A5334" s="5" t="s">
        <v>5367</v>
      </c>
      <c r="B5334" s="5" t="s">
        <v>7201</v>
      </c>
      <c r="C5334" s="6" t="str">
        <f>_xll.QS.CONTEXT.CREATE("market.5332",A5334,"USD","SOFR")</f>
        <v>QSObject:PricingContext:w1~market.5332:10492</v>
      </c>
      <c r="D5334" s="6" t="str">
        <f>_xll.QS.CONTEXT.ADD.CURVE(C5334,"SOFR",$K$2:$K$7,$L$2:$L$7,,,"Actual360","LogLinear",TRUE)</f>
        <v>QSObject:ContextInput:w1~input.qs_context_add_curve.2359132437744.5333.3.0:35218</v>
      </c>
      <c r="E5334" s="6" t="str">
        <f>_xll.QS.INSTRUMENT.SWAP("swap.5332",H5334,B5334,"USD","SOFR",I5334,J5334,0,"Actual360","Simple","Annual","Annual","Annual")</f>
        <v>QSObject:Swap:w1~swap.5332:10491</v>
      </c>
      <c r="F5334" s="6" t="str">
        <f>_xll.QS.TRADE.CREATE("trade.5332",E5334,A5334,"Receive")</f>
        <v>QSObject:SwapTrade:w1~trade.5332:26722</v>
      </c>
      <c r="G5334" s="3">
        <f>_xll.QS.EVALUATE(C5334,F5334)</f>
        <v>43649.644225950338</v>
      </c>
      <c r="H5334" s="5" t="s">
        <v>5374</v>
      </c>
      <c r="I5334" s="7">
        <v>1533200</v>
      </c>
      <c r="J5334" s="8">
        <v>3.8199999999999998E-2</v>
      </c>
    </row>
    <row r="5335" spans="1:10" x14ac:dyDescent="0.25">
      <c r="A5335" s="5" t="s">
        <v>5368</v>
      </c>
      <c r="B5335" s="5" t="s">
        <v>7202</v>
      </c>
      <c r="C5335" s="6" t="str">
        <f>_xll.QS.CONTEXT.CREATE("market.5333",A5335,"USD","SOFR")</f>
        <v>QSObject:PricingContext:w1~market.5333:10490</v>
      </c>
      <c r="D5335" s="6" t="str">
        <f>_xll.QS.CONTEXT.ADD.CURVE(C5335,"SOFR",$K$2:$K$7,$L$2:$L$7,,,"Actual360","LogLinear",TRUE)</f>
        <v>QSObject:ContextInput:w1~input.qs_context_add_curve.2359132437744.5334.3.0:35217</v>
      </c>
      <c r="E5335" s="6" t="str">
        <f>_xll.QS.INSTRUMENT.SWAP("swap.5333",H5335,B5335,"USD","SOFR",I5335,J5335,0,"Actual360","Simple","Annual","Annual","Annual")</f>
        <v>QSObject:Swap:w1~swap.5333:10489</v>
      </c>
      <c r="F5335" s="6" t="str">
        <f>_xll.QS.TRADE.CREATE("trade.5333",E5335,A5335,"Receive")</f>
        <v>QSObject:SwapTrade:w1~trade.5333:26721</v>
      </c>
      <c r="G5335" s="3">
        <f>_xll.QS.EVALUATE(C5335,F5335)</f>
        <v>44253.500155524191</v>
      </c>
      <c r="H5335" s="5" t="s">
        <v>5375</v>
      </c>
      <c r="I5335" s="7">
        <v>1533300</v>
      </c>
      <c r="J5335" s="8">
        <v>3.8300000000000001E-2</v>
      </c>
    </row>
    <row r="5336" spans="1:10" x14ac:dyDescent="0.25">
      <c r="A5336" s="5" t="s">
        <v>5369</v>
      </c>
      <c r="B5336" s="5" t="s">
        <v>7203</v>
      </c>
      <c r="C5336" s="6" t="str">
        <f>_xll.QS.CONTEXT.CREATE("market.5334",A5336,"USD","SOFR")</f>
        <v>QSObject:PricingContext:w1~market.5334:10488</v>
      </c>
      <c r="D5336" s="6" t="str">
        <f>_xll.QS.CONTEXT.ADD.CURVE(C5336,"SOFR",$K$2:$K$7,$L$2:$L$7,,,"Actual360","LogLinear",TRUE)</f>
        <v>QSObject:ContextInput:w1~input.qs_context_add_curve.2359132437744.5335.3.0:35216</v>
      </c>
      <c r="E5336" s="6" t="str">
        <f>_xll.QS.INSTRUMENT.SWAP("swap.5334",H5336,B5336,"USD","SOFR",I5336,J5336,0,"Actual360","Simple","Annual","Annual","Annual")</f>
        <v>QSObject:Swap:w1~swap.5334:10487</v>
      </c>
      <c r="F5336" s="6" t="str">
        <f>_xll.QS.TRADE.CREATE("trade.5334",E5336,A5336,"Receive")</f>
        <v>QSObject:SwapTrade:w1~trade.5334:26720</v>
      </c>
      <c r="G5336" s="3">
        <f>_xll.QS.EVALUATE(C5336,F5336)</f>
        <v>45028.982199885097</v>
      </c>
      <c r="H5336" s="5" t="s">
        <v>5376</v>
      </c>
      <c r="I5336" s="7">
        <v>1533400</v>
      </c>
      <c r="J5336" s="8">
        <v>3.8399999999999997E-2</v>
      </c>
    </row>
    <row r="5337" spans="1:10" x14ac:dyDescent="0.25">
      <c r="A5337" s="5" t="s">
        <v>5370</v>
      </c>
      <c r="B5337" s="5" t="s">
        <v>7204</v>
      </c>
      <c r="C5337" s="6" t="str">
        <f>_xll.QS.CONTEXT.CREATE("market.5335",A5337,"USD","SOFR")</f>
        <v>QSObject:PricingContext:w1~market.5335:10486</v>
      </c>
      <c r="D5337" s="6" t="str">
        <f>_xll.QS.CONTEXT.ADD.CURVE(C5337,"SOFR",$K$2:$K$7,$L$2:$L$7,,,"Actual360","LogLinear",TRUE)</f>
        <v>QSObject:ContextInput:w1~input.qs_context_add_curve.2359132437744.5336.3.0:35215</v>
      </c>
      <c r="E5337" s="6" t="str">
        <f>_xll.QS.INSTRUMENT.SWAP("swap.5335",H5337,B5337,"USD","SOFR",I5337,J5337,0,"Actual360","Simple","Annual","Annual","Annual")</f>
        <v>QSObject:Swap:w1~swap.5335:10485</v>
      </c>
      <c r="F5337" s="6" t="str">
        <f>_xll.QS.TRADE.CREATE("trade.5335",E5337,A5337,"Receive")</f>
        <v>QSObject:SwapTrade:w1~trade.5335:26719</v>
      </c>
      <c r="G5337" s="3">
        <f>_xll.QS.EVALUATE(C5337,F5337)</f>
        <v>45775.7945961144</v>
      </c>
      <c r="H5337" s="5" t="s">
        <v>5377</v>
      </c>
      <c r="I5337" s="7">
        <v>1533500</v>
      </c>
      <c r="J5337" s="8">
        <v>3.8500000000000013E-2</v>
      </c>
    </row>
    <row r="5338" spans="1:10" x14ac:dyDescent="0.25">
      <c r="A5338" s="5" t="s">
        <v>5371</v>
      </c>
      <c r="B5338" s="5" t="s">
        <v>7205</v>
      </c>
      <c r="C5338" s="6" t="str">
        <f>_xll.QS.CONTEXT.CREATE("market.5336",A5338,"USD","SOFR")</f>
        <v>QSObject:PricingContext:w1~market.5336:10484</v>
      </c>
      <c r="D5338" s="6" t="str">
        <f>_xll.QS.CONTEXT.ADD.CURVE(C5338,"SOFR",$K$2:$K$7,$L$2:$L$7,,,"Actual360","LogLinear",TRUE)</f>
        <v>QSObject:ContextInput:w1~input.qs_context_add_curve.2359132437744.5337.3.0:35214</v>
      </c>
      <c r="E5338" s="6" t="str">
        <f>_xll.QS.INSTRUMENT.SWAP("swap.5336",H5338,B5338,"USD","SOFR",I5338,J5338,0,"Actual360","Simple","Annual","Annual","Annual")</f>
        <v>QSObject:Swap:w1~swap.5336:10483</v>
      </c>
      <c r="F5338" s="6" t="str">
        <f>_xll.QS.TRADE.CREATE("trade.5336",E5338,A5338,"Receive")</f>
        <v>QSObject:SwapTrade:w1~trade.5336:26718</v>
      </c>
      <c r="G5338" s="3">
        <f>_xll.QS.EVALUATE(C5338,F5338)</f>
        <v>46598.120157201003</v>
      </c>
      <c r="H5338" s="5" t="s">
        <v>5378</v>
      </c>
      <c r="I5338" s="7">
        <v>1533600</v>
      </c>
      <c r="J5338" s="8">
        <v>3.8600000000000002E-2</v>
      </c>
    </row>
    <row r="5339" spans="1:10" x14ac:dyDescent="0.25">
      <c r="A5339" s="5" t="s">
        <v>5372</v>
      </c>
      <c r="B5339" s="5" t="s">
        <v>7206</v>
      </c>
      <c r="C5339" s="6" t="str">
        <f>_xll.QS.CONTEXT.CREATE("market.5337",A5339,"USD","SOFR")</f>
        <v>QSObject:PricingContext:w1~market.5337:10482</v>
      </c>
      <c r="D5339" s="6" t="str">
        <f>_xll.QS.CONTEXT.ADD.CURVE(C5339,"SOFR",$K$2:$K$7,$L$2:$L$7,,,"Actual360","LogLinear",TRUE)</f>
        <v>QSObject:ContextInput:w1~input.qs_context_add_curve.2359132437744.5338.3.0:35213</v>
      </c>
      <c r="E5339" s="6" t="str">
        <f>_xll.QS.INSTRUMENT.SWAP("swap.5337",H5339,B5339,"USD","SOFR",I5339,J5339,0,"Actual360","Simple","Annual","Annual","Annual")</f>
        <v>QSObject:Swap:w1~swap.5337:10481</v>
      </c>
      <c r="F5339" s="6" t="str">
        <f>_xll.QS.TRADE.CREATE("trade.5337",E5339,A5339,"Receive")</f>
        <v>QSObject:SwapTrade:w1~trade.5337:26717</v>
      </c>
      <c r="G5339" s="3">
        <f>_xll.QS.EVALUATE(C5339,F5339)</f>
        <v>47375.516577090384</v>
      </c>
      <c r="H5339" s="5" t="s">
        <v>5379</v>
      </c>
      <c r="I5339" s="7">
        <v>1533700</v>
      </c>
      <c r="J5339" s="8">
        <v>3.8700000000000012E-2</v>
      </c>
    </row>
    <row r="5340" spans="1:10" x14ac:dyDescent="0.25">
      <c r="A5340" s="5" t="s">
        <v>5373</v>
      </c>
      <c r="B5340" s="5" t="s">
        <v>7207</v>
      </c>
      <c r="C5340" s="6" t="str">
        <f>_xll.QS.CONTEXT.CREATE("market.5338",A5340,"USD","SOFR")</f>
        <v>QSObject:PricingContext:w1~market.5338:10480</v>
      </c>
      <c r="D5340" s="6" t="str">
        <f>_xll.QS.CONTEXT.ADD.CURVE(C5340,"SOFR",$K$2:$K$7,$L$2:$L$7,,,"Actual360","LogLinear",TRUE)</f>
        <v>QSObject:ContextInput:w1~input.qs_context_add_curve.2359132437744.5339.3.0:35212</v>
      </c>
      <c r="E5340" s="6" t="str">
        <f>_xll.QS.INSTRUMENT.SWAP("swap.5338",H5340,B5340,"USD","SOFR",I5340,J5340,0,"Actual360","Simple","Annual","Annual","Annual")</f>
        <v>QSObject:Swap:w1~swap.5338:10479</v>
      </c>
      <c r="F5340" s="6" t="str">
        <f>_xll.QS.TRADE.CREATE("trade.5338",E5340,A5340,"Receive")</f>
        <v>QSObject:SwapTrade:w1~trade.5338:26716</v>
      </c>
      <c r="G5340" s="3">
        <f>_xll.QS.EVALUATE(C5340,F5340)</f>
        <v>48026.697512618339</v>
      </c>
      <c r="H5340" s="5" t="s">
        <v>5380</v>
      </c>
      <c r="I5340" s="7">
        <v>1533800</v>
      </c>
      <c r="J5340" s="8">
        <v>3.8800000000000001E-2</v>
      </c>
    </row>
    <row r="5341" spans="1:10" x14ac:dyDescent="0.25">
      <c r="A5341" s="5" t="s">
        <v>5374</v>
      </c>
      <c r="B5341" s="5" t="s">
        <v>7208</v>
      </c>
      <c r="C5341" s="6" t="str">
        <f>_xll.QS.CONTEXT.CREATE("market.5339",A5341,"USD","SOFR")</f>
        <v>QSObject:PricingContext:w1~market.5339:10478</v>
      </c>
      <c r="D5341" s="6" t="str">
        <f>_xll.QS.CONTEXT.ADD.CURVE(C5341,"SOFR",$K$2:$K$7,$L$2:$L$7,,,"Actual360","LogLinear",TRUE)</f>
        <v>QSObject:ContextInput:w1~input.qs_context_add_curve.2359132437744.5340.3.0:35211</v>
      </c>
      <c r="E5341" s="6" t="str">
        <f>_xll.QS.INSTRUMENT.SWAP("swap.5339",H5341,B5341,"USD","SOFR",I5341,J5341,0,"Actual360","Simple","Annual","Annual","Annual")</f>
        <v>QSObject:Swap:w1~swap.5339:10477</v>
      </c>
      <c r="F5341" s="6" t="str">
        <f>_xll.QS.TRADE.CREATE("trade.5339",E5341,A5341,"Receive")</f>
        <v>QSObject:SwapTrade:w1~trade.5339:26715</v>
      </c>
      <c r="G5341" s="3">
        <f>_xll.QS.EVALUATE(C5341,F5341)</f>
        <v>48615.132139881636</v>
      </c>
      <c r="H5341" s="5" t="s">
        <v>5381</v>
      </c>
      <c r="I5341" s="7">
        <v>1533900</v>
      </c>
      <c r="J5341" s="8">
        <v>3.8899999999999997E-2</v>
      </c>
    </row>
    <row r="5342" spans="1:10" x14ac:dyDescent="0.25">
      <c r="A5342" s="5" t="s">
        <v>5375</v>
      </c>
      <c r="B5342" s="5" t="s">
        <v>7209</v>
      </c>
      <c r="C5342" s="6" t="str">
        <f>_xll.QS.CONTEXT.CREATE("market.5340",A5342,"USD","SOFR")</f>
        <v>QSObject:PricingContext:w1~market.5340:10476</v>
      </c>
      <c r="D5342" s="6" t="str">
        <f>_xll.QS.CONTEXT.ADD.CURVE(C5342,"SOFR",$K$2:$K$7,$L$2:$L$7,,,"Actual360","LogLinear",TRUE)</f>
        <v>QSObject:ContextInput:w1~input.qs_context_add_curve.2359132437744.5341.3.0:35210</v>
      </c>
      <c r="E5342" s="6" t="str">
        <f>_xll.QS.INSTRUMENT.SWAP("swap.5340",H5342,B5342,"USD","SOFR",I5342,J5342,0,"Actual360","Simple","Annual","Annual","Annual")</f>
        <v>QSObject:Swap:w1~swap.5340:10475</v>
      </c>
      <c r="F5342" s="6" t="str">
        <f>_xll.QS.TRADE.CREATE("trade.5340",E5342,A5342,"Receive")</f>
        <v>QSObject:SwapTrade:w1~trade.5340:26714</v>
      </c>
      <c r="G5342" s="3">
        <f>_xll.QS.EVALUATE(C5342,F5342)</f>
        <v>49227.261647233063</v>
      </c>
      <c r="H5342" s="5" t="s">
        <v>5382</v>
      </c>
      <c r="I5342" s="7">
        <v>1534000</v>
      </c>
      <c r="J5342" s="8">
        <v>3.9000000000000007E-2</v>
      </c>
    </row>
    <row r="5343" spans="1:10" x14ac:dyDescent="0.25">
      <c r="A5343" s="5" t="s">
        <v>5376</v>
      </c>
      <c r="B5343" s="5" t="s">
        <v>7210</v>
      </c>
      <c r="C5343" s="6" t="str">
        <f>_xll.QS.CONTEXT.CREATE("market.5341",A5343,"USD","SOFR")</f>
        <v>QSObject:PricingContext:w1~market.5341:10474</v>
      </c>
      <c r="D5343" s="6" t="str">
        <f>_xll.QS.CONTEXT.ADD.CURVE(C5343,"SOFR",$K$2:$K$7,$L$2:$L$7,,,"Actual360","LogLinear",TRUE)</f>
        <v>QSObject:ContextInput:w1~input.qs_context_add_curve.2359132437744.5342.3.0:35209</v>
      </c>
      <c r="E5343" s="6" t="str">
        <f>_xll.QS.INSTRUMENT.SWAP("swap.5341",H5343,B5343,"USD","SOFR",I5343,J5343,0,"Actual360","Simple","Annual","Annual","Annual")</f>
        <v>QSObject:Swap:w1~swap.5341:10473</v>
      </c>
      <c r="F5343" s="6" t="str">
        <f>_xll.QS.TRADE.CREATE("trade.5341",E5343,A5343,"Receive")</f>
        <v>QSObject:SwapTrade:w1~trade.5341:26713</v>
      </c>
      <c r="G5343" s="3">
        <f>_xll.QS.EVALUATE(C5343,F5343)</f>
        <v>50003.899004530504</v>
      </c>
      <c r="H5343" s="5" t="s">
        <v>5383</v>
      </c>
      <c r="I5343" s="7">
        <v>1534100</v>
      </c>
      <c r="J5343" s="8">
        <v>3.9100000000000003E-2</v>
      </c>
    </row>
    <row r="5344" spans="1:10" x14ac:dyDescent="0.25">
      <c r="A5344" s="5" t="s">
        <v>5377</v>
      </c>
      <c r="B5344" s="5" t="s">
        <v>7211</v>
      </c>
      <c r="C5344" s="6" t="str">
        <f>_xll.QS.CONTEXT.CREATE("market.5342",A5344,"USD","SOFR")</f>
        <v>QSObject:PricingContext:w1~market.5342:10472</v>
      </c>
      <c r="D5344" s="6" t="str">
        <f>_xll.QS.CONTEXT.ADD.CURVE(C5344,"SOFR",$K$2:$K$7,$L$2:$L$7,,,"Actual360","LogLinear",TRUE)</f>
        <v>QSObject:ContextInput:w1~input.qs_context_add_curve.2359132437744.5343.3.0:35208</v>
      </c>
      <c r="E5344" s="6" t="str">
        <f>_xll.QS.INSTRUMENT.SWAP("swap.5342",H5344,B5344,"USD","SOFR",I5344,J5344,0,"Actual360","Simple","Annual","Annual","Annual")</f>
        <v>QSObject:Swap:w1~swap.5342:10471</v>
      </c>
      <c r="F5344" s="6" t="str">
        <f>_xll.QS.TRADE.CREATE("trade.5342",E5344,A5344,"Receive")</f>
        <v>QSObject:SwapTrade:w1~trade.5342:26712</v>
      </c>
      <c r="G5344" s="3">
        <f>_xll.QS.EVALUATE(C5344,F5344)</f>
        <v>50748.971494984304</v>
      </c>
      <c r="H5344" s="5" t="s">
        <v>5384</v>
      </c>
      <c r="I5344" s="7">
        <v>1534200</v>
      </c>
      <c r="J5344" s="8">
        <v>3.9200000000000013E-2</v>
      </c>
    </row>
    <row r="5345" spans="1:10" x14ac:dyDescent="0.25">
      <c r="A5345" s="5" t="s">
        <v>5378</v>
      </c>
      <c r="B5345" s="5" t="s">
        <v>7212</v>
      </c>
      <c r="C5345" s="6" t="str">
        <f>_xll.QS.CONTEXT.CREATE("market.5343",A5345,"USD","SOFR")</f>
        <v>QSObject:PricingContext:w1~market.5343:10470</v>
      </c>
      <c r="D5345" s="6" t="str">
        <f>_xll.QS.CONTEXT.ADD.CURVE(C5345,"SOFR",$K$2:$K$7,$L$2:$L$7,,,"Actual360","LogLinear",TRUE)</f>
        <v>QSObject:ContextInput:w1~input.qs_context_add_curve.2359132437744.5344.3.0:35207</v>
      </c>
      <c r="E5345" s="6" t="str">
        <f>_xll.QS.INSTRUMENT.SWAP("swap.5343",H5345,B5345,"USD","SOFR",I5345,J5345,0,"Actual360","Simple","Annual","Annual","Annual")</f>
        <v>QSObject:Swap:w1~swap.5343:10469</v>
      </c>
      <c r="F5345" s="6" t="str">
        <f>_xll.QS.TRADE.CREATE("trade.5343",E5345,A5345,"Receive")</f>
        <v>QSObject:SwapTrade:w1~trade.5343:26711</v>
      </c>
      <c r="G5345" s="3">
        <f>_xll.QS.EVALUATE(C5345,F5345)</f>
        <v>51572.067317307134</v>
      </c>
      <c r="H5345" s="5" t="s">
        <v>5385</v>
      </c>
      <c r="I5345" s="7">
        <v>1534300</v>
      </c>
      <c r="J5345" s="8">
        <v>3.9300000000000002E-2</v>
      </c>
    </row>
    <row r="5346" spans="1:10" x14ac:dyDescent="0.25">
      <c r="A5346" s="5" t="s">
        <v>5379</v>
      </c>
      <c r="B5346" s="5" t="s">
        <v>7213</v>
      </c>
      <c r="C5346" s="6" t="str">
        <f>_xll.QS.CONTEXT.CREATE("market.5344",A5346,"USD","SOFR")</f>
        <v>QSObject:PricingContext:w1~market.5344:10468</v>
      </c>
      <c r="D5346" s="6" t="str">
        <f>_xll.QS.CONTEXT.ADD.CURVE(C5346,"SOFR",$K$2:$K$7,$L$2:$L$7,,,"Actual360","LogLinear",TRUE)</f>
        <v>QSObject:ContextInput:w1~input.qs_context_add_curve.2359132437744.5345.3.0:35206</v>
      </c>
      <c r="E5346" s="6" t="str">
        <f>_xll.QS.INSTRUMENT.SWAP("swap.5344",H5346,B5346,"USD","SOFR",I5346,J5346,0,"Actual360","Simple","Annual","Annual","Annual")</f>
        <v>QSObject:Swap:w1~swap.5344:10467</v>
      </c>
      <c r="F5346" s="6" t="str">
        <f>_xll.QS.TRADE.CREATE("trade.5344",E5346,A5346,"Receive")</f>
        <v>QSObject:SwapTrade:w1~trade.5344:26710</v>
      </c>
      <c r="G5346" s="3">
        <f>_xll.QS.EVALUATE(C5346,F5346)</f>
        <v>52350.196830404064</v>
      </c>
      <c r="H5346" s="5" t="s">
        <v>5386</v>
      </c>
      <c r="I5346" s="7">
        <v>1534400</v>
      </c>
      <c r="J5346" s="8">
        <v>3.9399999999999998E-2</v>
      </c>
    </row>
    <row r="5347" spans="1:10" x14ac:dyDescent="0.25">
      <c r="A5347" s="5" t="s">
        <v>5380</v>
      </c>
      <c r="B5347" s="5" t="s">
        <v>7214</v>
      </c>
      <c r="C5347" s="6" t="str">
        <f>_xll.QS.CONTEXT.CREATE("market.5345",A5347,"USD","SOFR")</f>
        <v>QSObject:PricingContext:w1~market.5345:10466</v>
      </c>
      <c r="D5347" s="6" t="str">
        <f>_xll.QS.CONTEXT.ADD.CURVE(C5347,"SOFR",$K$2:$K$7,$L$2:$L$7,,,"Actual360","LogLinear",TRUE)</f>
        <v>QSObject:ContextInput:w1~input.qs_context_add_curve.2359132437744.5346.3.0:35205</v>
      </c>
      <c r="E5347" s="6" t="str">
        <f>_xll.QS.INSTRUMENT.SWAP("swap.5345",H5347,B5347,"USD","SOFR",I5347,J5347,0,"Actual360","Simple","Annual","Annual","Annual")</f>
        <v>QSObject:Swap:w1~swap.5345:10465</v>
      </c>
      <c r="F5347" s="6" t="str">
        <f>_xll.QS.TRADE.CREATE("trade.5345",E5347,A5347,"Receive")</f>
        <v>QSObject:SwapTrade:w1~trade.5345:26709</v>
      </c>
      <c r="G5347" s="3">
        <f>_xll.QS.EVALUATE(C5347,F5347)</f>
        <v>53001.942817584597</v>
      </c>
      <c r="H5347" s="5" t="s">
        <v>5387</v>
      </c>
      <c r="I5347" s="7">
        <v>1534500</v>
      </c>
      <c r="J5347" s="8">
        <v>3.9500000000000007E-2</v>
      </c>
    </row>
    <row r="5348" spans="1:10" x14ac:dyDescent="0.25">
      <c r="A5348" s="5" t="s">
        <v>5381</v>
      </c>
      <c r="B5348" s="5" t="s">
        <v>7215</v>
      </c>
      <c r="C5348" s="6" t="str">
        <f>_xll.QS.CONTEXT.CREATE("market.5346",A5348,"USD","SOFR")</f>
        <v>QSObject:PricingContext:w1~market.5346:10464</v>
      </c>
      <c r="D5348" s="6" t="str">
        <f>_xll.QS.CONTEXT.ADD.CURVE(C5348,"SOFR",$K$2:$K$7,$L$2:$L$7,,,"Actual360","LogLinear",TRUE)</f>
        <v>QSObject:ContextInput:w1~input.qs_context_add_curve.2359132437744.5347.3.0:35204</v>
      </c>
      <c r="E5348" s="6" t="str">
        <f>_xll.QS.INSTRUMENT.SWAP("swap.5346",H5348,B5348,"USD","SOFR",I5348,J5348,0,"Actual360","Simple","Annual","Annual","Annual")</f>
        <v>QSObject:Swap:w1~swap.5346:10463</v>
      </c>
      <c r="F5348" s="6" t="str">
        <f>_xll.QS.TRADE.CREATE("trade.5346",E5348,A5348,"Receive")</f>
        <v>QSObject:SwapTrade:w1~trade.5346:26708</v>
      </c>
      <c r="G5348" s="3">
        <f>_xll.QS.EVALUATE(C5348,F5348)</f>
        <v>53585.133896199979</v>
      </c>
      <c r="H5348" s="5" t="s">
        <v>5388</v>
      </c>
      <c r="I5348" s="7">
        <v>1534600</v>
      </c>
      <c r="J5348" s="8">
        <v>3.9600000000000003E-2</v>
      </c>
    </row>
    <row r="5349" spans="1:10" x14ac:dyDescent="0.25">
      <c r="A5349" s="5" t="s">
        <v>5382</v>
      </c>
      <c r="B5349" s="5" t="s">
        <v>7216</v>
      </c>
      <c r="C5349" s="6" t="str">
        <f>_xll.QS.CONTEXT.CREATE("market.5347",A5349,"USD","SOFR")</f>
        <v>QSObject:PricingContext:w1~market.5347:10462</v>
      </c>
      <c r="D5349" s="6" t="str">
        <f>_xll.QS.CONTEXT.ADD.CURVE(C5349,"SOFR",$K$2:$K$7,$L$2:$L$7,,,"Actual360","LogLinear",TRUE)</f>
        <v>QSObject:ContextInput:w1~input.qs_context_add_curve.2359132437744.5348.3.0:35203</v>
      </c>
      <c r="E5349" s="6" t="str">
        <f>_xll.QS.INSTRUMENT.SWAP("swap.5347",H5349,B5349,"USD","SOFR",I5349,J5349,0,"Actual360","Simple","Annual","Annual","Annual")</f>
        <v>QSObject:Swap:w1~swap.5347:10461</v>
      </c>
      <c r="F5349" s="6" t="str">
        <f>_xll.QS.TRADE.CREATE("trade.5347",E5349,A5349,"Receive")</f>
        <v>QSObject:SwapTrade:w1~trade.5347:26707</v>
      </c>
      <c r="G5349" s="3">
        <f>_xll.QS.EVALUATE(C5349,F5349)</f>
        <v>54205.543987517405</v>
      </c>
      <c r="H5349" s="5" t="s">
        <v>5389</v>
      </c>
      <c r="I5349" s="7">
        <v>1534700</v>
      </c>
      <c r="J5349" s="8">
        <v>3.9700000000000013E-2</v>
      </c>
    </row>
    <row r="5350" spans="1:10" x14ac:dyDescent="0.25">
      <c r="A5350" s="5" t="s">
        <v>5383</v>
      </c>
      <c r="B5350" s="5" t="s">
        <v>7217</v>
      </c>
      <c r="C5350" s="6" t="str">
        <f>_xll.QS.CONTEXT.CREATE("market.5348",A5350,"USD","SOFR")</f>
        <v>QSObject:PricingContext:w1~market.5348:10460</v>
      </c>
      <c r="D5350" s="6" t="str">
        <f>_xll.QS.CONTEXT.ADD.CURVE(C5350,"SOFR",$K$2:$K$7,$L$2:$L$7,,,"Actual360","LogLinear",TRUE)</f>
        <v>QSObject:ContextInput:w1~input.qs_context_add_curve.2359132437744.5349.3.0:35202</v>
      </c>
      <c r="E5350" s="6" t="str">
        <f>_xll.QS.INSTRUMENT.SWAP("swap.5348",H5350,B5350,"USD","SOFR",I5350,J5350,0,"Actual360","Simple","Annual","Annual","Annual")</f>
        <v>QSObject:Swap:w1~swap.5348:10459</v>
      </c>
      <c r="F5350" s="6" t="str">
        <f>_xll.QS.TRADE.CREATE("trade.5348",E5350,A5350,"Receive")</f>
        <v>QSObject:SwapTrade:w1~trade.5348:26706</v>
      </c>
      <c r="G5350" s="3">
        <f>_xll.QS.EVALUATE(C5350,F5350)</f>
        <v>54983.530301513718</v>
      </c>
      <c r="H5350" s="5" t="s">
        <v>5390</v>
      </c>
      <c r="I5350" s="7">
        <v>1534800</v>
      </c>
      <c r="J5350" s="8">
        <v>3.9800000000000002E-2</v>
      </c>
    </row>
    <row r="5351" spans="1:10" x14ac:dyDescent="0.25">
      <c r="A5351" s="5" t="s">
        <v>5384</v>
      </c>
      <c r="B5351" s="5" t="s">
        <v>7218</v>
      </c>
      <c r="C5351" s="6" t="str">
        <f>_xll.QS.CONTEXT.CREATE("market.5349",A5351,"USD","SOFR")</f>
        <v>QSObject:PricingContext:w1~market.5349:10458</v>
      </c>
      <c r="D5351" s="6" t="str">
        <f>_xll.QS.CONTEXT.ADD.CURVE(C5351,"SOFR",$K$2:$K$7,$L$2:$L$7,,,"Actual360","LogLinear",TRUE)</f>
        <v>QSObject:ContextInput:w1~input.qs_context_add_curve.2359132437744.5350.3.0:35201</v>
      </c>
      <c r="E5351" s="6" t="str">
        <f>_xll.QS.INSTRUMENT.SWAP("swap.5349",H5351,B5351,"USD","SOFR",I5351,J5351,0,"Actual360","Simple","Annual","Annual","Annual")</f>
        <v>QSObject:Swap:w1~swap.5349:10457</v>
      </c>
      <c r="F5351" s="6" t="str">
        <f>_xll.QS.TRADE.CREATE("trade.5349",E5351,A5351,"Receive")</f>
        <v>QSObject:SwapTrade:w1~trade.5349:26705</v>
      </c>
      <c r="G5351" s="3">
        <f>_xll.QS.EVALUATE(C5351,F5351)</f>
        <v>55726.840116468054</v>
      </c>
      <c r="H5351" s="5" t="s">
        <v>5391</v>
      </c>
      <c r="I5351" s="7">
        <v>1534900</v>
      </c>
      <c r="J5351" s="8">
        <v>3.9899999999999998E-2</v>
      </c>
    </row>
    <row r="5352" spans="1:10" x14ac:dyDescent="0.25">
      <c r="A5352" s="5" t="s">
        <v>5385</v>
      </c>
      <c r="B5352" s="5" t="s">
        <v>7219</v>
      </c>
      <c r="C5352" s="6" t="str">
        <f>_xll.QS.CONTEXT.CREATE("market.5350",A5352,"USD","SOFR")</f>
        <v>QSObject:PricingContext:w1~market.5350:10456</v>
      </c>
      <c r="D5352" s="6" t="str">
        <f>_xll.QS.CONTEXT.ADD.CURVE(C5352,"SOFR",$K$2:$K$7,$L$2:$L$7,,,"Actual360","LogLinear",TRUE)</f>
        <v>QSObject:ContextInput:w1~input.qs_context_add_curve.2359132437744.5351.3.0:35200</v>
      </c>
      <c r="E5352" s="6" t="str">
        <f>_xll.QS.INSTRUMENT.SWAP("swap.5350",H5352,B5352,"USD","SOFR",I5352,J5352,0,"Actual360","Simple","Annual","Annual","Annual")</f>
        <v>QSObject:Swap:w1~swap.5350:10455</v>
      </c>
      <c r="F5352" s="6" t="str">
        <f>_xll.QS.TRADE.CREATE("trade.5350",E5352,A5352,"Receive")</f>
        <v>QSObject:SwapTrade:w1~trade.5350:26704</v>
      </c>
      <c r="G5352" s="3">
        <f>_xll.QS.EVALUATE(C5352,F5352)</f>
        <v>21157.959352774837</v>
      </c>
      <c r="H5352" s="5" t="s">
        <v>5392</v>
      </c>
      <c r="I5352" s="7">
        <v>1535000</v>
      </c>
      <c r="J5352" s="8">
        <v>3.5000000000000003E-2</v>
      </c>
    </row>
    <row r="5353" spans="1:10" x14ac:dyDescent="0.25">
      <c r="A5353" s="5" t="s">
        <v>5386</v>
      </c>
      <c r="B5353" s="5" t="s">
        <v>7220</v>
      </c>
      <c r="C5353" s="6" t="str">
        <f>_xll.QS.CONTEXT.CREATE("market.5351",A5353,"USD","SOFR")</f>
        <v>QSObject:PricingContext:w1~market.5351:10454</v>
      </c>
      <c r="D5353" s="6" t="str">
        <f>_xll.QS.CONTEXT.ADD.CURVE(C5353,"SOFR",$K$2:$K$7,$L$2:$L$7,,,"Actual360","LogLinear",TRUE)</f>
        <v>QSObject:ContextInput:w1~input.qs_context_add_curve.2359132437744.5352.3.0:35199</v>
      </c>
      <c r="E5353" s="6" t="str">
        <f>_xll.QS.INSTRUMENT.SWAP("swap.5351",H5353,B5353,"USD","SOFR",I5353,J5353,0,"Actual360","Simple","Annual","Annual","Annual")</f>
        <v>QSObject:Swap:w1~swap.5351:10453</v>
      </c>
      <c r="F5353" s="6" t="str">
        <f>_xll.QS.TRADE.CREATE("trade.5351",E5353,A5353,"Receive")</f>
        <v>QSObject:SwapTrade:w1~trade.5351:26703</v>
      </c>
      <c r="G5353" s="3">
        <f>_xll.QS.EVALUATE(C5353,F5353)</f>
        <v>21933.884051093642</v>
      </c>
      <c r="H5353" s="5" t="s">
        <v>5393</v>
      </c>
      <c r="I5353" s="7">
        <v>1535100</v>
      </c>
      <c r="J5353" s="8">
        <v>3.5100000000000013E-2</v>
      </c>
    </row>
    <row r="5354" spans="1:10" x14ac:dyDescent="0.25">
      <c r="A5354" s="5" t="s">
        <v>5387</v>
      </c>
      <c r="B5354" s="5" t="s">
        <v>7221</v>
      </c>
      <c r="C5354" s="6" t="str">
        <f>_xll.QS.CONTEXT.CREATE("market.5352",A5354,"USD","SOFR")</f>
        <v>QSObject:PricingContext:w1~market.5352:10452</v>
      </c>
      <c r="D5354" s="6" t="str">
        <f>_xll.QS.CONTEXT.ADD.CURVE(C5354,"SOFR",$K$2:$K$7,$L$2:$L$7,,,"Actual360","LogLinear",TRUE)</f>
        <v>QSObject:ContextInput:w1~input.qs_context_add_curve.2359132437744.5353.3.0:35198</v>
      </c>
      <c r="E5354" s="6" t="str">
        <f>_xll.QS.INSTRUMENT.SWAP("swap.5352",H5354,B5354,"USD","SOFR",I5354,J5354,0,"Actual360","Simple","Annual","Annual","Annual")</f>
        <v>QSObject:Swap:w1~swap.5352:10451</v>
      </c>
      <c r="F5354" s="6" t="str">
        <f>_xll.QS.TRADE.CREATE("trade.5352",E5354,A5354,"Receive")</f>
        <v>QSObject:SwapTrade:w1~trade.5352:26702</v>
      </c>
      <c r="G5354" s="3">
        <f>_xll.QS.EVALUATE(C5354,F5354)</f>
        <v>22583.893996780229</v>
      </c>
      <c r="H5354" s="5" t="s">
        <v>5394</v>
      </c>
      <c r="I5354" s="7">
        <v>1535200</v>
      </c>
      <c r="J5354" s="8">
        <v>3.5200000000000002E-2</v>
      </c>
    </row>
    <row r="5355" spans="1:10" x14ac:dyDescent="0.25">
      <c r="A5355" s="5" t="s">
        <v>5388</v>
      </c>
      <c r="B5355" s="5" t="s">
        <v>7222</v>
      </c>
      <c r="C5355" s="6" t="str">
        <f>_xll.QS.CONTEXT.CREATE("market.5353",A5355,"USD","SOFR")</f>
        <v>QSObject:PricingContext:w1~market.5353:10450</v>
      </c>
      <c r="D5355" s="6" t="str">
        <f>_xll.QS.CONTEXT.ADD.CURVE(C5355,"SOFR",$K$2:$K$7,$L$2:$L$7,,,"Actual360","LogLinear",TRUE)</f>
        <v>QSObject:ContextInput:w1~input.qs_context_add_curve.2359132437744.5354.3.0:35197</v>
      </c>
      <c r="E5355" s="6" t="str">
        <f>_xll.QS.INSTRUMENT.SWAP("swap.5353",H5355,B5355,"USD","SOFR",I5355,J5355,0,"Actual360","Simple","Annual","Annual","Annual")</f>
        <v>QSObject:Swap:w1~swap.5353:10449</v>
      </c>
      <c r="F5355" s="6" t="str">
        <f>_xll.QS.TRADE.CREATE("trade.5353",E5355,A5355,"Receive")</f>
        <v>QSObject:SwapTrade:w1~trade.5353:26701</v>
      </c>
      <c r="G5355" s="3">
        <f>_xll.QS.EVALUATE(C5355,F5355)</f>
        <v>23185.481641744009</v>
      </c>
      <c r="H5355" s="5" t="s">
        <v>5395</v>
      </c>
      <c r="I5355" s="7">
        <v>1535300</v>
      </c>
      <c r="J5355" s="8">
        <v>3.5299999999999998E-2</v>
      </c>
    </row>
    <row r="5356" spans="1:10" x14ac:dyDescent="0.25">
      <c r="A5356" s="5" t="s">
        <v>5389</v>
      </c>
      <c r="B5356" s="5" t="s">
        <v>7223</v>
      </c>
      <c r="C5356" s="6" t="str">
        <f>_xll.QS.CONTEXT.CREATE("market.5354",A5356,"USD","SOFR")</f>
        <v>QSObject:PricingContext:w1~market.5354:10448</v>
      </c>
      <c r="D5356" s="6" t="str">
        <f>_xll.QS.CONTEXT.ADD.CURVE(C5356,"SOFR",$K$2:$K$7,$L$2:$L$7,,,"Actual360","LogLinear",TRUE)</f>
        <v>QSObject:ContextInput:w1~input.qs_context_add_curve.2359132437744.5355.3.0:35196</v>
      </c>
      <c r="E5356" s="6" t="str">
        <f>_xll.QS.INSTRUMENT.SWAP("swap.5354",H5356,B5356,"USD","SOFR",I5356,J5356,0,"Actual360","Simple","Annual","Annual","Annual")</f>
        <v>QSObject:Swap:w1~swap.5354:10447</v>
      </c>
      <c r="F5356" s="6" t="str">
        <f>_xll.QS.TRADE.CREATE("trade.5354",E5356,A5356,"Receive")</f>
        <v>QSObject:SwapTrade:w1~trade.5354:26700</v>
      </c>
      <c r="G5356" s="3">
        <f>_xll.QS.EVALUATE(C5356,F5356)</f>
        <v>23710.064593288407</v>
      </c>
      <c r="H5356" s="5" t="s">
        <v>5396</v>
      </c>
      <c r="I5356" s="7">
        <v>1535400</v>
      </c>
      <c r="J5356" s="8">
        <v>3.5400000000000001E-2</v>
      </c>
    </row>
    <row r="5357" spans="1:10" x14ac:dyDescent="0.25">
      <c r="A5357" s="5" t="s">
        <v>5390</v>
      </c>
      <c r="B5357" s="5" t="s">
        <v>7224</v>
      </c>
      <c r="C5357" s="6" t="str">
        <f>_xll.QS.CONTEXT.CREATE("market.5355",A5357,"USD","SOFR")</f>
        <v>QSObject:PricingContext:w1~market.5355:10446</v>
      </c>
      <c r="D5357" s="6" t="str">
        <f>_xll.QS.CONTEXT.ADD.CURVE(C5357,"SOFR",$K$2:$K$7,$L$2:$L$7,,,"Actual360","LogLinear",TRUE)</f>
        <v>QSObject:ContextInput:w1~input.qs_context_add_curve.2359132437744.5356.3.0:35195</v>
      </c>
      <c r="E5357" s="6" t="str">
        <f>_xll.QS.INSTRUMENT.SWAP("swap.5355",H5357,B5357,"USD","SOFR",I5357,J5357,0,"Actual360","Simple","Annual","Annual","Annual")</f>
        <v>QSObject:Swap:w1~swap.5355:10445</v>
      </c>
      <c r="F5357" s="6" t="str">
        <f>_xll.QS.TRADE.CREATE("trade.5355",E5357,A5357,"Receive")</f>
        <v>QSObject:SwapTrade:w1~trade.5355:26699</v>
      </c>
      <c r="G5357" s="3">
        <f>_xll.QS.EVALUATE(C5357,F5357)</f>
        <v>24484.47892241869</v>
      </c>
      <c r="H5357" s="5" t="s">
        <v>5397</v>
      </c>
      <c r="I5357" s="7">
        <v>1535500</v>
      </c>
      <c r="J5357" s="8">
        <v>3.5499999999999997E-2</v>
      </c>
    </row>
    <row r="5358" spans="1:10" x14ac:dyDescent="0.25">
      <c r="A5358" s="5" t="s">
        <v>5391</v>
      </c>
      <c r="B5358" s="5" t="s">
        <v>7225</v>
      </c>
      <c r="C5358" s="6" t="str">
        <f>_xll.QS.CONTEXT.CREATE("market.5356",A5358,"USD","SOFR")</f>
        <v>QSObject:PricingContext:w1~market.5356:10444</v>
      </c>
      <c r="D5358" s="6" t="str">
        <f>_xll.QS.CONTEXT.ADD.CURVE(C5358,"SOFR",$K$2:$K$7,$L$2:$L$7,,,"Actual360","LogLinear",TRUE)</f>
        <v>QSObject:ContextInput:w1~input.qs_context_add_curve.2359132437744.5357.3.0:35194</v>
      </c>
      <c r="E5358" s="6" t="str">
        <f>_xll.QS.INSTRUMENT.SWAP("swap.5356",H5358,B5358,"USD","SOFR",I5358,J5358,0,"Actual360","Simple","Annual","Annual","Annual")</f>
        <v>QSObject:Swap:w1~swap.5356:10443</v>
      </c>
      <c r="F5358" s="6" t="str">
        <f>_xll.QS.TRADE.CREATE("trade.5356",E5358,A5358,"Receive")</f>
        <v>QSObject:SwapTrade:w1~trade.5356:26698</v>
      </c>
      <c r="G5358" s="3">
        <f>_xll.QS.EVALUATE(C5358,F5358)</f>
        <v>25258.093973979376</v>
      </c>
      <c r="H5358" s="5" t="s">
        <v>5398</v>
      </c>
      <c r="I5358" s="7">
        <v>1535600</v>
      </c>
      <c r="J5358" s="8">
        <v>3.5600000000000007E-2</v>
      </c>
    </row>
    <row r="5359" spans="1:10" x14ac:dyDescent="0.25">
      <c r="A5359" s="5" t="s">
        <v>5392</v>
      </c>
      <c r="B5359" s="5" t="s">
        <v>7226</v>
      </c>
      <c r="C5359" s="6" t="str">
        <f>_xll.QS.CONTEXT.CREATE("market.5357",A5359,"USD","SOFR")</f>
        <v>QSObject:PricingContext:w1~market.5357:10442</v>
      </c>
      <c r="D5359" s="6" t="str">
        <f>_xll.QS.CONTEXT.ADD.CURVE(C5359,"SOFR",$K$2:$K$7,$L$2:$L$7,,,"Actual360","LogLinear",TRUE)</f>
        <v>QSObject:ContextInput:w1~input.qs_context_add_curve.2359132437744.5358.3.0:35193</v>
      </c>
      <c r="E5359" s="6" t="str">
        <f>_xll.QS.INSTRUMENT.SWAP("swap.5357",H5359,B5359,"USD","SOFR",I5359,J5359,0,"Actual360","Simple","Annual","Annual","Annual")</f>
        <v>QSObject:Swap:w1~swap.5357:10441</v>
      </c>
      <c r="F5359" s="6" t="str">
        <f>_xll.QS.TRADE.CREATE("trade.5357",E5359,A5359,"Receive")</f>
        <v>QSObject:SwapTrade:w1~trade.5357:26697</v>
      </c>
      <c r="G5359" s="3">
        <f>_xll.QS.EVALUATE(C5359,F5359)</f>
        <v>26181.759309344241</v>
      </c>
      <c r="H5359" s="5" t="s">
        <v>5399</v>
      </c>
      <c r="I5359" s="7">
        <v>1535700</v>
      </c>
      <c r="J5359" s="8">
        <v>3.5700000000000003E-2</v>
      </c>
    </row>
    <row r="5360" spans="1:10" x14ac:dyDescent="0.25">
      <c r="A5360" s="5" t="s">
        <v>5393</v>
      </c>
      <c r="B5360" s="5" t="s">
        <v>7227</v>
      </c>
      <c r="C5360" s="6" t="str">
        <f>_xll.QS.CONTEXT.CREATE("market.5358",A5360,"USD","SOFR")</f>
        <v>QSObject:PricingContext:w1~market.5358:10440</v>
      </c>
      <c r="D5360" s="6" t="str">
        <f>_xll.QS.CONTEXT.ADD.CURVE(C5360,"SOFR",$K$2:$K$7,$L$2:$L$7,,,"Actual360","LogLinear",TRUE)</f>
        <v>QSObject:ContextInput:w1~input.qs_context_add_curve.2359132437744.5359.3.0:35192</v>
      </c>
      <c r="E5360" s="6" t="str">
        <f>_xll.QS.INSTRUMENT.SWAP("swap.5358",H5360,B5360,"USD","SOFR",I5360,J5360,0,"Actual360","Simple","Annual","Annual","Annual")</f>
        <v>QSObject:Swap:w1~swap.5358:10439</v>
      </c>
      <c r="F5360" s="6" t="str">
        <f>_xll.QS.TRADE.CREATE("trade.5358",E5360,A5360,"Receive")</f>
        <v>QSObject:SwapTrade:w1~trade.5358:26696</v>
      </c>
      <c r="G5360" s="3">
        <f>_xll.QS.EVALUATE(C5360,F5360)</f>
        <v>26905.511797520616</v>
      </c>
      <c r="H5360" s="5" t="s">
        <v>5400</v>
      </c>
      <c r="I5360" s="7">
        <v>1535800</v>
      </c>
      <c r="J5360" s="8">
        <v>3.5800000000000012E-2</v>
      </c>
    </row>
    <row r="5361" spans="1:10" x14ac:dyDescent="0.25">
      <c r="A5361" s="5" t="s">
        <v>5394</v>
      </c>
      <c r="B5361" s="5" t="s">
        <v>7228</v>
      </c>
      <c r="C5361" s="6" t="str">
        <f>_xll.QS.CONTEXT.CREATE("market.5359",A5361,"USD","SOFR")</f>
        <v>QSObject:PricingContext:w1~market.5359:10438</v>
      </c>
      <c r="D5361" s="6" t="str">
        <f>_xll.QS.CONTEXT.ADD.CURVE(C5361,"SOFR",$K$2:$K$7,$L$2:$L$7,,,"Actual360","LogLinear",TRUE)</f>
        <v>QSObject:ContextInput:w1~input.qs_context_add_curve.2359132437744.5360.3.0:35191</v>
      </c>
      <c r="E5361" s="6" t="str">
        <f>_xll.QS.INSTRUMENT.SWAP("swap.5359",H5361,B5361,"USD","SOFR",I5361,J5361,0,"Actual360","Simple","Annual","Annual","Annual")</f>
        <v>QSObject:Swap:w1~swap.5359:10437</v>
      </c>
      <c r="F5361" s="6" t="str">
        <f>_xll.QS.TRADE.CREATE("trade.5359",E5361,A5361,"Receive")</f>
        <v>QSObject:SwapTrade:w1~trade.5359:26695</v>
      </c>
      <c r="G5361" s="3">
        <f>_xll.QS.EVALUATE(C5361,F5361)</f>
        <v>27614.713511368238</v>
      </c>
      <c r="H5361" s="5" t="s">
        <v>5401</v>
      </c>
      <c r="I5361" s="7">
        <v>1535900</v>
      </c>
      <c r="J5361" s="8">
        <v>3.5900000000000001E-2</v>
      </c>
    </row>
    <row r="5362" spans="1:10" x14ac:dyDescent="0.25">
      <c r="A5362" s="5" t="s">
        <v>5395</v>
      </c>
      <c r="B5362" s="5" t="s">
        <v>7229</v>
      </c>
      <c r="C5362" s="6" t="str">
        <f>_xll.QS.CONTEXT.CREATE("market.5360",A5362,"USD","SOFR")</f>
        <v>QSObject:PricingContext:w1~market.5360:10436</v>
      </c>
      <c r="D5362" s="6" t="str">
        <f>_xll.QS.CONTEXT.ADD.CURVE(C5362,"SOFR",$K$2:$K$7,$L$2:$L$7,,,"Actual360","LogLinear",TRUE)</f>
        <v>QSObject:ContextInput:w1~input.qs_context_add_curve.2359132437744.5361.3.0:35190</v>
      </c>
      <c r="E5362" s="6" t="str">
        <f>_xll.QS.INSTRUMENT.SWAP("swap.5360",H5362,B5362,"USD","SOFR",I5362,J5362,0,"Actual360","Simple","Annual","Annual","Annual")</f>
        <v>QSObject:Swap:w1~swap.5360:10435</v>
      </c>
      <c r="F5362" s="6" t="str">
        <f>_xll.QS.TRADE.CREATE("trade.5360",E5362,A5362,"Receive")</f>
        <v>QSObject:SwapTrade:w1~trade.5360:26694</v>
      </c>
      <c r="G5362" s="3">
        <f>_xll.QS.EVALUATE(C5362,F5362)</f>
        <v>28226.788846772768</v>
      </c>
      <c r="H5362" s="5" t="s">
        <v>5402</v>
      </c>
      <c r="I5362" s="7">
        <v>1536000</v>
      </c>
      <c r="J5362" s="8">
        <v>3.5999999999999997E-2</v>
      </c>
    </row>
    <row r="5363" spans="1:10" x14ac:dyDescent="0.25">
      <c r="A5363" s="5" t="s">
        <v>5396</v>
      </c>
      <c r="B5363" s="5" t="s">
        <v>7230</v>
      </c>
      <c r="C5363" s="6" t="str">
        <f>_xll.QS.CONTEXT.CREATE("market.5361",A5363,"USD","SOFR")</f>
        <v>QSObject:PricingContext:w1~market.5361:10434</v>
      </c>
      <c r="D5363" s="6" t="str">
        <f>_xll.QS.CONTEXT.ADD.CURVE(C5363,"SOFR",$K$2:$K$7,$L$2:$L$7,,,"Actual360","LogLinear",TRUE)</f>
        <v>QSObject:ContextInput:w1~input.qs_context_add_curve.2359132437744.5362.3.0:35189</v>
      </c>
      <c r="E5363" s="6" t="str">
        <f>_xll.QS.INSTRUMENT.SWAP("swap.5361",H5363,B5363,"USD","SOFR",I5363,J5363,0,"Actual360","Simple","Annual","Annual","Annual")</f>
        <v>QSObject:Swap:w1~swap.5361:10433</v>
      </c>
      <c r="F5363" s="6" t="str">
        <f>_xll.QS.TRADE.CREATE("trade.5361",E5363,A5363,"Receive")</f>
        <v>QSObject:SwapTrade:w1~trade.5361:26693</v>
      </c>
      <c r="G5363" s="3">
        <f>_xll.QS.EVALUATE(C5363,F5363)</f>
        <v>28806.375909123242</v>
      </c>
      <c r="H5363" s="5" t="s">
        <v>5403</v>
      </c>
      <c r="I5363" s="7">
        <v>1536100</v>
      </c>
      <c r="J5363" s="8">
        <v>3.61E-2</v>
      </c>
    </row>
    <row r="5364" spans="1:10" x14ac:dyDescent="0.25">
      <c r="A5364" s="5" t="s">
        <v>5397</v>
      </c>
      <c r="B5364" s="5" t="s">
        <v>7231</v>
      </c>
      <c r="C5364" s="6" t="str">
        <f>_xll.QS.CONTEXT.CREATE("market.5362",A5364,"USD","SOFR")</f>
        <v>QSObject:PricingContext:w1~market.5362:10432</v>
      </c>
      <c r="D5364" s="6" t="str">
        <f>_xll.QS.CONTEXT.ADD.CURVE(C5364,"SOFR",$K$2:$K$7,$L$2:$L$7,,,"Actual360","LogLinear",TRUE)</f>
        <v>QSObject:ContextInput:w1~input.qs_context_add_curve.2359132437744.5363.3.0:35188</v>
      </c>
      <c r="E5364" s="6" t="str">
        <f>_xll.QS.INSTRUMENT.SWAP("swap.5362",H5364,B5364,"USD","SOFR",I5364,J5364,0,"Actual360","Simple","Annual","Annual","Annual")</f>
        <v>QSObject:Swap:w1~swap.5362:10431</v>
      </c>
      <c r="F5364" s="6" t="str">
        <f>_xll.QS.TRADE.CREATE("trade.5362",E5364,A5364,"Receive")</f>
        <v>QSObject:SwapTrade:w1~trade.5362:26692</v>
      </c>
      <c r="G5364" s="3">
        <f>_xll.QS.EVALUATE(C5364,F5364)</f>
        <v>29519.042003464579</v>
      </c>
      <c r="H5364" s="5" t="s">
        <v>5404</v>
      </c>
      <c r="I5364" s="7">
        <v>1536200</v>
      </c>
      <c r="J5364" s="8">
        <v>3.6200000000000003E-2</v>
      </c>
    </row>
    <row r="5365" spans="1:10" x14ac:dyDescent="0.25">
      <c r="A5365" s="5" t="s">
        <v>5398</v>
      </c>
      <c r="B5365" s="5" t="s">
        <v>7232</v>
      </c>
      <c r="C5365" s="6" t="str">
        <f>_xll.QS.CONTEXT.CREATE("market.5363",A5365,"USD","SOFR")</f>
        <v>QSObject:PricingContext:w1~market.5363:10430</v>
      </c>
      <c r="D5365" s="6" t="str">
        <f>_xll.QS.CONTEXT.ADD.CURVE(C5365,"SOFR",$K$2:$K$7,$L$2:$L$7,,,"Actual360","LogLinear",TRUE)</f>
        <v>QSObject:ContextInput:w1~input.qs_context_add_curve.2359132437744.5364.3.0:35187</v>
      </c>
      <c r="E5365" s="6" t="str">
        <f>_xll.QS.INSTRUMENT.SWAP("swap.5363",H5365,B5365,"USD","SOFR",I5365,J5365,0,"Actual360","Simple","Annual","Annual","Annual")</f>
        <v>QSObject:Swap:w1~swap.5363:10429</v>
      </c>
      <c r="F5365" s="6" t="str">
        <f>_xll.QS.TRADE.CREATE("trade.5363",E5365,A5365,"Receive")</f>
        <v>QSObject:SwapTrade:w1~trade.5363:26691</v>
      </c>
      <c r="G5365" s="3">
        <f>_xll.QS.EVALUATE(C5365,F5365)</f>
        <v>30273.758428460576</v>
      </c>
      <c r="H5365" s="5" t="s">
        <v>5405</v>
      </c>
      <c r="I5365" s="7">
        <v>1536300</v>
      </c>
      <c r="J5365" s="8">
        <v>3.6300000000000013E-2</v>
      </c>
    </row>
    <row r="5366" spans="1:10" x14ac:dyDescent="0.25">
      <c r="A5366" s="5" t="s">
        <v>5399</v>
      </c>
      <c r="B5366" s="5" t="s">
        <v>7233</v>
      </c>
      <c r="C5366" s="6" t="str">
        <f>_xll.QS.CONTEXT.CREATE("market.5364",A5366,"USD","SOFR")</f>
        <v>QSObject:PricingContext:w1~market.5364:10428</v>
      </c>
      <c r="D5366" s="6" t="str">
        <f>_xll.QS.CONTEXT.ADD.CURVE(C5366,"SOFR",$K$2:$K$7,$L$2:$L$7,,,"Actual360","LogLinear",TRUE)</f>
        <v>QSObject:ContextInput:w1~input.qs_context_add_curve.2359132437744.5365.3.0:35186</v>
      </c>
      <c r="E5366" s="6" t="str">
        <f>_xll.QS.INSTRUMENT.SWAP("swap.5364",H5366,B5366,"USD","SOFR",I5366,J5366,0,"Actual360","Simple","Annual","Annual","Annual")</f>
        <v>QSObject:Swap:w1~swap.5364:10427</v>
      </c>
      <c r="F5366" s="6" t="str">
        <f>_xll.QS.TRADE.CREATE("trade.5364",E5366,A5366,"Receive")</f>
        <v>QSObject:SwapTrade:w1~trade.5364:26690</v>
      </c>
      <c r="G5366" s="3">
        <f>_xll.QS.EVALUATE(C5366,F5366)</f>
        <v>31096.334150355186</v>
      </c>
      <c r="H5366" s="5" t="s">
        <v>5406</v>
      </c>
      <c r="I5366" s="7">
        <v>1536400</v>
      </c>
      <c r="J5366" s="8">
        <v>3.6400000000000002E-2</v>
      </c>
    </row>
    <row r="5367" spans="1:10" x14ac:dyDescent="0.25">
      <c r="A5367" s="5" t="s">
        <v>5400</v>
      </c>
      <c r="B5367" s="5" t="s">
        <v>7234</v>
      </c>
      <c r="C5367" s="6" t="str">
        <f>_xll.QS.CONTEXT.CREATE("market.5365",A5367,"USD","SOFR")</f>
        <v>QSObject:PricingContext:w1~market.5365:10426</v>
      </c>
      <c r="D5367" s="6" t="str">
        <f>_xll.QS.CONTEXT.ADD.CURVE(C5367,"SOFR",$K$2:$K$7,$L$2:$L$7,,,"Actual360","LogLinear",TRUE)</f>
        <v>QSObject:ContextInput:w1~input.qs_context_add_curve.2359132437744.5366.3.0:35185</v>
      </c>
      <c r="E5367" s="6" t="str">
        <f>_xll.QS.INSTRUMENT.SWAP("swap.5365",H5367,B5367,"USD","SOFR",I5367,J5367,0,"Actual360","Simple","Annual","Annual","Annual")</f>
        <v>QSObject:Swap:w1~swap.5365:10425</v>
      </c>
      <c r="F5367" s="6" t="str">
        <f>_xll.QS.TRADE.CREATE("trade.5365",E5367,A5367,"Receive")</f>
        <v>QSObject:SwapTrade:w1~trade.5365:26689</v>
      </c>
      <c r="G5367" s="3">
        <f>_xll.QS.EVALUATE(C5367,F5367)</f>
        <v>31873.950794968077</v>
      </c>
      <c r="H5367" s="5" t="s">
        <v>5407</v>
      </c>
      <c r="I5367" s="7">
        <v>1536500</v>
      </c>
      <c r="J5367" s="8">
        <v>3.6499999999999998E-2</v>
      </c>
    </row>
    <row r="5368" spans="1:10" x14ac:dyDescent="0.25">
      <c r="A5368" s="5" t="s">
        <v>5401</v>
      </c>
      <c r="B5368" s="5" t="s">
        <v>7235</v>
      </c>
      <c r="C5368" s="6" t="str">
        <f>_xll.QS.CONTEXT.CREATE("market.5366",A5368,"USD","SOFR")</f>
        <v>QSObject:PricingContext:w1~market.5366:10424</v>
      </c>
      <c r="D5368" s="6" t="str">
        <f>_xll.QS.CONTEXT.ADD.CURVE(C5368,"SOFR",$K$2:$K$7,$L$2:$L$7,,,"Actual360","LogLinear",TRUE)</f>
        <v>QSObject:ContextInput:w1~input.qs_context_add_curve.2359132437744.5367.3.0:35184</v>
      </c>
      <c r="E5368" s="6" t="str">
        <f>_xll.QS.INSTRUMENT.SWAP("swap.5366",H5368,B5368,"USD","SOFR",I5368,J5368,0,"Actual360","Simple","Annual","Annual","Annual")</f>
        <v>QSObject:Swap:w1~swap.5366:10423</v>
      </c>
      <c r="F5368" s="6" t="str">
        <f>_xll.QS.TRADE.CREATE("trade.5366",E5368,A5368,"Receive")</f>
        <v>QSObject:SwapTrade:w1~trade.5366:26688</v>
      </c>
      <c r="G5368" s="3">
        <f>_xll.QS.EVALUATE(C5368,F5368)</f>
        <v>32525.468784472483</v>
      </c>
      <c r="H5368" s="5" t="s">
        <v>5408</v>
      </c>
      <c r="I5368" s="7">
        <v>1536600</v>
      </c>
      <c r="J5368" s="8">
        <v>3.6600000000000001E-2</v>
      </c>
    </row>
    <row r="5369" spans="1:10" x14ac:dyDescent="0.25">
      <c r="A5369" s="5" t="s">
        <v>5402</v>
      </c>
      <c r="B5369" s="5" t="s">
        <v>7236</v>
      </c>
      <c r="C5369" s="6" t="str">
        <f>_xll.QS.CONTEXT.CREATE("market.5367",A5369,"USD","SOFR")</f>
        <v>QSObject:PricingContext:w1~market.5367:10422</v>
      </c>
      <c r="D5369" s="6" t="str">
        <f>_xll.QS.CONTEXT.ADD.CURVE(C5369,"SOFR",$K$2:$K$7,$L$2:$L$7,,,"Actual360","LogLinear",TRUE)</f>
        <v>QSObject:ContextInput:w1~input.qs_context_add_curve.2359132437744.5368.3.0:35183</v>
      </c>
      <c r="E5369" s="6" t="str">
        <f>_xll.QS.INSTRUMENT.SWAP("swap.5367",H5369,B5369,"USD","SOFR",I5369,J5369,0,"Actual360","Simple","Annual","Annual","Annual")</f>
        <v>QSObject:Swap:w1~swap.5367:10421</v>
      </c>
      <c r="F5369" s="6" t="str">
        <f>_xll.QS.TRADE.CREATE("trade.5367",E5369,A5369,"Receive")</f>
        <v>QSObject:SwapTrade:w1~trade.5367:26687</v>
      </c>
      <c r="G5369" s="3">
        <f>_xll.QS.EVALUATE(C5369,F5369)</f>
        <v>33132.316117501621</v>
      </c>
      <c r="H5369" s="5" t="s">
        <v>5409</v>
      </c>
      <c r="I5369" s="7">
        <v>1536700</v>
      </c>
      <c r="J5369" s="8">
        <v>3.6700000000000003E-2</v>
      </c>
    </row>
    <row r="5370" spans="1:10" x14ac:dyDescent="0.25">
      <c r="A5370" s="5" t="s">
        <v>5403</v>
      </c>
      <c r="B5370" s="5" t="s">
        <v>7237</v>
      </c>
      <c r="C5370" s="6" t="str">
        <f>_xll.QS.CONTEXT.CREATE("market.5368",A5370,"USD","SOFR")</f>
        <v>QSObject:PricingContext:w1~market.5368:10420</v>
      </c>
      <c r="D5370" s="6" t="str">
        <f>_xll.QS.CONTEXT.ADD.CURVE(C5370,"SOFR",$K$2:$K$7,$L$2:$L$7,,,"Actual360","LogLinear",TRUE)</f>
        <v>QSObject:ContextInput:w1~input.qs_context_add_curve.2359132437744.5369.3.0:35182</v>
      </c>
      <c r="E5370" s="6" t="str">
        <f>_xll.QS.INSTRUMENT.SWAP("swap.5368",H5370,B5370,"USD","SOFR",I5370,J5370,0,"Actual360","Simple","Annual","Annual","Annual")</f>
        <v>QSObject:Swap:w1~swap.5368:10419</v>
      </c>
      <c r="F5370" s="6" t="str">
        <f>_xll.QS.TRADE.CREATE("trade.5368",E5370,A5370,"Receive")</f>
        <v>QSObject:SwapTrade:w1~trade.5368:26686</v>
      </c>
      <c r="G5370" s="3">
        <f>_xll.QS.EVALUATE(C5370,F5370)</f>
        <v>33720.372779767677</v>
      </c>
      <c r="H5370" s="5" t="s">
        <v>5410</v>
      </c>
      <c r="I5370" s="7">
        <v>1536800</v>
      </c>
      <c r="J5370" s="8">
        <v>3.6800000000000013E-2</v>
      </c>
    </row>
    <row r="5371" spans="1:10" x14ac:dyDescent="0.25">
      <c r="A5371" s="5" t="s">
        <v>5404</v>
      </c>
      <c r="B5371" s="5" t="s">
        <v>7238</v>
      </c>
      <c r="C5371" s="6" t="str">
        <f>_xll.QS.CONTEXT.CREATE("market.5369",A5371,"USD","SOFR")</f>
        <v>QSObject:PricingContext:w1~market.5369:10418</v>
      </c>
      <c r="D5371" s="6" t="str">
        <f>_xll.QS.CONTEXT.ADD.CURVE(C5371,"SOFR",$K$2:$K$7,$L$2:$L$7,,,"Actual360","LogLinear",TRUE)</f>
        <v>QSObject:ContextInput:w1~input.qs_context_add_curve.2359132437744.5370.3.0:35181</v>
      </c>
      <c r="E5371" s="6" t="str">
        <f>_xll.QS.INSTRUMENT.SWAP("swap.5369",H5371,B5371,"USD","SOFR",I5371,J5371,0,"Actual360","Simple","Annual","Annual","Annual")</f>
        <v>QSObject:Swap:w1~swap.5369:10417</v>
      </c>
      <c r="F5371" s="6" t="str">
        <f>_xll.QS.TRADE.CREATE("trade.5369",E5371,A5371,"Receive")</f>
        <v>QSObject:SwapTrade:w1~trade.5369:26685</v>
      </c>
      <c r="G5371" s="3">
        <f>_xll.QS.EVALUATE(C5371,F5371)</f>
        <v>34495.896502258562</v>
      </c>
      <c r="H5371" s="5" t="s">
        <v>5411</v>
      </c>
      <c r="I5371" s="7">
        <v>1536900</v>
      </c>
      <c r="J5371" s="8">
        <v>3.6900000000000002E-2</v>
      </c>
    </row>
    <row r="5372" spans="1:10" x14ac:dyDescent="0.25">
      <c r="A5372" s="5" t="s">
        <v>5405</v>
      </c>
      <c r="B5372" s="5" t="s">
        <v>7239</v>
      </c>
      <c r="C5372" s="6" t="str">
        <f>_xll.QS.CONTEXT.CREATE("market.5370",A5372,"USD","SOFR")</f>
        <v>QSObject:PricingContext:w1~market.5370:10416</v>
      </c>
      <c r="D5372" s="6" t="str">
        <f>_xll.QS.CONTEXT.ADD.CURVE(C5372,"SOFR",$K$2:$K$7,$L$2:$L$7,,,"Actual360","LogLinear",TRUE)</f>
        <v>QSObject:ContextInput:w1~input.qs_context_add_curve.2359132437744.5371.3.0:35180</v>
      </c>
      <c r="E5372" s="6" t="str">
        <f>_xll.QS.INSTRUMENT.SWAP("swap.5370",H5372,B5372,"USD","SOFR",I5372,J5372,0,"Actual360","Simple","Annual","Annual","Annual")</f>
        <v>QSObject:Swap:w1~swap.5370:10415</v>
      </c>
      <c r="F5372" s="6" t="str">
        <f>_xll.QS.TRADE.CREATE("trade.5370",E5372,A5372,"Receive")</f>
        <v>QSObject:SwapTrade:w1~trade.5370:26684</v>
      </c>
      <c r="G5372" s="3">
        <f>_xll.QS.EVALUATE(C5372,F5372)</f>
        <v>35248.872081935311</v>
      </c>
      <c r="H5372" s="5" t="s">
        <v>5412</v>
      </c>
      <c r="I5372" s="7">
        <v>1537000</v>
      </c>
      <c r="J5372" s="8">
        <v>3.7000000000000012E-2</v>
      </c>
    </row>
    <row r="5373" spans="1:10" x14ac:dyDescent="0.25">
      <c r="A5373" s="5" t="s">
        <v>5406</v>
      </c>
      <c r="B5373" s="5" t="s">
        <v>7240</v>
      </c>
      <c r="C5373" s="6" t="str">
        <f>_xll.QS.CONTEXT.CREATE("market.5371",A5373,"USD","SOFR")</f>
        <v>QSObject:PricingContext:w1~market.5371:10414</v>
      </c>
      <c r="D5373" s="6" t="str">
        <f>_xll.QS.CONTEXT.ADD.CURVE(C5373,"SOFR",$K$2:$K$7,$L$2:$L$7,,,"Actual360","LogLinear",TRUE)</f>
        <v>QSObject:ContextInput:w1~input.qs_context_add_curve.2359132437744.5372.3.0:35179</v>
      </c>
      <c r="E5373" s="6" t="str">
        <f>_xll.QS.INSTRUMENT.SWAP("swap.5371",H5373,B5373,"USD","SOFR",I5373,J5373,0,"Actual360","Simple","Annual","Annual","Annual")</f>
        <v>QSObject:Swap:w1~swap.5371:10413</v>
      </c>
      <c r="F5373" s="6" t="str">
        <f>_xll.QS.TRADE.CREATE("trade.5371",E5373,A5373,"Receive")</f>
        <v>QSObject:SwapTrade:w1~trade.5371:26683</v>
      </c>
      <c r="G5373" s="3">
        <f>_xll.QS.EVALUATE(C5373,F5373)</f>
        <v>36072.2180938042</v>
      </c>
      <c r="H5373" s="5" t="s">
        <v>5413</v>
      </c>
      <c r="I5373" s="7">
        <v>1537100</v>
      </c>
      <c r="J5373" s="8">
        <v>3.7100000000000001E-2</v>
      </c>
    </row>
    <row r="5374" spans="1:10" x14ac:dyDescent="0.25">
      <c r="A5374" s="5" t="s">
        <v>5407</v>
      </c>
      <c r="B5374" s="5" t="s">
        <v>7241</v>
      </c>
      <c r="C5374" s="6" t="str">
        <f>_xll.QS.CONTEXT.CREATE("market.5372",A5374,"USD","SOFR")</f>
        <v>QSObject:PricingContext:w1~market.5372:10412</v>
      </c>
      <c r="D5374" s="6" t="str">
        <f>_xll.QS.CONTEXT.ADD.CURVE(C5374,"SOFR",$K$2:$K$7,$L$2:$L$7,,,"Actual360","LogLinear",TRUE)</f>
        <v>QSObject:ContextInput:w1~input.qs_context_add_curve.2359132437744.5373.3.0:35178</v>
      </c>
      <c r="E5374" s="6" t="str">
        <f>_xll.QS.INSTRUMENT.SWAP("swap.5372",H5374,B5374,"USD","SOFR",I5374,J5374,0,"Actual360","Simple","Annual","Annual","Annual")</f>
        <v>QSObject:Swap:w1~swap.5372:10411</v>
      </c>
      <c r="F5374" s="6" t="str">
        <f>_xll.QS.TRADE.CREATE("trade.5372",E5374,A5374,"Receive")</f>
        <v>QSObject:SwapTrade:w1~trade.5372:26682</v>
      </c>
      <c r="G5374" s="3">
        <f>_xll.QS.EVALUATE(C5374,F5374)</f>
        <v>36850.567853862049</v>
      </c>
      <c r="H5374" s="5" t="s">
        <v>5414</v>
      </c>
      <c r="I5374" s="7">
        <v>1537200</v>
      </c>
      <c r="J5374" s="8">
        <v>3.7199999999999997E-2</v>
      </c>
    </row>
    <row r="5375" spans="1:10" x14ac:dyDescent="0.25">
      <c r="A5375" s="5" t="s">
        <v>5408</v>
      </c>
      <c r="B5375" s="5" t="s">
        <v>7242</v>
      </c>
      <c r="C5375" s="6" t="str">
        <f>_xll.QS.CONTEXT.CREATE("market.5373",A5375,"USD","SOFR")</f>
        <v>QSObject:PricingContext:w1~market.5373:10410</v>
      </c>
      <c r="D5375" s="6" t="str">
        <f>_xll.QS.CONTEXT.ADD.CURVE(C5375,"SOFR",$K$2:$K$7,$L$2:$L$7,,,"Actual360","LogLinear",TRUE)</f>
        <v>QSObject:ContextInput:w1~input.qs_context_add_curve.2359132437744.5374.3.0:35177</v>
      </c>
      <c r="E5375" s="6" t="str">
        <f>_xll.QS.INSTRUMENT.SWAP("swap.5373",H5375,B5375,"USD","SOFR",I5375,J5375,0,"Actual360","Simple","Annual","Annual","Annual")</f>
        <v>QSObject:Swap:w1~swap.5373:10409</v>
      </c>
      <c r="F5375" s="6" t="str">
        <f>_xll.QS.TRADE.CREATE("trade.5373",E5375,A5375,"Receive")</f>
        <v>QSObject:SwapTrade:w1~trade.5373:26681</v>
      </c>
      <c r="G5375" s="3">
        <f>_xll.QS.EVALUATE(C5375,F5375)</f>
        <v>37502.650874089348</v>
      </c>
      <c r="H5375" s="5" t="s">
        <v>5415</v>
      </c>
      <c r="I5375" s="7">
        <v>1537300</v>
      </c>
      <c r="J5375" s="8">
        <v>3.73E-2</v>
      </c>
    </row>
    <row r="5376" spans="1:10" x14ac:dyDescent="0.25">
      <c r="A5376" s="5" t="s">
        <v>5409</v>
      </c>
      <c r="B5376" s="5" t="s">
        <v>7243</v>
      </c>
      <c r="C5376" s="6" t="str">
        <f>_xll.QS.CONTEXT.CREATE("market.5374",A5376,"USD","SOFR")</f>
        <v>QSObject:PricingContext:w1~market.5374:10408</v>
      </c>
      <c r="D5376" s="6" t="str">
        <f>_xll.QS.CONTEXT.ADD.CURVE(C5376,"SOFR",$K$2:$K$7,$L$2:$L$7,,,"Actual360","LogLinear",TRUE)</f>
        <v>QSObject:ContextInput:w1~input.qs_context_add_curve.2359132437744.5375.3.0:35176</v>
      </c>
      <c r="E5376" s="6" t="str">
        <f>_xll.QS.INSTRUMENT.SWAP("swap.5374",H5376,B5376,"USD","SOFR",I5376,J5376,0,"Actual360","Simple","Annual","Annual","Annual")</f>
        <v>QSObject:Swap:w1~swap.5374:10407</v>
      </c>
      <c r="F5376" s="6" t="str">
        <f>_xll.QS.TRADE.CREATE("trade.5374",E5376,A5376,"Receive")</f>
        <v>QSObject:SwapTrade:w1~trade.5374:26680</v>
      </c>
      <c r="G5376" s="3">
        <f>_xll.QS.EVALUATE(C5376,F5376)</f>
        <v>38104.252377700032</v>
      </c>
      <c r="H5376" s="5" t="s">
        <v>5416</v>
      </c>
      <c r="I5376" s="7">
        <v>1537400</v>
      </c>
      <c r="J5376" s="8">
        <v>3.7400000000000003E-2</v>
      </c>
    </row>
    <row r="5377" spans="1:10" x14ac:dyDescent="0.25">
      <c r="A5377" s="5" t="s">
        <v>5410</v>
      </c>
      <c r="B5377" s="5" t="s">
        <v>7244</v>
      </c>
      <c r="C5377" s="6" t="str">
        <f>_xll.QS.CONTEXT.CREATE("market.5375",A5377,"USD","SOFR")</f>
        <v>QSObject:PricingContext:w1~market.5375:10406</v>
      </c>
      <c r="D5377" s="6" t="str">
        <f>_xll.QS.CONTEXT.ADD.CURVE(C5377,"SOFR",$K$2:$K$7,$L$2:$L$7,,,"Actual360","LogLinear",TRUE)</f>
        <v>QSObject:ContextInput:w1~input.qs_context_add_curve.2359132437744.5376.3.0:35175</v>
      </c>
      <c r="E5377" s="6" t="str">
        <f>_xll.QS.INSTRUMENT.SWAP("swap.5375",H5377,B5377,"USD","SOFR",I5377,J5377,0,"Actual360","Simple","Annual","Annual","Annual")</f>
        <v>QSObject:Swap:w1~swap.5375:10405</v>
      </c>
      <c r="F5377" s="6" t="str">
        <f>_xll.QS.TRADE.CREATE("trade.5375",E5377,A5377,"Receive")</f>
        <v>QSObject:SwapTrade:w1~trade.5375:26679</v>
      </c>
      <c r="G5377" s="3">
        <f>_xll.QS.EVALUATE(C5377,F5377)</f>
        <v>38700.592626584366</v>
      </c>
      <c r="H5377" s="5" t="s">
        <v>5417</v>
      </c>
      <c r="I5377" s="7">
        <v>1537500</v>
      </c>
      <c r="J5377" s="8">
        <v>3.7500000000000012E-2</v>
      </c>
    </row>
    <row r="5378" spans="1:10" x14ac:dyDescent="0.25">
      <c r="A5378" s="5" t="s">
        <v>5411</v>
      </c>
      <c r="B5378" s="5" t="s">
        <v>7245</v>
      </c>
      <c r="C5378" s="6" t="str">
        <f>_xll.QS.CONTEXT.CREATE("market.5376",A5378,"USD","SOFR")</f>
        <v>QSObject:PricingContext:w1~market.5376:10404</v>
      </c>
      <c r="D5378" s="6" t="str">
        <f>_xll.QS.CONTEXT.ADD.CURVE(C5378,"SOFR",$K$2:$K$7,$L$2:$L$7,,,"Actual360","LogLinear",TRUE)</f>
        <v>QSObject:ContextInput:w1~input.qs_context_add_curve.2359132437744.5377.3.0:35174</v>
      </c>
      <c r="E5378" s="6" t="str">
        <f>_xll.QS.INSTRUMENT.SWAP("swap.5376",H5378,B5378,"USD","SOFR",I5378,J5378,0,"Actual360","Simple","Annual","Annual","Annual")</f>
        <v>QSObject:Swap:w1~swap.5376:10403</v>
      </c>
      <c r="F5378" s="6" t="str">
        <f>_xll.QS.TRADE.CREATE("trade.5376",E5378,A5378,"Receive")</f>
        <v>QSObject:SwapTrade:w1~trade.5376:26678</v>
      </c>
      <c r="G5378" s="3">
        <f>_xll.QS.EVALUATE(C5378,F5378)</f>
        <v>39477.272287399726</v>
      </c>
      <c r="H5378" s="5" t="s">
        <v>5418</v>
      </c>
      <c r="I5378" s="7">
        <v>1537600</v>
      </c>
      <c r="J5378" s="8">
        <v>3.7600000000000001E-2</v>
      </c>
    </row>
    <row r="5379" spans="1:10" x14ac:dyDescent="0.25">
      <c r="A5379" s="5" t="s">
        <v>5412</v>
      </c>
      <c r="B5379" s="5" t="s">
        <v>7246</v>
      </c>
      <c r="C5379" s="6" t="str">
        <f>_xll.QS.CONTEXT.CREATE("market.5377",A5379,"USD","SOFR")</f>
        <v>QSObject:PricingContext:w1~market.5377:10402</v>
      </c>
      <c r="D5379" s="6" t="str">
        <f>_xll.QS.CONTEXT.ADD.CURVE(C5379,"SOFR",$K$2:$K$7,$L$2:$L$7,,,"Actual360","LogLinear",TRUE)</f>
        <v>QSObject:ContextInput:w1~input.qs_context_add_curve.2359132437744.5378.3.0:35173</v>
      </c>
      <c r="E5379" s="6" t="str">
        <f>_xll.QS.INSTRUMENT.SWAP("swap.5377",H5379,B5379,"USD","SOFR",I5379,J5379,0,"Actual360","Simple","Annual","Annual","Annual")</f>
        <v>QSObject:Swap:w1~swap.5377:10401</v>
      </c>
      <c r="F5379" s="6" t="str">
        <f>_xll.QS.TRADE.CREATE("trade.5377",E5379,A5379,"Receive")</f>
        <v>QSObject:SwapTrade:w1~trade.5377:26677</v>
      </c>
      <c r="G5379" s="3">
        <f>_xll.QS.EVALUATE(C5379,F5379)</f>
        <v>40228.504829488149</v>
      </c>
      <c r="H5379" s="5" t="s">
        <v>5419</v>
      </c>
      <c r="I5379" s="7">
        <v>1537700</v>
      </c>
      <c r="J5379" s="8">
        <v>3.7699999999999997E-2</v>
      </c>
    </row>
    <row r="5380" spans="1:10" x14ac:dyDescent="0.25">
      <c r="A5380" s="5" t="s">
        <v>5413</v>
      </c>
      <c r="B5380" s="5" t="s">
        <v>7247</v>
      </c>
      <c r="C5380" s="6" t="str">
        <f>_xll.QS.CONTEXT.CREATE("market.5378",A5380,"USD","SOFR")</f>
        <v>QSObject:PricingContext:w1~market.5378:10400</v>
      </c>
      <c r="D5380" s="6" t="str">
        <f>_xll.QS.CONTEXT.ADD.CURVE(C5380,"SOFR",$K$2:$K$7,$L$2:$L$7,,,"Actual360","LogLinear",TRUE)</f>
        <v>QSObject:ContextInput:w1~input.qs_context_add_curve.2359132437744.5379.3.0:35172</v>
      </c>
      <c r="E5380" s="6" t="str">
        <f>_xll.QS.INSTRUMENT.SWAP("swap.5378",H5380,B5380,"USD","SOFR",I5380,J5380,0,"Actual360","Simple","Annual","Annual","Annual")</f>
        <v>QSObject:Swap:w1~swap.5378:10399</v>
      </c>
      <c r="F5380" s="6" t="str">
        <f>_xll.QS.TRADE.CREATE("trade.5378",E5380,A5380,"Receive")</f>
        <v>QSObject:SwapTrade:w1~trade.5378:26676</v>
      </c>
      <c r="G5380" s="3">
        <f>_xll.QS.EVALUATE(C5380,F5380)</f>
        <v>41052.843617833045</v>
      </c>
      <c r="H5380" s="5" t="s">
        <v>5420</v>
      </c>
      <c r="I5380" s="7">
        <v>1537800</v>
      </c>
      <c r="J5380" s="8">
        <v>3.78E-2</v>
      </c>
    </row>
    <row r="5381" spans="1:10" x14ac:dyDescent="0.25">
      <c r="A5381" s="5" t="s">
        <v>5414</v>
      </c>
      <c r="B5381" s="5" t="s">
        <v>7248</v>
      </c>
      <c r="C5381" s="6" t="str">
        <f>_xll.QS.CONTEXT.CREATE("market.5379",A5381,"USD","SOFR")</f>
        <v>QSObject:PricingContext:w1~market.5379:10398</v>
      </c>
      <c r="D5381" s="6" t="str">
        <f>_xll.QS.CONTEXT.ADD.CURVE(C5381,"SOFR",$K$2:$K$7,$L$2:$L$7,,,"Actual360","LogLinear",TRUE)</f>
        <v>QSObject:ContextInput:w1~input.qs_context_add_curve.2359132437744.5380.3.0:35171</v>
      </c>
      <c r="E5381" s="6" t="str">
        <f>_xll.QS.INSTRUMENT.SWAP("swap.5379",H5381,B5381,"USD","SOFR",I5381,J5381,0,"Actual360","Simple","Annual","Annual","Annual")</f>
        <v>QSObject:Swap:w1~swap.5379:10397</v>
      </c>
      <c r="F5381" s="6" t="str">
        <f>_xll.QS.TRADE.CREATE("trade.5379",E5381,A5381,"Receive")</f>
        <v>QSObject:SwapTrade:w1~trade.5379:26675</v>
      </c>
      <c r="G5381" s="3">
        <f>_xll.QS.EVALUATE(C5381,F5381)</f>
        <v>41832.120034649837</v>
      </c>
      <c r="H5381" s="5" t="s">
        <v>5421</v>
      </c>
      <c r="I5381" s="7">
        <v>1537900</v>
      </c>
      <c r="J5381" s="8">
        <v>3.7900000000000003E-2</v>
      </c>
    </row>
    <row r="5382" spans="1:10" x14ac:dyDescent="0.25">
      <c r="A5382" s="5" t="s">
        <v>5415</v>
      </c>
      <c r="B5382" s="5" t="s">
        <v>7249</v>
      </c>
      <c r="C5382" s="6" t="str">
        <f>_xll.QS.CONTEXT.CREATE("market.5380",A5382,"USD","SOFR")</f>
        <v>QSObject:PricingContext:w1~market.5380:10396</v>
      </c>
      <c r="D5382" s="6" t="str">
        <f>_xll.QS.CONTEXT.ADD.CURVE(C5382,"SOFR",$K$2:$K$7,$L$2:$L$7,,,"Actual360","LogLinear",TRUE)</f>
        <v>QSObject:ContextInput:w1~input.qs_context_add_curve.2359132437744.5381.3.0:35170</v>
      </c>
      <c r="E5382" s="6" t="str">
        <f>_xll.QS.INSTRUMENT.SWAP("swap.5380",H5382,B5382,"USD","SOFR",I5382,J5382,0,"Actual360","Simple","Annual","Annual","Annual")</f>
        <v>QSObject:Swap:w1~swap.5380:10395</v>
      </c>
      <c r="F5382" s="6" t="str">
        <f>_xll.QS.TRADE.CREATE("trade.5380",E5382,A5382,"Receive")</f>
        <v>QSObject:SwapTrade:w1~trade.5380:26674</v>
      </c>
      <c r="G5382" s="3">
        <f>_xll.QS.EVALUATE(C5382,F5382)</f>
        <v>42484.352127891514</v>
      </c>
      <c r="H5382" s="5" t="s">
        <v>5422</v>
      </c>
      <c r="I5382" s="7">
        <v>1538000</v>
      </c>
      <c r="J5382" s="8">
        <v>3.8000000000000013E-2</v>
      </c>
    </row>
    <row r="5383" spans="1:10" x14ac:dyDescent="0.25">
      <c r="A5383" s="5" t="s">
        <v>5416</v>
      </c>
      <c r="B5383" s="5" t="s">
        <v>7250</v>
      </c>
      <c r="C5383" s="6" t="str">
        <f>_xll.QS.CONTEXT.CREATE("market.5381",A5383,"USD","SOFR")</f>
        <v>QSObject:PricingContext:w1~market.5381:10394</v>
      </c>
      <c r="D5383" s="6" t="str">
        <f>_xll.QS.CONTEXT.ADD.CURVE(C5383,"SOFR",$K$2:$K$7,$L$2:$L$7,,,"Actual360","LogLinear",TRUE)</f>
        <v>QSObject:ContextInput:w1~input.qs_context_add_curve.2359132437744.5382.3.0:35169</v>
      </c>
      <c r="E5383" s="6" t="str">
        <f>_xll.QS.INSTRUMENT.SWAP("swap.5381",H5383,B5383,"USD","SOFR",I5383,J5383,0,"Actual360","Simple","Annual","Annual","Annual")</f>
        <v>QSObject:Swap:w1~swap.5381:10393</v>
      </c>
      <c r="F5383" s="6" t="str">
        <f>_xll.QS.TRADE.CREATE("trade.5381",E5383,A5383,"Receive")</f>
        <v>QSObject:SwapTrade:w1~trade.5381:26673</v>
      </c>
      <c r="G5383" s="3">
        <f>_xll.QS.EVALUATE(C5383,F5383)</f>
        <v>43080.702480285458</v>
      </c>
      <c r="H5383" s="5" t="s">
        <v>5423</v>
      </c>
      <c r="I5383" s="7">
        <v>1538100</v>
      </c>
      <c r="J5383" s="8">
        <v>3.8100000000000002E-2</v>
      </c>
    </row>
    <row r="5384" spans="1:10" x14ac:dyDescent="0.25">
      <c r="A5384" s="5" t="s">
        <v>5417</v>
      </c>
      <c r="B5384" s="5" t="s">
        <v>7251</v>
      </c>
      <c r="C5384" s="6" t="str">
        <f>_xll.QS.CONTEXT.CREATE("market.5382",A5384,"USD","SOFR")</f>
        <v>QSObject:PricingContext:w1~market.5382:10392</v>
      </c>
      <c r="D5384" s="6" t="str">
        <f>_xll.QS.CONTEXT.ADD.CURVE(C5384,"SOFR",$K$2:$K$7,$L$2:$L$7,,,"Actual360","LogLinear",TRUE)</f>
        <v>QSObject:ContextInput:w1~input.qs_context_add_curve.2359132437744.5383.3.0:35168</v>
      </c>
      <c r="E5384" s="6" t="str">
        <f>_xll.QS.INSTRUMENT.SWAP("swap.5382",H5384,B5384,"USD","SOFR",I5384,J5384,0,"Actual360","Simple","Annual","Annual","Annual")</f>
        <v>QSObject:Swap:w1~swap.5382:10391</v>
      </c>
      <c r="F5384" s="6" t="str">
        <f>_xll.QS.TRADE.CREATE("trade.5382",E5384,A5384,"Receive")</f>
        <v>QSObject:SwapTrade:w1~trade.5382:26672</v>
      </c>
      <c r="G5384" s="3">
        <f>_xll.QS.EVALUATE(C5384,F5384)</f>
        <v>43685.333321976097</v>
      </c>
      <c r="H5384" s="5" t="s">
        <v>5424</v>
      </c>
      <c r="I5384" s="7">
        <v>1538200</v>
      </c>
      <c r="J5384" s="8">
        <v>3.8199999999999998E-2</v>
      </c>
    </row>
    <row r="5385" spans="1:10" x14ac:dyDescent="0.25">
      <c r="A5385" s="5" t="s">
        <v>5418</v>
      </c>
      <c r="B5385" s="5" t="s">
        <v>7252</v>
      </c>
      <c r="C5385" s="6" t="str">
        <f>_xll.QS.CONTEXT.CREATE("market.5383",A5385,"USD","SOFR")</f>
        <v>QSObject:PricingContext:w1~market.5383:10390</v>
      </c>
      <c r="D5385" s="6" t="str">
        <f>_xll.QS.CONTEXT.ADD.CURVE(C5385,"SOFR",$K$2:$K$7,$L$2:$L$7,,,"Actual360","LogLinear",TRUE)</f>
        <v>QSObject:ContextInput:w1~input.qs_context_add_curve.2359132437744.5384.3.0:35167</v>
      </c>
      <c r="E5385" s="6" t="str">
        <f>_xll.QS.INSTRUMENT.SWAP("swap.5383",H5385,B5385,"USD","SOFR",I5385,J5385,0,"Actual360","Simple","Annual","Annual","Annual")</f>
        <v>QSObject:Swap:w1~swap.5383:10389</v>
      </c>
      <c r="F5385" s="6" t="str">
        <f>_xll.QS.TRADE.CREATE("trade.5383",E5385,A5385,"Receive")</f>
        <v>QSObject:SwapTrade:w1~trade.5383:26671</v>
      </c>
      <c r="G5385" s="3">
        <f>_xll.QS.EVALUATE(C5385,F5385)</f>
        <v>44462.973490985816</v>
      </c>
      <c r="H5385" s="5" t="s">
        <v>5425</v>
      </c>
      <c r="I5385" s="7">
        <v>1538300</v>
      </c>
      <c r="J5385" s="8">
        <v>3.8300000000000001E-2</v>
      </c>
    </row>
    <row r="5386" spans="1:10" x14ac:dyDescent="0.25">
      <c r="A5386" s="5" t="s">
        <v>5419</v>
      </c>
      <c r="B5386" s="5" t="s">
        <v>7253</v>
      </c>
      <c r="C5386" s="6" t="str">
        <f>_xll.QS.CONTEXT.CREATE("market.5384",A5386,"USD","SOFR")</f>
        <v>QSObject:PricingContext:w1~market.5384:10388</v>
      </c>
      <c r="D5386" s="6" t="str">
        <f>_xll.QS.CONTEXT.ADD.CURVE(C5386,"SOFR",$K$2:$K$7,$L$2:$L$7,,,"Actual360","LogLinear",TRUE)</f>
        <v>QSObject:ContextInput:w1~input.qs_context_add_curve.2359132437744.5385.3.0:35166</v>
      </c>
      <c r="E5386" s="6" t="str">
        <f>_xll.QS.INSTRUMENT.SWAP("swap.5384",H5386,B5386,"USD","SOFR",I5386,J5386,0,"Actual360","Simple","Annual","Annual","Annual")</f>
        <v>QSObject:Swap:w1~swap.5384:10387</v>
      </c>
      <c r="F5386" s="6" t="str">
        <f>_xll.QS.TRADE.CREATE("trade.5384",E5386,A5386,"Receive")</f>
        <v>QSObject:SwapTrade:w1~trade.5384:26670</v>
      </c>
      <c r="G5386" s="3">
        <f>_xll.QS.EVALUATE(C5386,F5386)</f>
        <v>45211.608032476739</v>
      </c>
      <c r="H5386" s="5" t="s">
        <v>5426</v>
      </c>
      <c r="I5386" s="7">
        <v>1538400</v>
      </c>
      <c r="J5386" s="8">
        <v>3.8399999999999997E-2</v>
      </c>
    </row>
    <row r="5387" spans="1:10" x14ac:dyDescent="0.25">
      <c r="A5387" s="5" t="s">
        <v>5420</v>
      </c>
      <c r="B5387" s="5" t="s">
        <v>7254</v>
      </c>
      <c r="C5387" s="6" t="str">
        <f>_xll.QS.CONTEXT.CREATE("market.5385",A5387,"USD","SOFR")</f>
        <v>QSObject:PricingContext:w1~market.5385:10386</v>
      </c>
      <c r="D5387" s="6" t="str">
        <f>_xll.QS.CONTEXT.ADD.CURVE(C5387,"SOFR",$K$2:$K$7,$L$2:$L$7,,,"Actual360","LogLinear",TRUE)</f>
        <v>QSObject:ContextInput:w1~input.qs_context_add_curve.2359132437744.5386.3.0:35165</v>
      </c>
      <c r="E5387" s="6" t="str">
        <f>_xll.QS.INSTRUMENT.SWAP("swap.5385",H5387,B5387,"USD","SOFR",I5387,J5387,0,"Actual360","Simple","Annual","Annual","Annual")</f>
        <v>QSObject:Swap:w1~swap.5385:10385</v>
      </c>
      <c r="F5387" s="6" t="str">
        <f>_xll.QS.TRADE.CREATE("trade.5385",E5387,A5387,"Receive")</f>
        <v>QSObject:SwapTrade:w1~trade.5385:26669</v>
      </c>
      <c r="G5387" s="3">
        <f>_xll.QS.EVALUATE(C5387,F5387)</f>
        <v>46037.416484043766</v>
      </c>
      <c r="H5387" s="5" t="s">
        <v>5427</v>
      </c>
      <c r="I5387" s="7">
        <v>1538500</v>
      </c>
      <c r="J5387" s="8">
        <v>3.8500000000000013E-2</v>
      </c>
    </row>
    <row r="5388" spans="1:10" x14ac:dyDescent="0.25">
      <c r="A5388" s="5" t="s">
        <v>5421</v>
      </c>
      <c r="B5388" s="5" t="s">
        <v>7255</v>
      </c>
      <c r="C5388" s="6" t="str">
        <f>_xll.QS.CONTEXT.CREATE("market.5386",A5388,"USD","SOFR")</f>
        <v>QSObject:PricingContext:w1~market.5386:10384</v>
      </c>
      <c r="D5388" s="6" t="str">
        <f>_xll.QS.CONTEXT.ADD.CURVE(C5388,"SOFR",$K$2:$K$7,$L$2:$L$7,,,"Actual360","LogLinear",TRUE)</f>
        <v>QSObject:ContextInput:w1~input.qs_context_add_curve.2359132437744.5387.3.0:35164</v>
      </c>
      <c r="E5388" s="6" t="str">
        <f>_xll.QS.INSTRUMENT.SWAP("swap.5386",H5388,B5388,"USD","SOFR",I5388,J5388,0,"Actual360","Simple","Annual","Annual","Annual")</f>
        <v>QSObject:Swap:w1~swap.5386:10383</v>
      </c>
      <c r="F5388" s="6" t="str">
        <f>_xll.QS.TRADE.CREATE("trade.5386",E5388,A5388,"Receive")</f>
        <v>QSObject:SwapTrade:w1~trade.5386:26668</v>
      </c>
      <c r="G5388" s="3">
        <f>_xll.QS.EVALUATE(C5388,F5388)</f>
        <v>46817.165589830816</v>
      </c>
      <c r="H5388" s="5" t="s">
        <v>5428</v>
      </c>
      <c r="I5388" s="7">
        <v>1538600</v>
      </c>
      <c r="J5388" s="8">
        <v>3.8600000000000002E-2</v>
      </c>
    </row>
    <row r="5389" spans="1:10" x14ac:dyDescent="0.25">
      <c r="A5389" s="5" t="s">
        <v>5422</v>
      </c>
      <c r="B5389" s="5" t="s">
        <v>7256</v>
      </c>
      <c r="C5389" s="6" t="str">
        <f>_xll.QS.CONTEXT.CREATE("market.5387",A5389,"USD","SOFR")</f>
        <v>QSObject:PricingContext:w1~market.5387:10382</v>
      </c>
      <c r="D5389" s="6" t="str">
        <f>_xll.QS.CONTEXT.ADD.CURVE(C5389,"SOFR",$K$2:$K$7,$L$2:$L$7,,,"Actual360","LogLinear",TRUE)</f>
        <v>QSObject:ContextInput:w1~input.qs_context_add_curve.2359132437744.5388.3.0:35163</v>
      </c>
      <c r="E5389" s="6" t="str">
        <f>_xll.QS.INSTRUMENT.SWAP("swap.5387",H5389,B5389,"USD","SOFR",I5389,J5389,0,"Actual360","Simple","Annual","Annual","Annual")</f>
        <v>QSObject:Swap:w1~swap.5387:10381</v>
      </c>
      <c r="F5389" s="6" t="str">
        <f>_xll.QS.TRADE.CREATE("trade.5387",E5389,A5389,"Receive")</f>
        <v>QSObject:SwapTrade:w1~trade.5387:26667</v>
      </c>
      <c r="G5389" s="3">
        <f>_xll.QS.EVALUATE(C5389,F5389)</f>
        <v>47469.985247832883</v>
      </c>
      <c r="H5389" s="5" t="s">
        <v>5429</v>
      </c>
      <c r="I5389" s="7">
        <v>1538700</v>
      </c>
      <c r="J5389" s="8">
        <v>3.8700000000000012E-2</v>
      </c>
    </row>
    <row r="5390" spans="1:10" x14ac:dyDescent="0.25">
      <c r="A5390" s="5" t="s">
        <v>5423</v>
      </c>
      <c r="B5390" s="5" t="s">
        <v>7257</v>
      </c>
      <c r="C5390" s="6" t="str">
        <f>_xll.QS.CONTEXT.CREATE("market.5388",A5390,"USD","SOFR")</f>
        <v>QSObject:PricingContext:w1~market.5388:10380</v>
      </c>
      <c r="D5390" s="6" t="str">
        <f>_xll.QS.CONTEXT.ADD.CURVE(C5390,"SOFR",$K$2:$K$7,$L$2:$L$7,,,"Actual360","LogLinear",TRUE)</f>
        <v>QSObject:ContextInput:w1~input.qs_context_add_curve.2359132437744.5389.3.0:35162</v>
      </c>
      <c r="E5390" s="6" t="str">
        <f>_xll.QS.INSTRUMENT.SWAP("swap.5388",H5390,B5390,"USD","SOFR",I5390,J5390,0,"Actual360","Simple","Annual","Annual","Annual")</f>
        <v>QSObject:Swap:w1~swap.5388:10379</v>
      </c>
      <c r="F5390" s="6" t="str">
        <f>_xll.QS.TRADE.CREATE("trade.5388",E5390,A5390,"Receive")</f>
        <v>QSObject:SwapTrade:w1~trade.5388:26666</v>
      </c>
      <c r="G5390" s="3">
        <f>_xll.QS.EVALUATE(C5390,F5390)</f>
        <v>48030.878917566137</v>
      </c>
      <c r="H5390" s="5" t="s">
        <v>5430</v>
      </c>
      <c r="I5390" s="7">
        <v>1538800</v>
      </c>
      <c r="J5390" s="8">
        <v>3.8800000000000001E-2</v>
      </c>
    </row>
    <row r="5391" spans="1:10" x14ac:dyDescent="0.25">
      <c r="A5391" s="5" t="s">
        <v>5424</v>
      </c>
      <c r="B5391" s="5" t="s">
        <v>7258</v>
      </c>
      <c r="C5391" s="6" t="str">
        <f>_xll.QS.CONTEXT.CREATE("market.5389",A5391,"USD","SOFR")</f>
        <v>QSObject:PricingContext:w1~market.5389:10378</v>
      </c>
      <c r="D5391" s="6" t="str">
        <f>_xll.QS.CONTEXT.ADD.CURVE(C5391,"SOFR",$K$2:$K$7,$L$2:$L$7,,,"Actual360","LogLinear",TRUE)</f>
        <v>QSObject:ContextInput:w1~input.qs_context_add_curve.2359132437744.5390.3.0:35161</v>
      </c>
      <c r="E5391" s="6" t="str">
        <f>_xll.QS.INSTRUMENT.SWAP("swap.5389",H5391,B5391,"USD","SOFR",I5391,J5391,0,"Actual360","Simple","Annual","Annual","Annual")</f>
        <v>QSObject:Swap:w1~swap.5389:10377</v>
      </c>
      <c r="F5391" s="6" t="str">
        <f>_xll.QS.TRADE.CREATE("trade.5389",E5391,A5391,"Receive")</f>
        <v>QSObject:SwapTrade:w1~trade.5389:26665</v>
      </c>
      <c r="G5391" s="3">
        <f>_xll.QS.EVALUATE(C5391,F5391)</f>
        <v>48609.130812916563</v>
      </c>
      <c r="H5391" s="5" t="s">
        <v>5431</v>
      </c>
      <c r="I5391" s="7">
        <v>1538900</v>
      </c>
      <c r="J5391" s="8">
        <v>3.8899999999999997E-2</v>
      </c>
    </row>
    <row r="5392" spans="1:10" x14ac:dyDescent="0.25">
      <c r="A5392" s="5" t="s">
        <v>5425</v>
      </c>
      <c r="B5392" s="5" t="s">
        <v>7259</v>
      </c>
      <c r="C5392" s="6" t="str">
        <f>_xll.QS.CONTEXT.CREATE("market.5390",A5392,"USD","SOFR")</f>
        <v>QSObject:PricingContext:w1~market.5390:10376</v>
      </c>
      <c r="D5392" s="6" t="str">
        <f>_xll.QS.CONTEXT.ADD.CURVE(C5392,"SOFR",$K$2:$K$7,$L$2:$L$7,,,"Actual360","LogLinear",TRUE)</f>
        <v>QSObject:ContextInput:w1~input.qs_context_add_curve.2359132437744.5391.3.0:35160</v>
      </c>
      <c r="E5392" s="6" t="str">
        <f>_xll.QS.INSTRUMENT.SWAP("swap.5390",H5392,B5392,"USD","SOFR",I5392,J5392,0,"Actual360","Simple","Annual","Annual","Annual")</f>
        <v>QSObject:Swap:w1~swap.5390:10375</v>
      </c>
      <c r="F5392" s="6" t="str">
        <f>_xll.QS.TRADE.CREATE("trade.5390",E5392,A5392,"Receive")</f>
        <v>QSObject:SwapTrade:w1~trade.5390:26664</v>
      </c>
      <c r="G5392" s="3">
        <f>_xll.QS.EVALUATE(C5392,F5392)</f>
        <v>49388.629423890765</v>
      </c>
      <c r="H5392" s="5" t="s">
        <v>5432</v>
      </c>
      <c r="I5392" s="7">
        <v>1539000</v>
      </c>
      <c r="J5392" s="8">
        <v>3.9000000000000007E-2</v>
      </c>
    </row>
    <row r="5393" spans="1:10" x14ac:dyDescent="0.25">
      <c r="A5393" s="5" t="s">
        <v>5426</v>
      </c>
      <c r="B5393" s="5" t="s">
        <v>7260</v>
      </c>
      <c r="C5393" s="6" t="str">
        <f>_xll.QS.CONTEXT.CREATE("market.5391",A5393,"USD","SOFR")</f>
        <v>QSObject:PricingContext:w1~market.5391:10374</v>
      </c>
      <c r="D5393" s="6" t="str">
        <f>_xll.QS.CONTEXT.ADD.CURVE(C5393,"SOFR",$K$2:$K$7,$L$2:$L$7,,,"Actual360","LogLinear",TRUE)</f>
        <v>QSObject:ContextInput:w1~input.qs_context_add_curve.2359132437744.5392.3.0:35159</v>
      </c>
      <c r="E5393" s="6" t="str">
        <f>_xll.QS.INSTRUMENT.SWAP("swap.5391",H5393,B5393,"USD","SOFR",I5393,J5393,0,"Actual360","Simple","Annual","Annual","Annual")</f>
        <v>QSObject:Swap:w1~swap.5391:10373</v>
      </c>
      <c r="F5393" s="6" t="str">
        <f>_xll.QS.TRADE.CREATE("trade.5391",E5393,A5393,"Receive")</f>
        <v>QSObject:SwapTrade:w1~trade.5391:26663</v>
      </c>
      <c r="G5393" s="3">
        <f>_xll.QS.EVALUATE(C5393,F5393)</f>
        <v>50168.254833601095</v>
      </c>
      <c r="H5393" s="5" t="s">
        <v>5433</v>
      </c>
      <c r="I5393" s="7">
        <v>1539100</v>
      </c>
      <c r="J5393" s="8">
        <v>3.9100000000000003E-2</v>
      </c>
    </row>
    <row r="5394" spans="1:10" x14ac:dyDescent="0.25">
      <c r="A5394" s="5" t="s">
        <v>5427</v>
      </c>
      <c r="B5394" s="5" t="s">
        <v>7261</v>
      </c>
      <c r="C5394" s="6" t="str">
        <f>_xll.QS.CONTEXT.CREATE("market.5392",A5394,"USD","SOFR")</f>
        <v>QSObject:PricingContext:w1~market.5392:10372</v>
      </c>
      <c r="D5394" s="6" t="str">
        <f>_xll.QS.CONTEXT.ADD.CURVE(C5394,"SOFR",$K$2:$K$7,$L$2:$L$7,,,"Actual360","LogLinear",TRUE)</f>
        <v>QSObject:ContextInput:w1~input.qs_context_add_curve.2359132437744.5393.3.0:35158</v>
      </c>
      <c r="E5394" s="6" t="str">
        <f>_xll.QS.INSTRUMENT.SWAP("swap.5392",H5394,B5394,"USD","SOFR",I5394,J5394,0,"Actual360","Simple","Annual","Annual","Annual")</f>
        <v>QSObject:Swap:w1~swap.5392:10371</v>
      </c>
      <c r="F5394" s="6" t="str">
        <f>_xll.QS.TRADE.CREATE("trade.5392",E5394,A5394,"Receive")</f>
        <v>QSObject:SwapTrade:w1~trade.5392:26662</v>
      </c>
      <c r="G5394" s="3">
        <f>_xll.QS.EVALUATE(C5394,F5394)</f>
        <v>51084.07113402518</v>
      </c>
      <c r="H5394" s="5" t="s">
        <v>5434</v>
      </c>
      <c r="I5394" s="7">
        <v>1539200</v>
      </c>
      <c r="J5394" s="8">
        <v>3.9200000000000013E-2</v>
      </c>
    </row>
    <row r="5395" spans="1:10" x14ac:dyDescent="0.25">
      <c r="A5395" s="5" t="s">
        <v>5428</v>
      </c>
      <c r="B5395" s="5" t="s">
        <v>7262</v>
      </c>
      <c r="C5395" s="6" t="str">
        <f>_xll.QS.CONTEXT.CREATE("market.5393",A5395,"USD","SOFR")</f>
        <v>QSObject:PricingContext:w1~market.5393:10370</v>
      </c>
      <c r="D5395" s="6" t="str">
        <f>_xll.QS.CONTEXT.ADD.CURVE(C5395,"SOFR",$K$2:$K$7,$L$2:$L$7,,,"Actual360","LogLinear",TRUE)</f>
        <v>QSObject:ContextInput:w1~input.qs_context_add_curve.2359132437744.5394.3.0:35157</v>
      </c>
      <c r="E5395" s="6" t="str">
        <f>_xll.QS.INSTRUMENT.SWAP("swap.5393",H5395,B5395,"USD","SOFR",I5395,J5395,0,"Actual360","Simple","Annual","Annual","Annual")</f>
        <v>QSObject:Swap:w1~swap.5393:10369</v>
      </c>
      <c r="F5395" s="6" t="str">
        <f>_xll.QS.TRADE.CREATE("trade.5393",E5395,A5395,"Receive")</f>
        <v>QSObject:SwapTrade:w1~trade.5393:26661</v>
      </c>
      <c r="G5395" s="3">
        <f>_xll.QS.EVALUATE(C5395,F5395)</f>
        <v>51811.317462276362</v>
      </c>
      <c r="H5395" s="5" t="s">
        <v>5435</v>
      </c>
      <c r="I5395" s="7">
        <v>1539300</v>
      </c>
      <c r="J5395" s="8">
        <v>3.9300000000000002E-2</v>
      </c>
    </row>
    <row r="5396" spans="1:10" x14ac:dyDescent="0.25">
      <c r="A5396" s="5" t="s">
        <v>5429</v>
      </c>
      <c r="B5396" s="5" t="s">
        <v>7263</v>
      </c>
      <c r="C5396" s="6" t="str">
        <f>_xll.QS.CONTEXT.CREATE("market.5394",A5396,"USD","SOFR")</f>
        <v>QSObject:PricingContext:w1~market.5394:10368</v>
      </c>
      <c r="D5396" s="6" t="str">
        <f>_xll.QS.CONTEXT.ADD.CURVE(C5396,"SOFR",$K$2:$K$7,$L$2:$L$7,,,"Actual360","LogLinear",TRUE)</f>
        <v>QSObject:ContextInput:w1~input.qs_context_add_curve.2359132437744.5395.3.0:35156</v>
      </c>
      <c r="E5396" s="6" t="str">
        <f>_xll.QS.INSTRUMENT.SWAP("swap.5394",H5396,B5396,"USD","SOFR",I5396,J5396,0,"Actual360","Simple","Annual","Annual","Annual")</f>
        <v>QSObject:Swap:w1~swap.5394:10367</v>
      </c>
      <c r="F5396" s="6" t="str">
        <f>_xll.QS.TRADE.CREATE("trade.5394",E5396,A5396,"Receive")</f>
        <v>QSObject:SwapTrade:w1~trade.5394:26660</v>
      </c>
      <c r="G5396" s="3">
        <f>_xll.QS.EVALUATE(C5396,F5396)</f>
        <v>52523.773604219452</v>
      </c>
      <c r="H5396" s="5" t="s">
        <v>5436</v>
      </c>
      <c r="I5396" s="7">
        <v>1539400</v>
      </c>
      <c r="J5396" s="8">
        <v>3.9399999999999998E-2</v>
      </c>
    </row>
    <row r="5397" spans="1:10" x14ac:dyDescent="0.25">
      <c r="A5397" s="5" t="s">
        <v>5430</v>
      </c>
      <c r="B5397" s="5" t="s">
        <v>7264</v>
      </c>
      <c r="C5397" s="6" t="str">
        <f>_xll.QS.CONTEXT.CREATE("market.5395",A5397,"USD","SOFR")</f>
        <v>QSObject:PricingContext:w1~market.5395:10366</v>
      </c>
      <c r="D5397" s="6" t="str">
        <f>_xll.QS.CONTEXT.ADD.CURVE(C5397,"SOFR",$K$2:$K$7,$L$2:$L$7,,,"Actual360","LogLinear",TRUE)</f>
        <v>QSObject:ContextInput:w1~input.qs_context_add_curve.2359132437744.5396.3.0:35155</v>
      </c>
      <c r="E5397" s="6" t="str">
        <f>_xll.QS.INSTRUMENT.SWAP("swap.5395",H5397,B5397,"USD","SOFR",I5397,J5397,0,"Actual360","Simple","Annual","Annual","Annual")</f>
        <v>QSObject:Swap:w1~swap.5395:10365</v>
      </c>
      <c r="F5397" s="6" t="str">
        <f>_xll.QS.TRADE.CREATE("trade.5395",E5397,A5397,"Receive")</f>
        <v>QSObject:SwapTrade:w1~trade.5395:26659</v>
      </c>
      <c r="G5397" s="3">
        <f>_xll.QS.EVALUATE(C5397,F5397)</f>
        <v>53109.609734649865</v>
      </c>
      <c r="H5397" s="5" t="s">
        <v>5437</v>
      </c>
      <c r="I5397" s="7">
        <v>1539500</v>
      </c>
      <c r="J5397" s="8">
        <v>3.9500000000000007E-2</v>
      </c>
    </row>
    <row r="5398" spans="1:10" x14ac:dyDescent="0.25">
      <c r="A5398" s="5" t="s">
        <v>5431</v>
      </c>
      <c r="B5398" s="5" t="s">
        <v>7265</v>
      </c>
      <c r="C5398" s="6" t="str">
        <f>_xll.QS.CONTEXT.CREATE("market.5396",A5398,"USD","SOFR")</f>
        <v>QSObject:PricingContext:w1~market.5396:10364</v>
      </c>
      <c r="D5398" s="6" t="str">
        <f>_xll.QS.CONTEXT.ADD.CURVE(C5398,"SOFR",$K$2:$K$7,$L$2:$L$7,,,"Actual360","LogLinear",TRUE)</f>
        <v>QSObject:ContextInput:w1~input.qs_context_add_curve.2359132437744.5397.3.0:35154</v>
      </c>
      <c r="E5398" s="6" t="str">
        <f>_xll.QS.INSTRUMENT.SWAP("swap.5396",H5398,B5398,"USD","SOFR",I5398,J5398,0,"Actual360","Simple","Annual","Annual","Annual")</f>
        <v>QSObject:Swap:w1~swap.5396:10363</v>
      </c>
      <c r="F5398" s="6" t="str">
        <f>_xll.QS.TRADE.CREATE("trade.5396",E5398,A5398,"Receive")</f>
        <v>QSObject:SwapTrade:w1~trade.5396:26658</v>
      </c>
      <c r="G5398" s="3">
        <f>_xll.QS.EVALUATE(C5398,F5398)</f>
        <v>53730.687579194833</v>
      </c>
      <c r="H5398" s="5" t="s">
        <v>5438</v>
      </c>
      <c r="I5398" s="7">
        <v>1539600</v>
      </c>
      <c r="J5398" s="8">
        <v>3.9600000000000003E-2</v>
      </c>
    </row>
    <row r="5399" spans="1:10" x14ac:dyDescent="0.25">
      <c r="A5399" s="5" t="s">
        <v>5432</v>
      </c>
      <c r="B5399" s="5" t="s">
        <v>7266</v>
      </c>
      <c r="C5399" s="6" t="str">
        <f>_xll.QS.CONTEXT.CREATE("market.5397",A5399,"USD","SOFR")</f>
        <v>QSObject:PricingContext:w1~market.5397:10362</v>
      </c>
      <c r="D5399" s="6" t="str">
        <f>_xll.QS.CONTEXT.ADD.CURVE(C5399,"SOFR",$K$2:$K$7,$L$2:$L$7,,,"Actual360","LogLinear",TRUE)</f>
        <v>QSObject:ContextInput:w1~input.qs_context_add_curve.2359132437744.5398.3.0:35153</v>
      </c>
      <c r="E5399" s="6" t="str">
        <f>_xll.QS.INSTRUMENT.SWAP("swap.5397",H5399,B5399,"USD","SOFR",I5399,J5399,0,"Actual360","Simple","Annual","Annual","Annual")</f>
        <v>QSObject:Swap:w1~swap.5397:10361</v>
      </c>
      <c r="F5399" s="6" t="str">
        <f>_xll.QS.TRADE.CREATE("trade.5397",E5399,A5399,"Receive")</f>
        <v>QSObject:SwapTrade:w1~trade.5397:26657</v>
      </c>
      <c r="G5399" s="3">
        <f>_xll.QS.EVALUATE(C5399,F5399)</f>
        <v>54448.65804185289</v>
      </c>
      <c r="H5399" s="5" t="s">
        <v>5439</v>
      </c>
      <c r="I5399" s="7">
        <v>1539700</v>
      </c>
      <c r="J5399" s="8">
        <v>3.9700000000000013E-2</v>
      </c>
    </row>
    <row r="5400" spans="1:10" x14ac:dyDescent="0.25">
      <c r="A5400" s="5" t="s">
        <v>5433</v>
      </c>
      <c r="B5400" s="5" t="s">
        <v>7267</v>
      </c>
      <c r="C5400" s="6" t="str">
        <f>_xll.QS.CONTEXT.CREATE("market.5398",A5400,"USD","SOFR")</f>
        <v>QSObject:PricingContext:w1~market.5398:10360</v>
      </c>
      <c r="D5400" s="6" t="str">
        <f>_xll.QS.CONTEXT.ADD.CURVE(C5400,"SOFR",$K$2:$K$7,$L$2:$L$7,,,"Actual360","LogLinear",TRUE)</f>
        <v>QSObject:ContextInput:w1~input.qs_context_add_curve.2359132437744.5399.3.0:35152</v>
      </c>
      <c r="E5400" s="6" t="str">
        <f>_xll.QS.INSTRUMENT.SWAP("swap.5398",H5400,B5400,"USD","SOFR",I5400,J5400,0,"Actual360","Simple","Annual","Annual","Annual")</f>
        <v>QSObject:Swap:w1~swap.5398:10359</v>
      </c>
      <c r="F5400" s="6" t="str">
        <f>_xll.QS.TRADE.CREATE("trade.5398",E5400,A5400,"Receive")</f>
        <v>QSObject:SwapTrade:w1~trade.5398:26656</v>
      </c>
      <c r="G5400" s="3">
        <f>_xll.QS.EVALUATE(C5400,F5400)</f>
        <v>55194.517883382832</v>
      </c>
      <c r="H5400" s="5" t="s">
        <v>5440</v>
      </c>
      <c r="I5400" s="7">
        <v>1539800</v>
      </c>
      <c r="J5400" s="8">
        <v>3.9800000000000002E-2</v>
      </c>
    </row>
    <row r="5401" spans="1:10" x14ac:dyDescent="0.25">
      <c r="A5401" s="5" t="s">
        <v>5434</v>
      </c>
      <c r="B5401" s="5" t="s">
        <v>7268</v>
      </c>
      <c r="C5401" s="6" t="str">
        <f>_xll.QS.CONTEXT.CREATE("market.5399",A5401,"USD","SOFR")</f>
        <v>QSObject:PricingContext:w1~market.5399:10358</v>
      </c>
      <c r="D5401" s="6" t="str">
        <f>_xll.QS.CONTEXT.ADD.CURVE(C5401,"SOFR",$K$2:$K$7,$L$2:$L$7,,,"Actual360","LogLinear",TRUE)</f>
        <v>QSObject:ContextInput:w1~input.qs_context_add_curve.2359132437744.5400.3.0:35151</v>
      </c>
      <c r="E5401" s="6" t="str">
        <f>_xll.QS.INSTRUMENT.SWAP("swap.5399",H5401,B5401,"USD","SOFR",I5401,J5401,0,"Actual360","Simple","Annual","Annual","Annual")</f>
        <v>QSObject:Swap:w1~swap.5399:10357</v>
      </c>
      <c r="F5401" s="6" t="str">
        <f>_xll.QS.TRADE.CREATE("trade.5399",E5401,A5401,"Receive")</f>
        <v>QSObject:SwapTrade:w1~trade.5399:26655</v>
      </c>
      <c r="G5401" s="3">
        <f>_xll.QS.EVALUATE(C5401,F5401)</f>
        <v>56020.945478926929</v>
      </c>
      <c r="H5401" s="5" t="s">
        <v>5441</v>
      </c>
      <c r="I5401" s="7">
        <v>1539900</v>
      </c>
      <c r="J5401" s="8">
        <v>3.9899999999999998E-2</v>
      </c>
    </row>
    <row r="5402" spans="1:10" x14ac:dyDescent="0.25">
      <c r="A5402" s="5" t="s">
        <v>5435</v>
      </c>
      <c r="B5402" s="5" t="s">
        <v>7269</v>
      </c>
      <c r="C5402" s="6" t="str">
        <f>_xll.QS.CONTEXT.CREATE("market.5400",A5402,"USD","SOFR")</f>
        <v>QSObject:PricingContext:w1~market.5400:10356</v>
      </c>
      <c r="D5402" s="6" t="str">
        <f>_xll.QS.CONTEXT.ADD.CURVE(C5402,"SOFR",$K$2:$K$7,$L$2:$L$7,,,"Actual360","LogLinear",TRUE)</f>
        <v>QSObject:ContextInput:w1~input.qs_context_add_curve.2359132437744.5401.3.0:35150</v>
      </c>
      <c r="E5402" s="6" t="str">
        <f>_xll.QS.INSTRUMENT.SWAP("swap.5400",H5402,B5402,"USD","SOFR",I5402,J5402,0,"Actual360","Simple","Annual","Annual","Annual")</f>
        <v>QSObject:Swap:w1~swap.5400:10355</v>
      </c>
      <c r="F5402" s="6" t="str">
        <f>_xll.QS.TRADE.CREATE("trade.5400",E5402,A5402,"Receive")</f>
        <v>QSObject:SwapTrade:w1~trade.5400:26654</v>
      </c>
      <c r="G5402" s="3">
        <f>_xll.QS.EVALUATE(C5402,F5402)</f>
        <v>21294.125913630625</v>
      </c>
      <c r="H5402" s="5" t="s">
        <v>5442</v>
      </c>
      <c r="I5402" s="7">
        <v>1540000</v>
      </c>
      <c r="J5402" s="8">
        <v>3.5000000000000003E-2</v>
      </c>
    </row>
    <row r="5403" spans="1:10" x14ac:dyDescent="0.25">
      <c r="A5403" s="5" t="s">
        <v>5436</v>
      </c>
      <c r="B5403" s="5" t="s">
        <v>7270</v>
      </c>
      <c r="C5403" s="6" t="str">
        <f>_xll.QS.CONTEXT.CREATE("market.5401",A5403,"USD","SOFR")</f>
        <v>QSObject:PricingContext:w1~market.5401:10354</v>
      </c>
      <c r="D5403" s="6" t="str">
        <f>_xll.QS.CONTEXT.ADD.CURVE(C5403,"SOFR",$K$2:$K$7,$L$2:$L$7,,,"Actual360","LogLinear",TRUE)</f>
        <v>QSObject:ContextInput:w1~input.qs_context_add_curve.2359132437744.5402.3.0:35149</v>
      </c>
      <c r="E5403" s="6" t="str">
        <f>_xll.QS.INSTRUMENT.SWAP("swap.5401",H5403,B5403,"USD","SOFR",I5403,J5403,0,"Actual360","Simple","Annual","Annual","Annual")</f>
        <v>QSObject:Swap:w1~swap.5401:10353</v>
      </c>
      <c r="F5403" s="6" t="str">
        <f>_xll.QS.TRADE.CREATE("trade.5401",E5403,A5403,"Receive")</f>
        <v>QSObject:SwapTrade:w1~trade.5401:26653</v>
      </c>
      <c r="G5403" s="3">
        <f>_xll.QS.EVALUATE(C5403,F5403)</f>
        <v>21946.546580838083</v>
      </c>
      <c r="H5403" s="5" t="s">
        <v>5443</v>
      </c>
      <c r="I5403" s="7">
        <v>1540100</v>
      </c>
      <c r="J5403" s="8">
        <v>3.5100000000000013E-2</v>
      </c>
    </row>
    <row r="5404" spans="1:10" x14ac:dyDescent="0.25">
      <c r="A5404" s="5" t="s">
        <v>5437</v>
      </c>
      <c r="B5404" s="5" t="s">
        <v>7271</v>
      </c>
      <c r="C5404" s="6" t="str">
        <f>_xll.QS.CONTEXT.CREATE("market.5402",A5404,"USD","SOFR")</f>
        <v>QSObject:PricingContext:w1~market.5402:10352</v>
      </c>
      <c r="D5404" s="6" t="str">
        <f>_xll.QS.CONTEXT.ADD.CURVE(C5404,"SOFR",$K$2:$K$7,$L$2:$L$7,,,"Actual360","LogLinear",TRUE)</f>
        <v>QSObject:ContextInput:w1~input.qs_context_add_curve.2359132437744.5403.3.0:35148</v>
      </c>
      <c r="E5404" s="6" t="str">
        <f>_xll.QS.INSTRUMENT.SWAP("swap.5402",H5404,B5404,"USD","SOFR",I5404,J5404,0,"Actual360","Simple","Annual","Annual","Annual")</f>
        <v>QSObject:Swap:w1~swap.5402:10351</v>
      </c>
      <c r="F5404" s="6" t="str">
        <f>_xll.QS.TRADE.CREATE("trade.5402",E5404,A5404,"Receive")</f>
        <v>QSObject:SwapTrade:w1~trade.5402:26652</v>
      </c>
      <c r="G5404" s="3">
        <f>_xll.QS.EVALUATE(C5404,F5404)</f>
        <v>22566.625412050191</v>
      </c>
      <c r="H5404" s="5" t="s">
        <v>5444</v>
      </c>
      <c r="I5404" s="7">
        <v>1540200</v>
      </c>
      <c r="J5404" s="8">
        <v>3.5200000000000002E-2</v>
      </c>
    </row>
    <row r="5405" spans="1:10" x14ac:dyDescent="0.25">
      <c r="A5405" s="5" t="s">
        <v>5438</v>
      </c>
      <c r="B5405" s="5" t="s">
        <v>7272</v>
      </c>
      <c r="C5405" s="6" t="str">
        <f>_xll.QS.CONTEXT.CREATE("market.5403",A5405,"USD","SOFR")</f>
        <v>QSObject:PricingContext:w1~market.5403:10350</v>
      </c>
      <c r="D5405" s="6" t="str">
        <f>_xll.QS.CONTEXT.ADD.CURVE(C5405,"SOFR",$K$2:$K$7,$L$2:$L$7,,,"Actual360","LogLinear",TRUE)</f>
        <v>QSObject:ContextInput:w1~input.qs_context_add_curve.2359132437744.5404.3.0:35147</v>
      </c>
      <c r="E5405" s="6" t="str">
        <f>_xll.QS.INSTRUMENT.SWAP("swap.5403",H5405,B5405,"USD","SOFR",I5405,J5405,0,"Actual360","Simple","Annual","Annual","Annual")</f>
        <v>QSObject:Swap:w1~swap.5403:10349</v>
      </c>
      <c r="F5405" s="6" t="str">
        <f>_xll.QS.TRADE.CREATE("trade.5403",E5405,A5405,"Receive")</f>
        <v>QSObject:SwapTrade:w1~trade.5403:26651</v>
      </c>
      <c r="G5405" s="3">
        <f>_xll.QS.EVALUATE(C5405,F5405)</f>
        <v>23138.807740702825</v>
      </c>
      <c r="H5405" s="5" t="s">
        <v>5445</v>
      </c>
      <c r="I5405" s="7">
        <v>1540300</v>
      </c>
      <c r="J5405" s="8">
        <v>3.5299999999999998E-2</v>
      </c>
    </row>
    <row r="5406" spans="1:10" x14ac:dyDescent="0.25">
      <c r="A5406" s="5" t="s">
        <v>5439</v>
      </c>
      <c r="B5406" s="5" t="s">
        <v>7273</v>
      </c>
      <c r="C5406" s="6" t="str">
        <f>_xll.QS.CONTEXT.CREATE("market.5404",A5406,"USD","SOFR")</f>
        <v>QSObject:PricingContext:w1~market.5404:10348</v>
      </c>
      <c r="D5406" s="6" t="str">
        <f>_xll.QS.CONTEXT.ADD.CURVE(C5406,"SOFR",$K$2:$K$7,$L$2:$L$7,,,"Actual360","LogLinear",TRUE)</f>
        <v>QSObject:ContextInput:w1~input.qs_context_add_curve.2359132437744.5405.3.0:35146</v>
      </c>
      <c r="E5406" s="6" t="str">
        <f>_xll.QS.INSTRUMENT.SWAP("swap.5404",H5406,B5406,"USD","SOFR",I5406,J5406,0,"Actual360","Simple","Annual","Annual","Annual")</f>
        <v>QSObject:Swap:w1~swap.5404:10347</v>
      </c>
      <c r="F5406" s="6" t="str">
        <f>_xll.QS.TRADE.CREATE("trade.5404",E5406,A5406,"Receive")</f>
        <v>QSObject:SwapTrade:w1~trade.5404:26650</v>
      </c>
      <c r="G5406" s="3">
        <f>_xll.QS.EVALUATE(C5406,F5406)</f>
        <v>23914.368450915441</v>
      </c>
      <c r="H5406" s="5" t="s">
        <v>5446</v>
      </c>
      <c r="I5406" s="7">
        <v>1540400</v>
      </c>
      <c r="J5406" s="8">
        <v>3.5400000000000001E-2</v>
      </c>
    </row>
    <row r="5407" spans="1:10" x14ac:dyDescent="0.25">
      <c r="A5407" s="5" t="s">
        <v>5440</v>
      </c>
      <c r="B5407" s="5" t="s">
        <v>7274</v>
      </c>
      <c r="C5407" s="6" t="str">
        <f>_xll.QS.CONTEXT.CREATE("market.5405",A5407,"USD","SOFR")</f>
        <v>QSObject:PricingContext:w1~market.5405:10346</v>
      </c>
      <c r="D5407" s="6" t="str">
        <f>_xll.QS.CONTEXT.ADD.CURVE(C5407,"SOFR",$K$2:$K$7,$L$2:$L$7,,,"Actual360","LogLinear",TRUE)</f>
        <v>QSObject:ContextInput:w1~input.qs_context_add_curve.2359132437744.5406.3.0:35145</v>
      </c>
      <c r="E5407" s="6" t="str">
        <f>_xll.QS.INSTRUMENT.SWAP("swap.5405",H5407,B5407,"USD","SOFR",I5407,J5407,0,"Actual360","Simple","Annual","Annual","Annual")</f>
        <v>QSObject:Swap:w1~swap.5405:10345</v>
      </c>
      <c r="F5407" s="6" t="str">
        <f>_xll.QS.TRADE.CREATE("trade.5405",E5407,A5407,"Receive")</f>
        <v>QSObject:SwapTrade:w1~trade.5405:26649</v>
      </c>
      <c r="G5407" s="3">
        <f>_xll.QS.EVALUATE(C5407,F5407)</f>
        <v>24673.530702633667</v>
      </c>
      <c r="H5407" s="5" t="s">
        <v>5447</v>
      </c>
      <c r="I5407" s="7">
        <v>1540500</v>
      </c>
      <c r="J5407" s="8">
        <v>3.5499999999999997E-2</v>
      </c>
    </row>
    <row r="5408" spans="1:10" x14ac:dyDescent="0.25">
      <c r="A5408" s="5" t="s">
        <v>5441</v>
      </c>
      <c r="B5408" s="5" t="s">
        <v>7275</v>
      </c>
      <c r="C5408" s="6" t="str">
        <f>_xll.QS.CONTEXT.CREATE("market.5406",A5408,"USD","SOFR")</f>
        <v>QSObject:PricingContext:w1~market.5406:10344</v>
      </c>
      <c r="D5408" s="6" t="str">
        <f>_xll.QS.CONTEXT.ADD.CURVE(C5408,"SOFR",$K$2:$K$7,$L$2:$L$7,,,"Actual360","LogLinear",TRUE)</f>
        <v>QSObject:ContextInput:w1~input.qs_context_add_curve.2359132437744.5407.3.0:35144</v>
      </c>
      <c r="E5408" s="6" t="str">
        <f>_xll.QS.INSTRUMENT.SWAP("swap.5406",H5408,B5408,"USD","SOFR",I5408,J5408,0,"Actual360","Simple","Annual","Annual","Annual")</f>
        <v>QSObject:Swap:w1~swap.5406:10343</v>
      </c>
      <c r="F5408" s="6" t="str">
        <f>_xll.QS.TRADE.CREATE("trade.5406",E5408,A5408,"Receive")</f>
        <v>QSObject:SwapTrade:w1~trade.5406:26648</v>
      </c>
      <c r="G5408" s="3">
        <f>_xll.QS.EVALUATE(C5408,F5408)</f>
        <v>25497.896446842089</v>
      </c>
      <c r="H5408" s="5" t="s">
        <v>5448</v>
      </c>
      <c r="I5408" s="7">
        <v>1540600</v>
      </c>
      <c r="J5408" s="8">
        <v>3.5600000000000007E-2</v>
      </c>
    </row>
    <row r="5409" spans="1:10" x14ac:dyDescent="0.25">
      <c r="A5409" s="5" t="s">
        <v>5442</v>
      </c>
      <c r="B5409" s="5" t="s">
        <v>7276</v>
      </c>
      <c r="C5409" s="6" t="str">
        <f>_xll.QS.CONTEXT.CREATE("market.5407",A5409,"USD","SOFR")</f>
        <v>QSObject:PricingContext:w1~market.5407:10342</v>
      </c>
      <c r="D5409" s="6" t="str">
        <f>_xll.QS.CONTEXT.ADD.CURVE(C5409,"SOFR",$K$2:$K$7,$L$2:$L$7,,,"Actual360","LogLinear",TRUE)</f>
        <v>QSObject:ContextInput:w1~input.qs_context_add_curve.2359132437744.5408.3.0:35143</v>
      </c>
      <c r="E5409" s="6" t="str">
        <f>_xll.QS.INSTRUMENT.SWAP("swap.5407",H5409,B5409,"USD","SOFR",I5409,J5409,0,"Actual360","Simple","Annual","Annual","Annual")</f>
        <v>QSObject:Swap:w1~swap.5407:10341</v>
      </c>
      <c r="F5409" s="6" t="str">
        <f>_xll.QS.TRADE.CREATE("trade.5407",E5409,A5409,"Receive")</f>
        <v>QSObject:SwapTrade:w1~trade.5407:26647</v>
      </c>
      <c r="G5409" s="3">
        <f>_xll.QS.EVALUATE(C5409,F5409)</f>
        <v>26277.198991125668</v>
      </c>
      <c r="H5409" s="5" t="s">
        <v>5449</v>
      </c>
      <c r="I5409" s="7">
        <v>1540700</v>
      </c>
      <c r="J5409" s="8">
        <v>3.5700000000000003E-2</v>
      </c>
    </row>
    <row r="5410" spans="1:10" x14ac:dyDescent="0.25">
      <c r="A5410" s="5" t="s">
        <v>5443</v>
      </c>
      <c r="B5410" s="5" t="s">
        <v>7277</v>
      </c>
      <c r="C5410" s="6" t="str">
        <f>_xll.QS.CONTEXT.CREATE("market.5408",A5410,"USD","SOFR")</f>
        <v>QSObject:PricingContext:w1~market.5408:10340</v>
      </c>
      <c r="D5410" s="6" t="str">
        <f>_xll.QS.CONTEXT.ADD.CURVE(C5410,"SOFR",$K$2:$K$7,$L$2:$L$7,,,"Actual360","LogLinear",TRUE)</f>
        <v>QSObject:ContextInput:w1~input.qs_context_add_curve.2359132437744.5409.3.0:35142</v>
      </c>
      <c r="E5410" s="6" t="str">
        <f>_xll.QS.INSTRUMENT.SWAP("swap.5408",H5410,B5410,"USD","SOFR",I5410,J5410,0,"Actual360","Simple","Annual","Annual","Annual")</f>
        <v>QSObject:Swap:w1~swap.5408:10339</v>
      </c>
      <c r="F5410" s="6" t="str">
        <f>_xll.QS.TRADE.CREATE("trade.5408",E5410,A5410,"Receive")</f>
        <v>QSObject:SwapTrade:w1~trade.5408:26646</v>
      </c>
      <c r="G5410" s="3">
        <f>_xll.QS.EVALUATE(C5410,F5410)</f>
        <v>26930.183798254366</v>
      </c>
      <c r="H5410" s="5" t="s">
        <v>5450</v>
      </c>
      <c r="I5410" s="7">
        <v>1540800</v>
      </c>
      <c r="J5410" s="8">
        <v>3.5800000000000012E-2</v>
      </c>
    </row>
    <row r="5411" spans="1:10" x14ac:dyDescent="0.25">
      <c r="A5411" s="5" t="s">
        <v>5444</v>
      </c>
      <c r="B5411" s="5" t="s">
        <v>7278</v>
      </c>
      <c r="C5411" s="6" t="str">
        <f>_xll.QS.CONTEXT.CREATE("market.5409",A5411,"USD","SOFR")</f>
        <v>QSObject:PricingContext:w1~market.5409:10338</v>
      </c>
      <c r="D5411" s="6" t="str">
        <f>_xll.QS.CONTEXT.ADD.CURVE(C5411,"SOFR",$K$2:$K$7,$L$2:$L$7,,,"Actual360","LogLinear",TRUE)</f>
        <v>QSObject:ContextInput:w1~input.qs_context_add_curve.2359132437744.5410.3.0:35141</v>
      </c>
      <c r="E5411" s="6" t="str">
        <f>_xll.QS.INSTRUMENT.SWAP("swap.5409",H5411,B5411,"USD","SOFR",I5411,J5411,0,"Actual360","Simple","Annual","Annual","Annual")</f>
        <v>QSObject:Swap:w1~swap.5409:10337</v>
      </c>
      <c r="F5411" s="6" t="str">
        <f>_xll.QS.TRADE.CREATE("trade.5409",E5411,A5411,"Receive")</f>
        <v>QSObject:SwapTrade:w1~trade.5409:26645</v>
      </c>
      <c r="G5411" s="3">
        <f>_xll.QS.EVALUATE(C5411,F5411)</f>
        <v>27599.947319899526</v>
      </c>
      <c r="H5411" s="5" t="s">
        <v>5451</v>
      </c>
      <c r="I5411" s="7">
        <v>1540900</v>
      </c>
      <c r="J5411" s="8">
        <v>3.5900000000000001E-2</v>
      </c>
    </row>
    <row r="5412" spans="1:10" x14ac:dyDescent="0.25">
      <c r="A5412" s="5" t="s">
        <v>5445</v>
      </c>
      <c r="B5412" s="5" t="s">
        <v>7279</v>
      </c>
      <c r="C5412" s="6" t="str">
        <f>_xll.QS.CONTEXT.CREATE("market.5410",A5412,"USD","SOFR")</f>
        <v>QSObject:PricingContext:w1~market.5410:10336</v>
      </c>
      <c r="D5412" s="6" t="str">
        <f>_xll.QS.CONTEXT.ADD.CURVE(C5412,"SOFR",$K$2:$K$7,$L$2:$L$7,,,"Actual360","LogLinear",TRUE)</f>
        <v>QSObject:ContextInput:w1~input.qs_context_add_curve.2359132437744.5411.3.0:35140</v>
      </c>
      <c r="E5412" s="6" t="str">
        <f>_xll.QS.INSTRUMENT.SWAP("swap.5410",H5412,B5412,"USD","SOFR",I5412,J5412,0,"Actual360","Simple","Annual","Annual","Annual")</f>
        <v>QSObject:Swap:w1~swap.5410:10335</v>
      </c>
      <c r="F5412" s="6" t="str">
        <f>_xll.QS.TRADE.CREATE("trade.5410",E5412,A5412,"Receive")</f>
        <v>QSObject:SwapTrade:w1~trade.5410:26644</v>
      </c>
      <c r="G5412" s="3">
        <f>_xll.QS.EVALUATE(C5412,F5412)</f>
        <v>28314.96171876329</v>
      </c>
      <c r="H5412" s="5" t="s">
        <v>5452</v>
      </c>
      <c r="I5412" s="7">
        <v>1541000</v>
      </c>
      <c r="J5412" s="8">
        <v>3.5999999999999997E-2</v>
      </c>
    </row>
    <row r="5413" spans="1:10" x14ac:dyDescent="0.25">
      <c r="A5413" s="5" t="s">
        <v>5446</v>
      </c>
      <c r="B5413" s="5" t="s">
        <v>7280</v>
      </c>
      <c r="C5413" s="6" t="str">
        <f>_xll.QS.CONTEXT.CREATE("market.5411",A5413,"USD","SOFR")</f>
        <v>QSObject:PricingContext:w1~market.5411:10334</v>
      </c>
      <c r="D5413" s="6" t="str">
        <f>_xll.QS.CONTEXT.ADD.CURVE(C5413,"SOFR",$K$2:$K$7,$L$2:$L$7,,,"Actual360","LogLinear",TRUE)</f>
        <v>QSObject:ContextInput:w1~input.qs_context_add_curve.2359132437744.5412.3.0:35139</v>
      </c>
      <c r="E5413" s="6" t="str">
        <f>_xll.QS.INSTRUMENT.SWAP("swap.5411",H5413,B5413,"USD","SOFR",I5413,J5413,0,"Actual360","Simple","Annual","Annual","Annual")</f>
        <v>QSObject:Swap:w1~swap.5411:10333</v>
      </c>
      <c r="F5413" s="6" t="str">
        <f>_xll.QS.TRADE.CREATE("trade.5411",E5413,A5413,"Receive")</f>
        <v>QSObject:SwapTrade:w1~trade.5411:26643</v>
      </c>
      <c r="G5413" s="3">
        <f>_xll.QS.EVALUATE(C5413,F5413)</f>
        <v>28902.199907735121</v>
      </c>
      <c r="H5413" s="5" t="s">
        <v>5453</v>
      </c>
      <c r="I5413" s="7">
        <v>1541100</v>
      </c>
      <c r="J5413" s="8">
        <v>3.61E-2</v>
      </c>
    </row>
    <row r="5414" spans="1:10" x14ac:dyDescent="0.25">
      <c r="A5414" s="5" t="s">
        <v>5447</v>
      </c>
      <c r="B5414" s="5" t="s">
        <v>7281</v>
      </c>
      <c r="C5414" s="6" t="str">
        <f>_xll.QS.CONTEXT.CREATE("market.5412",A5414,"USD","SOFR")</f>
        <v>QSObject:PricingContext:w1~market.5412:10332</v>
      </c>
      <c r="D5414" s="6" t="str">
        <f>_xll.QS.CONTEXT.ADD.CURVE(C5414,"SOFR",$K$2:$K$7,$L$2:$L$7,,,"Actual360","LogLinear",TRUE)</f>
        <v>QSObject:ContextInput:w1~input.qs_context_add_curve.2359132437744.5413.3.0:35138</v>
      </c>
      <c r="E5414" s="6" t="str">
        <f>_xll.QS.INSTRUMENT.SWAP("swap.5412",H5414,B5414,"USD","SOFR",I5414,J5414,0,"Actual360","Simple","Annual","Annual","Annual")</f>
        <v>QSObject:Swap:w1~swap.5412:10331</v>
      </c>
      <c r="F5414" s="6" t="str">
        <f>_xll.QS.TRADE.CREATE("trade.5412",E5414,A5414,"Receive")</f>
        <v>QSObject:SwapTrade:w1~trade.5412:26642</v>
      </c>
      <c r="G5414" s="3">
        <f>_xll.QS.EVALUATE(C5414,F5414)</f>
        <v>29659.61682337214</v>
      </c>
      <c r="H5414" s="5" t="s">
        <v>5454</v>
      </c>
      <c r="I5414" s="7">
        <v>1541200</v>
      </c>
      <c r="J5414" s="8">
        <v>3.6200000000000003E-2</v>
      </c>
    </row>
    <row r="5415" spans="1:10" x14ac:dyDescent="0.25">
      <c r="A5415" s="5" t="s">
        <v>5448</v>
      </c>
      <c r="B5415" s="5" t="s">
        <v>7282</v>
      </c>
      <c r="C5415" s="6" t="str">
        <f>_xll.QS.CONTEXT.CREATE("market.5413",A5415,"USD","SOFR")</f>
        <v>QSObject:PricingContext:w1~market.5413:10330</v>
      </c>
      <c r="D5415" s="6" t="str">
        <f>_xll.QS.CONTEXT.ADD.CURVE(C5415,"SOFR",$K$2:$K$7,$L$2:$L$7,,,"Actual360","LogLinear",TRUE)</f>
        <v>QSObject:ContextInput:w1~input.qs_context_add_curve.2359132437744.5414.3.0:35137</v>
      </c>
      <c r="E5415" s="6" t="str">
        <f>_xll.QS.INSTRUMENT.SWAP("swap.5413",H5415,B5415,"USD","SOFR",I5415,J5415,0,"Actual360","Simple","Annual","Annual","Annual")</f>
        <v>QSObject:Swap:w1~swap.5413:10329</v>
      </c>
      <c r="F5415" s="6" t="str">
        <f>_xll.QS.TRADE.CREATE("trade.5413",E5415,A5415,"Receive")</f>
        <v>QSObject:SwapTrade:w1~trade.5413:26641</v>
      </c>
      <c r="G5415" s="3">
        <f>_xll.QS.EVALUATE(C5415,F5415)</f>
        <v>30543.758712230738</v>
      </c>
      <c r="H5415" s="5" t="s">
        <v>5455</v>
      </c>
      <c r="I5415" s="7">
        <v>1541300</v>
      </c>
      <c r="J5415" s="8">
        <v>3.6300000000000013E-2</v>
      </c>
    </row>
    <row r="5416" spans="1:10" x14ac:dyDescent="0.25">
      <c r="A5416" s="5" t="s">
        <v>5449</v>
      </c>
      <c r="B5416" s="5" t="s">
        <v>7283</v>
      </c>
      <c r="C5416" s="6" t="str">
        <f>_xll.QS.CONTEXT.CREATE("market.5414",A5416,"USD","SOFR")</f>
        <v>QSObject:PricingContext:w1~market.5414:10328</v>
      </c>
      <c r="D5416" s="6" t="str">
        <f>_xll.QS.CONTEXT.ADD.CURVE(C5416,"SOFR",$K$2:$K$7,$L$2:$L$7,,,"Actual360","LogLinear",TRUE)</f>
        <v>QSObject:ContextInput:w1~input.qs_context_add_curve.2359132437744.5415.3.0:35136</v>
      </c>
      <c r="E5416" s="6" t="str">
        <f>_xll.QS.INSTRUMENT.SWAP("swap.5414",H5416,B5416,"USD","SOFR",I5416,J5416,0,"Actual360","Simple","Annual","Annual","Annual")</f>
        <v>QSObject:Swap:w1~swap.5414:10327</v>
      </c>
      <c r="F5416" s="6" t="str">
        <f>_xll.QS.TRADE.CREATE("trade.5414",E5416,A5416,"Receive")</f>
        <v>QSObject:SwapTrade:w1~trade.5414:26640</v>
      </c>
      <c r="G5416" s="3">
        <f>_xll.QS.EVALUATE(C5416,F5416)</f>
        <v>31264.791281641519</v>
      </c>
      <c r="H5416" s="5" t="s">
        <v>5456</v>
      </c>
      <c r="I5416" s="7">
        <v>1541400</v>
      </c>
      <c r="J5416" s="8">
        <v>3.6400000000000002E-2</v>
      </c>
    </row>
    <row r="5417" spans="1:10" x14ac:dyDescent="0.25">
      <c r="A5417" s="5" t="s">
        <v>5450</v>
      </c>
      <c r="B5417" s="5" t="s">
        <v>7284</v>
      </c>
      <c r="C5417" s="6" t="str">
        <f>_xll.QS.CONTEXT.CREATE("market.5415",A5417,"USD","SOFR")</f>
        <v>QSObject:PricingContext:w1~market.5415:10326</v>
      </c>
      <c r="D5417" s="6" t="str">
        <f>_xll.QS.CONTEXT.ADD.CURVE(C5417,"SOFR",$K$2:$K$7,$L$2:$L$7,,,"Actual360","LogLinear",TRUE)</f>
        <v>QSObject:ContextInput:w1~input.qs_context_add_curve.2359132437744.5416.3.0:35135</v>
      </c>
      <c r="E5417" s="6" t="str">
        <f>_xll.QS.INSTRUMENT.SWAP("swap.5415",H5417,B5417,"USD","SOFR",I5417,J5417,0,"Actual360","Simple","Annual","Annual","Annual")</f>
        <v>QSObject:Swap:w1~swap.5415:10325</v>
      </c>
      <c r="F5417" s="6" t="str">
        <f>_xll.QS.TRADE.CREATE("trade.5415",E5417,A5417,"Receive")</f>
        <v>QSObject:SwapTrade:w1~trade.5415:26639</v>
      </c>
      <c r="G5417" s="3">
        <f>_xll.QS.EVALUATE(C5417,F5417)</f>
        <v>31918.341821929018</v>
      </c>
      <c r="H5417" s="5" t="s">
        <v>5457</v>
      </c>
      <c r="I5417" s="7">
        <v>1541500</v>
      </c>
      <c r="J5417" s="8">
        <v>3.6499999999999998E-2</v>
      </c>
    </row>
    <row r="5418" spans="1:10" x14ac:dyDescent="0.25">
      <c r="A5418" s="5" t="s">
        <v>5451</v>
      </c>
      <c r="B5418" s="5" t="s">
        <v>7285</v>
      </c>
      <c r="C5418" s="6" t="str">
        <f>_xll.QS.CONTEXT.CREATE("market.5416",A5418,"USD","SOFR")</f>
        <v>QSObject:PricingContext:w1~market.5416:10324</v>
      </c>
      <c r="D5418" s="6" t="str">
        <f>_xll.QS.CONTEXT.ADD.CURVE(C5418,"SOFR",$K$2:$K$7,$L$2:$L$7,,,"Actual360","LogLinear",TRUE)</f>
        <v>QSObject:ContextInput:w1~input.qs_context_add_curve.2359132437744.5417.3.0:35134</v>
      </c>
      <c r="E5418" s="6" t="str">
        <f>_xll.QS.INSTRUMENT.SWAP("swap.5416",H5418,B5418,"USD","SOFR",I5418,J5418,0,"Actual360","Simple","Annual","Annual","Annual")</f>
        <v>QSObject:Swap:w1~swap.5416:10323</v>
      </c>
      <c r="F5418" s="6" t="str">
        <f>_xll.QS.TRADE.CREATE("trade.5416",E5418,A5418,"Receive")</f>
        <v>QSObject:SwapTrade:w1~trade.5416:26638</v>
      </c>
      <c r="G5418" s="3">
        <f>_xll.QS.EVALUATE(C5418,F5418)</f>
        <v>32527.908467368034</v>
      </c>
      <c r="H5418" s="5" t="s">
        <v>5458</v>
      </c>
      <c r="I5418" s="7">
        <v>1541600</v>
      </c>
      <c r="J5418" s="8">
        <v>3.6600000000000001E-2</v>
      </c>
    </row>
    <row r="5419" spans="1:10" x14ac:dyDescent="0.25">
      <c r="A5419" s="5" t="s">
        <v>5452</v>
      </c>
      <c r="B5419" s="5" t="s">
        <v>7286</v>
      </c>
      <c r="C5419" s="6" t="str">
        <f>_xll.QS.CONTEXT.CREATE("market.5417",A5419,"USD","SOFR")</f>
        <v>QSObject:PricingContext:w1~market.5417:10322</v>
      </c>
      <c r="D5419" s="6" t="str">
        <f>_xll.QS.CONTEXT.ADD.CURVE(C5419,"SOFR",$K$2:$K$7,$L$2:$L$7,,,"Actual360","LogLinear",TRUE)</f>
        <v>QSObject:ContextInput:w1~input.qs_context_add_curve.2359132437744.5418.3.0:35133</v>
      </c>
      <c r="E5419" s="6" t="str">
        <f>_xll.QS.INSTRUMENT.SWAP("swap.5417",H5419,B5419,"USD","SOFR",I5419,J5419,0,"Actual360","Simple","Annual","Annual","Annual")</f>
        <v>QSObject:Swap:w1~swap.5417:10321</v>
      </c>
      <c r="F5419" s="6" t="str">
        <f>_xll.QS.TRADE.CREATE("trade.5417",E5419,A5419,"Receive")</f>
        <v>QSObject:SwapTrade:w1~trade.5417:26637</v>
      </c>
      <c r="G5419" s="3">
        <f>_xll.QS.EVALUATE(C5419,F5419)</f>
        <v>33116.684993126844</v>
      </c>
      <c r="H5419" s="5" t="s">
        <v>5459</v>
      </c>
      <c r="I5419" s="7">
        <v>1541700</v>
      </c>
      <c r="J5419" s="8">
        <v>3.6700000000000003E-2</v>
      </c>
    </row>
    <row r="5420" spans="1:10" x14ac:dyDescent="0.25">
      <c r="A5420" s="5" t="s">
        <v>5453</v>
      </c>
      <c r="B5420" s="5" t="s">
        <v>7287</v>
      </c>
      <c r="C5420" s="6" t="str">
        <f>_xll.QS.CONTEXT.CREATE("market.5418",A5420,"USD","SOFR")</f>
        <v>QSObject:PricingContext:w1~market.5418:10320</v>
      </c>
      <c r="D5420" s="6" t="str">
        <f>_xll.QS.CONTEXT.ADD.CURVE(C5420,"SOFR",$K$2:$K$7,$L$2:$L$7,,,"Actual360","LogLinear",TRUE)</f>
        <v>QSObject:ContextInput:w1~input.qs_context_add_curve.2359132437744.5419.3.0:35132</v>
      </c>
      <c r="E5420" s="6" t="str">
        <f>_xll.QS.INSTRUMENT.SWAP("swap.5418",H5420,B5420,"USD","SOFR",I5420,J5420,0,"Actual360","Simple","Annual","Annual","Annual")</f>
        <v>QSObject:Swap:w1~swap.5418:10319</v>
      </c>
      <c r="F5420" s="6" t="str">
        <f>_xll.QS.TRADE.CREATE("trade.5418",E5420,A5420,"Receive")</f>
        <v>QSObject:SwapTrade:w1~trade.5418:26636</v>
      </c>
      <c r="G5420" s="3">
        <f>_xll.QS.EVALUATE(C5420,F5420)</f>
        <v>33894.559268535479</v>
      </c>
      <c r="H5420" s="5" t="s">
        <v>5460</v>
      </c>
      <c r="I5420" s="7">
        <v>1541800</v>
      </c>
      <c r="J5420" s="8">
        <v>3.6800000000000013E-2</v>
      </c>
    </row>
    <row r="5421" spans="1:10" x14ac:dyDescent="0.25">
      <c r="A5421" s="5" t="s">
        <v>5454</v>
      </c>
      <c r="B5421" s="5" t="s">
        <v>7288</v>
      </c>
      <c r="C5421" s="6" t="str">
        <f>_xll.QS.CONTEXT.CREATE("market.5419",A5421,"USD","SOFR")</f>
        <v>QSObject:PricingContext:w1~market.5419:10318</v>
      </c>
      <c r="D5421" s="6" t="str">
        <f>_xll.QS.CONTEXT.ADD.CURVE(C5421,"SOFR",$K$2:$K$7,$L$2:$L$7,,,"Actual360","LogLinear",TRUE)</f>
        <v>QSObject:ContextInput:w1~input.qs_context_add_curve.2359132437744.5420.3.0:35131</v>
      </c>
      <c r="E5421" s="6" t="str">
        <f>_xll.QS.INSTRUMENT.SWAP("swap.5419",H5421,B5421,"USD","SOFR",I5421,J5421,0,"Actual360","Simple","Annual","Annual","Annual")</f>
        <v>QSObject:Swap:w1~swap.5419:10317</v>
      </c>
      <c r="F5421" s="6" t="str">
        <f>_xll.QS.TRADE.CREATE("trade.5419",E5421,A5421,"Receive")</f>
        <v>QSObject:SwapTrade:w1~trade.5419:26635</v>
      </c>
      <c r="G5421" s="3">
        <f>_xll.QS.EVALUATE(C5421,F5421)</f>
        <v>34650.226989183626</v>
      </c>
      <c r="H5421" s="5" t="s">
        <v>5461</v>
      </c>
      <c r="I5421" s="7">
        <v>1541900</v>
      </c>
      <c r="J5421" s="8">
        <v>3.6900000000000002E-2</v>
      </c>
    </row>
    <row r="5422" spans="1:10" x14ac:dyDescent="0.25">
      <c r="A5422" s="5" t="s">
        <v>5455</v>
      </c>
      <c r="B5422" s="5" t="s">
        <v>7289</v>
      </c>
      <c r="C5422" s="6" t="str">
        <f>_xll.QS.CONTEXT.CREATE("market.5420",A5422,"USD","SOFR")</f>
        <v>QSObject:PricingContext:w1~market.5420:10316</v>
      </c>
      <c r="D5422" s="6" t="str">
        <f>_xll.QS.CONTEXT.ADD.CURVE(C5422,"SOFR",$K$2:$K$7,$L$2:$L$7,,,"Actual360","LogLinear",TRUE)</f>
        <v>QSObject:ContextInput:w1~input.qs_context_add_curve.2359132437744.5421.3.0:35130</v>
      </c>
      <c r="E5422" s="6" t="str">
        <f>_xll.QS.INSTRUMENT.SWAP("swap.5420",H5422,B5422,"USD","SOFR",I5422,J5422,0,"Actual360","Simple","Annual","Annual","Annual")</f>
        <v>QSObject:Swap:w1~swap.5420:10315</v>
      </c>
      <c r="F5422" s="6" t="str">
        <f>_xll.QS.TRADE.CREATE("trade.5420",E5422,A5422,"Receive")</f>
        <v>QSObject:SwapTrade:w1~trade.5420:26634</v>
      </c>
      <c r="G5422" s="3">
        <f>_xll.QS.EVALUATE(C5422,F5422)</f>
        <v>35476.011395689849</v>
      </c>
      <c r="H5422" s="5" t="s">
        <v>5462</v>
      </c>
      <c r="I5422" s="7">
        <v>1542000</v>
      </c>
      <c r="J5422" s="8">
        <v>3.7000000000000012E-2</v>
      </c>
    </row>
    <row r="5423" spans="1:10" x14ac:dyDescent="0.25">
      <c r="A5423" s="5" t="s">
        <v>5456</v>
      </c>
      <c r="B5423" s="5" t="s">
        <v>7290</v>
      </c>
      <c r="C5423" s="6" t="str">
        <f>_xll.QS.CONTEXT.CREATE("market.5421",A5423,"USD","SOFR")</f>
        <v>QSObject:PricingContext:w1~market.5421:10314</v>
      </c>
      <c r="D5423" s="6" t="str">
        <f>_xll.QS.CONTEXT.ADD.CURVE(C5423,"SOFR",$K$2:$K$7,$L$2:$L$7,,,"Actual360","LogLinear",TRUE)</f>
        <v>QSObject:ContextInput:w1~input.qs_context_add_curve.2359132437744.5422.3.0:35129</v>
      </c>
      <c r="E5423" s="6" t="str">
        <f>_xll.QS.INSTRUMENT.SWAP("swap.5421",H5423,B5423,"USD","SOFR",I5423,J5423,0,"Actual360","Simple","Annual","Annual","Annual")</f>
        <v>QSObject:Swap:w1~swap.5421:10313</v>
      </c>
      <c r="F5423" s="6" t="str">
        <f>_xll.QS.TRADE.CREATE("trade.5421",E5423,A5423,"Receive")</f>
        <v>QSObject:SwapTrade:w1~trade.5421:26633</v>
      </c>
      <c r="G5423" s="3">
        <f>_xll.QS.EVALUATE(C5423,F5423)</f>
        <v>36249.342441642955</v>
      </c>
      <c r="H5423" s="5" t="s">
        <v>5463</v>
      </c>
      <c r="I5423" s="7">
        <v>1542100</v>
      </c>
      <c r="J5423" s="8">
        <v>3.7100000000000001E-2</v>
      </c>
    </row>
    <row r="5424" spans="1:10" x14ac:dyDescent="0.25">
      <c r="A5424" s="5" t="s">
        <v>5457</v>
      </c>
      <c r="B5424" s="5" t="s">
        <v>7291</v>
      </c>
      <c r="C5424" s="6" t="str">
        <f>_xll.QS.CONTEXT.CREATE("market.5422",A5424,"USD","SOFR")</f>
        <v>QSObject:PricingContext:w1~market.5422:10312</v>
      </c>
      <c r="D5424" s="6" t="str">
        <f>_xll.QS.CONTEXT.ADD.CURVE(C5424,"SOFR",$K$2:$K$7,$L$2:$L$7,,,"Actual360","LogLinear",TRUE)</f>
        <v>QSObject:ContextInput:w1~input.qs_context_add_curve.2359132437744.5423.3.0:35128</v>
      </c>
      <c r="E5424" s="6" t="str">
        <f>_xll.QS.INSTRUMENT.SWAP("swap.5422",H5424,B5424,"USD","SOFR",I5424,J5424,0,"Actual360","Simple","Annual","Annual","Annual")</f>
        <v>QSObject:Swap:w1~swap.5422:10311</v>
      </c>
      <c r="F5424" s="6" t="str">
        <f>_xll.QS.TRADE.CREATE("trade.5422",E5424,A5424,"Receive")</f>
        <v>QSObject:SwapTrade:w1~trade.5422:26632</v>
      </c>
      <c r="G5424" s="3">
        <f>_xll.QS.EVALUATE(C5424,F5424)</f>
        <v>36969.076605065944</v>
      </c>
      <c r="H5424" s="5" t="s">
        <v>5464</v>
      </c>
      <c r="I5424" s="7">
        <v>1542200</v>
      </c>
      <c r="J5424" s="8">
        <v>3.7199999999999997E-2</v>
      </c>
    </row>
    <row r="5425" spans="1:10" x14ac:dyDescent="0.25">
      <c r="A5425" s="5" t="s">
        <v>5458</v>
      </c>
      <c r="B5425" s="5" t="s">
        <v>7292</v>
      </c>
      <c r="C5425" s="6" t="str">
        <f>_xll.QS.CONTEXT.CREATE("market.5423",A5425,"USD","SOFR")</f>
        <v>QSObject:PricingContext:w1~market.5423:10310</v>
      </c>
      <c r="D5425" s="6" t="str">
        <f>_xll.QS.CONTEXT.ADD.CURVE(C5425,"SOFR",$K$2:$K$7,$L$2:$L$7,,,"Actual360","LogLinear",TRUE)</f>
        <v>QSObject:ContextInput:w1~input.qs_context_add_curve.2359132437744.5424.3.0:35127</v>
      </c>
      <c r="E5425" s="6" t="str">
        <f>_xll.QS.INSTRUMENT.SWAP("swap.5423",H5425,B5425,"USD","SOFR",I5425,J5425,0,"Actual360","Simple","Annual","Annual","Annual")</f>
        <v>QSObject:Swap:w1~swap.5423:10309</v>
      </c>
      <c r="F5425" s="6" t="str">
        <f>_xll.QS.TRADE.CREATE("trade.5423",E5425,A5425,"Receive")</f>
        <v>QSObject:SwapTrade:w1~trade.5423:26631</v>
      </c>
      <c r="G5425" s="3">
        <f>_xll.QS.EVALUATE(C5425,F5425)</f>
        <v>37573.40626784919</v>
      </c>
      <c r="H5425" s="5" t="s">
        <v>5465</v>
      </c>
      <c r="I5425" s="7">
        <v>1542300</v>
      </c>
      <c r="J5425" s="8">
        <v>3.73E-2</v>
      </c>
    </row>
    <row r="5426" spans="1:10" x14ac:dyDescent="0.25">
      <c r="A5426" s="5" t="s">
        <v>5459</v>
      </c>
      <c r="B5426" s="5" t="s">
        <v>7293</v>
      </c>
      <c r="C5426" s="6" t="str">
        <f>_xll.QS.CONTEXT.CREATE("market.5424",A5426,"USD","SOFR")</f>
        <v>QSObject:PricingContext:w1~market.5424:10308</v>
      </c>
      <c r="D5426" s="6" t="str">
        <f>_xll.QS.CONTEXT.ADD.CURVE(C5426,"SOFR",$K$2:$K$7,$L$2:$L$7,,,"Actual360","LogLinear",TRUE)</f>
        <v>QSObject:ContextInput:w1~input.qs_context_add_curve.2359132437744.5425.3.0:35126</v>
      </c>
      <c r="E5426" s="6" t="str">
        <f>_xll.QS.INSTRUMENT.SWAP("swap.5424",H5426,B5426,"USD","SOFR",I5426,J5426,0,"Actual360","Simple","Annual","Annual","Annual")</f>
        <v>QSObject:Swap:w1~swap.5424:10307</v>
      </c>
      <c r="F5426" s="6" t="str">
        <f>_xll.QS.TRADE.CREATE("trade.5424",E5426,A5426,"Receive")</f>
        <v>QSObject:SwapTrade:w1~trade.5424:26630</v>
      </c>
      <c r="G5426" s="3">
        <f>_xll.QS.EVALUATE(C5426,F5426)</f>
        <v>38170.390794228369</v>
      </c>
      <c r="H5426" s="5" t="s">
        <v>5466</v>
      </c>
      <c r="I5426" s="7">
        <v>1542400</v>
      </c>
      <c r="J5426" s="8">
        <v>3.7400000000000003E-2</v>
      </c>
    </row>
    <row r="5427" spans="1:10" x14ac:dyDescent="0.25">
      <c r="A5427" s="5" t="s">
        <v>5460</v>
      </c>
      <c r="B5427" s="5" t="s">
        <v>7294</v>
      </c>
      <c r="C5427" s="6" t="str">
        <f>_xll.QS.CONTEXT.CREATE("market.5425",A5427,"USD","SOFR")</f>
        <v>QSObject:PricingContext:w1~market.5425:10306</v>
      </c>
      <c r="D5427" s="6" t="str">
        <f>_xll.QS.CONTEXT.ADD.CURVE(C5427,"SOFR",$K$2:$K$7,$L$2:$L$7,,,"Actual360","LogLinear",TRUE)</f>
        <v>QSObject:ContextInput:w1~input.qs_context_add_curve.2359132437744.5426.3.0:35125</v>
      </c>
      <c r="E5427" s="6" t="str">
        <f>_xll.QS.INSTRUMENT.SWAP("swap.5425",H5427,B5427,"USD","SOFR",I5427,J5427,0,"Actual360","Simple","Annual","Annual","Annual")</f>
        <v>QSObject:Swap:w1~swap.5425:10305</v>
      </c>
      <c r="F5427" s="6" t="str">
        <f>_xll.QS.TRADE.CREATE("trade.5425",E5427,A5427,"Receive")</f>
        <v>QSObject:SwapTrade:w1~trade.5425:26629</v>
      </c>
      <c r="G5427" s="3">
        <f>_xll.QS.EVALUATE(C5427,F5427)</f>
        <v>38948.707260958203</v>
      </c>
      <c r="H5427" s="5" t="s">
        <v>5467</v>
      </c>
      <c r="I5427" s="7">
        <v>1542500</v>
      </c>
      <c r="J5427" s="8">
        <v>3.7500000000000012E-2</v>
      </c>
    </row>
    <row r="5428" spans="1:10" x14ac:dyDescent="0.25">
      <c r="A5428" s="5" t="s">
        <v>5461</v>
      </c>
      <c r="B5428" s="5" t="s">
        <v>7295</v>
      </c>
      <c r="C5428" s="6" t="str">
        <f>_xll.QS.CONTEXT.CREATE("market.5426",A5428,"USD","SOFR")</f>
        <v>QSObject:PricingContext:w1~market.5426:10304</v>
      </c>
      <c r="D5428" s="6" t="str">
        <f>_xll.QS.CONTEXT.ADD.CURVE(C5428,"SOFR",$K$2:$K$7,$L$2:$L$7,,,"Actual360","LogLinear",TRUE)</f>
        <v>QSObject:ContextInput:w1~input.qs_context_add_curve.2359132437744.5427.3.0:35124</v>
      </c>
      <c r="E5428" s="6" t="str">
        <f>_xll.QS.INSTRUMENT.SWAP("swap.5426",H5428,B5428,"USD","SOFR",I5428,J5428,0,"Actual360","Simple","Annual","Annual","Annual")</f>
        <v>QSObject:Swap:w1~swap.5426:10303</v>
      </c>
      <c r="F5428" s="6" t="str">
        <f>_xll.QS.TRADE.CREATE("trade.5426",E5428,A5428,"Receive")</f>
        <v>QSObject:SwapTrade:w1~trade.5426:26628</v>
      </c>
      <c r="G5428" s="3">
        <f>_xll.QS.EVALUATE(C5428,F5428)</f>
        <v>39819.521819194197</v>
      </c>
      <c r="H5428" s="5" t="s">
        <v>5468</v>
      </c>
      <c r="I5428" s="7">
        <v>1542600</v>
      </c>
      <c r="J5428" s="8">
        <v>3.7600000000000001E-2</v>
      </c>
    </row>
    <row r="5429" spans="1:10" x14ac:dyDescent="0.25">
      <c r="A5429" s="5" t="s">
        <v>5462</v>
      </c>
      <c r="B5429" s="5" t="s">
        <v>7296</v>
      </c>
      <c r="C5429" s="6" t="str">
        <f>_xll.QS.CONTEXT.CREATE("market.5427",A5429,"USD","SOFR")</f>
        <v>QSObject:PricingContext:w1~market.5427:10302</v>
      </c>
      <c r="D5429" s="6" t="str">
        <f>_xll.QS.CONTEXT.ADD.CURVE(C5429,"SOFR",$K$2:$K$7,$L$2:$L$7,,,"Actual360","LogLinear",TRUE)</f>
        <v>QSObject:ContextInput:w1~input.qs_context_add_curve.2359132437744.5428.3.0:35123</v>
      </c>
      <c r="E5429" s="6" t="str">
        <f>_xll.QS.INSTRUMENT.SWAP("swap.5427",H5429,B5429,"USD","SOFR",I5429,J5429,0,"Actual360","Simple","Annual","Annual","Annual")</f>
        <v>QSObject:Swap:w1~swap.5427:10301</v>
      </c>
      <c r="F5429" s="6" t="str">
        <f>_xll.QS.TRADE.CREATE("trade.5427",E5429,A5429,"Receive")</f>
        <v>QSObject:SwapTrade:w1~trade.5427:26627</v>
      </c>
      <c r="G5429" s="3">
        <f>_xll.QS.EVALUATE(C5429,F5429)</f>
        <v>40543.940034272702</v>
      </c>
      <c r="H5429" s="5" t="s">
        <v>5469</v>
      </c>
      <c r="I5429" s="7">
        <v>1542700</v>
      </c>
      <c r="J5429" s="8">
        <v>3.7699999999999997E-2</v>
      </c>
    </row>
    <row r="5430" spans="1:10" x14ac:dyDescent="0.25">
      <c r="A5430" s="5" t="s">
        <v>5463</v>
      </c>
      <c r="B5430" s="5" t="s">
        <v>7297</v>
      </c>
      <c r="C5430" s="6" t="str">
        <f>_xll.QS.CONTEXT.CREATE("market.5428",A5430,"USD","SOFR")</f>
        <v>QSObject:PricingContext:w1~market.5428:10300</v>
      </c>
      <c r="D5430" s="6" t="str">
        <f>_xll.QS.CONTEXT.ADD.CURVE(C5430,"SOFR",$K$2:$K$7,$L$2:$L$7,,,"Actual360","LogLinear",TRUE)</f>
        <v>QSObject:ContextInput:w1~input.qs_context_add_curve.2359132437744.5429.3.0:35122</v>
      </c>
      <c r="E5430" s="6" t="str">
        <f>_xll.QS.INSTRUMENT.SWAP("swap.5428",H5430,B5430,"USD","SOFR",I5430,J5430,0,"Actual360","Simple","Annual","Annual","Annual")</f>
        <v>QSObject:Swap:w1~swap.5428:10299</v>
      </c>
      <c r="F5430" s="6" t="str">
        <f>_xll.QS.TRADE.CREATE("trade.5428",E5430,A5430,"Receive")</f>
        <v>QSObject:SwapTrade:w1~trade.5428:26626</v>
      </c>
      <c r="G5430" s="3">
        <f>_xll.QS.EVALUATE(C5430,F5430)</f>
        <v>41253.533501735401</v>
      </c>
      <c r="H5430" s="5" t="s">
        <v>5470</v>
      </c>
      <c r="I5430" s="7">
        <v>1542800</v>
      </c>
      <c r="J5430" s="8">
        <v>3.78E-2</v>
      </c>
    </row>
    <row r="5431" spans="1:10" x14ac:dyDescent="0.25">
      <c r="A5431" s="5" t="s">
        <v>5464</v>
      </c>
      <c r="B5431" s="5" t="s">
        <v>7298</v>
      </c>
      <c r="C5431" s="6" t="str">
        <f>_xll.QS.CONTEXT.CREATE("market.5429",A5431,"USD","SOFR")</f>
        <v>QSObject:PricingContext:w1~market.5429:10298</v>
      </c>
      <c r="D5431" s="6" t="str">
        <f>_xll.QS.CONTEXT.ADD.CURVE(C5431,"SOFR",$K$2:$K$7,$L$2:$L$7,,,"Actual360","LogLinear",TRUE)</f>
        <v>QSObject:ContextInput:w1~input.qs_context_add_curve.2359132437744.5430.3.0:35121</v>
      </c>
      <c r="E5431" s="6" t="str">
        <f>_xll.QS.INSTRUMENT.SWAP("swap.5429",H5431,B5431,"USD","SOFR",I5431,J5431,0,"Actual360","Simple","Annual","Annual","Annual")</f>
        <v>QSObject:Swap:w1~swap.5429:10297</v>
      </c>
      <c r="F5431" s="6" t="str">
        <f>_xll.QS.TRADE.CREATE("trade.5429",E5431,A5431,"Receive")</f>
        <v>QSObject:SwapTrade:w1~trade.5429:26625</v>
      </c>
      <c r="G5431" s="3">
        <f>_xll.QS.EVALUATE(C5431,F5431)</f>
        <v>41908.213719760504</v>
      </c>
      <c r="H5431" s="5" t="s">
        <v>5471</v>
      </c>
      <c r="I5431" s="7">
        <v>1542900</v>
      </c>
      <c r="J5431" s="8">
        <v>3.7900000000000003E-2</v>
      </c>
    </row>
    <row r="5432" spans="1:10" x14ac:dyDescent="0.25">
      <c r="A5432" s="5" t="s">
        <v>5465</v>
      </c>
      <c r="B5432" s="5" t="s">
        <v>7299</v>
      </c>
      <c r="C5432" s="6" t="str">
        <f>_xll.QS.CONTEXT.CREATE("market.5430",A5432,"USD","SOFR")</f>
        <v>QSObject:PricingContext:w1~market.5430:10296</v>
      </c>
      <c r="D5432" s="6" t="str">
        <f>_xll.QS.CONTEXT.ADD.CURVE(C5432,"SOFR",$K$2:$K$7,$L$2:$L$7,,,"Actual360","LogLinear",TRUE)</f>
        <v>QSObject:ContextInput:w1~input.qs_context_add_curve.2359132437744.5431.3.0:35120</v>
      </c>
      <c r="E5432" s="6" t="str">
        <f>_xll.QS.INSTRUMENT.SWAP("swap.5430",H5432,B5432,"USD","SOFR",I5432,J5432,0,"Actual360","Simple","Annual","Annual","Annual")</f>
        <v>QSObject:Swap:w1~swap.5430:10295</v>
      </c>
      <c r="F5432" s="6" t="str">
        <f>_xll.QS.TRADE.CREATE("trade.5430",E5432,A5432,"Receive")</f>
        <v>QSObject:SwapTrade:w1~trade.5430:26624</v>
      </c>
      <c r="G5432" s="3">
        <f>_xll.QS.EVALUATE(C5432,F5432)</f>
        <v>42507.246892233685</v>
      </c>
      <c r="H5432" s="5" t="s">
        <v>5472</v>
      </c>
      <c r="I5432" s="7">
        <v>1543000</v>
      </c>
      <c r="J5432" s="8">
        <v>3.8000000000000013E-2</v>
      </c>
    </row>
    <row r="5433" spans="1:10" x14ac:dyDescent="0.25">
      <c r="A5433" s="5" t="s">
        <v>5466</v>
      </c>
      <c r="B5433" s="5" t="s">
        <v>7300</v>
      </c>
      <c r="C5433" s="6" t="str">
        <f>_xll.QS.CONTEXT.CREATE("market.5431",A5433,"USD","SOFR")</f>
        <v>QSObject:PricingContext:w1~market.5431:10294</v>
      </c>
      <c r="D5433" s="6" t="str">
        <f>_xll.QS.CONTEXT.ADD.CURVE(C5433,"SOFR",$K$2:$K$7,$L$2:$L$7,,,"Actual360","LogLinear",TRUE)</f>
        <v>QSObject:ContextInput:w1~input.qs_context_add_curve.2359132437744.5432.3.0:35119</v>
      </c>
      <c r="E5433" s="6" t="str">
        <f>_xll.QS.INSTRUMENT.SWAP("swap.5431",H5433,B5433,"USD","SOFR",I5433,J5433,0,"Actual360","Simple","Annual","Annual","Annual")</f>
        <v>QSObject:Swap:w1~swap.5431:10293</v>
      </c>
      <c r="F5433" s="6" t="str">
        <f>_xll.QS.TRADE.CREATE("trade.5431",E5433,A5433,"Receive")</f>
        <v>QSObject:SwapTrade:w1~trade.5431:26623</v>
      </c>
      <c r="G5433" s="3">
        <f>_xll.QS.EVALUATE(C5433,F5433)</f>
        <v>43112.645639852482</v>
      </c>
      <c r="H5433" s="5" t="s">
        <v>5473</v>
      </c>
      <c r="I5433" s="7">
        <v>1543100</v>
      </c>
      <c r="J5433" s="8">
        <v>3.8100000000000002E-2</v>
      </c>
    </row>
    <row r="5434" spans="1:10" x14ac:dyDescent="0.25">
      <c r="A5434" s="5" t="s">
        <v>5467</v>
      </c>
      <c r="B5434" s="5" t="s">
        <v>7301</v>
      </c>
      <c r="C5434" s="6" t="str">
        <f>_xll.QS.CONTEXT.CREATE("market.5432",A5434,"USD","SOFR")</f>
        <v>QSObject:PricingContext:w1~market.5432:10292</v>
      </c>
      <c r="D5434" s="6" t="str">
        <f>_xll.QS.CONTEXT.ADD.CURVE(C5434,"SOFR",$K$2:$K$7,$L$2:$L$7,,,"Actual360","LogLinear",TRUE)</f>
        <v>QSObject:ContextInput:w1~input.qs_context_add_curve.2359132437744.5433.3.0:35118</v>
      </c>
      <c r="E5434" s="6" t="str">
        <f>_xll.QS.INSTRUMENT.SWAP("swap.5432",H5434,B5434,"USD","SOFR",I5434,J5434,0,"Actual360","Simple","Annual","Annual","Annual")</f>
        <v>QSObject:Swap:w1~swap.5432:10291</v>
      </c>
      <c r="F5434" s="6" t="str">
        <f>_xll.QS.TRADE.CREATE("trade.5432",E5434,A5434,"Receive")</f>
        <v>QSObject:SwapTrade:w1~trade.5432:26622</v>
      </c>
      <c r="G5434" s="3">
        <f>_xll.QS.EVALUATE(C5434,F5434)</f>
        <v>43892.785244825973</v>
      </c>
      <c r="H5434" s="5" t="s">
        <v>5474</v>
      </c>
      <c r="I5434" s="7">
        <v>1543200</v>
      </c>
      <c r="J5434" s="8">
        <v>3.8199999999999998E-2</v>
      </c>
    </row>
    <row r="5435" spans="1:10" x14ac:dyDescent="0.25">
      <c r="A5435" s="5" t="s">
        <v>5468</v>
      </c>
      <c r="B5435" s="5" t="s">
        <v>7302</v>
      </c>
      <c r="C5435" s="6" t="str">
        <f>_xll.QS.CONTEXT.CREATE("market.5433",A5435,"USD","SOFR")</f>
        <v>QSObject:PricingContext:w1~market.5433:10290</v>
      </c>
      <c r="D5435" s="6" t="str">
        <f>_xll.QS.CONTEXT.ADD.CURVE(C5435,"SOFR",$K$2:$K$7,$L$2:$L$7,,,"Actual360","LogLinear",TRUE)</f>
        <v>QSObject:ContextInput:w1~input.qs_context_add_curve.2359132437744.5434.3.0:35117</v>
      </c>
      <c r="E5435" s="6" t="str">
        <f>_xll.QS.INSTRUMENT.SWAP("swap.5433",H5435,B5435,"USD","SOFR",I5435,J5435,0,"Actual360","Simple","Annual","Annual","Annual")</f>
        <v>QSObject:Swap:w1~swap.5433:10289</v>
      </c>
      <c r="F5435" s="6" t="str">
        <f>_xll.QS.TRADE.CREATE("trade.5433",E5435,A5435,"Receive")</f>
        <v>QSObject:SwapTrade:w1~trade.5433:26621</v>
      </c>
      <c r="G5435" s="3">
        <f>_xll.QS.EVALUATE(C5435,F5435)</f>
        <v>44644.908772010742</v>
      </c>
      <c r="H5435" s="5" t="s">
        <v>5475</v>
      </c>
      <c r="I5435" s="7">
        <v>1543300</v>
      </c>
      <c r="J5435" s="8">
        <v>3.8300000000000001E-2</v>
      </c>
    </row>
    <row r="5436" spans="1:10" x14ac:dyDescent="0.25">
      <c r="A5436" s="5" t="s">
        <v>5469</v>
      </c>
      <c r="B5436" s="5" t="s">
        <v>7303</v>
      </c>
      <c r="C5436" s="6" t="str">
        <f>_xll.QS.CONTEXT.CREATE("market.5434",A5436,"USD","SOFR")</f>
        <v>QSObject:PricingContext:w1~market.5434:10288</v>
      </c>
      <c r="D5436" s="6" t="str">
        <f>_xll.QS.CONTEXT.ADD.CURVE(C5436,"SOFR",$K$2:$K$7,$L$2:$L$7,,,"Actual360","LogLinear",TRUE)</f>
        <v>QSObject:ContextInput:w1~input.qs_context_add_curve.2359132437744.5435.3.0:35116</v>
      </c>
      <c r="E5436" s="6" t="str">
        <f>_xll.QS.INSTRUMENT.SWAP("swap.5434",H5436,B5436,"USD","SOFR",I5436,J5436,0,"Actual360","Simple","Annual","Annual","Annual")</f>
        <v>QSObject:Swap:w1~swap.5434:10287</v>
      </c>
      <c r="F5436" s="6" t="str">
        <f>_xll.QS.TRADE.CREATE("trade.5434",E5436,A5436,"Receive")</f>
        <v>QSObject:SwapTrade:w1~trade.5434:26620</v>
      </c>
      <c r="G5436" s="3">
        <f>_xll.QS.EVALUATE(C5436,F5436)</f>
        <v>45472.346838235768</v>
      </c>
      <c r="H5436" s="5" t="s">
        <v>5476</v>
      </c>
      <c r="I5436" s="7">
        <v>1543400</v>
      </c>
      <c r="J5436" s="8">
        <v>3.8399999999999997E-2</v>
      </c>
    </row>
    <row r="5437" spans="1:10" x14ac:dyDescent="0.25">
      <c r="A5437" s="5" t="s">
        <v>5470</v>
      </c>
      <c r="B5437" s="5" t="s">
        <v>7304</v>
      </c>
      <c r="C5437" s="6" t="str">
        <f>_xll.QS.CONTEXT.CREATE("market.5435",A5437,"USD","SOFR")</f>
        <v>QSObject:PricingContext:w1~market.5435:10286</v>
      </c>
      <c r="D5437" s="6" t="str">
        <f>_xll.QS.CONTEXT.ADD.CURVE(C5437,"SOFR",$K$2:$K$7,$L$2:$L$7,,,"Actual360","LogLinear",TRUE)</f>
        <v>QSObject:ContextInput:w1~input.qs_context_add_curve.2359132437744.5436.3.0:35115</v>
      </c>
      <c r="E5437" s="6" t="str">
        <f>_xll.QS.INSTRUMENT.SWAP("swap.5435",H5437,B5437,"USD","SOFR",I5437,J5437,0,"Actual360","Simple","Annual","Annual","Annual")</f>
        <v>QSObject:Swap:w1~swap.5435:10285</v>
      </c>
      <c r="F5437" s="6" t="str">
        <f>_xll.QS.TRADE.CREATE("trade.5435",E5437,A5437,"Receive")</f>
        <v>QSObject:SwapTrade:w1~trade.5435:26619</v>
      </c>
      <c r="G5437" s="3">
        <f>_xll.QS.EVALUATE(C5437,F5437)</f>
        <v>46225.064022428975</v>
      </c>
      <c r="H5437" s="5" t="s">
        <v>5477</v>
      </c>
      <c r="I5437" s="7">
        <v>1543500</v>
      </c>
      <c r="J5437" s="8">
        <v>3.8500000000000013E-2</v>
      </c>
    </row>
    <row r="5438" spans="1:10" x14ac:dyDescent="0.25">
      <c r="A5438" s="5" t="s">
        <v>5471</v>
      </c>
      <c r="B5438" s="5" t="s">
        <v>7305</v>
      </c>
      <c r="C5438" s="6" t="str">
        <f>_xll.QS.CONTEXT.CREATE("market.5436",A5438,"USD","SOFR")</f>
        <v>QSObject:PricingContext:w1~market.5436:10284</v>
      </c>
      <c r="D5438" s="6" t="str">
        <f>_xll.QS.CONTEXT.ADD.CURVE(C5438,"SOFR",$K$2:$K$7,$L$2:$L$7,,,"Actual360","LogLinear",TRUE)</f>
        <v>QSObject:ContextInput:w1~input.qs_context_add_curve.2359132437744.5437.3.0:35114</v>
      </c>
      <c r="E5438" s="6" t="str">
        <f>_xll.QS.INSTRUMENT.SWAP("swap.5436",H5438,B5438,"USD","SOFR",I5438,J5438,0,"Actual360","Simple","Annual","Annual","Annual")</f>
        <v>QSObject:Swap:w1~swap.5436:10283</v>
      </c>
      <c r="F5438" s="6" t="str">
        <f>_xll.QS.TRADE.CREATE("trade.5436",E5438,A5438,"Receive")</f>
        <v>QSObject:SwapTrade:w1~trade.5436:26618</v>
      </c>
      <c r="G5438" s="3">
        <f>_xll.QS.EVALUATE(C5438,F5438)</f>
        <v>46876.079549550901</v>
      </c>
      <c r="H5438" s="5" t="s">
        <v>5478</v>
      </c>
      <c r="I5438" s="7">
        <v>1543600</v>
      </c>
      <c r="J5438" s="8">
        <v>3.8600000000000002E-2</v>
      </c>
    </row>
    <row r="5439" spans="1:10" x14ac:dyDescent="0.25">
      <c r="A5439" s="5" t="s">
        <v>5472</v>
      </c>
      <c r="B5439" s="5" t="s">
        <v>7306</v>
      </c>
      <c r="C5439" s="6" t="str">
        <f>_xll.QS.CONTEXT.CREATE("market.5437",A5439,"USD","SOFR")</f>
        <v>QSObject:PricingContext:w1~market.5437:10282</v>
      </c>
      <c r="D5439" s="6" t="str">
        <f>_xll.QS.CONTEXT.ADD.CURVE(C5439,"SOFR",$K$2:$K$7,$L$2:$L$7,,,"Actual360","LogLinear",TRUE)</f>
        <v>QSObject:ContextInput:w1~input.qs_context_add_curve.2359132437744.5438.3.0:35113</v>
      </c>
      <c r="E5439" s="6" t="str">
        <f>_xll.QS.INSTRUMENT.SWAP("swap.5437",H5439,B5439,"USD","SOFR",I5439,J5439,0,"Actual360","Simple","Annual","Annual","Annual")</f>
        <v>QSObject:Swap:w1~swap.5437:10281</v>
      </c>
      <c r="F5439" s="6" t="str">
        <f>_xll.QS.TRADE.CREATE("trade.5437",E5439,A5439,"Receive")</f>
        <v>QSObject:SwapTrade:w1~trade.5437:26617</v>
      </c>
      <c r="G5439" s="3">
        <f>_xll.QS.EVALUATE(C5439,F5439)</f>
        <v>47505.206890946916</v>
      </c>
      <c r="H5439" s="5" t="s">
        <v>5479</v>
      </c>
      <c r="I5439" s="7">
        <v>1543700</v>
      </c>
      <c r="J5439" s="8">
        <v>3.8700000000000012E-2</v>
      </c>
    </row>
    <row r="5440" spans="1:10" x14ac:dyDescent="0.25">
      <c r="A5440" s="5" t="s">
        <v>5473</v>
      </c>
      <c r="B5440" s="5" t="s">
        <v>7307</v>
      </c>
      <c r="C5440" s="6" t="str">
        <f>_xll.QS.CONTEXT.CREATE("market.5438",A5440,"USD","SOFR")</f>
        <v>QSObject:PricingContext:w1~market.5438:10280</v>
      </c>
      <c r="D5440" s="6" t="str">
        <f>_xll.QS.CONTEXT.ADD.CURVE(C5440,"SOFR",$K$2:$K$7,$L$2:$L$7,,,"Actual360","LogLinear",TRUE)</f>
        <v>QSObject:ContextInput:w1~input.qs_context_add_curve.2359132437744.5439.3.0:35112</v>
      </c>
      <c r="E5440" s="6" t="str">
        <f>_xll.QS.INSTRUMENT.SWAP("swap.5438",H5440,B5440,"USD","SOFR",I5440,J5440,0,"Actual360","Simple","Annual","Annual","Annual")</f>
        <v>QSObject:Swap:w1~swap.5438:10279</v>
      </c>
      <c r="F5440" s="6" t="str">
        <f>_xll.QS.TRADE.CREATE("trade.5438",E5440,A5440,"Receive")</f>
        <v>QSObject:SwapTrade:w1~trade.5438:26616</v>
      </c>
      <c r="G5440" s="3">
        <f>_xll.QS.EVALUATE(C5440,F5440)</f>
        <v>48118.850671465341</v>
      </c>
      <c r="H5440" s="5" t="s">
        <v>5480</v>
      </c>
      <c r="I5440" s="7">
        <v>1543800</v>
      </c>
      <c r="J5440" s="8">
        <v>3.8800000000000001E-2</v>
      </c>
    </row>
    <row r="5441" spans="1:10" x14ac:dyDescent="0.25">
      <c r="A5441" s="5" t="s">
        <v>5474</v>
      </c>
      <c r="B5441" s="5" t="s">
        <v>7308</v>
      </c>
      <c r="C5441" s="6" t="str">
        <f>_xll.QS.CONTEXT.CREATE("market.5439",A5441,"USD","SOFR")</f>
        <v>QSObject:PricingContext:w1~market.5439:10278</v>
      </c>
      <c r="D5441" s="6" t="str">
        <f>_xll.QS.CONTEXT.ADD.CURVE(C5441,"SOFR",$K$2:$K$7,$L$2:$L$7,,,"Actual360","LogLinear",TRUE)</f>
        <v>QSObject:ContextInput:w1~input.qs_context_add_curve.2359132437744.5440.3.0:35111</v>
      </c>
      <c r="E5441" s="6" t="str">
        <f>_xll.QS.INSTRUMENT.SWAP("swap.5439",H5441,B5441,"USD","SOFR",I5441,J5441,0,"Actual360","Simple","Annual","Annual","Annual")</f>
        <v>QSObject:Swap:w1~swap.5439:10277</v>
      </c>
      <c r="F5441" s="6" t="str">
        <f>_xll.QS.TRADE.CREATE("trade.5439",E5441,A5441,"Receive")</f>
        <v>QSObject:SwapTrade:w1~trade.5439:26615</v>
      </c>
      <c r="G5441" s="3">
        <f>_xll.QS.EVALUATE(C5441,F5441)</f>
        <v>48955.932179824274</v>
      </c>
      <c r="H5441" s="5" t="s">
        <v>5481</v>
      </c>
      <c r="I5441" s="7">
        <v>1543900</v>
      </c>
      <c r="J5441" s="8">
        <v>3.8899999999999997E-2</v>
      </c>
    </row>
    <row r="5442" spans="1:10" x14ac:dyDescent="0.25">
      <c r="A5442" s="5" t="s">
        <v>5475</v>
      </c>
      <c r="B5442" s="5" t="s">
        <v>7309</v>
      </c>
      <c r="C5442" s="6" t="str">
        <f>_xll.QS.CONTEXT.CREATE("market.5440",A5442,"USD","SOFR")</f>
        <v>QSObject:PricingContext:w1~market.5440:10276</v>
      </c>
      <c r="D5442" s="6" t="str">
        <f>_xll.QS.CONTEXT.ADD.CURVE(C5442,"SOFR",$K$2:$K$7,$L$2:$L$7,,,"Actual360","LogLinear",TRUE)</f>
        <v>QSObject:ContextInput:w1~input.qs_context_add_curve.2359132437744.5441.3.0:35110</v>
      </c>
      <c r="E5442" s="6" t="str">
        <f>_xll.QS.INSTRUMENT.SWAP("swap.5440",H5442,B5442,"USD","SOFR",I5442,J5442,0,"Actual360","Simple","Annual","Annual","Annual")</f>
        <v>QSObject:Swap:w1~swap.5440:10275</v>
      </c>
      <c r="F5442" s="6" t="str">
        <f>_xll.QS.TRADE.CREATE("trade.5440",E5442,A5442,"Receive")</f>
        <v>QSObject:SwapTrade:w1~trade.5440:26614</v>
      </c>
      <c r="G5442" s="3">
        <f>_xll.QS.EVALUATE(C5442,F5442)</f>
        <v>49825.827998905268</v>
      </c>
      <c r="H5442" s="5" t="s">
        <v>5482</v>
      </c>
      <c r="I5442" s="7">
        <v>1544000</v>
      </c>
      <c r="J5442" s="8">
        <v>3.9000000000000007E-2</v>
      </c>
    </row>
    <row r="5443" spans="1:10" x14ac:dyDescent="0.25">
      <c r="A5443" s="5" t="s">
        <v>5476</v>
      </c>
      <c r="B5443" s="5" t="s">
        <v>7310</v>
      </c>
      <c r="C5443" s="6" t="str">
        <f>_xll.QS.CONTEXT.CREATE("market.5441",A5443,"USD","SOFR")</f>
        <v>QSObject:PricingContext:w1~market.5441:10274</v>
      </c>
      <c r="D5443" s="6" t="str">
        <f>_xll.QS.CONTEXT.ADD.CURVE(C5443,"SOFR",$K$2:$K$7,$L$2:$L$7,,,"Actual360","LogLinear",TRUE)</f>
        <v>QSObject:ContextInput:w1~input.qs_context_add_curve.2359132437744.5442.3.0:35109</v>
      </c>
      <c r="E5443" s="6" t="str">
        <f>_xll.QS.INSTRUMENT.SWAP("swap.5441",H5443,B5443,"USD","SOFR",I5443,J5443,0,"Actual360","Simple","Annual","Annual","Annual")</f>
        <v>QSObject:Swap:w1~swap.5441:10273</v>
      </c>
      <c r="F5443" s="6" t="str">
        <f>_xll.QS.TRADE.CREATE("trade.5441",E5443,A5443,"Receive")</f>
        <v>QSObject:SwapTrade:w1~trade.5441:26613</v>
      </c>
      <c r="G5443" s="3">
        <f>_xll.QS.EVALUATE(C5443,F5443)</f>
        <v>50549.29041579496</v>
      </c>
      <c r="H5443" s="5" t="s">
        <v>5483</v>
      </c>
      <c r="I5443" s="7">
        <v>1544100</v>
      </c>
      <c r="J5443" s="8">
        <v>3.9100000000000003E-2</v>
      </c>
    </row>
    <row r="5444" spans="1:10" x14ac:dyDescent="0.25">
      <c r="A5444" s="5" t="s">
        <v>5477</v>
      </c>
      <c r="B5444" s="5" t="s">
        <v>7311</v>
      </c>
      <c r="C5444" s="6" t="str">
        <f>_xll.QS.CONTEXT.CREATE("market.5442",A5444,"USD","SOFR")</f>
        <v>QSObject:PricingContext:w1~market.5442:10272</v>
      </c>
      <c r="D5444" s="6" t="str">
        <f>_xll.QS.CONTEXT.ADD.CURVE(C5444,"SOFR",$K$2:$K$7,$L$2:$L$7,,,"Actual360","LogLinear",TRUE)</f>
        <v>QSObject:ContextInput:w1~input.qs_context_add_curve.2359132437744.5443.3.0:35108</v>
      </c>
      <c r="E5444" s="6" t="str">
        <f>_xll.QS.INSTRUMENT.SWAP("swap.5442",H5444,B5444,"USD","SOFR",I5444,J5444,0,"Actual360","Simple","Annual","Annual","Annual")</f>
        <v>QSObject:Swap:w1~swap.5442:10271</v>
      </c>
      <c r="F5444" s="6" t="str">
        <f>_xll.QS.TRADE.CREATE("trade.5442",E5444,A5444,"Receive")</f>
        <v>QSObject:SwapTrade:w1~trade.5442:26612</v>
      </c>
      <c r="G5444" s="3">
        <f>_xll.QS.EVALUATE(C5444,F5444)</f>
        <v>51260.135040310925</v>
      </c>
      <c r="H5444" s="5" t="s">
        <v>5484</v>
      </c>
      <c r="I5444" s="7">
        <v>1544200</v>
      </c>
      <c r="J5444" s="8">
        <v>3.9200000000000013E-2</v>
      </c>
    </row>
    <row r="5445" spans="1:10" x14ac:dyDescent="0.25">
      <c r="A5445" s="5" t="s">
        <v>5478</v>
      </c>
      <c r="B5445" s="5" t="s">
        <v>7312</v>
      </c>
      <c r="C5445" s="6" t="str">
        <f>_xll.QS.CONTEXT.CREATE("market.5443",A5445,"USD","SOFR")</f>
        <v>QSObject:PricingContext:w1~market.5443:10270</v>
      </c>
      <c r="D5445" s="6" t="str">
        <f>_xll.QS.CONTEXT.ADD.CURVE(C5445,"SOFR",$K$2:$K$7,$L$2:$L$7,,,"Actual360","LogLinear",TRUE)</f>
        <v>QSObject:ContextInput:w1~input.qs_context_add_curve.2359132437744.5444.3.0:35107</v>
      </c>
      <c r="E5445" s="6" t="str">
        <f>_xll.QS.INSTRUMENT.SWAP("swap.5443",H5445,B5445,"USD","SOFR",I5445,J5445,0,"Actual360","Simple","Annual","Annual","Annual")</f>
        <v>QSObject:Swap:w1~swap.5443:10269</v>
      </c>
      <c r="F5445" s="6" t="str">
        <f>_xll.QS.TRADE.CREATE("trade.5443",E5445,A5445,"Receive")</f>
        <v>QSObject:SwapTrade:w1~trade.5443:26611</v>
      </c>
      <c r="G5445" s="3">
        <f>_xll.QS.EVALUATE(C5445,F5445)</f>
        <v>51915.923533244648</v>
      </c>
      <c r="H5445" s="5" t="s">
        <v>5485</v>
      </c>
      <c r="I5445" s="7">
        <v>1544300</v>
      </c>
      <c r="J5445" s="8">
        <v>3.9300000000000002E-2</v>
      </c>
    </row>
    <row r="5446" spans="1:10" x14ac:dyDescent="0.25">
      <c r="A5446" s="5" t="s">
        <v>5479</v>
      </c>
      <c r="B5446" s="5" t="s">
        <v>7313</v>
      </c>
      <c r="C5446" s="6" t="str">
        <f>_xll.QS.CONTEXT.CREATE("market.5444",A5446,"USD","SOFR")</f>
        <v>QSObject:PricingContext:w1~market.5444:10268</v>
      </c>
      <c r="D5446" s="6" t="str">
        <f>_xll.QS.CONTEXT.ADD.CURVE(C5446,"SOFR",$K$2:$K$7,$L$2:$L$7,,,"Actual360","LogLinear",TRUE)</f>
        <v>QSObject:ContextInput:w1~input.qs_context_add_curve.2359132437744.5445.3.0:35106</v>
      </c>
      <c r="E5446" s="6" t="str">
        <f>_xll.QS.INSTRUMENT.SWAP("swap.5444",H5446,B5446,"USD","SOFR",I5446,J5446,0,"Actual360","Simple","Annual","Annual","Annual")</f>
        <v>QSObject:Swap:w1~swap.5444:10267</v>
      </c>
      <c r="F5446" s="6" t="str">
        <f>_xll.QS.TRADE.CREATE("trade.5444",E5446,A5446,"Receive")</f>
        <v>QSObject:SwapTrade:w1~trade.5444:26610</v>
      </c>
      <c r="G5446" s="3">
        <f>_xll.QS.EVALUATE(C5446,F5446)</f>
        <v>52504.347793906149</v>
      </c>
      <c r="H5446" s="5" t="s">
        <v>5486</v>
      </c>
      <c r="I5446" s="7">
        <v>1544400</v>
      </c>
      <c r="J5446" s="8">
        <v>3.9399999999999998E-2</v>
      </c>
    </row>
    <row r="5447" spans="1:10" x14ac:dyDescent="0.25">
      <c r="A5447" s="5" t="s">
        <v>5480</v>
      </c>
      <c r="B5447" s="5" t="s">
        <v>7314</v>
      </c>
      <c r="C5447" s="6" t="str">
        <f>_xll.QS.CONTEXT.CREATE("market.5445",A5447,"USD","SOFR")</f>
        <v>QSObject:PricingContext:w1~market.5445:10266</v>
      </c>
      <c r="D5447" s="6" t="str">
        <f>_xll.QS.CONTEXT.ADD.CURVE(C5447,"SOFR",$K$2:$K$7,$L$2:$L$7,,,"Actual360","LogLinear",TRUE)</f>
        <v>QSObject:ContextInput:w1~input.qs_context_add_curve.2359132437744.5446.3.0:35105</v>
      </c>
      <c r="E5447" s="6" t="str">
        <f>_xll.QS.INSTRUMENT.SWAP("swap.5445",H5447,B5447,"USD","SOFR",I5447,J5447,0,"Actual360","Simple","Annual","Annual","Annual")</f>
        <v>QSObject:Swap:w1~swap.5445:10265</v>
      </c>
      <c r="F5447" s="6" t="str">
        <f>_xll.QS.TRADE.CREATE("trade.5445",E5447,A5447,"Receive")</f>
        <v>QSObject:SwapTrade:w1~trade.5445:26609</v>
      </c>
      <c r="G5447" s="3">
        <f>_xll.QS.EVALUATE(C5447,F5447)</f>
        <v>53126.234459680978</v>
      </c>
      <c r="H5447" s="5" t="s">
        <v>5487</v>
      </c>
      <c r="I5447" s="7">
        <v>1544500</v>
      </c>
      <c r="J5447" s="8">
        <v>3.9500000000000007E-2</v>
      </c>
    </row>
    <row r="5448" spans="1:10" x14ac:dyDescent="0.25">
      <c r="A5448" s="5" t="s">
        <v>5481</v>
      </c>
      <c r="B5448" s="5" t="s">
        <v>7315</v>
      </c>
      <c r="C5448" s="6" t="str">
        <f>_xll.QS.CONTEXT.CREATE("market.5446",A5448,"USD","SOFR")</f>
        <v>QSObject:PricingContext:w1~market.5446:10264</v>
      </c>
      <c r="D5448" s="6" t="str">
        <f>_xll.QS.CONTEXT.ADD.CURVE(C5448,"SOFR",$K$2:$K$7,$L$2:$L$7,,,"Actual360","LogLinear",TRUE)</f>
        <v>QSObject:ContextInput:w1~input.qs_context_add_curve.2359132437744.5447.3.0:35104</v>
      </c>
      <c r="E5448" s="6" t="str">
        <f>_xll.QS.INSTRUMENT.SWAP("swap.5446",H5448,B5448,"USD","SOFR",I5448,J5448,0,"Actual360","Simple","Annual","Annual","Annual")</f>
        <v>QSObject:Swap:w1~swap.5446:10263</v>
      </c>
      <c r="F5448" s="6" t="str">
        <f>_xll.QS.TRADE.CREATE("trade.5446",E5448,A5448,"Receive")</f>
        <v>QSObject:SwapTrade:w1~trade.5446:26608</v>
      </c>
      <c r="G5448" s="3">
        <f>_xll.QS.EVALUATE(C5448,F5448)</f>
        <v>53909.196339938171</v>
      </c>
      <c r="H5448" s="5" t="s">
        <v>5488</v>
      </c>
      <c r="I5448" s="7">
        <v>1544600</v>
      </c>
      <c r="J5448" s="8">
        <v>3.9600000000000003E-2</v>
      </c>
    </row>
    <row r="5449" spans="1:10" x14ac:dyDescent="0.25">
      <c r="A5449" s="5" t="s">
        <v>5482</v>
      </c>
      <c r="B5449" s="5" t="s">
        <v>7316</v>
      </c>
      <c r="C5449" s="6" t="str">
        <f>_xll.QS.CONTEXT.CREATE("market.5447",A5449,"USD","SOFR")</f>
        <v>QSObject:PricingContext:w1~market.5447:10262</v>
      </c>
      <c r="D5449" s="6" t="str">
        <f>_xll.QS.CONTEXT.ADD.CURVE(C5449,"SOFR",$K$2:$K$7,$L$2:$L$7,,,"Actual360","LogLinear",TRUE)</f>
        <v>QSObject:ContextInput:w1~input.qs_context_add_curve.2359132437744.5448.3.0:35103</v>
      </c>
      <c r="E5449" s="6" t="str">
        <f>_xll.QS.INSTRUMENT.SWAP("swap.5447",H5449,B5449,"USD","SOFR",I5449,J5449,0,"Actual360","Simple","Annual","Annual","Annual")</f>
        <v>QSObject:Swap:w1~swap.5447:10261</v>
      </c>
      <c r="F5449" s="6" t="str">
        <f>_xll.QS.TRADE.CREATE("trade.5447",E5449,A5449,"Receive")</f>
        <v>QSObject:SwapTrade:w1~trade.5447:26607</v>
      </c>
      <c r="G5449" s="3">
        <f>_xll.QS.EVALUATE(C5449,F5449)</f>
        <v>54657.848691221152</v>
      </c>
      <c r="H5449" s="5" t="s">
        <v>5489</v>
      </c>
      <c r="I5449" s="7">
        <v>1544700</v>
      </c>
      <c r="J5449" s="8">
        <v>3.9700000000000013E-2</v>
      </c>
    </row>
    <row r="5450" spans="1:10" x14ac:dyDescent="0.25">
      <c r="A5450" s="5" t="s">
        <v>5483</v>
      </c>
      <c r="B5450" s="5" t="s">
        <v>7317</v>
      </c>
      <c r="C5450" s="6" t="str">
        <f>_xll.QS.CONTEXT.CREATE("market.5448",A5450,"USD","SOFR")</f>
        <v>QSObject:PricingContext:w1~market.5448:10260</v>
      </c>
      <c r="D5450" s="6" t="str">
        <f>_xll.QS.CONTEXT.ADD.CURVE(C5450,"SOFR",$K$2:$K$7,$L$2:$L$7,,,"Actual360","LogLinear",TRUE)</f>
        <v>QSObject:ContextInput:w1~input.qs_context_add_curve.2359132437744.5449.3.0:35102</v>
      </c>
      <c r="E5450" s="6" t="str">
        <f>_xll.QS.INSTRUMENT.SWAP("swap.5448",H5450,B5450,"USD","SOFR",I5450,J5450,0,"Actual360","Simple","Annual","Annual","Annual")</f>
        <v>QSObject:Swap:w1~swap.5448:10259</v>
      </c>
      <c r="F5450" s="6" t="str">
        <f>_xll.QS.TRADE.CREATE("trade.5448",E5450,A5450,"Receive")</f>
        <v>QSObject:SwapTrade:w1~trade.5448:26606</v>
      </c>
      <c r="G5450" s="3">
        <f>_xll.QS.EVALUATE(C5450,F5450)</f>
        <v>55486.838158175146</v>
      </c>
      <c r="H5450" s="5" t="s">
        <v>5490</v>
      </c>
      <c r="I5450" s="7">
        <v>1544800</v>
      </c>
      <c r="J5450" s="8">
        <v>3.9800000000000002E-2</v>
      </c>
    </row>
    <row r="5451" spans="1:10" x14ac:dyDescent="0.25">
      <c r="A5451" s="5" t="s">
        <v>5484</v>
      </c>
      <c r="B5451" s="5" t="s">
        <v>7318</v>
      </c>
      <c r="C5451" s="6" t="str">
        <f>_xll.QS.CONTEXT.CREATE("market.5449",A5451,"USD","SOFR")</f>
        <v>QSObject:PricingContext:w1~market.5449:10258</v>
      </c>
      <c r="D5451" s="6" t="str">
        <f>_xll.QS.CONTEXT.ADD.CURVE(C5451,"SOFR",$K$2:$K$7,$L$2:$L$7,,,"Actual360","LogLinear",TRUE)</f>
        <v>QSObject:ContextInput:w1~input.qs_context_add_curve.2359132437744.5450.3.0:35101</v>
      </c>
      <c r="E5451" s="6" t="str">
        <f>_xll.QS.INSTRUMENT.SWAP("swap.5449",H5451,B5451,"USD","SOFR",I5451,J5451,0,"Actual360","Simple","Annual","Annual","Annual")</f>
        <v>QSObject:Swap:w1~swap.5449:10257</v>
      </c>
      <c r="F5451" s="6" t="str">
        <f>_xll.QS.TRADE.CREATE("trade.5449",E5451,A5451,"Receive")</f>
        <v>QSObject:SwapTrade:w1~trade.5449:26605</v>
      </c>
      <c r="G5451" s="3">
        <f>_xll.QS.EVALUATE(C5451,F5451)</f>
        <v>56270.54092953186</v>
      </c>
      <c r="H5451" s="5" t="s">
        <v>5491</v>
      </c>
      <c r="I5451" s="7">
        <v>1544900</v>
      </c>
      <c r="J5451" s="8">
        <v>3.9899999999999998E-2</v>
      </c>
    </row>
    <row r="5452" spans="1:10" x14ac:dyDescent="0.25">
      <c r="A5452" s="5" t="s">
        <v>5485</v>
      </c>
      <c r="B5452" s="5" t="s">
        <v>7319</v>
      </c>
      <c r="C5452" s="6" t="str">
        <f>_xll.QS.CONTEXT.CREATE("market.5450",A5452,"USD","SOFR")</f>
        <v>QSObject:PricingContext:w1~market.5450:10256</v>
      </c>
      <c r="D5452" s="6" t="str">
        <f>_xll.QS.CONTEXT.ADD.CURVE(C5452,"SOFR",$K$2:$K$7,$L$2:$L$7,,,"Actual360","LogLinear",TRUE)</f>
        <v>QSObject:ContextInput:w1~input.qs_context_add_curve.2359132437744.5451.3.0:35100</v>
      </c>
      <c r="E5452" s="6" t="str">
        <f>_xll.QS.INSTRUMENT.SWAP("swap.5450",H5452,B5452,"USD","SOFR",I5452,J5452,0,"Actual360","Simple","Annual","Annual","Annual")</f>
        <v>QSObject:Swap:w1~swap.5450:10255</v>
      </c>
      <c r="F5452" s="6" t="str">
        <f>_xll.QS.TRADE.CREATE("trade.5450",E5452,A5452,"Receive")</f>
        <v>QSObject:SwapTrade:w1~trade.5450:26604</v>
      </c>
      <c r="G5452" s="3">
        <f>_xll.QS.EVALUATE(C5452,F5452)</f>
        <v>21303.911899697065</v>
      </c>
      <c r="H5452" s="5" t="s">
        <v>5492</v>
      </c>
      <c r="I5452" s="7">
        <v>1545000</v>
      </c>
      <c r="J5452" s="8">
        <v>3.5000000000000003E-2</v>
      </c>
    </row>
    <row r="5453" spans="1:10" x14ac:dyDescent="0.25">
      <c r="A5453" s="5" t="s">
        <v>5486</v>
      </c>
      <c r="B5453" s="5" t="s">
        <v>7320</v>
      </c>
      <c r="C5453" s="6" t="str">
        <f>_xll.QS.CONTEXT.CREATE("market.5451",A5453,"USD","SOFR")</f>
        <v>QSObject:PricingContext:w1~market.5451:10254</v>
      </c>
      <c r="D5453" s="6" t="str">
        <f>_xll.QS.CONTEXT.ADD.CURVE(C5453,"SOFR",$K$2:$K$7,$L$2:$L$7,,,"Actual360","LogLinear",TRUE)</f>
        <v>QSObject:ContextInput:w1~input.qs_context_add_curve.2359132437744.5452.3.0:35099</v>
      </c>
      <c r="E5453" s="6" t="str">
        <f>_xll.QS.INSTRUMENT.SWAP("swap.5451",H5453,B5453,"USD","SOFR",I5453,J5453,0,"Actual360","Simple","Annual","Annual","Annual")</f>
        <v>QSObject:Swap:w1~swap.5451:10253</v>
      </c>
      <c r="F5453" s="6" t="str">
        <f>_xll.QS.TRADE.CREATE("trade.5451",E5453,A5453,"Receive")</f>
        <v>QSObject:SwapTrade:w1~trade.5451:26603</v>
      </c>
      <c r="G5453" s="3">
        <f>_xll.QS.EVALUATE(C5453,F5453)</f>
        <v>21926.751857447991</v>
      </c>
      <c r="H5453" s="5" t="s">
        <v>5493</v>
      </c>
      <c r="I5453" s="7">
        <v>1545100</v>
      </c>
      <c r="J5453" s="8">
        <v>3.5100000000000013E-2</v>
      </c>
    </row>
    <row r="5454" spans="1:10" x14ac:dyDescent="0.25">
      <c r="A5454" s="5" t="s">
        <v>5487</v>
      </c>
      <c r="B5454" s="5" t="s">
        <v>7321</v>
      </c>
      <c r="C5454" s="6" t="str">
        <f>_xll.QS.CONTEXT.CREATE("market.5452",A5454,"USD","SOFR")</f>
        <v>QSObject:PricingContext:w1~market.5452:10252</v>
      </c>
      <c r="D5454" s="6" t="str">
        <f>_xll.QS.CONTEXT.ADD.CURVE(C5454,"SOFR",$K$2:$K$7,$L$2:$L$7,,,"Actual360","LogLinear",TRUE)</f>
        <v>QSObject:ContextInput:w1~input.qs_context_add_curve.2359132437744.5453.3.0:35098</v>
      </c>
      <c r="E5454" s="6" t="str">
        <f>_xll.QS.INSTRUMENT.SWAP("swap.5452",H5454,B5454,"USD","SOFR",I5454,J5454,0,"Actual360","Simple","Annual","Annual","Annual")</f>
        <v>QSObject:Swap:w1~swap.5452:10251</v>
      </c>
      <c r="F5454" s="6" t="str">
        <f>_xll.QS.TRADE.CREATE("trade.5452",E5454,A5454,"Receive")</f>
        <v>QSObject:SwapTrade:w1~trade.5452:26602</v>
      </c>
      <c r="G5454" s="3">
        <f>_xll.QS.EVALUATE(C5454,F5454)</f>
        <v>22499.599000969312</v>
      </c>
      <c r="H5454" s="5" t="s">
        <v>5494</v>
      </c>
      <c r="I5454" s="7">
        <v>1545200</v>
      </c>
      <c r="J5454" s="8">
        <v>3.5200000000000002E-2</v>
      </c>
    </row>
    <row r="5455" spans="1:10" x14ac:dyDescent="0.25">
      <c r="A5455" s="5" t="s">
        <v>5488</v>
      </c>
      <c r="B5455" s="5" t="s">
        <v>7322</v>
      </c>
      <c r="C5455" s="6" t="str">
        <f>_xll.QS.CONTEXT.CREATE("market.5453",A5455,"USD","SOFR")</f>
        <v>QSObject:PricingContext:w1~market.5453:10250</v>
      </c>
      <c r="D5455" s="6" t="str">
        <f>_xll.QS.CONTEXT.ADD.CURVE(C5455,"SOFR",$K$2:$K$7,$L$2:$L$7,,,"Actual360","LogLinear",TRUE)</f>
        <v>QSObject:ContextInput:w1~input.qs_context_add_curve.2359132437744.5454.3.0:35097</v>
      </c>
      <c r="E5455" s="6" t="str">
        <f>_xll.QS.INSTRUMENT.SWAP("swap.5453",H5455,B5455,"USD","SOFR",I5455,J5455,0,"Actual360","Simple","Annual","Annual","Annual")</f>
        <v>QSObject:Swap:w1~swap.5453:10249</v>
      </c>
      <c r="F5455" s="6" t="str">
        <f>_xll.QS.TRADE.CREATE("trade.5453",E5455,A5455,"Receive")</f>
        <v>QSObject:SwapTrade:w1~trade.5453:26601</v>
      </c>
      <c r="G5455" s="3">
        <f>_xll.QS.EVALUATE(C5455,F5455)</f>
        <v>23277.506824466866</v>
      </c>
      <c r="H5455" s="5" t="s">
        <v>5495</v>
      </c>
      <c r="I5455" s="7">
        <v>1545300</v>
      </c>
      <c r="J5455" s="8">
        <v>3.5299999999999998E-2</v>
      </c>
    </row>
    <row r="5456" spans="1:10" x14ac:dyDescent="0.25">
      <c r="A5456" s="5" t="s">
        <v>5489</v>
      </c>
      <c r="B5456" s="5" t="s">
        <v>7323</v>
      </c>
      <c r="C5456" s="6" t="str">
        <f>_xll.QS.CONTEXT.CREATE("market.5454",A5456,"USD","SOFR")</f>
        <v>QSObject:PricingContext:w1~market.5454:10248</v>
      </c>
      <c r="D5456" s="6" t="str">
        <f>_xll.QS.CONTEXT.ADD.CURVE(C5456,"SOFR",$K$2:$K$7,$L$2:$L$7,,,"Actual360","LogLinear",TRUE)</f>
        <v>QSObject:ContextInput:w1~input.qs_context_add_curve.2359132437744.5455.3.0:35096</v>
      </c>
      <c r="E5456" s="6" t="str">
        <f>_xll.QS.INSTRUMENT.SWAP("swap.5454",H5456,B5456,"USD","SOFR",I5456,J5456,0,"Actual360","Simple","Annual","Annual","Annual")</f>
        <v>QSObject:Swap:w1~swap.5454:10247</v>
      </c>
      <c r="F5456" s="6" t="str">
        <f>_xll.QS.TRADE.CREATE("trade.5454",E5456,A5456,"Receive")</f>
        <v>QSObject:SwapTrade:w1~trade.5454:26600</v>
      </c>
      <c r="G5456" s="3">
        <f>_xll.QS.EVALUATE(C5456,F5456)</f>
        <v>24039.378442125206</v>
      </c>
      <c r="H5456" s="5" t="s">
        <v>5496</v>
      </c>
      <c r="I5456" s="7">
        <v>1545400</v>
      </c>
      <c r="J5456" s="8">
        <v>3.5400000000000001E-2</v>
      </c>
    </row>
    <row r="5457" spans="1:10" x14ac:dyDescent="0.25">
      <c r="A5457" s="5" t="s">
        <v>5490</v>
      </c>
      <c r="B5457" s="5" t="s">
        <v>7324</v>
      </c>
      <c r="C5457" s="6" t="str">
        <f>_xll.QS.CONTEXT.CREATE("market.5455",A5457,"USD","SOFR")</f>
        <v>QSObject:PricingContext:w1~market.5455:10246</v>
      </c>
      <c r="D5457" s="6" t="str">
        <f>_xll.QS.CONTEXT.ADD.CURVE(C5457,"SOFR",$K$2:$K$7,$L$2:$L$7,,,"Actual360","LogLinear",TRUE)</f>
        <v>QSObject:ContextInput:w1~input.qs_context_add_curve.2359132437744.5456.3.0:35095</v>
      </c>
      <c r="E5457" s="6" t="str">
        <f>_xll.QS.INSTRUMENT.SWAP("swap.5455",H5457,B5457,"USD","SOFR",I5457,J5457,0,"Actual360","Simple","Annual","Annual","Annual")</f>
        <v>QSObject:Swap:w1~swap.5455:10245</v>
      </c>
      <c r="F5457" s="6" t="str">
        <f>_xll.QS.TRADE.CREATE("trade.5455",E5457,A5457,"Receive")</f>
        <v>QSObject:SwapTrade:w1~trade.5455:26599</v>
      </c>
      <c r="G5457" s="3">
        <f>_xll.QS.EVALUATE(C5457,F5457)</f>
        <v>24866.304364512231</v>
      </c>
      <c r="H5457" s="5" t="s">
        <v>5497</v>
      </c>
      <c r="I5457" s="7">
        <v>1545500</v>
      </c>
      <c r="J5457" s="8">
        <v>3.5499999999999997E-2</v>
      </c>
    </row>
    <row r="5458" spans="1:10" x14ac:dyDescent="0.25">
      <c r="A5458" s="5" t="s">
        <v>5491</v>
      </c>
      <c r="B5458" s="5" t="s">
        <v>7325</v>
      </c>
      <c r="C5458" s="6" t="str">
        <f>_xll.QS.CONTEXT.CREATE("market.5456",A5458,"USD","SOFR")</f>
        <v>QSObject:PricingContext:w1~market.5456:10244</v>
      </c>
      <c r="D5458" s="6" t="str">
        <f>_xll.QS.CONTEXT.ADD.CURVE(C5458,"SOFR",$K$2:$K$7,$L$2:$L$7,,,"Actual360","LogLinear",TRUE)</f>
        <v>QSObject:ContextInput:w1~input.qs_context_add_curve.2359132437744.5457.3.0:35094</v>
      </c>
      <c r="E5458" s="6" t="str">
        <f>_xll.QS.INSTRUMENT.SWAP("swap.5456",H5458,B5458,"USD","SOFR",I5458,J5458,0,"Actual360","Simple","Annual","Annual","Annual")</f>
        <v>QSObject:Swap:w1~swap.5456:10243</v>
      </c>
      <c r="F5458" s="6" t="str">
        <f>_xll.QS.TRADE.CREATE("trade.5456",E5458,A5458,"Receive")</f>
        <v>QSObject:SwapTrade:w1~trade.5456:26598</v>
      </c>
      <c r="G5458" s="3">
        <f>_xll.QS.EVALUATE(C5458,F5458)</f>
        <v>25648.025820135626</v>
      </c>
      <c r="H5458" s="5" t="s">
        <v>5498</v>
      </c>
      <c r="I5458" s="7">
        <v>1545600</v>
      </c>
      <c r="J5458" s="8">
        <v>3.5600000000000007E-2</v>
      </c>
    </row>
    <row r="5459" spans="1:10" x14ac:dyDescent="0.25">
      <c r="A5459" s="5" t="s">
        <v>5492</v>
      </c>
      <c r="B5459" s="5" t="s">
        <v>7326</v>
      </c>
      <c r="C5459" s="6" t="str">
        <f>_xll.QS.CONTEXT.CREATE("market.5457",A5459,"USD","SOFR")</f>
        <v>QSObject:PricingContext:w1~market.5457:10242</v>
      </c>
      <c r="D5459" s="6" t="str">
        <f>_xll.QS.CONTEXT.ADD.CURVE(C5459,"SOFR",$K$2:$K$7,$L$2:$L$7,,,"Actual360","LogLinear",TRUE)</f>
        <v>QSObject:ContextInput:w1~input.qs_context_add_curve.2359132437744.5458.3.0:35093</v>
      </c>
      <c r="E5459" s="6" t="str">
        <f>_xll.QS.INSTRUMENT.SWAP("swap.5457",H5459,B5459,"USD","SOFR",I5459,J5459,0,"Actual360","Simple","Annual","Annual","Annual")</f>
        <v>QSObject:Swap:w1~swap.5457:10241</v>
      </c>
      <c r="F5459" s="6" t="str">
        <f>_xll.QS.TRADE.CREATE("trade.5457",E5459,A5459,"Receive")</f>
        <v>QSObject:SwapTrade:w1~trade.5457:26597</v>
      </c>
      <c r="G5459" s="3">
        <f>_xll.QS.EVALUATE(C5459,F5459)</f>
        <v>26303.044215356131</v>
      </c>
      <c r="H5459" s="5" t="s">
        <v>5499</v>
      </c>
      <c r="I5459" s="7">
        <v>1545700</v>
      </c>
      <c r="J5459" s="8">
        <v>3.5700000000000003E-2</v>
      </c>
    </row>
    <row r="5460" spans="1:10" x14ac:dyDescent="0.25">
      <c r="A5460" s="5" t="s">
        <v>5493</v>
      </c>
      <c r="B5460" s="5" t="s">
        <v>7327</v>
      </c>
      <c r="C5460" s="6" t="str">
        <f>_xll.QS.CONTEXT.CREATE("market.5458",A5460,"USD","SOFR")</f>
        <v>QSObject:PricingContext:w1~market.5458:10240</v>
      </c>
      <c r="D5460" s="6" t="str">
        <f>_xll.QS.CONTEXT.ADD.CURVE(C5460,"SOFR",$K$2:$K$7,$L$2:$L$7,,,"Actual360","LogLinear",TRUE)</f>
        <v>QSObject:ContextInput:w1~input.qs_context_add_curve.2359132437744.5459.3.0:35092</v>
      </c>
      <c r="E5460" s="6" t="str">
        <f>_xll.QS.INSTRUMENT.SWAP("swap.5458",H5460,B5460,"USD","SOFR",I5460,J5460,0,"Actual360","Simple","Annual","Annual","Annual")</f>
        <v>QSObject:Swap:w1~swap.5458:10239</v>
      </c>
      <c r="F5460" s="6" t="str">
        <f>_xll.QS.TRADE.CREATE("trade.5458",E5460,A5460,"Receive")</f>
        <v>QSObject:SwapTrade:w1~trade.5458:26596</v>
      </c>
      <c r="G5460" s="3">
        <f>_xll.QS.EVALUATE(C5460,F5460)</f>
        <v>26920.612494954243</v>
      </c>
      <c r="H5460" s="5" t="s">
        <v>5500</v>
      </c>
      <c r="I5460" s="7">
        <v>1545800</v>
      </c>
      <c r="J5460" s="8">
        <v>3.5800000000000012E-2</v>
      </c>
    </row>
    <row r="5461" spans="1:10" x14ac:dyDescent="0.25">
      <c r="A5461" s="5" t="s">
        <v>5494</v>
      </c>
      <c r="B5461" s="5" t="s">
        <v>7328</v>
      </c>
      <c r="C5461" s="6" t="str">
        <f>_xll.QS.CONTEXT.CREATE("market.5459",A5461,"USD","SOFR")</f>
        <v>QSObject:PricingContext:w1~market.5459:10238</v>
      </c>
      <c r="D5461" s="6" t="str">
        <f>_xll.QS.CONTEXT.ADD.CURVE(C5461,"SOFR",$K$2:$K$7,$L$2:$L$7,,,"Actual360","LogLinear",TRUE)</f>
        <v>QSObject:ContextInput:w1~input.qs_context_add_curve.2359132437744.5460.3.0:35091</v>
      </c>
      <c r="E5461" s="6" t="str">
        <f>_xll.QS.INSTRUMENT.SWAP("swap.5459",H5461,B5461,"USD","SOFR",I5461,J5461,0,"Actual360","Simple","Annual","Annual","Annual")</f>
        <v>QSObject:Swap:w1~swap.5459:10237</v>
      </c>
      <c r="F5461" s="6" t="str">
        <f>_xll.QS.TRADE.CREATE("trade.5459",E5461,A5461,"Receive")</f>
        <v>QSObject:SwapTrade:w1~trade.5459:26595</v>
      </c>
      <c r="G5461" s="3">
        <f>_xll.QS.EVALUATE(C5461,F5461)</f>
        <v>27501.777255152134</v>
      </c>
      <c r="H5461" s="5" t="s">
        <v>5501</v>
      </c>
      <c r="I5461" s="7">
        <v>1545900</v>
      </c>
      <c r="J5461" s="8">
        <v>3.5900000000000001E-2</v>
      </c>
    </row>
    <row r="5462" spans="1:10" x14ac:dyDescent="0.25">
      <c r="A5462" s="5" t="s">
        <v>5495</v>
      </c>
      <c r="B5462" s="5" t="s">
        <v>7329</v>
      </c>
      <c r="C5462" s="6" t="str">
        <f>_xll.QS.CONTEXT.CREATE("market.5460",A5462,"USD","SOFR")</f>
        <v>QSObject:PricingContext:w1~market.5460:10236</v>
      </c>
      <c r="D5462" s="6" t="str">
        <f>_xll.QS.CONTEXT.ADD.CURVE(C5462,"SOFR",$K$2:$K$7,$L$2:$L$7,,,"Actual360","LogLinear",TRUE)</f>
        <v>QSObject:ContextInput:w1~input.qs_context_add_curve.2359132437744.5461.3.0:35090</v>
      </c>
      <c r="E5462" s="6" t="str">
        <f>_xll.QS.INSTRUMENT.SWAP("swap.5460",H5462,B5462,"USD","SOFR",I5462,J5462,0,"Actual360","Simple","Annual","Annual","Annual")</f>
        <v>QSObject:Swap:w1~swap.5460:10235</v>
      </c>
      <c r="F5462" s="6" t="str">
        <f>_xll.QS.TRADE.CREATE("trade.5460",E5462,A5462,"Receive")</f>
        <v>QSObject:SwapTrade:w1~trade.5460:26594</v>
      </c>
      <c r="G5462" s="3">
        <f>_xll.QS.EVALUATE(C5462,F5462)</f>
        <v>28280.843143292645</v>
      </c>
      <c r="H5462" s="5" t="s">
        <v>5502</v>
      </c>
      <c r="I5462" s="7">
        <v>1546000</v>
      </c>
      <c r="J5462" s="8">
        <v>3.5999999999999997E-2</v>
      </c>
    </row>
    <row r="5463" spans="1:10" x14ac:dyDescent="0.25">
      <c r="A5463" s="5" t="s">
        <v>5496</v>
      </c>
      <c r="B5463" s="5" t="s">
        <v>7330</v>
      </c>
      <c r="C5463" s="6" t="str">
        <f>_xll.QS.CONTEXT.CREATE("market.5461",A5463,"USD","SOFR")</f>
        <v>QSObject:PricingContext:w1~market.5461:10234</v>
      </c>
      <c r="D5463" s="6" t="str">
        <f>_xll.QS.CONTEXT.ADD.CURVE(C5463,"SOFR",$K$2:$K$7,$L$2:$L$7,,,"Actual360","LogLinear",TRUE)</f>
        <v>QSObject:ContextInput:w1~input.qs_context_add_curve.2359132437744.5462.3.0:35089</v>
      </c>
      <c r="E5463" s="6" t="str">
        <f>_xll.QS.INSTRUMENT.SWAP("swap.5461",H5463,B5463,"USD","SOFR",I5463,J5463,0,"Actual360","Simple","Annual","Annual","Annual")</f>
        <v>QSObject:Swap:w1~swap.5461:10233</v>
      </c>
      <c r="F5463" s="6" t="str">
        <f>_xll.QS.TRADE.CREATE("trade.5461",E5463,A5463,"Receive")</f>
        <v>QSObject:SwapTrade:w1~trade.5461:26593</v>
      </c>
      <c r="G5463" s="3">
        <f>_xll.QS.EVALUATE(C5463,F5463)</f>
        <v>29040.961075200517</v>
      </c>
      <c r="H5463" s="5" t="s">
        <v>5503</v>
      </c>
      <c r="I5463" s="7">
        <v>1546100</v>
      </c>
      <c r="J5463" s="8">
        <v>3.61E-2</v>
      </c>
    </row>
    <row r="5464" spans="1:10" x14ac:dyDescent="0.25">
      <c r="A5464" s="5" t="s">
        <v>5497</v>
      </c>
      <c r="B5464" s="5" t="s">
        <v>7331</v>
      </c>
      <c r="C5464" s="6" t="str">
        <f>_xll.QS.CONTEXT.CREATE("market.5462",A5464,"USD","SOFR")</f>
        <v>QSObject:PricingContext:w1~market.5462:10232</v>
      </c>
      <c r="D5464" s="6" t="str">
        <f>_xll.QS.CONTEXT.ADD.CURVE(C5464,"SOFR",$K$2:$K$7,$L$2:$L$7,,,"Actual360","LogLinear",TRUE)</f>
        <v>QSObject:ContextInput:w1~input.qs_context_add_curve.2359132437744.5463.3.0:35088</v>
      </c>
      <c r="E5464" s="6" t="str">
        <f>_xll.QS.INSTRUMENT.SWAP("swap.5462",H5464,B5464,"USD","SOFR",I5464,J5464,0,"Actual360","Simple","Annual","Annual","Annual")</f>
        <v>QSObject:Swap:w1~swap.5462:10231</v>
      </c>
      <c r="F5464" s="6" t="str">
        <f>_xll.QS.TRADE.CREATE("trade.5462",E5464,A5464,"Receive")</f>
        <v>QSObject:SwapTrade:w1~trade.5462:26592</v>
      </c>
      <c r="G5464" s="3">
        <f>_xll.QS.EVALUATE(C5464,F5464)</f>
        <v>29868.657680310062</v>
      </c>
      <c r="H5464" s="5" t="s">
        <v>5504</v>
      </c>
      <c r="I5464" s="7">
        <v>1546200</v>
      </c>
      <c r="J5464" s="8">
        <v>3.6200000000000003E-2</v>
      </c>
    </row>
    <row r="5465" spans="1:10" x14ac:dyDescent="0.25">
      <c r="A5465" s="5" t="s">
        <v>5498</v>
      </c>
      <c r="B5465" s="5" t="s">
        <v>7332</v>
      </c>
      <c r="C5465" s="6" t="str">
        <f>_xll.QS.CONTEXT.CREATE("market.5463",A5465,"USD","SOFR")</f>
        <v>QSObject:PricingContext:w1~market.5463:10230</v>
      </c>
      <c r="D5465" s="6" t="str">
        <f>_xll.QS.CONTEXT.ADD.CURVE(C5465,"SOFR",$K$2:$K$7,$L$2:$L$7,,,"Actual360","LogLinear",TRUE)</f>
        <v>QSObject:ContextInput:w1~input.qs_context_add_curve.2359132437744.5464.3.0:35087</v>
      </c>
      <c r="E5465" s="6" t="str">
        <f>_xll.QS.INSTRUMENT.SWAP("swap.5463",H5465,B5465,"USD","SOFR",I5465,J5465,0,"Actual360","Simple","Annual","Annual","Annual")</f>
        <v>QSObject:Swap:w1~swap.5463:10229</v>
      </c>
      <c r="F5465" s="6" t="str">
        <f>_xll.QS.TRADE.CREATE("trade.5463",E5465,A5465,"Receive")</f>
        <v>QSObject:SwapTrade:w1~trade.5463:26591</v>
      </c>
      <c r="G5465" s="3">
        <f>_xll.QS.EVALUATE(C5465,F5465)</f>
        <v>30650.988325653751</v>
      </c>
      <c r="H5465" s="5" t="s">
        <v>5505</v>
      </c>
      <c r="I5465" s="7">
        <v>1546300</v>
      </c>
      <c r="J5465" s="8">
        <v>3.6300000000000013E-2</v>
      </c>
    </row>
    <row r="5466" spans="1:10" x14ac:dyDescent="0.25">
      <c r="A5466" s="5" t="s">
        <v>5499</v>
      </c>
      <c r="B5466" s="5" t="s">
        <v>7333</v>
      </c>
      <c r="C5466" s="6" t="str">
        <f>_xll.QS.CONTEXT.CREATE("market.5464",A5466,"USD","SOFR")</f>
        <v>QSObject:PricingContext:w1~market.5464:10228</v>
      </c>
      <c r="D5466" s="6" t="str">
        <f>_xll.QS.CONTEXT.ADD.CURVE(C5466,"SOFR",$K$2:$K$7,$L$2:$L$7,,,"Actual360","LogLinear",TRUE)</f>
        <v>QSObject:ContextInput:w1~input.qs_context_add_curve.2359132437744.5465.3.0:35086</v>
      </c>
      <c r="E5466" s="6" t="str">
        <f>_xll.QS.INSTRUMENT.SWAP("swap.5464",H5466,B5466,"USD","SOFR",I5466,J5466,0,"Actual360","Simple","Annual","Annual","Annual")</f>
        <v>QSObject:Swap:w1~swap.5464:10227</v>
      </c>
      <c r="F5466" s="6" t="str">
        <f>_xll.QS.TRADE.CREATE("trade.5464",E5466,A5466,"Receive")</f>
        <v>QSObject:SwapTrade:w1~trade.5464:26590</v>
      </c>
      <c r="G5466" s="3">
        <f>_xll.QS.EVALUATE(C5466,F5466)</f>
        <v>31244.855540477874</v>
      </c>
      <c r="H5466" s="5" t="s">
        <v>5506</v>
      </c>
      <c r="I5466" s="7">
        <v>1546400</v>
      </c>
      <c r="J5466" s="8">
        <v>3.6400000000000002E-2</v>
      </c>
    </row>
    <row r="5467" spans="1:10" x14ac:dyDescent="0.25">
      <c r="A5467" s="5" t="s">
        <v>5500</v>
      </c>
      <c r="B5467" s="5" t="s">
        <v>7334</v>
      </c>
      <c r="C5467" s="6" t="str">
        <f>_xll.QS.CONTEXT.CREATE("market.5465",A5467,"USD","SOFR")</f>
        <v>QSObject:PricingContext:w1~market.5465:10226</v>
      </c>
      <c r="D5467" s="6" t="str">
        <f>_xll.QS.CONTEXT.ADD.CURVE(C5467,"SOFR",$K$2:$K$7,$L$2:$L$7,,,"Actual360","LogLinear",TRUE)</f>
        <v>QSObject:ContextInput:w1~input.qs_context_add_curve.2359132437744.5466.3.0:35085</v>
      </c>
      <c r="E5467" s="6" t="str">
        <f>_xll.QS.INSTRUMENT.SWAP("swap.5465",H5467,B5467,"USD","SOFR",I5467,J5467,0,"Actual360","Simple","Annual","Annual","Annual")</f>
        <v>QSObject:Swap:w1~swap.5465:10225</v>
      </c>
      <c r="F5467" s="6" t="str">
        <f>_xll.QS.TRADE.CREATE("trade.5465",E5467,A5467,"Receive")</f>
        <v>QSObject:SwapTrade:w1~trade.5465:26589</v>
      </c>
      <c r="G5467" s="3">
        <f>_xll.QS.EVALUATE(C5467,F5467)</f>
        <v>31789.876927161291</v>
      </c>
      <c r="H5467" s="5" t="s">
        <v>5507</v>
      </c>
      <c r="I5467" s="7">
        <v>1546500</v>
      </c>
      <c r="J5467" s="8">
        <v>3.6499999999999998E-2</v>
      </c>
    </row>
    <row r="5468" spans="1:10" x14ac:dyDescent="0.25">
      <c r="A5468" s="5" t="s">
        <v>5501</v>
      </c>
      <c r="B5468" s="5" t="s">
        <v>7335</v>
      </c>
      <c r="C5468" s="6" t="str">
        <f>_xll.QS.CONTEXT.CREATE("market.5466",A5468,"USD","SOFR")</f>
        <v>QSObject:PricingContext:w1~market.5466:10224</v>
      </c>
      <c r="D5468" s="6" t="str">
        <f>_xll.QS.CONTEXT.ADD.CURVE(C5468,"SOFR",$K$2:$K$7,$L$2:$L$7,,,"Actual360","LogLinear",TRUE)</f>
        <v>QSObject:ContextInput:w1~input.qs_context_add_curve.2359132437744.5467.3.0:35084</v>
      </c>
      <c r="E5468" s="6" t="str">
        <f>_xll.QS.INSTRUMENT.SWAP("swap.5466",H5468,B5468,"USD","SOFR",I5468,J5468,0,"Actual360","Simple","Annual","Annual","Annual")</f>
        <v>QSObject:Swap:w1~swap.5466:10223</v>
      </c>
      <c r="F5468" s="6" t="str">
        <f>_xll.QS.TRADE.CREATE("trade.5466",E5468,A5468,"Receive")</f>
        <v>QSObject:SwapTrade:w1~trade.5466:26588</v>
      </c>
      <c r="G5468" s="3">
        <f>_xll.QS.EVALUATE(C5468,F5468)</f>
        <v>32508.090793814634</v>
      </c>
      <c r="H5468" s="5" t="s">
        <v>5508</v>
      </c>
      <c r="I5468" s="7">
        <v>1546600</v>
      </c>
      <c r="J5468" s="8">
        <v>3.6600000000000001E-2</v>
      </c>
    </row>
    <row r="5469" spans="1:10" x14ac:dyDescent="0.25">
      <c r="A5469" s="5" t="s">
        <v>5502</v>
      </c>
      <c r="B5469" s="5" t="s">
        <v>7336</v>
      </c>
      <c r="C5469" s="6" t="str">
        <f>_xll.QS.CONTEXT.CREATE("market.5467",A5469,"USD","SOFR")</f>
        <v>QSObject:PricingContext:w1~market.5467:10222</v>
      </c>
      <c r="D5469" s="6" t="str">
        <f>_xll.QS.CONTEXT.ADD.CURVE(C5469,"SOFR",$K$2:$K$7,$L$2:$L$7,,,"Actual360","LogLinear",TRUE)</f>
        <v>QSObject:ContextInput:w1~input.qs_context_add_curve.2359132437744.5468.3.0:35083</v>
      </c>
      <c r="E5469" s="6" t="str">
        <f>_xll.QS.INSTRUMENT.SWAP("swap.5467",H5469,B5469,"USD","SOFR",I5469,J5469,0,"Actual360","Simple","Annual","Annual","Annual")</f>
        <v>QSObject:Swap:w1~swap.5467:10221</v>
      </c>
      <c r="F5469" s="6" t="str">
        <f>_xll.QS.TRADE.CREATE("trade.5467",E5469,A5469,"Receive")</f>
        <v>QSObject:SwapTrade:w1~trade.5467:26587</v>
      </c>
      <c r="G5469" s="3">
        <f>_xll.QS.EVALUATE(C5469,F5469)</f>
        <v>33288.81804470317</v>
      </c>
      <c r="H5469" s="5" t="s">
        <v>5509</v>
      </c>
      <c r="I5469" s="7">
        <v>1546700</v>
      </c>
      <c r="J5469" s="8">
        <v>3.6700000000000003E-2</v>
      </c>
    </row>
    <row r="5470" spans="1:10" x14ac:dyDescent="0.25">
      <c r="A5470" s="5" t="s">
        <v>5503</v>
      </c>
      <c r="B5470" s="5" t="s">
        <v>7337</v>
      </c>
      <c r="C5470" s="6" t="str">
        <f>_xll.QS.CONTEXT.CREATE("market.5468",A5470,"USD","SOFR")</f>
        <v>QSObject:PricingContext:w1~market.5468:10220</v>
      </c>
      <c r="D5470" s="6" t="str">
        <f>_xll.QS.CONTEXT.ADD.CURVE(C5470,"SOFR",$K$2:$K$7,$L$2:$L$7,,,"Actual360","LogLinear",TRUE)</f>
        <v>QSObject:ContextInput:w1~input.qs_context_add_curve.2359132437744.5469.3.0:35082</v>
      </c>
      <c r="E5470" s="6" t="str">
        <f>_xll.QS.INSTRUMENT.SWAP("swap.5468",H5470,B5470,"USD","SOFR",I5470,J5470,0,"Actual360","Simple","Annual","Annual","Annual")</f>
        <v>QSObject:Swap:w1~swap.5468:10219</v>
      </c>
      <c r="F5470" s="6" t="str">
        <f>_xll.QS.TRADE.CREATE("trade.5468",E5470,A5470,"Receive")</f>
        <v>QSObject:SwapTrade:w1~trade.5468:26586</v>
      </c>
      <c r="G5470" s="3">
        <f>_xll.QS.EVALUATE(C5470,F5470)</f>
        <v>34218.469974821994</v>
      </c>
      <c r="H5470" s="5" t="s">
        <v>5510</v>
      </c>
      <c r="I5470" s="7">
        <v>1546800</v>
      </c>
      <c r="J5470" s="8">
        <v>3.6800000000000013E-2</v>
      </c>
    </row>
    <row r="5471" spans="1:10" x14ac:dyDescent="0.25">
      <c r="A5471" s="5" t="s">
        <v>5504</v>
      </c>
      <c r="B5471" s="5" t="s">
        <v>7338</v>
      </c>
      <c r="C5471" s="6" t="str">
        <f>_xll.QS.CONTEXT.CREATE("market.5469",A5471,"USD","SOFR")</f>
        <v>QSObject:PricingContext:w1~market.5469:10218</v>
      </c>
      <c r="D5471" s="6" t="str">
        <f>_xll.QS.CONTEXT.ADD.CURVE(C5471,"SOFR",$K$2:$K$7,$L$2:$L$7,,,"Actual360","LogLinear",TRUE)</f>
        <v>QSObject:ContextInput:w1~input.qs_context_add_curve.2359132437744.5470.3.0:35081</v>
      </c>
      <c r="E5471" s="6" t="str">
        <f>_xll.QS.INSTRUMENT.SWAP("swap.5469",H5471,B5471,"USD","SOFR",I5471,J5471,0,"Actual360","Simple","Annual","Annual","Annual")</f>
        <v>QSObject:Swap:w1~swap.5469:10217</v>
      </c>
      <c r="F5471" s="6" t="str">
        <f>_xll.QS.TRADE.CREATE("trade.5469",E5471,A5471,"Receive")</f>
        <v>QSObject:SwapTrade:w1~trade.5469:26585</v>
      </c>
      <c r="G5471" s="3">
        <f>_xll.QS.EVALUATE(C5471,F5471)</f>
        <v>34947.54892358918</v>
      </c>
      <c r="H5471" s="5" t="s">
        <v>5511</v>
      </c>
      <c r="I5471" s="7">
        <v>1546900</v>
      </c>
      <c r="J5471" s="8">
        <v>3.6900000000000002E-2</v>
      </c>
    </row>
    <row r="5472" spans="1:10" x14ac:dyDescent="0.25">
      <c r="A5472" s="5" t="s">
        <v>5505</v>
      </c>
      <c r="B5472" s="5" t="s">
        <v>7339</v>
      </c>
      <c r="C5472" s="6" t="str">
        <f>_xll.QS.CONTEXT.CREATE("market.5470",A5472,"USD","SOFR")</f>
        <v>QSObject:PricingContext:w1~market.5470:10216</v>
      </c>
      <c r="D5472" s="6" t="str">
        <f>_xll.QS.CONTEXT.ADD.CURVE(C5472,"SOFR",$K$2:$K$7,$L$2:$L$7,,,"Actual360","LogLinear",TRUE)</f>
        <v>QSObject:ContextInput:w1~input.qs_context_add_curve.2359132437744.5471.3.0:35080</v>
      </c>
      <c r="E5472" s="6" t="str">
        <f>_xll.QS.INSTRUMENT.SWAP("swap.5470",H5472,B5472,"USD","SOFR",I5472,J5472,0,"Actual360","Simple","Annual","Annual","Annual")</f>
        <v>QSObject:Swap:w1~swap.5470:10215</v>
      </c>
      <c r="F5472" s="6" t="str">
        <f>_xll.QS.TRADE.CREATE("trade.5470",E5472,A5472,"Receive")</f>
        <v>QSObject:SwapTrade:w1~trade.5470:26584</v>
      </c>
      <c r="G5472" s="3">
        <f>_xll.QS.EVALUATE(C5472,F5472)</f>
        <v>35661.066170505655</v>
      </c>
      <c r="H5472" s="5" t="s">
        <v>5512</v>
      </c>
      <c r="I5472" s="7">
        <v>1547000</v>
      </c>
      <c r="J5472" s="8">
        <v>3.7000000000000012E-2</v>
      </c>
    </row>
    <row r="5473" spans="1:10" x14ac:dyDescent="0.25">
      <c r="A5473" s="5" t="s">
        <v>5506</v>
      </c>
      <c r="B5473" s="5" t="s">
        <v>7340</v>
      </c>
      <c r="C5473" s="6" t="str">
        <f>_xll.QS.CONTEXT.CREATE("market.5471",A5473,"USD","SOFR")</f>
        <v>QSObject:PricingContext:w1~market.5471:10214</v>
      </c>
      <c r="D5473" s="6" t="str">
        <f>_xll.QS.CONTEXT.ADD.CURVE(C5473,"SOFR",$K$2:$K$7,$L$2:$L$7,,,"Actual360","LogLinear",TRUE)</f>
        <v>QSObject:ContextInput:w1~input.qs_context_add_curve.2359132437744.5472.3.0:35079</v>
      </c>
      <c r="E5473" s="6" t="str">
        <f>_xll.QS.INSTRUMENT.SWAP("swap.5471",H5473,B5473,"USD","SOFR",I5473,J5473,0,"Actual360","Simple","Annual","Annual","Annual")</f>
        <v>QSObject:Swap:w1~swap.5471:10213</v>
      </c>
      <c r="F5473" s="6" t="str">
        <f>_xll.QS.TRADE.CREATE("trade.5471",E5473,A5473,"Receive")</f>
        <v>QSObject:SwapTrade:w1~trade.5471:26583</v>
      </c>
      <c r="G5473" s="3">
        <f>_xll.QS.EVALUATE(C5473,F5473)</f>
        <v>36315.649834617652</v>
      </c>
      <c r="H5473" s="5" t="s">
        <v>5513</v>
      </c>
      <c r="I5473" s="7">
        <v>1547100</v>
      </c>
      <c r="J5473" s="8">
        <v>3.7100000000000001E-2</v>
      </c>
    </row>
    <row r="5474" spans="1:10" x14ac:dyDescent="0.25">
      <c r="A5474" s="5" t="s">
        <v>5507</v>
      </c>
      <c r="B5474" s="5" t="s">
        <v>7341</v>
      </c>
      <c r="C5474" s="6" t="str">
        <f>_xll.QS.CONTEXT.CREATE("market.5472",A5474,"USD","SOFR")</f>
        <v>QSObject:PricingContext:w1~market.5472:10212</v>
      </c>
      <c r="D5474" s="6" t="str">
        <f>_xll.QS.CONTEXT.ADD.CURVE(C5474,"SOFR",$K$2:$K$7,$L$2:$L$7,,,"Actual360","LogLinear",TRUE)</f>
        <v>QSObject:ContextInput:w1~input.qs_context_add_curve.2359132437744.5473.3.0:35078</v>
      </c>
      <c r="E5474" s="6" t="str">
        <f>_xll.QS.INSTRUMENT.SWAP("swap.5472",H5474,B5474,"USD","SOFR",I5474,J5474,0,"Actual360","Simple","Annual","Annual","Annual")</f>
        <v>QSObject:Swap:w1~swap.5472:10211</v>
      </c>
      <c r="F5474" s="6" t="str">
        <f>_xll.QS.TRADE.CREATE("trade.5472",E5474,A5474,"Receive")</f>
        <v>QSObject:SwapTrade:w1~trade.5472:26582</v>
      </c>
      <c r="G5474" s="3">
        <f>_xll.QS.EVALUATE(C5474,F5474)</f>
        <v>36800.01863540084</v>
      </c>
      <c r="H5474" s="5" t="s">
        <v>5514</v>
      </c>
      <c r="I5474" s="7">
        <v>1547200</v>
      </c>
      <c r="J5474" s="8">
        <v>3.7199999999999997E-2</v>
      </c>
    </row>
    <row r="5475" spans="1:10" x14ac:dyDescent="0.25">
      <c r="A5475" s="5" t="s">
        <v>5508</v>
      </c>
      <c r="B5475" s="5" t="s">
        <v>7342</v>
      </c>
      <c r="C5475" s="6" t="str">
        <f>_xll.QS.CONTEXT.CREATE("market.5473",A5475,"USD","SOFR")</f>
        <v>QSObject:PricingContext:w1~market.5473:10210</v>
      </c>
      <c r="D5475" s="6" t="str">
        <f>_xll.QS.CONTEXT.ADD.CURVE(C5475,"SOFR",$K$2:$K$7,$L$2:$L$7,,,"Actual360","LogLinear",TRUE)</f>
        <v>QSObject:ContextInput:w1~input.qs_context_add_curve.2359132437744.5474.3.0:35077</v>
      </c>
      <c r="E5475" s="6" t="str">
        <f>_xll.QS.INSTRUMENT.SWAP("swap.5473",H5475,B5475,"USD","SOFR",I5475,J5475,0,"Actual360","Simple","Annual","Annual","Annual")</f>
        <v>QSObject:Swap:w1~swap.5473:10209</v>
      </c>
      <c r="F5475" s="6" t="str">
        <f>_xll.QS.TRADE.CREATE("trade.5473",E5475,A5475,"Receive")</f>
        <v>QSObject:SwapTrade:w1~trade.5473:26581</v>
      </c>
      <c r="G5475" s="3">
        <f>_xll.QS.EVALUATE(C5475,F5475)</f>
        <v>37519.303142257988</v>
      </c>
      <c r="H5475" s="5" t="s">
        <v>5515</v>
      </c>
      <c r="I5475" s="7">
        <v>1547300</v>
      </c>
      <c r="J5475" s="8">
        <v>3.73E-2</v>
      </c>
    </row>
    <row r="5476" spans="1:10" x14ac:dyDescent="0.25">
      <c r="A5476" s="5" t="s">
        <v>5509</v>
      </c>
      <c r="B5476" s="5" t="s">
        <v>7343</v>
      </c>
      <c r="C5476" s="6" t="str">
        <f>_xll.QS.CONTEXT.CREATE("market.5474",A5476,"USD","SOFR")</f>
        <v>QSObject:PricingContext:w1~market.5474:10208</v>
      </c>
      <c r="D5476" s="6" t="str">
        <f>_xll.QS.CONTEXT.ADD.CURVE(C5476,"SOFR",$K$2:$K$7,$L$2:$L$7,,,"Actual360","LogLinear",TRUE)</f>
        <v>QSObject:ContextInput:w1~input.qs_context_add_curve.2359132437744.5475.3.0:35076</v>
      </c>
      <c r="E5476" s="6" t="str">
        <f>_xll.QS.INSTRUMENT.SWAP("swap.5474",H5476,B5476,"USD","SOFR",I5476,J5476,0,"Actual360","Simple","Annual","Annual","Annual")</f>
        <v>QSObject:Swap:w1~swap.5474:10207</v>
      </c>
      <c r="F5476" s="6" t="str">
        <f>_xll.QS.TRADE.CREATE("trade.5474",E5476,A5476,"Receive")</f>
        <v>QSObject:SwapTrade:w1~trade.5474:26580</v>
      </c>
      <c r="G5476" s="3">
        <f>_xll.QS.EVALUATE(C5476,F5476)</f>
        <v>38301.20789480846</v>
      </c>
      <c r="H5476" s="5" t="s">
        <v>5516</v>
      </c>
      <c r="I5476" s="7">
        <v>1547400</v>
      </c>
      <c r="J5476" s="8">
        <v>3.7400000000000003E-2</v>
      </c>
    </row>
    <row r="5477" spans="1:10" x14ac:dyDescent="0.25">
      <c r="A5477" s="5" t="s">
        <v>5510</v>
      </c>
      <c r="B5477" s="5" t="s">
        <v>7344</v>
      </c>
      <c r="C5477" s="6" t="str">
        <f>_xll.QS.CONTEXT.CREATE("market.5475",A5477,"USD","SOFR")</f>
        <v>QSObject:PricingContext:w1~market.5475:10206</v>
      </c>
      <c r="D5477" s="6" t="str">
        <f>_xll.QS.CONTEXT.ADD.CURVE(C5477,"SOFR",$K$2:$K$7,$L$2:$L$7,,,"Actual360","LogLinear",TRUE)</f>
        <v>QSObject:ContextInput:w1~input.qs_context_add_curve.2359132437744.5476.3.0:35075</v>
      </c>
      <c r="E5477" s="6" t="str">
        <f>_xll.QS.INSTRUMENT.SWAP("swap.5475",H5477,B5477,"USD","SOFR",I5477,J5477,0,"Actual360","Simple","Annual","Annual","Annual")</f>
        <v>QSObject:Swap:w1~swap.5475:10205</v>
      </c>
      <c r="F5477" s="6" t="str">
        <f>_xll.QS.TRADE.CREATE("trade.5475",E5477,A5477,"Receive")</f>
        <v>QSObject:SwapTrade:w1~trade.5475:26579</v>
      </c>
      <c r="G5477" s="3">
        <f>_xll.QS.EVALUATE(C5477,F5477)</f>
        <v>39228.042799471135</v>
      </c>
      <c r="H5477" s="5" t="s">
        <v>5517</v>
      </c>
      <c r="I5477" s="7">
        <v>1547500</v>
      </c>
      <c r="J5477" s="8">
        <v>3.7500000000000012E-2</v>
      </c>
    </row>
    <row r="5478" spans="1:10" x14ac:dyDescent="0.25">
      <c r="A5478" s="5" t="s">
        <v>5511</v>
      </c>
      <c r="B5478" s="5" t="s">
        <v>7345</v>
      </c>
      <c r="C5478" s="6" t="str">
        <f>_xll.QS.CONTEXT.CREATE("market.5476",A5478,"USD","SOFR")</f>
        <v>QSObject:PricingContext:w1~market.5476:10204</v>
      </c>
      <c r="D5478" s="6" t="str">
        <f>_xll.QS.CONTEXT.ADD.CURVE(C5478,"SOFR",$K$2:$K$7,$L$2:$L$7,,,"Actual360","LogLinear",TRUE)</f>
        <v>QSObject:ContextInput:w1~input.qs_context_add_curve.2359132437744.5477.3.0:35074</v>
      </c>
      <c r="E5478" s="6" t="str">
        <f>_xll.QS.INSTRUMENT.SWAP("swap.5476",H5478,B5478,"USD","SOFR",I5478,J5478,0,"Actual360","Simple","Annual","Annual","Annual")</f>
        <v>QSObject:Swap:w1~swap.5476:10203</v>
      </c>
      <c r="F5478" s="6" t="str">
        <f>_xll.QS.TRADE.CREATE("trade.5476",E5478,A5478,"Receive")</f>
        <v>QSObject:SwapTrade:w1~trade.5476:26578</v>
      </c>
      <c r="G5478" s="3">
        <f>_xll.QS.EVALUATE(C5478,F5478)</f>
        <v>39943.936041114808</v>
      </c>
      <c r="H5478" s="5" t="s">
        <v>5518</v>
      </c>
      <c r="I5478" s="7">
        <v>1547600</v>
      </c>
      <c r="J5478" s="8">
        <v>3.7600000000000001E-2</v>
      </c>
    </row>
    <row r="5479" spans="1:10" x14ac:dyDescent="0.25">
      <c r="A5479" s="5" t="s">
        <v>5512</v>
      </c>
      <c r="B5479" s="5" t="s">
        <v>7346</v>
      </c>
      <c r="C5479" s="6" t="str">
        <f>_xll.QS.CONTEXT.CREATE("market.5477",A5479,"USD","SOFR")</f>
        <v>QSObject:PricingContext:w1~market.5477:10202</v>
      </c>
      <c r="D5479" s="6" t="str">
        <f>_xll.QS.CONTEXT.ADD.CURVE(C5479,"SOFR",$K$2:$K$7,$L$2:$L$7,,,"Actual360","LogLinear",TRUE)</f>
        <v>QSObject:ContextInput:w1~input.qs_context_add_curve.2359132437744.5478.3.0:35073</v>
      </c>
      <c r="E5479" s="6" t="str">
        <f>_xll.QS.INSTRUMENT.SWAP("swap.5477",H5479,B5479,"USD","SOFR",I5479,J5479,0,"Actual360","Simple","Annual","Annual","Annual")</f>
        <v>QSObject:Swap:w1~swap.5477:10201</v>
      </c>
      <c r="F5479" s="6" t="str">
        <f>_xll.QS.TRADE.CREATE("trade.5477",E5479,A5479,"Receive")</f>
        <v>QSObject:SwapTrade:w1~trade.5477:26577</v>
      </c>
      <c r="G5479" s="3">
        <f>_xll.QS.EVALUATE(C5479,F5479)</f>
        <v>40670.84366467291</v>
      </c>
      <c r="H5479" s="5" t="s">
        <v>5519</v>
      </c>
      <c r="I5479" s="7">
        <v>1547700</v>
      </c>
      <c r="J5479" s="8">
        <v>3.7699999999999997E-2</v>
      </c>
    </row>
    <row r="5480" spans="1:10" x14ac:dyDescent="0.25">
      <c r="A5480" s="5" t="s">
        <v>5513</v>
      </c>
      <c r="B5480" s="5" t="s">
        <v>7347</v>
      </c>
      <c r="C5480" s="6" t="str">
        <f>_xll.QS.CONTEXT.CREATE("market.5478",A5480,"USD","SOFR")</f>
        <v>QSObject:PricingContext:w1~market.5478:10200</v>
      </c>
      <c r="D5480" s="6" t="str">
        <f>_xll.QS.CONTEXT.ADD.CURVE(C5480,"SOFR",$K$2:$K$7,$L$2:$L$7,,,"Actual360","LogLinear",TRUE)</f>
        <v>QSObject:ContextInput:w1~input.qs_context_add_curve.2359132437744.5479.3.0:35072</v>
      </c>
      <c r="E5480" s="6" t="str">
        <f>_xll.QS.INSTRUMENT.SWAP("swap.5478",H5480,B5480,"USD","SOFR",I5480,J5480,0,"Actual360","Simple","Annual","Annual","Annual")</f>
        <v>QSObject:Swap:w1~swap.5478:10199</v>
      </c>
      <c r="F5480" s="6" t="str">
        <f>_xll.QS.TRADE.CREATE("trade.5478",E5480,A5480,"Receive")</f>
        <v>QSObject:SwapTrade:w1~trade.5478:26576</v>
      </c>
      <c r="G5480" s="3">
        <f>_xll.QS.EVALUATE(C5480,F5480)</f>
        <v>41327.556147444266</v>
      </c>
      <c r="H5480" s="5" t="s">
        <v>5520</v>
      </c>
      <c r="I5480" s="7">
        <v>1547800</v>
      </c>
      <c r="J5480" s="8">
        <v>3.78E-2</v>
      </c>
    </row>
    <row r="5481" spans="1:10" x14ac:dyDescent="0.25">
      <c r="A5481" s="5" t="s">
        <v>5514</v>
      </c>
      <c r="B5481" s="5" t="s">
        <v>7348</v>
      </c>
      <c r="C5481" s="6" t="str">
        <f>_xll.QS.CONTEXT.CREATE("market.5479",A5481,"USD","SOFR")</f>
        <v>QSObject:PricingContext:w1~market.5479:10198</v>
      </c>
      <c r="D5481" s="6" t="str">
        <f>_xll.QS.CONTEXT.ADD.CURVE(C5481,"SOFR",$K$2:$K$7,$L$2:$L$7,,,"Actual360","LogLinear",TRUE)</f>
        <v>QSObject:ContextInput:w1~input.qs_context_add_curve.2359132437744.5480.3.0:35071</v>
      </c>
      <c r="E5481" s="6" t="str">
        <f>_xll.QS.INSTRUMENT.SWAP("swap.5479",H5481,B5481,"USD","SOFR",I5481,J5481,0,"Actual360","Simple","Annual","Annual","Annual")</f>
        <v>QSObject:Swap:w1~swap.5479:10197</v>
      </c>
      <c r="F5481" s="6" t="str">
        <f>_xll.QS.TRADE.CREATE("trade.5479",E5481,A5481,"Receive")</f>
        <v>QSObject:SwapTrade:w1~trade.5479:26575</v>
      </c>
      <c r="G5481" s="3">
        <f>_xll.QS.EVALUATE(C5481,F5481)</f>
        <v>41929.27746179478</v>
      </c>
      <c r="H5481" s="5" t="s">
        <v>5521</v>
      </c>
      <c r="I5481" s="7">
        <v>1547900</v>
      </c>
      <c r="J5481" s="8">
        <v>3.7900000000000003E-2</v>
      </c>
    </row>
    <row r="5482" spans="1:10" x14ac:dyDescent="0.25">
      <c r="A5482" s="5" t="s">
        <v>5515</v>
      </c>
      <c r="B5482" s="5" t="s">
        <v>7349</v>
      </c>
      <c r="C5482" s="6" t="str">
        <f>_xll.QS.CONTEXT.CREATE("market.5480",A5482,"USD","SOFR")</f>
        <v>QSObject:PricingContext:w1~market.5480:10196</v>
      </c>
      <c r="D5482" s="6" t="str">
        <f>_xll.QS.CONTEXT.ADD.CURVE(C5482,"SOFR",$K$2:$K$7,$L$2:$L$7,,,"Actual360","LogLinear",TRUE)</f>
        <v>QSObject:ContextInput:w1~input.qs_context_add_curve.2359132437744.5481.3.0:35070</v>
      </c>
      <c r="E5482" s="6" t="str">
        <f>_xll.QS.INSTRUMENT.SWAP("swap.5480",H5482,B5482,"USD","SOFR",I5482,J5482,0,"Actual360","Simple","Annual","Annual","Annual")</f>
        <v>QSObject:Swap:w1~swap.5480:10195</v>
      </c>
      <c r="F5482" s="6" t="str">
        <f>_xll.QS.TRADE.CREATE("trade.5480",E5482,A5482,"Receive")</f>
        <v>QSObject:SwapTrade:w1~trade.5480:26574</v>
      </c>
      <c r="G5482" s="3">
        <f>_xll.QS.EVALUATE(C5482,F5482)</f>
        <v>42535.437109153536</v>
      </c>
      <c r="H5482" s="5" t="s">
        <v>5522</v>
      </c>
      <c r="I5482" s="7">
        <v>1548000</v>
      </c>
      <c r="J5482" s="8">
        <v>3.8000000000000013E-2</v>
      </c>
    </row>
    <row r="5483" spans="1:10" x14ac:dyDescent="0.25">
      <c r="A5483" s="5" t="s">
        <v>5516</v>
      </c>
      <c r="B5483" s="5" t="s">
        <v>7350</v>
      </c>
      <c r="C5483" s="6" t="str">
        <f>_xll.QS.CONTEXT.CREATE("market.5481",A5483,"USD","SOFR")</f>
        <v>QSObject:PricingContext:w1~market.5481:10194</v>
      </c>
      <c r="D5483" s="6" t="str">
        <f>_xll.QS.CONTEXT.ADD.CURVE(C5483,"SOFR",$K$2:$K$7,$L$2:$L$7,,,"Actual360","LogLinear",TRUE)</f>
        <v>QSObject:ContextInput:w1~input.qs_context_add_curve.2359132437744.5482.3.0:35069</v>
      </c>
      <c r="E5483" s="6" t="str">
        <f>_xll.QS.INSTRUMENT.SWAP("swap.5481",H5483,B5483,"USD","SOFR",I5483,J5483,0,"Actual360","Simple","Annual","Annual","Annual")</f>
        <v>QSObject:Swap:w1~swap.5481:10193</v>
      </c>
      <c r="F5483" s="6" t="str">
        <f>_xll.QS.TRADE.CREATE("trade.5481",E5483,A5483,"Receive")</f>
        <v>QSObject:SwapTrade:w1~trade.5481:26573</v>
      </c>
      <c r="G5483" s="3">
        <f>_xll.QS.EVALUATE(C5483,F5483)</f>
        <v>43317.979817851687</v>
      </c>
      <c r="H5483" s="5" t="s">
        <v>5523</v>
      </c>
      <c r="I5483" s="7">
        <v>1548100</v>
      </c>
      <c r="J5483" s="8">
        <v>3.8100000000000002E-2</v>
      </c>
    </row>
    <row r="5484" spans="1:10" x14ac:dyDescent="0.25">
      <c r="A5484" s="5" t="s">
        <v>5517</v>
      </c>
      <c r="B5484" s="5" t="s">
        <v>7351</v>
      </c>
      <c r="C5484" s="6" t="str">
        <f>_xll.QS.CONTEXT.CREATE("market.5482",A5484,"USD","SOFR")</f>
        <v>QSObject:PricingContext:w1~market.5482:10192</v>
      </c>
      <c r="D5484" s="6" t="str">
        <f>_xll.QS.CONTEXT.ADD.CURVE(C5484,"SOFR",$K$2:$K$7,$L$2:$L$7,,,"Actual360","LogLinear",TRUE)</f>
        <v>QSObject:ContextInput:w1~input.qs_context_add_curve.2359132437744.5483.3.0:35068</v>
      </c>
      <c r="E5484" s="6" t="str">
        <f>_xll.QS.INSTRUMENT.SWAP("swap.5482",H5484,B5484,"USD","SOFR",I5484,J5484,0,"Actual360","Simple","Annual","Annual","Annual")</f>
        <v>QSObject:Swap:w1~swap.5482:10191</v>
      </c>
      <c r="F5484" s="6" t="str">
        <f>_xll.QS.TRADE.CREATE("trade.5482",E5484,A5484,"Receive")</f>
        <v>QSObject:SwapTrade:w1~trade.5482:26572</v>
      </c>
      <c r="G5484" s="3">
        <f>_xll.QS.EVALUATE(C5484,F5484)</f>
        <v>44072.823538894729</v>
      </c>
      <c r="H5484" s="5" t="s">
        <v>5524</v>
      </c>
      <c r="I5484" s="7">
        <v>1548200</v>
      </c>
      <c r="J5484" s="8">
        <v>3.8199999999999998E-2</v>
      </c>
    </row>
    <row r="5485" spans="1:10" x14ac:dyDescent="0.25">
      <c r="A5485" s="5" t="s">
        <v>5518</v>
      </c>
      <c r="B5485" s="5" t="s">
        <v>7352</v>
      </c>
      <c r="C5485" s="6" t="str">
        <f>_xll.QS.CONTEXT.CREATE("market.5483",A5485,"USD","SOFR")</f>
        <v>QSObject:PricingContext:w1~market.5483:10190</v>
      </c>
      <c r="D5485" s="6" t="str">
        <f>_xll.QS.CONTEXT.ADD.CURVE(C5485,"SOFR",$K$2:$K$7,$L$2:$L$7,,,"Actual360","LogLinear",TRUE)</f>
        <v>QSObject:ContextInput:w1~input.qs_context_add_curve.2359132437744.5484.3.0:35067</v>
      </c>
      <c r="E5485" s="6" t="str">
        <f>_xll.QS.INSTRUMENT.SWAP("swap.5483",H5485,B5485,"USD","SOFR",I5485,J5485,0,"Actual360","Simple","Annual","Annual","Annual")</f>
        <v>QSObject:Swap:w1~swap.5483:10189</v>
      </c>
      <c r="F5485" s="6" t="str">
        <f>_xll.QS.TRADE.CREATE("trade.5483",E5485,A5485,"Receive")</f>
        <v>QSObject:SwapTrade:w1~trade.5483:26571</v>
      </c>
      <c r="G5485" s="3">
        <f>_xll.QS.EVALUATE(C5485,F5485)</f>
        <v>44902.832594500149</v>
      </c>
      <c r="H5485" s="5" t="s">
        <v>5525</v>
      </c>
      <c r="I5485" s="7">
        <v>1548300</v>
      </c>
      <c r="J5485" s="8">
        <v>3.8300000000000001E-2</v>
      </c>
    </row>
    <row r="5486" spans="1:10" x14ac:dyDescent="0.25">
      <c r="A5486" s="5" t="s">
        <v>5519</v>
      </c>
      <c r="B5486" s="5" t="s">
        <v>7353</v>
      </c>
      <c r="C5486" s="6" t="str">
        <f>_xll.QS.CONTEXT.CREATE("market.5484",A5486,"USD","SOFR")</f>
        <v>QSObject:PricingContext:w1~market.5484:10188</v>
      </c>
      <c r="D5486" s="6" t="str">
        <f>_xll.QS.CONTEXT.ADD.CURVE(C5486,"SOFR",$K$2:$K$7,$L$2:$L$7,,,"Actual360","LogLinear",TRUE)</f>
        <v>QSObject:ContextInput:w1~input.qs_context_add_curve.2359132437744.5485.3.0:35066</v>
      </c>
      <c r="E5486" s="6" t="str">
        <f>_xll.QS.INSTRUMENT.SWAP("swap.5484",H5486,B5486,"USD","SOFR",I5486,J5486,0,"Actual360","Simple","Annual","Annual","Annual")</f>
        <v>QSObject:Swap:w1~swap.5484:10187</v>
      </c>
      <c r="F5486" s="6" t="str">
        <f>_xll.QS.TRADE.CREATE("trade.5484",E5486,A5486,"Receive")</f>
        <v>QSObject:SwapTrade:w1~trade.5484:26570</v>
      </c>
      <c r="G5486" s="3">
        <f>_xll.QS.EVALUATE(C5486,F5486)</f>
        <v>45687.356443940545</v>
      </c>
      <c r="H5486" s="5" t="s">
        <v>5526</v>
      </c>
      <c r="I5486" s="7">
        <v>1548400</v>
      </c>
      <c r="J5486" s="8">
        <v>3.8399999999999997E-2</v>
      </c>
    </row>
    <row r="5487" spans="1:10" x14ac:dyDescent="0.25">
      <c r="A5487" s="5" t="s">
        <v>5520</v>
      </c>
      <c r="B5487" s="5" t="s">
        <v>7354</v>
      </c>
      <c r="C5487" s="6" t="str">
        <f>_xll.QS.CONTEXT.CREATE("market.5485",A5487,"USD","SOFR")</f>
        <v>QSObject:PricingContext:w1~market.5485:10186</v>
      </c>
      <c r="D5487" s="6" t="str">
        <f>_xll.QS.CONTEXT.ADD.CURVE(C5487,"SOFR",$K$2:$K$7,$L$2:$L$7,,,"Actual360","LogLinear",TRUE)</f>
        <v>QSObject:ContextInput:w1~input.qs_context_add_curve.2359132437744.5486.3.0:35065</v>
      </c>
      <c r="E5487" s="6" t="str">
        <f>_xll.QS.INSTRUMENT.SWAP("swap.5485",H5487,B5487,"USD","SOFR",I5487,J5487,0,"Actual360","Simple","Annual","Annual","Annual")</f>
        <v>QSObject:Swap:w1~swap.5485:10185</v>
      </c>
      <c r="F5487" s="6" t="str">
        <f>_xll.QS.TRADE.CREATE("trade.5485",E5487,A5487,"Receive")</f>
        <v>QSObject:SwapTrade:w1~trade.5485:26569</v>
      </c>
      <c r="G5487" s="3">
        <f>_xll.QS.EVALUATE(C5487,F5487)</f>
        <v>46344.228282358017</v>
      </c>
      <c r="H5487" s="5" t="s">
        <v>5527</v>
      </c>
      <c r="I5487" s="7">
        <v>1548500</v>
      </c>
      <c r="J5487" s="8">
        <v>3.8500000000000013E-2</v>
      </c>
    </row>
    <row r="5488" spans="1:10" x14ac:dyDescent="0.25">
      <c r="A5488" s="5" t="s">
        <v>5521</v>
      </c>
      <c r="B5488" s="5" t="s">
        <v>7355</v>
      </c>
      <c r="C5488" s="6" t="str">
        <f>_xll.QS.CONTEXT.CREATE("market.5486",A5488,"USD","SOFR")</f>
        <v>QSObject:PricingContext:w1~market.5486:10184</v>
      </c>
      <c r="D5488" s="6" t="str">
        <f>_xll.QS.CONTEXT.ADD.CURVE(C5488,"SOFR",$K$2:$K$7,$L$2:$L$7,,,"Actual360","LogLinear",TRUE)</f>
        <v>QSObject:ContextInput:w1~input.qs_context_add_curve.2359132437744.5487.3.0:35064</v>
      </c>
      <c r="E5488" s="6" t="str">
        <f>_xll.QS.INSTRUMENT.SWAP("swap.5486",H5488,B5488,"USD","SOFR",I5488,J5488,0,"Actual360","Simple","Annual","Annual","Annual")</f>
        <v>QSObject:Swap:w1~swap.5486:10183</v>
      </c>
      <c r="F5488" s="6" t="str">
        <f>_xll.QS.TRADE.CREATE("trade.5486",E5488,A5488,"Receive")</f>
        <v>QSObject:SwapTrade:w1~trade.5486:26568</v>
      </c>
      <c r="G5488" s="3">
        <f>_xll.QS.EVALUATE(C5488,F5488)</f>
        <v>46911.047549216135</v>
      </c>
      <c r="H5488" s="5" t="s">
        <v>5528</v>
      </c>
      <c r="I5488" s="7">
        <v>1548600</v>
      </c>
      <c r="J5488" s="8">
        <v>3.8600000000000002E-2</v>
      </c>
    </row>
    <row r="5489" spans="1:10" x14ac:dyDescent="0.25">
      <c r="A5489" s="5" t="s">
        <v>5522</v>
      </c>
      <c r="B5489" s="5" t="s">
        <v>7356</v>
      </c>
      <c r="C5489" s="6" t="str">
        <f>_xll.QS.CONTEXT.CREATE("market.5487",A5489,"USD","SOFR")</f>
        <v>QSObject:PricingContext:w1~market.5487:10182</v>
      </c>
      <c r="D5489" s="6" t="str">
        <f>_xll.QS.CONTEXT.ADD.CURVE(C5489,"SOFR",$K$2:$K$7,$L$2:$L$7,,,"Actual360","LogLinear",TRUE)</f>
        <v>QSObject:ContextInput:w1~input.qs_context_add_curve.2359132437744.5488.3.0:35063</v>
      </c>
      <c r="E5489" s="6" t="str">
        <f>_xll.QS.INSTRUMENT.SWAP("swap.5487",H5489,B5489,"USD","SOFR",I5489,J5489,0,"Actual360","Simple","Annual","Annual","Annual")</f>
        <v>QSObject:Swap:w1~swap.5487:10181</v>
      </c>
      <c r="F5489" s="6" t="str">
        <f>_xll.QS.TRADE.CREATE("trade.5487",E5489,A5489,"Receive")</f>
        <v>QSObject:SwapTrade:w1~trade.5487:26567</v>
      </c>
      <c r="G5489" s="3">
        <f>_xll.QS.EVALUATE(C5489,F5489)</f>
        <v>47489.958463924282</v>
      </c>
      <c r="H5489" s="5" t="s">
        <v>5529</v>
      </c>
      <c r="I5489" s="7">
        <v>1548700</v>
      </c>
      <c r="J5489" s="8">
        <v>3.8700000000000012E-2</v>
      </c>
    </row>
    <row r="5490" spans="1:10" x14ac:dyDescent="0.25">
      <c r="A5490" s="5" t="s">
        <v>5523</v>
      </c>
      <c r="B5490" s="5" t="s">
        <v>7357</v>
      </c>
      <c r="C5490" s="6" t="str">
        <f>_xll.QS.CONTEXT.CREATE("market.5488",A5490,"USD","SOFR")</f>
        <v>QSObject:PricingContext:w1~market.5488:10180</v>
      </c>
      <c r="D5490" s="6" t="str">
        <f>_xll.QS.CONTEXT.ADD.CURVE(C5490,"SOFR",$K$2:$K$7,$L$2:$L$7,,,"Actual360","LogLinear",TRUE)</f>
        <v>QSObject:ContextInput:w1~input.qs_context_add_curve.2359132437744.5489.3.0:35062</v>
      </c>
      <c r="E5490" s="6" t="str">
        <f>_xll.QS.INSTRUMENT.SWAP("swap.5488",H5490,B5490,"USD","SOFR",I5490,J5490,0,"Actual360","Simple","Annual","Annual","Annual")</f>
        <v>QSObject:Swap:w1~swap.5488:10179</v>
      </c>
      <c r="F5490" s="6" t="str">
        <f>_xll.QS.TRADE.CREATE("trade.5488",E5490,A5490,"Receive")</f>
        <v>QSObject:SwapTrade:w1~trade.5488:26566</v>
      </c>
      <c r="G5490" s="3">
        <f>_xll.QS.EVALUATE(C5490,F5490)</f>
        <v>48274.056650296181</v>
      </c>
      <c r="H5490" s="5" t="s">
        <v>5530</v>
      </c>
      <c r="I5490" s="7">
        <v>1548800</v>
      </c>
      <c r="J5490" s="8">
        <v>3.8800000000000001E-2</v>
      </c>
    </row>
    <row r="5491" spans="1:10" x14ac:dyDescent="0.25">
      <c r="A5491" s="5" t="s">
        <v>5524</v>
      </c>
      <c r="B5491" s="5" t="s">
        <v>7358</v>
      </c>
      <c r="C5491" s="6" t="str">
        <f>_xll.QS.CONTEXT.CREATE("market.5489",A5491,"USD","SOFR")</f>
        <v>QSObject:PricingContext:w1~market.5489:10178</v>
      </c>
      <c r="D5491" s="6" t="str">
        <f>_xll.QS.CONTEXT.ADD.CURVE(C5491,"SOFR",$K$2:$K$7,$L$2:$L$7,,,"Actual360","LogLinear",TRUE)</f>
        <v>QSObject:ContextInput:w1~input.qs_context_add_curve.2359132437744.5490.3.0:35061</v>
      </c>
      <c r="E5491" s="6" t="str">
        <f>_xll.QS.INSTRUMENT.SWAP("swap.5489",H5491,B5491,"USD","SOFR",I5491,J5491,0,"Actual360","Simple","Annual","Annual","Annual")</f>
        <v>QSObject:Swap:w1~swap.5489:10177</v>
      </c>
      <c r="F5491" s="6" t="str">
        <f>_xll.QS.TRADE.CREATE("trade.5489",E5491,A5491,"Receive")</f>
        <v>QSObject:SwapTrade:w1~trade.5489:26565</v>
      </c>
      <c r="G5491" s="3">
        <f>_xll.QS.EVALUATE(C5491,F5491)</f>
        <v>49058.445419762211</v>
      </c>
      <c r="H5491" s="5" t="s">
        <v>5531</v>
      </c>
      <c r="I5491" s="7">
        <v>1548900</v>
      </c>
      <c r="J5491" s="8">
        <v>3.8899999999999997E-2</v>
      </c>
    </row>
    <row r="5492" spans="1:10" x14ac:dyDescent="0.25">
      <c r="A5492" s="5" t="s">
        <v>5525</v>
      </c>
      <c r="B5492" s="5" t="s">
        <v>7359</v>
      </c>
      <c r="C5492" s="6" t="str">
        <f>_xll.QS.CONTEXT.CREATE("market.5490",A5492,"USD","SOFR")</f>
        <v>QSObject:PricingContext:w1~market.5490:10176</v>
      </c>
      <c r="D5492" s="6" t="str">
        <f>_xll.QS.CONTEXT.ADD.CURVE(C5492,"SOFR",$K$2:$K$7,$L$2:$L$7,,,"Actual360","LogLinear",TRUE)</f>
        <v>QSObject:ContextInput:w1~input.qs_context_add_curve.2359132437744.5491.3.0:35060</v>
      </c>
      <c r="E5492" s="6" t="str">
        <f>_xll.QS.INSTRUMENT.SWAP("swap.5490",H5492,B5492,"USD","SOFR",I5492,J5492,0,"Actual360","Simple","Annual","Annual","Annual")</f>
        <v>QSObject:Swap:w1~swap.5490:10175</v>
      </c>
      <c r="F5492" s="6" t="str">
        <f>_xll.QS.TRADE.CREATE("trade.5490",E5492,A5492,"Receive")</f>
        <v>QSObject:SwapTrade:w1~trade.5490:26564</v>
      </c>
      <c r="G5492" s="3">
        <f>_xll.QS.EVALUATE(C5492,F5492)</f>
        <v>49980.540063103639</v>
      </c>
      <c r="H5492" s="5" t="s">
        <v>5532</v>
      </c>
      <c r="I5492" s="7">
        <v>1549000</v>
      </c>
      <c r="J5492" s="8">
        <v>3.9000000000000007E-2</v>
      </c>
    </row>
    <row r="5493" spans="1:10" x14ac:dyDescent="0.25">
      <c r="A5493" s="5" t="s">
        <v>5526</v>
      </c>
      <c r="B5493" s="5" t="s">
        <v>7360</v>
      </c>
      <c r="C5493" s="6" t="str">
        <f>_xll.QS.CONTEXT.CREATE("market.5491",A5493,"USD","SOFR")</f>
        <v>QSObject:PricingContext:w1~market.5491:10174</v>
      </c>
      <c r="D5493" s="6" t="str">
        <f>_xll.QS.CONTEXT.ADD.CURVE(C5493,"SOFR",$K$2:$K$7,$L$2:$L$7,,,"Actual360","LogLinear",TRUE)</f>
        <v>QSObject:ContextInput:w1~input.qs_context_add_curve.2359132437744.5492.3.0:35059</v>
      </c>
      <c r="E5493" s="6" t="str">
        <f>_xll.QS.INSTRUMENT.SWAP("swap.5491",H5493,B5493,"USD","SOFR",I5493,J5493,0,"Actual360","Simple","Annual","Annual","Annual")</f>
        <v>QSObject:Swap:w1~swap.5491:10173</v>
      </c>
      <c r="F5493" s="6" t="str">
        <f>_xll.QS.TRADE.CREATE("trade.5491",E5493,A5493,"Receive")</f>
        <v>QSObject:SwapTrade:w1~trade.5491:26563</v>
      </c>
      <c r="G5493" s="3">
        <f>_xll.QS.EVALUATE(C5493,F5493)</f>
        <v>50712.379887686591</v>
      </c>
      <c r="H5493" s="5" t="s">
        <v>5533</v>
      </c>
      <c r="I5493" s="7">
        <v>1549100</v>
      </c>
      <c r="J5493" s="8">
        <v>3.9100000000000003E-2</v>
      </c>
    </row>
    <row r="5494" spans="1:10" x14ac:dyDescent="0.25">
      <c r="A5494" s="5" t="s">
        <v>5527</v>
      </c>
      <c r="B5494" s="5" t="s">
        <v>7361</v>
      </c>
      <c r="C5494" s="6" t="str">
        <f>_xll.QS.CONTEXT.CREATE("market.5492",A5494,"USD","SOFR")</f>
        <v>QSObject:PricingContext:w1~market.5492:10172</v>
      </c>
      <c r="D5494" s="6" t="str">
        <f>_xll.QS.CONTEXT.ADD.CURVE(C5494,"SOFR",$K$2:$K$7,$L$2:$L$7,,,"Actual360","LogLinear",TRUE)</f>
        <v>QSObject:ContextInput:w1~input.qs_context_add_curve.2359132437744.5493.3.0:35058</v>
      </c>
      <c r="E5494" s="6" t="str">
        <f>_xll.QS.INSTRUMENT.SWAP("swap.5492",H5494,B5494,"USD","SOFR",I5494,J5494,0,"Actual360","Simple","Annual","Annual","Annual")</f>
        <v>QSObject:Swap:w1~swap.5492:10171</v>
      </c>
      <c r="F5494" s="6" t="str">
        <f>_xll.QS.TRADE.CREATE("trade.5492",E5494,A5494,"Receive")</f>
        <v>QSObject:SwapTrade:w1~trade.5492:26562</v>
      </c>
      <c r="G5494" s="3">
        <f>_xll.QS.EVALUATE(C5494,F5494)</f>
        <v>51429.365288025307</v>
      </c>
      <c r="H5494" s="5" t="s">
        <v>5534</v>
      </c>
      <c r="I5494" s="7">
        <v>1549200</v>
      </c>
      <c r="J5494" s="8">
        <v>3.9200000000000013E-2</v>
      </c>
    </row>
    <row r="5495" spans="1:10" x14ac:dyDescent="0.25">
      <c r="A5495" s="5" t="s">
        <v>5528</v>
      </c>
      <c r="B5495" s="5" t="s">
        <v>7362</v>
      </c>
      <c r="C5495" s="6" t="str">
        <f>_xll.QS.CONTEXT.CREATE("market.5493",A5495,"USD","SOFR")</f>
        <v>QSObject:PricingContext:w1~market.5493:10170</v>
      </c>
      <c r="D5495" s="6" t="str">
        <f>_xll.QS.CONTEXT.ADD.CURVE(C5495,"SOFR",$K$2:$K$7,$L$2:$L$7,,,"Actual360","LogLinear",TRUE)</f>
        <v>QSObject:ContextInput:w1~input.qs_context_add_curve.2359132437744.5494.3.0:35057</v>
      </c>
      <c r="E5495" s="6" t="str">
        <f>_xll.QS.INSTRUMENT.SWAP("swap.5493",H5495,B5495,"USD","SOFR",I5495,J5495,0,"Actual360","Simple","Annual","Annual","Annual")</f>
        <v>QSObject:Swap:w1~swap.5493:10169</v>
      </c>
      <c r="F5495" s="6" t="str">
        <f>_xll.QS.TRADE.CREATE("trade.5493",E5495,A5495,"Receive")</f>
        <v>QSObject:SwapTrade:w1~trade.5493:26561</v>
      </c>
      <c r="G5495" s="3">
        <f>_xll.QS.EVALUATE(C5495,F5495)</f>
        <v>52020.56365403979</v>
      </c>
      <c r="H5495" s="5" t="s">
        <v>5535</v>
      </c>
      <c r="I5495" s="7">
        <v>1549300</v>
      </c>
      <c r="J5495" s="8">
        <v>3.9300000000000002E-2</v>
      </c>
    </row>
    <row r="5496" spans="1:10" x14ac:dyDescent="0.25">
      <c r="A5496" s="5" t="s">
        <v>5529</v>
      </c>
      <c r="B5496" s="5" t="s">
        <v>7363</v>
      </c>
      <c r="C5496" s="6" t="str">
        <f>_xll.QS.CONTEXT.CREATE("market.5494",A5496,"USD","SOFR")</f>
        <v>QSObject:PricingContext:w1~market.5494:10168</v>
      </c>
      <c r="D5496" s="6" t="str">
        <f>_xll.QS.CONTEXT.ADD.CURVE(C5496,"SOFR",$K$2:$K$7,$L$2:$L$7,,,"Actual360","LogLinear",TRUE)</f>
        <v>QSObject:ContextInput:w1~input.qs_context_add_curve.2359132437744.5495.3.0:35056</v>
      </c>
      <c r="E5496" s="6" t="str">
        <f>_xll.QS.INSTRUMENT.SWAP("swap.5494",H5496,B5496,"USD","SOFR",I5496,J5496,0,"Actual360","Simple","Annual","Annual","Annual")</f>
        <v>QSObject:Swap:w1~swap.5494:10167</v>
      </c>
      <c r="F5496" s="6" t="str">
        <f>_xll.QS.TRADE.CREATE("trade.5494",E5496,A5496,"Receive")</f>
        <v>QSObject:SwapTrade:w1~trade.5494:26560</v>
      </c>
      <c r="G5496" s="3">
        <f>_xll.QS.EVALUATE(C5496,F5496)</f>
        <v>52643.26659738303</v>
      </c>
      <c r="H5496" s="5" t="s">
        <v>5536</v>
      </c>
      <c r="I5496" s="7">
        <v>1549400</v>
      </c>
      <c r="J5496" s="8">
        <v>3.9399999999999998E-2</v>
      </c>
    </row>
    <row r="5497" spans="1:10" x14ac:dyDescent="0.25">
      <c r="A5497" s="5" t="s">
        <v>5530</v>
      </c>
      <c r="B5497" s="5" t="s">
        <v>7364</v>
      </c>
      <c r="C5497" s="6" t="str">
        <f>_xll.QS.CONTEXT.CREATE("market.5495",A5497,"USD","SOFR")</f>
        <v>QSObject:PricingContext:w1~market.5495:10166</v>
      </c>
      <c r="D5497" s="6" t="str">
        <f>_xll.QS.CONTEXT.ADD.CURVE(C5497,"SOFR",$K$2:$K$7,$L$2:$L$7,,,"Actual360","LogLinear",TRUE)</f>
        <v>QSObject:ContextInput:w1~input.qs_context_add_curve.2359132437744.5496.3.0:35055</v>
      </c>
      <c r="E5497" s="6" t="str">
        <f>_xll.QS.INSTRUMENT.SWAP("swap.5495",H5497,B5497,"USD","SOFR",I5497,J5497,0,"Actual360","Simple","Annual","Annual","Annual")</f>
        <v>QSObject:Swap:w1~swap.5495:10165</v>
      </c>
      <c r="F5497" s="6" t="str">
        <f>_xll.QS.TRADE.CREATE("trade.5495",E5497,A5497,"Receive")</f>
        <v>QSObject:SwapTrade:w1~trade.5495:26559</v>
      </c>
      <c r="G5497" s="3">
        <f>_xll.QS.EVALUATE(C5497,F5497)</f>
        <v>53365.57335434499</v>
      </c>
      <c r="H5497" s="5" t="s">
        <v>5537</v>
      </c>
      <c r="I5497" s="7">
        <v>1549500</v>
      </c>
      <c r="J5497" s="8">
        <v>3.9500000000000007E-2</v>
      </c>
    </row>
    <row r="5498" spans="1:10" x14ac:dyDescent="0.25">
      <c r="A5498" s="5" t="s">
        <v>5531</v>
      </c>
      <c r="B5498" s="5" t="s">
        <v>7365</v>
      </c>
      <c r="C5498" s="6" t="str">
        <f>_xll.QS.CONTEXT.CREATE("market.5496",A5498,"USD","SOFR")</f>
        <v>QSObject:PricingContext:w1~market.5496:10164</v>
      </c>
      <c r="D5498" s="6" t="str">
        <f>_xll.QS.CONTEXT.ADD.CURVE(C5498,"SOFR",$K$2:$K$7,$L$2:$L$7,,,"Actual360","LogLinear",TRUE)</f>
        <v>QSObject:ContextInput:w1~input.qs_context_add_curve.2359132437744.5497.3.0:35054</v>
      </c>
      <c r="E5498" s="6" t="str">
        <f>_xll.QS.INSTRUMENT.SWAP("swap.5496",H5498,B5498,"USD","SOFR",I5498,J5498,0,"Actual360","Simple","Annual","Annual","Annual")</f>
        <v>QSObject:Swap:w1~swap.5496:10163</v>
      </c>
      <c r="F5498" s="6" t="str">
        <f>_xll.QS.TRADE.CREATE("trade.5496",E5498,A5498,"Receive")</f>
        <v>QSObject:SwapTrade:w1~trade.5496:26558</v>
      </c>
      <c r="G5498" s="3">
        <f>_xll.QS.EVALUATE(C5498,F5498)</f>
        <v>54116.725242375651</v>
      </c>
      <c r="H5498" s="5" t="s">
        <v>5538</v>
      </c>
      <c r="I5498" s="7">
        <v>1549600</v>
      </c>
      <c r="J5498" s="8">
        <v>3.9600000000000003E-2</v>
      </c>
    </row>
    <row r="5499" spans="1:10" x14ac:dyDescent="0.25">
      <c r="A5499" s="5" t="s">
        <v>5532</v>
      </c>
      <c r="B5499" s="5" t="s">
        <v>7366</v>
      </c>
      <c r="C5499" s="6" t="str">
        <f>_xll.QS.CONTEXT.CREATE("market.5497",A5499,"USD","SOFR")</f>
        <v>QSObject:PricingContext:w1~market.5497:10162</v>
      </c>
      <c r="D5499" s="6" t="str">
        <f>_xll.QS.CONTEXT.ADD.CURVE(C5499,"SOFR",$K$2:$K$7,$L$2:$L$7,,,"Actual360","LogLinear",TRUE)</f>
        <v>QSObject:ContextInput:w1~input.qs_context_add_curve.2359132437744.5498.3.0:35053</v>
      </c>
      <c r="E5499" s="6" t="str">
        <f>_xll.QS.INSTRUMENT.SWAP("swap.5497",H5499,B5499,"USD","SOFR",I5499,J5499,0,"Actual360","Simple","Annual","Annual","Annual")</f>
        <v>QSObject:Swap:w1~swap.5497:10161</v>
      </c>
      <c r="F5499" s="6" t="str">
        <f>_xll.QS.TRADE.CREATE("trade.5497",E5499,A5499,"Receive")</f>
        <v>QSObject:SwapTrade:w1~trade.5497:26557</v>
      </c>
      <c r="G5499" s="3">
        <f>_xll.QS.EVALUATE(C5499,F5499)</f>
        <v>54948.265075026975</v>
      </c>
      <c r="H5499" s="5" t="s">
        <v>5539</v>
      </c>
      <c r="I5499" s="7">
        <v>1549700</v>
      </c>
      <c r="J5499" s="8">
        <v>3.9700000000000013E-2</v>
      </c>
    </row>
    <row r="5500" spans="1:10" x14ac:dyDescent="0.25">
      <c r="A5500" s="5" t="s">
        <v>5533</v>
      </c>
      <c r="B5500" s="5" t="s">
        <v>7367</v>
      </c>
      <c r="C5500" s="6" t="str">
        <f>_xll.QS.CONTEXT.CREATE("market.5498",A5500,"USD","SOFR")</f>
        <v>QSObject:PricingContext:w1~market.5498:10160</v>
      </c>
      <c r="D5500" s="6" t="str">
        <f>_xll.QS.CONTEXT.ADD.CURVE(C5500,"SOFR",$K$2:$K$7,$L$2:$L$7,,,"Actual360","LogLinear",TRUE)</f>
        <v>QSObject:ContextInput:w1~input.qs_context_add_curve.2359132437744.5499.3.0:35052</v>
      </c>
      <c r="E5500" s="6" t="str">
        <f>_xll.QS.INSTRUMENT.SWAP("swap.5498",H5500,B5500,"USD","SOFR",I5500,J5500,0,"Actual360","Simple","Annual","Annual","Annual")</f>
        <v>QSObject:Swap:w1~swap.5498:10159</v>
      </c>
      <c r="F5500" s="6" t="str">
        <f>_xll.QS.TRADE.CREATE("trade.5498",E5500,A5500,"Receive")</f>
        <v>QSObject:SwapTrade:w1~trade.5498:26556</v>
      </c>
      <c r="G5500" s="3">
        <f>_xll.QS.EVALUATE(C5500,F5500)</f>
        <v>55734.334426397392</v>
      </c>
      <c r="H5500" s="5" t="s">
        <v>5540</v>
      </c>
      <c r="I5500" s="7">
        <v>1549800</v>
      </c>
      <c r="J5500" s="8">
        <v>3.9800000000000002E-2</v>
      </c>
    </row>
    <row r="5501" spans="1:10" x14ac:dyDescent="0.25">
      <c r="A5501" s="5" t="s">
        <v>5534</v>
      </c>
      <c r="B5501" s="5" t="s">
        <v>7368</v>
      </c>
      <c r="C5501" s="6" t="str">
        <f>_xll.QS.CONTEXT.CREATE("market.5499",A5501,"USD","SOFR")</f>
        <v>QSObject:PricingContext:w1~market.5499:10158</v>
      </c>
      <c r="D5501" s="6" t="str">
        <f>_xll.QS.CONTEXT.ADD.CURVE(C5501,"SOFR",$K$2:$K$7,$L$2:$L$7,,,"Actual360","LogLinear",TRUE)</f>
        <v>QSObject:ContextInput:w1~input.qs_context_add_curve.2359132437744.5500.3.0:35051</v>
      </c>
      <c r="E5501" s="6" t="str">
        <f>_xll.QS.INSTRUMENT.SWAP("swap.5499",H5501,B5501,"USD","SOFR",I5501,J5501,0,"Actual360","Simple","Annual","Annual","Annual")</f>
        <v>QSObject:Swap:w1~swap.5499:10157</v>
      </c>
      <c r="F5501" s="6" t="str">
        <f>_xll.QS.TRADE.CREATE("trade.5499",E5501,A5501,"Receive")</f>
        <v>QSObject:SwapTrade:w1~trade.5499:26555</v>
      </c>
      <c r="G5501" s="3">
        <f>_xll.QS.EVALUATE(C5501,F5501)</f>
        <v>56392.740557198464</v>
      </c>
      <c r="H5501" s="5" t="s">
        <v>5541</v>
      </c>
      <c r="I5501" s="7">
        <v>1549900</v>
      </c>
      <c r="J5501" s="8">
        <v>3.9899999999999998E-2</v>
      </c>
    </row>
    <row r="5502" spans="1:10" x14ac:dyDescent="0.25">
      <c r="A5502" s="5" t="s">
        <v>5535</v>
      </c>
      <c r="B5502" s="5" t="s">
        <v>7369</v>
      </c>
      <c r="C5502" s="6" t="str">
        <f>_xll.QS.CONTEXT.CREATE("market.5500",A5502,"USD","SOFR")</f>
        <v>QSObject:PricingContext:w1~market.5500:10156</v>
      </c>
      <c r="D5502" s="6" t="str">
        <f>_xll.QS.CONTEXT.ADD.CURVE(C5502,"SOFR",$K$2:$K$7,$L$2:$L$7,,,"Actual360","LogLinear",TRUE)</f>
        <v>QSObject:ContextInput:w1~input.qs_context_add_curve.2359132437744.5501.3.0:35050</v>
      </c>
      <c r="E5502" s="6" t="str">
        <f>_xll.QS.INSTRUMENT.SWAP("swap.5500",H5502,B5502,"USD","SOFR",I5502,J5502,0,"Actual360","Simple","Annual","Annual","Annual")</f>
        <v>QSObject:Swap:w1~swap.5500:10155</v>
      </c>
      <c r="F5502" s="6" t="str">
        <f>_xll.QS.TRADE.CREATE("trade.5500",E5502,A5502,"Receive")</f>
        <v>QSObject:SwapTrade:w1~trade.5500:26554</v>
      </c>
      <c r="G5502" s="3">
        <f>_xll.QS.EVALUATE(C5502,F5502)</f>
        <v>21282.364460458608</v>
      </c>
      <c r="H5502" s="5" t="s">
        <v>5542</v>
      </c>
      <c r="I5502" s="7">
        <v>1550000</v>
      </c>
      <c r="J5502" s="8">
        <v>3.5000000000000003E-2</v>
      </c>
    </row>
    <row r="5503" spans="1:10" x14ac:dyDescent="0.25">
      <c r="A5503" s="5" t="s">
        <v>5536</v>
      </c>
      <c r="B5503" s="5" t="s">
        <v>7370</v>
      </c>
      <c r="C5503" s="6" t="str">
        <f>_xll.QS.CONTEXT.CREATE("market.5501",A5503,"USD","SOFR")</f>
        <v>QSObject:PricingContext:w1~market.5501:10154</v>
      </c>
      <c r="D5503" s="6" t="str">
        <f>_xll.QS.CONTEXT.ADD.CURVE(C5503,"SOFR",$K$2:$K$7,$L$2:$L$7,,,"Actual360","LogLinear",TRUE)</f>
        <v>QSObject:ContextInput:w1~input.qs_context_add_curve.2359132437744.5502.3.0:35049</v>
      </c>
      <c r="E5503" s="6" t="str">
        <f>_xll.QS.INSTRUMENT.SWAP("swap.5501",H5503,B5503,"USD","SOFR",I5503,J5503,0,"Actual360","Simple","Annual","Annual","Annual")</f>
        <v>QSObject:Swap:w1~swap.5501:10153</v>
      </c>
      <c r="F5503" s="6" t="str">
        <f>_xll.QS.TRADE.CREATE("trade.5501",E5503,A5503,"Receive")</f>
        <v>QSObject:SwapTrade:w1~trade.5501:26553</v>
      </c>
      <c r="G5503" s="3">
        <f>_xll.QS.EVALUATE(C5503,F5503)</f>
        <v>21999.376417545536</v>
      </c>
      <c r="H5503" s="5" t="s">
        <v>5543</v>
      </c>
      <c r="I5503" s="7">
        <v>1550100</v>
      </c>
      <c r="J5503" s="8">
        <v>3.5100000000000013E-2</v>
      </c>
    </row>
    <row r="5504" spans="1:10" x14ac:dyDescent="0.25">
      <c r="A5504" s="5" t="s">
        <v>5537</v>
      </c>
      <c r="B5504" s="5" t="s">
        <v>7371</v>
      </c>
      <c r="C5504" s="6" t="str">
        <f>_xll.QS.CONTEXT.CREATE("market.5502",A5504,"USD","SOFR")</f>
        <v>QSObject:PricingContext:w1~market.5502:10152</v>
      </c>
      <c r="D5504" s="6" t="str">
        <f>_xll.QS.CONTEXT.ADD.CURVE(C5504,"SOFR",$K$2:$K$7,$L$2:$L$7,,,"Actual360","LogLinear",TRUE)</f>
        <v>QSObject:ContextInput:w1~input.qs_context_add_curve.2359132437744.5503.3.0:35048</v>
      </c>
      <c r="E5504" s="6" t="str">
        <f>_xll.QS.INSTRUMENT.SWAP("swap.5502",H5504,B5504,"USD","SOFR",I5504,J5504,0,"Actual360","Simple","Annual","Annual","Annual")</f>
        <v>QSObject:Swap:w1~swap.5502:10151</v>
      </c>
      <c r="F5504" s="6" t="str">
        <f>_xll.QS.TRADE.CREATE("trade.5502",E5504,A5504,"Receive")</f>
        <v>QSObject:SwapTrade:w1~trade.5502:26552</v>
      </c>
      <c r="G5504" s="3">
        <f>_xll.QS.EVALUATE(C5504,F5504)</f>
        <v>22778.834356978812</v>
      </c>
      <c r="H5504" s="5" t="s">
        <v>5544</v>
      </c>
      <c r="I5504" s="7">
        <v>1550200</v>
      </c>
      <c r="J5504" s="8">
        <v>3.5200000000000002E-2</v>
      </c>
    </row>
    <row r="5505" spans="1:10" x14ac:dyDescent="0.25">
      <c r="A5505" s="5" t="s">
        <v>5538</v>
      </c>
      <c r="B5505" s="5" t="s">
        <v>7372</v>
      </c>
      <c r="C5505" s="6" t="str">
        <f>_xll.QS.CONTEXT.CREATE("market.5503",A5505,"USD","SOFR")</f>
        <v>QSObject:PricingContext:w1~market.5503:10150</v>
      </c>
      <c r="D5505" s="6" t="str">
        <f>_xll.QS.CONTEXT.ADD.CURVE(C5505,"SOFR",$K$2:$K$7,$L$2:$L$7,,,"Actual360","LogLinear",TRUE)</f>
        <v>QSObject:ContextInput:w1~input.qs_context_add_curve.2359132437744.5504.3.0:35047</v>
      </c>
      <c r="E5505" s="6" t="str">
        <f>_xll.QS.INSTRUMENT.SWAP("swap.5503",H5505,B5505,"USD","SOFR",I5505,J5505,0,"Actual360","Simple","Annual","Annual","Annual")</f>
        <v>QSObject:Swap:w1~swap.5503:10149</v>
      </c>
      <c r="F5505" s="6" t="str">
        <f>_xll.QS.TRADE.CREATE("trade.5503",E5505,A5505,"Receive")</f>
        <v>QSObject:SwapTrade:w1~trade.5503:26551</v>
      </c>
      <c r="G5505" s="3">
        <f>_xll.QS.EVALUATE(C5505,F5505)</f>
        <v>23400.707087538867</v>
      </c>
      <c r="H5505" s="5" t="s">
        <v>5545</v>
      </c>
      <c r="I5505" s="7">
        <v>1550300</v>
      </c>
      <c r="J5505" s="8">
        <v>3.5299999999999998E-2</v>
      </c>
    </row>
    <row r="5506" spans="1:10" x14ac:dyDescent="0.25">
      <c r="A5506" s="5" t="s">
        <v>5539</v>
      </c>
      <c r="B5506" s="5" t="s">
        <v>7373</v>
      </c>
      <c r="C5506" s="6" t="str">
        <f>_xll.QS.CONTEXT.CREATE("market.5504",A5506,"USD","SOFR")</f>
        <v>QSObject:PricingContext:w1~market.5504:10148</v>
      </c>
      <c r="D5506" s="6" t="str">
        <f>_xll.QS.CONTEXT.ADD.CURVE(C5506,"SOFR",$K$2:$K$7,$L$2:$L$7,,,"Actual360","LogLinear",TRUE)</f>
        <v>QSObject:ContextInput:w1~input.qs_context_add_curve.2359132437744.5505.3.0:35046</v>
      </c>
      <c r="E5506" s="6" t="str">
        <f>_xll.QS.INSTRUMENT.SWAP("swap.5504",H5506,B5506,"USD","SOFR",I5506,J5506,0,"Actual360","Simple","Annual","Annual","Annual")</f>
        <v>QSObject:Swap:w1~swap.5504:10147</v>
      </c>
      <c r="F5506" s="6" t="str">
        <f>_xll.QS.TRADE.CREATE("trade.5504",E5506,A5506,"Receive")</f>
        <v>QSObject:SwapTrade:w1~trade.5504:26550</v>
      </c>
      <c r="G5506" s="3">
        <f>_xll.QS.EVALUATE(C5506,F5506)</f>
        <v>24230.193121049764</v>
      </c>
      <c r="H5506" s="5" t="s">
        <v>5546</v>
      </c>
      <c r="I5506" s="7">
        <v>1550400</v>
      </c>
      <c r="J5506" s="8">
        <v>3.5400000000000001E-2</v>
      </c>
    </row>
    <row r="5507" spans="1:10" x14ac:dyDescent="0.25">
      <c r="A5507" s="5" t="s">
        <v>5540</v>
      </c>
      <c r="B5507" s="5" t="s">
        <v>7374</v>
      </c>
      <c r="C5507" s="6" t="str">
        <f>_xll.QS.CONTEXT.CREATE("market.5505",A5507,"USD","SOFR")</f>
        <v>QSObject:PricingContext:w1~market.5505:10146</v>
      </c>
      <c r="D5507" s="6" t="str">
        <f>_xll.QS.CONTEXT.ADD.CURVE(C5507,"SOFR",$K$2:$K$7,$L$2:$L$7,,,"Actual360","LogLinear",TRUE)</f>
        <v>QSObject:ContextInput:w1~input.qs_context_add_curve.2359132437744.5506.3.0:35045</v>
      </c>
      <c r="E5507" s="6" t="str">
        <f>_xll.QS.INSTRUMENT.SWAP("swap.5505",H5507,B5507,"USD","SOFR",I5507,J5507,0,"Actual360","Simple","Annual","Annual","Annual")</f>
        <v>QSObject:Swap:w1~swap.5505:10145</v>
      </c>
      <c r="F5507" s="6" t="str">
        <f>_xll.QS.TRADE.CREATE("trade.5505",E5507,A5507,"Receive")</f>
        <v>QSObject:SwapTrade:w1~trade.5505:26549</v>
      </c>
      <c r="G5507" s="3">
        <f>_xll.QS.EVALUATE(C5507,F5507)</f>
        <v>24951.381747391228</v>
      </c>
      <c r="H5507" s="5" t="s">
        <v>5547</v>
      </c>
      <c r="I5507" s="7">
        <v>1550500</v>
      </c>
      <c r="J5507" s="8">
        <v>3.5499999999999997E-2</v>
      </c>
    </row>
    <row r="5508" spans="1:10" x14ac:dyDescent="0.25">
      <c r="A5508" s="5" t="s">
        <v>5541</v>
      </c>
      <c r="B5508" s="5" t="s">
        <v>7375</v>
      </c>
      <c r="C5508" s="6" t="str">
        <f>_xll.QS.CONTEXT.CREATE("market.5506",A5508,"USD","SOFR")</f>
        <v>QSObject:PricingContext:w1~market.5506:10144</v>
      </c>
      <c r="D5508" s="6" t="str">
        <f>_xll.QS.CONTEXT.ADD.CURVE(C5508,"SOFR",$K$2:$K$7,$L$2:$L$7,,,"Actual360","LogLinear",TRUE)</f>
        <v>QSObject:ContextInput:w1~input.qs_context_add_curve.2359132437744.5507.3.0:35044</v>
      </c>
      <c r="E5508" s="6" t="str">
        <f>_xll.QS.INSTRUMENT.SWAP("swap.5506",H5508,B5508,"USD","SOFR",I5508,J5508,0,"Actual360","Simple","Annual","Annual","Annual")</f>
        <v>QSObject:Swap:w1~swap.5506:10143</v>
      </c>
      <c r="F5508" s="6" t="str">
        <f>_xll.QS.TRADE.CREATE("trade.5506",E5508,A5508,"Receive")</f>
        <v>QSObject:SwapTrade:w1~trade.5506:26548</v>
      </c>
      <c r="G5508" s="3">
        <f>_xll.QS.EVALUATE(C5508,F5508)</f>
        <v>25671.384647236358</v>
      </c>
      <c r="H5508" s="5" t="s">
        <v>5548</v>
      </c>
      <c r="I5508" s="7">
        <v>1550600</v>
      </c>
      <c r="J5508" s="8">
        <v>3.5600000000000007E-2</v>
      </c>
    </row>
    <row r="5509" spans="1:10" x14ac:dyDescent="0.25">
      <c r="A5509" s="5" t="s">
        <v>5542</v>
      </c>
      <c r="B5509" s="5" t="s">
        <v>7376</v>
      </c>
      <c r="C5509" s="6" t="str">
        <f>_xll.QS.CONTEXT.CREATE("market.5507",A5509,"USD","SOFR")</f>
        <v>QSObject:PricingContext:w1~market.5507:10142</v>
      </c>
      <c r="D5509" s="6" t="str">
        <f>_xll.QS.CONTEXT.ADD.CURVE(C5509,"SOFR",$K$2:$K$7,$L$2:$L$7,,,"Actual360","LogLinear",TRUE)</f>
        <v>QSObject:ContextInput:w1~input.qs_context_add_curve.2359132437744.5508.3.0:35043</v>
      </c>
      <c r="E5509" s="6" t="str">
        <f>_xll.QS.INSTRUMENT.SWAP("swap.5507",H5509,B5509,"USD","SOFR",I5509,J5509,0,"Actual360","Simple","Annual","Annual","Annual")</f>
        <v>QSObject:Swap:w1~swap.5507:10141</v>
      </c>
      <c r="F5509" s="6" t="str">
        <f>_xll.QS.TRADE.CREATE("trade.5507",E5509,A5509,"Receive")</f>
        <v>QSObject:SwapTrade:w1~trade.5507:26547</v>
      </c>
      <c r="G5509" s="3">
        <f>_xll.QS.EVALUATE(C5509,F5509)</f>
        <v>26291.701129005858</v>
      </c>
      <c r="H5509" s="5" t="s">
        <v>5549</v>
      </c>
      <c r="I5509" s="7">
        <v>1550700</v>
      </c>
      <c r="J5509" s="8">
        <v>3.5700000000000003E-2</v>
      </c>
    </row>
    <row r="5510" spans="1:10" x14ac:dyDescent="0.25">
      <c r="A5510" s="5" t="s">
        <v>5543</v>
      </c>
      <c r="B5510" s="5" t="s">
        <v>7377</v>
      </c>
      <c r="C5510" s="6" t="str">
        <f>_xll.QS.CONTEXT.CREATE("market.5508",A5510,"USD","SOFR")</f>
        <v>QSObject:PricingContext:w1~market.5508:10140</v>
      </c>
      <c r="D5510" s="6" t="str">
        <f>_xll.QS.CONTEXT.ADD.CURVE(C5510,"SOFR",$K$2:$K$7,$L$2:$L$7,,,"Actual360","LogLinear",TRUE)</f>
        <v>QSObject:ContextInput:w1~input.qs_context_add_curve.2359132437744.5509.3.0:35042</v>
      </c>
      <c r="E5510" s="6" t="str">
        <f>_xll.QS.INSTRUMENT.SWAP("swap.5508",H5510,B5510,"USD","SOFR",I5510,J5510,0,"Actual360","Simple","Annual","Annual","Annual")</f>
        <v>QSObject:Swap:w1~swap.5508:10139</v>
      </c>
      <c r="F5510" s="6" t="str">
        <f>_xll.QS.TRADE.CREATE("trade.5508",E5510,A5510,"Receive")</f>
        <v>QSObject:SwapTrade:w1~trade.5508:26546</v>
      </c>
      <c r="G5510" s="3">
        <f>_xll.QS.EVALUATE(C5510,F5510)</f>
        <v>26873.547719101909</v>
      </c>
      <c r="H5510" s="5" t="s">
        <v>5550</v>
      </c>
      <c r="I5510" s="7">
        <v>1550800</v>
      </c>
      <c r="J5510" s="8">
        <v>3.5800000000000012E-2</v>
      </c>
    </row>
    <row r="5511" spans="1:10" x14ac:dyDescent="0.25">
      <c r="A5511" s="5" t="s">
        <v>5544</v>
      </c>
      <c r="B5511" s="5" t="s">
        <v>7378</v>
      </c>
      <c r="C5511" s="6" t="str">
        <f>_xll.QS.CONTEXT.CREATE("market.5509",A5511,"USD","SOFR")</f>
        <v>QSObject:PricingContext:w1~market.5509:10138</v>
      </c>
      <c r="D5511" s="6" t="str">
        <f>_xll.QS.CONTEXT.ADD.CURVE(C5511,"SOFR",$K$2:$K$7,$L$2:$L$7,,,"Actual360","LogLinear",TRUE)</f>
        <v>QSObject:ContextInput:w1~input.qs_context_add_curve.2359132437744.5510.3.0:35041</v>
      </c>
      <c r="E5511" s="6" t="str">
        <f>_xll.QS.INSTRUMENT.SWAP("swap.5509",H5511,B5511,"USD","SOFR",I5511,J5511,0,"Actual360","Simple","Annual","Annual","Annual")</f>
        <v>QSObject:Swap:w1~swap.5509:10137</v>
      </c>
      <c r="F5511" s="6" t="str">
        <f>_xll.QS.TRADE.CREATE("trade.5509",E5511,A5511,"Receive")</f>
        <v>QSObject:SwapTrade:w1~trade.5509:26545</v>
      </c>
      <c r="G5511" s="3">
        <f>_xll.QS.EVALUATE(C5511,F5511)</f>
        <v>27654.961783686405</v>
      </c>
      <c r="H5511" s="5" t="s">
        <v>5551</v>
      </c>
      <c r="I5511" s="7">
        <v>1550900</v>
      </c>
      <c r="J5511" s="8">
        <v>3.5900000000000001E-2</v>
      </c>
    </row>
    <row r="5512" spans="1:10" x14ac:dyDescent="0.25">
      <c r="A5512" s="5" t="s">
        <v>5545</v>
      </c>
      <c r="B5512" s="5" t="s">
        <v>7379</v>
      </c>
      <c r="C5512" s="6" t="str">
        <f>_xll.QS.CONTEXT.CREATE("market.5510",A5512,"USD","SOFR")</f>
        <v>QSObject:PricingContext:w1~market.5510:10136</v>
      </c>
      <c r="D5512" s="6" t="str">
        <f>_xll.QS.CONTEXT.ADD.CURVE(C5512,"SOFR",$K$2:$K$7,$L$2:$L$7,,,"Actual360","LogLinear",TRUE)</f>
        <v>QSObject:ContextInput:w1~input.qs_context_add_curve.2359132437744.5511.3.0:35040</v>
      </c>
      <c r="E5512" s="6" t="str">
        <f>_xll.QS.INSTRUMENT.SWAP("swap.5510",H5512,B5512,"USD","SOFR",I5512,J5512,0,"Actual360","Simple","Annual","Annual","Annual")</f>
        <v>QSObject:Swap:w1~swap.5510:10135</v>
      </c>
      <c r="F5512" s="6" t="str">
        <f>_xll.QS.TRADE.CREATE("trade.5510",E5512,A5512,"Receive")</f>
        <v>QSObject:SwapTrade:w1~trade.5510:26544</v>
      </c>
      <c r="G5512" s="3">
        <f>_xll.QS.EVALUATE(C5512,F5512)</f>
        <v>28417.78375745326</v>
      </c>
      <c r="H5512" s="5" t="s">
        <v>5552</v>
      </c>
      <c r="I5512" s="7">
        <v>1551000</v>
      </c>
      <c r="J5512" s="8">
        <v>3.5999999999999997E-2</v>
      </c>
    </row>
    <row r="5513" spans="1:10" x14ac:dyDescent="0.25">
      <c r="A5513" s="5" t="s">
        <v>5546</v>
      </c>
      <c r="B5513" s="5" t="s">
        <v>7380</v>
      </c>
      <c r="C5513" s="6" t="str">
        <f>_xll.QS.CONTEXT.CREATE("market.5511",A5513,"USD","SOFR")</f>
        <v>QSObject:PricingContext:w1~market.5511:10134</v>
      </c>
      <c r="D5513" s="6" t="str">
        <f>_xll.QS.CONTEXT.ADD.CURVE(C5513,"SOFR",$K$2:$K$7,$L$2:$L$7,,,"Actual360","LogLinear",TRUE)</f>
        <v>QSObject:ContextInput:w1~input.qs_context_add_curve.2359132437744.5512.3.0:35039</v>
      </c>
      <c r="E5513" s="6" t="str">
        <f>_xll.QS.INSTRUMENT.SWAP("swap.5511",H5513,B5513,"USD","SOFR",I5513,J5513,0,"Actual360","Simple","Annual","Annual","Annual")</f>
        <v>QSObject:Swap:w1~swap.5511:10133</v>
      </c>
      <c r="F5513" s="6" t="str">
        <f>_xll.QS.TRADE.CREATE("trade.5511",E5513,A5513,"Receive")</f>
        <v>QSObject:SwapTrade:w1~trade.5511:26543</v>
      </c>
      <c r="G5513" s="3">
        <f>_xll.QS.EVALUATE(C5513,F5513)</f>
        <v>29248.040703588566</v>
      </c>
      <c r="H5513" s="5" t="s">
        <v>5553</v>
      </c>
      <c r="I5513" s="7">
        <v>1551100</v>
      </c>
      <c r="J5513" s="8">
        <v>3.61E-2</v>
      </c>
    </row>
    <row r="5514" spans="1:10" x14ac:dyDescent="0.25">
      <c r="A5514" s="5" t="s">
        <v>5547</v>
      </c>
      <c r="B5514" s="5" t="s">
        <v>7381</v>
      </c>
      <c r="C5514" s="6" t="str">
        <f>_xll.QS.CONTEXT.CREATE("market.5512",A5514,"USD","SOFR")</f>
        <v>QSObject:PricingContext:w1~market.5512:10132</v>
      </c>
      <c r="D5514" s="6" t="str">
        <f>_xll.QS.CONTEXT.ADD.CURVE(C5514,"SOFR",$K$2:$K$7,$L$2:$L$7,,,"Actual360","LogLinear",TRUE)</f>
        <v>QSObject:ContextInput:w1~input.qs_context_add_curve.2359132437744.5513.3.0:35038</v>
      </c>
      <c r="E5514" s="6" t="str">
        <f>_xll.QS.INSTRUMENT.SWAP("swap.5512",H5514,B5514,"USD","SOFR",I5514,J5514,0,"Actual360","Simple","Annual","Annual","Annual")</f>
        <v>QSObject:Swap:w1~swap.5512:10131</v>
      </c>
      <c r="F5514" s="6" t="str">
        <f>_xll.QS.TRADE.CREATE("trade.5512",E5514,A5514,"Receive")</f>
        <v>QSObject:SwapTrade:w1~trade.5512:26542</v>
      </c>
      <c r="G5514" s="3">
        <f>_xll.QS.EVALUATE(C5514,F5514)</f>
        <v>30032.914615925481</v>
      </c>
      <c r="H5514" s="5" t="s">
        <v>5554</v>
      </c>
      <c r="I5514" s="7">
        <v>1551200</v>
      </c>
      <c r="J5514" s="8">
        <v>3.6200000000000003E-2</v>
      </c>
    </row>
    <row r="5515" spans="1:10" x14ac:dyDescent="0.25">
      <c r="A5515" s="5" t="s">
        <v>5548</v>
      </c>
      <c r="B5515" s="5" t="s">
        <v>7382</v>
      </c>
      <c r="C5515" s="6" t="str">
        <f>_xll.QS.CONTEXT.CREATE("market.5513",A5515,"USD","SOFR")</f>
        <v>QSObject:PricingContext:w1~market.5513:10130</v>
      </c>
      <c r="D5515" s="6" t="str">
        <f>_xll.QS.CONTEXT.ADD.CURVE(C5515,"SOFR",$K$2:$K$7,$L$2:$L$7,,,"Actual360","LogLinear",TRUE)</f>
        <v>QSObject:ContextInput:w1~input.qs_context_add_curve.2359132437744.5514.3.0:35037</v>
      </c>
      <c r="E5515" s="6" t="str">
        <f>_xll.QS.INSTRUMENT.SWAP("swap.5513",H5515,B5515,"USD","SOFR",I5515,J5515,0,"Actual360","Simple","Annual","Annual","Annual")</f>
        <v>QSObject:Swap:w1~swap.5513:10129</v>
      </c>
      <c r="F5515" s="6" t="str">
        <f>_xll.QS.TRADE.CREATE("trade.5513",E5515,A5515,"Receive")</f>
        <v>QSObject:SwapTrade:w1~trade.5513:26415</v>
      </c>
      <c r="G5515" s="3">
        <f>_xll.QS.EVALUATE(C5515,F5515)</f>
        <v>30690.530404286721</v>
      </c>
      <c r="H5515" s="5" t="s">
        <v>5555</v>
      </c>
      <c r="I5515" s="7">
        <v>1551300</v>
      </c>
      <c r="J5515" s="8">
        <v>3.6300000000000013E-2</v>
      </c>
    </row>
    <row r="5516" spans="1:10" x14ac:dyDescent="0.25">
      <c r="A5516" s="5" t="s">
        <v>5549</v>
      </c>
      <c r="B5516" s="5" t="s">
        <v>7383</v>
      </c>
      <c r="C5516" s="6" t="str">
        <f>_xll.QS.CONTEXT.CREATE("market.5514",A5516,"USD","SOFR")</f>
        <v>QSObject:PricingContext:w1~market.5514:10128</v>
      </c>
      <c r="D5516" s="6" t="str">
        <f>_xll.QS.CONTEXT.ADD.CURVE(C5516,"SOFR",$K$2:$K$7,$L$2:$L$7,,,"Actual360","LogLinear",TRUE)</f>
        <v>QSObject:ContextInput:w1~input.qs_context_add_curve.2359132437744.5515.3.0:35036</v>
      </c>
      <c r="E5516" s="6" t="str">
        <f>_xll.QS.INSTRUMENT.SWAP("swap.5514",H5516,B5516,"USD","SOFR",I5516,J5516,0,"Actual360","Simple","Annual","Annual","Annual")</f>
        <v>QSObject:Swap:w1~swap.5514:10127</v>
      </c>
      <c r="F5516" s="6" t="str">
        <f>_xll.QS.TRADE.CREATE("trade.5514",E5516,A5516,"Receive")</f>
        <v>QSObject:SwapTrade:w1~trade.5514:26414</v>
      </c>
      <c r="G5516" s="3">
        <f>_xll.QS.EVALUATE(C5516,F5516)</f>
        <v>31305.551639940022</v>
      </c>
      <c r="H5516" s="5" t="s">
        <v>5556</v>
      </c>
      <c r="I5516" s="7">
        <v>1551400</v>
      </c>
      <c r="J5516" s="8">
        <v>3.6400000000000002E-2</v>
      </c>
    </row>
    <row r="5517" spans="1:10" x14ac:dyDescent="0.25">
      <c r="A5517" s="5" t="s">
        <v>5550</v>
      </c>
      <c r="B5517" s="5" t="s">
        <v>7384</v>
      </c>
      <c r="C5517" s="6" t="str">
        <f>_xll.QS.CONTEXT.CREATE("market.5515",A5517,"USD","SOFR")</f>
        <v>QSObject:PricingContext:w1~market.5515:10126</v>
      </c>
      <c r="D5517" s="6" t="str">
        <f>_xll.QS.CONTEXT.ADD.CURVE(C5517,"SOFR",$K$2:$K$7,$L$2:$L$7,,,"Actual360","LogLinear",TRUE)</f>
        <v>QSObject:ContextInput:w1~input.qs_context_add_curve.2359132437744.5516.3.0:35035</v>
      </c>
      <c r="E5517" s="6" t="str">
        <f>_xll.QS.INSTRUMENT.SWAP("swap.5515",H5517,B5517,"USD","SOFR",I5517,J5517,0,"Actual360","Simple","Annual","Annual","Annual")</f>
        <v>QSObject:Swap:w1~swap.5515:10125</v>
      </c>
      <c r="F5517" s="6" t="str">
        <f>_xll.QS.TRADE.CREATE("trade.5515",E5517,A5517,"Receive")</f>
        <v>QSObject:SwapTrade:w1~trade.5515:26413</v>
      </c>
      <c r="G5517" s="3">
        <f>_xll.QS.EVALUATE(C5517,F5517)</f>
        <v>31852.740600547375</v>
      </c>
      <c r="H5517" s="5" t="s">
        <v>5557</v>
      </c>
      <c r="I5517" s="7">
        <v>1551500</v>
      </c>
      <c r="J5517" s="8">
        <v>3.6499999999999998E-2</v>
      </c>
    </row>
    <row r="5518" spans="1:10" x14ac:dyDescent="0.25">
      <c r="A5518" s="5" t="s">
        <v>5551</v>
      </c>
      <c r="B5518" s="5" t="s">
        <v>7385</v>
      </c>
      <c r="C5518" s="6" t="str">
        <f>_xll.QS.CONTEXT.CREATE("market.5516",A5518,"USD","SOFR")</f>
        <v>QSObject:PricingContext:w1~market.5516:10124</v>
      </c>
      <c r="D5518" s="6" t="str">
        <f>_xll.QS.CONTEXT.ADD.CURVE(C5518,"SOFR",$K$2:$K$7,$L$2:$L$7,,,"Actual360","LogLinear",TRUE)</f>
        <v>QSObject:ContextInput:w1~input.qs_context_add_curve.2359132437744.5517.3.0:35034</v>
      </c>
      <c r="E5518" s="6" t="str">
        <f>_xll.QS.INSTRUMENT.SWAP("swap.5516",H5518,B5518,"USD","SOFR",I5518,J5518,0,"Actual360","Simple","Annual","Annual","Annual")</f>
        <v>QSObject:Swap:w1~swap.5516:10123</v>
      </c>
      <c r="F5518" s="6" t="str">
        <f>_xll.QS.TRADE.CREATE("trade.5516",E5518,A5518,"Receive")</f>
        <v>QSObject:SwapTrade:w1~trade.5516:26412</v>
      </c>
      <c r="G5518" s="3">
        <f>_xll.QS.EVALUATE(C5518,F5518)</f>
        <v>32635.600519163949</v>
      </c>
      <c r="H5518" s="5" t="s">
        <v>5558</v>
      </c>
      <c r="I5518" s="7">
        <v>1551600</v>
      </c>
      <c r="J5518" s="8">
        <v>3.6600000000000001E-2</v>
      </c>
    </row>
    <row r="5519" spans="1:10" x14ac:dyDescent="0.25">
      <c r="A5519" s="5" t="s">
        <v>5552</v>
      </c>
      <c r="B5519" s="5" t="s">
        <v>7386</v>
      </c>
      <c r="C5519" s="6" t="str">
        <f>_xll.QS.CONTEXT.CREATE("market.5517",A5519,"USD","SOFR")</f>
        <v>QSObject:PricingContext:w1~market.5517:10122</v>
      </c>
      <c r="D5519" s="6" t="str">
        <f>_xll.QS.CONTEXT.ADD.CURVE(C5519,"SOFR",$K$2:$K$7,$L$2:$L$7,,,"Actual360","LogLinear",TRUE)</f>
        <v>QSObject:ContextInput:w1~input.qs_context_add_curve.2359132437744.5518.3.0:35033</v>
      </c>
      <c r="E5519" s="6" t="str">
        <f>_xll.QS.INSTRUMENT.SWAP("swap.5517",H5519,B5519,"USD","SOFR",I5519,J5519,0,"Actual360","Simple","Annual","Annual","Annual")</f>
        <v>QSObject:Swap:w1~swap.5517:10121</v>
      </c>
      <c r="F5519" s="6" t="str">
        <f>_xll.QS.TRADE.CREATE("trade.5517",E5519,A5519,"Receive")</f>
        <v>QSObject:SwapTrade:w1~trade.5517:26411</v>
      </c>
      <c r="G5519" s="3">
        <f>_xll.QS.EVALUATE(C5519,F5519)</f>
        <v>33397.00369138331</v>
      </c>
      <c r="H5519" s="5" t="s">
        <v>5559</v>
      </c>
      <c r="I5519" s="7">
        <v>1551700</v>
      </c>
      <c r="J5519" s="8">
        <v>3.6700000000000003E-2</v>
      </c>
    </row>
    <row r="5520" spans="1:10" x14ac:dyDescent="0.25">
      <c r="A5520" s="5" t="s">
        <v>5553</v>
      </c>
      <c r="B5520" s="5" t="s">
        <v>7387</v>
      </c>
      <c r="C5520" s="6" t="str">
        <f>_xll.QS.CONTEXT.CREATE("market.5518",A5520,"USD","SOFR")</f>
        <v>QSObject:PricingContext:w1~market.5518:10120</v>
      </c>
      <c r="D5520" s="6" t="str">
        <f>_xll.QS.CONTEXT.ADD.CURVE(C5520,"SOFR",$K$2:$K$7,$L$2:$L$7,,,"Actual360","LogLinear",TRUE)</f>
        <v>QSObject:ContextInput:w1~input.qs_context_add_curve.2359132437744.5519.3.0:35032</v>
      </c>
      <c r="E5520" s="6" t="str">
        <f>_xll.QS.INSTRUMENT.SWAP("swap.5518",H5520,B5520,"USD","SOFR",I5520,J5520,0,"Actual360","Simple","Annual","Annual","Annual")</f>
        <v>QSObject:Swap:w1~swap.5518:10119</v>
      </c>
      <c r="F5520" s="6" t="str">
        <f>_xll.QS.TRADE.CREATE("trade.5518",E5520,A5520,"Receive")</f>
        <v>QSObject:SwapTrade:w1~trade.5518:26410</v>
      </c>
      <c r="G5520" s="3">
        <f>_xll.QS.EVALUATE(C5520,F5520)</f>
        <v>34327.437267356348</v>
      </c>
      <c r="H5520" s="5" t="s">
        <v>5560</v>
      </c>
      <c r="I5520" s="7">
        <v>1551800</v>
      </c>
      <c r="J5520" s="8">
        <v>3.6800000000000013E-2</v>
      </c>
    </row>
    <row r="5521" spans="1:10" x14ac:dyDescent="0.25">
      <c r="A5521" s="5" t="s">
        <v>5554</v>
      </c>
      <c r="B5521" s="5" t="s">
        <v>7388</v>
      </c>
      <c r="C5521" s="6" t="str">
        <f>_xll.QS.CONTEXT.CREATE("market.5519",A5521,"USD","SOFR")</f>
        <v>QSObject:PricingContext:w1~market.5519:10118</v>
      </c>
      <c r="D5521" s="6" t="str">
        <f>_xll.QS.CONTEXT.ADD.CURVE(C5521,"SOFR",$K$2:$K$7,$L$2:$L$7,,,"Actual360","LogLinear",TRUE)</f>
        <v>QSObject:ContextInput:w1~input.qs_context_add_curve.2359132437744.5520.3.0:35031</v>
      </c>
      <c r="E5521" s="6" t="str">
        <f>_xll.QS.INSTRUMENT.SWAP("swap.5519",H5521,B5521,"USD","SOFR",I5521,J5521,0,"Actual360","Simple","Annual","Annual","Annual")</f>
        <v>QSObject:Swap:w1~swap.5519:10117</v>
      </c>
      <c r="F5521" s="6" t="str">
        <f>_xll.QS.TRADE.CREATE("trade.5519",E5521,A5521,"Receive")</f>
        <v>QSObject:SwapTrade:w1~trade.5519:26409</v>
      </c>
      <c r="G5521" s="3">
        <f>_xll.QS.EVALUATE(C5521,F5521)</f>
        <v>35057.822320698098</v>
      </c>
      <c r="H5521" s="5" t="s">
        <v>5561</v>
      </c>
      <c r="I5521" s="7">
        <v>1551900</v>
      </c>
      <c r="J5521" s="8">
        <v>3.6900000000000002E-2</v>
      </c>
    </row>
    <row r="5522" spans="1:10" x14ac:dyDescent="0.25">
      <c r="A5522" s="5" t="s">
        <v>5555</v>
      </c>
      <c r="B5522" s="5" t="s">
        <v>7389</v>
      </c>
      <c r="C5522" s="6" t="str">
        <f>_xll.QS.CONTEXT.CREATE("market.5520",A5522,"USD","SOFR")</f>
        <v>QSObject:PricingContext:w1~market.5520:10116</v>
      </c>
      <c r="D5522" s="6" t="str">
        <f>_xll.QS.CONTEXT.ADD.CURVE(C5522,"SOFR",$K$2:$K$7,$L$2:$L$7,,,"Actual360","LogLinear",TRUE)</f>
        <v>QSObject:ContextInput:w1~input.qs_context_add_curve.2359132437744.5521.3.0:35030</v>
      </c>
      <c r="E5522" s="6" t="str">
        <f>_xll.QS.INSTRUMENT.SWAP("swap.5520",H5522,B5522,"USD","SOFR",I5522,J5522,0,"Actual360","Simple","Annual","Annual","Annual")</f>
        <v>QSObject:Swap:w1~swap.5520:10115</v>
      </c>
      <c r="F5522" s="6" t="str">
        <f>_xll.QS.TRADE.CREATE("trade.5520",E5522,A5522,"Receive")</f>
        <v>QSObject:SwapTrade:w1~trade.5520:26408</v>
      </c>
      <c r="G5522" s="3">
        <f>_xll.QS.EVALUATE(C5522,F5522)</f>
        <v>35772.760424163331</v>
      </c>
      <c r="H5522" s="5" t="s">
        <v>5562</v>
      </c>
      <c r="I5522" s="7">
        <v>1552000</v>
      </c>
      <c r="J5522" s="8">
        <v>3.7000000000000012E-2</v>
      </c>
    </row>
    <row r="5523" spans="1:10" x14ac:dyDescent="0.25">
      <c r="A5523" s="5" t="s">
        <v>5556</v>
      </c>
      <c r="B5523" s="5" t="s">
        <v>7390</v>
      </c>
      <c r="C5523" s="6" t="str">
        <f>_xll.QS.CONTEXT.CREATE("market.5521",A5523,"USD","SOFR")</f>
        <v>QSObject:PricingContext:w1~market.5521:10114</v>
      </c>
      <c r="D5523" s="6" t="str">
        <f>_xll.QS.CONTEXT.ADD.CURVE(C5523,"SOFR",$K$2:$K$7,$L$2:$L$7,,,"Actual360","LogLinear",TRUE)</f>
        <v>QSObject:ContextInput:w1~input.qs_context_add_curve.2359132437744.5522.3.0:35029</v>
      </c>
      <c r="E5523" s="6" t="str">
        <f>_xll.QS.INSTRUMENT.SWAP("swap.5521",H5523,B5523,"USD","SOFR",I5523,J5523,0,"Actual360","Simple","Annual","Annual","Annual")</f>
        <v>QSObject:Swap:w1~swap.5521:10113</v>
      </c>
      <c r="F5523" s="6" t="str">
        <f>_xll.QS.TRADE.CREATE("trade.5521",E5523,A5523,"Receive")</f>
        <v>QSObject:SwapTrade:w1~trade.5521:26407</v>
      </c>
      <c r="G5523" s="3">
        <f>_xll.QS.EVALUATE(C5523,F5523)</f>
        <v>36359.104038195757</v>
      </c>
      <c r="H5523" s="5" t="s">
        <v>5563</v>
      </c>
      <c r="I5523" s="7">
        <v>1552100</v>
      </c>
      <c r="J5523" s="8">
        <v>3.7100000000000001E-2</v>
      </c>
    </row>
    <row r="5524" spans="1:10" x14ac:dyDescent="0.25">
      <c r="A5524" s="5" t="s">
        <v>5557</v>
      </c>
      <c r="B5524" s="5" t="s">
        <v>7391</v>
      </c>
      <c r="C5524" s="6" t="str">
        <f>_xll.QS.CONTEXT.CREATE("market.5522",A5524,"USD","SOFR")</f>
        <v>QSObject:PricingContext:w1~market.5522:10112</v>
      </c>
      <c r="D5524" s="6" t="str">
        <f>_xll.QS.CONTEXT.ADD.CURVE(C5524,"SOFR",$K$2:$K$7,$L$2:$L$7,,,"Actual360","LogLinear",TRUE)</f>
        <v>QSObject:ContextInput:w1~input.qs_context_add_curve.2359132437744.5523.3.0:35028</v>
      </c>
      <c r="E5524" s="6" t="str">
        <f>_xll.QS.INSTRUMENT.SWAP("swap.5522",H5524,B5524,"USD","SOFR",I5524,J5524,0,"Actual360","Simple","Annual","Annual","Annual")</f>
        <v>QSObject:Swap:w1~swap.5522:10111</v>
      </c>
      <c r="F5524" s="6" t="str">
        <f>_xll.QS.TRADE.CREATE("trade.5522",E5524,A5524,"Receive")</f>
        <v>QSObject:SwapTrade:w1~trade.5522:26406</v>
      </c>
      <c r="G5524" s="3">
        <f>_xll.QS.EVALUATE(C5524,F5524)</f>
        <v>36957.25612758522</v>
      </c>
      <c r="H5524" s="5" t="s">
        <v>5564</v>
      </c>
      <c r="I5524" s="7">
        <v>1552200</v>
      </c>
      <c r="J5524" s="8">
        <v>3.7199999999999997E-2</v>
      </c>
    </row>
    <row r="5525" spans="1:10" x14ac:dyDescent="0.25">
      <c r="A5525" s="5" t="s">
        <v>5558</v>
      </c>
      <c r="B5525" s="5" t="s">
        <v>7392</v>
      </c>
      <c r="C5525" s="6" t="str">
        <f>_xll.QS.CONTEXT.CREATE("market.5523",A5525,"USD","SOFR")</f>
        <v>QSObject:PricingContext:w1~market.5523:10110</v>
      </c>
      <c r="D5525" s="6" t="str">
        <f>_xll.QS.CONTEXT.ADD.CURVE(C5525,"SOFR",$K$2:$K$7,$L$2:$L$7,,,"Actual360","LogLinear",TRUE)</f>
        <v>QSObject:ContextInput:w1~input.qs_context_add_curve.2359132437744.5524.3.0:35027</v>
      </c>
      <c r="E5525" s="6" t="str">
        <f>_xll.QS.INSTRUMENT.SWAP("swap.5523",H5525,B5525,"USD","SOFR",I5525,J5525,0,"Actual360","Simple","Annual","Annual","Annual")</f>
        <v>QSObject:Swap:w1~swap.5523:10109</v>
      </c>
      <c r="F5525" s="6" t="str">
        <f>_xll.QS.TRADE.CREATE("trade.5523",E5525,A5525,"Receive")</f>
        <v>QSObject:SwapTrade:w1~trade.5523:26405</v>
      </c>
      <c r="G5525" s="3">
        <f>_xll.QS.EVALUATE(C5525,F5525)</f>
        <v>37682.251706752155</v>
      </c>
      <c r="H5525" s="5" t="s">
        <v>5565</v>
      </c>
      <c r="I5525" s="7">
        <v>1552300</v>
      </c>
      <c r="J5525" s="8">
        <v>3.73E-2</v>
      </c>
    </row>
    <row r="5526" spans="1:10" x14ac:dyDescent="0.25">
      <c r="A5526" s="5" t="s">
        <v>5559</v>
      </c>
      <c r="B5526" s="5" t="s">
        <v>7393</v>
      </c>
      <c r="C5526" s="6" t="str">
        <f>_xll.QS.CONTEXT.CREATE("market.5524",A5526,"USD","SOFR")</f>
        <v>QSObject:PricingContext:w1~market.5524:10108</v>
      </c>
      <c r="D5526" s="6" t="str">
        <f>_xll.QS.CONTEXT.ADD.CURVE(C5526,"SOFR",$K$2:$K$7,$L$2:$L$7,,,"Actual360","LogLinear",TRUE)</f>
        <v>QSObject:ContextInput:w1~input.qs_context_add_curve.2359132437744.5525.3.0:35026</v>
      </c>
      <c r="E5526" s="6" t="str">
        <f>_xll.QS.INSTRUMENT.SWAP("swap.5524",H5526,B5526,"USD","SOFR",I5526,J5526,0,"Actual360","Simple","Annual","Annual","Annual")</f>
        <v>QSObject:Swap:w1~swap.5524:10107</v>
      </c>
      <c r="F5526" s="6" t="str">
        <f>_xll.QS.TRADE.CREATE("trade.5524",E5526,A5526,"Receive")</f>
        <v>QSObject:SwapTrade:w1~trade.5524:26404</v>
      </c>
      <c r="G5526" s="3">
        <f>_xll.QS.EVALUATE(C5526,F5526)</f>
        <v>38466.116261032017</v>
      </c>
      <c r="H5526" s="5" t="s">
        <v>5566</v>
      </c>
      <c r="I5526" s="7">
        <v>1552400</v>
      </c>
      <c r="J5526" s="8">
        <v>3.7400000000000003E-2</v>
      </c>
    </row>
    <row r="5527" spans="1:10" x14ac:dyDescent="0.25">
      <c r="A5527" s="5" t="s">
        <v>5560</v>
      </c>
      <c r="B5527" s="5" t="s">
        <v>7394</v>
      </c>
      <c r="C5527" s="6" t="str">
        <f>_xll.QS.CONTEXT.CREATE("market.5525",A5527,"USD","SOFR")</f>
        <v>QSObject:PricingContext:w1~market.5525:10106</v>
      </c>
      <c r="D5527" s="6" t="str">
        <f>_xll.QS.CONTEXT.ADD.CURVE(C5527,"SOFR",$K$2:$K$7,$L$2:$L$7,,,"Actual360","LogLinear",TRUE)</f>
        <v>QSObject:ContextInput:w1~input.qs_context_add_curve.2359132437744.5526.3.0:35025</v>
      </c>
      <c r="E5527" s="6" t="str">
        <f>_xll.QS.INSTRUMENT.SWAP("swap.5525",H5527,B5527,"USD","SOFR",I5527,J5527,0,"Actual360","Simple","Annual","Annual","Annual")</f>
        <v>QSObject:Swap:w1~swap.5525:10105</v>
      </c>
      <c r="F5527" s="6" t="str">
        <f>_xll.QS.TRADE.CREATE("trade.5525",E5527,A5527,"Receive")</f>
        <v>QSObject:SwapTrade:w1~trade.5525:26403</v>
      </c>
      <c r="G5527" s="3">
        <f>_xll.QS.EVALUATE(C5527,F5527)</f>
        <v>39297.555468797014</v>
      </c>
      <c r="H5527" s="5" t="s">
        <v>5567</v>
      </c>
      <c r="I5527" s="7">
        <v>1552500</v>
      </c>
      <c r="J5527" s="8">
        <v>3.7500000000000012E-2</v>
      </c>
    </row>
    <row r="5528" spans="1:10" x14ac:dyDescent="0.25">
      <c r="A5528" s="5" t="s">
        <v>5561</v>
      </c>
      <c r="B5528" s="5" t="s">
        <v>7395</v>
      </c>
      <c r="C5528" s="6" t="str">
        <f>_xll.QS.CONTEXT.CREATE("market.5526",A5528,"USD","SOFR")</f>
        <v>QSObject:PricingContext:w1~market.5526:10104</v>
      </c>
      <c r="D5528" s="6" t="str">
        <f>_xll.QS.CONTEXT.ADD.CURVE(C5528,"SOFR",$K$2:$K$7,$L$2:$L$7,,,"Actual360","LogLinear",TRUE)</f>
        <v>QSObject:ContextInput:w1~input.qs_context_add_curve.2359132437744.5527.3.0:35024</v>
      </c>
      <c r="E5528" s="6" t="str">
        <f>_xll.QS.INSTRUMENT.SWAP("swap.5526",H5528,B5528,"USD","SOFR",I5528,J5528,0,"Actual360","Simple","Annual","Annual","Annual")</f>
        <v>QSObject:Swap:w1~swap.5526:10103</v>
      </c>
      <c r="F5528" s="6" t="str">
        <f>_xll.QS.TRADE.CREATE("trade.5526",E5528,A5528,"Receive")</f>
        <v>QSObject:SwapTrade:w1~trade.5526:26402</v>
      </c>
      <c r="G5528" s="3">
        <f>_xll.QS.EVALUATE(C5528,F5528)</f>
        <v>40085.457716821365</v>
      </c>
      <c r="H5528" s="5" t="s">
        <v>5568</v>
      </c>
      <c r="I5528" s="7">
        <v>1552600</v>
      </c>
      <c r="J5528" s="8">
        <v>3.7600000000000001E-2</v>
      </c>
    </row>
    <row r="5529" spans="1:10" x14ac:dyDescent="0.25">
      <c r="A5529" s="5" t="s">
        <v>5562</v>
      </c>
      <c r="B5529" s="5" t="s">
        <v>7396</v>
      </c>
      <c r="C5529" s="6" t="str">
        <f>_xll.QS.CONTEXT.CREATE("market.5527",A5529,"USD","SOFR")</f>
        <v>QSObject:PricingContext:w1~market.5527:10102</v>
      </c>
      <c r="D5529" s="6" t="str">
        <f>_xll.QS.CONTEXT.ADD.CURVE(C5529,"SOFR",$K$2:$K$7,$L$2:$L$7,,,"Actual360","LogLinear",TRUE)</f>
        <v>QSObject:ContextInput:w1~input.qs_context_add_curve.2359132437744.5528.3.0:35023</v>
      </c>
      <c r="E5529" s="6" t="str">
        <f>_xll.QS.INSTRUMENT.SWAP("swap.5527",H5529,B5529,"USD","SOFR",I5529,J5529,0,"Actual360","Simple","Annual","Annual","Annual")</f>
        <v>QSObject:Swap:w1~swap.5527:10101</v>
      </c>
      <c r="F5529" s="6" t="str">
        <f>_xll.QS.TRADE.CREATE("trade.5527",E5529,A5529,"Receive")</f>
        <v>QSObject:SwapTrade:w1~trade.5527:26401</v>
      </c>
      <c r="G5529" s="3">
        <f>_xll.QS.EVALUATE(C5529,F5529)</f>
        <v>40805.146428211905</v>
      </c>
      <c r="H5529" s="5" t="s">
        <v>5569</v>
      </c>
      <c r="I5529" s="7">
        <v>1552700</v>
      </c>
      <c r="J5529" s="8">
        <v>3.7699999999999997E-2</v>
      </c>
    </row>
    <row r="5530" spans="1:10" x14ac:dyDescent="0.25">
      <c r="A5530" s="5" t="s">
        <v>5563</v>
      </c>
      <c r="B5530" s="5" t="s">
        <v>7397</v>
      </c>
      <c r="C5530" s="6" t="str">
        <f>_xll.QS.CONTEXT.CREATE("market.5528",A5530,"USD","SOFR")</f>
        <v>QSObject:PricingContext:w1~market.5528:10100</v>
      </c>
      <c r="D5530" s="6" t="str">
        <f>_xll.QS.CONTEXT.ADD.CURVE(C5530,"SOFR",$K$2:$K$7,$L$2:$L$7,,,"Actual360","LogLinear",TRUE)</f>
        <v>QSObject:ContextInput:w1~input.qs_context_add_curve.2359132437744.5529.3.0:35022</v>
      </c>
      <c r="E5530" s="6" t="str">
        <f>_xll.QS.INSTRUMENT.SWAP("swap.5528",H5530,B5530,"USD","SOFR",I5530,J5530,0,"Actual360","Simple","Annual","Annual","Annual")</f>
        <v>QSObject:Swap:w1~swap.5528:10099</v>
      </c>
      <c r="F5530" s="6" t="str">
        <f>_xll.QS.TRADE.CREATE("trade.5528",E5530,A5530,"Receive")</f>
        <v>QSObject:SwapTrade:w1~trade.5528:26400</v>
      </c>
      <c r="G5530" s="3">
        <f>_xll.QS.EVALUATE(C5530,F5530)</f>
        <v>41409.548149901399</v>
      </c>
      <c r="H5530" s="5" t="s">
        <v>5570</v>
      </c>
      <c r="I5530" s="7">
        <v>1552800</v>
      </c>
      <c r="J5530" s="8">
        <v>3.78E-2</v>
      </c>
    </row>
    <row r="5531" spans="1:10" x14ac:dyDescent="0.25">
      <c r="A5531" s="5" t="s">
        <v>5564</v>
      </c>
      <c r="B5531" s="5" t="s">
        <v>7398</v>
      </c>
      <c r="C5531" s="6" t="str">
        <f>_xll.QS.CONTEXT.CREATE("market.5529",A5531,"USD","SOFR")</f>
        <v>QSObject:PricingContext:w1~market.5529:10098</v>
      </c>
      <c r="D5531" s="6" t="str">
        <f>_xll.QS.CONTEXT.ADD.CURVE(C5531,"SOFR",$K$2:$K$7,$L$2:$L$7,,,"Actual360","LogLinear",TRUE)</f>
        <v>QSObject:ContextInput:w1~input.qs_context_add_curve.2359132437744.5530.3.0:35021</v>
      </c>
      <c r="E5531" s="6" t="str">
        <f>_xll.QS.INSTRUMENT.SWAP("swap.5529",H5531,B5531,"USD","SOFR",I5531,J5531,0,"Actual360","Simple","Annual","Annual","Annual")</f>
        <v>QSObject:Swap:w1~swap.5529:10097</v>
      </c>
      <c r="F5531" s="6" t="str">
        <f>_xll.QS.TRADE.CREATE("trade.5529",E5531,A5531,"Receive")</f>
        <v>QSObject:SwapTrade:w1~trade.5529:26399</v>
      </c>
      <c r="G5531" s="3">
        <f>_xll.QS.EVALUATE(C5531,F5531)</f>
        <v>42130.679397372165</v>
      </c>
      <c r="H5531" s="5" t="s">
        <v>5571</v>
      </c>
      <c r="I5531" s="7">
        <v>1552900</v>
      </c>
      <c r="J5531" s="8">
        <v>3.7900000000000003E-2</v>
      </c>
    </row>
    <row r="5532" spans="1:10" x14ac:dyDescent="0.25">
      <c r="A5532" s="5" t="s">
        <v>5565</v>
      </c>
      <c r="B5532" s="5" t="s">
        <v>7399</v>
      </c>
      <c r="C5532" s="6" t="str">
        <f>_xll.QS.CONTEXT.CREATE("market.5530",A5532,"USD","SOFR")</f>
        <v>QSObject:PricingContext:w1~market.5530:10096</v>
      </c>
      <c r="D5532" s="6" t="str">
        <f>_xll.QS.CONTEXT.ADD.CURVE(C5532,"SOFR",$K$2:$K$7,$L$2:$L$7,,,"Actual360","LogLinear",TRUE)</f>
        <v>QSObject:ContextInput:w1~input.qs_context_add_curve.2359132437744.5531.3.0:35020</v>
      </c>
      <c r="E5532" s="6" t="str">
        <f>_xll.QS.INSTRUMENT.SWAP("swap.5530",H5532,B5532,"USD","SOFR",I5532,J5532,0,"Actual360","Simple","Annual","Annual","Annual")</f>
        <v>QSObject:Swap:w1~swap.5530:10095</v>
      </c>
      <c r="F5532" s="6" t="str">
        <f>_xll.QS.TRADE.CREATE("trade.5530",E5532,A5532,"Receive")</f>
        <v>QSObject:SwapTrade:w1~trade.5530:26398</v>
      </c>
      <c r="G5532" s="3">
        <f>_xll.QS.EVALUATE(C5532,F5532)</f>
        <v>42852.176472249543</v>
      </c>
      <c r="H5532" s="5" t="s">
        <v>5572</v>
      </c>
      <c r="I5532" s="7">
        <v>1553000</v>
      </c>
      <c r="J5532" s="8">
        <v>3.8000000000000013E-2</v>
      </c>
    </row>
    <row r="5533" spans="1:10" x14ac:dyDescent="0.25">
      <c r="A5533" s="5" t="s">
        <v>5566</v>
      </c>
      <c r="B5533" s="5" t="s">
        <v>7400</v>
      </c>
      <c r="C5533" s="6" t="str">
        <f>_xll.QS.CONTEXT.CREATE("market.5531",A5533,"USD","SOFR")</f>
        <v>QSObject:PricingContext:w1~market.5531:10094</v>
      </c>
      <c r="D5533" s="6" t="str">
        <f>_xll.QS.CONTEXT.ADD.CURVE(C5533,"SOFR",$K$2:$K$7,$L$2:$L$7,,,"Actual360","LogLinear",TRUE)</f>
        <v>QSObject:ContextInput:w1~input.qs_context_add_curve.2359132437744.5532.3.0:35019</v>
      </c>
      <c r="E5533" s="6" t="str">
        <f>_xll.QS.INSTRUMENT.SWAP("swap.5531",H5533,B5533,"USD","SOFR",I5533,J5533,0,"Actual360","Simple","Annual","Annual","Annual")</f>
        <v>QSObject:Swap:w1~swap.5531:10093</v>
      </c>
      <c r="F5533" s="6" t="str">
        <f>_xll.QS.TRADE.CREATE("trade.5531",E5533,A5533,"Receive")</f>
        <v>QSObject:SwapTrade:w1~trade.5531:26397</v>
      </c>
      <c r="G5533" s="3">
        <f>_xll.QS.EVALUATE(C5533,F5533)</f>
        <v>43495.862765565675</v>
      </c>
      <c r="H5533" s="5" t="s">
        <v>5574</v>
      </c>
      <c r="I5533" s="7">
        <v>1553100</v>
      </c>
      <c r="J5533" s="8">
        <v>3.8100000000000002E-2</v>
      </c>
    </row>
    <row r="5534" spans="1:10" x14ac:dyDescent="0.25">
      <c r="A5534" s="5" t="s">
        <v>5567</v>
      </c>
      <c r="B5534" s="5" t="s">
        <v>7401</v>
      </c>
      <c r="C5534" s="6" t="str">
        <f>_xll.QS.CONTEXT.CREATE("market.5532",A5534,"USD","SOFR")</f>
        <v>QSObject:PricingContext:w1~market.5532:10092</v>
      </c>
      <c r="D5534" s="6" t="str">
        <f>_xll.QS.CONTEXT.ADD.CURVE(C5534,"SOFR",$K$2:$K$7,$L$2:$L$7,,,"Actual360","LogLinear",TRUE)</f>
        <v>QSObject:ContextInput:w1~input.qs_context_add_curve.2359132437744.5533.3.0:35018</v>
      </c>
      <c r="E5534" s="6" t="str">
        <f>_xll.QS.INSTRUMENT.SWAP("swap.5532",H5534,B5534,"USD","SOFR",I5534,J5534,0,"Actual360","Simple","Annual","Annual","Annual")</f>
        <v>QSObject:Swap:w1~swap.5532:10091</v>
      </c>
      <c r="F5534" s="6" t="str">
        <f>_xll.QS.TRADE.CREATE("trade.5532",E5534,A5534,"Receive")</f>
        <v>QSObject:SwapTrade:w1~trade.5532:26396</v>
      </c>
      <c r="G5534" s="3">
        <f>_xll.QS.EVALUATE(C5534,F5534)</f>
        <v>44328.698418000837</v>
      </c>
      <c r="H5534" s="5" t="s">
        <v>5575</v>
      </c>
      <c r="I5534" s="7">
        <v>1553200</v>
      </c>
      <c r="J5534" s="8">
        <v>3.8199999999999998E-2</v>
      </c>
    </row>
    <row r="5535" spans="1:10" x14ac:dyDescent="0.25">
      <c r="A5535" s="5" t="s">
        <v>5568</v>
      </c>
      <c r="B5535" s="5" t="s">
        <v>7402</v>
      </c>
      <c r="C5535" s="6" t="str">
        <f>_xll.QS.CONTEXT.CREATE("market.5533",A5535,"USD","SOFR")</f>
        <v>QSObject:PricingContext:w1~market.5533:10090</v>
      </c>
      <c r="D5535" s="6" t="str">
        <f>_xll.QS.CONTEXT.ADD.CURVE(C5535,"SOFR",$K$2:$K$7,$L$2:$L$7,,,"Actual360","LogLinear",TRUE)</f>
        <v>QSObject:ContextInput:w1~input.qs_context_add_curve.2359132437744.5534.3.0:35017</v>
      </c>
      <c r="E5535" s="6" t="str">
        <f>_xll.QS.INSTRUMENT.SWAP("swap.5533",H5535,B5535,"USD","SOFR",I5535,J5535,0,"Actual360","Simple","Annual","Annual","Annual")</f>
        <v>QSObject:Swap:w1~swap.5533:10089</v>
      </c>
      <c r="F5535" s="6" t="str">
        <f>_xll.QS.TRADE.CREATE("trade.5533",E5535,A5535,"Receive")</f>
        <v>QSObject:SwapTrade:w1~trade.5533:26395</v>
      </c>
      <c r="G5535" s="3">
        <f>_xll.QS.EVALUATE(C5535,F5535)</f>
        <v>45052.594711310849</v>
      </c>
      <c r="H5535" s="5" t="s">
        <v>5576</v>
      </c>
      <c r="I5535" s="7">
        <v>1553300</v>
      </c>
      <c r="J5535" s="8">
        <v>3.8300000000000001E-2</v>
      </c>
    </row>
    <row r="5536" spans="1:10" x14ac:dyDescent="0.25">
      <c r="A5536" s="5" t="s">
        <v>5569</v>
      </c>
      <c r="B5536" s="5" t="s">
        <v>7403</v>
      </c>
      <c r="C5536" s="6" t="str">
        <f>_xll.QS.CONTEXT.CREATE("market.5534",A5536,"USD","SOFR")</f>
        <v>QSObject:PricingContext:w1~market.5534:10088</v>
      </c>
      <c r="D5536" s="6" t="str">
        <f>_xll.QS.CONTEXT.ADD.CURVE(C5536,"SOFR",$K$2:$K$7,$L$2:$L$7,,,"Actual360","LogLinear",TRUE)</f>
        <v>QSObject:ContextInput:w1~input.qs_context_add_curve.2359132437744.5535.3.0:35016</v>
      </c>
      <c r="E5536" s="6" t="str">
        <f>_xll.QS.INSTRUMENT.SWAP("swap.5534",H5536,B5536,"USD","SOFR",I5536,J5536,0,"Actual360","Simple","Annual","Annual","Annual")</f>
        <v>QSObject:Swap:w1~swap.5534:10087</v>
      </c>
      <c r="F5536" s="6" t="str">
        <f>_xll.QS.TRADE.CREATE("trade.5534",E5536,A5536,"Receive")</f>
        <v>QSObject:SwapTrade:w1~trade.5534:26394</v>
      </c>
      <c r="G5536" s="3">
        <f>_xll.QS.EVALUATE(C5536,F5536)</f>
        <v>45775.245062241353</v>
      </c>
      <c r="H5536" s="5" t="s">
        <v>5577</v>
      </c>
      <c r="I5536" s="7">
        <v>1553400</v>
      </c>
      <c r="J5536" s="8">
        <v>3.8399999999999997E-2</v>
      </c>
    </row>
    <row r="5537" spans="1:10" x14ac:dyDescent="0.25">
      <c r="A5537" s="5" t="s">
        <v>5570</v>
      </c>
      <c r="B5537" s="5" t="s">
        <v>7404</v>
      </c>
      <c r="C5537" s="6" t="str">
        <f>_xll.QS.CONTEXT.CREATE("market.5535",A5537,"USD","SOFR")</f>
        <v>QSObject:PricingContext:w1~market.5535:10086</v>
      </c>
      <c r="D5537" s="6" t="str">
        <f>_xll.QS.CONTEXT.ADD.CURVE(C5537,"SOFR",$K$2:$K$7,$L$2:$L$7,,,"Actual360","LogLinear",TRUE)</f>
        <v>QSObject:ContextInput:w1~input.qs_context_add_curve.2359132437744.5536.3.0:35015</v>
      </c>
      <c r="E5537" s="6" t="str">
        <f>_xll.QS.INSTRUMENT.SWAP("swap.5535",H5537,B5537,"USD","SOFR",I5537,J5537,0,"Actual360","Simple","Annual","Annual","Annual")</f>
        <v>QSObject:Swap:w1~swap.5535:10085</v>
      </c>
      <c r="F5537" s="6" t="str">
        <f>_xll.QS.TRADE.CREATE("trade.5535",E5537,A5537,"Receive")</f>
        <v>QSObject:SwapTrade:w1~trade.5535:26393</v>
      </c>
      <c r="G5537" s="3">
        <f>_xll.QS.EVALUATE(C5537,F5537)</f>
        <v>46374.332608146673</v>
      </c>
      <c r="H5537" s="5" t="s">
        <v>5578</v>
      </c>
      <c r="I5537" s="7">
        <v>1553500</v>
      </c>
      <c r="J5537" s="8">
        <v>3.8500000000000013E-2</v>
      </c>
    </row>
    <row r="5538" spans="1:10" x14ac:dyDescent="0.25">
      <c r="A5538" s="5" t="s">
        <v>5571</v>
      </c>
      <c r="B5538" s="5" t="s">
        <v>7405</v>
      </c>
      <c r="C5538" s="6" t="str">
        <f>_xll.QS.CONTEXT.CREATE("market.5536",A5538,"USD","SOFR")</f>
        <v>QSObject:PricingContext:w1~market.5536:10084</v>
      </c>
      <c r="D5538" s="6" t="str">
        <f>_xll.QS.CONTEXT.ADD.CURVE(C5538,"SOFR",$K$2:$K$7,$L$2:$L$7,,,"Actual360","LogLinear",TRUE)</f>
        <v>QSObject:ContextInput:w1~input.qs_context_add_curve.2359132437744.5537.3.0:35014</v>
      </c>
      <c r="E5538" s="6" t="str">
        <f>_xll.QS.INSTRUMENT.SWAP("swap.5536",H5538,B5538,"USD","SOFR",I5538,J5538,0,"Actual360","Simple","Annual","Annual","Annual")</f>
        <v>QSObject:Swap:w1~swap.5536:10083</v>
      </c>
      <c r="F5538" s="6" t="str">
        <f>_xll.QS.TRADE.CREATE("trade.5536",E5538,A5538,"Receive")</f>
        <v>QSObject:SwapTrade:w1~trade.5536:26392</v>
      </c>
      <c r="G5538" s="3">
        <f>_xll.QS.EVALUATE(C5538,F5538)</f>
        <v>46989.607478921804</v>
      </c>
      <c r="H5538" s="5" t="s">
        <v>5579</v>
      </c>
      <c r="I5538" s="7">
        <v>1553600</v>
      </c>
      <c r="J5538" s="8">
        <v>3.8600000000000002E-2</v>
      </c>
    </row>
    <row r="5539" spans="1:10" x14ac:dyDescent="0.25">
      <c r="A5539" s="5" t="s">
        <v>5572</v>
      </c>
      <c r="B5539" s="5" t="s">
        <v>7406</v>
      </c>
      <c r="C5539" s="6" t="str">
        <f>_xll.QS.CONTEXT.CREATE("market.5537",A5539,"USD","SOFR")</f>
        <v>QSObject:PricingContext:w1~market.5537:10082</v>
      </c>
      <c r="D5539" s="6" t="str">
        <f>_xll.QS.CONTEXT.ADD.CURVE(C5539,"SOFR",$K$2:$K$7,$L$2:$L$7,,,"Actual360","LogLinear",TRUE)</f>
        <v>QSObject:ContextInput:w1~input.qs_context_add_curve.2359132437744.5538.3.0:35013</v>
      </c>
      <c r="E5539" s="6" t="str">
        <f>_xll.QS.INSTRUMENT.SWAP("swap.5537",H5539,B5539,"USD","SOFR",I5539,J5539,0,"Actual360","Simple","Annual","Annual","Annual")</f>
        <v>QSObject:Swap:w1~swap.5537:10081</v>
      </c>
      <c r="F5539" s="6" t="str">
        <f>_xll.QS.TRADE.CREATE("trade.5537",E5539,A5539,"Receive")</f>
        <v>QSObject:SwapTrade:w1~trade.5537:26391</v>
      </c>
      <c r="G5539" s="3">
        <f>_xll.QS.EVALUATE(C5539,F5539)</f>
        <v>47775.475413089574</v>
      </c>
      <c r="H5539" s="5" t="s">
        <v>5580</v>
      </c>
      <c r="I5539" s="7">
        <v>1553700</v>
      </c>
      <c r="J5539" s="8">
        <v>3.8700000000000012E-2</v>
      </c>
    </row>
    <row r="5540" spans="1:10" x14ac:dyDescent="0.25">
      <c r="A5540" s="5" t="s">
        <v>5574</v>
      </c>
      <c r="B5540" s="5" t="s">
        <v>7407</v>
      </c>
      <c r="C5540" s="6" t="str">
        <f>_xll.QS.CONTEXT.CREATE("market.5538",A5540,"USD","SOFR")</f>
        <v>QSObject:PricingContext:w1~market.5538:10080</v>
      </c>
      <c r="D5540" s="6" t="str">
        <f>_xll.QS.CONTEXT.ADD.CURVE(C5540,"SOFR",$K$2:$K$7,$L$2:$L$7,,,"Actual360","LogLinear",TRUE)</f>
        <v>QSObject:ContextInput:w1~input.qs_context_add_curve.2359132437744.5539.3.0:35012</v>
      </c>
      <c r="E5540" s="6" t="str">
        <f>_xll.QS.INSTRUMENT.SWAP("swap.5538",H5540,B5540,"USD","SOFR",I5540,J5540,0,"Actual360","Simple","Annual","Annual","Annual")</f>
        <v>QSObject:Swap:w1~swap.5538:10079</v>
      </c>
      <c r="F5540" s="6" t="str">
        <f>_xll.QS.TRADE.CREATE("trade.5538",E5540,A5540,"Receive")</f>
        <v>QSObject:SwapTrade:w1~trade.5538:26390</v>
      </c>
      <c r="G5540" s="3">
        <f>_xll.QS.EVALUATE(C5540,F5540)</f>
        <v>48531.016946130796</v>
      </c>
      <c r="H5540" s="5" t="s">
        <v>5581</v>
      </c>
      <c r="I5540" s="7">
        <v>1553800</v>
      </c>
      <c r="J5540" s="8">
        <v>3.8800000000000001E-2</v>
      </c>
    </row>
    <row r="5541" spans="1:10" x14ac:dyDescent="0.25">
      <c r="A5541" s="5" t="s">
        <v>5575</v>
      </c>
      <c r="B5541" s="5" t="s">
        <v>7408</v>
      </c>
      <c r="C5541" s="6" t="str">
        <f>_xll.QS.CONTEXT.CREATE("market.5539",A5541,"USD","SOFR")</f>
        <v>QSObject:PricingContext:w1~market.5539:10078</v>
      </c>
      <c r="D5541" s="6" t="str">
        <f>_xll.QS.CONTEXT.ADD.CURVE(C5541,"SOFR",$K$2:$K$7,$L$2:$L$7,,,"Actual360","LogLinear",TRUE)</f>
        <v>QSObject:ContextInput:w1~input.qs_context_add_curve.2359132437744.5540.3.0:35011</v>
      </c>
      <c r="E5541" s="6" t="str">
        <f>_xll.QS.INSTRUMENT.SWAP("swap.5539",H5541,B5541,"USD","SOFR",I5541,J5541,0,"Actual360","Simple","Annual","Annual","Annual")</f>
        <v>QSObject:Swap:w1~swap.5539:10077</v>
      </c>
      <c r="F5541" s="6" t="str">
        <f>_xll.QS.TRADE.CREATE("trade.5539",E5541,A5541,"Receive")</f>
        <v>QSObject:SwapTrade:w1~trade.5539:26389</v>
      </c>
      <c r="G5541" s="3">
        <f>_xll.QS.EVALUATE(C5541,F5541)</f>
        <v>49364.676019216284</v>
      </c>
      <c r="H5541" s="5" t="s">
        <v>5582</v>
      </c>
      <c r="I5541" s="7">
        <v>1553900</v>
      </c>
      <c r="J5541" s="8">
        <v>3.8899999999999997E-2</v>
      </c>
    </row>
    <row r="5542" spans="1:10" x14ac:dyDescent="0.25">
      <c r="A5542" s="5" t="s">
        <v>5576</v>
      </c>
      <c r="B5542" s="5" t="s">
        <v>7409</v>
      </c>
      <c r="C5542" s="6" t="str">
        <f>_xll.QS.CONTEXT.CREATE("market.5540",A5542,"USD","SOFR")</f>
        <v>QSObject:PricingContext:w1~market.5540:10076</v>
      </c>
      <c r="D5542" s="6" t="str">
        <f>_xll.QS.CONTEXT.ADD.CURVE(C5542,"SOFR",$K$2:$K$7,$L$2:$L$7,,,"Actual360","LogLinear",TRUE)</f>
        <v>QSObject:ContextInput:w1~input.qs_context_add_curve.2359132437744.5541.3.0:35010</v>
      </c>
      <c r="E5542" s="6" t="str">
        <f>_xll.QS.INSTRUMENT.SWAP("swap.5540",H5542,B5542,"USD","SOFR",I5542,J5542,0,"Actual360","Simple","Annual","Annual","Annual")</f>
        <v>QSObject:Swap:w1~swap.5540:10075</v>
      </c>
      <c r="F5542" s="6" t="str">
        <f>_xll.QS.TRADE.CREATE("trade.5540",E5542,A5542,"Receive")</f>
        <v>QSObject:SwapTrade:w1~trade.5540:26388</v>
      </c>
      <c r="G5542" s="3">
        <f>_xll.QS.EVALUATE(C5542,F5542)</f>
        <v>50152.47394267434</v>
      </c>
      <c r="H5542" s="5" t="s">
        <v>5583</v>
      </c>
      <c r="I5542" s="7">
        <v>1554000</v>
      </c>
      <c r="J5542" s="8">
        <v>3.9000000000000007E-2</v>
      </c>
    </row>
    <row r="5543" spans="1:10" x14ac:dyDescent="0.25">
      <c r="A5543" s="5" t="s">
        <v>5577</v>
      </c>
      <c r="B5543" s="5" t="s">
        <v>7410</v>
      </c>
      <c r="C5543" s="6" t="str">
        <f>_xll.QS.CONTEXT.CREATE("market.5541",A5543,"USD","SOFR")</f>
        <v>QSObject:PricingContext:w1~market.5541:10074</v>
      </c>
      <c r="D5543" s="6" t="str">
        <f>_xll.QS.CONTEXT.ADD.CURVE(C5543,"SOFR",$K$2:$K$7,$L$2:$L$7,,,"Actual360","LogLinear",TRUE)</f>
        <v>QSObject:ContextInput:w1~input.qs_context_add_curve.2359132437744.5542.3.0:35009</v>
      </c>
      <c r="E5543" s="6" t="str">
        <f>_xll.QS.INSTRUMENT.SWAP("swap.5541",H5543,B5543,"USD","SOFR",I5543,J5543,0,"Actual360","Simple","Annual","Annual","Annual")</f>
        <v>QSObject:Swap:w1~swap.5541:10073</v>
      </c>
      <c r="F5543" s="6" t="str">
        <f>_xll.QS.TRADE.CREATE("trade.5541",E5543,A5543,"Receive")</f>
        <v>QSObject:SwapTrade:w1~trade.5541:26387</v>
      </c>
      <c r="G5543" s="3">
        <f>_xll.QS.EVALUATE(C5543,F5543)</f>
        <v>50812.466706675237</v>
      </c>
      <c r="H5543" s="5" t="s">
        <v>5584</v>
      </c>
      <c r="I5543" s="7">
        <v>1554100</v>
      </c>
      <c r="J5543" s="8">
        <v>3.9100000000000003E-2</v>
      </c>
    </row>
    <row r="5544" spans="1:10" x14ac:dyDescent="0.25">
      <c r="A5544" s="5" t="s">
        <v>5578</v>
      </c>
      <c r="B5544" s="5" t="s">
        <v>7411</v>
      </c>
      <c r="C5544" s="6" t="str">
        <f>_xll.QS.CONTEXT.CREATE("market.5542",A5544,"USD","SOFR")</f>
        <v>QSObject:PricingContext:w1~market.5542:10072</v>
      </c>
      <c r="D5544" s="6" t="str">
        <f>_xll.QS.CONTEXT.ADD.CURVE(C5544,"SOFR",$K$2:$K$7,$L$2:$L$7,,,"Actual360","LogLinear",TRUE)</f>
        <v>QSObject:ContextInput:w1~input.qs_context_add_curve.2359132437744.5543.3.0:35008</v>
      </c>
      <c r="E5544" s="6" t="str">
        <f>_xll.QS.INSTRUMENT.SWAP("swap.5542",H5544,B5544,"USD","SOFR",I5544,J5544,0,"Actual360","Simple","Annual","Annual","Annual")</f>
        <v>QSObject:Swap:w1~swap.5542:10071</v>
      </c>
      <c r="F5544" s="6" t="str">
        <f>_xll.QS.TRADE.CREATE("trade.5542",E5544,A5544,"Receive")</f>
        <v>QSObject:SwapTrade:w1~trade.5542:26386</v>
      </c>
      <c r="G5544" s="3">
        <f>_xll.QS.EVALUATE(C5544,F5544)</f>
        <v>51406.237470542001</v>
      </c>
      <c r="H5544" s="5" t="s">
        <v>5585</v>
      </c>
      <c r="I5544" s="7">
        <v>1554200</v>
      </c>
      <c r="J5544" s="8">
        <v>3.9200000000000013E-2</v>
      </c>
    </row>
    <row r="5545" spans="1:10" x14ac:dyDescent="0.25">
      <c r="A5545" s="5" t="s">
        <v>5579</v>
      </c>
      <c r="B5545" s="5" t="s">
        <v>7412</v>
      </c>
      <c r="C5545" s="6" t="str">
        <f>_xll.QS.CONTEXT.CREATE("market.5543",A5545,"USD","SOFR")</f>
        <v>QSObject:PricingContext:w1~market.5543:10070</v>
      </c>
      <c r="D5545" s="6" t="str">
        <f>_xll.QS.CONTEXT.ADD.CURVE(C5545,"SOFR",$K$2:$K$7,$L$2:$L$7,,,"Actual360","LogLinear",TRUE)</f>
        <v>QSObject:ContextInput:w1~input.qs_context_add_curve.2359132437744.5544.3.0:35007</v>
      </c>
      <c r="E5545" s="6" t="str">
        <f>_xll.QS.INSTRUMENT.SWAP("swap.5543",H5545,B5545,"USD","SOFR",I5545,J5545,0,"Actual360","Simple","Annual","Annual","Annual")</f>
        <v>QSObject:Swap:w1~swap.5543:10069</v>
      </c>
      <c r="F5545" s="6" t="str">
        <f>_xll.QS.TRADE.CREATE("trade.5543",E5545,A5545,"Receive")</f>
        <v>QSObject:SwapTrade:w1~trade.5543:26385</v>
      </c>
      <c r="G5545" s="3">
        <f>_xll.QS.EVALUATE(C5545,F5545)</f>
        <v>52029.889001898286</v>
      </c>
      <c r="H5545" s="5" t="s">
        <v>5586</v>
      </c>
      <c r="I5545" s="7">
        <v>1554300</v>
      </c>
      <c r="J5545" s="8">
        <v>3.9300000000000002E-2</v>
      </c>
    </row>
    <row r="5546" spans="1:10" x14ac:dyDescent="0.25">
      <c r="A5546" s="5" t="s">
        <v>5580</v>
      </c>
      <c r="B5546" s="5" t="s">
        <v>7413</v>
      </c>
      <c r="C5546" s="6" t="str">
        <f>_xll.QS.CONTEXT.CREATE("market.5544",A5546,"USD","SOFR")</f>
        <v>QSObject:PricingContext:w1~market.5544:10068</v>
      </c>
      <c r="D5546" s="6" t="str">
        <f>_xll.QS.CONTEXT.ADD.CURVE(C5546,"SOFR",$K$2:$K$7,$L$2:$L$7,,,"Actual360","LogLinear",TRUE)</f>
        <v>QSObject:ContextInput:w1~input.qs_context_add_curve.2359132437744.5545.3.0:35006</v>
      </c>
      <c r="E5546" s="6" t="str">
        <f>_xll.QS.INSTRUMENT.SWAP("swap.5544",H5546,B5546,"USD","SOFR",I5546,J5546,0,"Actual360","Simple","Annual","Annual","Annual")</f>
        <v>QSObject:Swap:w1~swap.5544:10067</v>
      </c>
      <c r="F5546" s="6" t="str">
        <f>_xll.QS.TRADE.CREATE("trade.5544",E5546,A5546,"Receive")</f>
        <v>QSObject:SwapTrade:w1~trade.5544:26384</v>
      </c>
      <c r="G5546" s="3">
        <f>_xll.QS.EVALUATE(C5546,F5546)</f>
        <v>52816.918771531477</v>
      </c>
      <c r="H5546" s="5" t="s">
        <v>5587</v>
      </c>
      <c r="I5546" s="7">
        <v>1554400</v>
      </c>
      <c r="J5546" s="8">
        <v>3.9399999999999998E-2</v>
      </c>
    </row>
    <row r="5547" spans="1:10" x14ac:dyDescent="0.25">
      <c r="A5547" s="5" t="s">
        <v>5581</v>
      </c>
      <c r="B5547" s="5" t="s">
        <v>7414</v>
      </c>
      <c r="C5547" s="6" t="str">
        <f>_xll.QS.CONTEXT.CREATE("market.5545",A5547,"USD","SOFR")</f>
        <v>QSObject:PricingContext:w1~market.5545:10066</v>
      </c>
      <c r="D5547" s="6" t="str">
        <f>_xll.QS.CONTEXT.ADD.CURVE(C5547,"SOFR",$K$2:$K$7,$L$2:$L$7,,,"Actual360","LogLinear",TRUE)</f>
        <v>QSObject:ContextInput:w1~input.qs_context_add_curve.2359132437744.5546.3.0:35005</v>
      </c>
      <c r="E5547" s="6" t="str">
        <f>_xll.QS.INSTRUMENT.SWAP("swap.5545",H5547,B5547,"USD","SOFR",I5547,J5547,0,"Actual360","Simple","Annual","Annual","Annual")</f>
        <v>QSObject:Swap:w1~swap.5545:10065</v>
      </c>
      <c r="F5547" s="6" t="str">
        <f>_xll.QS.TRADE.CREATE("trade.5545",E5547,A5547,"Receive")</f>
        <v>QSObject:SwapTrade:w1~trade.5545:26383</v>
      </c>
      <c r="G5547" s="3">
        <f>_xll.QS.EVALUATE(C5547,F5547)</f>
        <v>53570.684087922098</v>
      </c>
      <c r="H5547" s="5" t="s">
        <v>5588</v>
      </c>
      <c r="I5547" s="7">
        <v>1554500</v>
      </c>
      <c r="J5547" s="8">
        <v>3.9500000000000007E-2</v>
      </c>
    </row>
    <row r="5548" spans="1:10" x14ac:dyDescent="0.25">
      <c r="A5548" s="5" t="s">
        <v>5582</v>
      </c>
      <c r="B5548" s="5" t="s">
        <v>7415</v>
      </c>
      <c r="C5548" s="6" t="str">
        <f>_xll.QS.CONTEXT.CREATE("market.5546",A5548,"USD","SOFR")</f>
        <v>QSObject:PricingContext:w1~market.5546:10064</v>
      </c>
      <c r="D5548" s="6" t="str">
        <f>_xll.QS.CONTEXT.ADD.CURVE(C5548,"SOFR",$K$2:$K$7,$L$2:$L$7,,,"Actual360","LogLinear",TRUE)</f>
        <v>QSObject:ContextInput:w1~input.qs_context_add_curve.2359132437744.5547.3.0:35004</v>
      </c>
      <c r="E5548" s="6" t="str">
        <f>_xll.QS.INSTRUMENT.SWAP("swap.5546",H5548,B5548,"USD","SOFR",I5548,J5548,0,"Actual360","Simple","Annual","Annual","Annual")</f>
        <v>QSObject:Swap:w1~swap.5546:10063</v>
      </c>
      <c r="F5548" s="6" t="str">
        <f>_xll.QS.TRADE.CREATE("trade.5546",E5548,A5548,"Receive")</f>
        <v>QSObject:SwapTrade:w1~trade.5546:26382</v>
      </c>
      <c r="G5548" s="3">
        <f>_xll.QS.EVALUATE(C5548,F5548)</f>
        <v>54405.119503353075</v>
      </c>
      <c r="H5548" s="5" t="s">
        <v>5589</v>
      </c>
      <c r="I5548" s="7">
        <v>1554600</v>
      </c>
      <c r="J5548" s="8">
        <v>3.9600000000000003E-2</v>
      </c>
    </row>
    <row r="5549" spans="1:10" x14ac:dyDescent="0.25">
      <c r="A5549" s="5" t="s">
        <v>5583</v>
      </c>
      <c r="B5549" s="5" t="s">
        <v>7416</v>
      </c>
      <c r="C5549" s="6" t="str">
        <f>_xll.QS.CONTEXT.CREATE("market.5547",A5549,"USD","SOFR")</f>
        <v>QSObject:PricingContext:w1~market.5547:10062</v>
      </c>
      <c r="D5549" s="6" t="str">
        <f>_xll.QS.CONTEXT.ADD.CURVE(C5549,"SOFR",$K$2:$K$7,$L$2:$L$7,,,"Actual360","LogLinear",TRUE)</f>
        <v>QSObject:ContextInput:w1~input.qs_context_add_curve.2359132437744.5548.3.0:35003</v>
      </c>
      <c r="E5549" s="6" t="str">
        <f>_xll.QS.INSTRUMENT.SWAP("swap.5547",H5549,B5549,"USD","SOFR",I5549,J5549,0,"Actual360","Simple","Annual","Annual","Annual")</f>
        <v>QSObject:Swap:w1~swap.5547:10061</v>
      </c>
      <c r="F5549" s="6" t="str">
        <f>_xll.QS.TRADE.CREATE("trade.5547",E5549,A5549,"Receive")</f>
        <v>QSObject:SwapTrade:w1~trade.5547:26381</v>
      </c>
      <c r="G5549" s="3">
        <f>_xll.QS.EVALUATE(C5549,F5549)</f>
        <v>55193.651263844018</v>
      </c>
      <c r="H5549" s="5" t="s">
        <v>5590</v>
      </c>
      <c r="I5549" s="7">
        <v>1554700</v>
      </c>
      <c r="J5549" s="8">
        <v>3.9700000000000013E-2</v>
      </c>
    </row>
    <row r="5550" spans="1:10" x14ac:dyDescent="0.25">
      <c r="A5550" s="5" t="s">
        <v>5584</v>
      </c>
      <c r="B5550" s="5" t="s">
        <v>7417</v>
      </c>
      <c r="C5550" s="6" t="str">
        <f>_xll.QS.CONTEXT.CREATE("market.5548",A5550,"USD","SOFR")</f>
        <v>QSObject:PricingContext:w1~market.5548:10060</v>
      </c>
      <c r="D5550" s="6" t="str">
        <f>_xll.QS.CONTEXT.ADD.CURVE(C5550,"SOFR",$K$2:$K$7,$L$2:$L$7,,,"Actual360","LogLinear",TRUE)</f>
        <v>QSObject:ContextInput:w1~input.qs_context_add_curve.2359132437744.5549.3.0:35002</v>
      </c>
      <c r="E5550" s="6" t="str">
        <f>_xll.QS.INSTRUMENT.SWAP("swap.5548",H5550,B5550,"USD","SOFR",I5550,J5550,0,"Actual360","Simple","Annual","Annual","Annual")</f>
        <v>QSObject:Swap:w1~swap.5548:10059</v>
      </c>
      <c r="F5550" s="6" t="str">
        <f>_xll.QS.TRADE.CREATE("trade.5548",E5550,A5550,"Receive")</f>
        <v>QSObject:SwapTrade:w1~trade.5548:26380</v>
      </c>
      <c r="G5550" s="3">
        <f>_xll.QS.EVALUATE(C5550,F5550)</f>
        <v>55854.207514535359</v>
      </c>
      <c r="H5550" s="5" t="s">
        <v>5591</v>
      </c>
      <c r="I5550" s="7">
        <v>1554800</v>
      </c>
      <c r="J5550" s="8">
        <v>3.9800000000000002E-2</v>
      </c>
    </row>
    <row r="5551" spans="1:10" x14ac:dyDescent="0.25">
      <c r="A5551" s="5" t="s">
        <v>5585</v>
      </c>
      <c r="B5551" s="5" t="s">
        <v>7418</v>
      </c>
      <c r="C5551" s="6" t="str">
        <f>_xll.QS.CONTEXT.CREATE("market.5549",A5551,"USD","SOFR")</f>
        <v>QSObject:PricingContext:w1~market.5549:10058</v>
      </c>
      <c r="D5551" s="6" t="str">
        <f>_xll.QS.CONTEXT.ADD.CURVE(C5551,"SOFR",$K$2:$K$7,$L$2:$L$7,,,"Actual360","LogLinear",TRUE)</f>
        <v>QSObject:ContextInput:w1~input.qs_context_add_curve.2359132437744.5550.3.0:35001</v>
      </c>
      <c r="E5551" s="6" t="str">
        <f>_xll.QS.INSTRUMENT.SWAP("swap.5549",H5551,B5551,"USD","SOFR",I5551,J5551,0,"Actual360","Simple","Annual","Annual","Annual")</f>
        <v>QSObject:Swap:w1~swap.5549:10057</v>
      </c>
      <c r="F5551" s="6" t="str">
        <f>_xll.QS.TRADE.CREATE("trade.5549",E5551,A5551,"Receive")</f>
        <v>QSObject:SwapTrade:w1~trade.5549:26379</v>
      </c>
      <c r="G5551" s="3">
        <f>_xll.QS.EVALUATE(C5551,F5551)</f>
        <v>56442.6561743477</v>
      </c>
      <c r="H5551" s="5" t="s">
        <v>5592</v>
      </c>
      <c r="I5551" s="7">
        <v>1554900</v>
      </c>
      <c r="J5551" s="8">
        <v>3.9899999999999998E-2</v>
      </c>
    </row>
    <row r="5552" spans="1:10" x14ac:dyDescent="0.25">
      <c r="A5552" s="5" t="s">
        <v>5586</v>
      </c>
      <c r="B5552" s="5" t="s">
        <v>7419</v>
      </c>
      <c r="C5552" s="6" t="str">
        <f>_xll.QS.CONTEXT.CREATE("market.5550",A5552,"USD","SOFR")</f>
        <v>QSObject:PricingContext:w1~market.5550:10056</v>
      </c>
      <c r="D5552" s="6" t="str">
        <f>_xll.QS.CONTEXT.ADD.CURVE(C5552,"SOFR",$K$2:$K$7,$L$2:$L$7,,,"Actual360","LogLinear",TRUE)</f>
        <v>QSObject:ContextInput:w1~input.qs_context_add_curve.2359132437744.5551.3.0:35000</v>
      </c>
      <c r="E5552" s="6" t="str">
        <f>_xll.QS.INSTRUMENT.SWAP("swap.5550",H5552,B5552,"USD","SOFR",I5552,J5552,0,"Actual360","Simple","Annual","Annual","Annual")</f>
        <v>QSObject:Swap:w1~swap.5550:10055</v>
      </c>
      <c r="F5552" s="6" t="str">
        <f>_xll.QS.TRADE.CREATE("trade.5550",E5552,A5552,"Receive")</f>
        <v>QSObject:SwapTrade:w1~trade.5550:26378</v>
      </c>
      <c r="G5552" s="3">
        <f>_xll.QS.EVALUATE(C5552,F5552)</f>
        <v>21207.762749212663</v>
      </c>
      <c r="H5552" s="5" t="s">
        <v>5593</v>
      </c>
      <c r="I5552" s="7">
        <v>1555000</v>
      </c>
      <c r="J5552" s="8">
        <v>3.5000000000000003E-2</v>
      </c>
    </row>
    <row r="5553" spans="1:10" x14ac:dyDescent="0.25">
      <c r="A5553" s="5" t="s">
        <v>5587</v>
      </c>
      <c r="B5553" s="5" t="s">
        <v>7420</v>
      </c>
      <c r="C5553" s="6" t="str">
        <f>_xll.QS.CONTEXT.CREATE("market.5551",A5553,"USD","SOFR")</f>
        <v>QSObject:PricingContext:w1~market.5551:10054</v>
      </c>
      <c r="D5553" s="6" t="str">
        <f>_xll.QS.CONTEXT.ADD.CURVE(C5553,"SOFR",$K$2:$K$7,$L$2:$L$7,,,"Actual360","LogLinear",TRUE)</f>
        <v>QSObject:ContextInput:w1~input.qs_context_add_curve.2359132437744.5552.3.0:34999</v>
      </c>
      <c r="E5553" s="6" t="str">
        <f>_xll.QS.INSTRUMENT.SWAP("swap.5551",H5553,B5553,"USD","SOFR",I5553,J5553,0,"Actual360","Simple","Annual","Annual","Annual")</f>
        <v>QSObject:Swap:w1~swap.5551:10053</v>
      </c>
      <c r="F5553" s="6" t="str">
        <f>_xll.QS.TRADE.CREATE("trade.5551",E5553,A5553,"Receive")</f>
        <v>QSObject:SwapTrade:w1~trade.5551:26377</v>
      </c>
      <c r="G5553" s="3">
        <f>_xll.QS.EVALUATE(C5553,F5553)</f>
        <v>21989.89266528438</v>
      </c>
      <c r="H5553" s="5" t="s">
        <v>5594</v>
      </c>
      <c r="I5553" s="7">
        <v>1555100</v>
      </c>
      <c r="J5553" s="8">
        <v>3.5100000000000013E-2</v>
      </c>
    </row>
    <row r="5554" spans="1:10" x14ac:dyDescent="0.25">
      <c r="A5554" s="5" t="s">
        <v>5588</v>
      </c>
      <c r="B5554" s="5" t="s">
        <v>7421</v>
      </c>
      <c r="C5554" s="6" t="str">
        <f>_xll.QS.CONTEXT.CREATE("market.5552",A5554,"USD","SOFR")</f>
        <v>QSObject:PricingContext:w1~market.5552:10052</v>
      </c>
      <c r="D5554" s="6" t="str">
        <f>_xll.QS.CONTEXT.ADD.CURVE(C5554,"SOFR",$K$2:$K$7,$L$2:$L$7,,,"Actual360","LogLinear",TRUE)</f>
        <v>QSObject:ContextInput:w1~input.qs_context_add_curve.2359132437744.5553.3.0:34998</v>
      </c>
      <c r="E5554" s="6" t="str">
        <f>_xll.QS.INSTRUMENT.SWAP("swap.5552",H5554,B5554,"USD","SOFR",I5554,J5554,0,"Actual360","Simple","Annual","Annual","Annual")</f>
        <v>QSObject:Swap:w1~swap.5552:10051</v>
      </c>
      <c r="F5554" s="6" t="str">
        <f>_xll.QS.TRADE.CREATE("trade.5552",E5554,A5554,"Receive")</f>
        <v>QSObject:SwapTrade:w1~trade.5552:26376</v>
      </c>
      <c r="G5554" s="3">
        <f>_xll.QS.EVALUATE(C5554,F5554)</f>
        <v>22757.277074134974</v>
      </c>
      <c r="H5554" s="5" t="s">
        <v>5595</v>
      </c>
      <c r="I5554" s="7">
        <v>1555200</v>
      </c>
      <c r="J5554" s="8">
        <v>3.5200000000000002E-2</v>
      </c>
    </row>
    <row r="5555" spans="1:10" x14ac:dyDescent="0.25">
      <c r="A5555" s="5" t="s">
        <v>5589</v>
      </c>
      <c r="B5555" s="5" t="s">
        <v>7422</v>
      </c>
      <c r="C5555" s="6" t="str">
        <f>_xll.QS.CONTEXT.CREATE("market.5553",A5555,"USD","SOFR")</f>
        <v>QSObject:PricingContext:w1~market.5553:10050</v>
      </c>
      <c r="D5555" s="6" t="str">
        <f>_xll.QS.CONTEXT.ADD.CURVE(C5555,"SOFR",$K$2:$K$7,$L$2:$L$7,,,"Actual360","LogLinear",TRUE)</f>
        <v>QSObject:ContextInput:w1~input.qs_context_add_curve.2359132437744.5554.3.0:34997</v>
      </c>
      <c r="E5555" s="6" t="str">
        <f>_xll.QS.INSTRUMENT.SWAP("swap.5553",H5555,B5555,"USD","SOFR",I5555,J5555,0,"Actual360","Simple","Annual","Annual","Annual")</f>
        <v>QSObject:Swap:w1~swap.5553:10049</v>
      </c>
      <c r="F5555" s="6" t="str">
        <f>_xll.QS.TRADE.CREATE("trade.5553",E5555,A5555,"Receive")</f>
        <v>QSObject:SwapTrade:w1~trade.5553:26375</v>
      </c>
      <c r="G5555" s="3">
        <f>_xll.QS.EVALUATE(C5555,F5555)</f>
        <v>23589.615768800511</v>
      </c>
      <c r="H5555" s="5" t="s">
        <v>5596</v>
      </c>
      <c r="I5555" s="7">
        <v>1555300</v>
      </c>
      <c r="J5555" s="8">
        <v>3.5299999999999998E-2</v>
      </c>
    </row>
    <row r="5556" spans="1:10" x14ac:dyDescent="0.25">
      <c r="A5556" s="5" t="s">
        <v>5590</v>
      </c>
      <c r="B5556" s="5" t="s">
        <v>7423</v>
      </c>
      <c r="C5556" s="6" t="str">
        <f>_xll.QS.CONTEXT.CREATE("market.5554",A5556,"USD","SOFR")</f>
        <v>QSObject:PricingContext:w1~market.5554:10048</v>
      </c>
      <c r="D5556" s="6" t="str">
        <f>_xll.QS.CONTEXT.ADD.CURVE(C5556,"SOFR",$K$2:$K$7,$L$2:$L$7,,,"Actual360","LogLinear",TRUE)</f>
        <v>QSObject:ContextInput:w1~input.qs_context_add_curve.2359132437744.5555.3.0:34996</v>
      </c>
      <c r="E5556" s="6" t="str">
        <f>_xll.QS.INSTRUMENT.SWAP("swap.5554",H5556,B5556,"USD","SOFR",I5556,J5556,0,"Actual360","Simple","Annual","Annual","Annual")</f>
        <v>QSObject:Swap:w1~swap.5554:10047</v>
      </c>
      <c r="F5556" s="6" t="str">
        <f>_xll.QS.TRADE.CREATE("trade.5554",E5556,A5556,"Receive")</f>
        <v>QSObject:SwapTrade:w1~trade.5554:26374</v>
      </c>
      <c r="G5556" s="3">
        <f>_xll.QS.EVALUATE(C5556,F5556)</f>
        <v>24376.423605024975</v>
      </c>
      <c r="H5556" s="5" t="s">
        <v>5597</v>
      </c>
      <c r="I5556" s="7">
        <v>1555400</v>
      </c>
      <c r="J5556" s="8">
        <v>3.5400000000000001E-2</v>
      </c>
    </row>
    <row r="5557" spans="1:10" x14ac:dyDescent="0.25">
      <c r="A5557" s="5" t="s">
        <v>5591</v>
      </c>
      <c r="B5557" s="5" t="s">
        <v>7424</v>
      </c>
      <c r="C5557" s="6" t="str">
        <f>_xll.QS.CONTEXT.CREATE("market.5555",A5557,"USD","SOFR")</f>
        <v>QSObject:PricingContext:w1~market.5555:10046</v>
      </c>
      <c r="D5557" s="6" t="str">
        <f>_xll.QS.CONTEXT.ADD.CURVE(C5557,"SOFR",$K$2:$K$7,$L$2:$L$7,,,"Actual360","LogLinear",TRUE)</f>
        <v>QSObject:ContextInput:w1~input.qs_context_add_curve.2359132437744.5556.3.0:34995</v>
      </c>
      <c r="E5557" s="6" t="str">
        <f>_xll.QS.INSTRUMENT.SWAP("swap.5555",H5557,B5557,"USD","SOFR",I5557,J5557,0,"Actual360","Simple","Annual","Annual","Annual")</f>
        <v>QSObject:Swap:w1~swap.5555:10045</v>
      </c>
      <c r="F5557" s="6" t="str">
        <f>_xll.QS.TRADE.CREATE("trade.5555",E5557,A5557,"Receive")</f>
        <v>QSObject:SwapTrade:w1~trade.5555:26373</v>
      </c>
      <c r="G5557" s="3">
        <f>_xll.QS.EVALUATE(C5557,F5557)</f>
        <v>24984.940324217503</v>
      </c>
      <c r="H5557" s="5" t="s">
        <v>5598</v>
      </c>
      <c r="I5557" s="7">
        <v>1555500</v>
      </c>
      <c r="J5557" s="8">
        <v>3.5499999999999997E-2</v>
      </c>
    </row>
    <row r="5558" spans="1:10" x14ac:dyDescent="0.25">
      <c r="A5558" s="5" t="s">
        <v>5592</v>
      </c>
      <c r="B5558" s="5" t="s">
        <v>7425</v>
      </c>
      <c r="C5558" s="6" t="str">
        <f>_xll.QS.CONTEXT.CREATE("market.5556",A5558,"USD","SOFR")</f>
        <v>QSObject:PricingContext:w1~market.5556:10044</v>
      </c>
      <c r="D5558" s="6" t="str">
        <f>_xll.QS.CONTEXT.ADD.CURVE(C5558,"SOFR",$K$2:$K$7,$L$2:$L$7,,,"Actual360","LogLinear",TRUE)</f>
        <v>QSObject:ContextInput:w1~input.qs_context_add_curve.2359132437744.5557.3.0:34994</v>
      </c>
      <c r="E5558" s="6" t="str">
        <f>_xll.QS.INSTRUMENT.SWAP("swap.5556",H5558,B5558,"USD","SOFR",I5558,J5558,0,"Actual360","Simple","Annual","Annual","Annual")</f>
        <v>QSObject:Swap:w1~swap.5556:10043</v>
      </c>
      <c r="F5558" s="6" t="str">
        <f>_xll.QS.TRADE.CREATE("trade.5556",E5558,A5558,"Receive")</f>
        <v>QSObject:SwapTrade:w1~trade.5556:26372</v>
      </c>
      <c r="G5558" s="3">
        <f>_xll.QS.EVALUATE(C5558,F5558)</f>
        <v>25658.4269947184</v>
      </c>
      <c r="H5558" s="5" t="s">
        <v>5599</v>
      </c>
      <c r="I5558" s="7">
        <v>1555600</v>
      </c>
      <c r="J5558" s="8">
        <v>3.5600000000000007E-2</v>
      </c>
    </row>
    <row r="5559" spans="1:10" x14ac:dyDescent="0.25">
      <c r="A5559" s="5" t="s">
        <v>5593</v>
      </c>
      <c r="B5559" s="5" t="s">
        <v>7426</v>
      </c>
      <c r="C5559" s="6" t="str">
        <f>_xll.QS.CONTEXT.CREATE("market.5557",A5559,"USD","SOFR")</f>
        <v>QSObject:PricingContext:w1~market.5557:10042</v>
      </c>
      <c r="D5559" s="6" t="str">
        <f>_xll.QS.CONTEXT.ADD.CURVE(C5559,"SOFR",$K$2:$K$7,$L$2:$L$7,,,"Actual360","LogLinear",TRUE)</f>
        <v>QSObject:ContextInput:w1~input.qs_context_add_curve.2359132437744.5558.3.0:34993</v>
      </c>
      <c r="E5559" s="6" t="str">
        <f>_xll.QS.INSTRUMENT.SWAP("swap.5557",H5559,B5559,"USD","SOFR",I5559,J5559,0,"Actual360","Simple","Annual","Annual","Annual")</f>
        <v>QSObject:Swap:w1~swap.5557:10041</v>
      </c>
      <c r="F5559" s="6" t="str">
        <f>_xll.QS.TRADE.CREATE("trade.5557",E5559,A5559,"Receive")</f>
        <v>QSObject:SwapTrade:w1~trade.5557:26371</v>
      </c>
      <c r="G5559" s="3">
        <f>_xll.QS.EVALUATE(C5559,F5559)</f>
        <v>26240.940083111331</v>
      </c>
      <c r="H5559" s="5" t="s">
        <v>5600</v>
      </c>
      <c r="I5559" s="7">
        <v>1555700</v>
      </c>
      <c r="J5559" s="8">
        <v>3.5700000000000003E-2</v>
      </c>
    </row>
    <row r="5560" spans="1:10" x14ac:dyDescent="0.25">
      <c r="A5560" s="5" t="s">
        <v>5594</v>
      </c>
      <c r="B5560" s="5" t="s">
        <v>7427</v>
      </c>
      <c r="C5560" s="6" t="str">
        <f>_xll.QS.CONTEXT.CREATE("market.5558",A5560,"USD","SOFR")</f>
        <v>QSObject:PricingContext:w1~market.5558:10040</v>
      </c>
      <c r="D5560" s="6" t="str">
        <f>_xll.QS.CONTEXT.ADD.CURVE(C5560,"SOFR",$K$2:$K$7,$L$2:$L$7,,,"Actual360","LogLinear",TRUE)</f>
        <v>QSObject:ContextInput:w1~input.qs_context_add_curve.2359132437744.5559.3.0:34992</v>
      </c>
      <c r="E5560" s="6" t="str">
        <f>_xll.QS.INSTRUMENT.SWAP("swap.5558",H5560,B5560,"USD","SOFR",I5560,J5560,0,"Actual360","Simple","Annual","Annual","Annual")</f>
        <v>QSObject:Swap:w1~swap.5558:10039</v>
      </c>
      <c r="F5560" s="6" t="str">
        <f>_xll.QS.TRADE.CREATE("trade.5558",E5560,A5560,"Receive")</f>
        <v>QSObject:SwapTrade:w1~trade.5558:26370</v>
      </c>
      <c r="G5560" s="3">
        <f>_xll.QS.EVALUATE(C5560,F5560)</f>
        <v>27024.512172093062</v>
      </c>
      <c r="H5560" s="5" t="s">
        <v>5601</v>
      </c>
      <c r="I5560" s="7">
        <v>1555800</v>
      </c>
      <c r="J5560" s="8">
        <v>3.5800000000000012E-2</v>
      </c>
    </row>
    <row r="5561" spans="1:10" x14ac:dyDescent="0.25">
      <c r="A5561" s="5" t="s">
        <v>5595</v>
      </c>
      <c r="B5561" s="5" t="s">
        <v>7428</v>
      </c>
      <c r="C5561" s="6" t="str">
        <f>_xll.QS.CONTEXT.CREATE("market.5559",A5561,"USD","SOFR")</f>
        <v>QSObject:PricingContext:w1~market.5559:10038</v>
      </c>
      <c r="D5561" s="6" t="str">
        <f>_xll.QS.CONTEXT.ADD.CURVE(C5561,"SOFR",$K$2:$K$7,$L$2:$L$7,,,"Actual360","LogLinear",TRUE)</f>
        <v>QSObject:ContextInput:w1~input.qs_context_add_curve.2359132437744.5560.3.0:34991</v>
      </c>
      <c r="E5561" s="6" t="str">
        <f>_xll.QS.INSTRUMENT.SWAP("swap.5559",H5561,B5561,"USD","SOFR",I5561,J5561,0,"Actual360","Simple","Annual","Annual","Annual")</f>
        <v>QSObject:Swap:w1~swap.5559:10037</v>
      </c>
      <c r="F5561" s="6" t="str">
        <f>_xll.QS.TRADE.CREATE("trade.5559",E5561,A5561,"Receive")</f>
        <v>QSObject:SwapTrade:w1~trade.5559:26369</v>
      </c>
      <c r="G5561" s="3">
        <f>_xll.QS.EVALUATE(C5561,F5561)</f>
        <v>27789.842789280578</v>
      </c>
      <c r="H5561" s="5" t="s">
        <v>5602</v>
      </c>
      <c r="I5561" s="7">
        <v>1555900</v>
      </c>
      <c r="J5561" s="8">
        <v>3.5900000000000001E-2</v>
      </c>
    </row>
    <row r="5562" spans="1:10" x14ac:dyDescent="0.25">
      <c r="A5562" s="5" t="s">
        <v>5596</v>
      </c>
      <c r="B5562" s="5" t="s">
        <v>7429</v>
      </c>
      <c r="C5562" s="6" t="str">
        <f>_xll.QS.CONTEXT.CREATE("market.5560",A5562,"USD","SOFR")</f>
        <v>QSObject:PricingContext:w1~market.5560:10036</v>
      </c>
      <c r="D5562" s="6" t="str">
        <f>_xll.QS.CONTEXT.ADD.CURVE(C5562,"SOFR",$K$2:$K$7,$L$2:$L$7,,,"Actual360","LogLinear",TRUE)</f>
        <v>QSObject:ContextInput:w1~input.qs_context_add_curve.2359132437744.5561.3.0:34990</v>
      </c>
      <c r="E5562" s="6" t="str">
        <f>_xll.QS.INSTRUMENT.SWAP("swap.5560",H5562,B5562,"USD","SOFR",I5562,J5562,0,"Actual360","Simple","Annual","Annual","Annual")</f>
        <v>QSObject:Swap:w1~swap.5560:10035</v>
      </c>
      <c r="F5562" s="6" t="str">
        <f>_xll.QS.TRADE.CREATE("trade.5560",E5562,A5562,"Receive")</f>
        <v>QSObject:SwapTrade:w1~trade.5560:26368</v>
      </c>
      <c r="G5562" s="3">
        <f>_xll.QS.EVALUATE(C5562,F5562)</f>
        <v>28695.291968075027</v>
      </c>
      <c r="H5562" s="5" t="s">
        <v>5603</v>
      </c>
      <c r="I5562" s="7">
        <v>1556000</v>
      </c>
      <c r="J5562" s="8">
        <v>3.5999999999999997E-2</v>
      </c>
    </row>
    <row r="5563" spans="1:10" x14ac:dyDescent="0.25">
      <c r="A5563" s="5" t="s">
        <v>5597</v>
      </c>
      <c r="B5563" s="5" t="s">
        <v>7430</v>
      </c>
      <c r="C5563" s="6" t="str">
        <f>_xll.QS.CONTEXT.CREATE("market.5561",A5563,"USD","SOFR")</f>
        <v>QSObject:PricingContext:w1~market.5561:10034</v>
      </c>
      <c r="D5563" s="6" t="str">
        <f>_xll.QS.CONTEXT.ADD.CURVE(C5563,"SOFR",$K$2:$K$7,$L$2:$L$7,,,"Actual360","LogLinear",TRUE)</f>
        <v>QSObject:ContextInput:w1~input.qs_context_add_curve.2359132437744.5562.3.0:34989</v>
      </c>
      <c r="E5563" s="6" t="str">
        <f>_xll.QS.INSTRUMENT.SWAP("swap.5561",H5563,B5563,"USD","SOFR",I5563,J5563,0,"Actual360","Simple","Annual","Annual","Annual")</f>
        <v>QSObject:Swap:w1~swap.5561:10033</v>
      </c>
      <c r="F5563" s="6" t="str">
        <f>_xll.QS.TRADE.CREATE("trade.5561",E5563,A5563,"Receive")</f>
        <v>QSObject:SwapTrade:w1~trade.5561:26367</v>
      </c>
      <c r="G5563" s="3">
        <f>_xll.QS.EVALUATE(C5563,F5563)</f>
        <v>29412.920540045212</v>
      </c>
      <c r="H5563" s="5" t="s">
        <v>5604</v>
      </c>
      <c r="I5563" s="7">
        <v>1556100</v>
      </c>
      <c r="J5563" s="8">
        <v>3.61E-2</v>
      </c>
    </row>
    <row r="5564" spans="1:10" x14ac:dyDescent="0.25">
      <c r="A5564" s="5" t="s">
        <v>5598</v>
      </c>
      <c r="B5564" s="5" t="s">
        <v>7431</v>
      </c>
      <c r="C5564" s="6" t="str">
        <f>_xll.QS.CONTEXT.CREATE("market.5562",A5564,"USD","SOFR")</f>
        <v>QSObject:PricingContext:w1~market.5562:10032</v>
      </c>
      <c r="D5564" s="6" t="str">
        <f>_xll.QS.CONTEXT.ADD.CURVE(C5564,"SOFR",$K$2:$K$7,$L$2:$L$7,,,"Actual360","LogLinear",TRUE)</f>
        <v>QSObject:ContextInput:w1~input.qs_context_add_curve.2359132437744.5563.3.0:34988</v>
      </c>
      <c r="E5564" s="6" t="str">
        <f>_xll.QS.INSTRUMENT.SWAP("swap.5562",H5564,B5564,"USD","SOFR",I5564,J5564,0,"Actual360","Simple","Annual","Annual","Annual")</f>
        <v>QSObject:Swap:w1~swap.5562:10031</v>
      </c>
      <c r="F5564" s="6" t="str">
        <f>_xll.QS.TRADE.CREATE("trade.5562",E5564,A5564,"Receive")</f>
        <v>QSObject:SwapTrade:w1~trade.5562:26366</v>
      </c>
      <c r="G5564" s="3">
        <f>_xll.QS.EVALUATE(C5564,F5564)</f>
        <v>30070.010418001155</v>
      </c>
      <c r="H5564" s="5" t="s">
        <v>5605</v>
      </c>
      <c r="I5564" s="7">
        <v>1556200</v>
      </c>
      <c r="J5564" s="8">
        <v>3.6200000000000003E-2</v>
      </c>
    </row>
    <row r="5565" spans="1:10" x14ac:dyDescent="0.25">
      <c r="A5565" s="5" t="s">
        <v>5599</v>
      </c>
      <c r="B5565" s="5" t="s">
        <v>7432</v>
      </c>
      <c r="C5565" s="6" t="str">
        <f>_xll.QS.CONTEXT.CREATE("market.5563",A5565,"USD","SOFR")</f>
        <v>QSObject:PricingContext:w1~market.5563:10030</v>
      </c>
      <c r="D5565" s="6" t="str">
        <f>_xll.QS.CONTEXT.ADD.CURVE(C5565,"SOFR",$K$2:$K$7,$L$2:$L$7,,,"Actual360","LogLinear",TRUE)</f>
        <v>QSObject:ContextInput:w1~input.qs_context_add_curve.2359132437744.5564.3.0:34987</v>
      </c>
      <c r="E5565" s="6" t="str">
        <f>_xll.QS.INSTRUMENT.SWAP("swap.5563",H5565,B5565,"USD","SOFR",I5565,J5565,0,"Actual360","Simple","Annual","Annual","Annual")</f>
        <v>QSObject:Swap:w1~swap.5563:10029</v>
      </c>
      <c r="F5565" s="6" t="str">
        <f>_xll.QS.TRADE.CREATE("trade.5563",E5565,A5565,"Receive")</f>
        <v>QSObject:SwapTrade:w1~trade.5563:26365</v>
      </c>
      <c r="G5565" s="3">
        <f>_xll.QS.EVALUATE(C5565,F5565)</f>
        <v>30556.247203051709</v>
      </c>
      <c r="H5565" s="5" t="s">
        <v>5606</v>
      </c>
      <c r="I5565" s="7">
        <v>1556300</v>
      </c>
      <c r="J5565" s="8">
        <v>3.6300000000000013E-2</v>
      </c>
    </row>
    <row r="5566" spans="1:10" x14ac:dyDescent="0.25">
      <c r="A5566" s="5" t="s">
        <v>5600</v>
      </c>
      <c r="B5566" s="5" t="s">
        <v>7433</v>
      </c>
      <c r="C5566" s="6" t="str">
        <f>_xll.QS.CONTEXT.CREATE("market.5564",A5566,"USD","SOFR")</f>
        <v>QSObject:PricingContext:w1~market.5564:10028</v>
      </c>
      <c r="D5566" s="6" t="str">
        <f>_xll.QS.CONTEXT.ADD.CURVE(C5566,"SOFR",$K$2:$K$7,$L$2:$L$7,,,"Actual360","LogLinear",TRUE)</f>
        <v>QSObject:ContextInput:w1~input.qs_context_add_curve.2359132437744.5565.3.0:34986</v>
      </c>
      <c r="E5566" s="6" t="str">
        <f>_xll.QS.INSTRUMENT.SWAP("swap.5564",H5566,B5566,"USD","SOFR",I5566,J5566,0,"Actual360","Simple","Annual","Annual","Annual")</f>
        <v>QSObject:Swap:w1~swap.5564:10027</v>
      </c>
      <c r="F5566" s="6" t="str">
        <f>_xll.QS.TRADE.CREATE("trade.5564",E5566,A5566,"Receive")</f>
        <v>QSObject:SwapTrade:w1~trade.5564:26364</v>
      </c>
      <c r="G5566" s="3">
        <f>_xll.QS.EVALUATE(C5566,F5566)</f>
        <v>31278.633878016408</v>
      </c>
      <c r="H5566" s="5" t="s">
        <v>5607</v>
      </c>
      <c r="I5566" s="7">
        <v>1556400</v>
      </c>
      <c r="J5566" s="8">
        <v>3.6400000000000002E-2</v>
      </c>
    </row>
    <row r="5567" spans="1:10" x14ac:dyDescent="0.25">
      <c r="A5567" s="5" t="s">
        <v>5601</v>
      </c>
      <c r="B5567" s="5" t="s">
        <v>7434</v>
      </c>
      <c r="C5567" s="6" t="str">
        <f>_xll.QS.CONTEXT.CREATE("market.5565",A5567,"USD","SOFR")</f>
        <v>QSObject:PricingContext:w1~market.5565:10026</v>
      </c>
      <c r="D5567" s="6" t="str">
        <f>_xll.QS.CONTEXT.ADD.CURVE(C5567,"SOFR",$K$2:$K$7,$L$2:$L$7,,,"Actual360","LogLinear",TRUE)</f>
        <v>QSObject:ContextInput:w1~input.qs_context_add_curve.2359132437744.5566.3.0:34985</v>
      </c>
      <c r="E5567" s="6" t="str">
        <f>_xll.QS.INSTRUMENT.SWAP("swap.5565",H5567,B5567,"USD","SOFR",I5567,J5567,0,"Actual360","Simple","Annual","Annual","Annual")</f>
        <v>QSObject:Swap:w1~swap.5565:10025</v>
      </c>
      <c r="F5567" s="6" t="str">
        <f>_xll.QS.TRADE.CREATE("trade.5565",E5567,A5567,"Receive")</f>
        <v>QSObject:SwapTrade:w1~trade.5565:26363</v>
      </c>
      <c r="G5567" s="3">
        <f>_xll.QS.EVALUATE(C5567,F5567)</f>
        <v>32063.360822118397</v>
      </c>
      <c r="H5567" s="5" t="s">
        <v>5608</v>
      </c>
      <c r="I5567" s="7">
        <v>1556500</v>
      </c>
      <c r="J5567" s="8">
        <v>3.6499999999999998E-2</v>
      </c>
    </row>
    <row r="5568" spans="1:10" x14ac:dyDescent="0.25">
      <c r="A5568" s="5" t="s">
        <v>5602</v>
      </c>
      <c r="B5568" s="5" t="s">
        <v>7435</v>
      </c>
      <c r="C5568" s="6" t="str">
        <f>_xll.QS.CONTEXT.CREATE("market.5566",A5568,"USD","SOFR")</f>
        <v>QSObject:PricingContext:w1~market.5566:10024</v>
      </c>
      <c r="D5568" s="6" t="str">
        <f>_xll.QS.CONTEXT.ADD.CURVE(C5568,"SOFR",$K$2:$K$7,$L$2:$L$7,,,"Actual360","LogLinear",TRUE)</f>
        <v>QSObject:ContextInput:w1~input.qs_context_add_curve.2359132437744.5567.3.0:34984</v>
      </c>
      <c r="E5568" s="6" t="str">
        <f>_xll.QS.INSTRUMENT.SWAP("swap.5566",H5568,B5568,"USD","SOFR",I5568,J5568,0,"Actual360","Simple","Annual","Annual","Annual")</f>
        <v>QSObject:Swap:w1~swap.5566:10023</v>
      </c>
      <c r="F5568" s="6" t="str">
        <f>_xll.QS.TRADE.CREATE("trade.5566",E5568,A5568,"Receive")</f>
        <v>QSObject:SwapTrade:w1~trade.5566:26362</v>
      </c>
      <c r="G5568" s="3">
        <f>_xll.QS.EVALUATE(C5568,F5568)</f>
        <v>32998.012640580811</v>
      </c>
      <c r="H5568" s="5" t="s">
        <v>5609</v>
      </c>
      <c r="I5568" s="7">
        <v>1556600</v>
      </c>
      <c r="J5568" s="8">
        <v>3.6600000000000001E-2</v>
      </c>
    </row>
    <row r="5569" spans="1:10" x14ac:dyDescent="0.25">
      <c r="A5569" s="5" t="s">
        <v>5603</v>
      </c>
      <c r="B5569" s="5" t="s">
        <v>7436</v>
      </c>
      <c r="C5569" s="6" t="str">
        <f>_xll.QS.CONTEXT.CREATE("market.5567",A5569,"USD","SOFR")</f>
        <v>QSObject:PricingContext:w1~market.5567:10022</v>
      </c>
      <c r="D5569" s="6" t="str">
        <f>_xll.QS.CONTEXT.ADD.CURVE(C5569,"SOFR",$K$2:$K$7,$L$2:$L$7,,,"Actual360","LogLinear",TRUE)</f>
        <v>QSObject:ContextInput:w1~input.qs_context_add_curve.2359132437744.5568.3.0:34983</v>
      </c>
      <c r="E5569" s="6" t="str">
        <f>_xll.QS.INSTRUMENT.SWAP("swap.5567",H5569,B5569,"USD","SOFR",I5569,J5569,0,"Actual360","Simple","Annual","Annual","Annual")</f>
        <v>QSObject:Swap:w1~swap.5567:10021</v>
      </c>
      <c r="F5569" s="6" t="str">
        <f>_xll.QS.TRADE.CREATE("trade.5567",E5569,A5569,"Receive")</f>
        <v>QSObject:SwapTrade:w1~trade.5567:26361</v>
      </c>
      <c r="G5569" s="3">
        <f>_xll.QS.EVALUATE(C5569,F5569)</f>
        <v>33717.939388531377</v>
      </c>
      <c r="H5569" s="5" t="s">
        <v>5610</v>
      </c>
      <c r="I5569" s="7">
        <v>1556700</v>
      </c>
      <c r="J5569" s="8">
        <v>3.6700000000000003E-2</v>
      </c>
    </row>
    <row r="5570" spans="1:10" x14ac:dyDescent="0.25">
      <c r="A5570" s="5" t="s">
        <v>5604</v>
      </c>
      <c r="B5570" s="5" t="s">
        <v>7437</v>
      </c>
      <c r="C5570" s="6" t="str">
        <f>_xll.QS.CONTEXT.CREATE("market.5568",A5570,"USD","SOFR")</f>
        <v>QSObject:PricingContext:w1~market.5568:10020</v>
      </c>
      <c r="D5570" s="6" t="str">
        <f>_xll.QS.CONTEXT.ADD.CURVE(C5570,"SOFR",$K$2:$K$7,$L$2:$L$7,,,"Actual360","LogLinear",TRUE)</f>
        <v>QSObject:ContextInput:w1~input.qs_context_add_curve.2359132437744.5569.3.0:34982</v>
      </c>
      <c r="E5570" s="6" t="str">
        <f>_xll.QS.INSTRUMENT.SWAP("swap.5568",H5570,B5570,"USD","SOFR",I5570,J5570,0,"Actual360","Simple","Annual","Annual","Annual")</f>
        <v>QSObject:Swap:w1~swap.5568:10019</v>
      </c>
      <c r="F5570" s="6" t="str">
        <f>_xll.QS.TRADE.CREATE("trade.5568",E5570,A5570,"Receive")</f>
        <v>QSObject:SwapTrade:w1~trade.5568:26360</v>
      </c>
      <c r="G5570" s="3">
        <f>_xll.QS.EVALUATE(C5570,F5570)</f>
        <v>34447.920231200871</v>
      </c>
      <c r="H5570" s="5" t="s">
        <v>5611</v>
      </c>
      <c r="I5570" s="7">
        <v>1556800</v>
      </c>
      <c r="J5570" s="8">
        <v>3.6800000000000013E-2</v>
      </c>
    </row>
    <row r="5571" spans="1:10" x14ac:dyDescent="0.25">
      <c r="A5571" s="5" t="s">
        <v>5605</v>
      </c>
      <c r="B5571" s="5" t="s">
        <v>7438</v>
      </c>
      <c r="C5571" s="6" t="str">
        <f>_xll.QS.CONTEXT.CREATE("market.5569",A5571,"USD","SOFR")</f>
        <v>QSObject:PricingContext:w1~market.5569:10018</v>
      </c>
      <c r="D5571" s="6" t="str">
        <f>_xll.QS.CONTEXT.ADD.CURVE(C5571,"SOFR",$K$2:$K$7,$L$2:$L$7,,,"Actual360","LogLinear",TRUE)</f>
        <v>QSObject:ContextInput:w1~input.qs_context_add_curve.2359132437744.5570.3.0:34981</v>
      </c>
      <c r="E5571" s="6" t="str">
        <f>_xll.QS.INSTRUMENT.SWAP("swap.5569",H5571,B5571,"USD","SOFR",I5571,J5571,0,"Actual360","Simple","Annual","Annual","Annual")</f>
        <v>QSObject:Swap:w1~swap.5569:10017</v>
      </c>
      <c r="F5571" s="6" t="str">
        <f>_xll.QS.TRADE.CREATE("trade.5569",E5571,A5571,"Receive")</f>
        <v>QSObject:SwapTrade:w1~trade.5569:26359</v>
      </c>
      <c r="G5571" s="3">
        <f>_xll.QS.EVALUATE(C5571,F5571)</f>
        <v>35109.01866514323</v>
      </c>
      <c r="H5571" s="5" t="s">
        <v>5612</v>
      </c>
      <c r="I5571" s="7">
        <v>1556900</v>
      </c>
      <c r="J5571" s="8">
        <v>3.6900000000000002E-2</v>
      </c>
    </row>
    <row r="5572" spans="1:10" x14ac:dyDescent="0.25">
      <c r="A5572" s="5" t="s">
        <v>5606</v>
      </c>
      <c r="B5572" s="5" t="s">
        <v>7439</v>
      </c>
      <c r="C5572" s="6" t="str">
        <f>_xll.QS.CONTEXT.CREATE("market.5570",A5572,"USD","SOFR")</f>
        <v>QSObject:PricingContext:w1~market.5570:10016</v>
      </c>
      <c r="D5572" s="6" t="str">
        <f>_xll.QS.CONTEXT.ADD.CURVE(C5572,"SOFR",$K$2:$K$7,$L$2:$L$7,,,"Actual360","LogLinear",TRUE)</f>
        <v>QSObject:ContextInput:w1~input.qs_context_add_curve.2359132437744.5571.3.0:34980</v>
      </c>
      <c r="E5572" s="6" t="str">
        <f>_xll.QS.INSTRUMENT.SWAP("swap.5570",H5572,B5572,"USD","SOFR",I5572,J5572,0,"Actual360","Simple","Annual","Annual","Annual")</f>
        <v>QSObject:Swap:w1~swap.5570:10015</v>
      </c>
      <c r="F5572" s="6" t="str">
        <f>_xll.QS.TRADE.CREATE("trade.5570",E5572,A5572,"Receive")</f>
        <v>QSObject:SwapTrade:w1~trade.5570:26358</v>
      </c>
      <c r="G5572" s="3">
        <f>_xll.QS.EVALUATE(C5572,F5572)</f>
        <v>35721.440129110444</v>
      </c>
      <c r="H5572" s="5" t="s">
        <v>5613</v>
      </c>
      <c r="I5572" s="7">
        <v>1557000</v>
      </c>
      <c r="J5572" s="8">
        <v>3.7000000000000012E-2</v>
      </c>
    </row>
    <row r="5573" spans="1:10" x14ac:dyDescent="0.25">
      <c r="A5573" s="5" t="s">
        <v>5607</v>
      </c>
      <c r="B5573" s="5" t="s">
        <v>7440</v>
      </c>
      <c r="C5573" s="6" t="str">
        <f>_xll.QS.CONTEXT.CREATE("market.5571",A5573,"USD","SOFR")</f>
        <v>QSObject:PricingContext:w1~market.5571:10014</v>
      </c>
      <c r="D5573" s="6" t="str">
        <f>_xll.QS.CONTEXT.ADD.CURVE(C5573,"SOFR",$K$2:$K$7,$L$2:$L$7,,,"Actual360","LogLinear",TRUE)</f>
        <v>QSObject:ContextInput:w1~input.qs_context_add_curve.2359132437744.5572.3.0:34979</v>
      </c>
      <c r="E5573" s="6" t="str">
        <f>_xll.QS.INSTRUMENT.SWAP("swap.5571",H5573,B5573,"USD","SOFR",I5573,J5573,0,"Actual360","Simple","Annual","Annual","Annual")</f>
        <v>QSObject:Swap:w1~swap.5571:10013</v>
      </c>
      <c r="F5573" s="6" t="str">
        <f>_xll.QS.TRADE.CREATE("trade.5571",E5573,A5573,"Receive")</f>
        <v>QSObject:SwapTrade:w1~trade.5571:26357</v>
      </c>
      <c r="G5573" s="3">
        <f>_xll.QS.EVALUATE(C5573,F5573)</f>
        <v>36320.384004444561</v>
      </c>
      <c r="H5573" s="5" t="s">
        <v>5614</v>
      </c>
      <c r="I5573" s="7">
        <v>1557100</v>
      </c>
      <c r="J5573" s="8">
        <v>3.7100000000000001E-2</v>
      </c>
    </row>
    <row r="5574" spans="1:10" x14ac:dyDescent="0.25">
      <c r="A5574" s="5" t="s">
        <v>5608</v>
      </c>
      <c r="B5574" s="5" t="s">
        <v>7441</v>
      </c>
      <c r="C5574" s="6" t="str">
        <f>_xll.QS.CONTEXT.CREATE("market.5572",A5574,"USD","SOFR")</f>
        <v>QSObject:PricingContext:w1~market.5572:10012</v>
      </c>
      <c r="D5574" s="6" t="str">
        <f>_xll.QS.CONTEXT.ADD.CURVE(C5574,"SOFR",$K$2:$K$7,$L$2:$L$7,,,"Actual360","LogLinear",TRUE)</f>
        <v>QSObject:ContextInput:w1~input.qs_context_add_curve.2359132437744.5573.3.0:34978</v>
      </c>
      <c r="E5574" s="6" t="str">
        <f>_xll.QS.INSTRUMENT.SWAP("swap.5572",H5574,B5574,"USD","SOFR",I5574,J5574,0,"Actual360","Simple","Annual","Annual","Annual")</f>
        <v>QSObject:Swap:w1~swap.5572:10011</v>
      </c>
      <c r="F5574" s="6" t="str">
        <f>_xll.QS.TRADE.CREATE("trade.5572",E5574,A5574,"Receive")</f>
        <v>QSObject:SwapTrade:w1~trade.5572:26356</v>
      </c>
      <c r="G5574" s="3">
        <f>_xll.QS.EVALUATE(C5574,F5574)</f>
        <v>37107.656091680612</v>
      </c>
      <c r="H5574" s="5" t="s">
        <v>5615</v>
      </c>
      <c r="I5574" s="7">
        <v>1557200</v>
      </c>
      <c r="J5574" s="8">
        <v>3.7199999999999997E-2</v>
      </c>
    </row>
    <row r="5575" spans="1:10" x14ac:dyDescent="0.25">
      <c r="A5575" s="5" t="s">
        <v>5609</v>
      </c>
      <c r="B5575" s="5" t="s">
        <v>7442</v>
      </c>
      <c r="C5575" s="6" t="str">
        <f>_xll.QS.CONTEXT.CREATE("market.5573",A5575,"USD","SOFR")</f>
        <v>QSObject:PricingContext:w1~market.5573:10010</v>
      </c>
      <c r="D5575" s="6" t="str">
        <f>_xll.QS.CONTEXT.ADD.CURVE(C5575,"SOFR",$K$2:$K$7,$L$2:$L$7,,,"Actual360","LogLinear",TRUE)</f>
        <v>QSObject:ContextInput:w1~input.qs_context_add_curve.2359132437744.5574.3.0:34977</v>
      </c>
      <c r="E5575" s="6" t="str">
        <f>_xll.QS.INSTRUMENT.SWAP("swap.5573",H5575,B5575,"USD","SOFR",I5575,J5575,0,"Actual360","Simple","Annual","Annual","Annual")</f>
        <v>QSObject:Swap:w1~swap.5573:10009</v>
      </c>
      <c r="F5575" s="6" t="str">
        <f>_xll.QS.TRADE.CREATE("trade.5573",E5575,A5575,"Receive")</f>
        <v>QSObject:SwapTrade:w1~trade.5573:26355</v>
      </c>
      <c r="G5575" s="3">
        <f>_xll.QS.EVALUATE(C5575,F5575)</f>
        <v>37868.531488622597</v>
      </c>
      <c r="H5575" s="5" t="s">
        <v>5616</v>
      </c>
      <c r="I5575" s="7">
        <v>1557300</v>
      </c>
      <c r="J5575" s="8">
        <v>3.73E-2</v>
      </c>
    </row>
    <row r="5576" spans="1:10" x14ac:dyDescent="0.25">
      <c r="A5576" s="5" t="s">
        <v>5610</v>
      </c>
      <c r="B5576" s="5" t="s">
        <v>7443</v>
      </c>
      <c r="C5576" s="6" t="str">
        <f>_xll.QS.CONTEXT.CREATE("market.5574",A5576,"USD","SOFR")</f>
        <v>QSObject:PricingContext:w1~market.5574:10008</v>
      </c>
      <c r="D5576" s="6" t="str">
        <f>_xll.QS.CONTEXT.ADD.CURVE(C5576,"SOFR",$K$2:$K$7,$L$2:$L$7,,,"Actual360","LogLinear",TRUE)</f>
        <v>QSObject:ContextInput:w1~input.qs_context_add_curve.2359132437744.5575.3.0:34976</v>
      </c>
      <c r="E5576" s="6" t="str">
        <f>_xll.QS.INSTRUMENT.SWAP("swap.5574",H5576,B5576,"USD","SOFR",I5576,J5576,0,"Actual360","Simple","Annual","Annual","Annual")</f>
        <v>QSObject:Swap:w1~swap.5574:10007</v>
      </c>
      <c r="F5576" s="6" t="str">
        <f>_xll.QS.TRADE.CREATE("trade.5574",E5576,A5576,"Receive")</f>
        <v>QSObject:SwapTrade:w1~trade.5574:26354</v>
      </c>
      <c r="G5576" s="3">
        <f>_xll.QS.EVALUATE(C5576,F5576)</f>
        <v>38703.201456913026</v>
      </c>
      <c r="H5576" s="5" t="s">
        <v>5617</v>
      </c>
      <c r="I5576" s="7">
        <v>1557400</v>
      </c>
      <c r="J5576" s="8">
        <v>3.7400000000000003E-2</v>
      </c>
    </row>
    <row r="5577" spans="1:10" x14ac:dyDescent="0.25">
      <c r="A5577" s="5" t="s">
        <v>5611</v>
      </c>
      <c r="B5577" s="5" t="s">
        <v>7444</v>
      </c>
      <c r="C5577" s="6" t="str">
        <f>_xll.QS.CONTEXT.CREATE("market.5575",A5577,"USD","SOFR")</f>
        <v>QSObject:PricingContext:w1~market.5575:10006</v>
      </c>
      <c r="D5577" s="6" t="str">
        <f>_xll.QS.CONTEXT.ADD.CURVE(C5577,"SOFR",$K$2:$K$7,$L$2:$L$7,,,"Actual360","LogLinear",TRUE)</f>
        <v>QSObject:ContextInput:w1~input.qs_context_add_curve.2359132437744.5576.3.0:34975</v>
      </c>
      <c r="E5577" s="6" t="str">
        <f>_xll.QS.INSTRUMENT.SWAP("swap.5575",H5577,B5577,"USD","SOFR",I5577,J5577,0,"Actual360","Simple","Annual","Annual","Annual")</f>
        <v>QSObject:Swap:w1~swap.5575:10005</v>
      </c>
      <c r="F5577" s="6" t="str">
        <f>_xll.QS.TRADE.CREATE("trade.5575",E5577,A5577,"Receive")</f>
        <v>QSObject:SwapTrade:w1~trade.5575:26353</v>
      </c>
      <c r="G5577" s="3">
        <f>_xll.QS.EVALUATE(C5577,F5577)</f>
        <v>39491.648426579057</v>
      </c>
      <c r="H5577" s="5" t="s">
        <v>5618</v>
      </c>
      <c r="I5577" s="7">
        <v>1557500</v>
      </c>
      <c r="J5577" s="8">
        <v>3.7500000000000012E-2</v>
      </c>
    </row>
    <row r="5578" spans="1:10" x14ac:dyDescent="0.25">
      <c r="A5578" s="5" t="s">
        <v>5612</v>
      </c>
      <c r="B5578" s="5" t="s">
        <v>7445</v>
      </c>
      <c r="C5578" s="6" t="str">
        <f>_xll.QS.CONTEXT.CREATE("market.5576",A5578,"USD","SOFR")</f>
        <v>QSObject:PricingContext:w1~market.5576:10004</v>
      </c>
      <c r="D5578" s="6" t="str">
        <f>_xll.QS.CONTEXT.ADD.CURVE(C5578,"SOFR",$K$2:$K$7,$L$2:$L$7,,,"Actual360","LogLinear",TRUE)</f>
        <v>QSObject:ContextInput:w1~input.qs_context_add_curve.2359132437744.5577.3.0:34974</v>
      </c>
      <c r="E5578" s="6" t="str">
        <f>_xll.QS.INSTRUMENT.SWAP("swap.5576",H5578,B5578,"USD","SOFR",I5578,J5578,0,"Actual360","Simple","Annual","Annual","Annual")</f>
        <v>QSObject:Swap:w1~swap.5576:10003</v>
      </c>
      <c r="F5578" s="6" t="str">
        <f>_xll.QS.TRADE.CREATE("trade.5576",E5578,A5578,"Receive")</f>
        <v>QSObject:SwapTrade:w1~trade.5576:26352</v>
      </c>
      <c r="G5578" s="3">
        <f>_xll.QS.EVALUATE(C5578,F5578)</f>
        <v>40154.189924676364</v>
      </c>
      <c r="H5578" s="5" t="s">
        <v>5619</v>
      </c>
      <c r="I5578" s="7">
        <v>1557600</v>
      </c>
      <c r="J5578" s="8">
        <v>3.7600000000000001E-2</v>
      </c>
    </row>
    <row r="5579" spans="1:10" x14ac:dyDescent="0.25">
      <c r="A5579" s="5" t="s">
        <v>5613</v>
      </c>
      <c r="B5579" s="5" t="s">
        <v>7446</v>
      </c>
      <c r="C5579" s="6" t="str">
        <f>_xll.QS.CONTEXT.CREATE("market.5577",A5579,"USD","SOFR")</f>
        <v>QSObject:PricingContext:w1~market.5577:10002</v>
      </c>
      <c r="D5579" s="6" t="str">
        <f>_xll.QS.CONTEXT.ADD.CURVE(C5579,"SOFR",$K$2:$K$7,$L$2:$L$7,,,"Actual360","LogLinear",TRUE)</f>
        <v>QSObject:ContextInput:w1~input.qs_context_add_curve.2359132437744.5578.3.0:34973</v>
      </c>
      <c r="E5579" s="6" t="str">
        <f>_xll.QS.INSTRUMENT.SWAP("swap.5577",H5579,B5579,"USD","SOFR",I5579,J5579,0,"Actual360","Simple","Annual","Annual","Annual")</f>
        <v>QSObject:Swap:w1~swap.5577:10001</v>
      </c>
      <c r="F5579" s="6" t="str">
        <f>_xll.QS.TRADE.CREATE("trade.5577",E5579,A5579,"Receive")</f>
        <v>QSObject:SwapTrade:w1~trade.5577:26351</v>
      </c>
      <c r="G5579" s="3">
        <f>_xll.QS.EVALUATE(C5579,F5579)</f>
        <v>40761.284445767487</v>
      </c>
      <c r="H5579" s="5" t="s">
        <v>5620</v>
      </c>
      <c r="I5579" s="7">
        <v>1557700</v>
      </c>
      <c r="J5579" s="8">
        <v>3.7699999999999997E-2</v>
      </c>
    </row>
    <row r="5580" spans="1:10" x14ac:dyDescent="0.25">
      <c r="A5580" s="5" t="s">
        <v>5614</v>
      </c>
      <c r="B5580" s="5" t="s">
        <v>7447</v>
      </c>
      <c r="C5580" s="6" t="str">
        <f>_xll.QS.CONTEXT.CREATE("market.5578",A5580,"USD","SOFR")</f>
        <v>QSObject:PricingContext:w1~market.5578:10000</v>
      </c>
      <c r="D5580" s="6" t="str">
        <f>_xll.QS.CONTEXT.ADD.CURVE(C5580,"SOFR",$K$2:$K$7,$L$2:$L$7,,,"Actual360","LogLinear",TRUE)</f>
        <v>QSObject:ContextInput:w1~input.qs_context_add_curve.2359132437744.5579.3.0:34972</v>
      </c>
      <c r="E5580" s="6" t="str">
        <f>_xll.QS.INSTRUMENT.SWAP("swap.5578",H5580,B5580,"USD","SOFR",I5580,J5580,0,"Actual360","Simple","Annual","Annual","Annual")</f>
        <v>QSObject:Swap:w1~swap.5578:9999</v>
      </c>
      <c r="F5580" s="6" t="str">
        <f>_xll.QS.TRADE.CREATE("trade.5578",E5580,A5580,"Receive")</f>
        <v>QSObject:SwapTrade:w1~trade.5578:26350</v>
      </c>
      <c r="G5580" s="3">
        <f>_xll.QS.EVALUATE(C5580,F5580)</f>
        <v>41368.944545440936</v>
      </c>
      <c r="H5580" s="5" t="s">
        <v>5621</v>
      </c>
      <c r="I5580" s="7">
        <v>1557800</v>
      </c>
      <c r="J5580" s="8">
        <v>3.78E-2</v>
      </c>
    </row>
    <row r="5581" spans="1:10" x14ac:dyDescent="0.25">
      <c r="A5581" s="5" t="s">
        <v>5615</v>
      </c>
      <c r="B5581" s="5" t="s">
        <v>7448</v>
      </c>
      <c r="C5581" s="6" t="str">
        <f>_xll.QS.CONTEXT.CREATE("market.5579",A5581,"USD","SOFR")</f>
        <v>QSObject:PricingContext:w1~market.5579:9998</v>
      </c>
      <c r="D5581" s="6" t="str">
        <f>_xll.QS.CONTEXT.ADD.CURVE(C5581,"SOFR",$K$2:$K$7,$L$2:$L$7,,,"Actual360","LogLinear",TRUE)</f>
        <v>QSObject:ContextInput:w1~input.qs_context_add_curve.2359132437744.5580.3.0:34971</v>
      </c>
      <c r="E5581" s="6" t="str">
        <f>_xll.QS.INSTRUMENT.SWAP("swap.5579",H5581,B5581,"USD","SOFR",I5581,J5581,0,"Actual360","Simple","Annual","Annual","Annual")</f>
        <v>QSObject:Swap:w1~swap.5579:9997</v>
      </c>
      <c r="F5581" s="6" t="str">
        <f>_xll.QS.TRADE.CREATE("trade.5579",E5581,A5581,"Receive")</f>
        <v>QSObject:SwapTrade:w1~trade.5579:26349</v>
      </c>
      <c r="G5581" s="3">
        <f>_xll.QS.EVALUATE(C5581,F5581)</f>
        <v>42155.107361046816</v>
      </c>
      <c r="H5581" s="5" t="s">
        <v>5622</v>
      </c>
      <c r="I5581" s="7">
        <v>1557900</v>
      </c>
      <c r="J5581" s="8">
        <v>3.7900000000000003E-2</v>
      </c>
    </row>
    <row r="5582" spans="1:10" x14ac:dyDescent="0.25">
      <c r="A5582" s="5" t="s">
        <v>5616</v>
      </c>
      <c r="B5582" s="5" t="s">
        <v>7449</v>
      </c>
      <c r="C5582" s="6" t="str">
        <f>_xll.QS.CONTEXT.CREATE("market.5580",A5582,"USD","SOFR")</f>
        <v>QSObject:PricingContext:w1~market.5580:9996</v>
      </c>
      <c r="D5582" s="6" t="str">
        <f>_xll.QS.CONTEXT.ADD.CURVE(C5582,"SOFR",$K$2:$K$7,$L$2:$L$7,,,"Actual360","LogLinear",TRUE)</f>
        <v>QSObject:ContextInput:w1~input.qs_context_add_curve.2359132437744.5581.3.0:34970</v>
      </c>
      <c r="E5582" s="6" t="str">
        <f>_xll.QS.INSTRUMENT.SWAP("swap.5580",H5582,B5582,"USD","SOFR",I5582,J5582,0,"Actual360","Simple","Annual","Annual","Annual")</f>
        <v>QSObject:Swap:w1~swap.5580:9995</v>
      </c>
      <c r="F5582" s="6" t="str">
        <f>_xll.QS.TRADE.CREATE("trade.5580",E5582,A5582,"Receive")</f>
        <v>QSObject:SwapTrade:w1~trade.5580:26348</v>
      </c>
      <c r="G5582" s="3">
        <f>_xll.QS.EVALUATE(C5582,F5582)</f>
        <v>42914.084130672185</v>
      </c>
      <c r="H5582" s="5" t="s">
        <v>5623</v>
      </c>
      <c r="I5582" s="7">
        <v>1558000</v>
      </c>
      <c r="J5582" s="8">
        <v>3.8000000000000013E-2</v>
      </c>
    </row>
    <row r="5583" spans="1:10" x14ac:dyDescent="0.25">
      <c r="A5583" s="5" t="s">
        <v>5617</v>
      </c>
      <c r="B5583" s="5" t="s">
        <v>7450</v>
      </c>
      <c r="C5583" s="6" t="str">
        <f>_xll.QS.CONTEXT.CREATE("market.5581",A5583,"USD","SOFR")</f>
        <v>QSObject:PricingContext:w1~market.5581:9994</v>
      </c>
      <c r="D5583" s="6" t="str">
        <f>_xll.QS.CONTEXT.ADD.CURVE(C5583,"SOFR",$K$2:$K$7,$L$2:$L$7,,,"Actual360","LogLinear",TRUE)</f>
        <v>QSObject:ContextInput:w1~input.qs_context_add_curve.2359132437744.5582.3.0:34969</v>
      </c>
      <c r="E5583" s="6" t="str">
        <f>_xll.QS.INSTRUMENT.SWAP("swap.5581",H5583,B5583,"USD","SOFR",I5583,J5583,0,"Actual360","Simple","Annual","Annual","Annual")</f>
        <v>QSObject:Swap:w1~swap.5581:9993</v>
      </c>
      <c r="F5583" s="6" t="str">
        <f>_xll.QS.TRADE.CREATE("trade.5581",E5583,A5583,"Receive")</f>
        <v>QSObject:SwapTrade:w1~trade.5581:26347</v>
      </c>
      <c r="G5583" s="3">
        <f>_xll.QS.EVALUATE(C5583,F5583)</f>
        <v>43750.098516433362</v>
      </c>
      <c r="H5583" s="5" t="s">
        <v>5624</v>
      </c>
      <c r="I5583" s="7">
        <v>1558100</v>
      </c>
      <c r="J5583" s="8">
        <v>3.8100000000000002E-2</v>
      </c>
    </row>
    <row r="5584" spans="1:10" x14ac:dyDescent="0.25">
      <c r="A5584" s="5" t="s">
        <v>5618</v>
      </c>
      <c r="B5584" s="5" t="s">
        <v>7451</v>
      </c>
      <c r="C5584" s="6" t="str">
        <f>_xll.QS.CONTEXT.CREATE("market.5582",A5584,"USD","SOFR")</f>
        <v>QSObject:PricingContext:w1~market.5582:9992</v>
      </c>
      <c r="D5584" s="6" t="str">
        <f>_xll.QS.CONTEXT.ADD.CURVE(C5584,"SOFR",$K$2:$K$7,$L$2:$L$7,,,"Actual360","LogLinear",TRUE)</f>
        <v>QSObject:ContextInput:w1~input.qs_context_add_curve.2359132437744.5583.3.0:34968</v>
      </c>
      <c r="E5584" s="6" t="str">
        <f>_xll.QS.INSTRUMENT.SWAP("swap.5582",H5584,B5584,"USD","SOFR",I5584,J5584,0,"Actual360","Simple","Annual","Annual","Annual")</f>
        <v>QSObject:Swap:w1~swap.5582:9991</v>
      </c>
      <c r="F5584" s="6" t="str">
        <f>_xll.QS.TRADE.CREATE("trade.5582",E5584,A5584,"Receive")</f>
        <v>QSObject:SwapTrade:w1~trade.5582:26346</v>
      </c>
      <c r="G5584" s="3">
        <f>_xll.QS.EVALUATE(C5584,F5584)</f>
        <v>44539.58214169331</v>
      </c>
      <c r="H5584" s="5" t="s">
        <v>5625</v>
      </c>
      <c r="I5584" s="7">
        <v>1558200</v>
      </c>
      <c r="J5584" s="8">
        <v>3.8199999999999998E-2</v>
      </c>
    </row>
    <row r="5585" spans="1:10" x14ac:dyDescent="0.25">
      <c r="A5585" s="5" t="s">
        <v>5619</v>
      </c>
      <c r="B5585" s="5" t="s">
        <v>7452</v>
      </c>
      <c r="C5585" s="6" t="str">
        <f>_xll.QS.CONTEXT.CREATE("market.5583",A5585,"USD","SOFR")</f>
        <v>QSObject:PricingContext:w1~market.5583:9990</v>
      </c>
      <c r="D5585" s="6" t="str">
        <f>_xll.QS.CONTEXT.ADD.CURVE(C5585,"SOFR",$K$2:$K$7,$L$2:$L$7,,,"Actual360","LogLinear",TRUE)</f>
        <v>QSObject:ContextInput:w1~input.qs_context_add_curve.2359132437744.5584.3.0:34967</v>
      </c>
      <c r="E5585" s="6" t="str">
        <f>_xll.QS.INSTRUMENT.SWAP("swap.5583",H5585,B5585,"USD","SOFR",I5585,J5585,0,"Actual360","Simple","Annual","Annual","Annual")</f>
        <v>QSObject:Swap:w1~swap.5583:9989</v>
      </c>
      <c r="F5585" s="6" t="str">
        <f>_xll.QS.TRADE.CREATE("trade.5583",E5585,A5585,"Receive")</f>
        <v>QSObject:SwapTrade:w1~trade.5583:26345</v>
      </c>
      <c r="G5585" s="3">
        <f>_xll.QS.EVALUATE(C5585,F5585)</f>
        <v>45201.044071724318</v>
      </c>
      <c r="H5585" s="5" t="s">
        <v>5626</v>
      </c>
      <c r="I5585" s="7">
        <v>1558300</v>
      </c>
      <c r="J5585" s="8">
        <v>3.8300000000000001E-2</v>
      </c>
    </row>
    <row r="5586" spans="1:10" x14ac:dyDescent="0.25">
      <c r="A5586" s="5" t="s">
        <v>5620</v>
      </c>
      <c r="B5586" s="5" t="s">
        <v>7453</v>
      </c>
      <c r="C5586" s="6" t="str">
        <f>_xll.QS.CONTEXT.CREATE("market.5584",A5586,"USD","SOFR")</f>
        <v>QSObject:PricingContext:w1~market.5584:9988</v>
      </c>
      <c r="D5586" s="6" t="str">
        <f>_xll.QS.CONTEXT.ADD.CURVE(C5586,"SOFR",$K$2:$K$7,$L$2:$L$7,,,"Actual360","LogLinear",TRUE)</f>
        <v>QSObject:ContextInput:w1~input.qs_context_add_curve.2359132437744.5585.3.0:34966</v>
      </c>
      <c r="E5586" s="6" t="str">
        <f>_xll.QS.INSTRUMENT.SWAP("swap.5584",H5586,B5586,"USD","SOFR",I5586,J5586,0,"Actual360","Simple","Annual","Annual","Annual")</f>
        <v>QSObject:Swap:w1~swap.5584:9987</v>
      </c>
      <c r="F5586" s="6" t="str">
        <f>_xll.QS.TRADE.CREATE("trade.5584",E5586,A5586,"Receive")</f>
        <v>QSObject:SwapTrade:w1~trade.5584:26344</v>
      </c>
      <c r="G5586" s="3">
        <f>_xll.QS.EVALUATE(C5586,F5586)</f>
        <v>45802.812140967479</v>
      </c>
      <c r="H5586" s="5" t="s">
        <v>5627</v>
      </c>
      <c r="I5586" s="7">
        <v>1558400</v>
      </c>
      <c r="J5586" s="8">
        <v>3.8399999999999997E-2</v>
      </c>
    </row>
    <row r="5587" spans="1:10" x14ac:dyDescent="0.25">
      <c r="A5587" s="5" t="s">
        <v>5621</v>
      </c>
      <c r="B5587" s="5" t="s">
        <v>7454</v>
      </c>
      <c r="C5587" s="6" t="str">
        <f>_xll.QS.CONTEXT.CREATE("market.5585",A5587,"USD","SOFR")</f>
        <v>QSObject:PricingContext:w1~market.5585:9986</v>
      </c>
      <c r="D5587" s="6" t="str">
        <f>_xll.QS.CONTEXT.ADD.CURVE(C5587,"SOFR",$K$2:$K$7,$L$2:$L$7,,,"Actual360","LogLinear",TRUE)</f>
        <v>QSObject:ContextInput:w1~input.qs_context_add_curve.2359132437744.5586.3.0:34965</v>
      </c>
      <c r="E5587" s="6" t="str">
        <f>_xll.QS.INSTRUMENT.SWAP("swap.5585",H5587,B5587,"USD","SOFR",I5587,J5587,0,"Actual360","Simple","Annual","Annual","Annual")</f>
        <v>QSObject:Swap:w1~swap.5585:9985</v>
      </c>
      <c r="F5587" s="6" t="str">
        <f>_xll.QS.TRADE.CREATE("trade.5585",E5587,A5587,"Receive")</f>
        <v>QSObject:SwapTrade:w1~trade.5585:26343</v>
      </c>
      <c r="G5587" s="3">
        <f>_xll.QS.EVALUATE(C5587,F5587)</f>
        <v>46418.857894656256</v>
      </c>
      <c r="H5587" s="5" t="s">
        <v>5628</v>
      </c>
      <c r="I5587" s="7">
        <v>1558500</v>
      </c>
      <c r="J5587" s="8">
        <v>3.8500000000000013E-2</v>
      </c>
    </row>
    <row r="5588" spans="1:10" x14ac:dyDescent="0.25">
      <c r="A5588" s="5" t="s">
        <v>5622</v>
      </c>
      <c r="B5588" s="5" t="s">
        <v>7455</v>
      </c>
      <c r="C5588" s="6" t="str">
        <f>_xll.QS.CONTEXT.CREATE("market.5586",A5588,"USD","SOFR")</f>
        <v>QSObject:PricingContext:w1~market.5586:9984</v>
      </c>
      <c r="D5588" s="6" t="str">
        <f>_xll.QS.CONTEXT.ADD.CURVE(C5588,"SOFR",$K$2:$K$7,$L$2:$L$7,,,"Actual360","LogLinear",TRUE)</f>
        <v>QSObject:ContextInput:w1~input.qs_context_add_curve.2359132437744.5587.3.0:34964</v>
      </c>
      <c r="E5588" s="6" t="str">
        <f>_xll.QS.INSTRUMENT.SWAP("swap.5586",H5588,B5588,"USD","SOFR",I5588,J5588,0,"Actual360","Simple","Annual","Annual","Annual")</f>
        <v>QSObject:Swap:w1~swap.5586:9983</v>
      </c>
      <c r="F5588" s="6" t="str">
        <f>_xll.QS.TRADE.CREATE("trade.5586",E5588,A5588,"Receive")</f>
        <v>QSObject:SwapTrade:w1~trade.5586:26342</v>
      </c>
      <c r="G5588" s="3">
        <f>_xll.QS.EVALUATE(C5588,F5588)</f>
        <v>47207.068101656805</v>
      </c>
      <c r="H5588" s="5" t="s">
        <v>5629</v>
      </c>
      <c r="I5588" s="7">
        <v>1558600</v>
      </c>
      <c r="J5588" s="8">
        <v>3.8600000000000002E-2</v>
      </c>
    </row>
    <row r="5589" spans="1:10" x14ac:dyDescent="0.25">
      <c r="A5589" s="5" t="s">
        <v>5623</v>
      </c>
      <c r="B5589" s="5" t="s">
        <v>7456</v>
      </c>
      <c r="C5589" s="6" t="str">
        <f>_xll.QS.CONTEXT.CREATE("market.5587",A5589,"USD","SOFR")</f>
        <v>QSObject:PricingContext:w1~market.5587:9982</v>
      </c>
      <c r="D5589" s="6" t="str">
        <f>_xll.QS.CONTEXT.ADD.CURVE(C5589,"SOFR",$K$2:$K$7,$L$2:$L$7,,,"Actual360","LogLinear",TRUE)</f>
        <v>QSObject:ContextInput:w1~input.qs_context_add_curve.2359132437744.5588.3.0:34963</v>
      </c>
      <c r="E5589" s="6" t="str">
        <f>_xll.QS.INSTRUMENT.SWAP("swap.5587",H5589,B5589,"USD","SOFR",I5589,J5589,0,"Actual360","Simple","Annual","Annual","Annual")</f>
        <v>QSObject:Swap:w1~swap.5587:9981</v>
      </c>
      <c r="F5589" s="6" t="str">
        <f>_xll.QS.TRADE.CREATE("trade.5587",E5589,A5589,"Receive")</f>
        <v>QSObject:SwapTrade:w1~trade.5587:26341</v>
      </c>
      <c r="G5589" s="3">
        <f>_xll.QS.EVALUATE(C5589,F5589)</f>
        <v>47965.293833700256</v>
      </c>
      <c r="H5589" s="5" t="s">
        <v>5630</v>
      </c>
      <c r="I5589" s="7">
        <v>1558700</v>
      </c>
      <c r="J5589" s="8">
        <v>3.8700000000000012E-2</v>
      </c>
    </row>
    <row r="5590" spans="1:10" x14ac:dyDescent="0.25">
      <c r="A5590" s="5" t="s">
        <v>5624</v>
      </c>
      <c r="B5590" s="5" t="s">
        <v>7457</v>
      </c>
      <c r="C5590" s="6" t="str">
        <f>_xll.QS.CONTEXT.CREATE("market.5588",A5590,"USD","SOFR")</f>
        <v>QSObject:PricingContext:w1~market.5588:9980</v>
      </c>
      <c r="D5590" s="6" t="str">
        <f>_xll.QS.CONTEXT.ADD.CURVE(C5590,"SOFR",$K$2:$K$7,$L$2:$L$7,,,"Actual360","LogLinear",TRUE)</f>
        <v>QSObject:ContextInput:w1~input.qs_context_add_curve.2359132437744.5589.3.0:34962</v>
      </c>
      <c r="E5590" s="6" t="str">
        <f>_xll.QS.INSTRUMENT.SWAP("swap.5588",H5590,B5590,"USD","SOFR",I5590,J5590,0,"Actual360","Simple","Annual","Annual","Annual")</f>
        <v>QSObject:Swap:w1~swap.5588:9979</v>
      </c>
      <c r="F5590" s="6" t="str">
        <f>_xll.QS.TRADE.CREATE("trade.5588",E5590,A5590,"Receive")</f>
        <v>QSObject:SwapTrade:w1~trade.5588:26340</v>
      </c>
      <c r="G5590" s="3">
        <f>_xll.QS.EVALUATE(C5590,F5590)</f>
        <v>48801.519228110657</v>
      </c>
      <c r="H5590" s="5" t="s">
        <v>5631</v>
      </c>
      <c r="I5590" s="7">
        <v>1558800</v>
      </c>
      <c r="J5590" s="8">
        <v>3.8800000000000001E-2</v>
      </c>
    </row>
    <row r="5591" spans="1:10" x14ac:dyDescent="0.25">
      <c r="A5591" s="5" t="s">
        <v>5625</v>
      </c>
      <c r="B5591" s="5" t="s">
        <v>7458</v>
      </c>
      <c r="C5591" s="6" t="str">
        <f>_xll.QS.CONTEXT.CREATE("market.5589",A5591,"USD","SOFR")</f>
        <v>QSObject:PricingContext:w1~market.5589:9978</v>
      </c>
      <c r="D5591" s="6" t="str">
        <f>_xll.QS.CONTEXT.ADD.CURVE(C5591,"SOFR",$K$2:$K$7,$L$2:$L$7,,,"Actual360","LogLinear",TRUE)</f>
        <v>QSObject:ContextInput:w1~input.qs_context_add_curve.2359132437744.5590.3.0:34961</v>
      </c>
      <c r="E5591" s="6" t="str">
        <f>_xll.QS.INSTRUMENT.SWAP("swap.5589",H5591,B5591,"USD","SOFR",I5591,J5591,0,"Actual360","Simple","Annual","Annual","Annual")</f>
        <v>QSObject:Swap:w1~swap.5589:9977</v>
      </c>
      <c r="F5591" s="6" t="str">
        <f>_xll.QS.TRADE.CREATE("trade.5589",E5591,A5591,"Receive")</f>
        <v>QSObject:SwapTrade:w1~trade.5589:26339</v>
      </c>
      <c r="G5591" s="3">
        <f>_xll.QS.EVALUATE(C5591,F5591)</f>
        <v>49591.734694609637</v>
      </c>
      <c r="H5591" s="5" t="s">
        <v>5632</v>
      </c>
      <c r="I5591" s="7">
        <v>1558900</v>
      </c>
      <c r="J5591" s="8">
        <v>3.8899999999999997E-2</v>
      </c>
    </row>
    <row r="5592" spans="1:10" x14ac:dyDescent="0.25">
      <c r="A5592" s="5" t="s">
        <v>5626</v>
      </c>
      <c r="B5592" s="5" t="s">
        <v>7459</v>
      </c>
      <c r="C5592" s="6" t="str">
        <f>_xll.QS.CONTEXT.CREATE("market.5590",A5592,"USD","SOFR")</f>
        <v>QSObject:PricingContext:w1~market.5590:9976</v>
      </c>
      <c r="D5592" s="6" t="str">
        <f>_xll.QS.CONTEXT.ADD.CURVE(C5592,"SOFR",$K$2:$K$7,$L$2:$L$7,,,"Actual360","LogLinear",TRUE)</f>
        <v>QSObject:ContextInput:w1~input.qs_context_add_curve.2359132437744.5591.3.0:34960</v>
      </c>
      <c r="E5592" s="6" t="str">
        <f>_xll.QS.INSTRUMENT.SWAP("swap.5590",H5592,B5592,"USD","SOFR",I5592,J5592,0,"Actual360","Simple","Annual","Annual","Annual")</f>
        <v>QSObject:Swap:w1~swap.5590:9975</v>
      </c>
      <c r="F5592" s="6" t="str">
        <f>_xll.QS.TRADE.CREATE("trade.5590",E5592,A5592,"Receive")</f>
        <v>QSObject:SwapTrade:w1~trade.5590:26338</v>
      </c>
      <c r="G5592" s="3">
        <f>_xll.QS.EVALUATE(C5592,F5592)</f>
        <v>50254.024375114182</v>
      </c>
      <c r="H5592" s="5" t="s">
        <v>5633</v>
      </c>
      <c r="I5592" s="7">
        <v>1559000</v>
      </c>
      <c r="J5592" s="8">
        <v>3.9000000000000007E-2</v>
      </c>
    </row>
    <row r="5593" spans="1:10" x14ac:dyDescent="0.25">
      <c r="A5593" s="5" t="s">
        <v>5627</v>
      </c>
      <c r="B5593" s="5" t="s">
        <v>7460</v>
      </c>
      <c r="C5593" s="6" t="str">
        <f>_xll.QS.CONTEXT.CREATE("market.5591",A5593,"USD","SOFR")</f>
        <v>QSObject:PricingContext:w1~market.5591:9974</v>
      </c>
      <c r="D5593" s="6" t="str">
        <f>_xll.QS.CONTEXT.ADD.CURVE(C5593,"SOFR",$K$2:$K$7,$L$2:$L$7,,,"Actual360","LogLinear",TRUE)</f>
        <v>QSObject:ContextInput:w1~input.qs_context_add_curve.2359132437744.5592.3.0:34959</v>
      </c>
      <c r="E5593" s="6" t="str">
        <f>_xll.QS.INSTRUMENT.SWAP("swap.5591",H5593,B5593,"USD","SOFR",I5593,J5593,0,"Actual360","Simple","Annual","Annual","Annual")</f>
        <v>QSObject:Swap:w1~swap.5591:9973</v>
      </c>
      <c r="F5593" s="6" t="str">
        <f>_xll.QS.TRADE.CREATE("trade.5591",E5593,A5593,"Receive")</f>
        <v>QSObject:SwapTrade:w1~trade.5591:26337</v>
      </c>
      <c r="G5593" s="3">
        <f>_xll.QS.EVALUATE(C5593,F5593)</f>
        <v>50946.32704548692</v>
      </c>
      <c r="H5593" s="5" t="s">
        <v>5634</v>
      </c>
      <c r="I5593" s="7">
        <v>1559100</v>
      </c>
      <c r="J5593" s="8">
        <v>3.9100000000000003E-2</v>
      </c>
    </row>
    <row r="5594" spans="1:10" x14ac:dyDescent="0.25">
      <c r="A5594" s="5" t="s">
        <v>5628</v>
      </c>
      <c r="B5594" s="5" t="s">
        <v>7461</v>
      </c>
      <c r="C5594" s="6" t="str">
        <f>_xll.QS.CONTEXT.CREATE("market.5592",A5594,"USD","SOFR")</f>
        <v>QSObject:PricingContext:w1~market.5592:9972</v>
      </c>
      <c r="D5594" s="6" t="str">
        <f>_xll.QS.CONTEXT.ADD.CURVE(C5594,"SOFR",$K$2:$K$7,$L$2:$L$7,,,"Actual360","LogLinear",TRUE)</f>
        <v>QSObject:ContextInput:w1~input.qs_context_add_curve.2359132437744.5593.3.0:34958</v>
      </c>
      <c r="E5594" s="6" t="str">
        <f>_xll.QS.INSTRUMENT.SWAP("swap.5592",H5594,B5594,"USD","SOFR",I5594,J5594,0,"Actual360","Simple","Annual","Annual","Annual")</f>
        <v>QSObject:Swap:w1~swap.5592:9971</v>
      </c>
      <c r="F5594" s="6" t="str">
        <f>_xll.QS.TRADE.CREATE("trade.5592",E5594,A5594,"Receive")</f>
        <v>QSObject:SwapTrade:w1~trade.5592:26336</v>
      </c>
      <c r="G5594" s="3">
        <f>_xll.QS.EVALUATE(C5594,F5594)</f>
        <v>51474.639466529799</v>
      </c>
      <c r="H5594" s="5" t="s">
        <v>5635</v>
      </c>
      <c r="I5594" s="7">
        <v>1559200</v>
      </c>
      <c r="J5594" s="8">
        <v>3.9200000000000013E-2</v>
      </c>
    </row>
    <row r="5595" spans="1:10" x14ac:dyDescent="0.25">
      <c r="A5595" s="5" t="s">
        <v>5629</v>
      </c>
      <c r="B5595" s="5" t="s">
        <v>7462</v>
      </c>
      <c r="C5595" s="6" t="str">
        <f>_xll.QS.CONTEXT.CREATE("market.5593",A5595,"USD","SOFR")</f>
        <v>QSObject:PricingContext:w1~market.5593:9970</v>
      </c>
      <c r="D5595" s="6" t="str">
        <f>_xll.QS.CONTEXT.ADD.CURVE(C5595,"SOFR",$K$2:$K$7,$L$2:$L$7,,,"Actual360","LogLinear",TRUE)</f>
        <v>QSObject:ContextInput:w1~input.qs_context_add_curve.2359132437744.5594.3.0:34957</v>
      </c>
      <c r="E5595" s="6" t="str">
        <f>_xll.QS.INSTRUMENT.SWAP("swap.5593",H5595,B5595,"USD","SOFR",I5595,J5595,0,"Actual360","Simple","Annual","Annual","Annual")</f>
        <v>QSObject:Swap:w1~swap.5593:9969</v>
      </c>
      <c r="F5595" s="6" t="str">
        <f>_xll.QS.TRADE.CREATE("trade.5593",E5595,A5595,"Receive")</f>
        <v>QSObject:SwapTrade:w1~trade.5593:26335</v>
      </c>
      <c r="G5595" s="3">
        <f>_xll.QS.EVALUATE(C5595,F5595)</f>
        <v>52264.023860846457</v>
      </c>
      <c r="H5595" s="5" t="s">
        <v>5636</v>
      </c>
      <c r="I5595" s="7">
        <v>1559300</v>
      </c>
      <c r="J5595" s="8">
        <v>3.9300000000000002E-2</v>
      </c>
    </row>
    <row r="5596" spans="1:10" x14ac:dyDescent="0.25">
      <c r="A5596" s="5" t="s">
        <v>5630</v>
      </c>
      <c r="B5596" s="5" t="s">
        <v>7463</v>
      </c>
      <c r="C5596" s="6" t="str">
        <f>_xll.QS.CONTEXT.CREATE("market.5594",A5596,"USD","SOFR")</f>
        <v>QSObject:PricingContext:w1~market.5594:9968</v>
      </c>
      <c r="D5596" s="6" t="str">
        <f>_xll.QS.CONTEXT.ADD.CURVE(C5596,"SOFR",$K$2:$K$7,$L$2:$L$7,,,"Actual360","LogLinear",TRUE)</f>
        <v>QSObject:ContextInput:w1~input.qs_context_add_curve.2359132437744.5595.3.0:34956</v>
      </c>
      <c r="E5596" s="6" t="str">
        <f>_xll.QS.INSTRUMENT.SWAP("swap.5594",H5596,B5596,"USD","SOFR",I5596,J5596,0,"Actual360","Simple","Annual","Annual","Annual")</f>
        <v>QSObject:Swap:w1~swap.5594:9967</v>
      </c>
      <c r="F5596" s="6" t="str">
        <f>_xll.QS.TRADE.CREATE("trade.5594",E5596,A5596,"Receive")</f>
        <v>QSObject:SwapTrade:w1~trade.5594:26334</v>
      </c>
      <c r="G5596" s="3">
        <f>_xll.QS.EVALUATE(C5596,F5596)</f>
        <v>53020.457710263574</v>
      </c>
      <c r="H5596" s="5" t="s">
        <v>5637</v>
      </c>
      <c r="I5596" s="7">
        <v>1559400</v>
      </c>
      <c r="J5596" s="8">
        <v>3.9399999999999998E-2</v>
      </c>
    </row>
    <row r="5597" spans="1:10" x14ac:dyDescent="0.25">
      <c r="A5597" s="5" t="s">
        <v>5631</v>
      </c>
      <c r="B5597" s="5" t="s">
        <v>7464</v>
      </c>
      <c r="C5597" s="6" t="str">
        <f>_xll.QS.CONTEXT.CREATE("market.5595",A5597,"USD","SOFR")</f>
        <v>QSObject:PricingContext:w1~market.5595:9966</v>
      </c>
      <c r="D5597" s="6" t="str">
        <f>_xll.QS.CONTEXT.ADD.CURVE(C5597,"SOFR",$K$2:$K$7,$L$2:$L$7,,,"Actual360","LogLinear",TRUE)</f>
        <v>QSObject:ContextInput:w1~input.qs_context_add_curve.2359132437744.5596.3.0:34955</v>
      </c>
      <c r="E5597" s="6" t="str">
        <f>_xll.QS.INSTRUMENT.SWAP("swap.5595",H5597,B5597,"USD","SOFR",I5597,J5597,0,"Actual360","Simple","Annual","Annual","Annual")</f>
        <v>QSObject:Swap:w1~swap.5595:9965</v>
      </c>
      <c r="F5597" s="6" t="str">
        <f>_xll.QS.TRADE.CREATE("trade.5595",E5597,A5597,"Receive")</f>
        <v>QSObject:SwapTrade:w1~trade.5595:26333</v>
      </c>
      <c r="G5597" s="3">
        <f>_xll.QS.EVALUATE(C5597,F5597)</f>
        <v>53917.742696807029</v>
      </c>
      <c r="H5597" s="5" t="s">
        <v>5638</v>
      </c>
      <c r="I5597" s="7">
        <v>1559500</v>
      </c>
      <c r="J5597" s="8">
        <v>3.9500000000000007E-2</v>
      </c>
    </row>
    <row r="5598" spans="1:10" x14ac:dyDescent="0.25">
      <c r="A5598" s="5" t="s">
        <v>5632</v>
      </c>
      <c r="B5598" s="5" t="s">
        <v>7465</v>
      </c>
      <c r="C5598" s="6" t="str">
        <f>_xll.QS.CONTEXT.CREATE("market.5596",A5598,"USD","SOFR")</f>
        <v>QSObject:PricingContext:w1~market.5596:9964</v>
      </c>
      <c r="D5598" s="6" t="str">
        <f>_xll.QS.CONTEXT.ADD.CURVE(C5598,"SOFR",$K$2:$K$7,$L$2:$L$7,,,"Actual360","LogLinear",TRUE)</f>
        <v>QSObject:ContextInput:w1~input.qs_context_add_curve.2359132437744.5597.3.0:34954</v>
      </c>
      <c r="E5598" s="6" t="str">
        <f>_xll.QS.INSTRUMENT.SWAP("swap.5596",H5598,B5598,"USD","SOFR",I5598,J5598,0,"Actual360","Simple","Annual","Annual","Annual")</f>
        <v>QSObject:Swap:w1~swap.5596:9963</v>
      </c>
      <c r="F5598" s="6" t="str">
        <f>_xll.QS.TRADE.CREATE("trade.5596",E5598,A5598,"Receive")</f>
        <v>QSObject:SwapTrade:w1~trade.5596:26332</v>
      </c>
      <c r="G5598" s="3">
        <f>_xll.QS.EVALUATE(C5598,F5598)</f>
        <v>54648.406460598264</v>
      </c>
      <c r="H5598" s="5" t="s">
        <v>5639</v>
      </c>
      <c r="I5598" s="7">
        <v>1559600</v>
      </c>
      <c r="J5598" s="8">
        <v>3.9600000000000003E-2</v>
      </c>
    </row>
    <row r="5599" spans="1:10" x14ac:dyDescent="0.25">
      <c r="A5599" s="5" t="s">
        <v>5633</v>
      </c>
      <c r="B5599" s="5" t="s">
        <v>7466</v>
      </c>
      <c r="C5599" s="6" t="str">
        <f>_xll.QS.CONTEXT.CREATE("market.5597",A5599,"USD","SOFR")</f>
        <v>QSObject:PricingContext:w1~market.5597:9962</v>
      </c>
      <c r="D5599" s="6" t="str">
        <f>_xll.QS.CONTEXT.ADD.CURVE(C5599,"SOFR",$K$2:$K$7,$L$2:$L$7,,,"Actual360","LogLinear",TRUE)</f>
        <v>QSObject:ContextInput:w1~input.qs_context_add_curve.2359132437744.5598.3.0:34953</v>
      </c>
      <c r="E5599" s="6" t="str">
        <f>_xll.QS.INSTRUMENT.SWAP("swap.5597",H5599,B5599,"USD","SOFR",I5599,J5599,0,"Actual360","Simple","Annual","Annual","Annual")</f>
        <v>QSObject:Swap:w1~swap.5597:9961</v>
      </c>
      <c r="F5599" s="6" t="str">
        <f>_xll.QS.TRADE.CREATE("trade.5597",E5599,A5599,"Receive")</f>
        <v>QSObject:SwapTrade:w1~trade.5597:26331</v>
      </c>
      <c r="G5599" s="3">
        <f>_xll.QS.EVALUATE(C5599,F5599)</f>
        <v>55310.995073226346</v>
      </c>
      <c r="H5599" s="5" t="s">
        <v>5640</v>
      </c>
      <c r="I5599" s="7">
        <v>1559700</v>
      </c>
      <c r="J5599" s="8">
        <v>3.9700000000000013E-2</v>
      </c>
    </row>
    <row r="5600" spans="1:10" x14ac:dyDescent="0.25">
      <c r="A5600" s="5" t="s">
        <v>5634</v>
      </c>
      <c r="B5600" s="5" t="s">
        <v>7467</v>
      </c>
      <c r="C5600" s="6" t="str">
        <f>_xll.QS.CONTEXT.CREATE("market.5598",A5600,"USD","SOFR")</f>
        <v>QSObject:PricingContext:w1~market.5598:9960</v>
      </c>
      <c r="D5600" s="6" t="str">
        <f>_xll.QS.CONTEXT.ADD.CURVE(C5600,"SOFR",$K$2:$K$7,$L$2:$L$7,,,"Actual360","LogLinear",TRUE)</f>
        <v>QSObject:ContextInput:w1~input.qs_context_add_curve.2359132437744.5599.3.0:34952</v>
      </c>
      <c r="E5600" s="6" t="str">
        <f>_xll.QS.INSTRUMENT.SWAP("swap.5598",H5600,B5600,"USD","SOFR",I5600,J5600,0,"Actual360","Simple","Annual","Annual","Annual")</f>
        <v>QSObject:Swap:w1~swap.5598:9959</v>
      </c>
      <c r="F5600" s="6" t="str">
        <f>_xll.QS.TRADE.CREATE("trade.5598",E5600,A5600,"Receive")</f>
        <v>QSObject:SwapTrade:w1~trade.5598:26330</v>
      </c>
      <c r="G5600" s="3">
        <f>_xll.QS.EVALUATE(C5600,F5600)</f>
        <v>55902.087762554533</v>
      </c>
      <c r="H5600" s="5" t="s">
        <v>5641</v>
      </c>
      <c r="I5600" s="7">
        <v>1559800</v>
      </c>
      <c r="J5600" s="8">
        <v>3.9800000000000002E-2</v>
      </c>
    </row>
    <row r="5601" spans="1:10" x14ac:dyDescent="0.25">
      <c r="A5601" s="5" t="s">
        <v>5635</v>
      </c>
      <c r="B5601" s="5" t="s">
        <v>7468</v>
      </c>
      <c r="C5601" s="6" t="str">
        <f>_xll.QS.CONTEXT.CREATE("market.5599",A5601,"USD","SOFR")</f>
        <v>QSObject:PricingContext:w1~market.5599:9958</v>
      </c>
      <c r="D5601" s="6" t="str">
        <f>_xll.QS.CONTEXT.ADD.CURVE(C5601,"SOFR",$K$2:$K$7,$L$2:$L$7,,,"Actual360","LogLinear",TRUE)</f>
        <v>QSObject:ContextInput:w1~input.qs_context_add_curve.2359132437744.5600.3.0:34951</v>
      </c>
      <c r="E5601" s="6" t="str">
        <f>_xll.QS.INSTRUMENT.SWAP("swap.5599",H5601,B5601,"USD","SOFR",I5601,J5601,0,"Actual360","Simple","Annual","Annual","Annual")</f>
        <v>QSObject:Swap:w1~swap.5599:9957</v>
      </c>
      <c r="F5601" s="6" t="str">
        <f>_xll.QS.TRADE.CREATE("trade.5599",E5601,A5601,"Receive")</f>
        <v>QSObject:SwapTrade:w1~trade.5599:26329</v>
      </c>
      <c r="G5601" s="3">
        <f>_xll.QS.EVALUATE(C5601,F5601)</f>
        <v>56534.941885998334</v>
      </c>
      <c r="H5601" s="5" t="s">
        <v>5642</v>
      </c>
      <c r="I5601" s="7">
        <v>1559900</v>
      </c>
      <c r="J5601" s="8">
        <v>3.9899999999999998E-2</v>
      </c>
    </row>
    <row r="5602" spans="1:10" x14ac:dyDescent="0.25">
      <c r="A5602" s="5" t="s">
        <v>5636</v>
      </c>
      <c r="B5602" s="5" t="s">
        <v>7469</v>
      </c>
      <c r="C5602" s="6" t="str">
        <f>_xll.QS.CONTEXT.CREATE("market.5600",A5602,"USD","SOFR")</f>
        <v>QSObject:PricingContext:w1~market.5600:9956</v>
      </c>
      <c r="D5602" s="6" t="str">
        <f>_xll.QS.CONTEXT.ADD.CURVE(C5602,"SOFR",$K$2:$K$7,$L$2:$L$7,,,"Actual360","LogLinear",TRUE)</f>
        <v>QSObject:ContextInput:w1~input.qs_context_add_curve.2359132437744.5601.3.0:34950</v>
      </c>
      <c r="E5602" s="6" t="str">
        <f>_xll.QS.INSTRUMENT.SWAP("swap.5600",H5602,B5602,"USD","SOFR",I5602,J5602,0,"Actual360","Simple","Annual","Annual","Annual")</f>
        <v>QSObject:Swap:w1~swap.5600:9955</v>
      </c>
      <c r="F5602" s="6" t="str">
        <f>_xll.QS.TRADE.CREATE("trade.5600",E5602,A5602,"Receive")</f>
        <v>QSObject:SwapTrade:w1~trade.5600:26328</v>
      </c>
      <c r="G5602" s="3">
        <f>_xll.QS.EVALUATE(C5602,F5602)</f>
        <v>21339.748192644533</v>
      </c>
      <c r="H5602" s="5" t="s">
        <v>5643</v>
      </c>
      <c r="I5602" s="7">
        <v>1560000</v>
      </c>
      <c r="J5602" s="8">
        <v>3.5000000000000003E-2</v>
      </c>
    </row>
    <row r="5603" spans="1:10" x14ac:dyDescent="0.25">
      <c r="A5603" s="5" t="s">
        <v>5637</v>
      </c>
      <c r="B5603" s="5" t="s">
        <v>7470</v>
      </c>
      <c r="C5603" s="6" t="str">
        <f>_xll.QS.CONTEXT.CREATE("market.5601",A5603,"USD","SOFR")</f>
        <v>QSObject:PricingContext:w1~market.5601:9954</v>
      </c>
      <c r="D5603" s="6" t="str">
        <f>_xll.QS.CONTEXT.ADD.CURVE(C5603,"SOFR",$K$2:$K$7,$L$2:$L$7,,,"Actual360","LogLinear",TRUE)</f>
        <v>QSObject:ContextInput:w1~input.qs_context_add_curve.2359132437744.5602.3.0:34949</v>
      </c>
      <c r="E5603" s="6" t="str">
        <f>_xll.QS.INSTRUMENT.SWAP("swap.5601",H5603,B5603,"USD","SOFR",I5603,J5603,0,"Actual360","Simple","Annual","Annual","Annual")</f>
        <v>QSObject:Swap:w1~swap.5601:9953</v>
      </c>
      <c r="F5603" s="6" t="str">
        <f>_xll.QS.TRADE.CREATE("trade.5601",E5603,A5603,"Receive")</f>
        <v>QSObject:SwapTrade:w1~trade.5601:26327</v>
      </c>
      <c r="G5603" s="3">
        <f>_xll.QS.EVALUATE(C5603,F5603)</f>
        <v>22109.567476156939</v>
      </c>
      <c r="H5603" s="5" t="s">
        <v>5644</v>
      </c>
      <c r="I5603" s="7">
        <v>1560100</v>
      </c>
      <c r="J5603" s="8">
        <v>3.5100000000000013E-2</v>
      </c>
    </row>
    <row r="5604" spans="1:10" x14ac:dyDescent="0.25">
      <c r="A5604" s="5" t="s">
        <v>5638</v>
      </c>
      <c r="B5604" s="5" t="s">
        <v>7471</v>
      </c>
      <c r="C5604" s="6" t="str">
        <f>_xll.QS.CONTEXT.CREATE("market.5602",A5604,"USD","SOFR")</f>
        <v>QSObject:PricingContext:w1~market.5602:9952</v>
      </c>
      <c r="D5604" s="6" t="str">
        <f>_xll.QS.CONTEXT.ADD.CURVE(C5604,"SOFR",$K$2:$K$7,$L$2:$L$7,,,"Actual360","LogLinear",TRUE)</f>
        <v>QSObject:ContextInput:w1~input.qs_context_add_curve.2359132437744.5603.3.0:34948</v>
      </c>
      <c r="E5604" s="6" t="str">
        <f>_xll.QS.INSTRUMENT.SWAP("swap.5602",H5604,B5604,"USD","SOFR",I5604,J5604,0,"Actual360","Simple","Annual","Annual","Annual")</f>
        <v>QSObject:Swap:w1~swap.5602:9951</v>
      </c>
      <c r="F5604" s="6" t="str">
        <f>_xll.QS.TRADE.CREATE("trade.5602",E5604,A5604,"Receive")</f>
        <v>QSObject:SwapTrade:w1~trade.5602:26326</v>
      </c>
      <c r="G5604" s="3">
        <f>_xll.QS.EVALUATE(C5604,F5604)</f>
        <v>22944.466359907754</v>
      </c>
      <c r="H5604" s="5" t="s">
        <v>5645</v>
      </c>
      <c r="I5604" s="7">
        <v>1560200</v>
      </c>
      <c r="J5604" s="8">
        <v>3.5200000000000002E-2</v>
      </c>
    </row>
    <row r="5605" spans="1:10" x14ac:dyDescent="0.25">
      <c r="A5605" s="5" t="s">
        <v>5639</v>
      </c>
      <c r="B5605" s="5" t="s">
        <v>7472</v>
      </c>
      <c r="C5605" s="6" t="str">
        <f>_xll.QS.CONTEXT.CREATE("market.5603",A5605,"USD","SOFR")</f>
        <v>QSObject:PricingContext:w1~market.5603:9950</v>
      </c>
      <c r="D5605" s="6" t="str">
        <f>_xll.QS.CONTEXT.ADD.CURVE(C5605,"SOFR",$K$2:$K$7,$L$2:$L$7,,,"Actual360","LogLinear",TRUE)</f>
        <v>QSObject:ContextInput:w1~input.qs_context_add_curve.2359132437744.5604.3.0:34947</v>
      </c>
      <c r="E5605" s="6" t="str">
        <f>_xll.QS.INSTRUMENT.SWAP("swap.5603",H5605,B5605,"USD","SOFR",I5605,J5605,0,"Actual360","Simple","Annual","Annual","Annual")</f>
        <v>QSObject:Swap:w1~swap.5603:9949</v>
      </c>
      <c r="F5605" s="6" t="str">
        <f>_xll.QS.TRADE.CREATE("trade.5603",E5605,A5605,"Receive")</f>
        <v>QSObject:SwapTrade:w1~trade.5603:26325</v>
      </c>
      <c r="G5605" s="3">
        <f>_xll.QS.EVALUATE(C5605,F5605)</f>
        <v>23733.43337551794</v>
      </c>
      <c r="H5605" s="5" t="s">
        <v>5646</v>
      </c>
      <c r="I5605" s="7">
        <v>1560300</v>
      </c>
      <c r="J5605" s="8">
        <v>3.5299999999999998E-2</v>
      </c>
    </row>
    <row r="5606" spans="1:10" x14ac:dyDescent="0.25">
      <c r="A5606" s="5" t="s">
        <v>5640</v>
      </c>
      <c r="B5606" s="5" t="s">
        <v>7473</v>
      </c>
      <c r="C5606" s="6" t="str">
        <f>_xll.QS.CONTEXT.CREATE("market.5604",A5606,"USD","SOFR")</f>
        <v>QSObject:PricingContext:w1~market.5604:9948</v>
      </c>
      <c r="D5606" s="6" t="str">
        <f>_xll.QS.CONTEXT.ADD.CURVE(C5606,"SOFR",$K$2:$K$7,$L$2:$L$7,,,"Actual360","LogLinear",TRUE)</f>
        <v>QSObject:ContextInput:w1~input.qs_context_add_curve.2359132437744.5605.3.0:34946</v>
      </c>
      <c r="E5606" s="6" t="str">
        <f>_xll.QS.INSTRUMENT.SWAP("swap.5604",H5606,B5606,"USD","SOFR",I5606,J5606,0,"Actual360","Simple","Annual","Annual","Annual")</f>
        <v>QSObject:Swap:w1~swap.5604:9947</v>
      </c>
      <c r="F5606" s="6" t="str">
        <f>_xll.QS.TRADE.CREATE("trade.5604",E5606,A5606,"Receive")</f>
        <v>QSObject:SwapTrade:w1~trade.5604:26324</v>
      </c>
      <c r="G5606" s="3">
        <f>_xll.QS.EVALUATE(C5606,F5606)</f>
        <v>24394.674777475899</v>
      </c>
      <c r="H5606" s="5" t="s">
        <v>5647</v>
      </c>
      <c r="I5606" s="7">
        <v>1560400</v>
      </c>
      <c r="J5606" s="8">
        <v>3.5400000000000001E-2</v>
      </c>
    </row>
    <row r="5607" spans="1:10" x14ac:dyDescent="0.25">
      <c r="A5607" s="5" t="s">
        <v>5641</v>
      </c>
      <c r="B5607" s="5" t="s">
        <v>7474</v>
      </c>
      <c r="C5607" s="6" t="str">
        <f>_xll.QS.CONTEXT.CREATE("market.5605",A5607,"USD","SOFR")</f>
        <v>QSObject:PricingContext:w1~market.5605:9946</v>
      </c>
      <c r="D5607" s="6" t="str">
        <f>_xll.QS.CONTEXT.ADD.CURVE(C5607,"SOFR",$K$2:$K$7,$L$2:$L$7,,,"Actual360","LogLinear",TRUE)</f>
        <v>QSObject:ContextInput:w1~input.qs_context_add_curve.2359132437744.5606.3.0:34945</v>
      </c>
      <c r="E5607" s="6" t="str">
        <f>_xll.QS.INSTRUMENT.SWAP("swap.5605",H5607,B5607,"USD","SOFR",I5607,J5607,0,"Actual360","Simple","Annual","Annual","Annual")</f>
        <v>QSObject:Swap:w1~swap.5605:9945</v>
      </c>
      <c r="F5607" s="6" t="str">
        <f>_xll.QS.TRADE.CREATE("trade.5605",E5607,A5607,"Receive")</f>
        <v>QSObject:SwapTrade:w1~trade.5605:26323</v>
      </c>
      <c r="G5607" s="3">
        <f>_xll.QS.EVALUATE(C5607,F5607)</f>
        <v>25020.48857535718</v>
      </c>
      <c r="H5607" s="5" t="s">
        <v>5648</v>
      </c>
      <c r="I5607" s="7">
        <v>1560500</v>
      </c>
      <c r="J5607" s="8">
        <v>3.5499999999999997E-2</v>
      </c>
    </row>
    <row r="5608" spans="1:10" x14ac:dyDescent="0.25">
      <c r="A5608" s="5" t="s">
        <v>5642</v>
      </c>
      <c r="B5608" s="5" t="s">
        <v>7475</v>
      </c>
      <c r="C5608" s="6" t="str">
        <f>_xll.QS.CONTEXT.CREATE("market.5606",A5608,"USD","SOFR")</f>
        <v>QSObject:PricingContext:w1~market.5606:9944</v>
      </c>
      <c r="D5608" s="6" t="str">
        <f>_xll.QS.CONTEXT.ADD.CURVE(C5608,"SOFR",$K$2:$K$7,$L$2:$L$7,,,"Actual360","LogLinear",TRUE)</f>
        <v>QSObject:ContextInput:w1~input.qs_context_add_curve.2359132437744.5607.3.0:34944</v>
      </c>
      <c r="E5608" s="6" t="str">
        <f>_xll.QS.INSTRUMENT.SWAP("swap.5606",H5608,B5608,"USD","SOFR",I5608,J5608,0,"Actual360","Simple","Annual","Annual","Annual")</f>
        <v>QSObject:Swap:w1~swap.5606:9943</v>
      </c>
      <c r="F5608" s="6" t="str">
        <f>_xll.QS.TRADE.CREATE("trade.5606",E5608,A5608,"Receive")</f>
        <v>QSObject:SwapTrade:w1~trade.5606:26322</v>
      </c>
      <c r="G5608" s="3">
        <f>_xll.QS.EVALUATE(C5608,F5608)</f>
        <v>25603.669455662937</v>
      </c>
      <c r="H5608" s="5" t="s">
        <v>5649</v>
      </c>
      <c r="I5608" s="7">
        <v>1560600</v>
      </c>
      <c r="J5608" s="8">
        <v>3.5600000000000007E-2</v>
      </c>
    </row>
    <row r="5609" spans="1:10" x14ac:dyDescent="0.25">
      <c r="A5609" s="5" t="s">
        <v>5643</v>
      </c>
      <c r="B5609" s="5" t="s">
        <v>7476</v>
      </c>
      <c r="C5609" s="6" t="str">
        <f>_xll.QS.CONTEXT.CREATE("market.5607",A5609,"USD","SOFR")</f>
        <v>QSObject:PricingContext:w1~market.5607:9942</v>
      </c>
      <c r="D5609" s="6" t="str">
        <f>_xll.QS.CONTEXT.ADD.CURVE(C5609,"SOFR",$K$2:$K$7,$L$2:$L$7,,,"Actual360","LogLinear",TRUE)</f>
        <v>QSObject:ContextInput:w1~input.qs_context_add_curve.2359132437744.5608.3.0:34943</v>
      </c>
      <c r="E5609" s="6" t="str">
        <f>_xll.QS.INSTRUMENT.SWAP("swap.5607",H5609,B5609,"USD","SOFR",I5609,J5609,0,"Actual360","Simple","Annual","Annual","Annual")</f>
        <v>QSObject:Swap:w1~swap.5607:9941</v>
      </c>
      <c r="F5609" s="6" t="str">
        <f>_xll.QS.TRADE.CREATE("trade.5607",E5609,A5609,"Receive")</f>
        <v>QSObject:SwapTrade:w1~trade.5607:26321</v>
      </c>
      <c r="G5609" s="3">
        <f>_xll.QS.EVALUATE(C5609,F5609)</f>
        <v>26389.588224187872</v>
      </c>
      <c r="H5609" s="5" t="s">
        <v>5650</v>
      </c>
      <c r="I5609" s="7">
        <v>1560700</v>
      </c>
      <c r="J5609" s="8">
        <v>3.5700000000000003E-2</v>
      </c>
    </row>
    <row r="5610" spans="1:10" x14ac:dyDescent="0.25">
      <c r="A5610" s="5" t="s">
        <v>5644</v>
      </c>
      <c r="B5610" s="5" t="s">
        <v>7477</v>
      </c>
      <c r="C5610" s="6" t="str">
        <f>_xll.QS.CONTEXT.CREATE("market.5608",A5610,"USD","SOFR")</f>
        <v>QSObject:PricingContext:w1~market.5608:9940</v>
      </c>
      <c r="D5610" s="6" t="str">
        <f>_xll.QS.CONTEXT.ADD.CURVE(C5610,"SOFR",$K$2:$K$7,$L$2:$L$7,,,"Actual360","LogLinear",TRUE)</f>
        <v>QSObject:ContextInput:w1~input.qs_context_add_curve.2359132437744.5609.3.0:34942</v>
      </c>
      <c r="E5610" s="6" t="str">
        <f>_xll.QS.INSTRUMENT.SWAP("swap.5608",H5610,B5610,"USD","SOFR",I5610,J5610,0,"Actual360","Simple","Annual","Annual","Annual")</f>
        <v>QSObject:Swap:w1~swap.5608:9939</v>
      </c>
      <c r="F5610" s="6" t="str">
        <f>_xll.QS.TRADE.CREATE("trade.5608",E5610,A5610,"Receive")</f>
        <v>QSObject:SwapTrade:w1~trade.5608:26320</v>
      </c>
      <c r="G5610" s="3">
        <f>_xll.QS.EVALUATE(C5610,F5610)</f>
        <v>27157.627213075233</v>
      </c>
      <c r="H5610" s="5" t="s">
        <v>5651</v>
      </c>
      <c r="I5610" s="7">
        <v>1560800</v>
      </c>
      <c r="J5610" s="8">
        <v>3.5800000000000012E-2</v>
      </c>
    </row>
    <row r="5611" spans="1:10" x14ac:dyDescent="0.25">
      <c r="A5611" s="5" t="s">
        <v>5645</v>
      </c>
      <c r="B5611" s="5" t="s">
        <v>7478</v>
      </c>
      <c r="C5611" s="6" t="str">
        <f>_xll.QS.CONTEXT.CREATE("market.5609",A5611,"USD","SOFR")</f>
        <v>QSObject:PricingContext:w1~market.5609:9938</v>
      </c>
      <c r="D5611" s="6" t="str">
        <f>_xll.QS.CONTEXT.ADD.CURVE(C5611,"SOFR",$K$2:$K$7,$L$2:$L$7,,,"Actual360","LogLinear",TRUE)</f>
        <v>QSObject:ContextInput:w1~input.qs_context_add_curve.2359132437744.5610.3.0:34941</v>
      </c>
      <c r="E5611" s="6" t="str">
        <f>_xll.QS.INSTRUMENT.SWAP("swap.5609",H5611,B5611,"USD","SOFR",I5611,J5611,0,"Actual360","Simple","Annual","Annual","Annual")</f>
        <v>QSObject:Swap:w1~swap.5609:9937</v>
      </c>
      <c r="F5611" s="6" t="str">
        <f>_xll.QS.TRADE.CREATE("trade.5609",E5611,A5611,"Receive")</f>
        <v>QSObject:SwapTrade:w1~trade.5609:26319</v>
      </c>
      <c r="G5611" s="3">
        <f>_xll.QS.EVALUATE(C5611,F5611)</f>
        <v>27993.302571982582</v>
      </c>
      <c r="H5611" s="5" t="s">
        <v>5652</v>
      </c>
      <c r="I5611" s="7">
        <v>1560900</v>
      </c>
      <c r="J5611" s="8">
        <v>3.5900000000000001E-2</v>
      </c>
    </row>
    <row r="5612" spans="1:10" x14ac:dyDescent="0.25">
      <c r="A5612" s="5" t="s">
        <v>5646</v>
      </c>
      <c r="B5612" s="5" t="s">
        <v>7479</v>
      </c>
      <c r="C5612" s="6" t="str">
        <f>_xll.QS.CONTEXT.CREATE("market.5610",A5612,"USD","SOFR")</f>
        <v>QSObject:PricingContext:w1~market.5610:9936</v>
      </c>
      <c r="D5612" s="6" t="str">
        <f>_xll.QS.CONTEXT.ADD.CURVE(C5612,"SOFR",$K$2:$K$7,$L$2:$L$7,,,"Actual360","LogLinear",TRUE)</f>
        <v>QSObject:ContextInput:w1~input.qs_context_add_curve.2359132437744.5611.3.0:34940</v>
      </c>
      <c r="E5612" s="6" t="str">
        <f>_xll.QS.INSTRUMENT.SWAP("swap.5610",H5612,B5612,"USD","SOFR",I5612,J5612,0,"Actual360","Simple","Annual","Annual","Annual")</f>
        <v>QSObject:Swap:w1~swap.5610:9935</v>
      </c>
      <c r="F5612" s="6" t="str">
        <f>_xll.QS.TRADE.CREATE("trade.5610",E5612,A5612,"Receive")</f>
        <v>QSObject:SwapTrade:w1~trade.5610:26318</v>
      </c>
      <c r="G5612" s="3">
        <f>_xll.QS.EVALUATE(C5612,F5612)</f>
        <v>28783.003520964383</v>
      </c>
      <c r="H5612" s="5" t="s">
        <v>5653</v>
      </c>
      <c r="I5612" s="7">
        <v>1561000</v>
      </c>
      <c r="J5612" s="8">
        <v>3.5999999999999997E-2</v>
      </c>
    </row>
    <row r="5613" spans="1:10" x14ac:dyDescent="0.25">
      <c r="A5613" s="5" t="s">
        <v>5647</v>
      </c>
      <c r="B5613" s="5" t="s">
        <v>7480</v>
      </c>
      <c r="C5613" s="6" t="str">
        <f>_xll.QS.CONTEXT.CREATE("market.5611",A5613,"USD","SOFR")</f>
        <v>QSObject:PricingContext:w1~market.5611:9934</v>
      </c>
      <c r="D5613" s="6" t="str">
        <f>_xll.QS.CONTEXT.ADD.CURVE(C5613,"SOFR",$K$2:$K$7,$L$2:$L$7,,,"Actual360","LogLinear",TRUE)</f>
        <v>QSObject:ContextInput:w1~input.qs_context_add_curve.2359132437744.5612.3.0:34939</v>
      </c>
      <c r="E5613" s="6" t="str">
        <f>_xll.QS.INSTRUMENT.SWAP("swap.5611",H5613,B5613,"USD","SOFR",I5613,J5613,0,"Actual360","Simple","Annual","Annual","Annual")</f>
        <v>QSObject:Swap:w1~swap.5611:9933</v>
      </c>
      <c r="F5613" s="6" t="str">
        <f>_xll.QS.TRADE.CREATE("trade.5611",E5613,A5613,"Receive")</f>
        <v>QSObject:SwapTrade:w1~trade.5611:26317</v>
      </c>
      <c r="G5613" s="3">
        <f>_xll.QS.EVALUATE(C5613,F5613)</f>
        <v>29444.808317413066</v>
      </c>
      <c r="H5613" s="5" t="s">
        <v>5654</v>
      </c>
      <c r="I5613" s="7">
        <v>1561100</v>
      </c>
      <c r="J5613" s="8">
        <v>3.61E-2</v>
      </c>
    </row>
    <row r="5614" spans="1:10" x14ac:dyDescent="0.25">
      <c r="A5614" s="5" t="s">
        <v>5648</v>
      </c>
      <c r="B5614" s="5" t="s">
        <v>7481</v>
      </c>
      <c r="C5614" s="6" t="str">
        <f>_xll.QS.CONTEXT.CREATE("market.5612",A5614,"USD","SOFR")</f>
        <v>QSObject:PricingContext:w1~market.5612:9932</v>
      </c>
      <c r="D5614" s="6" t="str">
        <f>_xll.QS.CONTEXT.ADD.CURVE(C5614,"SOFR",$K$2:$K$7,$L$2:$L$7,,,"Actual360","LogLinear",TRUE)</f>
        <v>QSObject:ContextInput:w1~input.qs_context_add_curve.2359132437744.5613.3.0:34938</v>
      </c>
      <c r="E5614" s="6" t="str">
        <f>_xll.QS.INSTRUMENT.SWAP("swap.5612",H5614,B5614,"USD","SOFR",I5614,J5614,0,"Actual360","Simple","Annual","Annual","Annual")</f>
        <v>QSObject:Swap:w1~swap.5612:9931</v>
      </c>
      <c r="F5614" s="6" t="str">
        <f>_xll.QS.TRADE.CREATE("trade.5612",E5614,A5614,"Receive")</f>
        <v>QSObject:SwapTrade:w1~trade.5612:26316</v>
      </c>
      <c r="G5614" s="3">
        <f>_xll.QS.EVALUATE(C5614,F5614)</f>
        <v>30065.290127496701</v>
      </c>
      <c r="H5614" s="5" t="s">
        <v>5655</v>
      </c>
      <c r="I5614" s="7">
        <v>1561200</v>
      </c>
      <c r="J5614" s="8">
        <v>3.6200000000000003E-2</v>
      </c>
    </row>
    <row r="5615" spans="1:10" x14ac:dyDescent="0.25">
      <c r="A5615" s="5" t="s">
        <v>5649</v>
      </c>
      <c r="B5615" s="5" t="s">
        <v>7482</v>
      </c>
      <c r="C5615" s="6" t="str">
        <f>_xll.QS.CONTEXT.CREATE("market.5613",A5615,"USD","SOFR")</f>
        <v>QSObject:PricingContext:w1~market.5613:9930</v>
      </c>
      <c r="D5615" s="6" t="str">
        <f>_xll.QS.CONTEXT.ADD.CURVE(C5615,"SOFR",$K$2:$K$7,$L$2:$L$7,,,"Actual360","LogLinear",TRUE)</f>
        <v>QSObject:ContextInput:w1~input.qs_context_add_curve.2359132437744.5614.3.0:34937</v>
      </c>
      <c r="E5615" s="6" t="str">
        <f>_xll.QS.INSTRUMENT.SWAP("swap.5613",H5615,B5615,"USD","SOFR",I5615,J5615,0,"Actual360","Simple","Annual","Annual","Annual")</f>
        <v>QSObject:Swap:w1~swap.5613:9929</v>
      </c>
      <c r="F5615" s="6" t="str">
        <f>_xll.QS.TRADE.CREATE("trade.5613",E5615,A5615,"Receive")</f>
        <v>QSObject:SwapTrade:w1~trade.5613:26315</v>
      </c>
      <c r="G5615" s="3">
        <f>_xll.QS.EVALUATE(C5615,F5615)</f>
        <v>30656.867686053673</v>
      </c>
      <c r="H5615" s="5" t="s">
        <v>5656</v>
      </c>
      <c r="I5615" s="7">
        <v>1561300</v>
      </c>
      <c r="J5615" s="8">
        <v>3.6300000000000013E-2</v>
      </c>
    </row>
    <row r="5616" spans="1:10" x14ac:dyDescent="0.25">
      <c r="A5616" s="5" t="s">
        <v>5650</v>
      </c>
      <c r="B5616" s="5" t="s">
        <v>7483</v>
      </c>
      <c r="C5616" s="6" t="str">
        <f>_xll.QS.CONTEXT.CREATE("market.5614",A5616,"USD","SOFR")</f>
        <v>QSObject:PricingContext:w1~market.5614:9928</v>
      </c>
      <c r="D5616" s="6" t="str">
        <f>_xll.QS.CONTEXT.ADD.CURVE(C5616,"SOFR",$K$2:$K$7,$L$2:$L$7,,,"Actual360","LogLinear",TRUE)</f>
        <v>QSObject:ContextInput:w1~input.qs_context_add_curve.2359132437744.5615.3.0:34936</v>
      </c>
      <c r="E5616" s="6" t="str">
        <f>_xll.QS.INSTRUMENT.SWAP("swap.5614",H5616,B5616,"USD","SOFR",I5616,J5616,0,"Actual360","Simple","Annual","Annual","Annual")</f>
        <v>QSObject:Swap:w1~swap.5614:9927</v>
      </c>
      <c r="F5616" s="6" t="str">
        <f>_xll.QS.TRADE.CREATE("trade.5614",E5616,A5616,"Receive")</f>
        <v>QSObject:SwapTrade:w1~trade.5614:26314</v>
      </c>
      <c r="G5616" s="3">
        <f>_xll.QS.EVALUATE(C5616,F5616)</f>
        <v>31443.853971054486</v>
      </c>
      <c r="H5616" s="5" t="s">
        <v>5657</v>
      </c>
      <c r="I5616" s="7">
        <v>1561400</v>
      </c>
      <c r="J5616" s="8">
        <v>3.6400000000000002E-2</v>
      </c>
    </row>
    <row r="5617" spans="1:10" x14ac:dyDescent="0.25">
      <c r="A5617" s="5" t="s">
        <v>5651</v>
      </c>
      <c r="B5617" s="5" t="s">
        <v>7484</v>
      </c>
      <c r="C5617" s="6" t="str">
        <f>_xll.QS.CONTEXT.CREATE("market.5615",A5617,"USD","SOFR")</f>
        <v>QSObject:PricingContext:w1~market.5615:9926</v>
      </c>
      <c r="D5617" s="6" t="str">
        <f>_xll.QS.CONTEXT.ADD.CURVE(C5617,"SOFR",$K$2:$K$7,$L$2:$L$7,,,"Actual360","LogLinear",TRUE)</f>
        <v>QSObject:ContextInput:w1~input.qs_context_add_curve.2359132437744.5616.3.0:34935</v>
      </c>
      <c r="E5617" s="6" t="str">
        <f>_xll.QS.INSTRUMENT.SWAP("swap.5615",H5617,B5617,"USD","SOFR",I5617,J5617,0,"Actual360","Simple","Annual","Annual","Annual")</f>
        <v>QSObject:Swap:w1~swap.5615:9925</v>
      </c>
      <c r="F5617" s="6" t="str">
        <f>_xll.QS.TRADE.CREATE("trade.5615",E5617,A5617,"Receive")</f>
        <v>QSObject:SwapTrade:w1~trade.5615:26313</v>
      </c>
      <c r="G5617" s="3">
        <f>_xll.QS.EVALUATE(C5617,F5617)</f>
        <v>32210.018515414624</v>
      </c>
      <c r="H5617" s="5" t="s">
        <v>5658</v>
      </c>
      <c r="I5617" s="7">
        <v>1561500</v>
      </c>
      <c r="J5617" s="8">
        <v>3.6499999999999998E-2</v>
      </c>
    </row>
    <row r="5618" spans="1:10" x14ac:dyDescent="0.25">
      <c r="A5618" s="5" t="s">
        <v>5652</v>
      </c>
      <c r="B5618" s="5" t="s">
        <v>7485</v>
      </c>
      <c r="C5618" s="6" t="str">
        <f>_xll.QS.CONTEXT.CREATE("market.5616",A5618,"USD","SOFR")</f>
        <v>QSObject:PricingContext:w1~market.5616:9924</v>
      </c>
      <c r="D5618" s="6" t="str">
        <f>_xll.QS.CONTEXT.ADD.CURVE(C5618,"SOFR",$K$2:$K$7,$L$2:$L$7,,,"Actual360","LogLinear",TRUE)</f>
        <v>QSObject:ContextInput:w1~input.qs_context_add_curve.2359132437744.5617.3.0:34934</v>
      </c>
      <c r="E5618" s="6" t="str">
        <f>_xll.QS.INSTRUMENT.SWAP("swap.5616",H5618,B5618,"USD","SOFR",I5618,J5618,0,"Actual360","Simple","Annual","Annual","Annual")</f>
        <v>QSObject:Swap:w1~swap.5616:9923</v>
      </c>
      <c r="F5618" s="6" t="str">
        <f>_xll.QS.TRADE.CREATE("trade.5616",E5618,A5618,"Receive")</f>
        <v>QSObject:SwapTrade:w1~trade.5616:26312</v>
      </c>
      <c r="G5618" s="3">
        <f>_xll.QS.EVALUATE(C5618,F5618)</f>
        <v>33046.48305712868</v>
      </c>
      <c r="H5618" s="5" t="s">
        <v>5659</v>
      </c>
      <c r="I5618" s="7">
        <v>1561600</v>
      </c>
      <c r="J5618" s="8">
        <v>3.6600000000000001E-2</v>
      </c>
    </row>
    <row r="5619" spans="1:10" x14ac:dyDescent="0.25">
      <c r="A5619" s="5" t="s">
        <v>5653</v>
      </c>
      <c r="B5619" s="5" t="s">
        <v>7486</v>
      </c>
      <c r="C5619" s="6" t="str">
        <f>_xll.QS.CONTEXT.CREATE("market.5617",A5619,"USD","SOFR")</f>
        <v>QSObject:PricingContext:w1~market.5617:9922</v>
      </c>
      <c r="D5619" s="6" t="str">
        <f>_xll.QS.CONTEXT.ADD.CURVE(C5619,"SOFR",$K$2:$K$7,$L$2:$L$7,,,"Actual360","LogLinear",TRUE)</f>
        <v>QSObject:ContextInput:w1~input.qs_context_add_curve.2359132437744.5618.3.0:34933</v>
      </c>
      <c r="E5619" s="6" t="str">
        <f>_xll.QS.INSTRUMENT.SWAP("swap.5617",H5619,B5619,"USD","SOFR",I5619,J5619,0,"Actual360","Simple","Annual","Annual","Annual")</f>
        <v>QSObject:Swap:w1~swap.5617:9921</v>
      </c>
      <c r="F5619" s="6" t="str">
        <f>_xll.QS.TRADE.CREATE("trade.5617",E5619,A5619,"Receive")</f>
        <v>QSObject:SwapTrade:w1~trade.5617:26311</v>
      </c>
      <c r="G5619" s="3">
        <f>_xll.QS.EVALUATE(C5619,F5619)</f>
        <v>33837.010365360678</v>
      </c>
      <c r="H5619" s="5" t="s">
        <v>5660</v>
      </c>
      <c r="I5619" s="7">
        <v>1561700</v>
      </c>
      <c r="J5619" s="8">
        <v>3.6700000000000003E-2</v>
      </c>
    </row>
    <row r="5620" spans="1:10" x14ac:dyDescent="0.25">
      <c r="A5620" s="5" t="s">
        <v>5654</v>
      </c>
      <c r="B5620" s="5" t="s">
        <v>7487</v>
      </c>
      <c r="C5620" s="6" t="str">
        <f>_xll.QS.CONTEXT.CREATE("market.5618",A5620,"USD","SOFR")</f>
        <v>QSObject:PricingContext:w1~market.5618:9920</v>
      </c>
      <c r="D5620" s="6" t="str">
        <f>_xll.QS.CONTEXT.ADD.CURVE(C5620,"SOFR",$K$2:$K$7,$L$2:$L$7,,,"Actual360","LogLinear",TRUE)</f>
        <v>QSObject:ContextInput:w1~input.qs_context_add_curve.2359132437744.5619.3.0:34932</v>
      </c>
      <c r="E5620" s="6" t="str">
        <f>_xll.QS.INSTRUMENT.SWAP("swap.5618",H5620,B5620,"USD","SOFR",I5620,J5620,0,"Actual360","Simple","Annual","Annual","Annual")</f>
        <v>QSObject:Swap:w1~swap.5618:9919</v>
      </c>
      <c r="F5620" s="6" t="str">
        <f>_xll.QS.TRADE.CREATE("trade.5618",E5620,A5620,"Receive")</f>
        <v>QSObject:SwapTrade:w1~trade.5618:26310</v>
      </c>
      <c r="G5620" s="3">
        <f>_xll.QS.EVALUATE(C5620,F5620)</f>
        <v>34499.153914530703</v>
      </c>
      <c r="H5620" s="5" t="s">
        <v>5661</v>
      </c>
      <c r="I5620" s="7">
        <v>1561800</v>
      </c>
      <c r="J5620" s="8">
        <v>3.6800000000000013E-2</v>
      </c>
    </row>
    <row r="5621" spans="1:10" x14ac:dyDescent="0.25">
      <c r="A5621" s="5" t="s">
        <v>5655</v>
      </c>
      <c r="B5621" s="5" t="s">
        <v>7488</v>
      </c>
      <c r="C5621" s="6" t="str">
        <f>_xll.QS.CONTEXT.CREATE("market.5619",A5621,"USD","SOFR")</f>
        <v>QSObject:PricingContext:w1~market.5619:9918</v>
      </c>
      <c r="D5621" s="6" t="str">
        <f>_xll.QS.CONTEXT.ADD.CURVE(C5621,"SOFR",$K$2:$K$7,$L$2:$L$7,,,"Actual360","LogLinear",TRUE)</f>
        <v>QSObject:ContextInput:w1~input.qs_context_add_curve.2359132437744.5620.3.0:34931</v>
      </c>
      <c r="E5621" s="6" t="str">
        <f>_xll.QS.INSTRUMENT.SWAP("swap.5619",H5621,B5621,"USD","SOFR",I5621,J5621,0,"Actual360","Simple","Annual","Annual","Annual")</f>
        <v>QSObject:Swap:w1~swap.5619:9917</v>
      </c>
      <c r="F5621" s="6" t="str">
        <f>_xll.QS.TRADE.CREATE("trade.5619",E5621,A5621,"Receive")</f>
        <v>QSObject:SwapTrade:w1~trade.5619:26309</v>
      </c>
      <c r="G5621" s="3">
        <f>_xll.QS.EVALUATE(C5621,F5621)</f>
        <v>35091.593701809936</v>
      </c>
      <c r="H5621" s="5" t="s">
        <v>5662</v>
      </c>
      <c r="I5621" s="7">
        <v>1561900</v>
      </c>
      <c r="J5621" s="8">
        <v>3.6900000000000002E-2</v>
      </c>
    </row>
    <row r="5622" spans="1:10" x14ac:dyDescent="0.25">
      <c r="A5622" s="5" t="s">
        <v>5656</v>
      </c>
      <c r="B5622" s="5" t="s">
        <v>7489</v>
      </c>
      <c r="C5622" s="6" t="str">
        <f>_xll.QS.CONTEXT.CREATE("market.5620",A5622,"USD","SOFR")</f>
        <v>QSObject:PricingContext:w1~market.5620:9916</v>
      </c>
      <c r="D5622" s="6" t="str">
        <f>_xll.QS.CONTEXT.ADD.CURVE(C5622,"SOFR",$K$2:$K$7,$L$2:$L$7,,,"Actual360","LogLinear",TRUE)</f>
        <v>QSObject:ContextInput:w1~input.qs_context_add_curve.2359132437744.5621.3.0:34930</v>
      </c>
      <c r="E5622" s="6" t="str">
        <f>_xll.QS.INSTRUMENT.SWAP("swap.5620",H5622,B5622,"USD","SOFR",I5622,J5622,0,"Actual360","Simple","Annual","Annual","Annual")</f>
        <v>QSObject:Swap:w1~swap.5620:9915</v>
      </c>
      <c r="F5622" s="6" t="str">
        <f>_xll.QS.TRADE.CREATE("trade.5620",E5622,A5622,"Receive")</f>
        <v>QSObject:SwapTrade:w1~trade.5620:26308</v>
      </c>
      <c r="G5622" s="3">
        <f>_xll.QS.EVALUATE(C5622,F5622)</f>
        <v>35815.760833355147</v>
      </c>
      <c r="H5622" s="5" t="s">
        <v>5663</v>
      </c>
      <c r="I5622" s="7">
        <v>1562000</v>
      </c>
      <c r="J5622" s="8">
        <v>3.7000000000000012E-2</v>
      </c>
    </row>
    <row r="5623" spans="1:10" x14ac:dyDescent="0.25">
      <c r="A5623" s="5" t="s">
        <v>5657</v>
      </c>
      <c r="B5623" s="5" t="s">
        <v>7490</v>
      </c>
      <c r="C5623" s="6" t="str">
        <f>_xll.QS.CONTEXT.CREATE("market.5621",A5623,"USD","SOFR")</f>
        <v>QSObject:PricingContext:w1~market.5621:9914</v>
      </c>
      <c r="D5623" s="6" t="str">
        <f>_xll.QS.CONTEXT.ADD.CURVE(C5623,"SOFR",$K$2:$K$7,$L$2:$L$7,,,"Actual360","LogLinear",TRUE)</f>
        <v>QSObject:ContextInput:w1~input.qs_context_add_curve.2359132437744.5622.3.0:34929</v>
      </c>
      <c r="E5623" s="6" t="str">
        <f>_xll.QS.INSTRUMENT.SWAP("swap.5621",H5623,B5623,"USD","SOFR",I5623,J5623,0,"Actual360","Simple","Annual","Annual","Annual")</f>
        <v>QSObject:Swap:w1~swap.5621:9913</v>
      </c>
      <c r="F5623" s="6" t="str">
        <f>_xll.QS.TRADE.CREATE("trade.5621",E5623,A5623,"Receive")</f>
        <v>QSObject:SwapTrade:w1~trade.5621:26307</v>
      </c>
      <c r="G5623" s="3">
        <f>_xll.QS.EVALUATE(C5623,F5623)</f>
        <v>36603.223374231442</v>
      </c>
      <c r="H5623" s="5" t="s">
        <v>5664</v>
      </c>
      <c r="I5623" s="7">
        <v>1562100</v>
      </c>
      <c r="J5623" s="8">
        <v>3.7100000000000001E-2</v>
      </c>
    </row>
    <row r="5624" spans="1:10" x14ac:dyDescent="0.25">
      <c r="A5624" s="5" t="s">
        <v>5658</v>
      </c>
      <c r="B5624" s="5" t="s">
        <v>7491</v>
      </c>
      <c r="C5624" s="6" t="str">
        <f>_xll.QS.CONTEXT.CREATE("market.5622",A5624,"USD","SOFR")</f>
        <v>QSObject:PricingContext:w1~market.5622:9912</v>
      </c>
      <c r="D5624" s="6" t="str">
        <f>_xll.QS.CONTEXT.ADD.CURVE(C5624,"SOFR",$K$2:$K$7,$L$2:$L$7,,,"Actual360","LogLinear",TRUE)</f>
        <v>QSObject:ContextInput:w1~input.qs_context_add_curve.2359132437744.5623.3.0:34928</v>
      </c>
      <c r="E5624" s="6" t="str">
        <f>_xll.QS.INSTRUMENT.SWAP("swap.5622",H5624,B5624,"USD","SOFR",I5624,J5624,0,"Actual360","Simple","Annual","Annual","Annual")</f>
        <v>QSObject:Swap:w1~swap.5622:9911</v>
      </c>
      <c r="F5624" s="6" t="str">
        <f>_xll.QS.TRADE.CREATE("trade.5622",E5624,A5624,"Receive")</f>
        <v>QSObject:SwapTrade:w1~trade.5622:26306</v>
      </c>
      <c r="G5624" s="3">
        <f>_xll.QS.EVALUATE(C5624,F5624)</f>
        <v>37390.884847575253</v>
      </c>
      <c r="H5624" s="5" t="s">
        <v>5665</v>
      </c>
      <c r="I5624" s="7">
        <v>1562200</v>
      </c>
      <c r="J5624" s="8">
        <v>3.7199999999999997E-2</v>
      </c>
    </row>
    <row r="5625" spans="1:10" x14ac:dyDescent="0.25">
      <c r="A5625" s="5" t="s">
        <v>5659</v>
      </c>
      <c r="B5625" s="5" t="s">
        <v>7492</v>
      </c>
      <c r="C5625" s="6" t="str">
        <f>_xll.QS.CONTEXT.CREATE("market.5623",A5625,"USD","SOFR")</f>
        <v>QSObject:PricingContext:w1~market.5623:9910</v>
      </c>
      <c r="D5625" s="6" t="str">
        <f>_xll.QS.CONTEXT.ADD.CURVE(C5625,"SOFR",$K$2:$K$7,$L$2:$L$7,,,"Actual360","LogLinear",TRUE)</f>
        <v>QSObject:ContextInput:w1~input.qs_context_add_curve.2359132437744.5624.3.0:34927</v>
      </c>
      <c r="E5625" s="6" t="str">
        <f>_xll.QS.INSTRUMENT.SWAP("swap.5623",H5625,B5625,"USD","SOFR",I5625,J5625,0,"Actual360","Simple","Annual","Annual","Annual")</f>
        <v>QSObject:Swap:w1~swap.5623:9909</v>
      </c>
      <c r="F5625" s="6" t="str">
        <f>_xll.QS.TRADE.CREATE("trade.5623",E5625,A5625,"Receive")</f>
        <v>QSObject:SwapTrade:w1~trade.5623:26305</v>
      </c>
      <c r="G5625" s="3">
        <f>_xll.QS.EVALUATE(C5625,F5625)</f>
        <v>38162.364412796378</v>
      </c>
      <c r="H5625" s="5" t="s">
        <v>5666</v>
      </c>
      <c r="I5625" s="7">
        <v>1562300</v>
      </c>
      <c r="J5625" s="8">
        <v>3.73E-2</v>
      </c>
    </row>
    <row r="5626" spans="1:10" x14ac:dyDescent="0.25">
      <c r="A5626" s="5" t="s">
        <v>5660</v>
      </c>
      <c r="B5626" s="5" t="s">
        <v>7493</v>
      </c>
      <c r="C5626" s="6" t="str">
        <f>_xll.QS.CONTEXT.CREATE("market.5624",A5626,"USD","SOFR")</f>
        <v>QSObject:PricingContext:w1~market.5624:9908</v>
      </c>
      <c r="D5626" s="6" t="str">
        <f>_xll.QS.CONTEXT.ADD.CURVE(C5626,"SOFR",$K$2:$K$7,$L$2:$L$7,,,"Actual360","LogLinear",TRUE)</f>
        <v>QSObject:ContextInput:w1~input.qs_context_add_curve.2359132437744.5625.3.0:34926</v>
      </c>
      <c r="E5626" s="6" t="str">
        <f>_xll.QS.INSTRUMENT.SWAP("swap.5624",H5626,B5626,"USD","SOFR",I5626,J5626,0,"Actual360","Simple","Annual","Annual","Annual")</f>
        <v>QSObject:Swap:w1~swap.5624:9907</v>
      </c>
      <c r="F5626" s="6" t="str">
        <f>_xll.QS.TRADE.CREATE("trade.5624",E5626,A5626,"Receive")</f>
        <v>QSObject:SwapTrade:w1~trade.5624:26304</v>
      </c>
      <c r="G5626" s="3">
        <f>_xll.QS.EVALUATE(C5626,F5626)</f>
        <v>38891.55890547212</v>
      </c>
      <c r="H5626" s="5" t="s">
        <v>5667</v>
      </c>
      <c r="I5626" s="7">
        <v>1562400</v>
      </c>
      <c r="J5626" s="8">
        <v>3.7400000000000003E-2</v>
      </c>
    </row>
    <row r="5627" spans="1:10" x14ac:dyDescent="0.25">
      <c r="A5627" s="5" t="s">
        <v>5661</v>
      </c>
      <c r="B5627" s="5" t="s">
        <v>7494</v>
      </c>
      <c r="C5627" s="6" t="str">
        <f>_xll.QS.CONTEXT.CREATE("market.5625",A5627,"USD","SOFR")</f>
        <v>QSObject:PricingContext:w1~market.5625:4779</v>
      </c>
      <c r="D5627" s="6" t="str">
        <f>_xll.QS.CONTEXT.ADD.CURVE(C5627,"SOFR",$K$2:$K$7,$L$2:$L$7,,,"Actual360","LogLinear",TRUE)</f>
        <v>QSObject:ContextInput:w1~input.qs_context_add_curve.2359132437744.5626.3.0:6350</v>
      </c>
      <c r="E5627" s="6" t="str">
        <f>_xll.QS.INSTRUMENT.SWAP("swap.5625",H5627,B5627,"USD","SOFR",I5627,J5627,0,"Actual360","Simple","Annual","Annual","Annual")</f>
        <v>QSObject:Swap:w1~swap.5625:9532</v>
      </c>
      <c r="F5627" s="6" t="str">
        <f>_xll.QS.TRADE.CREATE("trade.5625",E5627,A5627,"Receive")</f>
        <v>QSObject:SwapTrade:w1~trade.5625:26303</v>
      </c>
      <c r="G5627" s="3">
        <f>_xll.QS.EVALUATE(C5627,F5627)</f>
        <v>39621.549453282045</v>
      </c>
      <c r="H5627" s="5" t="s">
        <v>5668</v>
      </c>
      <c r="I5627" s="7">
        <v>1562500</v>
      </c>
      <c r="J5627" s="8">
        <v>3.7500000000000012E-2</v>
      </c>
    </row>
    <row r="5628" spans="1:10" x14ac:dyDescent="0.25">
      <c r="A5628" s="5" t="s">
        <v>5662</v>
      </c>
      <c r="B5628" s="5" t="s">
        <v>7495</v>
      </c>
      <c r="C5628" s="6" t="str">
        <f>_xll.QS.CONTEXT.CREATE("market.5626",A5628,"USD","SOFR")</f>
        <v>QSObject:PricingContext:w1~market.5626:3224</v>
      </c>
      <c r="D5628" s="6" t="str">
        <f>_xll.QS.CONTEXT.ADD.CURVE(C5628,"SOFR",$K$2:$K$7,$L$2:$L$7,,,"Actual360","LogLinear",TRUE)</f>
        <v>QSObject:ContextInput:w1~input.qs_context_add_curve.2359132437744.5627.3.0:7932</v>
      </c>
      <c r="E5628" s="6" t="str">
        <f>_xll.QS.INSTRUMENT.SWAP("swap.5626",H5628,B5628,"USD","SOFR",I5628,J5628,0,"Actual360","Simple","Annual","Annual","Annual")</f>
        <v>QSObject:Swap:w1~swap.5626:4778</v>
      </c>
      <c r="F5628" s="6" t="str">
        <f>_xll.QS.TRADE.CREATE("trade.5626",E5628,A5628,"Receive")</f>
        <v>QSObject:SwapTrade:w1~trade.5626:9531</v>
      </c>
      <c r="G5628" s="3">
        <f>_xll.QS.EVALUATE(C5628,F5628)</f>
        <v>40231.340936817927</v>
      </c>
      <c r="H5628" s="5" t="s">
        <v>5669</v>
      </c>
      <c r="I5628" s="7">
        <v>1562600</v>
      </c>
      <c r="J5628" s="8">
        <v>3.7600000000000001E-2</v>
      </c>
    </row>
    <row r="5629" spans="1:10" x14ac:dyDescent="0.25">
      <c r="A5629" s="5" t="s">
        <v>5663</v>
      </c>
      <c r="B5629" s="5" t="s">
        <v>7496</v>
      </c>
      <c r="C5629" s="6" t="str">
        <f>_xll.QS.CONTEXT.CREATE("market.5627",A5629,"USD","SOFR")</f>
        <v>QSObject:PricingContext:w1~market.5627:3223</v>
      </c>
      <c r="D5629" s="6" t="str">
        <f>_xll.QS.CONTEXT.ADD.CURVE(C5629,"SOFR",$K$2:$K$7,$L$2:$L$7,,,"Actual360","LogLinear",TRUE)</f>
        <v>QSObject:ContextInput:w1~input.qs_context_add_curve.2359132437744.5628.3.0:6349</v>
      </c>
      <c r="E5629" s="6" t="str">
        <f>_xll.QS.INSTRUMENT.SWAP("swap.5627",H5629,B5629,"USD","SOFR",I5629,J5629,0,"Actual360","Simple","Annual","Annual","Annual")</f>
        <v>QSObject:Swap:w1~swap.5627:7931</v>
      </c>
      <c r="F5629" s="6" t="str">
        <f>_xll.QS.TRADE.CREATE("trade.5627",E5629,A5629,"Receive")</f>
        <v>QSObject:SwapTrade:w1~trade.5627:26302</v>
      </c>
      <c r="G5629" s="3">
        <f>_xll.QS.EVALUATE(C5629,F5629)</f>
        <v>40839.538498505121</v>
      </c>
      <c r="H5629" s="5" t="s">
        <v>5670</v>
      </c>
      <c r="I5629" s="7">
        <v>1562700</v>
      </c>
      <c r="J5629" s="8">
        <v>3.7699999999999997E-2</v>
      </c>
    </row>
    <row r="5630" spans="1:10" x14ac:dyDescent="0.25">
      <c r="A5630" s="5" t="s">
        <v>5664</v>
      </c>
      <c r="B5630" s="5" t="s">
        <v>7497</v>
      </c>
      <c r="C5630" s="6" t="str">
        <f>_xll.QS.CONTEXT.CREATE("market.5628",A5630,"USD","SOFR")</f>
        <v>QSObject:PricingContext:w1~market.5628:9530</v>
      </c>
      <c r="D5630" s="6" t="str">
        <f>_xll.QS.CONTEXT.ADD.CURVE(C5630,"SOFR",$K$2:$K$7,$L$2:$L$7,,,"Actual360","LogLinear",TRUE)</f>
        <v>QSObject:ContextInput:w1~input.qs_context_add_curve.2359132437744.5629.3.0:34925</v>
      </c>
      <c r="E5630" s="6" t="str">
        <f>_xll.QS.INSTRUMENT.SWAP("swap.5628",H5630,B5630,"USD","SOFR",I5630,J5630,0,"Actual360","Simple","Annual","Annual","Annual")</f>
        <v>QSObject:Swap:w1~swap.5628:6348</v>
      </c>
      <c r="F5630" s="6" t="str">
        <f>_xll.QS.TRADE.CREATE("trade.5628",E5630,A5630,"Receive")</f>
        <v>QSObject:SwapTrade:w1~trade.5628:26301</v>
      </c>
      <c r="G5630" s="3">
        <f>_xll.QS.EVALUATE(C5630,F5630)</f>
        <v>41566.236031914006</v>
      </c>
      <c r="H5630" s="5" t="s">
        <v>5671</v>
      </c>
      <c r="I5630" s="7">
        <v>1562800</v>
      </c>
      <c r="J5630" s="8">
        <v>3.78E-2</v>
      </c>
    </row>
    <row r="5631" spans="1:10" x14ac:dyDescent="0.25">
      <c r="A5631" s="5" t="s">
        <v>5665</v>
      </c>
      <c r="B5631" s="5" t="s">
        <v>7498</v>
      </c>
      <c r="C5631" s="6" t="str">
        <f>_xll.QS.CONTEXT.CREATE("market.5629",A5631,"USD","SOFR")</f>
        <v>QSObject:PricingContext:w1~market.5629:9529</v>
      </c>
      <c r="D5631" s="6" t="str">
        <f>_xll.QS.CONTEXT.ADD.CURVE(C5631,"SOFR",$K$2:$K$7,$L$2:$L$7,,,"Actual360","LogLinear",TRUE)</f>
        <v>QSObject:ContextInput:w1~input.qs_context_add_curve.2359132437744.5630.3.0:34924</v>
      </c>
      <c r="E5631" s="6" t="str">
        <f>_xll.QS.INSTRUMENT.SWAP("swap.5629",H5631,B5631,"USD","SOFR",I5631,J5631,0,"Actual360","Simple","Annual","Annual","Annual")</f>
        <v>QSObject:Swap:w1~swap.5629:3222</v>
      </c>
      <c r="F5631" s="6" t="str">
        <f>_xll.QS.TRADE.CREATE("trade.5629",E5631,A5631,"Receive")</f>
        <v>QSObject:SwapTrade:w1~trade.5629:6347</v>
      </c>
      <c r="G5631" s="3">
        <f>_xll.QS.EVALUATE(C5631,F5631)</f>
        <v>42328.920961931959</v>
      </c>
      <c r="H5631" s="5" t="s">
        <v>5672</v>
      </c>
      <c r="I5631" s="7">
        <v>1562900</v>
      </c>
      <c r="J5631" s="8">
        <v>3.7900000000000003E-2</v>
      </c>
    </row>
    <row r="5632" spans="1:10" x14ac:dyDescent="0.25">
      <c r="A5632" s="5" t="s">
        <v>5666</v>
      </c>
      <c r="B5632" s="5" t="s">
        <v>7499</v>
      </c>
      <c r="C5632" s="6" t="str">
        <f>_xll.QS.CONTEXT.CREATE("market.5630",A5632,"USD","SOFR")</f>
        <v>QSObject:PricingContext:w1~market.5630:4777</v>
      </c>
      <c r="D5632" s="6" t="str">
        <f>_xll.QS.CONTEXT.ADD.CURVE(C5632,"SOFR",$K$2:$K$7,$L$2:$L$7,,,"Actual360","LogLinear",TRUE)</f>
        <v>QSObject:ContextInput:w1~input.qs_context_add_curve.2359132437744.5631.3.0:9528</v>
      </c>
      <c r="E5632" s="6" t="str">
        <f>_xll.QS.INSTRUMENT.SWAP("swap.5630",H5632,B5632,"USD","SOFR",I5632,J5632,0,"Actual360","Simple","Annual","Annual","Annual")</f>
        <v>QSObject:Swap:w1~swap.5630:7930</v>
      </c>
      <c r="F5632" s="6" t="str">
        <f>_xll.QS.TRADE.CREATE("trade.5630",E5632,A5632,"Receive")</f>
        <v>QSObject:SwapTrade:w1~trade.5630:26300</v>
      </c>
      <c r="G5632" s="3">
        <f>_xll.QS.EVALUATE(C5632,F5632)</f>
        <v>43166.926175392153</v>
      </c>
      <c r="H5632" s="5" t="s">
        <v>5673</v>
      </c>
      <c r="I5632" s="7">
        <v>1563000</v>
      </c>
      <c r="J5632" s="8">
        <v>3.8000000000000013E-2</v>
      </c>
    </row>
    <row r="5633" spans="1:10" x14ac:dyDescent="0.25">
      <c r="A5633" s="5" t="s">
        <v>5667</v>
      </c>
      <c r="B5633" s="5" t="s">
        <v>7500</v>
      </c>
      <c r="C5633" s="6" t="str">
        <f>_xll.QS.CONTEXT.CREATE("market.5631",A5633,"USD","SOFR")</f>
        <v>QSObject:PricingContext:w1~market.5631:6346</v>
      </c>
      <c r="D5633" s="6" t="str">
        <f>_xll.QS.CONTEXT.ADD.CURVE(C5633,"SOFR",$K$2:$K$7,$L$2:$L$7,,,"Actual360","LogLinear",TRUE)</f>
        <v>QSObject:ContextInput:w1~input.qs_context_add_curve.2359132437744.5632.3.0:26299</v>
      </c>
      <c r="E5633" s="6" t="str">
        <f>_xll.QS.INSTRUMENT.SWAP("swap.5631",H5633,B5633,"USD","SOFR",I5633,J5633,0,"Actual360","Simple","Annual","Annual","Annual")</f>
        <v>QSObject:Swap:w1~swap.5631:9527</v>
      </c>
      <c r="F5633" s="6" t="str">
        <f>_xll.QS.TRADE.CREATE("trade.5631",E5633,A5633,"Receive")</f>
        <v>QSObject:SwapTrade:w1~trade.5631:26298</v>
      </c>
      <c r="G5633" s="3">
        <f>_xll.QS.EVALUATE(C5633,F5633)</f>
        <v>43958.829235737394</v>
      </c>
      <c r="H5633" s="5" t="s">
        <v>5674</v>
      </c>
      <c r="I5633" s="7">
        <v>1563100</v>
      </c>
      <c r="J5633" s="8">
        <v>3.8100000000000002E-2</v>
      </c>
    </row>
    <row r="5634" spans="1:10" x14ac:dyDescent="0.25">
      <c r="A5634" s="5" t="s">
        <v>5668</v>
      </c>
      <c r="B5634" s="5" t="s">
        <v>7501</v>
      </c>
      <c r="C5634" s="6" t="str">
        <f>_xll.QS.CONTEXT.CREATE("market.5632",A5634,"USD","SOFR")</f>
        <v>QSObject:PricingContext:w1~market.5632:6345</v>
      </c>
      <c r="D5634" s="6" t="str">
        <f>_xll.QS.CONTEXT.ADD.CURVE(C5634,"SOFR",$K$2:$K$7,$L$2:$L$7,,,"Actual360","LogLinear",TRUE)</f>
        <v>QSObject:ContextInput:w1~input.qs_context_add_curve.2359132437744.5633.3.0:26297</v>
      </c>
      <c r="E5634" s="6" t="str">
        <f>_xll.QS.INSTRUMENT.SWAP("swap.5632",H5634,B5634,"USD","SOFR",I5634,J5634,0,"Actual360","Simple","Annual","Annual","Annual")</f>
        <v>QSObject:Swap:w1~swap.5632:4776</v>
      </c>
      <c r="F5634" s="6" t="str">
        <f>_xll.QS.TRADE.CREATE("trade.5632",E5634,A5634,"Receive")</f>
        <v>QSObject:SwapTrade:w1~trade.5632:9526</v>
      </c>
      <c r="G5634" s="3">
        <f>_xll.QS.EVALUATE(C5634,F5634)</f>
        <v>44622.323917781287</v>
      </c>
      <c r="H5634" s="5" t="s">
        <v>5675</v>
      </c>
      <c r="I5634" s="7">
        <v>1563200</v>
      </c>
      <c r="J5634" s="8">
        <v>3.8199999999999998E-2</v>
      </c>
    </row>
    <row r="5635" spans="1:10" x14ac:dyDescent="0.25">
      <c r="A5635" s="5" t="s">
        <v>5669</v>
      </c>
      <c r="B5635" s="5" t="s">
        <v>7502</v>
      </c>
      <c r="C5635" s="6" t="str">
        <f>_xll.QS.CONTEXT.CREATE("market.5633",A5635,"USD","SOFR")</f>
        <v>QSObject:PricingContext:w1~market.5633:7929</v>
      </c>
      <c r="D5635" s="6" t="str">
        <f>_xll.QS.CONTEXT.ADD.CURVE(C5635,"SOFR",$K$2:$K$7,$L$2:$L$7,,,"Actual360","LogLinear",TRUE)</f>
        <v>QSObject:ContextInput:w1~input.qs_context_add_curve.2359132437744.5634.3.0:34923</v>
      </c>
      <c r="E5635" s="6" t="str">
        <f>_xll.QS.INSTRUMENT.SWAP("swap.5633",H5635,B5635,"USD","SOFR",I5635,J5635,0,"Actual360","Simple","Annual","Annual","Annual")</f>
        <v>QSObject:Swap:w1~swap.5633:6344</v>
      </c>
      <c r="F5635" s="6" t="str">
        <f>_xll.QS.TRADE.CREATE("trade.5633",E5635,A5635,"Receive")</f>
        <v>QSObject:SwapTrade:w1~trade.5633:26296</v>
      </c>
      <c r="G5635" s="3">
        <f>_xll.QS.EVALUATE(C5635,F5635)</f>
        <v>45226.777832377855</v>
      </c>
      <c r="H5635" s="5" t="s">
        <v>5676</v>
      </c>
      <c r="I5635" s="7">
        <v>1563300</v>
      </c>
      <c r="J5635" s="8">
        <v>3.8300000000000001E-2</v>
      </c>
    </row>
    <row r="5636" spans="1:10" x14ac:dyDescent="0.25">
      <c r="A5636" s="5" t="s">
        <v>5670</v>
      </c>
      <c r="B5636" s="5" t="s">
        <v>7503</v>
      </c>
      <c r="C5636" s="6" t="str">
        <f>_xll.QS.CONTEXT.CREATE("market.5634",A5636,"USD","SOFR")</f>
        <v>QSObject:PricingContext:w1~market.5634:9525</v>
      </c>
      <c r="D5636" s="6" t="str">
        <f>_xll.QS.CONTEXT.ADD.CURVE(C5636,"SOFR",$K$2:$K$7,$L$2:$L$7,,,"Actual360","LogLinear",TRUE)</f>
        <v>QSObject:ContextInput:w1~input.qs_context_add_curve.2359132437744.5635.3.0:34922</v>
      </c>
      <c r="E5636" s="6" t="str">
        <f>_xll.QS.INSTRUMENT.SWAP("swap.5634",H5636,B5636,"USD","SOFR",I5636,J5636,0,"Actual360","Simple","Annual","Annual","Annual")</f>
        <v>QSObject:Swap:w1~swap.5634:9524</v>
      </c>
      <c r="F5636" s="6" t="str">
        <f>_xll.QS.TRADE.CREATE("trade.5634",E5636,A5636,"Receive")</f>
        <v>QSObject:SwapTrade:w1~trade.5634:26295</v>
      </c>
      <c r="G5636" s="3">
        <f>_xll.QS.EVALUATE(C5636,F5636)</f>
        <v>45843.587462795476</v>
      </c>
      <c r="H5636" s="5" t="s">
        <v>5677</v>
      </c>
      <c r="I5636" s="7">
        <v>1563400</v>
      </c>
      <c r="J5636" s="8">
        <v>3.8399999999999997E-2</v>
      </c>
    </row>
    <row r="5637" spans="1:10" x14ac:dyDescent="0.25">
      <c r="A5637" s="5" t="s">
        <v>5671</v>
      </c>
      <c r="B5637" s="5" t="s">
        <v>7504</v>
      </c>
      <c r="C5637" s="6" t="str">
        <f>_xll.QS.CONTEXT.CREATE("market.5635",A5637,"USD","SOFR")</f>
        <v>QSObject:PricingContext:w1~market.5635:9523</v>
      </c>
      <c r="D5637" s="6" t="str">
        <f>_xll.QS.CONTEXT.ADD.CURVE(C5637,"SOFR",$K$2:$K$7,$L$2:$L$7,,,"Actual360","LogLinear",TRUE)</f>
        <v>QSObject:ContextInput:w1~input.qs_context_add_curve.2359132437744.5636.3.0:34921</v>
      </c>
      <c r="E5637" s="6" t="str">
        <f>_xll.QS.INSTRUMENT.SWAP("swap.5635",H5637,B5637,"USD","SOFR",I5637,J5637,0,"Actual360","Simple","Annual","Annual","Annual")</f>
        <v>QSObject:Swap:w1~swap.5635:9522</v>
      </c>
      <c r="F5637" s="6" t="str">
        <f>_xll.QS.TRADE.CREATE("trade.5635",E5637,A5637,"Receive")</f>
        <v>QSObject:SwapTrade:w1~trade.5635:26294</v>
      </c>
      <c r="G5637" s="3">
        <f>_xll.QS.EVALUATE(C5637,F5637)</f>
        <v>46634.161205521712</v>
      </c>
      <c r="H5637" s="5" t="s">
        <v>5678</v>
      </c>
      <c r="I5637" s="7">
        <v>1563500</v>
      </c>
      <c r="J5637" s="8">
        <v>3.8500000000000013E-2</v>
      </c>
    </row>
    <row r="5638" spans="1:10" x14ac:dyDescent="0.25">
      <c r="A5638" s="5" t="s">
        <v>5672</v>
      </c>
      <c r="B5638" s="5" t="s">
        <v>7505</v>
      </c>
      <c r="C5638" s="6" t="str">
        <f>_xll.QS.CONTEXT.CREATE("market.5636",A5638,"USD","SOFR")</f>
        <v>QSObject:PricingContext:w1~market.5636:9521</v>
      </c>
      <c r="D5638" s="6" t="str">
        <f>_xll.QS.CONTEXT.ADD.CURVE(C5638,"SOFR",$K$2:$K$7,$L$2:$L$7,,,"Actual360","LogLinear",TRUE)</f>
        <v>QSObject:ContextInput:w1~input.qs_context_add_curve.2359132437744.5637.3.0:34920</v>
      </c>
      <c r="E5638" s="6" t="str">
        <f>_xll.QS.INSTRUMENT.SWAP("swap.5636",H5638,B5638,"USD","SOFR",I5638,J5638,0,"Actual360","Simple","Annual","Annual","Annual")</f>
        <v>QSObject:Swap:w1~swap.5636:9520</v>
      </c>
      <c r="F5638" s="6" t="str">
        <f>_xll.QS.TRADE.CREATE("trade.5636",E5638,A5638,"Receive")</f>
        <v>QSObject:SwapTrade:w1~trade.5636:26293</v>
      </c>
      <c r="G5638" s="3">
        <f>_xll.QS.EVALUATE(C5638,F5638)</f>
        <v>47395.057057584869</v>
      </c>
      <c r="H5638" s="5" t="s">
        <v>5679</v>
      </c>
      <c r="I5638" s="7">
        <v>1563600</v>
      </c>
      <c r="J5638" s="8">
        <v>3.8600000000000002E-2</v>
      </c>
    </row>
    <row r="5639" spans="1:10" x14ac:dyDescent="0.25">
      <c r="A5639" s="5" t="s">
        <v>5673</v>
      </c>
      <c r="B5639" s="5" t="s">
        <v>7506</v>
      </c>
      <c r="C5639" s="6" t="str">
        <f>_xll.QS.CONTEXT.CREATE("market.5637",A5639,"USD","SOFR")</f>
        <v>QSObject:PricingContext:w1~market.5637:9519</v>
      </c>
      <c r="D5639" s="6" t="str">
        <f>_xll.QS.CONTEXT.ADD.CURVE(C5639,"SOFR",$K$2:$K$7,$L$2:$L$7,,,"Actual360","LogLinear",TRUE)</f>
        <v>QSObject:ContextInput:w1~input.qs_context_add_curve.2359132437744.5638.3.0:34919</v>
      </c>
      <c r="E5639" s="6" t="str">
        <f>_xll.QS.INSTRUMENT.SWAP("swap.5637",H5639,B5639,"USD","SOFR",I5639,J5639,0,"Actual360","Simple","Annual","Annual","Annual")</f>
        <v>QSObject:Swap:w1~swap.5637:9518</v>
      </c>
      <c r="F5639" s="6" t="str">
        <f>_xll.QS.TRADE.CREATE("trade.5637",E5639,A5639,"Receive")</f>
        <v>QSObject:SwapTrade:w1~trade.5637:26292</v>
      </c>
      <c r="G5639" s="3">
        <f>_xll.QS.EVALUATE(C5639,F5639)</f>
        <v>48233.839032256823</v>
      </c>
      <c r="H5639" s="5" t="s">
        <v>5680</v>
      </c>
      <c r="I5639" s="7">
        <v>1563700</v>
      </c>
      <c r="J5639" s="8">
        <v>3.8700000000000012E-2</v>
      </c>
    </row>
    <row r="5640" spans="1:10" x14ac:dyDescent="0.25">
      <c r="A5640" s="5" t="s">
        <v>5674</v>
      </c>
      <c r="B5640" s="5" t="s">
        <v>7507</v>
      </c>
      <c r="C5640" s="6" t="str">
        <f>_xll.QS.CONTEXT.CREATE("market.5638",A5640,"USD","SOFR")</f>
        <v>QSObject:PricingContext:w1~market.5638:9517</v>
      </c>
      <c r="D5640" s="6" t="str">
        <f>_xll.QS.CONTEXT.ADD.CURVE(C5640,"SOFR",$K$2:$K$7,$L$2:$L$7,,,"Actual360","LogLinear",TRUE)</f>
        <v>QSObject:ContextInput:w1~input.qs_context_add_curve.2359132437744.5639.3.0:34918</v>
      </c>
      <c r="E5640" s="6" t="str">
        <f>_xll.QS.INSTRUMENT.SWAP("swap.5638",H5640,B5640,"USD","SOFR",I5640,J5640,0,"Actual360","Simple","Annual","Annual","Annual")</f>
        <v>QSObject:Swap:w1~swap.5638:9516</v>
      </c>
      <c r="F5640" s="6" t="str">
        <f>_xll.QS.TRADE.CREATE("trade.5638",E5640,A5640,"Receive")</f>
        <v>QSObject:SwapTrade:w1~trade.5638:26291</v>
      </c>
      <c r="G5640" s="3">
        <f>_xll.QS.EVALUATE(C5640,F5640)</f>
        <v>49026.476233472735</v>
      </c>
      <c r="H5640" s="5" t="s">
        <v>5681</v>
      </c>
      <c r="I5640" s="7">
        <v>1563800</v>
      </c>
      <c r="J5640" s="8">
        <v>3.8800000000000001E-2</v>
      </c>
    </row>
    <row r="5641" spans="1:10" x14ac:dyDescent="0.25">
      <c r="A5641" s="5" t="s">
        <v>5675</v>
      </c>
      <c r="B5641" s="5" t="s">
        <v>7508</v>
      </c>
      <c r="C5641" s="6" t="str">
        <f>_xll.QS.CONTEXT.CREATE("market.5639",A5641,"USD","SOFR")</f>
        <v>QSObject:PricingContext:w1~market.5639:9515</v>
      </c>
      <c r="D5641" s="6" t="str">
        <f>_xll.QS.CONTEXT.ADD.CURVE(C5641,"SOFR",$K$2:$K$7,$L$2:$L$7,,,"Actual360","LogLinear",TRUE)</f>
        <v>QSObject:ContextInput:w1~input.qs_context_add_curve.2359132437744.5640.3.0:34917</v>
      </c>
      <c r="E5641" s="6" t="str">
        <f>_xll.QS.INSTRUMENT.SWAP("swap.5639",H5641,B5641,"USD","SOFR",I5641,J5641,0,"Actual360","Simple","Annual","Annual","Annual")</f>
        <v>QSObject:Swap:w1~swap.5639:9514</v>
      </c>
      <c r="F5641" s="6" t="str">
        <f>_xll.QS.TRADE.CREATE("trade.5639",E5641,A5641,"Receive")</f>
        <v>QSObject:SwapTrade:w1~trade.5639:26290</v>
      </c>
      <c r="G5641" s="3">
        <f>_xll.QS.EVALUATE(C5641,F5641)</f>
        <v>49690.534111422974</v>
      </c>
      <c r="H5641" s="5" t="s">
        <v>5682</v>
      </c>
      <c r="I5641" s="7">
        <v>1563900</v>
      </c>
      <c r="J5641" s="8">
        <v>3.8899999999999997E-2</v>
      </c>
    </row>
    <row r="5642" spans="1:10" x14ac:dyDescent="0.25">
      <c r="A5642" s="5" t="s">
        <v>5676</v>
      </c>
      <c r="B5642" s="5" t="s">
        <v>7509</v>
      </c>
      <c r="C5642" s="6" t="str">
        <f>_xll.QS.CONTEXT.CREATE("market.5640",A5642,"USD","SOFR")</f>
        <v>QSObject:PricingContext:w1~market.5640:9513</v>
      </c>
      <c r="D5642" s="6" t="str">
        <f>_xll.QS.CONTEXT.ADD.CURVE(C5642,"SOFR",$K$2:$K$7,$L$2:$L$7,,,"Actual360","LogLinear",TRUE)</f>
        <v>QSObject:ContextInput:w1~input.qs_context_add_curve.2359132437744.5641.3.0:34916</v>
      </c>
      <c r="E5642" s="6" t="str">
        <f>_xll.QS.INSTRUMENT.SWAP("swap.5640",H5642,B5642,"USD","SOFR",I5642,J5642,0,"Actual360","Simple","Annual","Annual","Annual")</f>
        <v>QSObject:Swap:w1~swap.5640:9512</v>
      </c>
      <c r="F5642" s="6" t="str">
        <f>_xll.QS.TRADE.CREATE("trade.5640",E5642,A5642,"Receive")</f>
        <v>QSObject:SwapTrade:w1~trade.5640:26289</v>
      </c>
      <c r="G5642" s="3">
        <f>_xll.QS.EVALUATE(C5642,F5642)</f>
        <v>50289.634750159195</v>
      </c>
      <c r="H5642" s="5" t="s">
        <v>5683</v>
      </c>
      <c r="I5642" s="7">
        <v>1564000</v>
      </c>
      <c r="J5642" s="8">
        <v>3.9000000000000007E-2</v>
      </c>
    </row>
    <row r="5643" spans="1:10" x14ac:dyDescent="0.25">
      <c r="A5643" s="5" t="s">
        <v>5677</v>
      </c>
      <c r="B5643" s="5" t="s">
        <v>7510</v>
      </c>
      <c r="C5643" s="6" t="str">
        <f>_xll.QS.CONTEXT.CREATE("market.5641",A5643,"USD","SOFR")</f>
        <v>QSObject:PricingContext:w1~market.5641:9511</v>
      </c>
      <c r="D5643" s="6" t="str">
        <f>_xll.QS.CONTEXT.ADD.CURVE(C5643,"SOFR",$K$2:$K$7,$L$2:$L$7,,,"Actual360","LogLinear",TRUE)</f>
        <v>QSObject:ContextInput:w1~input.qs_context_add_curve.2359132437744.5642.3.0:34915</v>
      </c>
      <c r="E5643" s="6" t="str">
        <f>_xll.QS.INSTRUMENT.SWAP("swap.5641",H5643,B5643,"USD","SOFR",I5643,J5643,0,"Actual360","Simple","Annual","Annual","Annual")</f>
        <v>QSObject:Swap:w1~swap.5641:9510</v>
      </c>
      <c r="F5643" s="6" t="str">
        <f>_xll.QS.TRADE.CREATE("trade.5641",E5643,A5643,"Receive")</f>
        <v>QSObject:SwapTrade:w1~trade.5641:26288</v>
      </c>
      <c r="G5643" s="3">
        <f>_xll.QS.EVALUATE(C5643,F5643)</f>
        <v>50914.869083566169</v>
      </c>
      <c r="H5643" s="5" t="s">
        <v>5684</v>
      </c>
      <c r="I5643" s="7">
        <v>1564100</v>
      </c>
      <c r="J5643" s="8">
        <v>3.9100000000000003E-2</v>
      </c>
    </row>
    <row r="5644" spans="1:10" x14ac:dyDescent="0.25">
      <c r="A5644" s="5" t="s">
        <v>5678</v>
      </c>
      <c r="B5644" s="5" t="s">
        <v>7511</v>
      </c>
      <c r="C5644" s="6" t="str">
        <f>_xll.QS.CONTEXT.CREATE("market.5642",A5644,"USD","SOFR")</f>
        <v>QSObject:PricingContext:w1~market.5642:9509</v>
      </c>
      <c r="D5644" s="6" t="str">
        <f>_xll.QS.CONTEXT.ADD.CURVE(C5644,"SOFR",$K$2:$K$7,$L$2:$L$7,,,"Actual360","LogLinear",TRUE)</f>
        <v>QSObject:ContextInput:w1~input.qs_context_add_curve.2359132437744.5643.3.0:34914</v>
      </c>
      <c r="E5644" s="6" t="str">
        <f>_xll.QS.INSTRUMENT.SWAP("swap.5642",H5644,B5644,"USD","SOFR",I5644,J5644,0,"Actual360","Simple","Annual","Annual","Annual")</f>
        <v>QSObject:Swap:w1~swap.5642:9508</v>
      </c>
      <c r="F5644" s="6" t="str">
        <f>_xll.QS.TRADE.CREATE("trade.5642",E5644,A5644,"Receive")</f>
        <v>QSObject:SwapTrade:w1~trade.5642:26287</v>
      </c>
      <c r="G5644" s="3">
        <f>_xll.QS.EVALUATE(C5644,F5644)</f>
        <v>51706.607664645198</v>
      </c>
      <c r="H5644" s="5" t="s">
        <v>5685</v>
      </c>
      <c r="I5644" s="7">
        <v>1564200</v>
      </c>
      <c r="J5644" s="8">
        <v>3.9200000000000013E-2</v>
      </c>
    </row>
    <row r="5645" spans="1:10" x14ac:dyDescent="0.25">
      <c r="A5645" s="5" t="s">
        <v>5679</v>
      </c>
      <c r="B5645" s="5" t="s">
        <v>7512</v>
      </c>
      <c r="C5645" s="6" t="str">
        <f>_xll.QS.CONTEXT.CREATE("market.5643",A5645,"USD","SOFR")</f>
        <v>QSObject:PricingContext:w1~market.5643:9507</v>
      </c>
      <c r="D5645" s="6" t="str">
        <f>_xll.QS.CONTEXT.ADD.CURVE(C5645,"SOFR",$K$2:$K$7,$L$2:$L$7,,,"Actual360","LogLinear",TRUE)</f>
        <v>QSObject:ContextInput:w1~input.qs_context_add_curve.2359132437744.5644.3.0:34913</v>
      </c>
      <c r="E5645" s="6" t="str">
        <f>_xll.QS.INSTRUMENT.SWAP("swap.5643",H5645,B5645,"USD","SOFR",I5645,J5645,0,"Actual360","Simple","Annual","Annual","Annual")</f>
        <v>QSObject:Swap:w1~swap.5643:9506</v>
      </c>
      <c r="F5645" s="6" t="str">
        <f>_xll.QS.TRADE.CREATE("trade.5643",E5645,A5645,"Receive")</f>
        <v>QSObject:SwapTrade:w1~trade.5643:26286</v>
      </c>
      <c r="G5645" s="3">
        <f>_xll.QS.EVALUATE(C5645,F5645)</f>
        <v>52465.712242921414</v>
      </c>
      <c r="H5645" s="5" t="s">
        <v>5686</v>
      </c>
      <c r="I5645" s="7">
        <v>1564300</v>
      </c>
      <c r="J5645" s="8">
        <v>3.9300000000000002E-2</v>
      </c>
    </row>
    <row r="5646" spans="1:10" x14ac:dyDescent="0.25">
      <c r="A5646" s="5" t="s">
        <v>5680</v>
      </c>
      <c r="B5646" s="5" t="s">
        <v>7513</v>
      </c>
      <c r="C5646" s="6" t="str">
        <f>_xll.QS.CONTEXT.CREATE("market.5644",A5646,"USD","SOFR")</f>
        <v>QSObject:PricingContext:w1~market.5644:9505</v>
      </c>
      <c r="D5646" s="6" t="str">
        <f>_xll.QS.CONTEXT.ADD.CURVE(C5646,"SOFR",$K$2:$K$7,$L$2:$L$7,,,"Actual360","LogLinear",TRUE)</f>
        <v>QSObject:ContextInput:w1~input.qs_context_add_curve.2359132437744.5645.3.0:34912</v>
      </c>
      <c r="E5646" s="6" t="str">
        <f>_xll.QS.INSTRUMENT.SWAP("swap.5644",H5646,B5646,"USD","SOFR",I5646,J5646,0,"Actual360","Simple","Annual","Annual","Annual")</f>
        <v>QSObject:Swap:w1~swap.5644:9504</v>
      </c>
      <c r="F5646" s="6" t="str">
        <f>_xll.QS.TRADE.CREATE("trade.5644",E5646,A5646,"Receive")</f>
        <v>QSObject:SwapTrade:w1~trade.5644:26285</v>
      </c>
      <c r="G5646" s="3">
        <f>_xll.QS.EVALUATE(C5646,F5646)</f>
        <v>53305.271050318908</v>
      </c>
      <c r="H5646" s="5" t="s">
        <v>5687</v>
      </c>
      <c r="I5646" s="7">
        <v>1564400</v>
      </c>
      <c r="J5646" s="8">
        <v>3.9399999999999998E-2</v>
      </c>
    </row>
    <row r="5647" spans="1:10" x14ac:dyDescent="0.25">
      <c r="A5647" s="5" t="s">
        <v>5681</v>
      </c>
      <c r="B5647" s="5" t="s">
        <v>7514</v>
      </c>
      <c r="C5647" s="6" t="str">
        <f>_xll.QS.CONTEXT.CREATE("market.5645",A5647,"USD","SOFR")</f>
        <v>QSObject:PricingContext:w1~market.5645:9503</v>
      </c>
      <c r="D5647" s="6" t="str">
        <f>_xll.QS.CONTEXT.ADD.CURVE(C5647,"SOFR",$K$2:$K$7,$L$2:$L$7,,,"Actual360","LogLinear",TRUE)</f>
        <v>QSObject:ContextInput:w1~input.qs_context_add_curve.2359132437744.5646.3.0:34911</v>
      </c>
      <c r="E5647" s="6" t="str">
        <f>_xll.QS.INSTRUMENT.SWAP("swap.5645",H5647,B5647,"USD","SOFR",I5647,J5647,0,"Actual360","Simple","Annual","Annual","Annual")</f>
        <v>QSObject:Swap:w1~swap.5645:9502</v>
      </c>
      <c r="F5647" s="6" t="str">
        <f>_xll.QS.TRADE.CREATE("trade.5645",E5647,A5647,"Receive")</f>
        <v>QSObject:SwapTrade:w1~trade.5645:26284</v>
      </c>
      <c r="G5647" s="3">
        <f>_xll.QS.EVALUATE(C5647,F5647)</f>
        <v>54098.6424442805</v>
      </c>
      <c r="H5647" s="5" t="s">
        <v>5688</v>
      </c>
      <c r="I5647" s="7">
        <v>1564500</v>
      </c>
      <c r="J5647" s="8">
        <v>3.9500000000000007E-2</v>
      </c>
    </row>
    <row r="5648" spans="1:10" x14ac:dyDescent="0.25">
      <c r="A5648" s="5" t="s">
        <v>5682</v>
      </c>
      <c r="B5648" s="5" t="s">
        <v>7515</v>
      </c>
      <c r="C5648" s="6" t="str">
        <f>_xll.QS.CONTEXT.CREATE("market.5646",A5648,"USD","SOFR")</f>
        <v>QSObject:PricingContext:w1~market.5646:9501</v>
      </c>
      <c r="D5648" s="6" t="str">
        <f>_xll.QS.CONTEXT.ADD.CURVE(C5648,"SOFR",$K$2:$K$7,$L$2:$L$7,,,"Actual360","LogLinear",TRUE)</f>
        <v>QSObject:ContextInput:w1~input.qs_context_add_curve.2359132437744.5647.3.0:34910</v>
      </c>
      <c r="E5648" s="6" t="str">
        <f>_xll.QS.INSTRUMENT.SWAP("swap.5646",H5648,B5648,"USD","SOFR",I5648,J5648,0,"Actual360","Simple","Annual","Annual","Annual")</f>
        <v>QSObject:Swap:w1~swap.5646:9500</v>
      </c>
      <c r="F5648" s="6" t="str">
        <f>_xll.QS.TRADE.CREATE("trade.5646",E5648,A5648,"Receive")</f>
        <v>QSObject:SwapTrade:w1~trade.5646:26283</v>
      </c>
      <c r="G5648" s="3">
        <f>_xll.QS.EVALUATE(C5648,F5648)</f>
        <v>54763.263468490841</v>
      </c>
      <c r="H5648" s="5" t="s">
        <v>5689</v>
      </c>
      <c r="I5648" s="7">
        <v>1564600</v>
      </c>
      <c r="J5648" s="8">
        <v>3.9600000000000003E-2</v>
      </c>
    </row>
    <row r="5649" spans="1:10" x14ac:dyDescent="0.25">
      <c r="A5649" s="5" t="s">
        <v>5683</v>
      </c>
      <c r="B5649" s="5" t="s">
        <v>7516</v>
      </c>
      <c r="C5649" s="6" t="str">
        <f>_xll.QS.CONTEXT.CREATE("market.5647",A5649,"USD","SOFR")</f>
        <v>QSObject:PricingContext:w1~market.5647:9499</v>
      </c>
      <c r="D5649" s="6" t="str">
        <f>_xll.QS.CONTEXT.ADD.CURVE(C5649,"SOFR",$K$2:$K$7,$L$2:$L$7,,,"Actual360","LogLinear",TRUE)</f>
        <v>QSObject:ContextInput:w1~input.qs_context_add_curve.2359132437744.5648.3.0:34909</v>
      </c>
      <c r="E5649" s="6" t="str">
        <f>_xll.QS.INSTRUMENT.SWAP("swap.5647",H5649,B5649,"USD","SOFR",I5649,J5649,0,"Actual360","Simple","Annual","Annual","Annual")</f>
        <v>QSObject:Swap:w1~swap.5647:9498</v>
      </c>
      <c r="F5649" s="6" t="str">
        <f>_xll.QS.TRADE.CREATE("trade.5647",E5649,A5649,"Receive")</f>
        <v>QSObject:SwapTrade:w1~trade.5647:26282</v>
      </c>
      <c r="G5649" s="3">
        <f>_xll.QS.EVALUATE(C5649,F5649)</f>
        <v>55357.005509350973</v>
      </c>
      <c r="H5649" s="5" t="s">
        <v>5690</v>
      </c>
      <c r="I5649" s="7">
        <v>1564700</v>
      </c>
      <c r="J5649" s="8">
        <v>3.9700000000000013E-2</v>
      </c>
    </row>
    <row r="5650" spans="1:10" x14ac:dyDescent="0.25">
      <c r="A5650" s="5" t="s">
        <v>5684</v>
      </c>
      <c r="B5650" s="5" t="s">
        <v>7517</v>
      </c>
      <c r="C5650" s="6" t="str">
        <f>_xll.QS.CONTEXT.CREATE("market.5648",A5650,"USD","SOFR")</f>
        <v>QSObject:PricingContext:w1~market.5648:9497</v>
      </c>
      <c r="D5650" s="6" t="str">
        <f>_xll.QS.CONTEXT.ADD.CURVE(C5650,"SOFR",$K$2:$K$7,$L$2:$L$7,,,"Actual360","LogLinear",TRUE)</f>
        <v>QSObject:ContextInput:w1~input.qs_context_add_curve.2359132437744.5649.3.0:34908</v>
      </c>
      <c r="E5650" s="6" t="str">
        <f>_xll.QS.INSTRUMENT.SWAP("swap.5648",H5650,B5650,"USD","SOFR",I5650,J5650,0,"Actual360","Simple","Annual","Annual","Annual")</f>
        <v>QSObject:Swap:w1~swap.5648:9496</v>
      </c>
      <c r="F5650" s="6" t="str">
        <f>_xll.QS.TRADE.CREATE("trade.5648",E5650,A5650,"Receive")</f>
        <v>QSObject:SwapTrade:w1~trade.5648:26281</v>
      </c>
      <c r="G5650" s="3">
        <f>_xll.QS.EVALUATE(C5650,F5650)</f>
        <v>55990.671551931737</v>
      </c>
      <c r="H5650" s="5" t="s">
        <v>5691</v>
      </c>
      <c r="I5650" s="7">
        <v>1564800</v>
      </c>
      <c r="J5650" s="8">
        <v>3.9800000000000002E-2</v>
      </c>
    </row>
    <row r="5651" spans="1:10" x14ac:dyDescent="0.25">
      <c r="A5651" s="5" t="s">
        <v>5685</v>
      </c>
      <c r="B5651" s="5" t="s">
        <v>7518</v>
      </c>
      <c r="C5651" s="6" t="str">
        <f>_xll.QS.CONTEXT.CREATE("market.5649",A5651,"USD","SOFR")</f>
        <v>QSObject:PricingContext:w1~market.5649:9495</v>
      </c>
      <c r="D5651" s="6" t="str">
        <f>_xll.QS.CONTEXT.ADD.CURVE(C5651,"SOFR",$K$2:$K$7,$L$2:$L$7,,,"Actual360","LogLinear",TRUE)</f>
        <v>QSObject:ContextInput:w1~input.qs_context_add_curve.2359132437744.5650.3.0:34907</v>
      </c>
      <c r="E5651" s="6" t="str">
        <f>_xll.QS.INSTRUMENT.SWAP("swap.5649",H5651,B5651,"USD","SOFR",I5651,J5651,0,"Actual360","Simple","Annual","Annual","Annual")</f>
        <v>QSObject:Swap:w1~swap.5649:9494</v>
      </c>
      <c r="F5651" s="6" t="str">
        <f>_xll.QS.TRADE.CREATE("trade.5649",E5651,A5651,"Receive")</f>
        <v>QSObject:SwapTrade:w1~trade.5649:26280</v>
      </c>
      <c r="G5651" s="3">
        <f>_xll.QS.EVALUATE(C5651,F5651)</f>
        <v>56783.575409284611</v>
      </c>
      <c r="H5651" s="5" t="s">
        <v>5692</v>
      </c>
      <c r="I5651" s="7">
        <v>1564900</v>
      </c>
      <c r="J5651" s="8">
        <v>3.9899999999999998E-2</v>
      </c>
    </row>
    <row r="5652" spans="1:10" x14ac:dyDescent="0.25">
      <c r="A5652" s="5" t="s">
        <v>5686</v>
      </c>
      <c r="B5652" s="5" t="s">
        <v>7519</v>
      </c>
      <c r="C5652" s="6" t="str">
        <f>_xll.QS.CONTEXT.CREATE("market.5650",A5652,"USD","SOFR")</f>
        <v>QSObject:PricingContext:w1~market.5650:9493</v>
      </c>
      <c r="D5652" s="6" t="str">
        <f>_xll.QS.CONTEXT.ADD.CURVE(C5652,"SOFR",$K$2:$K$7,$L$2:$L$7,,,"Actual360","LogLinear",TRUE)</f>
        <v>QSObject:ContextInput:w1~input.qs_context_add_curve.2359132437744.5651.3.0:34906</v>
      </c>
      <c r="E5652" s="6" t="str">
        <f>_xll.QS.INSTRUMENT.SWAP("swap.5650",H5652,B5652,"USD","SOFR",I5652,J5652,0,"Actual360","Simple","Annual","Annual","Annual")</f>
        <v>QSObject:Swap:w1~swap.5650:9492</v>
      </c>
      <c r="F5652" s="6" t="str">
        <f>_xll.QS.TRADE.CREATE("trade.5650",E5652,A5652,"Receive")</f>
        <v>QSObject:SwapTrade:w1~trade.5650:26279</v>
      </c>
      <c r="G5652" s="3">
        <f>_xll.QS.EVALUATE(C5652,F5652)</f>
        <v>21457.338788495079</v>
      </c>
      <c r="H5652" s="5" t="s">
        <v>5693</v>
      </c>
      <c r="I5652" s="7">
        <v>1565000</v>
      </c>
      <c r="J5652" s="8">
        <v>3.5000000000000003E-2</v>
      </c>
    </row>
    <row r="5653" spans="1:10" x14ac:dyDescent="0.25">
      <c r="A5653" s="5" t="s">
        <v>5687</v>
      </c>
      <c r="B5653" s="5" t="s">
        <v>7520</v>
      </c>
      <c r="C5653" s="6" t="str">
        <f>_xll.QS.CONTEXT.CREATE("market.5651",A5653,"USD","SOFR")</f>
        <v>QSObject:PricingContext:w1~market.5651:9491</v>
      </c>
      <c r="D5653" s="6" t="str">
        <f>_xll.QS.CONTEXT.ADD.CURVE(C5653,"SOFR",$K$2:$K$7,$L$2:$L$7,,,"Actual360","LogLinear",TRUE)</f>
        <v>QSObject:ContextInput:w1~input.qs_context_add_curve.2359132437744.5652.3.0:34905</v>
      </c>
      <c r="E5653" s="6" t="str">
        <f>_xll.QS.INSTRUMENT.SWAP("swap.5651",H5653,B5653,"USD","SOFR",I5653,J5653,0,"Actual360","Simple","Annual","Annual","Annual")</f>
        <v>QSObject:Swap:w1~swap.5651:9490</v>
      </c>
      <c r="F5653" s="6" t="str">
        <f>_xll.QS.TRADE.CREATE("trade.5651",E5653,A5653,"Receive")</f>
        <v>QSObject:SwapTrade:w1~trade.5651:26278</v>
      </c>
      <c r="G5653" s="3">
        <f>_xll.QS.EVALUATE(C5653,F5653)</f>
        <v>22294.797789817691</v>
      </c>
      <c r="H5653" s="5" t="s">
        <v>5694</v>
      </c>
      <c r="I5653" s="7">
        <v>1565100</v>
      </c>
      <c r="J5653" s="8">
        <v>3.5100000000000013E-2</v>
      </c>
    </row>
    <row r="5654" spans="1:10" x14ac:dyDescent="0.25">
      <c r="A5654" s="5" t="s">
        <v>5688</v>
      </c>
      <c r="B5654" s="5" t="s">
        <v>7521</v>
      </c>
      <c r="C5654" s="6" t="str">
        <f>_xll.QS.CONTEXT.CREATE("market.5652",A5654,"USD","SOFR")</f>
        <v>QSObject:PricingContext:w1~market.5652:9489</v>
      </c>
      <c r="D5654" s="6" t="str">
        <f>_xll.QS.CONTEXT.ADD.CURVE(C5654,"SOFR",$K$2:$K$7,$L$2:$L$7,,,"Actual360","LogLinear",TRUE)</f>
        <v>QSObject:ContextInput:w1~input.qs_context_add_curve.2359132437744.5653.3.0:34904</v>
      </c>
      <c r="E5654" s="6" t="str">
        <f>_xll.QS.INSTRUMENT.SWAP("swap.5652",H5654,B5654,"USD","SOFR",I5654,J5654,0,"Actual360","Simple","Annual","Annual","Annual")</f>
        <v>QSObject:Swap:w1~swap.5652:9488</v>
      </c>
      <c r="F5654" s="6" t="str">
        <f>_xll.QS.TRADE.CREATE("trade.5652",E5654,A5654,"Receive")</f>
        <v>QSObject:SwapTrade:w1~trade.5652:26277</v>
      </c>
      <c r="G5654" s="3">
        <f>_xll.QS.EVALUATE(C5654,F5654)</f>
        <v>23086.401115702312</v>
      </c>
      <c r="H5654" s="5" t="s">
        <v>5695</v>
      </c>
      <c r="I5654" s="7">
        <v>1565200</v>
      </c>
      <c r="J5654" s="8">
        <v>3.5200000000000002E-2</v>
      </c>
    </row>
    <row r="5655" spans="1:10" x14ac:dyDescent="0.25">
      <c r="A5655" s="5" t="s">
        <v>5689</v>
      </c>
      <c r="B5655" s="5" t="s">
        <v>7522</v>
      </c>
      <c r="C5655" s="6" t="str">
        <f>_xll.QS.CONTEXT.CREATE("market.5653",A5655,"USD","SOFR")</f>
        <v>QSObject:PricingContext:w1~market.5653:9487</v>
      </c>
      <c r="D5655" s="6" t="str">
        <f>_xll.QS.CONTEXT.ADD.CURVE(C5655,"SOFR",$K$2:$K$7,$L$2:$L$7,,,"Actual360","LogLinear",TRUE)</f>
        <v>QSObject:ContextInput:w1~input.qs_context_add_curve.2359132437744.5654.3.0:34903</v>
      </c>
      <c r="E5655" s="6" t="str">
        <f>_xll.QS.INSTRUMENT.SWAP("swap.5653",H5655,B5655,"USD","SOFR",I5655,J5655,0,"Actual360","Simple","Annual","Annual","Annual")</f>
        <v>QSObject:Swap:w1~swap.5653:9486</v>
      </c>
      <c r="F5655" s="6" t="str">
        <f>_xll.QS.TRADE.CREATE("trade.5653",E5655,A5655,"Receive")</f>
        <v>QSObject:SwapTrade:w1~trade.5653:26276</v>
      </c>
      <c r="G5655" s="3">
        <f>_xll.QS.EVALUATE(C5655,F5655)</f>
        <v>23749.458361690755</v>
      </c>
      <c r="H5655" s="5" t="s">
        <v>5696</v>
      </c>
      <c r="I5655" s="7">
        <v>1565300</v>
      </c>
      <c r="J5655" s="8">
        <v>3.5299999999999998E-2</v>
      </c>
    </row>
    <row r="5656" spans="1:10" x14ac:dyDescent="0.25">
      <c r="A5656" s="5" t="s">
        <v>5690</v>
      </c>
      <c r="B5656" s="5" t="s">
        <v>7523</v>
      </c>
      <c r="C5656" s="6" t="str">
        <f>_xll.QS.CONTEXT.CREATE("market.5654",A5656,"USD","SOFR")</f>
        <v>QSObject:PricingContext:w1~market.5654:9485</v>
      </c>
      <c r="D5656" s="6" t="str">
        <f>_xll.QS.CONTEXT.ADD.CURVE(C5656,"SOFR",$K$2:$K$7,$L$2:$L$7,,,"Actual360","LogLinear",TRUE)</f>
        <v>QSObject:ContextInput:w1~input.qs_context_add_curve.2359132437744.5655.3.0:34902</v>
      </c>
      <c r="E5656" s="6" t="str">
        <f>_xll.QS.INSTRUMENT.SWAP("swap.5654",H5656,B5656,"USD","SOFR",I5656,J5656,0,"Actual360","Simple","Annual","Annual","Annual")</f>
        <v>QSObject:Swap:w1~swap.5654:9484</v>
      </c>
      <c r="F5656" s="6" t="str">
        <f>_xll.QS.TRADE.CREATE("trade.5654",E5656,A5656,"Receive")</f>
        <v>QSObject:SwapTrade:w1~trade.5654:26275</v>
      </c>
      <c r="G5656" s="3">
        <f>_xll.QS.EVALUATE(C5656,F5656)</f>
        <v>24361.516120366156</v>
      </c>
      <c r="H5656" s="5" t="s">
        <v>5697</v>
      </c>
      <c r="I5656" s="7">
        <v>1565400</v>
      </c>
      <c r="J5656" s="8">
        <v>3.5400000000000001E-2</v>
      </c>
    </row>
    <row r="5657" spans="1:10" x14ac:dyDescent="0.25">
      <c r="A5657" s="5" t="s">
        <v>5691</v>
      </c>
      <c r="B5657" s="5" t="s">
        <v>7524</v>
      </c>
      <c r="C5657" s="6" t="str">
        <f>_xll.QS.CONTEXT.CREATE("market.5655",A5657,"USD","SOFR")</f>
        <v>QSObject:PricingContext:w1~market.5655:9483</v>
      </c>
      <c r="D5657" s="6" t="str">
        <f>_xll.QS.CONTEXT.ADD.CURVE(C5657,"SOFR",$K$2:$K$7,$L$2:$L$7,,,"Actual360","LogLinear",TRUE)</f>
        <v>QSObject:ContextInput:w1~input.qs_context_add_curve.2359132437744.5656.3.0:34901</v>
      </c>
      <c r="E5657" s="6" t="str">
        <f>_xll.QS.INSTRUMENT.SWAP("swap.5655",H5657,B5657,"USD","SOFR",I5657,J5657,0,"Actual360","Simple","Annual","Annual","Annual")</f>
        <v>QSObject:Swap:w1~swap.5655:9482</v>
      </c>
      <c r="F5657" s="6" t="str">
        <f>_xll.QS.TRADE.CREATE("trade.5655",E5657,A5657,"Receive")</f>
        <v>QSObject:SwapTrade:w1~trade.5655:26274</v>
      </c>
      <c r="G5657" s="3">
        <f>_xll.QS.EVALUATE(C5657,F5657)</f>
        <v>24897.901562188621</v>
      </c>
      <c r="H5657" s="5" t="s">
        <v>5698</v>
      </c>
      <c r="I5657" s="7">
        <v>1565500</v>
      </c>
      <c r="J5657" s="8">
        <v>3.5499999999999997E-2</v>
      </c>
    </row>
    <row r="5658" spans="1:10" x14ac:dyDescent="0.25">
      <c r="A5658" s="5" t="s">
        <v>5692</v>
      </c>
      <c r="B5658" s="5" t="s">
        <v>7525</v>
      </c>
      <c r="C5658" s="6" t="str">
        <f>_xll.QS.CONTEXT.CREATE("market.5656",A5658,"USD","SOFR")</f>
        <v>QSObject:PricingContext:w1~market.5656:9481</v>
      </c>
      <c r="D5658" s="6" t="str">
        <f>_xll.QS.CONTEXT.ADD.CURVE(C5658,"SOFR",$K$2:$K$7,$L$2:$L$7,,,"Actual360","LogLinear",TRUE)</f>
        <v>QSObject:ContextInput:w1~input.qs_context_add_curve.2359132437744.5657.3.0:34900</v>
      </c>
      <c r="E5658" s="6" t="str">
        <f>_xll.QS.INSTRUMENT.SWAP("swap.5656",H5658,B5658,"USD","SOFR",I5658,J5658,0,"Actual360","Simple","Annual","Annual","Annual")</f>
        <v>QSObject:Swap:w1~swap.5656:9480</v>
      </c>
      <c r="F5658" s="6" t="str">
        <f>_xll.QS.TRADE.CREATE("trade.5656",E5658,A5658,"Receive")</f>
        <v>QSObject:SwapTrade:w1~trade.5656:26273</v>
      </c>
      <c r="G5658" s="3">
        <f>_xll.QS.EVALUATE(C5658,F5658)</f>
        <v>25685.84120955348</v>
      </c>
      <c r="H5658" s="5" t="s">
        <v>5699</v>
      </c>
      <c r="I5658" s="7">
        <v>1565600</v>
      </c>
      <c r="J5658" s="8">
        <v>3.5600000000000007E-2</v>
      </c>
    </row>
    <row r="5659" spans="1:10" x14ac:dyDescent="0.25">
      <c r="A5659" s="5" t="s">
        <v>5693</v>
      </c>
      <c r="B5659" s="5" t="s">
        <v>7526</v>
      </c>
      <c r="C5659" s="6" t="str">
        <f>_xll.QS.CONTEXT.CREATE("market.5657",A5659,"USD","SOFR")</f>
        <v>QSObject:PricingContext:w1~market.5657:9479</v>
      </c>
      <c r="D5659" s="6" t="str">
        <f>_xll.QS.CONTEXT.ADD.CURVE(C5659,"SOFR",$K$2:$K$7,$L$2:$L$7,,,"Actual360","LogLinear",TRUE)</f>
        <v>QSObject:ContextInput:w1~input.qs_context_add_curve.2359132437744.5658.3.0:34899</v>
      </c>
      <c r="E5659" s="6" t="str">
        <f>_xll.QS.INSTRUMENT.SWAP("swap.5657",H5659,B5659,"USD","SOFR",I5659,J5659,0,"Actual360","Simple","Annual","Annual","Annual")</f>
        <v>QSObject:Swap:w1~swap.5657:9478</v>
      </c>
      <c r="F5659" s="6" t="str">
        <f>_xll.QS.TRADE.CREATE("trade.5657",E5659,A5659,"Receive")</f>
        <v>QSObject:SwapTrade:w1~trade.5657:26272</v>
      </c>
      <c r="G5659" s="3">
        <f>_xll.QS.EVALUATE(C5659,F5659)</f>
        <v>26474.285584176323</v>
      </c>
      <c r="H5659" s="5" t="s">
        <v>5700</v>
      </c>
      <c r="I5659" s="7">
        <v>1565700</v>
      </c>
      <c r="J5659" s="8">
        <v>3.5700000000000003E-2</v>
      </c>
    </row>
    <row r="5660" spans="1:10" x14ac:dyDescent="0.25">
      <c r="A5660" s="5" t="s">
        <v>5694</v>
      </c>
      <c r="B5660" s="5" t="s">
        <v>7527</v>
      </c>
      <c r="C5660" s="6" t="str">
        <f>_xll.QS.CONTEXT.CREATE("market.5658",A5660,"USD","SOFR")</f>
        <v>QSObject:PricingContext:w1~market.5658:9477</v>
      </c>
      <c r="D5660" s="6" t="str">
        <f>_xll.QS.CONTEXT.ADD.CURVE(C5660,"SOFR",$K$2:$K$7,$L$2:$L$7,,,"Actual360","LogLinear",TRUE)</f>
        <v>QSObject:ContextInput:w1~input.qs_context_add_curve.2359132437744.5659.3.0:34898</v>
      </c>
      <c r="E5660" s="6" t="str">
        <f>_xll.QS.INSTRUMENT.SWAP("swap.5658",H5660,B5660,"USD","SOFR",I5660,J5660,0,"Actual360","Simple","Annual","Annual","Annual")</f>
        <v>QSObject:Swap:w1~swap.5658:9476</v>
      </c>
      <c r="F5660" s="6" t="str">
        <f>_xll.QS.TRADE.CREATE("trade.5658",E5660,A5660,"Receive")</f>
        <v>QSObject:SwapTrade:w1~trade.5658:26271</v>
      </c>
      <c r="G5660" s="3">
        <f>_xll.QS.EVALUATE(C5660,F5660)</f>
        <v>27416.947316440717</v>
      </c>
      <c r="H5660" s="5" t="s">
        <v>5701</v>
      </c>
      <c r="I5660" s="7">
        <v>1565800</v>
      </c>
      <c r="J5660" s="8">
        <v>3.5800000000000012E-2</v>
      </c>
    </row>
    <row r="5661" spans="1:10" x14ac:dyDescent="0.25">
      <c r="A5661" s="5" t="s">
        <v>5695</v>
      </c>
      <c r="B5661" s="5" t="s">
        <v>7528</v>
      </c>
      <c r="C5661" s="6" t="str">
        <f>_xll.QS.CONTEXT.CREATE("market.5659",A5661,"USD","SOFR")</f>
        <v>QSObject:PricingContext:w1~market.5659:9475</v>
      </c>
      <c r="D5661" s="6" t="str">
        <f>_xll.QS.CONTEXT.ADD.CURVE(C5661,"SOFR",$K$2:$K$7,$L$2:$L$7,,,"Actual360","LogLinear",TRUE)</f>
        <v>QSObject:ContextInput:w1~input.qs_context_add_curve.2359132437744.5660.3.0:34897</v>
      </c>
      <c r="E5661" s="6" t="str">
        <f>_xll.QS.INSTRUMENT.SWAP("swap.5659",H5661,B5661,"USD","SOFR",I5661,J5661,0,"Actual360","Simple","Annual","Annual","Annual")</f>
        <v>QSObject:Swap:w1~swap.5659:9474</v>
      </c>
      <c r="F5661" s="6" t="str">
        <f>_xll.QS.TRADE.CREATE("trade.5659",E5661,A5661,"Receive")</f>
        <v>QSObject:SwapTrade:w1~trade.5659:26270</v>
      </c>
      <c r="G5661" s="3">
        <f>_xll.QS.EVALUATE(C5661,F5661)</f>
        <v>28155.165171328219</v>
      </c>
      <c r="H5661" s="5" t="s">
        <v>5702</v>
      </c>
      <c r="I5661" s="7">
        <v>1565900</v>
      </c>
      <c r="J5661" s="8">
        <v>3.5900000000000001E-2</v>
      </c>
    </row>
    <row r="5662" spans="1:10" x14ac:dyDescent="0.25">
      <c r="A5662" s="5" t="s">
        <v>5696</v>
      </c>
      <c r="B5662" s="5" t="s">
        <v>7529</v>
      </c>
      <c r="C5662" s="6" t="str">
        <f>_xll.QS.CONTEXT.CREATE("market.5660",A5662,"USD","SOFR")</f>
        <v>QSObject:PricingContext:w1~market.5660:9473</v>
      </c>
      <c r="D5662" s="6" t="str">
        <f>_xll.QS.CONTEXT.ADD.CURVE(C5662,"SOFR",$K$2:$K$7,$L$2:$L$7,,,"Actual360","LogLinear",TRUE)</f>
        <v>QSObject:ContextInput:w1~input.qs_context_add_curve.2359132437744.5661.3.0:34896</v>
      </c>
      <c r="E5662" s="6" t="str">
        <f>_xll.QS.INSTRUMENT.SWAP("swap.5660",H5662,B5662,"USD","SOFR",I5662,J5662,0,"Actual360","Simple","Annual","Annual","Annual")</f>
        <v>QSObject:Swap:w1~swap.5660:9472</v>
      </c>
      <c r="F5662" s="6" t="str">
        <f>_xll.QS.TRADE.CREATE("trade.5660",E5662,A5662,"Receive")</f>
        <v>QSObject:SwapTrade:w1~trade.5660:26269</v>
      </c>
      <c r="G5662" s="3">
        <f>_xll.QS.EVALUATE(C5662,F5662)</f>
        <v>28877.991194302391</v>
      </c>
      <c r="H5662" s="5" t="s">
        <v>5703</v>
      </c>
      <c r="I5662" s="7">
        <v>1566000</v>
      </c>
      <c r="J5662" s="8">
        <v>3.5999999999999997E-2</v>
      </c>
    </row>
    <row r="5663" spans="1:10" x14ac:dyDescent="0.25">
      <c r="A5663" s="5" t="s">
        <v>5697</v>
      </c>
      <c r="B5663" s="5" t="s">
        <v>7530</v>
      </c>
      <c r="C5663" s="6" t="str">
        <f>_xll.QS.CONTEXT.CREATE("market.5661",A5663,"USD","SOFR")</f>
        <v>QSObject:PricingContext:w1~market.5661:9471</v>
      </c>
      <c r="D5663" s="6" t="str">
        <f>_xll.QS.CONTEXT.ADD.CURVE(C5663,"SOFR",$K$2:$K$7,$L$2:$L$7,,,"Actual360","LogLinear",TRUE)</f>
        <v>QSObject:ContextInput:w1~input.qs_context_add_curve.2359132437744.5662.3.0:34895</v>
      </c>
      <c r="E5663" s="6" t="str">
        <f>_xll.QS.INSTRUMENT.SWAP("swap.5661",H5663,B5663,"USD","SOFR",I5663,J5663,0,"Actual360","Simple","Annual","Annual","Annual")</f>
        <v>QSObject:Swap:w1~swap.5661:9470</v>
      </c>
      <c r="F5663" s="6" t="str">
        <f>_xll.QS.TRADE.CREATE("trade.5661",E5663,A5663,"Receive")</f>
        <v>QSObject:SwapTrade:w1~trade.5661:26268</v>
      </c>
      <c r="G5663" s="3">
        <f>_xll.QS.EVALUATE(C5663,F5663)</f>
        <v>29501.2088033935</v>
      </c>
      <c r="H5663" s="5" t="s">
        <v>5704</v>
      </c>
      <c r="I5663" s="7">
        <v>1566100</v>
      </c>
      <c r="J5663" s="8">
        <v>3.61E-2</v>
      </c>
    </row>
    <row r="5664" spans="1:10" x14ac:dyDescent="0.25">
      <c r="A5664" s="5" t="s">
        <v>5698</v>
      </c>
      <c r="B5664" s="5" t="s">
        <v>7531</v>
      </c>
      <c r="C5664" s="6" t="str">
        <f>_xll.QS.CONTEXT.CREATE("market.5662",A5664,"USD","SOFR")</f>
        <v>QSObject:PricingContext:w1~market.5662:9469</v>
      </c>
      <c r="D5664" s="6" t="str">
        <f>_xll.QS.CONTEXT.ADD.CURVE(C5664,"SOFR",$K$2:$K$7,$L$2:$L$7,,,"Actual360","LogLinear",TRUE)</f>
        <v>QSObject:ContextInput:w1~input.qs_context_add_curve.2359132437744.5663.3.0:34894</v>
      </c>
      <c r="E5664" s="6" t="str">
        <f>_xll.QS.INSTRUMENT.SWAP("swap.5662",H5664,B5664,"USD","SOFR",I5664,J5664,0,"Actual360","Simple","Annual","Annual","Annual")</f>
        <v>QSObject:Swap:w1~swap.5662:9468</v>
      </c>
      <c r="F5664" s="6" t="str">
        <f>_xll.QS.TRADE.CREATE("trade.5662",E5664,A5664,"Receive")</f>
        <v>QSObject:SwapTrade:w1~trade.5662:26267</v>
      </c>
      <c r="G5664" s="3">
        <f>_xll.QS.EVALUATE(C5664,F5664)</f>
        <v>30093.282272382901</v>
      </c>
      <c r="H5664" s="5" t="s">
        <v>5705</v>
      </c>
      <c r="I5664" s="7">
        <v>1566200</v>
      </c>
      <c r="J5664" s="8">
        <v>3.6200000000000003E-2</v>
      </c>
    </row>
    <row r="5665" spans="1:10" x14ac:dyDescent="0.25">
      <c r="A5665" s="5" t="s">
        <v>5699</v>
      </c>
      <c r="B5665" s="5" t="s">
        <v>7532</v>
      </c>
      <c r="C5665" s="6" t="str">
        <f>_xll.QS.CONTEXT.CREATE("market.5663",A5665,"USD","SOFR")</f>
        <v>QSObject:PricingContext:w1~market.5663:9467</v>
      </c>
      <c r="D5665" s="6" t="str">
        <f>_xll.QS.CONTEXT.ADD.CURVE(C5665,"SOFR",$K$2:$K$7,$L$2:$L$7,,,"Actual360","LogLinear",TRUE)</f>
        <v>QSObject:ContextInput:w1~input.qs_context_add_curve.2359132437744.5664.3.0:34893</v>
      </c>
      <c r="E5665" s="6" t="str">
        <f>_xll.QS.INSTRUMENT.SWAP("swap.5663",H5665,B5665,"USD","SOFR",I5665,J5665,0,"Actual360","Simple","Annual","Annual","Annual")</f>
        <v>QSObject:Swap:w1~swap.5663:9466</v>
      </c>
      <c r="F5665" s="6" t="str">
        <f>_xll.QS.TRADE.CREATE("trade.5663",E5665,A5665,"Receive")</f>
        <v>QSObject:SwapTrade:w1~trade.5663:26266</v>
      </c>
      <c r="G5665" s="3">
        <f>_xll.QS.EVALUATE(C5665,F5665)</f>
        <v>30820.005858166798</v>
      </c>
      <c r="H5665" s="5" t="s">
        <v>5706</v>
      </c>
      <c r="I5665" s="7">
        <v>1566300</v>
      </c>
      <c r="J5665" s="8">
        <v>3.6300000000000013E-2</v>
      </c>
    </row>
    <row r="5666" spans="1:10" x14ac:dyDescent="0.25">
      <c r="A5666" s="5" t="s">
        <v>5700</v>
      </c>
      <c r="B5666" s="5" t="s">
        <v>7533</v>
      </c>
      <c r="C5666" s="6" t="str">
        <f>_xll.QS.CONTEXT.CREATE("market.5664",A5666,"USD","SOFR")</f>
        <v>QSObject:PricingContext:w1~market.5664:9465</v>
      </c>
      <c r="D5666" s="6" t="str">
        <f>_xll.QS.CONTEXT.ADD.CURVE(C5666,"SOFR",$K$2:$K$7,$L$2:$L$7,,,"Actual360","LogLinear",TRUE)</f>
        <v>QSObject:ContextInput:w1~input.qs_context_add_curve.2359132437744.5665.3.0:34892</v>
      </c>
      <c r="E5666" s="6" t="str">
        <f>_xll.QS.INSTRUMENT.SWAP("swap.5664",H5666,B5666,"USD","SOFR",I5666,J5666,0,"Actual360","Simple","Annual","Annual","Annual")</f>
        <v>QSObject:Swap:w1~swap.5664:9464</v>
      </c>
      <c r="F5666" s="6" t="str">
        <f>_xll.QS.TRADE.CREATE("trade.5664",E5666,A5666,"Receive")</f>
        <v>QSObject:SwapTrade:w1~trade.5664:26265</v>
      </c>
      <c r="G5666" s="3">
        <f>_xll.QS.EVALUATE(C5666,F5666)</f>
        <v>31588.965395560539</v>
      </c>
      <c r="H5666" s="5" t="s">
        <v>5707</v>
      </c>
      <c r="I5666" s="7">
        <v>1566400</v>
      </c>
      <c r="J5666" s="8">
        <v>3.6400000000000002E-2</v>
      </c>
    </row>
    <row r="5667" spans="1:10" x14ac:dyDescent="0.25">
      <c r="A5667" s="5" t="s">
        <v>5701</v>
      </c>
      <c r="B5667" s="5" t="s">
        <v>7534</v>
      </c>
      <c r="C5667" s="6" t="str">
        <f>_xll.QS.CONTEXT.CREATE("market.5665",A5667,"USD","SOFR")</f>
        <v>QSObject:PricingContext:w1~market.5665:9463</v>
      </c>
      <c r="D5667" s="6" t="str">
        <f>_xll.QS.CONTEXT.ADD.CURVE(C5667,"SOFR",$K$2:$K$7,$L$2:$L$7,,,"Actual360","LogLinear",TRUE)</f>
        <v>QSObject:ContextInput:w1~input.qs_context_add_curve.2359132437744.5666.3.0:34891</v>
      </c>
      <c r="E5667" s="6" t="str">
        <f>_xll.QS.INSTRUMENT.SWAP("swap.5665",H5667,B5667,"USD","SOFR",I5667,J5667,0,"Actual360","Simple","Annual","Annual","Annual")</f>
        <v>QSObject:Swap:w1~swap.5665:9462</v>
      </c>
      <c r="F5667" s="6" t="str">
        <f>_xll.QS.TRADE.CREATE("trade.5665",E5667,A5667,"Receive")</f>
        <v>QSObject:SwapTrade:w1~trade.5665:26264</v>
      </c>
      <c r="G5667" s="3">
        <f>_xll.QS.EVALUATE(C5667,F5667)</f>
        <v>32427.97790909015</v>
      </c>
      <c r="H5667" s="5" t="s">
        <v>5708</v>
      </c>
      <c r="I5667" s="7">
        <v>1566500</v>
      </c>
      <c r="J5667" s="8">
        <v>3.6499999999999998E-2</v>
      </c>
    </row>
    <row r="5668" spans="1:10" x14ac:dyDescent="0.25">
      <c r="A5668" s="5" t="s">
        <v>5702</v>
      </c>
      <c r="B5668" s="5" t="s">
        <v>7535</v>
      </c>
      <c r="C5668" s="6" t="str">
        <f>_xll.QS.CONTEXT.CREATE("market.5666",A5668,"USD","SOFR")</f>
        <v>QSObject:PricingContext:w1~market.5666:9461</v>
      </c>
      <c r="D5668" s="6" t="str">
        <f>_xll.QS.CONTEXT.ADD.CURVE(C5668,"SOFR",$K$2:$K$7,$L$2:$L$7,,,"Actual360","LogLinear",TRUE)</f>
        <v>QSObject:ContextInput:w1~input.qs_context_add_curve.2359132437744.5667.3.0:34890</v>
      </c>
      <c r="E5668" s="6" t="str">
        <f>_xll.QS.INSTRUMENT.SWAP("swap.5666",H5668,B5668,"USD","SOFR",I5668,J5668,0,"Actual360","Simple","Annual","Annual","Annual")</f>
        <v>QSObject:Swap:w1~swap.5666:9460</v>
      </c>
      <c r="F5668" s="6" t="str">
        <f>_xll.QS.TRADE.CREATE("trade.5666",E5668,A5668,"Receive")</f>
        <v>QSObject:SwapTrade:w1~trade.5666:26263</v>
      </c>
      <c r="G5668" s="3">
        <f>_xll.QS.EVALUATE(C5668,F5668)</f>
        <v>33220.831870817143</v>
      </c>
      <c r="H5668" s="5" t="s">
        <v>5709</v>
      </c>
      <c r="I5668" s="7">
        <v>1566600</v>
      </c>
      <c r="J5668" s="8">
        <v>3.6600000000000001E-2</v>
      </c>
    </row>
    <row r="5669" spans="1:10" x14ac:dyDescent="0.25">
      <c r="A5669" s="5" t="s">
        <v>5703</v>
      </c>
      <c r="B5669" s="5" t="s">
        <v>7536</v>
      </c>
      <c r="C5669" s="6" t="str">
        <f>_xll.QS.CONTEXT.CREATE("market.5667",A5669,"USD","SOFR")</f>
        <v>QSObject:PricingContext:w1~market.5667:9459</v>
      </c>
      <c r="D5669" s="6" t="str">
        <f>_xll.QS.CONTEXT.ADD.CURVE(C5669,"SOFR",$K$2:$K$7,$L$2:$L$7,,,"Actual360","LogLinear",TRUE)</f>
        <v>QSObject:ContextInput:w1~input.qs_context_add_curve.2359132437744.5668.3.0:34889</v>
      </c>
      <c r="E5669" s="6" t="str">
        <f>_xll.QS.INSTRUMENT.SWAP("swap.5667",H5669,B5669,"USD","SOFR",I5669,J5669,0,"Actual360","Simple","Annual","Annual","Annual")</f>
        <v>QSObject:Swap:w1~swap.5667:9458</v>
      </c>
      <c r="F5669" s="6" t="str">
        <f>_xll.QS.TRADE.CREATE("trade.5667",E5669,A5669,"Receive")</f>
        <v>QSObject:SwapTrade:w1~trade.5667:26262</v>
      </c>
      <c r="G5669" s="3">
        <f>_xll.QS.EVALUATE(C5669,F5669)</f>
        <v>33885.233154199115</v>
      </c>
      <c r="H5669" s="5" t="s">
        <v>5710</v>
      </c>
      <c r="I5669" s="7">
        <v>1566700</v>
      </c>
      <c r="J5669" s="8">
        <v>3.6700000000000003E-2</v>
      </c>
    </row>
    <row r="5670" spans="1:10" x14ac:dyDescent="0.25">
      <c r="A5670" s="5" t="s">
        <v>5704</v>
      </c>
      <c r="B5670" s="5" t="s">
        <v>7537</v>
      </c>
      <c r="C5670" s="6" t="str">
        <f>_xll.QS.CONTEXT.CREATE("market.5668",A5670,"USD","SOFR")</f>
        <v>QSObject:PricingContext:w1~market.5668:9457</v>
      </c>
      <c r="D5670" s="6" t="str">
        <f>_xll.QS.CONTEXT.ADD.CURVE(C5670,"SOFR",$K$2:$K$7,$L$2:$L$7,,,"Actual360","LogLinear",TRUE)</f>
        <v>QSObject:ContextInput:w1~input.qs_context_add_curve.2359132437744.5669.3.0:34888</v>
      </c>
      <c r="E5670" s="6" t="str">
        <f>_xll.QS.INSTRUMENT.SWAP("swap.5668",H5670,B5670,"USD","SOFR",I5670,J5670,0,"Actual360","Simple","Annual","Annual","Annual")</f>
        <v>QSObject:Swap:w1~swap.5668:9456</v>
      </c>
      <c r="F5670" s="6" t="str">
        <f>_xll.QS.TRADE.CREATE("trade.5668",E5670,A5670,"Receive")</f>
        <v>QSObject:SwapTrade:w1~trade.5668:26261</v>
      </c>
      <c r="G5670" s="3">
        <f>_xll.QS.EVALUATE(C5670,F5670)</f>
        <v>34503.105315660774</v>
      </c>
      <c r="H5670" s="5" t="s">
        <v>5711</v>
      </c>
      <c r="I5670" s="7">
        <v>1566800</v>
      </c>
      <c r="J5670" s="8">
        <v>3.6800000000000013E-2</v>
      </c>
    </row>
    <row r="5671" spans="1:10" x14ac:dyDescent="0.25">
      <c r="A5671" s="5" t="s">
        <v>5705</v>
      </c>
      <c r="B5671" s="5" t="s">
        <v>7538</v>
      </c>
      <c r="C5671" s="6" t="str">
        <f>_xll.QS.CONTEXT.CREATE("market.5669",A5671,"USD","SOFR")</f>
        <v>QSObject:PricingContext:w1~market.5669:9455</v>
      </c>
      <c r="D5671" s="6" t="str">
        <f>_xll.QS.CONTEXT.ADD.CURVE(C5671,"SOFR",$K$2:$K$7,$L$2:$L$7,,,"Actual360","LogLinear",TRUE)</f>
        <v>QSObject:ContextInput:w1~input.qs_context_add_curve.2359132437744.5670.3.0:34887</v>
      </c>
      <c r="E5671" s="6" t="str">
        <f>_xll.QS.INSTRUMENT.SWAP("swap.5669",H5671,B5671,"USD","SOFR",I5671,J5671,0,"Actual360","Simple","Annual","Annual","Annual")</f>
        <v>QSObject:Swap:w1~swap.5669:9454</v>
      </c>
      <c r="F5671" s="6" t="str">
        <f>_xll.QS.TRADE.CREATE("trade.5669",E5671,A5671,"Receive")</f>
        <v>QSObject:SwapTrade:w1~trade.5669:26260</v>
      </c>
      <c r="G5671" s="3">
        <f>_xll.QS.EVALUATE(C5671,F5671)</f>
        <v>35103.795386789774</v>
      </c>
      <c r="H5671" s="5" t="s">
        <v>5712</v>
      </c>
      <c r="I5671" s="7">
        <v>1566900</v>
      </c>
      <c r="J5671" s="8">
        <v>3.6900000000000002E-2</v>
      </c>
    </row>
    <row r="5672" spans="1:10" x14ac:dyDescent="0.25">
      <c r="A5672" s="5" t="s">
        <v>5706</v>
      </c>
      <c r="B5672" s="5" t="s">
        <v>7539</v>
      </c>
      <c r="C5672" s="6" t="str">
        <f>_xll.QS.CONTEXT.CREATE("market.5670",A5672,"USD","SOFR")</f>
        <v>QSObject:PricingContext:w1~market.5670:9453</v>
      </c>
      <c r="D5672" s="6" t="str">
        <f>_xll.QS.CONTEXT.ADD.CURVE(C5672,"SOFR",$K$2:$K$7,$L$2:$L$7,,,"Actual360","LogLinear",TRUE)</f>
        <v>QSObject:ContextInput:w1~input.qs_context_add_curve.2359132437744.5671.3.0:34886</v>
      </c>
      <c r="E5672" s="6" t="str">
        <f>_xll.QS.INSTRUMENT.SWAP("swap.5670",H5672,B5672,"USD","SOFR",I5672,J5672,0,"Actual360","Simple","Annual","Annual","Annual")</f>
        <v>QSObject:Swap:w1~swap.5670:9452</v>
      </c>
      <c r="F5672" s="6" t="str">
        <f>_xll.QS.TRADE.CREATE("trade.5670",E5672,A5672,"Receive")</f>
        <v>QSObject:SwapTrade:w1~trade.5670:26259</v>
      </c>
      <c r="G5672" s="3">
        <f>_xll.QS.EVALUATE(C5672,F5672)</f>
        <v>35894.390011083167</v>
      </c>
      <c r="H5672" s="5" t="s">
        <v>5713</v>
      </c>
      <c r="I5672" s="7">
        <v>1567000</v>
      </c>
      <c r="J5672" s="8">
        <v>3.7000000000000012E-2</v>
      </c>
    </row>
    <row r="5673" spans="1:10" x14ac:dyDescent="0.25">
      <c r="A5673" s="5" t="s">
        <v>5707</v>
      </c>
      <c r="B5673" s="5" t="s">
        <v>7540</v>
      </c>
      <c r="C5673" s="6" t="str">
        <f>_xll.QS.CONTEXT.CREATE("market.5671",A5673,"USD","SOFR")</f>
        <v>QSObject:PricingContext:w1~market.5671:9451</v>
      </c>
      <c r="D5673" s="6" t="str">
        <f>_xll.QS.CONTEXT.ADD.CURVE(C5673,"SOFR",$K$2:$K$7,$L$2:$L$7,,,"Actual360","LogLinear",TRUE)</f>
        <v>QSObject:ContextInput:w1~input.qs_context_add_curve.2359132437744.5672.3.0:34885</v>
      </c>
      <c r="E5673" s="6" t="str">
        <f>_xll.QS.INSTRUMENT.SWAP("swap.5671",H5673,B5673,"USD","SOFR",I5673,J5673,0,"Actual360","Simple","Annual","Annual","Annual")</f>
        <v>QSObject:Swap:w1~swap.5671:9450</v>
      </c>
      <c r="F5673" s="6" t="str">
        <f>_xll.QS.TRADE.CREATE("trade.5671",E5673,A5673,"Receive")</f>
        <v>QSObject:SwapTrade:w1~trade.5671:26258</v>
      </c>
      <c r="G5673" s="3">
        <f>_xll.QS.EVALUATE(C5673,F5673)</f>
        <v>36661.557333618737</v>
      </c>
      <c r="H5673" s="5" t="s">
        <v>5714</v>
      </c>
      <c r="I5673" s="7">
        <v>1567100</v>
      </c>
      <c r="J5673" s="8">
        <v>3.7100000000000001E-2</v>
      </c>
    </row>
    <row r="5674" spans="1:10" x14ac:dyDescent="0.25">
      <c r="A5674" s="5" t="s">
        <v>5708</v>
      </c>
      <c r="B5674" s="5" t="s">
        <v>7541</v>
      </c>
      <c r="C5674" s="6" t="str">
        <f>_xll.QS.CONTEXT.CREATE("market.5672",A5674,"USD","SOFR")</f>
        <v>QSObject:PricingContext:w1~market.5672:9449</v>
      </c>
      <c r="D5674" s="6" t="str">
        <f>_xll.QS.CONTEXT.ADD.CURVE(C5674,"SOFR",$K$2:$K$7,$L$2:$L$7,,,"Actual360","LogLinear",TRUE)</f>
        <v>QSObject:ContextInput:w1~input.qs_context_add_curve.2359132437744.5673.3.0:34884</v>
      </c>
      <c r="E5674" s="6" t="str">
        <f>_xll.QS.INSTRUMENT.SWAP("swap.5672",H5674,B5674,"USD","SOFR",I5674,J5674,0,"Actual360","Simple","Annual","Annual","Annual")</f>
        <v>QSObject:Swap:w1~swap.5672:9448</v>
      </c>
      <c r="F5674" s="6" t="str">
        <f>_xll.QS.TRADE.CREATE("trade.5672",E5674,A5674,"Receive")</f>
        <v>QSObject:SwapTrade:w1~trade.5672:26257</v>
      </c>
      <c r="G5674" s="3">
        <f>_xll.QS.EVALUATE(C5674,F5674)</f>
        <v>37501.346710522841</v>
      </c>
      <c r="H5674" s="5" t="s">
        <v>5715</v>
      </c>
      <c r="I5674" s="7">
        <v>1567200</v>
      </c>
      <c r="J5674" s="8">
        <v>3.7199999999999997E-2</v>
      </c>
    </row>
    <row r="5675" spans="1:10" x14ac:dyDescent="0.25">
      <c r="A5675" s="5" t="s">
        <v>5709</v>
      </c>
      <c r="B5675" s="5" t="s">
        <v>7542</v>
      </c>
      <c r="C5675" s="6" t="str">
        <f>_xll.QS.CONTEXT.CREATE("market.5673",A5675,"USD","SOFR")</f>
        <v>QSObject:PricingContext:w1~market.5673:9447</v>
      </c>
      <c r="D5675" s="6" t="str">
        <f>_xll.QS.CONTEXT.ADD.CURVE(C5675,"SOFR",$K$2:$K$7,$L$2:$L$7,,,"Actual360","LogLinear",TRUE)</f>
        <v>QSObject:ContextInput:w1~input.qs_context_add_curve.2359132437744.5674.3.0:34883</v>
      </c>
      <c r="E5675" s="6" t="str">
        <f>_xll.QS.INSTRUMENT.SWAP("swap.5673",H5675,B5675,"USD","SOFR",I5675,J5675,0,"Actual360","Simple","Annual","Annual","Annual")</f>
        <v>QSObject:Swap:w1~swap.5673:9446</v>
      </c>
      <c r="F5675" s="6" t="str">
        <f>_xll.QS.TRADE.CREATE("trade.5673",E5675,A5675,"Receive")</f>
        <v>QSObject:SwapTrade:w1~trade.5673:26256</v>
      </c>
      <c r="G5675" s="3">
        <f>_xll.QS.EVALUATE(C5675,F5675)</f>
        <v>38294.934887227071</v>
      </c>
      <c r="H5675" s="5" t="s">
        <v>5716</v>
      </c>
      <c r="I5675" s="7">
        <v>1567300</v>
      </c>
      <c r="J5675" s="8">
        <v>3.73E-2</v>
      </c>
    </row>
    <row r="5676" spans="1:10" x14ac:dyDescent="0.25">
      <c r="A5676" s="5" t="s">
        <v>5710</v>
      </c>
      <c r="B5676" s="5" t="s">
        <v>7543</v>
      </c>
      <c r="C5676" s="6" t="str">
        <f>_xll.QS.CONTEXT.CREATE("market.5674",A5676,"USD","SOFR")</f>
        <v>QSObject:PricingContext:w1~market.5674:9445</v>
      </c>
      <c r="D5676" s="6" t="str">
        <f>_xll.QS.CONTEXT.ADD.CURVE(C5676,"SOFR",$K$2:$K$7,$L$2:$L$7,,,"Actual360","LogLinear",TRUE)</f>
        <v>QSObject:ContextInput:w1~input.qs_context_add_curve.2359132437744.5675.3.0:34882</v>
      </c>
      <c r="E5676" s="6" t="str">
        <f>_xll.QS.INSTRUMENT.SWAP("swap.5674",H5676,B5676,"USD","SOFR",I5676,J5676,0,"Actual360","Simple","Annual","Annual","Annual")</f>
        <v>QSObject:Swap:w1~swap.5674:9444</v>
      </c>
      <c r="F5676" s="6" t="str">
        <f>_xll.QS.TRADE.CREATE("trade.5674",E5676,A5676,"Receive")</f>
        <v>QSObject:SwapTrade:w1~trade.5674:26255</v>
      </c>
      <c r="G5676" s="3">
        <f>_xll.QS.EVALUATE(C5676,F5676)</f>
        <v>38959.89929559247</v>
      </c>
      <c r="H5676" s="5" t="s">
        <v>5717</v>
      </c>
      <c r="I5676" s="7">
        <v>1567400</v>
      </c>
      <c r="J5676" s="8">
        <v>3.7400000000000003E-2</v>
      </c>
    </row>
    <row r="5677" spans="1:10" x14ac:dyDescent="0.25">
      <c r="A5677" s="5" t="s">
        <v>5711</v>
      </c>
      <c r="B5677" s="5" t="s">
        <v>7544</v>
      </c>
      <c r="C5677" s="6" t="str">
        <f>_xll.QS.CONTEXT.CREATE("market.5675",A5677,"USD","SOFR")</f>
        <v>QSObject:PricingContext:w1~market.5675:9443</v>
      </c>
      <c r="D5677" s="6" t="str">
        <f>_xll.QS.CONTEXT.ADD.CURVE(C5677,"SOFR",$K$2:$K$7,$L$2:$L$7,,,"Actual360","LogLinear",TRUE)</f>
        <v>QSObject:ContextInput:w1~input.qs_context_add_curve.2359132437744.5676.3.0:34881</v>
      </c>
      <c r="E5677" s="6" t="str">
        <f>_xll.QS.INSTRUMENT.SWAP("swap.5675",H5677,B5677,"USD","SOFR",I5677,J5677,0,"Actual360","Simple","Annual","Annual","Annual")</f>
        <v>QSObject:Swap:w1~swap.5675:9442</v>
      </c>
      <c r="F5677" s="6" t="str">
        <f>_xll.QS.TRADE.CREATE("trade.5675",E5677,A5677,"Receive")</f>
        <v>QSObject:SwapTrade:w1~trade.5675:26254</v>
      </c>
      <c r="G5677" s="3">
        <f>_xll.QS.EVALUATE(C5677,F5677)</f>
        <v>39572.410578314237</v>
      </c>
      <c r="H5677" s="5" t="s">
        <v>5718</v>
      </c>
      <c r="I5677" s="7">
        <v>1567500</v>
      </c>
      <c r="J5677" s="8">
        <v>3.7500000000000012E-2</v>
      </c>
    </row>
    <row r="5678" spans="1:10" x14ac:dyDescent="0.25">
      <c r="A5678" s="5" t="s">
        <v>5712</v>
      </c>
      <c r="B5678" s="5" t="s">
        <v>7545</v>
      </c>
      <c r="C5678" s="6" t="str">
        <f>_xll.QS.CONTEXT.CREATE("market.5676",A5678,"USD","SOFR")</f>
        <v>QSObject:PricingContext:w1~market.5676:9441</v>
      </c>
      <c r="D5678" s="6" t="str">
        <f>_xll.QS.CONTEXT.ADD.CURVE(C5678,"SOFR",$K$2:$K$7,$L$2:$L$7,,,"Actual360","LogLinear",TRUE)</f>
        <v>QSObject:ContextInput:w1~input.qs_context_add_curve.2359132437744.5677.3.0:34880</v>
      </c>
      <c r="E5678" s="6" t="str">
        <f>_xll.QS.INSTRUMENT.SWAP("swap.5676",H5678,B5678,"USD","SOFR",I5678,J5678,0,"Actual360","Simple","Annual","Annual","Annual")</f>
        <v>QSObject:Swap:w1~swap.5676:9440</v>
      </c>
      <c r="F5678" s="6" t="str">
        <f>_xll.QS.TRADE.CREATE("trade.5676",E5678,A5678,"Receive")</f>
        <v>QSObject:SwapTrade:w1~trade.5676:26253</v>
      </c>
      <c r="G5678" s="3">
        <f>_xll.QS.EVALUATE(C5678,F5678)</f>
        <v>40181.535361267619</v>
      </c>
      <c r="H5678" s="5" t="s">
        <v>5719</v>
      </c>
      <c r="I5678" s="7">
        <v>1567600</v>
      </c>
      <c r="J5678" s="8">
        <v>3.7600000000000001E-2</v>
      </c>
    </row>
    <row r="5679" spans="1:10" x14ac:dyDescent="0.25">
      <c r="A5679" s="5" t="s">
        <v>5713</v>
      </c>
      <c r="B5679" s="5" t="s">
        <v>7546</v>
      </c>
      <c r="C5679" s="6" t="str">
        <f>_xll.QS.CONTEXT.CREATE("market.5677",A5679,"USD","SOFR")</f>
        <v>QSObject:PricingContext:w1~market.5677:9439</v>
      </c>
      <c r="D5679" s="6" t="str">
        <f>_xll.QS.CONTEXT.ADD.CURVE(C5679,"SOFR",$K$2:$K$7,$L$2:$L$7,,,"Actual360","LogLinear",TRUE)</f>
        <v>QSObject:ContextInput:w1~input.qs_context_add_curve.2359132437744.5678.3.0:34879</v>
      </c>
      <c r="E5679" s="6" t="str">
        <f>_xll.QS.INSTRUMENT.SWAP("swap.5677",H5679,B5679,"USD","SOFR",I5679,J5679,0,"Actual360","Simple","Annual","Annual","Annual")</f>
        <v>QSObject:Swap:w1~swap.5677:9438</v>
      </c>
      <c r="F5679" s="6" t="str">
        <f>_xll.QS.TRADE.CREATE("trade.5677",E5679,A5679,"Receive")</f>
        <v>QSObject:SwapTrade:w1~trade.5677:26252</v>
      </c>
      <c r="G5679" s="3">
        <f>_xll.QS.EVALUATE(C5679,F5679)</f>
        <v>40973.295449515237</v>
      </c>
      <c r="H5679" s="5" t="s">
        <v>5720</v>
      </c>
      <c r="I5679" s="7">
        <v>1567700</v>
      </c>
      <c r="J5679" s="8">
        <v>3.7699999999999997E-2</v>
      </c>
    </row>
    <row r="5680" spans="1:10" x14ac:dyDescent="0.25">
      <c r="A5680" s="5" t="s">
        <v>5714</v>
      </c>
      <c r="B5680" s="5" t="s">
        <v>7547</v>
      </c>
      <c r="C5680" s="6" t="str">
        <f>_xll.QS.CONTEXT.CREATE("market.5678",A5680,"USD","SOFR")</f>
        <v>QSObject:PricingContext:w1~market.5678:9437</v>
      </c>
      <c r="D5680" s="6" t="str">
        <f>_xll.QS.CONTEXT.ADD.CURVE(C5680,"SOFR",$K$2:$K$7,$L$2:$L$7,,,"Actual360","LogLinear",TRUE)</f>
        <v>QSObject:ContextInput:w1~input.qs_context_add_curve.2359132437744.5679.3.0:34878</v>
      </c>
      <c r="E5680" s="6" t="str">
        <f>_xll.QS.INSTRUMENT.SWAP("swap.5678",H5680,B5680,"USD","SOFR",I5680,J5680,0,"Actual360","Simple","Annual","Annual","Annual")</f>
        <v>QSObject:Swap:w1~swap.5678:9436</v>
      </c>
      <c r="F5680" s="6" t="str">
        <f>_xll.QS.TRADE.CREATE("trade.5678",E5680,A5680,"Receive")</f>
        <v>QSObject:SwapTrade:w1~trade.5678:26251</v>
      </c>
      <c r="G5680" s="3">
        <f>_xll.QS.EVALUATE(C5680,F5680)</f>
        <v>41738.668361360869</v>
      </c>
      <c r="H5680" s="5" t="s">
        <v>5721</v>
      </c>
      <c r="I5680" s="7">
        <v>1567800</v>
      </c>
      <c r="J5680" s="8">
        <v>3.78E-2</v>
      </c>
    </row>
    <row r="5681" spans="1:10" x14ac:dyDescent="0.25">
      <c r="A5681" s="5" t="s">
        <v>5715</v>
      </c>
      <c r="B5681" s="5" t="s">
        <v>7548</v>
      </c>
      <c r="C5681" s="6" t="str">
        <f>_xll.QS.CONTEXT.CREATE("market.5679",A5681,"USD","SOFR")</f>
        <v>QSObject:PricingContext:w1~market.5679:9435</v>
      </c>
      <c r="D5681" s="6" t="str">
        <f>_xll.QS.CONTEXT.ADD.CURVE(C5681,"SOFR",$K$2:$K$7,$L$2:$L$7,,,"Actual360","LogLinear",TRUE)</f>
        <v>QSObject:ContextInput:w1~input.qs_context_add_curve.2359132437744.5680.3.0:34877</v>
      </c>
      <c r="E5681" s="6" t="str">
        <f>_xll.QS.INSTRUMENT.SWAP("swap.5679",H5681,B5681,"USD","SOFR",I5681,J5681,0,"Actual360","Simple","Annual","Annual","Annual")</f>
        <v>QSObject:Swap:w1~swap.5679:9434</v>
      </c>
      <c r="F5681" s="6" t="str">
        <f>_xll.QS.TRADE.CREATE("trade.5679",E5681,A5681,"Receive")</f>
        <v>QSObject:SwapTrade:w1~trade.5679:26250</v>
      </c>
      <c r="G5681" s="3">
        <f>_xll.QS.EVALUATE(C5681,F5681)</f>
        <v>42579.234673153027</v>
      </c>
      <c r="H5681" s="5" t="s">
        <v>5722</v>
      </c>
      <c r="I5681" s="7">
        <v>1567900</v>
      </c>
      <c r="J5681" s="8">
        <v>3.7900000000000003E-2</v>
      </c>
    </row>
    <row r="5682" spans="1:10" x14ac:dyDescent="0.25">
      <c r="A5682" s="5" t="s">
        <v>5716</v>
      </c>
      <c r="B5682" s="5" t="s">
        <v>7549</v>
      </c>
      <c r="C5682" s="6" t="str">
        <f>_xll.QS.CONTEXT.CREATE("market.5680",A5682,"USD","SOFR")</f>
        <v>QSObject:PricingContext:w1~market.5680:9433</v>
      </c>
      <c r="D5682" s="6" t="str">
        <f>_xll.QS.CONTEXT.ADD.CURVE(C5682,"SOFR",$K$2:$K$7,$L$2:$L$7,,,"Actual360","LogLinear",TRUE)</f>
        <v>QSObject:ContextInput:w1~input.qs_context_add_curve.2359132437744.5681.3.0:34876</v>
      </c>
      <c r="E5682" s="6" t="str">
        <f>_xll.QS.INSTRUMENT.SWAP("swap.5680",H5682,B5682,"USD","SOFR",I5682,J5682,0,"Actual360","Simple","Annual","Annual","Annual")</f>
        <v>QSObject:Swap:w1~swap.5680:9432</v>
      </c>
      <c r="F5682" s="6" t="str">
        <f>_xll.QS.TRADE.CREATE("trade.5680",E5682,A5682,"Receive")</f>
        <v>QSObject:SwapTrade:w1~trade.5680:26249</v>
      </c>
      <c r="G5682" s="3">
        <f>_xll.QS.EVALUATE(C5682,F5682)</f>
        <v>43373.557116709489</v>
      </c>
      <c r="H5682" s="5" t="s">
        <v>5723</v>
      </c>
      <c r="I5682" s="7">
        <v>1568000</v>
      </c>
      <c r="J5682" s="8">
        <v>3.8000000000000013E-2</v>
      </c>
    </row>
    <row r="5683" spans="1:10" x14ac:dyDescent="0.25">
      <c r="A5683" s="5" t="s">
        <v>5717</v>
      </c>
      <c r="B5683" s="5" t="s">
        <v>7550</v>
      </c>
      <c r="C5683" s="6" t="str">
        <f>_xll.QS.CONTEXT.CREATE("market.5681",A5683,"USD","SOFR")</f>
        <v>QSObject:PricingContext:w1~market.5681:9431</v>
      </c>
      <c r="D5683" s="6" t="str">
        <f>_xll.QS.CONTEXT.ADD.CURVE(C5683,"SOFR",$K$2:$K$7,$L$2:$L$7,,,"Actual360","LogLinear",TRUE)</f>
        <v>QSObject:ContextInput:w1~input.qs_context_add_curve.2359132437744.5682.3.0:34875</v>
      </c>
      <c r="E5683" s="6" t="str">
        <f>_xll.QS.INSTRUMENT.SWAP("swap.5681",H5683,B5683,"USD","SOFR",I5683,J5683,0,"Actual360","Simple","Annual","Annual","Annual")</f>
        <v>QSObject:Swap:w1~swap.5681:9430</v>
      </c>
      <c r="F5683" s="6" t="str">
        <f>_xll.QS.TRADE.CREATE("trade.5681",E5683,A5683,"Receive")</f>
        <v>QSObject:SwapTrade:w1~trade.5681:26248</v>
      </c>
      <c r="G5683" s="3">
        <f>_xll.QS.EVALUATE(C5683,F5683)</f>
        <v>44039.084600411974</v>
      </c>
      <c r="H5683" s="5" t="s">
        <v>5724</v>
      </c>
      <c r="I5683" s="7">
        <v>1568100</v>
      </c>
      <c r="J5683" s="8">
        <v>3.8100000000000002E-2</v>
      </c>
    </row>
    <row r="5684" spans="1:10" x14ac:dyDescent="0.25">
      <c r="A5684" s="5" t="s">
        <v>5718</v>
      </c>
      <c r="B5684" s="5" t="s">
        <v>7551</v>
      </c>
      <c r="C5684" s="6" t="str">
        <f>_xll.QS.CONTEXT.CREATE("market.5682",A5684,"USD","SOFR")</f>
        <v>QSObject:PricingContext:w1~market.5682:9429</v>
      </c>
      <c r="D5684" s="6" t="str">
        <f>_xll.QS.CONTEXT.ADD.CURVE(C5684,"SOFR",$K$2:$K$7,$L$2:$L$7,,,"Actual360","LogLinear",TRUE)</f>
        <v>QSObject:ContextInput:w1~input.qs_context_add_curve.2359132437744.5683.3.0:34874</v>
      </c>
      <c r="E5684" s="6" t="str">
        <f>_xll.QS.INSTRUMENT.SWAP("swap.5682",H5684,B5684,"USD","SOFR",I5684,J5684,0,"Actual360","Simple","Annual","Annual","Annual")</f>
        <v>QSObject:Swap:w1~swap.5682:9428</v>
      </c>
      <c r="F5684" s="6" t="str">
        <f>_xll.QS.TRADE.CREATE("trade.5682",E5684,A5684,"Receive")</f>
        <v>QSObject:SwapTrade:w1~trade.5682:26247</v>
      </c>
      <c r="G5684" s="3">
        <f>_xll.QS.EVALUATE(C5684,F5684)</f>
        <v>44731.262978044615</v>
      </c>
      <c r="H5684" s="5" t="s">
        <v>5725</v>
      </c>
      <c r="I5684" s="7">
        <v>1568200</v>
      </c>
      <c r="J5684" s="8">
        <v>3.8199999999999998E-2</v>
      </c>
    </row>
    <row r="5685" spans="1:10" x14ac:dyDescent="0.25">
      <c r="A5685" s="5" t="s">
        <v>5719</v>
      </c>
      <c r="B5685" s="5" t="s">
        <v>7552</v>
      </c>
      <c r="C5685" s="6" t="str">
        <f>_xll.QS.CONTEXT.CREATE("market.5683",A5685,"USD","SOFR")</f>
        <v>QSObject:PricingContext:w1~market.5683:9427</v>
      </c>
      <c r="D5685" s="6" t="str">
        <f>_xll.QS.CONTEXT.ADD.CURVE(C5685,"SOFR",$K$2:$K$7,$L$2:$L$7,,,"Actual360","LogLinear",TRUE)</f>
        <v>QSObject:ContextInput:w1~input.qs_context_add_curve.2359132437744.5684.3.0:34873</v>
      </c>
      <c r="E5685" s="6" t="str">
        <f>_xll.QS.INSTRUMENT.SWAP("swap.5683",H5685,B5685,"USD","SOFR",I5685,J5685,0,"Actual360","Simple","Annual","Annual","Annual")</f>
        <v>QSObject:Swap:w1~swap.5683:9426</v>
      </c>
      <c r="F5685" s="6" t="str">
        <f>_xll.QS.TRADE.CREATE("trade.5683",E5685,A5685,"Receive")</f>
        <v>QSObject:SwapTrade:w1~trade.5683:26246</v>
      </c>
      <c r="G5685" s="3">
        <f>_xll.QS.EVALUATE(C5685,F5685)</f>
        <v>45461.371924471146</v>
      </c>
      <c r="H5685" s="5" t="s">
        <v>5726</v>
      </c>
      <c r="I5685" s="7">
        <v>1568300</v>
      </c>
      <c r="J5685" s="8">
        <v>3.8300000000000001E-2</v>
      </c>
    </row>
    <row r="5686" spans="1:10" x14ac:dyDescent="0.25">
      <c r="A5686" s="5" t="s">
        <v>5720</v>
      </c>
      <c r="B5686" s="5" t="s">
        <v>7553</v>
      </c>
      <c r="C5686" s="6" t="str">
        <f>_xll.QS.CONTEXT.CREATE("market.5684",A5686,"USD","SOFR")</f>
        <v>QSObject:PricingContext:w1~market.5684:9425</v>
      </c>
      <c r="D5686" s="6" t="str">
        <f>_xll.QS.CONTEXT.ADD.CURVE(C5686,"SOFR",$K$2:$K$7,$L$2:$L$7,,,"Actual360","LogLinear",TRUE)</f>
        <v>QSObject:ContextInput:w1~input.qs_context_add_curve.2359132437744.5685.3.0:34872</v>
      </c>
      <c r="E5686" s="6" t="str">
        <f>_xll.QS.INSTRUMENT.SWAP("swap.5684",H5686,B5686,"USD","SOFR",I5686,J5686,0,"Actual360","Simple","Annual","Annual","Annual")</f>
        <v>QSObject:Swap:w1~swap.5684:9424</v>
      </c>
      <c r="F5686" s="6" t="str">
        <f>_xll.QS.TRADE.CREATE("trade.5684",E5686,A5686,"Receive")</f>
        <v>QSObject:SwapTrade:w1~trade.5684:26245</v>
      </c>
      <c r="G5686" s="3">
        <f>_xll.QS.EVALUATE(C5686,F5686)</f>
        <v>46056.722173463488</v>
      </c>
      <c r="H5686" s="5" t="s">
        <v>5727</v>
      </c>
      <c r="I5686" s="7">
        <v>1568400</v>
      </c>
      <c r="J5686" s="8">
        <v>3.8399999999999997E-2</v>
      </c>
    </row>
    <row r="5687" spans="1:10" x14ac:dyDescent="0.25">
      <c r="A5687" s="5" t="s">
        <v>5721</v>
      </c>
      <c r="B5687" s="5" t="s">
        <v>7554</v>
      </c>
      <c r="C5687" s="6" t="str">
        <f>_xll.QS.CONTEXT.CREATE("market.5685",A5687,"USD","SOFR")</f>
        <v>QSObject:PricingContext:w1~market.5685:9423</v>
      </c>
      <c r="D5687" s="6" t="str">
        <f>_xll.QS.CONTEXT.ADD.CURVE(C5687,"SOFR",$K$2:$K$7,$L$2:$L$7,,,"Actual360","LogLinear",TRUE)</f>
        <v>QSObject:ContextInput:w1~input.qs_context_add_curve.2359132437744.5686.3.0:34871</v>
      </c>
      <c r="E5687" s="6" t="str">
        <f>_xll.QS.INSTRUMENT.SWAP("swap.5685",H5687,B5687,"USD","SOFR",I5687,J5687,0,"Actual360","Simple","Annual","Annual","Annual")</f>
        <v>QSObject:Swap:w1~swap.5685:9422</v>
      </c>
      <c r="F5687" s="6" t="str">
        <f>_xll.QS.TRADE.CREATE("trade.5685",E5687,A5687,"Receive")</f>
        <v>QSObject:SwapTrade:w1~trade.5685:26244</v>
      </c>
      <c r="G5687" s="3">
        <f>_xll.QS.EVALUATE(C5687,F5687)</f>
        <v>46820.298478786382</v>
      </c>
      <c r="H5687" s="5" t="s">
        <v>5728</v>
      </c>
      <c r="I5687" s="7">
        <v>1568500</v>
      </c>
      <c r="J5687" s="8">
        <v>3.8500000000000013E-2</v>
      </c>
    </row>
    <row r="5688" spans="1:10" x14ac:dyDescent="0.25">
      <c r="A5688" s="5" t="s">
        <v>5722</v>
      </c>
      <c r="B5688" s="5" t="s">
        <v>7555</v>
      </c>
      <c r="C5688" s="6" t="str">
        <f>_xll.QS.CONTEXT.CREATE("market.5686",A5688,"USD","SOFR")</f>
        <v>QSObject:PricingContext:w1~market.5686:9421</v>
      </c>
      <c r="D5688" s="6" t="str">
        <f>_xll.QS.CONTEXT.ADD.CURVE(C5688,"SOFR",$K$2:$K$7,$L$2:$L$7,,,"Actual360","LogLinear",TRUE)</f>
        <v>QSObject:ContextInput:w1~input.qs_context_add_curve.2359132437744.5687.3.0:34870</v>
      </c>
      <c r="E5688" s="6" t="str">
        <f>_xll.QS.INSTRUMENT.SWAP("swap.5686",H5688,B5688,"USD","SOFR",I5688,J5688,0,"Actual360","Simple","Annual","Annual","Annual")</f>
        <v>QSObject:Swap:w1~swap.5686:9420</v>
      </c>
      <c r="F5688" s="6" t="str">
        <f>_xll.QS.TRADE.CREATE("trade.5686",E5688,A5688,"Receive")</f>
        <v>QSObject:SwapTrade:w1~trade.5686:26243</v>
      </c>
      <c r="G5688" s="3">
        <f>_xll.QS.EVALUATE(C5688,F5688)</f>
        <v>47721.849104989495</v>
      </c>
      <c r="H5688" s="5" t="s">
        <v>5729</v>
      </c>
      <c r="I5688" s="7">
        <v>1568600</v>
      </c>
      <c r="J5688" s="8">
        <v>3.8600000000000002E-2</v>
      </c>
    </row>
    <row r="5689" spans="1:10" x14ac:dyDescent="0.25">
      <c r="A5689" s="5" t="s">
        <v>5723</v>
      </c>
      <c r="B5689" s="5" t="s">
        <v>7556</v>
      </c>
      <c r="C5689" s="6" t="str">
        <f>_xll.QS.CONTEXT.CREATE("market.5687",A5689,"USD","SOFR")</f>
        <v>QSObject:PricingContext:w1~market.5687:9419</v>
      </c>
      <c r="D5689" s="6" t="str">
        <f>_xll.QS.CONTEXT.ADD.CURVE(C5689,"SOFR",$K$2:$K$7,$L$2:$L$7,,,"Actual360","LogLinear",TRUE)</f>
        <v>QSObject:ContextInput:w1~input.qs_context_add_curve.2359132437744.5688.3.0:34869</v>
      </c>
      <c r="E5689" s="6" t="str">
        <f>_xll.QS.INSTRUMENT.SWAP("swap.5687",H5689,B5689,"USD","SOFR",I5689,J5689,0,"Actual360","Simple","Annual","Annual","Annual")</f>
        <v>QSObject:Swap:w1~swap.5687:9418</v>
      </c>
      <c r="F5689" s="6" t="str">
        <f>_xll.QS.TRADE.CREATE("trade.5687",E5689,A5689,"Receive")</f>
        <v>QSObject:SwapTrade:w1~trade.5687:26242</v>
      </c>
      <c r="G5689" s="3">
        <f>_xll.QS.EVALUATE(C5689,F5689)</f>
        <v>48456.698559263932</v>
      </c>
      <c r="H5689" s="5" t="s">
        <v>5730</v>
      </c>
      <c r="I5689" s="7">
        <v>1568700</v>
      </c>
      <c r="J5689" s="8">
        <v>3.8700000000000012E-2</v>
      </c>
    </row>
    <row r="5690" spans="1:10" x14ac:dyDescent="0.25">
      <c r="A5690" s="5" t="s">
        <v>5724</v>
      </c>
      <c r="B5690" s="5" t="s">
        <v>7557</v>
      </c>
      <c r="C5690" s="6" t="str">
        <f>_xll.QS.CONTEXT.CREATE("market.5688",A5690,"USD","SOFR")</f>
        <v>QSObject:PricingContext:w1~market.5688:9417</v>
      </c>
      <c r="D5690" s="6" t="str">
        <f>_xll.QS.CONTEXT.ADD.CURVE(C5690,"SOFR",$K$2:$K$7,$L$2:$L$7,,,"Actual360","LogLinear",TRUE)</f>
        <v>QSObject:ContextInput:w1~input.qs_context_add_curve.2359132437744.5689.3.0:34868</v>
      </c>
      <c r="E5690" s="6" t="str">
        <f>_xll.QS.INSTRUMENT.SWAP("swap.5688",H5690,B5690,"USD","SOFR",I5690,J5690,0,"Actual360","Simple","Annual","Annual","Annual")</f>
        <v>QSObject:Swap:w1~swap.5688:9416</v>
      </c>
      <c r="F5690" s="6" t="str">
        <f>_xll.QS.TRADE.CREATE("trade.5688",E5690,A5690,"Receive")</f>
        <v>QSObject:SwapTrade:w1~trade.5688:26241</v>
      </c>
      <c r="G5690" s="3">
        <f>_xll.QS.EVALUATE(C5690,F5690)</f>
        <v>49122.789068657577</v>
      </c>
      <c r="H5690" s="5" t="s">
        <v>5731</v>
      </c>
      <c r="I5690" s="7">
        <v>1568800</v>
      </c>
      <c r="J5690" s="8">
        <v>3.8800000000000001E-2</v>
      </c>
    </row>
    <row r="5691" spans="1:10" x14ac:dyDescent="0.25">
      <c r="A5691" s="5" t="s">
        <v>5725</v>
      </c>
      <c r="B5691" s="5" t="s">
        <v>7558</v>
      </c>
      <c r="C5691" s="6" t="str">
        <f>_xll.QS.CONTEXT.CREATE("market.5689",A5691,"USD","SOFR")</f>
        <v>QSObject:PricingContext:w1~market.5689:9415</v>
      </c>
      <c r="D5691" s="6" t="str">
        <f>_xll.QS.CONTEXT.ADD.CURVE(C5691,"SOFR",$K$2:$K$7,$L$2:$L$7,,,"Actual360","LogLinear",TRUE)</f>
        <v>QSObject:ContextInput:w1~input.qs_context_add_curve.2359132437744.5690.3.0:34867</v>
      </c>
      <c r="E5691" s="6" t="str">
        <f>_xll.QS.INSTRUMENT.SWAP("swap.5689",H5691,B5691,"USD","SOFR",I5691,J5691,0,"Actual360","Simple","Annual","Annual","Annual")</f>
        <v>QSObject:Swap:w1~swap.5689:9414</v>
      </c>
      <c r="F5691" s="6" t="str">
        <f>_xll.QS.TRADE.CREATE("trade.5689",E5691,A5691,"Receive")</f>
        <v>QSObject:SwapTrade:w1~trade.5689:26240</v>
      </c>
      <c r="G5691" s="3">
        <f>_xll.QS.EVALUATE(C5691,F5691)</f>
        <v>49724.562627852029</v>
      </c>
      <c r="H5691" s="5" t="s">
        <v>5732</v>
      </c>
      <c r="I5691" s="7">
        <v>1568900</v>
      </c>
      <c r="J5691" s="8">
        <v>3.8899999999999997E-2</v>
      </c>
    </row>
    <row r="5692" spans="1:10" x14ac:dyDescent="0.25">
      <c r="A5692" s="5" t="s">
        <v>5726</v>
      </c>
      <c r="B5692" s="5" t="s">
        <v>7559</v>
      </c>
      <c r="C5692" s="6" t="str">
        <f>_xll.QS.CONTEXT.CREATE("market.5690",A5692,"USD","SOFR")</f>
        <v>QSObject:PricingContext:w1~market.5690:9413</v>
      </c>
      <c r="D5692" s="6" t="str">
        <f>_xll.QS.CONTEXT.ADD.CURVE(C5692,"SOFR",$K$2:$K$7,$L$2:$L$7,,,"Actual360","LogLinear",TRUE)</f>
        <v>QSObject:ContextInput:w1~input.qs_context_add_curve.2359132437744.5691.3.0:34866</v>
      </c>
      <c r="E5692" s="6" t="str">
        <f>_xll.QS.INSTRUMENT.SWAP("swap.5690",H5692,B5692,"USD","SOFR",I5692,J5692,0,"Actual360","Simple","Annual","Annual","Annual")</f>
        <v>QSObject:Swap:w1~swap.5690:9412</v>
      </c>
      <c r="F5692" s="6" t="str">
        <f>_xll.QS.TRADE.CREATE("trade.5690",E5692,A5692,"Receive")</f>
        <v>QSObject:SwapTrade:w1~trade.5690:26239</v>
      </c>
      <c r="G5692" s="3">
        <f>_xll.QS.EVALUATE(C5692,F5692)</f>
        <v>50350.577853007788</v>
      </c>
      <c r="H5692" s="5" t="s">
        <v>5733</v>
      </c>
      <c r="I5692" s="7">
        <v>1569000</v>
      </c>
      <c r="J5692" s="8">
        <v>3.9000000000000007E-2</v>
      </c>
    </row>
    <row r="5693" spans="1:10" x14ac:dyDescent="0.25">
      <c r="A5693" s="5" t="s">
        <v>5727</v>
      </c>
      <c r="B5693" s="5" t="s">
        <v>7560</v>
      </c>
      <c r="C5693" s="6" t="str">
        <f>_xll.QS.CONTEXT.CREATE("market.5691",A5693,"USD","SOFR")</f>
        <v>QSObject:PricingContext:w1~market.5691:9411</v>
      </c>
      <c r="D5693" s="6" t="str">
        <f>_xll.QS.CONTEXT.ADD.CURVE(C5693,"SOFR",$K$2:$K$7,$L$2:$L$7,,,"Actual360","LogLinear",TRUE)</f>
        <v>QSObject:ContextInput:w1~input.qs_context_add_curve.2359132437744.5692.3.0:34865</v>
      </c>
      <c r="E5693" s="6" t="str">
        <f>_xll.QS.INSTRUMENT.SWAP("swap.5691",H5693,B5693,"USD","SOFR",I5693,J5693,0,"Actual360","Simple","Annual","Annual","Annual")</f>
        <v>QSObject:Swap:w1~swap.5691:9410</v>
      </c>
      <c r="F5693" s="6" t="str">
        <f>_xll.QS.TRADE.CREATE("trade.5691",E5693,A5693,"Receive")</f>
        <v>QSObject:SwapTrade:w1~trade.5691:26238</v>
      </c>
      <c r="G5693" s="3">
        <f>_xll.QS.EVALUATE(C5693,F5693)</f>
        <v>51144.670182927759</v>
      </c>
      <c r="H5693" s="5" t="s">
        <v>5734</v>
      </c>
      <c r="I5693" s="7">
        <v>1569100</v>
      </c>
      <c r="J5693" s="8">
        <v>3.9100000000000003E-2</v>
      </c>
    </row>
    <row r="5694" spans="1:10" x14ac:dyDescent="0.25">
      <c r="A5694" s="5" t="s">
        <v>5728</v>
      </c>
      <c r="B5694" s="5" t="s">
        <v>7561</v>
      </c>
      <c r="C5694" s="6" t="str">
        <f>_xll.QS.CONTEXT.CREATE("market.5692",A5694,"USD","SOFR")</f>
        <v>QSObject:PricingContext:w1~market.5692:9409</v>
      </c>
      <c r="D5694" s="6" t="str">
        <f>_xll.QS.CONTEXT.ADD.CURVE(C5694,"SOFR",$K$2:$K$7,$L$2:$L$7,,,"Actual360","LogLinear",TRUE)</f>
        <v>QSObject:ContextInput:w1~input.qs_context_add_curve.2359132437744.5693.3.0:34864</v>
      </c>
      <c r="E5694" s="6" t="str">
        <f>_xll.QS.INSTRUMENT.SWAP("swap.5692",H5694,B5694,"USD","SOFR",I5694,J5694,0,"Actual360","Simple","Annual","Annual","Annual")</f>
        <v>QSObject:Swap:w1~swap.5692:9408</v>
      </c>
      <c r="F5694" s="6" t="str">
        <f>_xll.QS.TRADE.CREATE("trade.5692",E5694,A5694,"Receive")</f>
        <v>QSObject:SwapTrade:w1~trade.5692:26237</v>
      </c>
      <c r="G5694" s="3">
        <f>_xll.QS.EVALUATE(C5694,F5694)</f>
        <v>51906.44768589583</v>
      </c>
      <c r="H5694" s="5" t="s">
        <v>5735</v>
      </c>
      <c r="I5694" s="7">
        <v>1569200</v>
      </c>
      <c r="J5694" s="8">
        <v>3.9200000000000013E-2</v>
      </c>
    </row>
    <row r="5695" spans="1:10" x14ac:dyDescent="0.25">
      <c r="A5695" s="5" t="s">
        <v>5729</v>
      </c>
      <c r="B5695" s="5" t="s">
        <v>7562</v>
      </c>
      <c r="C5695" s="6" t="str">
        <f>_xll.QS.CONTEXT.CREATE("market.5693",A5695,"USD","SOFR")</f>
        <v>QSObject:PricingContext:w1~market.5693:9407</v>
      </c>
      <c r="D5695" s="6" t="str">
        <f>_xll.QS.CONTEXT.ADD.CURVE(C5695,"SOFR",$K$2:$K$7,$L$2:$L$7,,,"Actual360","LogLinear",TRUE)</f>
        <v>QSObject:ContextInput:w1~input.qs_context_add_curve.2359132437744.5694.3.0:34863</v>
      </c>
      <c r="E5695" s="6" t="str">
        <f>_xll.QS.INSTRUMENT.SWAP("swap.5693",H5695,B5695,"USD","SOFR",I5695,J5695,0,"Actual360","Simple","Annual","Annual","Annual")</f>
        <v>QSObject:Swap:w1~swap.5693:9406</v>
      </c>
      <c r="F5695" s="6" t="str">
        <f>_xll.QS.TRADE.CREATE("trade.5693",E5695,A5695,"Receive")</f>
        <v>QSObject:SwapTrade:w1~trade.5693:26236</v>
      </c>
      <c r="G5695" s="3">
        <f>_xll.QS.EVALUATE(C5695,F5695)</f>
        <v>52748.568082005746</v>
      </c>
      <c r="H5695" s="5" t="s">
        <v>5736</v>
      </c>
      <c r="I5695" s="7">
        <v>1569300</v>
      </c>
      <c r="J5695" s="8">
        <v>3.9300000000000002E-2</v>
      </c>
    </row>
    <row r="5696" spans="1:10" x14ac:dyDescent="0.25">
      <c r="A5696" s="5" t="s">
        <v>5730</v>
      </c>
      <c r="B5696" s="5" t="s">
        <v>7563</v>
      </c>
      <c r="C5696" s="6" t="str">
        <f>_xll.QS.CONTEXT.CREATE("market.5694",A5696,"USD","SOFR")</f>
        <v>QSObject:PricingContext:w1~market.5694:9405</v>
      </c>
      <c r="D5696" s="6" t="str">
        <f>_xll.QS.CONTEXT.ADD.CURVE(C5696,"SOFR",$K$2:$K$7,$L$2:$L$7,,,"Actual360","LogLinear",TRUE)</f>
        <v>QSObject:ContextInput:w1~input.qs_context_add_curve.2359132437744.5695.3.0:34862</v>
      </c>
      <c r="E5696" s="6" t="str">
        <f>_xll.QS.INSTRUMENT.SWAP("swap.5694",H5696,B5696,"USD","SOFR",I5696,J5696,0,"Actual360","Simple","Annual","Annual","Annual")</f>
        <v>QSObject:Swap:w1~swap.5694:9404</v>
      </c>
      <c r="F5696" s="6" t="str">
        <f>_xll.QS.TRADE.CREATE("trade.5694",E5696,A5696,"Receive")</f>
        <v>QSObject:SwapTrade:w1~trade.5694:26235</v>
      </c>
      <c r="G5696" s="3">
        <f>_xll.QS.EVALUATE(C5696,F5696)</f>
        <v>53544.359214890428</v>
      </c>
      <c r="H5696" s="5" t="s">
        <v>5737</v>
      </c>
      <c r="I5696" s="7">
        <v>1569400</v>
      </c>
      <c r="J5696" s="8">
        <v>3.9399999999999998E-2</v>
      </c>
    </row>
    <row r="5697" spans="1:10" x14ac:dyDescent="0.25">
      <c r="A5697" s="5" t="s">
        <v>5731</v>
      </c>
      <c r="B5697" s="5" t="s">
        <v>7564</v>
      </c>
      <c r="C5697" s="6" t="str">
        <f>_xll.QS.CONTEXT.CREATE("market.5695",A5697,"USD","SOFR")</f>
        <v>QSObject:PricingContext:w1~market.5695:9403</v>
      </c>
      <c r="D5697" s="6" t="str">
        <f>_xll.QS.CONTEXT.ADD.CURVE(C5697,"SOFR",$K$2:$K$7,$L$2:$L$7,,,"Actual360","LogLinear",TRUE)</f>
        <v>QSObject:ContextInput:w1~input.qs_context_add_curve.2359132437744.5696.3.0:34861</v>
      </c>
      <c r="E5697" s="6" t="str">
        <f>_xll.QS.INSTRUMENT.SWAP("swap.5695",H5697,B5697,"USD","SOFR",I5697,J5697,0,"Actual360","Simple","Annual","Annual","Annual")</f>
        <v>QSObject:Swap:w1~swap.5695:9402</v>
      </c>
      <c r="F5697" s="6" t="str">
        <f>_xll.QS.TRADE.CREATE("trade.5695",E5697,A5697,"Receive")</f>
        <v>QSObject:SwapTrade:w1~trade.5695:26234</v>
      </c>
      <c r="G5697" s="3">
        <f>_xll.QS.EVALUATE(C5697,F5697)</f>
        <v>54211.012700329615</v>
      </c>
      <c r="H5697" s="5" t="s">
        <v>5738</v>
      </c>
      <c r="I5697" s="7">
        <v>1569500</v>
      </c>
      <c r="J5697" s="8">
        <v>3.9500000000000007E-2</v>
      </c>
    </row>
    <row r="5698" spans="1:10" x14ac:dyDescent="0.25">
      <c r="A5698" s="5" t="s">
        <v>5732</v>
      </c>
      <c r="B5698" s="5" t="s">
        <v>7565</v>
      </c>
      <c r="C5698" s="6" t="str">
        <f>_xll.QS.CONTEXT.CREATE("market.5696",A5698,"USD","SOFR")</f>
        <v>QSObject:PricingContext:w1~market.5696:9401</v>
      </c>
      <c r="D5698" s="6" t="str">
        <f>_xll.QS.CONTEXT.ADD.CURVE(C5698,"SOFR",$K$2:$K$7,$L$2:$L$7,,,"Actual360","LogLinear",TRUE)</f>
        <v>QSObject:ContextInput:w1~input.qs_context_add_curve.2359132437744.5697.3.0:34860</v>
      </c>
      <c r="E5698" s="6" t="str">
        <f>_xll.QS.INSTRUMENT.SWAP("swap.5696",H5698,B5698,"USD","SOFR",I5698,J5698,0,"Actual360","Simple","Annual","Annual","Annual")</f>
        <v>QSObject:Swap:w1~swap.5696:9400</v>
      </c>
      <c r="F5698" s="6" t="str">
        <f>_xll.QS.TRADE.CREATE("trade.5696",E5698,A5698,"Receive")</f>
        <v>QSObject:SwapTrade:w1~trade.5696:26233</v>
      </c>
      <c r="G5698" s="3">
        <f>_xll.QS.EVALUATE(C5698,F5698)</f>
        <v>54807.409414736707</v>
      </c>
      <c r="H5698" s="5" t="s">
        <v>5739</v>
      </c>
      <c r="I5698" s="7">
        <v>1569600</v>
      </c>
      <c r="J5698" s="8">
        <v>3.9600000000000003E-2</v>
      </c>
    </row>
    <row r="5699" spans="1:10" x14ac:dyDescent="0.25">
      <c r="A5699" s="5" t="s">
        <v>5733</v>
      </c>
      <c r="B5699" s="5" t="s">
        <v>7566</v>
      </c>
      <c r="C5699" s="6" t="str">
        <f>_xll.QS.CONTEXT.CREATE("market.5697",A5699,"USD","SOFR")</f>
        <v>QSObject:PricingContext:w1~market.5697:9399</v>
      </c>
      <c r="D5699" s="6" t="str">
        <f>_xll.QS.CONTEXT.ADD.CURVE(C5699,"SOFR",$K$2:$K$7,$L$2:$L$7,,,"Actual360","LogLinear",TRUE)</f>
        <v>QSObject:ContextInput:w1~input.qs_context_add_curve.2359132437744.5698.3.0:34859</v>
      </c>
      <c r="E5699" s="6" t="str">
        <f>_xll.QS.INSTRUMENT.SWAP("swap.5697",H5699,B5699,"USD","SOFR",I5699,J5699,0,"Actual360","Simple","Annual","Annual","Annual")</f>
        <v>QSObject:Swap:w1~swap.5697:9398</v>
      </c>
      <c r="F5699" s="6" t="str">
        <f>_xll.QS.TRADE.CREATE("trade.5697",E5699,A5699,"Receive")</f>
        <v>QSObject:SwapTrade:w1~trade.5697:26232</v>
      </c>
      <c r="G5699" s="3">
        <f>_xll.QS.EVALUATE(C5699,F5699)</f>
        <v>55441.880370270286</v>
      </c>
      <c r="H5699" s="5" t="s">
        <v>5740</v>
      </c>
      <c r="I5699" s="7">
        <v>1569700</v>
      </c>
      <c r="J5699" s="8">
        <v>3.9700000000000013E-2</v>
      </c>
    </row>
    <row r="5700" spans="1:10" x14ac:dyDescent="0.25">
      <c r="A5700" s="5" t="s">
        <v>5734</v>
      </c>
      <c r="B5700" s="5" t="s">
        <v>7567</v>
      </c>
      <c r="C5700" s="6" t="str">
        <f>_xll.QS.CONTEXT.CREATE("market.5698",A5700,"USD","SOFR")</f>
        <v>QSObject:PricingContext:w1~market.5698:9397</v>
      </c>
      <c r="D5700" s="6" t="str">
        <f>_xll.QS.CONTEXT.ADD.CURVE(C5700,"SOFR",$K$2:$K$7,$L$2:$L$7,,,"Actual360","LogLinear",TRUE)</f>
        <v>QSObject:ContextInput:w1~input.qs_context_add_curve.2359132437744.5699.3.0:34858</v>
      </c>
      <c r="E5700" s="6" t="str">
        <f>_xll.QS.INSTRUMENT.SWAP("swap.5698",H5700,B5700,"USD","SOFR",I5700,J5700,0,"Actual360","Simple","Annual","Annual","Annual")</f>
        <v>QSObject:Swap:w1~swap.5698:9396</v>
      </c>
      <c r="F5700" s="6" t="str">
        <f>_xll.QS.TRADE.CREATE("trade.5698",E5700,A5700,"Receive")</f>
        <v>QSObject:SwapTrade:w1~trade.5698:26231</v>
      </c>
      <c r="G5700" s="3">
        <f>_xll.QS.EVALUATE(C5700,F5700)</f>
        <v>56237.139477908226</v>
      </c>
      <c r="H5700" s="5" t="s">
        <v>5741</v>
      </c>
      <c r="I5700" s="7">
        <v>1569800</v>
      </c>
      <c r="J5700" s="8">
        <v>3.9800000000000002E-2</v>
      </c>
    </row>
    <row r="5701" spans="1:10" x14ac:dyDescent="0.25">
      <c r="A5701" s="5" t="s">
        <v>5735</v>
      </c>
      <c r="B5701" s="5" t="s">
        <v>7568</v>
      </c>
      <c r="C5701" s="6" t="str">
        <f>_xll.QS.CONTEXT.CREATE("market.5699",A5701,"USD","SOFR")</f>
        <v>QSObject:PricingContext:w1~market.5699:9395</v>
      </c>
      <c r="D5701" s="6" t="str">
        <f>_xll.QS.CONTEXT.ADD.CURVE(C5701,"SOFR",$K$2:$K$7,$L$2:$L$7,,,"Actual360","LogLinear",TRUE)</f>
        <v>QSObject:ContextInput:w1~input.qs_context_add_curve.2359132437744.5700.3.0:34857</v>
      </c>
      <c r="E5701" s="6" t="str">
        <f>_xll.QS.INSTRUMENT.SWAP("swap.5699",H5701,B5701,"USD","SOFR",I5701,J5701,0,"Actual360","Simple","Annual","Annual","Annual")</f>
        <v>QSObject:Swap:w1~swap.5699:9394</v>
      </c>
      <c r="F5701" s="6" t="str">
        <f>_xll.QS.TRADE.CREATE("trade.5699",E5701,A5701,"Receive")</f>
        <v>QSObject:SwapTrade:w1~trade.5699:26230</v>
      </c>
      <c r="G5701" s="3">
        <f>_xll.QS.EVALUATE(C5701,F5701)</f>
        <v>56997.115982688701</v>
      </c>
      <c r="H5701" s="5" t="s">
        <v>5742</v>
      </c>
      <c r="I5701" s="7">
        <v>1569900</v>
      </c>
      <c r="J5701" s="8">
        <v>3.9899999999999998E-2</v>
      </c>
    </row>
    <row r="5702" spans="1:10" x14ac:dyDescent="0.25">
      <c r="A5702" s="5" t="s">
        <v>5736</v>
      </c>
      <c r="B5702" s="5" t="s">
        <v>7569</v>
      </c>
      <c r="C5702" s="6" t="str">
        <f>_xll.QS.CONTEXT.CREATE("market.5700",A5702,"USD","SOFR")</f>
        <v>QSObject:PricingContext:w1~market.5700:9393</v>
      </c>
      <c r="D5702" s="6" t="str">
        <f>_xll.QS.CONTEXT.ADD.CURVE(C5702,"SOFR",$K$2:$K$7,$L$2:$L$7,,,"Actual360","LogLinear",TRUE)</f>
        <v>QSObject:ContextInput:w1~input.qs_context_add_curve.2359132437744.5701.3.0:34856</v>
      </c>
      <c r="E5702" s="6" t="str">
        <f>_xll.QS.INSTRUMENT.SWAP("swap.5700",H5702,B5702,"USD","SOFR",I5702,J5702,0,"Actual360","Simple","Annual","Annual","Annual")</f>
        <v>QSObject:Swap:w1~swap.5700:9392</v>
      </c>
      <c r="F5702" s="6" t="str">
        <f>_xll.QS.TRADE.CREATE("trade.5700",E5702,A5702,"Receive")</f>
        <v>QSObject:SwapTrade:w1~trade.5700:26229</v>
      </c>
      <c r="G5702" s="3">
        <f>_xll.QS.EVALUATE(C5702,F5702)</f>
        <v>21640.610058529761</v>
      </c>
      <c r="H5702" s="5" t="s">
        <v>5743</v>
      </c>
      <c r="I5702" s="7">
        <v>1570000</v>
      </c>
      <c r="J5702" s="8">
        <v>3.5000000000000003E-2</v>
      </c>
    </row>
    <row r="5703" spans="1:10" x14ac:dyDescent="0.25">
      <c r="A5703" s="5" t="s">
        <v>5737</v>
      </c>
      <c r="B5703" s="5" t="s">
        <v>7570</v>
      </c>
      <c r="C5703" s="6" t="str">
        <f>_xll.QS.CONTEXT.CREATE("market.5701",A5703,"USD","SOFR")</f>
        <v>QSObject:PricingContext:w1~market.5701:9391</v>
      </c>
      <c r="D5703" s="6" t="str">
        <f>_xll.QS.CONTEXT.ADD.CURVE(C5703,"SOFR",$K$2:$K$7,$L$2:$L$7,,,"Actual360","LogLinear",TRUE)</f>
        <v>QSObject:ContextInput:w1~input.qs_context_add_curve.2359132437744.5702.3.0:34855</v>
      </c>
      <c r="E5703" s="6" t="str">
        <f>_xll.QS.INSTRUMENT.SWAP("swap.5701",H5703,B5703,"USD","SOFR",I5703,J5703,0,"Actual360","Simple","Annual","Annual","Annual")</f>
        <v>QSObject:Swap:w1~swap.5701:9390</v>
      </c>
      <c r="F5703" s="6" t="str">
        <f>_xll.QS.TRADE.CREATE("trade.5701",E5703,A5703,"Receive")</f>
        <v>QSObject:SwapTrade:w1~trade.5701:26228</v>
      </c>
      <c r="G5703" s="3">
        <f>_xll.QS.EVALUATE(C5703,F5703)</f>
        <v>22434.414365837671</v>
      </c>
      <c r="H5703" s="5" t="s">
        <v>5744</v>
      </c>
      <c r="I5703" s="7">
        <v>1570100</v>
      </c>
      <c r="J5703" s="8">
        <v>3.5100000000000013E-2</v>
      </c>
    </row>
    <row r="5704" spans="1:10" x14ac:dyDescent="0.25">
      <c r="A5704" s="5" t="s">
        <v>5738</v>
      </c>
      <c r="B5704" s="5" t="s">
        <v>7571</v>
      </c>
      <c r="C5704" s="6" t="str">
        <f>_xll.QS.CONTEXT.CREATE("market.5702",A5704,"USD","SOFR")</f>
        <v>QSObject:PricingContext:w1~market.5702:9389</v>
      </c>
      <c r="D5704" s="6" t="str">
        <f>_xll.QS.CONTEXT.ADD.CURVE(C5704,"SOFR",$K$2:$K$7,$L$2:$L$7,,,"Actual360","LogLinear",TRUE)</f>
        <v>QSObject:ContextInput:w1~input.qs_context_add_curve.2359132437744.5703.3.0:34854</v>
      </c>
      <c r="E5704" s="6" t="str">
        <f>_xll.QS.INSTRUMENT.SWAP("swap.5702",H5704,B5704,"USD","SOFR",I5704,J5704,0,"Actual360","Simple","Annual","Annual","Annual")</f>
        <v>QSObject:Swap:w1~swap.5702:9388</v>
      </c>
      <c r="F5704" s="6" t="str">
        <f>_xll.QS.TRADE.CREATE("trade.5702",E5704,A5704,"Receive")</f>
        <v>QSObject:SwapTrade:w1~trade.5702:26227</v>
      </c>
      <c r="G5704" s="3">
        <f>_xll.QS.EVALUATE(C5704,F5704)</f>
        <v>23099.722782479628</v>
      </c>
      <c r="H5704" s="5" t="s">
        <v>5745</v>
      </c>
      <c r="I5704" s="7">
        <v>1570200</v>
      </c>
      <c r="J5704" s="8">
        <v>3.5200000000000002E-2</v>
      </c>
    </row>
    <row r="5705" spans="1:10" x14ac:dyDescent="0.25">
      <c r="A5705" s="5" t="s">
        <v>5739</v>
      </c>
      <c r="B5705" s="5" t="s">
        <v>7572</v>
      </c>
      <c r="C5705" s="6" t="str">
        <f>_xll.QS.CONTEXT.CREATE("market.5703",A5705,"USD","SOFR")</f>
        <v>QSObject:PricingContext:w1~market.5703:9387</v>
      </c>
      <c r="D5705" s="6" t="str">
        <f>_xll.QS.CONTEXT.ADD.CURVE(C5705,"SOFR",$K$2:$K$7,$L$2:$L$7,,,"Actual360","LogLinear",TRUE)</f>
        <v>QSObject:ContextInput:w1~input.qs_context_add_curve.2359132437744.5704.3.0:34853</v>
      </c>
      <c r="E5705" s="6" t="str">
        <f>_xll.QS.INSTRUMENT.SWAP("swap.5703",H5705,B5705,"USD","SOFR",I5705,J5705,0,"Actual360","Simple","Annual","Annual","Annual")</f>
        <v>QSObject:Swap:w1~swap.5703:9386</v>
      </c>
      <c r="F5705" s="6" t="str">
        <f>_xll.QS.TRADE.CREATE("trade.5703",E5705,A5705,"Receive")</f>
        <v>QSObject:SwapTrade:w1~trade.5703:26226</v>
      </c>
      <c r="G5705" s="3">
        <f>_xll.QS.EVALUATE(C5705,F5705)</f>
        <v>23731.070212403283</v>
      </c>
      <c r="H5705" s="5" t="s">
        <v>5746</v>
      </c>
      <c r="I5705" s="7">
        <v>1570300</v>
      </c>
      <c r="J5705" s="8">
        <v>3.5299999999999998E-2</v>
      </c>
    </row>
    <row r="5706" spans="1:10" x14ac:dyDescent="0.25">
      <c r="A5706" s="5" t="s">
        <v>5740</v>
      </c>
      <c r="B5706" s="5" t="s">
        <v>7573</v>
      </c>
      <c r="C5706" s="6" t="str">
        <f>_xll.QS.CONTEXT.CREATE("market.5704",A5706,"USD","SOFR")</f>
        <v>QSObject:PricingContext:w1~market.5704:9385</v>
      </c>
      <c r="D5706" s="6" t="str">
        <f>_xll.QS.CONTEXT.ADD.CURVE(C5706,"SOFR",$K$2:$K$7,$L$2:$L$7,,,"Actual360","LogLinear",TRUE)</f>
        <v>QSObject:ContextInput:w1~input.qs_context_add_curve.2359132437744.5705.3.0:34852</v>
      </c>
      <c r="E5706" s="6" t="str">
        <f>_xll.QS.INSTRUMENT.SWAP("swap.5704",H5706,B5706,"USD","SOFR",I5706,J5706,0,"Actual360","Simple","Annual","Annual","Annual")</f>
        <v>QSObject:Swap:w1~swap.5704:9384</v>
      </c>
      <c r="F5706" s="6" t="str">
        <f>_xll.QS.TRADE.CREATE("trade.5704",E5706,A5706,"Receive")</f>
        <v>QSObject:SwapTrade:w1~trade.5704:26225</v>
      </c>
      <c r="G5706" s="3">
        <f>_xll.QS.EVALUATE(C5706,F5706)</f>
        <v>24315.565657980878</v>
      </c>
      <c r="H5706" s="5" t="s">
        <v>5747</v>
      </c>
      <c r="I5706" s="7">
        <v>1570400</v>
      </c>
      <c r="J5706" s="8">
        <v>3.5400000000000001E-2</v>
      </c>
    </row>
    <row r="5707" spans="1:10" x14ac:dyDescent="0.25">
      <c r="A5707" s="5" t="s">
        <v>5741</v>
      </c>
      <c r="B5707" s="5" t="s">
        <v>7574</v>
      </c>
      <c r="C5707" s="6" t="str">
        <f>_xll.QS.CONTEXT.CREATE("market.5705",A5707,"USD","SOFR")</f>
        <v>QSObject:PricingContext:w1~market.5705:9383</v>
      </c>
      <c r="D5707" s="6" t="str">
        <f>_xll.QS.CONTEXT.ADD.CURVE(C5707,"SOFR",$K$2:$K$7,$L$2:$L$7,,,"Actual360","LogLinear",TRUE)</f>
        <v>QSObject:ContextInput:w1~input.qs_context_add_curve.2359132437744.5706.3.0:34851</v>
      </c>
      <c r="E5707" s="6" t="str">
        <f>_xll.QS.INSTRUMENT.SWAP("swap.5705",H5707,B5707,"USD","SOFR",I5707,J5707,0,"Actual360","Simple","Annual","Annual","Annual")</f>
        <v>QSObject:Swap:w1~swap.5705:9382</v>
      </c>
      <c r="F5707" s="6" t="str">
        <f>_xll.QS.TRADE.CREATE("trade.5705",E5707,A5707,"Receive")</f>
        <v>QSObject:SwapTrade:w1~trade.5705:26224</v>
      </c>
      <c r="G5707" s="3">
        <f>_xll.QS.EVALUATE(C5707,F5707)</f>
        <v>25106.176471829531</v>
      </c>
      <c r="H5707" s="5" t="s">
        <v>5748</v>
      </c>
      <c r="I5707" s="7">
        <v>1570500</v>
      </c>
      <c r="J5707" s="8">
        <v>3.5499999999999997E-2</v>
      </c>
    </row>
    <row r="5708" spans="1:10" x14ac:dyDescent="0.25">
      <c r="A5708" s="5" t="s">
        <v>5742</v>
      </c>
      <c r="B5708" s="5" t="s">
        <v>7575</v>
      </c>
      <c r="C5708" s="6" t="str">
        <f>_xll.QS.CONTEXT.CREATE("market.5706",A5708,"USD","SOFR")</f>
        <v>QSObject:PricingContext:w1~market.5706:9381</v>
      </c>
      <c r="D5708" s="6" t="str">
        <f>_xll.QS.CONTEXT.ADD.CURVE(C5708,"SOFR",$K$2:$K$7,$L$2:$L$7,,,"Actual360","LogLinear",TRUE)</f>
        <v>QSObject:ContextInput:w1~input.qs_context_add_curve.2359132437744.5707.3.0:34850</v>
      </c>
      <c r="E5708" s="6" t="str">
        <f>_xll.QS.INSTRUMENT.SWAP("swap.5706",H5708,B5708,"USD","SOFR",I5708,J5708,0,"Actual360","Simple","Annual","Annual","Annual")</f>
        <v>QSObject:Swap:w1~swap.5706:9380</v>
      </c>
      <c r="F5708" s="6" t="str">
        <f>_xll.QS.TRADE.CREATE("trade.5706",E5708,A5708,"Receive")</f>
        <v>QSObject:SwapTrade:w1~trade.5706:26223</v>
      </c>
      <c r="G5708" s="3">
        <f>_xll.QS.EVALUATE(C5708,F5708)</f>
        <v>25879.638791613288</v>
      </c>
      <c r="H5708" s="5" t="s">
        <v>5749</v>
      </c>
      <c r="I5708" s="7">
        <v>1570600</v>
      </c>
      <c r="J5708" s="8">
        <v>3.5600000000000007E-2</v>
      </c>
    </row>
    <row r="5709" spans="1:10" x14ac:dyDescent="0.25">
      <c r="A5709" s="5" t="s">
        <v>5743</v>
      </c>
      <c r="B5709" s="5" t="s">
        <v>7576</v>
      </c>
      <c r="C5709" s="6" t="str">
        <f>_xll.QS.CONTEXT.CREATE("market.5707",A5709,"USD","SOFR")</f>
        <v>QSObject:PricingContext:w1~market.5707:9379</v>
      </c>
      <c r="D5709" s="6" t="str">
        <f>_xll.QS.CONTEXT.ADD.CURVE(C5709,"SOFR",$K$2:$K$7,$L$2:$L$7,,,"Actual360","LogLinear",TRUE)</f>
        <v>QSObject:ContextInput:w1~input.qs_context_add_curve.2359132437744.5708.3.0:34849</v>
      </c>
      <c r="E5709" s="6" t="str">
        <f>_xll.QS.INSTRUMENT.SWAP("swap.5707",H5709,B5709,"USD","SOFR",I5709,J5709,0,"Actual360","Simple","Annual","Annual","Annual")</f>
        <v>QSObject:Swap:w1~swap.5707:9378</v>
      </c>
      <c r="F5709" s="6" t="str">
        <f>_xll.QS.TRADE.CREATE("trade.5707",E5709,A5709,"Receive")</f>
        <v>QSObject:SwapTrade:w1~trade.5707:26222</v>
      </c>
      <c r="G5709" s="3">
        <f>_xll.QS.EVALUATE(C5709,F5709)</f>
        <v>26720.434804530327</v>
      </c>
      <c r="H5709" s="5" t="s">
        <v>5750</v>
      </c>
      <c r="I5709" s="7">
        <v>1570700</v>
      </c>
      <c r="J5709" s="8">
        <v>3.5700000000000003E-2</v>
      </c>
    </row>
    <row r="5710" spans="1:10" x14ac:dyDescent="0.25">
      <c r="A5710" s="5" t="s">
        <v>5744</v>
      </c>
      <c r="B5710" s="5" t="s">
        <v>7577</v>
      </c>
      <c r="C5710" s="6" t="str">
        <f>_xll.QS.CONTEXT.CREATE("market.5708",A5710,"USD","SOFR")</f>
        <v>QSObject:PricingContext:w1~market.5708:9377</v>
      </c>
      <c r="D5710" s="6" t="str">
        <f>_xll.QS.CONTEXT.ADD.CURVE(C5710,"SOFR",$K$2:$K$7,$L$2:$L$7,,,"Actual360","LogLinear",TRUE)</f>
        <v>QSObject:ContextInput:w1~input.qs_context_add_curve.2359132437744.5709.3.0:34848</v>
      </c>
      <c r="E5710" s="6" t="str">
        <f>_xll.QS.INSTRUMENT.SWAP("swap.5708",H5710,B5710,"USD","SOFR",I5710,J5710,0,"Actual360","Simple","Annual","Annual","Annual")</f>
        <v>QSObject:Swap:w1~swap.5708:9376</v>
      </c>
      <c r="F5710" s="6" t="str">
        <f>_xll.QS.TRADE.CREATE("trade.5708",E5710,A5710,"Receive")</f>
        <v>QSObject:SwapTrade:w1~trade.5708:26221</v>
      </c>
      <c r="G5710" s="3">
        <f>_xll.QS.EVALUATE(C5710,F5710)</f>
        <v>27514.973400922252</v>
      </c>
      <c r="H5710" s="5" t="s">
        <v>5751</v>
      </c>
      <c r="I5710" s="7">
        <v>1570800</v>
      </c>
      <c r="J5710" s="8">
        <v>3.5800000000000012E-2</v>
      </c>
    </row>
    <row r="5711" spans="1:10" x14ac:dyDescent="0.25">
      <c r="A5711" s="5" t="s">
        <v>5745</v>
      </c>
      <c r="B5711" s="5" t="s">
        <v>7578</v>
      </c>
      <c r="C5711" s="6" t="str">
        <f>_xll.QS.CONTEXT.CREATE("market.5709",A5711,"USD","SOFR")</f>
        <v>QSObject:PricingContext:w1~market.5709:9375</v>
      </c>
      <c r="D5711" s="6" t="str">
        <f>_xll.QS.CONTEXT.ADD.CURVE(C5711,"SOFR",$K$2:$K$7,$L$2:$L$7,,,"Actual360","LogLinear",TRUE)</f>
        <v>QSObject:ContextInput:w1~input.qs_context_add_curve.2359132437744.5710.3.0:34847</v>
      </c>
      <c r="E5711" s="6" t="str">
        <f>_xll.QS.INSTRUMENT.SWAP("swap.5709",H5711,B5711,"USD","SOFR",I5711,J5711,0,"Actual360","Simple","Annual","Annual","Annual")</f>
        <v>QSObject:Swap:w1~swap.5709:9374</v>
      </c>
      <c r="F5711" s="6" t="str">
        <f>_xll.QS.TRADE.CREATE("trade.5709",E5711,A5711,"Receive")</f>
        <v>QSObject:SwapTrade:w1~trade.5709:26220</v>
      </c>
      <c r="G5711" s="3">
        <f>_xll.QS.EVALUATE(C5711,F5711)</f>
        <v>28180.844871624591</v>
      </c>
      <c r="H5711" s="5" t="s">
        <v>5752</v>
      </c>
      <c r="I5711" s="7">
        <v>1570900</v>
      </c>
      <c r="J5711" s="8">
        <v>3.5900000000000001E-2</v>
      </c>
    </row>
    <row r="5712" spans="1:10" x14ac:dyDescent="0.25">
      <c r="A5712" s="5" t="s">
        <v>5746</v>
      </c>
      <c r="B5712" s="5" t="s">
        <v>7579</v>
      </c>
      <c r="C5712" s="6" t="str">
        <f>_xll.QS.CONTEXT.CREATE("market.5710",A5712,"USD","SOFR")</f>
        <v>QSObject:PricingContext:w1~market.5710:9373</v>
      </c>
      <c r="D5712" s="6" t="str">
        <f>_xll.QS.CONTEXT.ADD.CURVE(C5712,"SOFR",$K$2:$K$7,$L$2:$L$7,,,"Actual360","LogLinear",TRUE)</f>
        <v>QSObject:ContextInput:w1~input.qs_context_add_curve.2359132437744.5711.3.0:34846</v>
      </c>
      <c r="E5712" s="6" t="str">
        <f>_xll.QS.INSTRUMENT.SWAP("swap.5710",H5712,B5712,"USD","SOFR",I5712,J5712,0,"Actual360","Simple","Annual","Annual","Annual")</f>
        <v>QSObject:Swap:w1~swap.5710:9372</v>
      </c>
      <c r="F5712" s="6" t="str">
        <f>_xll.QS.TRADE.CREATE("trade.5710",E5712,A5712,"Receive")</f>
        <v>QSObject:SwapTrade:w1~trade.5710:26219</v>
      </c>
      <c r="G5712" s="3">
        <f>_xll.QS.EVALUATE(C5712,F5712)</f>
        <v>28806.823819928621</v>
      </c>
      <c r="H5712" s="5" t="s">
        <v>5753</v>
      </c>
      <c r="I5712" s="7">
        <v>1571000</v>
      </c>
      <c r="J5712" s="8">
        <v>3.5999999999999997E-2</v>
      </c>
    </row>
    <row r="5713" spans="1:10" x14ac:dyDescent="0.25">
      <c r="A5713" s="5" t="s">
        <v>5747</v>
      </c>
      <c r="B5713" s="5" t="s">
        <v>7580</v>
      </c>
      <c r="C5713" s="6" t="str">
        <f>_xll.QS.CONTEXT.CREATE("market.5711",A5713,"USD","SOFR")</f>
        <v>QSObject:PricingContext:w1~market.5711:9371</v>
      </c>
      <c r="D5713" s="6" t="str">
        <f>_xll.QS.CONTEXT.ADD.CURVE(C5713,"SOFR",$K$2:$K$7,$L$2:$L$7,,,"Actual360","LogLinear",TRUE)</f>
        <v>QSObject:ContextInput:w1~input.qs_context_add_curve.2359132437744.5712.3.0:34845</v>
      </c>
      <c r="E5713" s="6" t="str">
        <f>_xll.QS.INSTRUMENT.SWAP("swap.5711",H5713,B5713,"USD","SOFR",I5713,J5713,0,"Actual360","Simple","Annual","Annual","Annual")</f>
        <v>QSObject:Swap:w1~swap.5711:9370</v>
      </c>
      <c r="F5713" s="6" t="str">
        <f>_xll.QS.TRADE.CREATE("trade.5711",E5713,A5713,"Receive")</f>
        <v>QSObject:SwapTrade:w1~trade.5711:26218</v>
      </c>
      <c r="G5713" s="3">
        <f>_xll.QS.EVALUATE(C5713,F5713)</f>
        <v>29399.763986165766</v>
      </c>
      <c r="H5713" s="5" t="s">
        <v>5754</v>
      </c>
      <c r="I5713" s="7">
        <v>1571100</v>
      </c>
      <c r="J5713" s="8">
        <v>3.61E-2</v>
      </c>
    </row>
    <row r="5714" spans="1:10" x14ac:dyDescent="0.25">
      <c r="A5714" s="5" t="s">
        <v>5748</v>
      </c>
      <c r="B5714" s="5" t="s">
        <v>7581</v>
      </c>
      <c r="C5714" s="6" t="str">
        <f>_xll.QS.CONTEXT.CREATE("market.5712",A5714,"USD","SOFR")</f>
        <v>QSObject:PricingContext:w1~market.5712:9369</v>
      </c>
      <c r="D5714" s="6" t="str">
        <f>_xll.QS.CONTEXT.ADD.CURVE(C5714,"SOFR",$K$2:$K$7,$L$2:$L$7,,,"Actual360","LogLinear",TRUE)</f>
        <v>QSObject:ContextInput:w1~input.qs_context_add_curve.2359132437744.5713.3.0:34844</v>
      </c>
      <c r="E5714" s="6" t="str">
        <f>_xll.QS.INSTRUMENT.SWAP("swap.5712",H5714,B5714,"USD","SOFR",I5714,J5714,0,"Actual360","Simple","Annual","Annual","Annual")</f>
        <v>QSObject:Swap:w1~swap.5712:9368</v>
      </c>
      <c r="F5714" s="6" t="str">
        <f>_xll.QS.TRADE.CREATE("trade.5712",E5714,A5714,"Receive")</f>
        <v>QSObject:SwapTrade:w1~trade.5712:26217</v>
      </c>
      <c r="G5714" s="3">
        <f>_xll.QS.EVALUATE(C5714,F5714)</f>
        <v>30191.540889570446</v>
      </c>
      <c r="H5714" s="5" t="s">
        <v>5755</v>
      </c>
      <c r="I5714" s="7">
        <v>1571200</v>
      </c>
      <c r="J5714" s="8">
        <v>3.6200000000000003E-2</v>
      </c>
    </row>
    <row r="5715" spans="1:10" x14ac:dyDescent="0.25">
      <c r="A5715" s="5" t="s">
        <v>5749</v>
      </c>
      <c r="B5715" s="5" t="s">
        <v>7582</v>
      </c>
      <c r="C5715" s="6" t="str">
        <f>_xll.QS.CONTEXT.CREATE("market.5713",A5715,"USD","SOFR")</f>
        <v>QSObject:PricingContext:w1~market.5713:9367</v>
      </c>
      <c r="D5715" s="6" t="str">
        <f>_xll.QS.CONTEXT.ADD.CURVE(C5715,"SOFR",$K$2:$K$7,$L$2:$L$7,,,"Actual360","LogLinear",TRUE)</f>
        <v>QSObject:ContextInput:w1~input.qs_context_add_curve.2359132437744.5714.3.0:34843</v>
      </c>
      <c r="E5715" s="6" t="str">
        <f>_xll.QS.INSTRUMENT.SWAP("swap.5713",H5715,B5715,"USD","SOFR",I5715,J5715,0,"Actual360","Simple","Annual","Annual","Annual")</f>
        <v>QSObject:Swap:w1~swap.5713:9366</v>
      </c>
      <c r="F5715" s="6" t="str">
        <f>_xll.QS.TRADE.CREATE("trade.5713",E5715,A5715,"Receive")</f>
        <v>QSObject:SwapTrade:w1~trade.5713:26216</v>
      </c>
      <c r="G5715" s="3">
        <f>_xll.QS.EVALUATE(C5715,F5715)</f>
        <v>30963.461646440977</v>
      </c>
      <c r="H5715" s="5" t="s">
        <v>5756</v>
      </c>
      <c r="I5715" s="7">
        <v>1571300</v>
      </c>
      <c r="J5715" s="8">
        <v>3.6300000000000013E-2</v>
      </c>
    </row>
    <row r="5716" spans="1:10" x14ac:dyDescent="0.25">
      <c r="A5716" s="5" t="s">
        <v>5750</v>
      </c>
      <c r="B5716" s="5" t="s">
        <v>7583</v>
      </c>
      <c r="C5716" s="6" t="str">
        <f>_xll.QS.CONTEXT.CREATE("market.5714",A5716,"USD","SOFR")</f>
        <v>QSObject:PricingContext:w1~market.5714:9365</v>
      </c>
      <c r="D5716" s="6" t="str">
        <f>_xll.QS.CONTEXT.ADD.CURVE(C5716,"SOFR",$K$2:$K$7,$L$2:$L$7,,,"Actual360","LogLinear",TRUE)</f>
        <v>QSObject:ContextInput:w1~input.qs_context_add_curve.2359132437744.5715.3.0:34842</v>
      </c>
      <c r="E5716" s="6" t="str">
        <f>_xll.QS.INSTRUMENT.SWAP("swap.5714",H5716,B5716,"USD","SOFR",I5716,J5716,0,"Actual360","Simple","Annual","Annual","Annual")</f>
        <v>QSObject:Swap:w1~swap.5714:9364</v>
      </c>
      <c r="F5716" s="6" t="str">
        <f>_xll.QS.TRADE.CREATE("trade.5714",E5716,A5716,"Receive")</f>
        <v>QSObject:SwapTrade:w1~trade.5714:26215</v>
      </c>
      <c r="G5716" s="3">
        <f>_xll.QS.EVALUATE(C5716,F5716)</f>
        <v>31804.997572992717</v>
      </c>
      <c r="H5716" s="5" t="s">
        <v>5757</v>
      </c>
      <c r="I5716" s="7">
        <v>1571400</v>
      </c>
      <c r="J5716" s="8">
        <v>3.6400000000000002E-2</v>
      </c>
    </row>
    <row r="5717" spans="1:10" x14ac:dyDescent="0.25">
      <c r="A5717" s="5" t="s">
        <v>5751</v>
      </c>
      <c r="B5717" s="5" t="s">
        <v>7584</v>
      </c>
      <c r="C5717" s="6" t="str">
        <f>_xll.QS.CONTEXT.CREATE("market.5715",A5717,"USD","SOFR")</f>
        <v>QSObject:PricingContext:w1~market.5715:9363</v>
      </c>
      <c r="D5717" s="6" t="str">
        <f>_xll.QS.CONTEXT.ADD.CURVE(C5717,"SOFR",$K$2:$K$7,$L$2:$L$7,,,"Actual360","LogLinear",TRUE)</f>
        <v>QSObject:ContextInput:w1~input.qs_context_add_curve.2359132437744.5716.3.0:34841</v>
      </c>
      <c r="E5717" s="6" t="str">
        <f>_xll.QS.INSTRUMENT.SWAP("swap.5715",H5717,B5717,"USD","SOFR",I5717,J5717,0,"Actual360","Simple","Annual","Annual","Annual")</f>
        <v>QSObject:Swap:w1~swap.5715:9362</v>
      </c>
      <c r="F5717" s="6" t="str">
        <f>_xll.QS.TRADE.CREATE("trade.5715",E5717,A5717,"Receive")</f>
        <v>QSObject:SwapTrade:w1~trade.5715:26214</v>
      </c>
      <c r="G5717" s="3">
        <f>_xll.QS.EVALUATE(C5717,F5717)</f>
        <v>32599.864064510999</v>
      </c>
      <c r="H5717" s="5" t="s">
        <v>5758</v>
      </c>
      <c r="I5717" s="7">
        <v>1571500</v>
      </c>
      <c r="J5717" s="8">
        <v>3.6499999999999998E-2</v>
      </c>
    </row>
    <row r="5718" spans="1:10" x14ac:dyDescent="0.25">
      <c r="A5718" s="5" t="s">
        <v>5752</v>
      </c>
      <c r="B5718" s="5" t="s">
        <v>7585</v>
      </c>
      <c r="C5718" s="6" t="str">
        <f>_xll.QS.CONTEXT.CREATE("market.5716",A5718,"USD","SOFR")</f>
        <v>QSObject:PricingContext:w1~market.5716:9361</v>
      </c>
      <c r="D5718" s="6" t="str">
        <f>_xll.QS.CONTEXT.ADD.CURVE(C5718,"SOFR",$K$2:$K$7,$L$2:$L$7,,,"Actual360","LogLinear",TRUE)</f>
        <v>QSObject:ContextInput:w1~input.qs_context_add_curve.2359132437744.5717.3.0:34840</v>
      </c>
      <c r="E5718" s="6" t="str">
        <f>_xll.QS.INSTRUMENT.SWAP("swap.5716",H5718,B5718,"USD","SOFR",I5718,J5718,0,"Actual360","Simple","Annual","Annual","Annual")</f>
        <v>QSObject:Swap:w1~swap.5716:9360</v>
      </c>
      <c r="F5718" s="6" t="str">
        <f>_xll.QS.TRADE.CREATE("trade.5716",E5718,A5718,"Receive")</f>
        <v>QSObject:SwapTrade:w1~trade.5716:26213</v>
      </c>
      <c r="G5718" s="3">
        <f>_xll.QS.EVALUATE(C5718,F5718)</f>
        <v>33265.7474345058</v>
      </c>
      <c r="H5718" s="5" t="s">
        <v>5759</v>
      </c>
      <c r="I5718" s="7">
        <v>1571600</v>
      </c>
      <c r="J5718" s="8">
        <v>3.6600000000000001E-2</v>
      </c>
    </row>
    <row r="5719" spans="1:10" x14ac:dyDescent="0.25">
      <c r="A5719" s="5" t="s">
        <v>5753</v>
      </c>
      <c r="B5719" s="5" t="s">
        <v>7586</v>
      </c>
      <c r="C5719" s="6" t="str">
        <f>_xll.QS.CONTEXT.CREATE("market.5717",A5719,"USD","SOFR")</f>
        <v>QSObject:PricingContext:w1~market.5717:9359</v>
      </c>
      <c r="D5719" s="6" t="str">
        <f>_xll.QS.CONTEXT.ADD.CURVE(C5719,"SOFR",$K$2:$K$7,$L$2:$L$7,,,"Actual360","LogLinear",TRUE)</f>
        <v>QSObject:ContextInput:w1~input.qs_context_add_curve.2359132437744.5718.3.0:34839</v>
      </c>
      <c r="E5719" s="6" t="str">
        <f>_xll.QS.INSTRUMENT.SWAP("swap.5717",H5719,B5719,"USD","SOFR",I5719,J5719,0,"Actual360","Simple","Annual","Annual","Annual")</f>
        <v>QSObject:Swap:w1~swap.5717:9358</v>
      </c>
      <c r="F5719" s="6" t="str">
        <f>_xll.QS.TRADE.CREATE("trade.5717",E5719,A5719,"Receive")</f>
        <v>QSObject:SwapTrade:w1~trade.5717:26212</v>
      </c>
      <c r="G5719" s="3">
        <f>_xll.QS.EVALUATE(C5719,F5719)</f>
        <v>33864.332266864963</v>
      </c>
      <c r="H5719" s="5" t="s">
        <v>5760</v>
      </c>
      <c r="I5719" s="7">
        <v>1571700</v>
      </c>
      <c r="J5719" s="8">
        <v>3.6700000000000003E-2</v>
      </c>
    </row>
    <row r="5720" spans="1:10" x14ac:dyDescent="0.25">
      <c r="A5720" s="5" t="s">
        <v>5754</v>
      </c>
      <c r="B5720" s="5" t="s">
        <v>7587</v>
      </c>
      <c r="C5720" s="6" t="str">
        <f>_xll.QS.CONTEXT.CREATE("market.5718",A5720,"USD","SOFR")</f>
        <v>QSObject:PricingContext:w1~market.5718:9357</v>
      </c>
      <c r="D5720" s="6" t="str">
        <f>_xll.QS.CONTEXT.ADD.CURVE(C5720,"SOFR",$K$2:$K$7,$L$2:$L$7,,,"Actual360","LogLinear",TRUE)</f>
        <v>QSObject:ContextInput:w1~input.qs_context_add_curve.2359132437744.5719.3.0:34838</v>
      </c>
      <c r="E5720" s="6" t="str">
        <f>_xll.QS.INSTRUMENT.SWAP("swap.5718",H5720,B5720,"USD","SOFR",I5720,J5720,0,"Actual360","Simple","Annual","Annual","Annual")</f>
        <v>QSObject:Swap:w1~swap.5718:9356</v>
      </c>
      <c r="F5720" s="6" t="str">
        <f>_xll.QS.TRADE.CREATE("trade.5718",E5720,A5720,"Receive")</f>
        <v>QSObject:SwapTrade:w1~trade.5718:26211</v>
      </c>
      <c r="G5720" s="3">
        <f>_xll.QS.EVALUATE(C5720,F5720)</f>
        <v>34422.841808355428</v>
      </c>
      <c r="H5720" s="5" t="s">
        <v>5761</v>
      </c>
      <c r="I5720" s="7">
        <v>1571800</v>
      </c>
      <c r="J5720" s="8">
        <v>3.6800000000000013E-2</v>
      </c>
    </row>
    <row r="5721" spans="1:10" x14ac:dyDescent="0.25">
      <c r="A5721" s="5" t="s">
        <v>5755</v>
      </c>
      <c r="B5721" s="5" t="s">
        <v>7588</v>
      </c>
      <c r="C5721" s="6" t="str">
        <f>_xll.QS.CONTEXT.CREATE("market.5719",A5721,"USD","SOFR")</f>
        <v>QSObject:PricingContext:w1~market.5719:9355</v>
      </c>
      <c r="D5721" s="6" t="str">
        <f>_xll.QS.CONTEXT.ADD.CURVE(C5721,"SOFR",$K$2:$K$7,$L$2:$L$7,,,"Actual360","LogLinear",TRUE)</f>
        <v>QSObject:ContextInput:w1~input.qs_context_add_curve.2359132437744.5720.3.0:34837</v>
      </c>
      <c r="E5721" s="6" t="str">
        <f>_xll.QS.INSTRUMENT.SWAP("swap.5719",H5721,B5721,"USD","SOFR",I5721,J5721,0,"Actual360","Simple","Annual","Annual","Annual")</f>
        <v>QSObject:Swap:w1~swap.5719:9354</v>
      </c>
      <c r="F5721" s="6" t="str">
        <f>_xll.QS.TRADE.CREATE("trade.5719",E5721,A5721,"Receive")</f>
        <v>QSObject:SwapTrade:w1~trade.5719:26210</v>
      </c>
      <c r="G5721" s="3">
        <f>_xll.QS.EVALUATE(C5721,F5721)</f>
        <v>35216.214289926102</v>
      </c>
      <c r="H5721" s="5" t="s">
        <v>5762</v>
      </c>
      <c r="I5721" s="7">
        <v>1571900</v>
      </c>
      <c r="J5721" s="8">
        <v>3.6900000000000002E-2</v>
      </c>
    </row>
    <row r="5722" spans="1:10" x14ac:dyDescent="0.25">
      <c r="A5722" s="5" t="s">
        <v>5756</v>
      </c>
      <c r="B5722" s="5" t="s">
        <v>7589</v>
      </c>
      <c r="C5722" s="6" t="str">
        <f>_xll.QS.CONTEXT.CREATE("market.5720",A5722,"USD","SOFR")</f>
        <v>QSObject:PricingContext:w1~market.5720:9353</v>
      </c>
      <c r="D5722" s="6" t="str">
        <f>_xll.QS.CONTEXT.ADD.CURVE(C5722,"SOFR",$K$2:$K$7,$L$2:$L$7,,,"Actual360","LogLinear",TRUE)</f>
        <v>QSObject:ContextInput:w1~input.qs_context_add_curve.2359132437744.5721.3.0:34836</v>
      </c>
      <c r="E5722" s="6" t="str">
        <f>_xll.QS.INSTRUMENT.SWAP("swap.5720",H5722,B5722,"USD","SOFR",I5722,J5722,0,"Actual360","Simple","Annual","Annual","Annual")</f>
        <v>QSObject:Swap:w1~swap.5720:9352</v>
      </c>
      <c r="F5722" s="6" t="str">
        <f>_xll.QS.TRADE.CREATE("trade.5720",E5722,A5722,"Receive")</f>
        <v>QSObject:SwapTrade:w1~trade.5720:26209</v>
      </c>
      <c r="G5722" s="3">
        <f>_xll.QS.EVALUATE(C5722,F5722)</f>
        <v>36010.090637304689</v>
      </c>
      <c r="H5722" s="5" t="s">
        <v>5763</v>
      </c>
      <c r="I5722" s="7">
        <v>1572000</v>
      </c>
      <c r="J5722" s="8">
        <v>3.7000000000000012E-2</v>
      </c>
    </row>
    <row r="5723" spans="1:10" x14ac:dyDescent="0.25">
      <c r="A5723" s="5" t="s">
        <v>5757</v>
      </c>
      <c r="B5723" s="5" t="s">
        <v>7590</v>
      </c>
      <c r="C5723" s="6" t="str">
        <f>_xll.QS.CONTEXT.CREATE("market.5721",A5723,"USD","SOFR")</f>
        <v>QSObject:PricingContext:w1~market.5721:9351</v>
      </c>
      <c r="D5723" s="6" t="str">
        <f>_xll.QS.CONTEXT.ADD.CURVE(C5723,"SOFR",$K$2:$K$7,$L$2:$L$7,,,"Actual360","LogLinear",TRUE)</f>
        <v>QSObject:ContextInput:w1~input.qs_context_add_curve.2359132437744.5722.3.0:34835</v>
      </c>
      <c r="E5723" s="6" t="str">
        <f>_xll.QS.INSTRUMENT.SWAP("swap.5721",H5723,B5723,"USD","SOFR",I5723,J5723,0,"Actual360","Simple","Annual","Annual","Annual")</f>
        <v>QSObject:Swap:w1~swap.5721:9350</v>
      </c>
      <c r="F5723" s="6" t="str">
        <f>_xll.QS.TRADE.CREATE("trade.5721",E5723,A5723,"Receive")</f>
        <v>QSObject:SwapTrade:w1~trade.5721:26208</v>
      </c>
      <c r="G5723" s="3">
        <f>_xll.QS.EVALUATE(C5723,F5723)</f>
        <v>36951.750778860755</v>
      </c>
      <c r="H5723" s="5" t="s">
        <v>5764</v>
      </c>
      <c r="I5723" s="7">
        <v>1572100</v>
      </c>
      <c r="J5723" s="8">
        <v>3.7100000000000001E-2</v>
      </c>
    </row>
    <row r="5724" spans="1:10" x14ac:dyDescent="0.25">
      <c r="A5724" s="5" t="s">
        <v>5758</v>
      </c>
      <c r="B5724" s="5" t="s">
        <v>7591</v>
      </c>
      <c r="C5724" s="6" t="str">
        <f>_xll.QS.CONTEXT.CREATE("market.5722",A5724,"USD","SOFR")</f>
        <v>QSObject:PricingContext:w1~market.5722:9349</v>
      </c>
      <c r="D5724" s="6" t="str">
        <f>_xll.QS.CONTEXT.ADD.CURVE(C5724,"SOFR",$K$2:$K$7,$L$2:$L$7,,,"Actual360","LogLinear",TRUE)</f>
        <v>QSObject:ContextInput:w1~input.qs_context_add_curve.2359132437744.5723.3.0:34834</v>
      </c>
      <c r="E5724" s="6" t="str">
        <f>_xll.QS.INSTRUMENT.SWAP("swap.5722",H5724,B5724,"USD","SOFR",I5724,J5724,0,"Actual360","Simple","Annual","Annual","Annual")</f>
        <v>QSObject:Swap:w1~swap.5722:9348</v>
      </c>
      <c r="F5724" s="6" t="str">
        <f>_xll.QS.TRADE.CREATE("trade.5722",E5724,A5724,"Receive")</f>
        <v>QSObject:SwapTrade:w1~trade.5722:26207</v>
      </c>
      <c r="G5724" s="3">
        <f>_xll.QS.EVALUATE(C5724,F5724)</f>
        <v>37693.653451198275</v>
      </c>
      <c r="H5724" s="5" t="s">
        <v>5765</v>
      </c>
      <c r="I5724" s="7">
        <v>1572200</v>
      </c>
      <c r="J5724" s="8">
        <v>3.7199999999999997E-2</v>
      </c>
    </row>
    <row r="5725" spans="1:10" x14ac:dyDescent="0.25">
      <c r="A5725" s="5" t="s">
        <v>5759</v>
      </c>
      <c r="B5725" s="5" t="s">
        <v>7592</v>
      </c>
      <c r="C5725" s="6" t="str">
        <f>_xll.QS.CONTEXT.CREATE("market.5723",A5725,"USD","SOFR")</f>
        <v>QSObject:PricingContext:w1~market.5723:9347</v>
      </c>
      <c r="D5725" s="6" t="str">
        <f>_xll.QS.CONTEXT.ADD.CURVE(C5725,"SOFR",$K$2:$K$7,$L$2:$L$7,,,"Actual360","LogLinear",TRUE)</f>
        <v>QSObject:ContextInput:w1~input.qs_context_add_curve.2359132437744.5724.3.0:34833</v>
      </c>
      <c r="E5725" s="6" t="str">
        <f>_xll.QS.INSTRUMENT.SWAP("swap.5723",H5725,B5725,"USD","SOFR",I5725,J5725,0,"Actual360","Simple","Annual","Annual","Annual")</f>
        <v>QSObject:Swap:w1~swap.5723:9346</v>
      </c>
      <c r="F5725" s="6" t="str">
        <f>_xll.QS.TRADE.CREATE("trade.5723",E5725,A5725,"Receive")</f>
        <v>QSObject:SwapTrade:w1~trade.5723:26206</v>
      </c>
      <c r="G5725" s="3">
        <f>_xll.QS.EVALUATE(C5725,F5725)</f>
        <v>38419.999862340286</v>
      </c>
      <c r="H5725" s="5" t="s">
        <v>5766</v>
      </c>
      <c r="I5725" s="7">
        <v>1572300</v>
      </c>
      <c r="J5725" s="8">
        <v>3.73E-2</v>
      </c>
    </row>
    <row r="5726" spans="1:10" x14ac:dyDescent="0.25">
      <c r="A5726" s="5" t="s">
        <v>5760</v>
      </c>
      <c r="B5726" s="5" t="s">
        <v>7593</v>
      </c>
      <c r="C5726" s="6" t="str">
        <f>_xll.QS.CONTEXT.CREATE("market.5724",A5726,"USD","SOFR")</f>
        <v>QSObject:PricingContext:w1~market.5724:9345</v>
      </c>
      <c r="D5726" s="6" t="str">
        <f>_xll.QS.CONTEXT.ADD.CURVE(C5726,"SOFR",$K$2:$K$7,$L$2:$L$7,,,"Actual360","LogLinear",TRUE)</f>
        <v>QSObject:ContextInput:w1~input.qs_context_add_curve.2359132437744.5725.3.0:34832</v>
      </c>
      <c r="E5726" s="6" t="str">
        <f>_xll.QS.INSTRUMENT.SWAP("swap.5724",H5726,B5726,"USD","SOFR",I5726,J5726,0,"Actual360","Simple","Annual","Annual","Annual")</f>
        <v>QSObject:Swap:w1~swap.5724:9344</v>
      </c>
      <c r="F5726" s="6" t="str">
        <f>_xll.QS.TRADE.CREATE("trade.5724",E5726,A5726,"Receive")</f>
        <v>QSObject:SwapTrade:w1~trade.5724:26205</v>
      </c>
      <c r="G5726" s="3">
        <f>_xll.QS.EVALUATE(C5726,F5726)</f>
        <v>39035.232999027328</v>
      </c>
      <c r="H5726" s="5" t="s">
        <v>5767</v>
      </c>
      <c r="I5726" s="7">
        <v>1572400</v>
      </c>
      <c r="J5726" s="8">
        <v>3.7400000000000003E-2</v>
      </c>
    </row>
    <row r="5727" spans="1:10" x14ac:dyDescent="0.25">
      <c r="A5727" s="5" t="s">
        <v>5761</v>
      </c>
      <c r="B5727" s="5" t="s">
        <v>7594</v>
      </c>
      <c r="C5727" s="6" t="str">
        <f>_xll.QS.CONTEXT.CREATE("market.5725",A5727,"USD","SOFR")</f>
        <v>QSObject:PricingContext:w1~market.5725:9343</v>
      </c>
      <c r="D5727" s="6" t="str">
        <f>_xll.QS.CONTEXT.ADD.CURVE(C5727,"SOFR",$K$2:$K$7,$L$2:$L$7,,,"Actual360","LogLinear",TRUE)</f>
        <v>QSObject:ContextInput:w1~input.qs_context_add_curve.2359132437744.5726.3.0:34831</v>
      </c>
      <c r="E5727" s="6" t="str">
        <f>_xll.QS.INSTRUMENT.SWAP("swap.5725",H5727,B5727,"USD","SOFR",I5727,J5727,0,"Actual360","Simple","Annual","Annual","Annual")</f>
        <v>QSObject:Swap:w1~swap.5725:9342</v>
      </c>
      <c r="F5727" s="6" t="str">
        <f>_xll.QS.TRADE.CREATE("trade.5725",E5727,A5727,"Receive")</f>
        <v>QSObject:SwapTrade:w1~trade.5725:26204</v>
      </c>
      <c r="G5727" s="3">
        <f>_xll.QS.EVALUATE(C5727,F5727)</f>
        <v>39644.941415820147</v>
      </c>
      <c r="H5727" s="5" t="s">
        <v>5768</v>
      </c>
      <c r="I5727" s="7">
        <v>1572500</v>
      </c>
      <c r="J5727" s="8">
        <v>3.7500000000000012E-2</v>
      </c>
    </row>
    <row r="5728" spans="1:10" x14ac:dyDescent="0.25">
      <c r="A5728" s="5" t="s">
        <v>5762</v>
      </c>
      <c r="B5728" s="5" t="s">
        <v>7595</v>
      </c>
      <c r="C5728" s="6" t="str">
        <f>_xll.QS.CONTEXT.CREATE("market.5726",A5728,"USD","SOFR")</f>
        <v>QSObject:PricingContext:w1~market.5726:9341</v>
      </c>
      <c r="D5728" s="6" t="str">
        <f>_xll.QS.CONTEXT.ADD.CURVE(C5728,"SOFR",$K$2:$K$7,$L$2:$L$7,,,"Actual360","LogLinear",TRUE)</f>
        <v>QSObject:ContextInput:w1~input.qs_context_add_curve.2359132437744.5727.3.0:34830</v>
      </c>
      <c r="E5728" s="6" t="str">
        <f>_xll.QS.INSTRUMENT.SWAP("swap.5726",H5728,B5728,"USD","SOFR",I5728,J5728,0,"Actual360","Simple","Annual","Annual","Annual")</f>
        <v>QSObject:Swap:w1~swap.5726:9340</v>
      </c>
      <c r="F5728" s="6" t="str">
        <f>_xll.QS.TRADE.CREATE("trade.5726",E5728,A5728,"Receive")</f>
        <v>QSObject:SwapTrade:w1~trade.5726:26203</v>
      </c>
      <c r="G5728" s="3">
        <f>_xll.QS.EVALUATE(C5728,F5728)</f>
        <v>40375.966321812033</v>
      </c>
      <c r="H5728" s="5" t="s">
        <v>5769</v>
      </c>
      <c r="I5728" s="7">
        <v>1572600</v>
      </c>
      <c r="J5728" s="8">
        <v>3.7600000000000001E-2</v>
      </c>
    </row>
    <row r="5729" spans="1:10" x14ac:dyDescent="0.25">
      <c r="A5729" s="5" t="s">
        <v>5763</v>
      </c>
      <c r="B5729" s="5" t="s">
        <v>7596</v>
      </c>
      <c r="C5729" s="6" t="str">
        <f>_xll.QS.CONTEXT.CREATE("market.5727",A5729,"USD","SOFR")</f>
        <v>QSObject:PricingContext:w1~market.5727:9339</v>
      </c>
      <c r="D5729" s="6" t="str">
        <f>_xll.QS.CONTEXT.ADD.CURVE(C5729,"SOFR",$K$2:$K$7,$L$2:$L$7,,,"Actual360","LogLinear",TRUE)</f>
        <v>QSObject:ContextInput:w1~input.qs_context_add_curve.2359132437744.5728.3.0:34829</v>
      </c>
      <c r="E5729" s="6" t="str">
        <f>_xll.QS.INSTRUMENT.SWAP("swap.5727",H5729,B5729,"USD","SOFR",I5729,J5729,0,"Actual360","Simple","Annual","Annual","Annual")</f>
        <v>QSObject:Swap:w1~swap.5727:9338</v>
      </c>
      <c r="F5729" s="6" t="str">
        <f>_xll.QS.TRADE.CREATE("trade.5727",E5729,A5729,"Receive")</f>
        <v>QSObject:SwapTrade:w1~trade.5727:26202</v>
      </c>
      <c r="G5729" s="3">
        <f>_xll.QS.EVALUATE(C5729,F5729)</f>
        <v>41143.896671105867</v>
      </c>
      <c r="H5729" s="5" t="s">
        <v>5770</v>
      </c>
      <c r="I5729" s="7">
        <v>1572700</v>
      </c>
      <c r="J5729" s="8">
        <v>3.7699999999999997E-2</v>
      </c>
    </row>
    <row r="5730" spans="1:10" x14ac:dyDescent="0.25">
      <c r="A5730" s="5" t="s">
        <v>5764</v>
      </c>
      <c r="B5730" s="5" t="s">
        <v>7597</v>
      </c>
      <c r="C5730" s="6" t="str">
        <f>_xll.QS.CONTEXT.CREATE("market.5728",A5730,"USD","SOFR")</f>
        <v>QSObject:PricingContext:w1~market.5728:9337</v>
      </c>
      <c r="D5730" s="6" t="str">
        <f>_xll.QS.CONTEXT.ADD.CURVE(C5730,"SOFR",$K$2:$K$7,$L$2:$L$7,,,"Actual360","LogLinear",TRUE)</f>
        <v>QSObject:ContextInput:w1~input.qs_context_add_curve.2359132437744.5729.3.0:34828</v>
      </c>
      <c r="E5730" s="6" t="str">
        <f>_xll.QS.INSTRUMENT.SWAP("swap.5728",H5730,B5730,"USD","SOFR",I5730,J5730,0,"Actual360","Simple","Annual","Annual","Annual")</f>
        <v>QSObject:Swap:w1~swap.5728:9336</v>
      </c>
      <c r="F5730" s="6" t="str">
        <f>_xll.QS.TRADE.CREATE("trade.5728",E5730,A5730,"Receive")</f>
        <v>QSObject:SwapTrade:w1~trade.5728:26201</v>
      </c>
      <c r="G5730" s="3">
        <f>_xll.QS.EVALUATE(C5730,F5730)</f>
        <v>41987.024009716573</v>
      </c>
      <c r="H5730" s="5" t="s">
        <v>5771</v>
      </c>
      <c r="I5730" s="7">
        <v>1572800</v>
      </c>
      <c r="J5730" s="8">
        <v>3.78E-2</v>
      </c>
    </row>
    <row r="5731" spans="1:10" x14ac:dyDescent="0.25">
      <c r="A5731" s="5" t="s">
        <v>5765</v>
      </c>
      <c r="B5731" s="5" t="s">
        <v>7598</v>
      </c>
      <c r="C5731" s="6" t="str">
        <f>_xll.QS.CONTEXT.CREATE("market.5729",A5731,"USD","SOFR")</f>
        <v>QSObject:PricingContext:w1~market.5729:9335</v>
      </c>
      <c r="D5731" s="6" t="str">
        <f>_xll.QS.CONTEXT.ADD.CURVE(C5731,"SOFR",$K$2:$K$7,$L$2:$L$7,,,"Actual360","LogLinear",TRUE)</f>
        <v>QSObject:ContextInput:w1~input.qs_context_add_curve.2359132437744.5730.3.0:34827</v>
      </c>
      <c r="E5731" s="6" t="str">
        <f>_xll.QS.INSTRUMENT.SWAP("swap.5729",H5731,B5731,"USD","SOFR",I5731,J5731,0,"Actual360","Simple","Annual","Annual","Annual")</f>
        <v>QSObject:Swap:w1~swap.5729:9334</v>
      </c>
      <c r="F5731" s="6" t="str">
        <f>_xll.QS.TRADE.CREATE("trade.5729",E5731,A5731,"Receive")</f>
        <v>QSObject:SwapTrade:w1~trade.5729:26200</v>
      </c>
      <c r="G5731" s="3">
        <f>_xll.QS.EVALUATE(C5731,F5731)</f>
        <v>42783.76578460911</v>
      </c>
      <c r="H5731" s="5" t="s">
        <v>5772</v>
      </c>
      <c r="I5731" s="7">
        <v>1572900</v>
      </c>
      <c r="J5731" s="8">
        <v>3.7900000000000003E-2</v>
      </c>
    </row>
    <row r="5732" spans="1:10" x14ac:dyDescent="0.25">
      <c r="A5732" s="5" t="s">
        <v>5766</v>
      </c>
      <c r="B5732" s="5" t="s">
        <v>7599</v>
      </c>
      <c r="C5732" s="6" t="str">
        <f>_xll.QS.CONTEXT.CREATE("market.5730",A5732,"USD","SOFR")</f>
        <v>QSObject:PricingContext:w1~market.5730:9333</v>
      </c>
      <c r="D5732" s="6" t="str">
        <f>_xll.QS.CONTEXT.ADD.CURVE(C5732,"SOFR",$K$2:$K$7,$L$2:$L$7,,,"Actual360","LogLinear",TRUE)</f>
        <v>QSObject:ContextInput:w1~input.qs_context_add_curve.2359132437744.5731.3.0:34826</v>
      </c>
      <c r="E5732" s="6" t="str">
        <f>_xll.QS.INSTRUMENT.SWAP("swap.5730",H5732,B5732,"USD","SOFR",I5732,J5732,0,"Actual360","Simple","Annual","Annual","Annual")</f>
        <v>QSObject:Swap:w1~swap.5730:9332</v>
      </c>
      <c r="F5732" s="6" t="str">
        <f>_xll.QS.TRADE.CREATE("trade.5730",E5732,A5732,"Receive")</f>
        <v>QSObject:SwapTrade:w1~trade.5730:26199</v>
      </c>
      <c r="G5732" s="3">
        <f>_xll.QS.EVALUATE(C5732,F5732)</f>
        <v>43451.326119616708</v>
      </c>
      <c r="H5732" s="5" t="s">
        <v>5773</v>
      </c>
      <c r="I5732" s="7">
        <v>1573000</v>
      </c>
      <c r="J5732" s="8">
        <v>3.8000000000000013E-2</v>
      </c>
    </row>
    <row r="5733" spans="1:10" x14ac:dyDescent="0.25">
      <c r="A5733" s="5" t="s">
        <v>5767</v>
      </c>
      <c r="B5733" s="5" t="s">
        <v>7600</v>
      </c>
      <c r="C5733" s="6" t="str">
        <f>_xll.QS.CONTEXT.CREATE("market.5731",A5733,"USD","SOFR")</f>
        <v>QSObject:PricingContext:w1~market.5731:9331</v>
      </c>
      <c r="D5733" s="6" t="str">
        <f>_xll.QS.CONTEXT.ADD.CURVE(C5733,"SOFR",$K$2:$K$7,$L$2:$L$7,,,"Actual360","LogLinear",TRUE)</f>
        <v>QSObject:ContextInput:w1~input.qs_context_add_curve.2359132437744.5732.3.0:34825</v>
      </c>
      <c r="E5733" s="6" t="str">
        <f>_xll.QS.INSTRUMENT.SWAP("swap.5731",H5733,B5733,"USD","SOFR",I5733,J5733,0,"Actual360","Simple","Annual","Annual","Annual")</f>
        <v>QSObject:Swap:w1~swap.5731:9330</v>
      </c>
      <c r="F5733" s="6" t="str">
        <f>_xll.QS.TRADE.CREATE("trade.5731",E5733,A5733,"Receive")</f>
        <v>QSObject:SwapTrade:w1~trade.5731:26198</v>
      </c>
      <c r="G5733" s="3">
        <f>_xll.QS.EVALUATE(C5733,F5733)</f>
        <v>44061.167690967377</v>
      </c>
      <c r="H5733" s="5" t="s">
        <v>5774</v>
      </c>
      <c r="I5733" s="7">
        <v>1573100</v>
      </c>
      <c r="J5733" s="8">
        <v>3.8100000000000002E-2</v>
      </c>
    </row>
    <row r="5734" spans="1:10" x14ac:dyDescent="0.25">
      <c r="A5734" s="5" t="s">
        <v>5768</v>
      </c>
      <c r="B5734" s="5" t="s">
        <v>7601</v>
      </c>
      <c r="C5734" s="6" t="str">
        <f>_xll.QS.CONTEXT.CREATE("market.5732",A5734,"USD","SOFR")</f>
        <v>QSObject:PricingContext:w1~market.5732:9329</v>
      </c>
      <c r="D5734" s="6" t="str">
        <f>_xll.QS.CONTEXT.ADD.CURVE(C5734,"SOFR",$K$2:$K$7,$L$2:$L$7,,,"Actual360","LogLinear",TRUE)</f>
        <v>QSObject:ContextInput:w1~input.qs_context_add_curve.2359132437744.5733.3.0:34824</v>
      </c>
      <c r="E5734" s="6" t="str">
        <f>_xll.QS.INSTRUMENT.SWAP("swap.5732",H5734,B5734,"USD","SOFR",I5734,J5734,0,"Actual360","Simple","Annual","Annual","Annual")</f>
        <v>QSObject:Swap:w1~swap.5732:9328</v>
      </c>
      <c r="F5734" s="6" t="str">
        <f>_xll.QS.TRADE.CREATE("trade.5732",E5734,A5734,"Receive")</f>
        <v>QSObject:SwapTrade:w1~trade.5732:26197</v>
      </c>
      <c r="G5734" s="3">
        <f>_xll.QS.EVALUATE(C5734,F5734)</f>
        <v>44679.484056289759</v>
      </c>
      <c r="H5734" s="5" t="s">
        <v>5775</v>
      </c>
      <c r="I5734" s="7">
        <v>1573200</v>
      </c>
      <c r="J5734" s="8">
        <v>3.8199999999999998E-2</v>
      </c>
    </row>
    <row r="5735" spans="1:10" x14ac:dyDescent="0.25">
      <c r="A5735" s="5" t="s">
        <v>5769</v>
      </c>
      <c r="B5735" s="5" t="s">
        <v>7602</v>
      </c>
      <c r="C5735" s="6" t="str">
        <f>_xll.QS.CONTEXT.CREATE("market.5733",A5735,"USD","SOFR")</f>
        <v>QSObject:PricingContext:w1~market.5733:9327</v>
      </c>
      <c r="D5735" s="6" t="str">
        <f>_xll.QS.CONTEXT.ADD.CURVE(C5735,"SOFR",$K$2:$K$7,$L$2:$L$7,,,"Actual360","LogLinear",TRUE)</f>
        <v>QSObject:ContextInput:w1~input.qs_context_add_curve.2359132437744.5734.3.0:34823</v>
      </c>
      <c r="E5735" s="6" t="str">
        <f>_xll.QS.INSTRUMENT.SWAP("swap.5733",H5735,B5735,"USD","SOFR",I5735,J5735,0,"Actual360","Simple","Annual","Annual","Annual")</f>
        <v>QSObject:Swap:w1~swap.5733:9326</v>
      </c>
      <c r="F5735" s="6" t="str">
        <f>_xll.QS.TRADE.CREATE("trade.5733",E5735,A5735,"Receive")</f>
        <v>QSObject:SwapTrade:w1~trade.5733:26196</v>
      </c>
      <c r="G5735" s="3">
        <f>_xll.QS.EVALUATE(C5735,F5735)</f>
        <v>45474.761855889279</v>
      </c>
      <c r="H5735" s="5" t="s">
        <v>5776</v>
      </c>
      <c r="I5735" s="7">
        <v>1573300</v>
      </c>
      <c r="J5735" s="8">
        <v>3.8300000000000001E-2</v>
      </c>
    </row>
    <row r="5736" spans="1:10" x14ac:dyDescent="0.25">
      <c r="A5736" s="5" t="s">
        <v>5770</v>
      </c>
      <c r="B5736" s="5" t="s">
        <v>7603</v>
      </c>
      <c r="C5736" s="6" t="str">
        <f>_xll.QS.CONTEXT.CREATE("market.5734",A5736,"USD","SOFR")</f>
        <v>QSObject:PricingContext:w1~market.5734:9325</v>
      </c>
      <c r="D5736" s="6" t="str">
        <f>_xll.QS.CONTEXT.ADD.CURVE(C5736,"SOFR",$K$2:$K$7,$L$2:$L$7,,,"Actual360","LogLinear",TRUE)</f>
        <v>QSObject:ContextInput:w1~input.qs_context_add_curve.2359132437744.5735.3.0:34822</v>
      </c>
      <c r="E5736" s="6" t="str">
        <f>_xll.QS.INSTRUMENT.SWAP("swap.5734",H5736,B5736,"USD","SOFR",I5736,J5736,0,"Actual360","Simple","Annual","Annual","Annual")</f>
        <v>QSObject:Swap:w1~swap.5734:9324</v>
      </c>
      <c r="F5736" s="6" t="str">
        <f>_xll.QS.TRADE.CREATE("trade.5734",E5736,A5736,"Receive")</f>
        <v>QSObject:SwapTrade:w1~trade.5734:26195</v>
      </c>
      <c r="G5736" s="3">
        <f>_xll.QS.EVALUATE(C5736,F5736)</f>
        <v>46241.020810304268</v>
      </c>
      <c r="H5736" s="5" t="s">
        <v>5777</v>
      </c>
      <c r="I5736" s="7">
        <v>1573400</v>
      </c>
      <c r="J5736" s="8">
        <v>3.8399999999999997E-2</v>
      </c>
    </row>
    <row r="5737" spans="1:10" x14ac:dyDescent="0.25">
      <c r="A5737" s="5" t="s">
        <v>5771</v>
      </c>
      <c r="B5737" s="5" t="s">
        <v>7604</v>
      </c>
      <c r="C5737" s="6" t="str">
        <f>_xll.QS.CONTEXT.CREATE("market.5735",A5737,"USD","SOFR")</f>
        <v>QSObject:PricingContext:w1~market.5735:9323</v>
      </c>
      <c r="D5737" s="6" t="str">
        <f>_xll.QS.CONTEXT.ADD.CURVE(C5737,"SOFR",$K$2:$K$7,$L$2:$L$7,,,"Actual360","LogLinear",TRUE)</f>
        <v>QSObject:ContextInput:w1~input.qs_context_add_curve.2359132437744.5736.3.0:34821</v>
      </c>
      <c r="E5737" s="6" t="str">
        <f>_xll.QS.INSTRUMENT.SWAP("swap.5735",H5737,B5737,"USD","SOFR",I5737,J5737,0,"Actual360","Simple","Annual","Annual","Annual")</f>
        <v>QSObject:Swap:w1~swap.5735:9322</v>
      </c>
      <c r="F5737" s="6" t="str">
        <f>_xll.QS.TRADE.CREATE("trade.5735",E5737,A5737,"Receive")</f>
        <v>QSObject:SwapTrade:w1~trade.5735:26194</v>
      </c>
      <c r="G5737" s="3">
        <f>_xll.QS.EVALUATE(C5737,F5737)</f>
        <v>47084.925400507003</v>
      </c>
      <c r="H5737" s="5" t="s">
        <v>5778</v>
      </c>
      <c r="I5737" s="7">
        <v>1573500</v>
      </c>
      <c r="J5737" s="8">
        <v>3.8500000000000013E-2</v>
      </c>
    </row>
    <row r="5738" spans="1:10" x14ac:dyDescent="0.25">
      <c r="A5738" s="5" t="s">
        <v>5772</v>
      </c>
      <c r="B5738" s="5" t="s">
        <v>7605</v>
      </c>
      <c r="C5738" s="6" t="str">
        <f>_xll.QS.CONTEXT.CREATE("market.5736",A5738,"USD","SOFR")</f>
        <v>QSObject:PricingContext:w1~market.5736:9321</v>
      </c>
      <c r="D5738" s="6" t="str">
        <f>_xll.QS.CONTEXT.ADD.CURVE(C5738,"SOFR",$K$2:$K$7,$L$2:$L$7,,,"Actual360","LogLinear",TRUE)</f>
        <v>QSObject:ContextInput:w1~input.qs_context_add_curve.2359132437744.5737.3.0:34820</v>
      </c>
      <c r="E5738" s="6" t="str">
        <f>_xll.QS.INSTRUMENT.SWAP("swap.5736",H5738,B5738,"USD","SOFR",I5738,J5738,0,"Actual360","Simple","Annual","Annual","Annual")</f>
        <v>QSObject:Swap:w1~swap.5736:9320</v>
      </c>
      <c r="F5738" s="6" t="str">
        <f>_xll.QS.TRADE.CREATE("trade.5736",E5738,A5738,"Receive")</f>
        <v>QSObject:SwapTrade:w1~trade.5736:26193</v>
      </c>
      <c r="G5738" s="3">
        <f>_xll.QS.EVALUATE(C5738,F5738)</f>
        <v>47882.401671982749</v>
      </c>
      <c r="H5738" s="5" t="s">
        <v>5779</v>
      </c>
      <c r="I5738" s="7">
        <v>1573600</v>
      </c>
      <c r="J5738" s="8">
        <v>3.8600000000000002E-2</v>
      </c>
    </row>
    <row r="5739" spans="1:10" x14ac:dyDescent="0.25">
      <c r="A5739" s="5" t="s">
        <v>5773</v>
      </c>
      <c r="B5739" s="5" t="s">
        <v>7606</v>
      </c>
      <c r="C5739" s="6" t="str">
        <f>_xll.QS.CONTEXT.CREATE("market.5737",A5739,"USD","SOFR")</f>
        <v>QSObject:PricingContext:w1~market.5737:9319</v>
      </c>
      <c r="D5739" s="6" t="str">
        <f>_xll.QS.CONTEXT.ADD.CURVE(C5739,"SOFR",$K$2:$K$7,$L$2:$L$7,,,"Actual360","LogLinear",TRUE)</f>
        <v>QSObject:ContextInput:w1~input.qs_context_add_curve.2359132437744.5738.3.0:34819</v>
      </c>
      <c r="E5739" s="6" t="str">
        <f>_xll.QS.INSTRUMENT.SWAP("swap.5737",H5739,B5739,"USD","SOFR",I5739,J5739,0,"Actual360","Simple","Annual","Annual","Annual")</f>
        <v>QSObject:Swap:w1~swap.5737:9318</v>
      </c>
      <c r="F5739" s="6" t="str">
        <f>_xll.QS.TRADE.CREATE("trade.5737",E5739,A5739,"Receive")</f>
        <v>QSObject:SwapTrade:w1~trade.5737:26192</v>
      </c>
      <c r="G5739" s="3">
        <f>_xll.QS.EVALUATE(C5739,F5739)</f>
        <v>48550.524862466162</v>
      </c>
      <c r="H5739" s="5" t="s">
        <v>5780</v>
      </c>
      <c r="I5739" s="7">
        <v>1573700</v>
      </c>
      <c r="J5739" s="8">
        <v>3.8700000000000012E-2</v>
      </c>
    </row>
    <row r="5740" spans="1:10" x14ac:dyDescent="0.25">
      <c r="A5740" s="5" t="s">
        <v>5774</v>
      </c>
      <c r="B5740" s="5" t="s">
        <v>7607</v>
      </c>
      <c r="C5740" s="6" t="str">
        <f>_xll.QS.CONTEXT.CREATE("market.5738",A5740,"USD","SOFR")</f>
        <v>QSObject:PricingContext:w1~market.5738:9317</v>
      </c>
      <c r="D5740" s="6" t="str">
        <f>_xll.QS.CONTEXT.ADD.CURVE(C5740,"SOFR",$K$2:$K$7,$L$2:$L$7,,,"Actual360","LogLinear",TRUE)</f>
        <v>QSObject:ContextInput:w1~input.qs_context_add_curve.2359132437744.5739.3.0:34818</v>
      </c>
      <c r="E5740" s="6" t="str">
        <f>_xll.QS.INSTRUMENT.SWAP("swap.5738",H5740,B5740,"USD","SOFR",I5740,J5740,0,"Actual360","Simple","Annual","Annual","Annual")</f>
        <v>QSObject:Swap:w1~swap.5738:9316</v>
      </c>
      <c r="F5740" s="6" t="str">
        <f>_xll.QS.TRADE.CREATE("trade.5738",E5740,A5740,"Receive")</f>
        <v>QSObject:SwapTrade:w1~trade.5738:26191</v>
      </c>
      <c r="G5740" s="3">
        <f>_xll.QS.EVALUATE(C5740,F5740)</f>
        <v>49154.976664134541</v>
      </c>
      <c r="H5740" s="5" t="s">
        <v>5781</v>
      </c>
      <c r="I5740" s="7">
        <v>1573800</v>
      </c>
      <c r="J5740" s="8">
        <v>3.8800000000000001E-2</v>
      </c>
    </row>
    <row r="5741" spans="1:10" x14ac:dyDescent="0.25">
      <c r="A5741" s="5" t="s">
        <v>5775</v>
      </c>
      <c r="B5741" s="5" t="s">
        <v>7608</v>
      </c>
      <c r="C5741" s="6" t="str">
        <f>_xll.QS.CONTEXT.CREATE("market.5739",A5741,"USD","SOFR")</f>
        <v>QSObject:PricingContext:w1~market.5739:9315</v>
      </c>
      <c r="D5741" s="6" t="str">
        <f>_xll.QS.CONTEXT.ADD.CURVE(C5741,"SOFR",$K$2:$K$7,$L$2:$L$7,,,"Actual360","LogLinear",TRUE)</f>
        <v>QSObject:ContextInput:w1~input.qs_context_add_curve.2359132437744.5740.3.0:34817</v>
      </c>
      <c r="E5741" s="6" t="str">
        <f>_xll.QS.INSTRUMENT.SWAP("swap.5739",H5741,B5741,"USD","SOFR",I5741,J5741,0,"Actual360","Simple","Annual","Annual","Annual")</f>
        <v>QSObject:Swap:w1~swap.5739:9314</v>
      </c>
      <c r="F5741" s="6" t="str">
        <f>_xll.QS.TRADE.CREATE("trade.5739",E5741,A5741,"Receive")</f>
        <v>QSObject:SwapTrade:w1~trade.5739:26190</v>
      </c>
      <c r="G5741" s="3">
        <f>_xll.QS.EVALUATE(C5741,F5741)</f>
        <v>49781.765774854233</v>
      </c>
      <c r="H5741" s="5" t="s">
        <v>5782</v>
      </c>
      <c r="I5741" s="7">
        <v>1573900</v>
      </c>
      <c r="J5741" s="8">
        <v>3.8899999999999997E-2</v>
      </c>
    </row>
    <row r="5742" spans="1:10" x14ac:dyDescent="0.25">
      <c r="A5742" s="5" t="s">
        <v>5776</v>
      </c>
      <c r="B5742" s="5" t="s">
        <v>7609</v>
      </c>
      <c r="C5742" s="6" t="str">
        <f>_xll.QS.CONTEXT.CREATE("market.5740",A5742,"USD","SOFR")</f>
        <v>QSObject:PricingContext:w1~market.5740:9313</v>
      </c>
      <c r="D5742" s="6" t="str">
        <f>_xll.QS.CONTEXT.ADD.CURVE(C5742,"SOFR",$K$2:$K$7,$L$2:$L$7,,,"Actual360","LogLinear",TRUE)</f>
        <v>QSObject:ContextInput:w1~input.qs_context_add_curve.2359132437744.5741.3.0:34816</v>
      </c>
      <c r="E5742" s="6" t="str">
        <f>_xll.QS.INSTRUMENT.SWAP("swap.5740",H5742,B5742,"USD","SOFR",I5742,J5742,0,"Actual360","Simple","Annual","Annual","Annual")</f>
        <v>QSObject:Swap:w1~swap.5740:9312</v>
      </c>
      <c r="F5742" s="6" t="str">
        <f>_xll.QS.TRADE.CREATE("trade.5740",E5742,A5742,"Receive")</f>
        <v>QSObject:SwapTrade:w1~trade.5740:26189</v>
      </c>
      <c r="G5742" s="3">
        <f>_xll.QS.EVALUATE(C5742,F5742)</f>
        <v>50578.211415694583</v>
      </c>
      <c r="H5742" s="5" t="s">
        <v>5783</v>
      </c>
      <c r="I5742" s="7">
        <v>1574000</v>
      </c>
      <c r="J5742" s="8">
        <v>3.9000000000000007E-2</v>
      </c>
    </row>
    <row r="5743" spans="1:10" x14ac:dyDescent="0.25">
      <c r="A5743" s="5" t="s">
        <v>5777</v>
      </c>
      <c r="B5743" s="5" t="s">
        <v>7610</v>
      </c>
      <c r="C5743" s="6" t="str">
        <f>_xll.QS.CONTEXT.CREATE("market.5741",A5743,"USD","SOFR")</f>
        <v>QSObject:PricingContext:w1~market.5741:9311</v>
      </c>
      <c r="D5743" s="6" t="str">
        <f>_xll.QS.CONTEXT.ADD.CURVE(C5743,"SOFR",$K$2:$K$7,$L$2:$L$7,,,"Actual360","LogLinear",TRUE)</f>
        <v>QSObject:ContextInput:w1~input.qs_context_add_curve.2359132437744.5742.3.0:34815</v>
      </c>
      <c r="E5743" s="6" t="str">
        <f>_xll.QS.INSTRUMENT.SWAP("swap.5741",H5743,B5743,"USD","SOFR",I5743,J5743,0,"Actual360","Simple","Annual","Annual","Annual")</f>
        <v>QSObject:Swap:w1~swap.5741:9310</v>
      </c>
      <c r="F5743" s="6" t="str">
        <f>_xll.QS.TRADE.CREATE("trade.5741",E5743,A5743,"Receive")</f>
        <v>QSObject:SwapTrade:w1~trade.5741:26188</v>
      </c>
      <c r="G5743" s="3">
        <f>_xll.QS.EVALUATE(C5743,F5743)</f>
        <v>51342.664039186078</v>
      </c>
      <c r="H5743" s="5" t="s">
        <v>5784</v>
      </c>
      <c r="I5743" s="7">
        <v>1574100</v>
      </c>
      <c r="J5743" s="8">
        <v>3.9100000000000003E-2</v>
      </c>
    </row>
    <row r="5744" spans="1:10" x14ac:dyDescent="0.25">
      <c r="A5744" s="5" t="s">
        <v>5778</v>
      </c>
      <c r="B5744" s="5" t="s">
        <v>7611</v>
      </c>
      <c r="C5744" s="6" t="str">
        <f>_xll.QS.CONTEXT.CREATE("market.5742",A5744,"USD","SOFR")</f>
        <v>QSObject:PricingContext:w1~market.5742:9309</v>
      </c>
      <c r="D5744" s="6" t="str">
        <f>_xll.QS.CONTEXT.ADD.CURVE(C5744,"SOFR",$K$2:$K$7,$L$2:$L$7,,,"Actual360","LogLinear",TRUE)</f>
        <v>QSObject:ContextInput:w1~input.qs_context_add_curve.2359132437744.5743.3.0:34814</v>
      </c>
      <c r="E5744" s="6" t="str">
        <f>_xll.QS.INSTRUMENT.SWAP("swap.5742",H5744,B5744,"USD","SOFR",I5744,J5744,0,"Actual360","Simple","Annual","Annual","Annual")</f>
        <v>QSObject:Swap:w1~swap.5742:9308</v>
      </c>
      <c r="F5744" s="6" t="str">
        <f>_xll.QS.TRADE.CREATE("trade.5742",E5744,A5744,"Receive")</f>
        <v>QSObject:SwapTrade:w1~trade.5742:26187</v>
      </c>
      <c r="G5744" s="3">
        <f>_xll.QS.EVALUATE(C5744,F5744)</f>
        <v>52187.345952495052</v>
      </c>
      <c r="H5744" s="5" t="s">
        <v>5785</v>
      </c>
      <c r="I5744" s="7">
        <v>1574200</v>
      </c>
      <c r="J5744" s="8">
        <v>3.9200000000000013E-2</v>
      </c>
    </row>
    <row r="5745" spans="1:10" x14ac:dyDescent="0.25">
      <c r="A5745" s="5" t="s">
        <v>5779</v>
      </c>
      <c r="B5745" s="5" t="s">
        <v>7612</v>
      </c>
      <c r="C5745" s="6" t="str">
        <f>_xll.QS.CONTEXT.CREATE("market.5743",A5745,"USD","SOFR")</f>
        <v>QSObject:PricingContext:w1~market.5743:9307</v>
      </c>
      <c r="D5745" s="6" t="str">
        <f>_xll.QS.CONTEXT.ADD.CURVE(C5745,"SOFR",$K$2:$K$7,$L$2:$L$7,,,"Actual360","LogLinear",TRUE)</f>
        <v>QSObject:ContextInput:w1~input.qs_context_add_curve.2359132437744.5744.3.0:34813</v>
      </c>
      <c r="E5745" s="6" t="str">
        <f>_xll.QS.INSTRUMENT.SWAP("swap.5743",H5745,B5745,"USD","SOFR",I5745,J5745,0,"Actual360","Simple","Annual","Annual","Annual")</f>
        <v>QSObject:Swap:w1~swap.5743:9306</v>
      </c>
      <c r="F5745" s="6" t="str">
        <f>_xll.QS.TRADE.CREATE("trade.5743",E5745,A5745,"Receive")</f>
        <v>QSObject:SwapTrade:w1~trade.5743:26186</v>
      </c>
      <c r="G5745" s="3">
        <f>_xll.QS.EVALUATE(C5745,F5745)</f>
        <v>52985.801173577689</v>
      </c>
      <c r="H5745" s="5" t="s">
        <v>5786</v>
      </c>
      <c r="I5745" s="7">
        <v>1574300</v>
      </c>
      <c r="J5745" s="8">
        <v>3.9300000000000002E-2</v>
      </c>
    </row>
    <row r="5746" spans="1:10" x14ac:dyDescent="0.25">
      <c r="A5746" s="5" t="s">
        <v>5780</v>
      </c>
      <c r="B5746" s="5" t="s">
        <v>7613</v>
      </c>
      <c r="C5746" s="6" t="str">
        <f>_xll.QS.CONTEXT.CREATE("market.5744",A5746,"USD","SOFR")</f>
        <v>QSObject:PricingContext:w1~market.5744:9305</v>
      </c>
      <c r="D5746" s="6" t="str">
        <f>_xll.QS.CONTEXT.ADD.CURVE(C5746,"SOFR",$K$2:$K$7,$L$2:$L$7,,,"Actual360","LogLinear",TRUE)</f>
        <v>QSObject:ContextInput:w1~input.qs_context_add_curve.2359132437744.5745.3.0:34812</v>
      </c>
      <c r="E5746" s="6" t="str">
        <f>_xll.QS.INSTRUMENT.SWAP("swap.5744",H5746,B5746,"USD","SOFR",I5746,J5746,0,"Actual360","Simple","Annual","Annual","Annual")</f>
        <v>QSObject:Swap:w1~swap.5744:9304</v>
      </c>
      <c r="F5746" s="6" t="str">
        <f>_xll.QS.TRADE.CREATE("trade.5744",E5746,A5746,"Receive")</f>
        <v>QSObject:SwapTrade:w1~trade.5744:26185</v>
      </c>
      <c r="G5746" s="3">
        <f>_xll.QS.EVALUATE(C5746,F5746)</f>
        <v>53655.214387934175</v>
      </c>
      <c r="H5746" s="5" t="s">
        <v>5787</v>
      </c>
      <c r="I5746" s="7">
        <v>1574400</v>
      </c>
      <c r="J5746" s="8">
        <v>3.9399999999999998E-2</v>
      </c>
    </row>
    <row r="5747" spans="1:10" x14ac:dyDescent="0.25">
      <c r="A5747" s="5" t="s">
        <v>5781</v>
      </c>
      <c r="B5747" s="5" t="s">
        <v>7614</v>
      </c>
      <c r="C5747" s="6" t="str">
        <f>_xll.QS.CONTEXT.CREATE("market.5745",A5747,"USD","SOFR")</f>
        <v>QSObject:PricingContext:w1~market.5745:9303</v>
      </c>
      <c r="D5747" s="6" t="str">
        <f>_xll.QS.CONTEXT.ADD.CURVE(C5747,"SOFR",$K$2:$K$7,$L$2:$L$7,,,"Actual360","LogLinear",TRUE)</f>
        <v>QSObject:ContextInput:w1~input.qs_context_add_curve.2359132437744.5746.3.0:34811</v>
      </c>
      <c r="E5747" s="6" t="str">
        <f>_xll.QS.INSTRUMENT.SWAP("swap.5745",H5747,B5747,"USD","SOFR",I5747,J5747,0,"Actual360","Simple","Annual","Annual","Annual")</f>
        <v>QSObject:Swap:w1~swap.5745:9302</v>
      </c>
      <c r="F5747" s="6" t="str">
        <f>_xll.QS.TRADE.CREATE("trade.5745",E5747,A5747,"Receive")</f>
        <v>QSObject:SwapTrade:w1~trade.5745:26184</v>
      </c>
      <c r="G5747" s="3">
        <f>_xll.QS.EVALUATE(C5747,F5747)</f>
        <v>54253.299478712048</v>
      </c>
      <c r="H5747" s="5" t="s">
        <v>5788</v>
      </c>
      <c r="I5747" s="7">
        <v>1574500</v>
      </c>
      <c r="J5747" s="8">
        <v>3.9500000000000007E-2</v>
      </c>
    </row>
    <row r="5748" spans="1:10" x14ac:dyDescent="0.25">
      <c r="A5748" s="5" t="s">
        <v>5782</v>
      </c>
      <c r="B5748" s="5" t="s">
        <v>7615</v>
      </c>
      <c r="C5748" s="6" t="str">
        <f>_xll.QS.CONTEXT.CREATE("market.5746",A5748,"USD","SOFR")</f>
        <v>QSObject:PricingContext:w1~market.5746:9301</v>
      </c>
      <c r="D5748" s="6" t="str">
        <f>_xll.QS.CONTEXT.ADD.CURVE(C5748,"SOFR",$K$2:$K$7,$L$2:$L$7,,,"Actual360","LogLinear",TRUE)</f>
        <v>QSObject:ContextInput:w1~input.qs_context_add_curve.2359132437744.5747.3.0:34810</v>
      </c>
      <c r="E5748" s="6" t="str">
        <f>_xll.QS.INSTRUMENT.SWAP("swap.5746",H5748,B5748,"USD","SOFR",I5748,J5748,0,"Actual360","Simple","Annual","Annual","Annual")</f>
        <v>QSObject:Swap:w1~swap.5746:9300</v>
      </c>
      <c r="F5748" s="6" t="str">
        <f>_xll.QS.TRADE.CREATE("trade.5746",E5748,A5748,"Receive")</f>
        <v>QSObject:SwapTrade:w1~trade.5746:26183</v>
      </c>
      <c r="G5748" s="3">
        <f>_xll.QS.EVALUATE(C5748,F5748)</f>
        <v>54888.568341013837</v>
      </c>
      <c r="H5748" s="5" t="s">
        <v>5789</v>
      </c>
      <c r="I5748" s="7">
        <v>1574600</v>
      </c>
      <c r="J5748" s="8">
        <v>3.9600000000000003E-2</v>
      </c>
    </row>
    <row r="5749" spans="1:10" x14ac:dyDescent="0.25">
      <c r="A5749" s="5" t="s">
        <v>5783</v>
      </c>
      <c r="B5749" s="5" t="s">
        <v>7616</v>
      </c>
      <c r="C5749" s="6" t="str">
        <f>_xll.QS.CONTEXT.CREATE("market.5747",A5749,"USD","SOFR")</f>
        <v>QSObject:PricingContext:w1~market.5747:9299</v>
      </c>
      <c r="D5749" s="6" t="str">
        <f>_xll.QS.CONTEXT.ADD.CURVE(C5749,"SOFR",$K$2:$K$7,$L$2:$L$7,,,"Actual360","LogLinear",TRUE)</f>
        <v>QSObject:ContextInput:w1~input.qs_context_add_curve.2359132437744.5748.3.0:34809</v>
      </c>
      <c r="E5749" s="6" t="str">
        <f>_xll.QS.INSTRUMENT.SWAP("swap.5747",H5749,B5749,"USD","SOFR",I5749,J5749,0,"Actual360","Simple","Annual","Annual","Annual")</f>
        <v>QSObject:Swap:w1~swap.5747:9298</v>
      </c>
      <c r="F5749" s="6" t="str">
        <f>_xll.QS.TRADE.CREATE("trade.5747",E5749,A5749,"Receive")</f>
        <v>QSObject:SwapTrade:w1~trade.5747:26182</v>
      </c>
      <c r="G5749" s="3">
        <f>_xll.QS.EVALUATE(C5749,F5749)</f>
        <v>55686.182261015812</v>
      </c>
      <c r="H5749" s="5" t="s">
        <v>5790</v>
      </c>
      <c r="I5749" s="7">
        <v>1574700</v>
      </c>
      <c r="J5749" s="8">
        <v>3.9700000000000013E-2</v>
      </c>
    </row>
    <row r="5750" spans="1:10" x14ac:dyDescent="0.25">
      <c r="A5750" s="5" t="s">
        <v>5784</v>
      </c>
      <c r="B5750" s="5" t="s">
        <v>7617</v>
      </c>
      <c r="C5750" s="6" t="str">
        <f>_xll.QS.CONTEXT.CREATE("market.5748",A5750,"USD","SOFR")</f>
        <v>QSObject:PricingContext:w1~market.5748:9297</v>
      </c>
      <c r="D5750" s="6" t="str">
        <f>_xll.QS.CONTEXT.ADD.CURVE(C5750,"SOFR",$K$2:$K$7,$L$2:$L$7,,,"Actual360","LogLinear",TRUE)</f>
        <v>QSObject:ContextInput:w1~input.qs_context_add_curve.2359132437744.5749.3.0:34808</v>
      </c>
      <c r="E5750" s="6" t="str">
        <f>_xll.QS.INSTRUMENT.SWAP("swap.5748",H5750,B5750,"USD","SOFR",I5750,J5750,0,"Actual360","Simple","Annual","Annual","Annual")</f>
        <v>QSObject:Swap:w1~swap.5748:9296</v>
      </c>
      <c r="F5750" s="6" t="str">
        <f>_xll.QS.TRADE.CREATE("trade.5748",E5750,A5750,"Receive")</f>
        <v>QSObject:SwapTrade:w1~trade.5748:26181</v>
      </c>
      <c r="G5750" s="3">
        <f>_xll.QS.EVALUATE(C5750,F5750)</f>
        <v>56447.872591400454</v>
      </c>
      <c r="H5750" s="5" t="s">
        <v>5791</v>
      </c>
      <c r="I5750" s="7">
        <v>1574800</v>
      </c>
      <c r="J5750" s="8">
        <v>3.9800000000000002E-2</v>
      </c>
    </row>
    <row r="5751" spans="1:10" x14ac:dyDescent="0.25">
      <c r="A5751" s="5" t="s">
        <v>5785</v>
      </c>
      <c r="B5751" s="5" t="s">
        <v>7618</v>
      </c>
      <c r="C5751" s="6" t="str">
        <f>_xll.QS.CONTEXT.CREATE("market.5749",A5751,"USD","SOFR")</f>
        <v>QSObject:PricingContext:w1~market.5749:9295</v>
      </c>
      <c r="D5751" s="6" t="str">
        <f>_xll.QS.CONTEXT.ADD.CURVE(C5751,"SOFR",$K$2:$K$7,$L$2:$L$7,,,"Actual360","LogLinear",TRUE)</f>
        <v>QSObject:ContextInput:w1~input.qs_context_add_curve.2359132437744.5750.3.0:34807</v>
      </c>
      <c r="E5751" s="6" t="str">
        <f>_xll.QS.INSTRUMENT.SWAP("swap.5749",H5751,B5751,"USD","SOFR",I5751,J5751,0,"Actual360","Simple","Annual","Annual","Annual")</f>
        <v>QSObject:Swap:w1~swap.5749:9294</v>
      </c>
      <c r="F5751" s="6" t="str">
        <f>_xll.QS.TRADE.CREATE("trade.5749",E5751,A5751,"Receive")</f>
        <v>QSObject:SwapTrade:w1~trade.5749:26180</v>
      </c>
      <c r="G5751" s="3">
        <f>_xll.QS.EVALUATE(C5751,F5751)</f>
        <v>57293.981144687372</v>
      </c>
      <c r="H5751" s="5" t="s">
        <v>5792</v>
      </c>
      <c r="I5751" s="7">
        <v>1574900</v>
      </c>
      <c r="J5751" s="8">
        <v>3.9899999999999998E-2</v>
      </c>
    </row>
    <row r="5752" spans="1:10" x14ac:dyDescent="0.25">
      <c r="A5752" s="5" t="s">
        <v>5786</v>
      </c>
      <c r="B5752" s="5" t="s">
        <v>7619</v>
      </c>
      <c r="C5752" s="6" t="str">
        <f>_xll.QS.CONTEXT.CREATE("market.5750",A5752,"USD","SOFR")</f>
        <v>QSObject:PricingContext:w1~market.5750:9293</v>
      </c>
      <c r="D5752" s="6" t="str">
        <f>_xll.QS.CONTEXT.ADD.CURVE(C5752,"SOFR",$K$2:$K$7,$L$2:$L$7,,,"Actual360","LogLinear",TRUE)</f>
        <v>QSObject:ContextInput:w1~input.qs_context_add_curve.2359132437744.5751.3.0:34806</v>
      </c>
      <c r="E5752" s="6" t="str">
        <f>_xll.QS.INSTRUMENT.SWAP("swap.5750",H5752,B5752,"USD","SOFR",I5752,J5752,0,"Actual360","Simple","Annual","Annual","Annual")</f>
        <v>QSObject:Swap:w1~swap.5750:9292</v>
      </c>
      <c r="F5752" s="6" t="str">
        <f>_xll.QS.TRADE.CREATE("trade.5750",E5752,A5752,"Receive")</f>
        <v>QSObject:SwapTrade:w1~trade.5750:26179</v>
      </c>
      <c r="G5752" s="3">
        <f>_xll.QS.EVALUATE(C5752,F5752)</f>
        <v>21778.004037623163</v>
      </c>
      <c r="H5752" s="5" t="s">
        <v>5793</v>
      </c>
      <c r="I5752" s="7">
        <v>1575000</v>
      </c>
      <c r="J5752" s="8">
        <v>3.5000000000000003E-2</v>
      </c>
    </row>
    <row r="5753" spans="1:10" x14ac:dyDescent="0.25">
      <c r="A5753" s="5" t="s">
        <v>5787</v>
      </c>
      <c r="B5753" s="5" t="s">
        <v>7620</v>
      </c>
      <c r="C5753" s="6" t="str">
        <f>_xll.QS.CONTEXT.CREATE("market.5751",A5753,"USD","SOFR")</f>
        <v>QSObject:PricingContext:w1~market.5751:9291</v>
      </c>
      <c r="D5753" s="6" t="str">
        <f>_xll.QS.CONTEXT.ADD.CURVE(C5753,"SOFR",$K$2:$K$7,$L$2:$L$7,,,"Actual360","LogLinear",TRUE)</f>
        <v>QSObject:ContextInput:w1~input.qs_context_add_curve.2359132437744.5752.3.0:34805</v>
      </c>
      <c r="E5753" s="6" t="str">
        <f>_xll.QS.INSTRUMENT.SWAP("swap.5751",H5753,B5753,"USD","SOFR",I5753,J5753,0,"Actual360","Simple","Annual","Annual","Annual")</f>
        <v>QSObject:Swap:w1~swap.5751:9290</v>
      </c>
      <c r="F5753" s="6" t="str">
        <f>_xll.QS.TRADE.CREATE("trade.5751",E5753,A5753,"Receive")</f>
        <v>QSObject:SwapTrade:w1~trade.5751:26178</v>
      </c>
      <c r="G5753" s="3">
        <f>_xll.QS.EVALUATE(C5753,F5753)</f>
        <v>22444.982570008899</v>
      </c>
      <c r="H5753" s="5" t="s">
        <v>5794</v>
      </c>
      <c r="I5753" s="7">
        <v>1575100</v>
      </c>
      <c r="J5753" s="8">
        <v>3.5100000000000013E-2</v>
      </c>
    </row>
    <row r="5754" spans="1:10" x14ac:dyDescent="0.25">
      <c r="A5754" s="5" t="s">
        <v>5788</v>
      </c>
      <c r="B5754" s="5" t="s">
        <v>7621</v>
      </c>
      <c r="C5754" s="6" t="str">
        <f>_xll.QS.CONTEXT.CREATE("market.5752",A5754,"USD","SOFR")</f>
        <v>QSObject:PricingContext:w1~market.5752:9289</v>
      </c>
      <c r="D5754" s="6" t="str">
        <f>_xll.QS.CONTEXT.ADD.CURVE(C5754,"SOFR",$K$2:$K$7,$L$2:$L$7,,,"Actual360","LogLinear",TRUE)</f>
        <v>QSObject:ContextInput:w1~input.qs_context_add_curve.2359132437744.5753.3.0:34804</v>
      </c>
      <c r="E5754" s="6" t="str">
        <f>_xll.QS.INSTRUMENT.SWAP("swap.5752",H5754,B5754,"USD","SOFR",I5754,J5754,0,"Actual360","Simple","Annual","Annual","Annual")</f>
        <v>QSObject:Swap:w1~swap.5752:9288</v>
      </c>
      <c r="F5754" s="6" t="str">
        <f>_xll.QS.TRADE.CREATE("trade.5752",E5754,A5754,"Receive")</f>
        <v>QSObject:SwapTrade:w1~trade.5752:26177</v>
      </c>
      <c r="G5754" s="3">
        <f>_xll.QS.EVALUATE(C5754,F5754)</f>
        <v>23063.393433765566</v>
      </c>
      <c r="H5754" s="5" t="s">
        <v>5795</v>
      </c>
      <c r="I5754" s="7">
        <v>1575200</v>
      </c>
      <c r="J5754" s="8">
        <v>3.5200000000000002E-2</v>
      </c>
    </row>
    <row r="5755" spans="1:10" x14ac:dyDescent="0.25">
      <c r="A5755" s="5" t="s">
        <v>5789</v>
      </c>
      <c r="B5755" s="5" t="s">
        <v>7622</v>
      </c>
      <c r="C5755" s="6" t="str">
        <f>_xll.QS.CONTEXT.CREATE("market.5753",A5755,"USD","SOFR")</f>
        <v>QSObject:PricingContext:w1~market.5753:9287</v>
      </c>
      <c r="D5755" s="6" t="str">
        <f>_xll.QS.CONTEXT.ADD.CURVE(C5755,"SOFR",$K$2:$K$7,$L$2:$L$7,,,"Actual360","LogLinear",TRUE)</f>
        <v>QSObject:ContextInput:w1~input.qs_context_add_curve.2359132437744.5754.3.0:34803</v>
      </c>
      <c r="E5755" s="6" t="str">
        <f>_xll.QS.INSTRUMENT.SWAP("swap.5753",H5755,B5755,"USD","SOFR",I5755,J5755,0,"Actual360","Simple","Annual","Annual","Annual")</f>
        <v>QSObject:Swap:w1~swap.5753:9286</v>
      </c>
      <c r="F5755" s="6" t="str">
        <f>_xll.QS.TRADE.CREATE("trade.5753",E5755,A5755,"Receive")</f>
        <v>QSObject:SwapTrade:w1~trade.5753:26176</v>
      </c>
      <c r="G5755" s="3">
        <f>_xll.QS.EVALUATE(C5755,F5755)</f>
        <v>23600.240039147422</v>
      </c>
      <c r="H5755" s="5" t="s">
        <v>5796</v>
      </c>
      <c r="I5755" s="7">
        <v>1575300</v>
      </c>
      <c r="J5755" s="8">
        <v>3.5299999999999998E-2</v>
      </c>
    </row>
    <row r="5756" spans="1:10" x14ac:dyDescent="0.25">
      <c r="A5756" s="5" t="s">
        <v>5790</v>
      </c>
      <c r="B5756" s="5" t="s">
        <v>7623</v>
      </c>
      <c r="C5756" s="6" t="str">
        <f>_xll.QS.CONTEXT.CREATE("market.5754",A5756,"USD","SOFR")</f>
        <v>QSObject:PricingContext:w1~market.5754:9285</v>
      </c>
      <c r="D5756" s="6" t="str">
        <f>_xll.QS.CONTEXT.ADD.CURVE(C5756,"SOFR",$K$2:$K$7,$L$2:$L$7,,,"Actual360","LogLinear",TRUE)</f>
        <v>QSObject:ContextInput:w1~input.qs_context_add_curve.2359132437744.5755.3.0:34802</v>
      </c>
      <c r="E5756" s="6" t="str">
        <f>_xll.QS.INSTRUMENT.SWAP("swap.5754",H5756,B5756,"USD","SOFR",I5756,J5756,0,"Actual360","Simple","Annual","Annual","Annual")</f>
        <v>QSObject:Swap:w1~swap.5754:9284</v>
      </c>
      <c r="F5756" s="6" t="str">
        <f>_xll.QS.TRADE.CREATE("trade.5754",E5756,A5756,"Receive")</f>
        <v>QSObject:SwapTrade:w1~trade.5754:26175</v>
      </c>
      <c r="G5756" s="3">
        <f>_xll.QS.EVALUATE(C5756,F5756)</f>
        <v>24393.584603989031</v>
      </c>
      <c r="H5756" s="5" t="s">
        <v>5797</v>
      </c>
      <c r="I5756" s="7">
        <v>1575400</v>
      </c>
      <c r="J5756" s="8">
        <v>3.5400000000000001E-2</v>
      </c>
    </row>
    <row r="5757" spans="1:10" x14ac:dyDescent="0.25">
      <c r="A5757" s="5" t="s">
        <v>5791</v>
      </c>
      <c r="B5757" s="5" t="s">
        <v>7624</v>
      </c>
      <c r="C5757" s="6" t="str">
        <f>_xll.QS.CONTEXT.CREATE("market.5755",A5757,"USD","SOFR")</f>
        <v>QSObject:PricingContext:w1~market.5755:9283</v>
      </c>
      <c r="D5757" s="6" t="str">
        <f>_xll.QS.CONTEXT.ADD.CURVE(C5757,"SOFR",$K$2:$K$7,$L$2:$L$7,,,"Actual360","LogLinear",TRUE)</f>
        <v>QSObject:ContextInput:w1~input.qs_context_add_curve.2359132437744.5756.3.0:34801</v>
      </c>
      <c r="E5757" s="6" t="str">
        <f>_xll.QS.INSTRUMENT.SWAP("swap.5755",H5757,B5757,"USD","SOFR",I5757,J5757,0,"Actual360","Simple","Annual","Annual","Annual")</f>
        <v>QSObject:Swap:w1~swap.5755:9282</v>
      </c>
      <c r="F5757" s="6" t="str">
        <f>_xll.QS.TRADE.CREATE("trade.5755",E5757,A5757,"Receive")</f>
        <v>QSObject:SwapTrade:w1~trade.5755:26174</v>
      </c>
      <c r="G5757" s="3">
        <f>_xll.QS.EVALUATE(C5757,F5757)</f>
        <v>25187.0535725464</v>
      </c>
      <c r="H5757" s="5" t="s">
        <v>5798</v>
      </c>
      <c r="I5757" s="7">
        <v>1575500</v>
      </c>
      <c r="J5757" s="8">
        <v>3.5499999999999997E-2</v>
      </c>
    </row>
    <row r="5758" spans="1:10" x14ac:dyDescent="0.25">
      <c r="A5758" s="5" t="s">
        <v>5792</v>
      </c>
      <c r="B5758" s="5" t="s">
        <v>7625</v>
      </c>
      <c r="C5758" s="6" t="str">
        <f>_xll.QS.CONTEXT.CREATE("market.5756",A5758,"USD","SOFR")</f>
        <v>QSObject:PricingContext:w1~market.5756:9281</v>
      </c>
      <c r="D5758" s="6" t="str">
        <f>_xll.QS.CONTEXT.ADD.CURVE(C5758,"SOFR",$K$2:$K$7,$L$2:$L$7,,,"Actual360","LogLinear",TRUE)</f>
        <v>QSObject:ContextInput:w1~input.qs_context_add_curve.2359132437744.5757.3.0:34800</v>
      </c>
      <c r="E5758" s="6" t="str">
        <f>_xll.QS.INSTRUMENT.SWAP("swap.5756",H5758,B5758,"USD","SOFR",I5758,J5758,0,"Actual360","Simple","Annual","Annual","Annual")</f>
        <v>QSObject:Swap:w1~swap.5756:9280</v>
      </c>
      <c r="F5758" s="6" t="str">
        <f>_xll.QS.TRADE.CREATE("trade.5756",E5758,A5758,"Receive")</f>
        <v>QSObject:SwapTrade:w1~trade.5756:26173</v>
      </c>
      <c r="G5758" s="3">
        <f>_xll.QS.EVALUATE(C5758,F5758)</f>
        <v>26135.24961419787</v>
      </c>
      <c r="H5758" s="5" t="s">
        <v>5799</v>
      </c>
      <c r="I5758" s="7">
        <v>1575600</v>
      </c>
      <c r="J5758" s="8">
        <v>3.5600000000000007E-2</v>
      </c>
    </row>
    <row r="5759" spans="1:10" x14ac:dyDescent="0.25">
      <c r="A5759" s="5" t="s">
        <v>5793</v>
      </c>
      <c r="B5759" s="5" t="s">
        <v>7626</v>
      </c>
      <c r="C5759" s="6" t="str">
        <f>_xll.QS.CONTEXT.CREATE("market.5757",A5759,"USD","SOFR")</f>
        <v>QSObject:PricingContext:w1~market.5757:9279</v>
      </c>
      <c r="D5759" s="6" t="str">
        <f>_xll.QS.CONTEXT.ADD.CURVE(C5759,"SOFR",$K$2:$K$7,$L$2:$L$7,,,"Actual360","LogLinear",TRUE)</f>
        <v>QSObject:ContextInput:w1~input.qs_context_add_curve.2359132437744.5758.3.0:34799</v>
      </c>
      <c r="E5759" s="6" t="str">
        <f>_xll.QS.INSTRUMENT.SWAP("swap.5757",H5759,B5759,"USD","SOFR",I5759,J5759,0,"Actual360","Simple","Annual","Annual","Annual")</f>
        <v>QSObject:Swap:w1~swap.5757:9278</v>
      </c>
      <c r="F5759" s="6" t="str">
        <f>_xll.QS.TRADE.CREATE("trade.5757",E5759,A5759,"Receive")</f>
        <v>QSObject:SwapTrade:w1~trade.5757:26172</v>
      </c>
      <c r="G5759" s="3">
        <f>_xll.QS.EVALUATE(C5759,F5759)</f>
        <v>26878.220146404296</v>
      </c>
      <c r="H5759" s="5" t="s">
        <v>5800</v>
      </c>
      <c r="I5759" s="7">
        <v>1575700</v>
      </c>
      <c r="J5759" s="8">
        <v>3.5700000000000003E-2</v>
      </c>
    </row>
    <row r="5760" spans="1:10" x14ac:dyDescent="0.25">
      <c r="A5760" s="5" t="s">
        <v>5794</v>
      </c>
      <c r="B5760" s="5" t="s">
        <v>7627</v>
      </c>
      <c r="C5760" s="6" t="str">
        <f>_xll.QS.CONTEXT.CREATE("market.5758",A5760,"USD","SOFR")</f>
        <v>QSObject:PricingContext:w1~market.5758:9277</v>
      </c>
      <c r="D5760" s="6" t="str">
        <f>_xll.QS.CONTEXT.ADD.CURVE(C5760,"SOFR",$K$2:$K$7,$L$2:$L$7,,,"Actual360","LogLinear",TRUE)</f>
        <v>QSObject:ContextInput:w1~input.qs_context_add_curve.2359132437744.5759.3.0:34798</v>
      </c>
      <c r="E5760" s="6" t="str">
        <f>_xll.QS.INSTRUMENT.SWAP("swap.5758",H5760,B5760,"USD","SOFR",I5760,J5760,0,"Actual360","Simple","Annual","Annual","Annual")</f>
        <v>QSObject:Swap:w1~swap.5758:9276</v>
      </c>
      <c r="F5760" s="6" t="str">
        <f>_xll.QS.TRADE.CREATE("trade.5758",E5760,A5760,"Receive")</f>
        <v>QSObject:SwapTrade:w1~trade.5758:26171</v>
      </c>
      <c r="G5760" s="3">
        <f>_xll.QS.EVALUATE(C5760,F5760)</f>
        <v>27605.523350789445</v>
      </c>
      <c r="H5760" s="5" t="s">
        <v>5801</v>
      </c>
      <c r="I5760" s="7">
        <v>1575800</v>
      </c>
      <c r="J5760" s="8">
        <v>3.5800000000000012E-2</v>
      </c>
    </row>
    <row r="5761" spans="1:10" x14ac:dyDescent="0.25">
      <c r="A5761" s="5" t="s">
        <v>5795</v>
      </c>
      <c r="B5761" s="5" t="s">
        <v>7628</v>
      </c>
      <c r="C5761" s="6" t="str">
        <f>_xll.QS.CONTEXT.CREATE("market.5759",A5761,"USD","SOFR")</f>
        <v>QSObject:PricingContext:w1~market.5759:9275</v>
      </c>
      <c r="D5761" s="6" t="str">
        <f>_xll.QS.CONTEXT.ADD.CURVE(C5761,"SOFR",$K$2:$K$7,$L$2:$L$7,,,"Actual360","LogLinear",TRUE)</f>
        <v>QSObject:ContextInput:w1~input.qs_context_add_curve.2359132437744.5760.3.0:34797</v>
      </c>
      <c r="E5761" s="6" t="str">
        <f>_xll.QS.INSTRUMENT.SWAP("swap.5759",H5761,B5761,"USD","SOFR",I5761,J5761,0,"Actual360","Simple","Annual","Annual","Annual")</f>
        <v>QSObject:Swap:w1~swap.5759:9274</v>
      </c>
      <c r="F5761" s="6" t="str">
        <f>_xll.QS.TRADE.CREATE("trade.5759",E5761,A5761,"Receive")</f>
        <v>QSObject:SwapTrade:w1~trade.5759:26170</v>
      </c>
      <c r="G5761" s="3">
        <f>_xll.QS.EVALUATE(C5761,F5761)</f>
        <v>28234.266508114604</v>
      </c>
      <c r="H5761" s="5" t="s">
        <v>5802</v>
      </c>
      <c r="I5761" s="7">
        <v>1575900</v>
      </c>
      <c r="J5761" s="8">
        <v>3.5900000000000001E-2</v>
      </c>
    </row>
    <row r="5762" spans="1:10" x14ac:dyDescent="0.25">
      <c r="A5762" s="5" t="s">
        <v>5796</v>
      </c>
      <c r="B5762" s="5" t="s">
        <v>7629</v>
      </c>
      <c r="C5762" s="6" t="str">
        <f>_xll.QS.CONTEXT.CREATE("market.5760",A5762,"USD","SOFR")</f>
        <v>QSObject:PricingContext:w1~market.5760:9273</v>
      </c>
      <c r="D5762" s="6" t="str">
        <f>_xll.QS.CONTEXT.ADD.CURVE(C5762,"SOFR",$K$2:$K$7,$L$2:$L$7,,,"Actual360","LogLinear",TRUE)</f>
        <v>QSObject:ContextInput:w1~input.qs_context_add_curve.2359132437744.5761.3.0:34796</v>
      </c>
      <c r="E5762" s="6" t="str">
        <f>_xll.QS.INSTRUMENT.SWAP("swap.5760",H5762,B5762,"USD","SOFR",I5762,J5762,0,"Actual360","Simple","Annual","Annual","Annual")</f>
        <v>QSObject:Swap:w1~swap.5760:9272</v>
      </c>
      <c r="F5762" s="6" t="str">
        <f>_xll.QS.TRADE.CREATE("trade.5760",E5762,A5762,"Receive")</f>
        <v>QSObject:SwapTrade:w1~trade.5760:26169</v>
      </c>
      <c r="G5762" s="3">
        <f>_xll.QS.EVALUATE(C5762,F5762)</f>
        <v>28827.74148688581</v>
      </c>
      <c r="H5762" s="5" t="s">
        <v>5803</v>
      </c>
      <c r="I5762" s="7">
        <v>1576000</v>
      </c>
      <c r="J5762" s="8">
        <v>3.5999999999999997E-2</v>
      </c>
    </row>
    <row r="5763" spans="1:10" x14ac:dyDescent="0.25">
      <c r="A5763" s="5" t="s">
        <v>5797</v>
      </c>
      <c r="B5763" s="5" t="s">
        <v>7630</v>
      </c>
      <c r="C5763" s="6" t="str">
        <f>_xll.QS.CONTEXT.CREATE("market.5761",A5763,"USD","SOFR")</f>
        <v>QSObject:PricingContext:w1~market.5761:9271</v>
      </c>
      <c r="D5763" s="6" t="str">
        <f>_xll.QS.CONTEXT.ADD.CURVE(C5763,"SOFR",$K$2:$K$7,$L$2:$L$7,,,"Actual360","LogLinear",TRUE)</f>
        <v>QSObject:ContextInput:w1~input.qs_context_add_curve.2359132437744.5762.3.0:34795</v>
      </c>
      <c r="E5763" s="6" t="str">
        <f>_xll.QS.INSTRUMENT.SWAP("swap.5761",H5763,B5763,"USD","SOFR",I5763,J5763,0,"Actual360","Simple","Annual","Annual","Annual")</f>
        <v>QSObject:Swap:w1~swap.5761:9270</v>
      </c>
      <c r="F5763" s="6" t="str">
        <f>_xll.QS.TRADE.CREATE("trade.5761",E5763,A5763,"Receive")</f>
        <v>QSObject:SwapTrade:w1~trade.5761:26168</v>
      </c>
      <c r="G5763" s="3">
        <f>_xll.QS.EVALUATE(C5763,F5763)</f>
        <v>29558.786557317493</v>
      </c>
      <c r="H5763" s="5" t="s">
        <v>5804</v>
      </c>
      <c r="I5763" s="7">
        <v>1576100</v>
      </c>
      <c r="J5763" s="8">
        <v>3.61E-2</v>
      </c>
    </row>
    <row r="5764" spans="1:10" x14ac:dyDescent="0.25">
      <c r="A5764" s="5" t="s">
        <v>5798</v>
      </c>
      <c r="B5764" s="5" t="s">
        <v>7631</v>
      </c>
      <c r="C5764" s="6" t="str">
        <f>_xll.QS.CONTEXT.CREATE("market.5762",A5764,"USD","SOFR")</f>
        <v>QSObject:PricingContext:w1~market.5762:9269</v>
      </c>
      <c r="D5764" s="6" t="str">
        <f>_xll.QS.CONTEXT.ADD.CURVE(C5764,"SOFR",$K$2:$K$7,$L$2:$L$7,,,"Actual360","LogLinear",TRUE)</f>
        <v>QSObject:ContextInput:w1~input.qs_context_add_curve.2359132437744.5763.3.0:34794</v>
      </c>
      <c r="E5764" s="6" t="str">
        <f>_xll.QS.INSTRUMENT.SWAP("swap.5762",H5764,B5764,"USD","SOFR",I5764,J5764,0,"Actual360","Simple","Annual","Annual","Annual")</f>
        <v>QSObject:Swap:w1~swap.5762:9268</v>
      </c>
      <c r="F5764" s="6" t="str">
        <f>_xll.QS.TRADE.CREATE("trade.5762",E5764,A5764,"Receive")</f>
        <v>QSObject:SwapTrade:w1~trade.5762:26167</v>
      </c>
      <c r="G5764" s="3">
        <f>_xll.QS.EVALUATE(C5764,F5764)</f>
        <v>30332.992017095137</v>
      </c>
      <c r="H5764" s="5" t="s">
        <v>5805</v>
      </c>
      <c r="I5764" s="7">
        <v>1576200</v>
      </c>
      <c r="J5764" s="8">
        <v>3.6200000000000003E-2</v>
      </c>
    </row>
    <row r="5765" spans="1:10" x14ac:dyDescent="0.25">
      <c r="A5765" s="5" t="s">
        <v>5799</v>
      </c>
      <c r="B5765" s="5" t="s">
        <v>7632</v>
      </c>
      <c r="C5765" s="6" t="str">
        <f>_xll.QS.CONTEXT.CREATE("market.5763",A5765,"USD","SOFR")</f>
        <v>QSObject:PricingContext:w1~market.5763:9267</v>
      </c>
      <c r="D5765" s="6" t="str">
        <f>_xll.QS.CONTEXT.ADD.CURVE(C5765,"SOFR",$K$2:$K$7,$L$2:$L$7,,,"Actual360","LogLinear",TRUE)</f>
        <v>QSObject:ContextInput:w1~input.qs_context_add_curve.2359132437744.5764.3.0:34793</v>
      </c>
      <c r="E5765" s="6" t="str">
        <f>_xll.QS.INSTRUMENT.SWAP("swap.5763",H5765,B5765,"USD","SOFR",I5765,J5765,0,"Actual360","Simple","Annual","Annual","Annual")</f>
        <v>QSObject:Swap:w1~swap.5763:9266</v>
      </c>
      <c r="F5765" s="6" t="str">
        <f>_xll.QS.TRADE.CREATE("trade.5763",E5765,A5765,"Receive")</f>
        <v>QSObject:SwapTrade:w1~trade.5763:26166</v>
      </c>
      <c r="G5765" s="3">
        <f>_xll.QS.EVALUATE(C5765,F5765)</f>
        <v>31177.060441321104</v>
      </c>
      <c r="H5765" s="5" t="s">
        <v>5806</v>
      </c>
      <c r="I5765" s="7">
        <v>1576300</v>
      </c>
      <c r="J5765" s="8">
        <v>3.6300000000000013E-2</v>
      </c>
    </row>
    <row r="5766" spans="1:10" x14ac:dyDescent="0.25">
      <c r="A5766" s="5" t="s">
        <v>5800</v>
      </c>
      <c r="B5766" s="5" t="s">
        <v>7633</v>
      </c>
      <c r="C5766" s="6" t="str">
        <f>_xll.QS.CONTEXT.CREATE("market.5764",A5766,"USD","SOFR")</f>
        <v>QSObject:PricingContext:w1~market.5764:9265</v>
      </c>
      <c r="D5766" s="6" t="str">
        <f>_xll.QS.CONTEXT.ADD.CURVE(C5766,"SOFR",$K$2:$K$7,$L$2:$L$7,,,"Actual360","LogLinear",TRUE)</f>
        <v>QSObject:ContextInput:w1~input.qs_context_add_curve.2359132437744.5765.3.0:34792</v>
      </c>
      <c r="E5766" s="6" t="str">
        <f>_xll.QS.INSTRUMENT.SWAP("swap.5764",H5766,B5766,"USD","SOFR",I5766,J5766,0,"Actual360","Simple","Annual","Annual","Annual")</f>
        <v>QSObject:Swap:w1~swap.5764:9264</v>
      </c>
      <c r="F5766" s="6" t="str">
        <f>_xll.QS.TRADE.CREATE("trade.5764",E5766,A5766,"Receive")</f>
        <v>QSObject:SwapTrade:w1~trade.5764:26165</v>
      </c>
      <c r="G5766" s="3">
        <f>_xll.QS.EVALUATE(C5766,F5766)</f>
        <v>31974.752214268316</v>
      </c>
      <c r="H5766" s="5" t="s">
        <v>5807</v>
      </c>
      <c r="I5766" s="7">
        <v>1576400</v>
      </c>
      <c r="J5766" s="8">
        <v>3.6400000000000002E-2</v>
      </c>
    </row>
    <row r="5767" spans="1:10" x14ac:dyDescent="0.25">
      <c r="A5767" s="5" t="s">
        <v>5801</v>
      </c>
      <c r="B5767" s="5" t="s">
        <v>7634</v>
      </c>
      <c r="C5767" s="6" t="str">
        <f>_xll.QS.CONTEXT.CREATE("market.5765",A5767,"USD","SOFR")</f>
        <v>QSObject:PricingContext:w1~market.5765:9263</v>
      </c>
      <c r="D5767" s="6" t="str">
        <f>_xll.QS.CONTEXT.ADD.CURVE(C5767,"SOFR",$K$2:$K$7,$L$2:$L$7,,,"Actual360","LogLinear",TRUE)</f>
        <v>QSObject:ContextInput:w1~input.qs_context_add_curve.2359132437744.5766.3.0:34791</v>
      </c>
      <c r="E5767" s="6" t="str">
        <f>_xll.QS.INSTRUMENT.SWAP("swap.5765",H5767,B5767,"USD","SOFR",I5767,J5767,0,"Actual360","Simple","Annual","Annual","Annual")</f>
        <v>QSObject:Swap:w1~swap.5765:9262</v>
      </c>
      <c r="F5767" s="6" t="str">
        <f>_xll.QS.TRADE.CREATE("trade.5765",E5767,A5767,"Receive")</f>
        <v>QSObject:SwapTrade:w1~trade.5765:26164</v>
      </c>
      <c r="G5767" s="3">
        <f>_xll.QS.EVALUATE(C5767,F5767)</f>
        <v>32643.219930766216</v>
      </c>
      <c r="H5767" s="5" t="s">
        <v>5808</v>
      </c>
      <c r="I5767" s="7">
        <v>1576500</v>
      </c>
      <c r="J5767" s="8">
        <v>3.6499999999999998E-2</v>
      </c>
    </row>
    <row r="5768" spans="1:10" x14ac:dyDescent="0.25">
      <c r="A5768" s="5" t="s">
        <v>5802</v>
      </c>
      <c r="B5768" s="5" t="s">
        <v>7635</v>
      </c>
      <c r="C5768" s="6" t="str">
        <f>_xll.QS.CONTEXT.CREATE("market.5766",A5768,"USD","SOFR")</f>
        <v>QSObject:PricingContext:w1~market.5766:9261</v>
      </c>
      <c r="D5768" s="6" t="str">
        <f>_xll.QS.CONTEXT.ADD.CURVE(C5768,"SOFR",$K$2:$K$7,$L$2:$L$7,,,"Actual360","LogLinear",TRUE)</f>
        <v>QSObject:ContextInput:w1~input.qs_context_add_curve.2359132437744.5767.3.0:34790</v>
      </c>
      <c r="E5768" s="6" t="str">
        <f>_xll.QS.INSTRUMENT.SWAP("swap.5766",H5768,B5768,"USD","SOFR",I5768,J5768,0,"Actual360","Simple","Annual","Annual","Annual")</f>
        <v>QSObject:Swap:w1~swap.5766:9260</v>
      </c>
      <c r="F5768" s="6" t="str">
        <f>_xll.QS.TRADE.CREATE("trade.5766",E5768,A5768,"Receive")</f>
        <v>QSObject:SwapTrade:w1~trade.5766:26163</v>
      </c>
      <c r="G5768" s="3">
        <f>_xll.QS.EVALUATE(C5768,F5768)</f>
        <v>33266.563380657906</v>
      </c>
      <c r="H5768" s="5" t="s">
        <v>5809</v>
      </c>
      <c r="I5768" s="7">
        <v>1576600</v>
      </c>
      <c r="J5768" s="8">
        <v>3.6600000000000001E-2</v>
      </c>
    </row>
    <row r="5769" spans="1:10" x14ac:dyDescent="0.25">
      <c r="A5769" s="5" t="s">
        <v>5803</v>
      </c>
      <c r="B5769" s="5" t="s">
        <v>7636</v>
      </c>
      <c r="C5769" s="6" t="str">
        <f>_xll.QS.CONTEXT.CREATE("market.5767",A5769,"USD","SOFR")</f>
        <v>QSObject:PricingContext:w1~market.5767:9259</v>
      </c>
      <c r="D5769" s="6" t="str">
        <f>_xll.QS.CONTEXT.ADD.CURVE(C5769,"SOFR",$K$2:$K$7,$L$2:$L$7,,,"Actual360","LogLinear",TRUE)</f>
        <v>QSObject:ContextInput:w1~input.qs_context_add_curve.2359132437744.5768.3.0:34789</v>
      </c>
      <c r="E5769" s="6" t="str">
        <f>_xll.QS.INSTRUMENT.SWAP("swap.5767",H5769,B5769,"USD","SOFR",I5769,J5769,0,"Actual360","Simple","Annual","Annual","Annual")</f>
        <v>QSObject:Swap:w1~swap.5767:9258</v>
      </c>
      <c r="F5769" s="6" t="str">
        <f>_xll.QS.TRADE.CREATE("trade.5767",E5769,A5769,"Receive")</f>
        <v>QSObject:SwapTrade:w1~trade.5767:26162</v>
      </c>
      <c r="G5769" s="3">
        <f>_xll.QS.EVALUATE(C5769,F5769)</f>
        <v>33868.650089505994</v>
      </c>
      <c r="H5769" s="5" t="s">
        <v>5810</v>
      </c>
      <c r="I5769" s="7">
        <v>1576700</v>
      </c>
      <c r="J5769" s="8">
        <v>3.6700000000000003E-2</v>
      </c>
    </row>
    <row r="5770" spans="1:10" x14ac:dyDescent="0.25">
      <c r="A5770" s="5" t="s">
        <v>5804</v>
      </c>
      <c r="B5770" s="5" t="s">
        <v>7637</v>
      </c>
      <c r="C5770" s="6" t="str">
        <f>_xll.QS.CONTEXT.CREATE("market.5768",A5770,"USD","SOFR")</f>
        <v>QSObject:PricingContext:w1~market.5768:9257</v>
      </c>
      <c r="D5770" s="6" t="str">
        <f>_xll.QS.CONTEXT.ADD.CURVE(C5770,"SOFR",$K$2:$K$7,$L$2:$L$7,,,"Actual360","LogLinear",TRUE)</f>
        <v>QSObject:ContextInput:w1~input.qs_context_add_curve.2359132437744.5769.3.0:34788</v>
      </c>
      <c r="E5770" s="6" t="str">
        <f>_xll.QS.INSTRUMENT.SWAP("swap.5768",H5770,B5770,"USD","SOFR",I5770,J5770,0,"Actual360","Simple","Annual","Annual","Annual")</f>
        <v>QSObject:Swap:w1~swap.5768:9256</v>
      </c>
      <c r="F5770" s="6" t="str">
        <f>_xll.QS.TRADE.CREATE("trade.5768",E5770,A5770,"Receive")</f>
        <v>QSObject:SwapTrade:w1~trade.5768:26161</v>
      </c>
      <c r="G5770" s="3">
        <f>_xll.QS.EVALUATE(C5770,F5770)</f>
        <v>34663.941889055539</v>
      </c>
      <c r="H5770" s="5" t="s">
        <v>5811</v>
      </c>
      <c r="I5770" s="7">
        <v>1576800</v>
      </c>
      <c r="J5770" s="8">
        <v>3.6800000000000013E-2</v>
      </c>
    </row>
    <row r="5771" spans="1:10" x14ac:dyDescent="0.25">
      <c r="A5771" s="5" t="s">
        <v>5805</v>
      </c>
      <c r="B5771" s="5" t="s">
        <v>7638</v>
      </c>
      <c r="C5771" s="6" t="str">
        <f>_xll.QS.CONTEXT.CREATE("market.5769",A5771,"USD","SOFR")</f>
        <v>QSObject:PricingContext:w1~market.5769:9255</v>
      </c>
      <c r="D5771" s="6" t="str">
        <f>_xll.QS.CONTEXT.ADD.CURVE(C5771,"SOFR",$K$2:$K$7,$L$2:$L$7,,,"Actual360","LogLinear",TRUE)</f>
        <v>QSObject:ContextInput:w1~input.qs_context_add_curve.2359132437744.5770.3.0:34787</v>
      </c>
      <c r="E5771" s="6" t="str">
        <f>_xll.QS.INSTRUMENT.SWAP("swap.5769",H5771,B5771,"USD","SOFR",I5771,J5771,0,"Actual360","Simple","Annual","Annual","Annual")</f>
        <v>QSObject:Swap:w1~swap.5769:9254</v>
      </c>
      <c r="F5771" s="6" t="str">
        <f>_xll.QS.TRADE.CREATE("trade.5769",E5771,A5771,"Receive")</f>
        <v>QSObject:SwapTrade:w1~trade.5769:26160</v>
      </c>
      <c r="G5771" s="3">
        <f>_xll.QS.EVALUATE(C5771,F5771)</f>
        <v>35436.506819880313</v>
      </c>
      <c r="H5771" s="5" t="s">
        <v>5812</v>
      </c>
      <c r="I5771" s="7">
        <v>1576900</v>
      </c>
      <c r="J5771" s="8">
        <v>3.6900000000000002E-2</v>
      </c>
    </row>
    <row r="5772" spans="1:10" x14ac:dyDescent="0.25">
      <c r="A5772" s="5" t="s">
        <v>5806</v>
      </c>
      <c r="B5772" s="5" t="s">
        <v>7639</v>
      </c>
      <c r="C5772" s="6" t="str">
        <f>_xll.QS.CONTEXT.CREATE("market.5770",A5772,"USD","SOFR")</f>
        <v>QSObject:PricingContext:w1~market.5770:9253</v>
      </c>
      <c r="D5772" s="6" t="str">
        <f>_xll.QS.CONTEXT.ADD.CURVE(C5772,"SOFR",$K$2:$K$7,$L$2:$L$7,,,"Actual360","LogLinear",TRUE)</f>
        <v>QSObject:ContextInput:w1~input.qs_context_add_curve.2359132437744.5771.3.0:34786</v>
      </c>
      <c r="E5772" s="6" t="str">
        <f>_xll.QS.INSTRUMENT.SWAP("swap.5770",H5772,B5772,"USD","SOFR",I5772,J5772,0,"Actual360","Simple","Annual","Annual","Annual")</f>
        <v>QSObject:Swap:w1~swap.5770:9252</v>
      </c>
      <c r="F5772" s="6" t="str">
        <f>_xll.QS.TRADE.CREATE("trade.5770",E5772,A5772,"Receive")</f>
        <v>QSObject:SwapTrade:w1~trade.5770:26159</v>
      </c>
      <c r="G5772" s="3">
        <f>_xll.QS.EVALUATE(C5772,F5772)</f>
        <v>36281.417688527035</v>
      </c>
      <c r="H5772" s="5" t="s">
        <v>5813</v>
      </c>
      <c r="I5772" s="7">
        <v>1577000</v>
      </c>
      <c r="J5772" s="8">
        <v>3.7000000000000012E-2</v>
      </c>
    </row>
    <row r="5773" spans="1:10" x14ac:dyDescent="0.25">
      <c r="A5773" s="5" t="s">
        <v>5807</v>
      </c>
      <c r="B5773" s="5" t="s">
        <v>7640</v>
      </c>
      <c r="C5773" s="6" t="str">
        <f>_xll.QS.CONTEXT.CREATE("market.5771",A5773,"USD","SOFR")</f>
        <v>QSObject:PricingContext:w1~market.5771:9251</v>
      </c>
      <c r="D5773" s="6" t="str">
        <f>_xll.QS.CONTEXT.ADD.CURVE(C5773,"SOFR",$K$2:$K$7,$L$2:$L$7,,,"Actual360","LogLinear",TRUE)</f>
        <v>QSObject:ContextInput:w1~input.qs_context_add_curve.2359132437744.5772.3.0:34785</v>
      </c>
      <c r="E5773" s="6" t="str">
        <f>_xll.QS.INSTRUMENT.SWAP("swap.5771",H5773,B5773,"USD","SOFR",I5773,J5773,0,"Actual360","Simple","Annual","Annual","Annual")</f>
        <v>QSObject:Swap:w1~swap.5771:9250</v>
      </c>
      <c r="F5773" s="6" t="str">
        <f>_xll.QS.TRADE.CREATE("trade.5771",E5773,A5773,"Receive")</f>
        <v>QSObject:SwapTrade:w1~trade.5771:26158</v>
      </c>
      <c r="G5773" s="3">
        <f>_xll.QS.EVALUATE(C5773,F5773)</f>
        <v>37079.844120316375</v>
      </c>
      <c r="H5773" s="5" t="s">
        <v>5814</v>
      </c>
      <c r="I5773" s="7">
        <v>1577100</v>
      </c>
      <c r="J5773" s="8">
        <v>3.7100000000000001E-2</v>
      </c>
    </row>
    <row r="5774" spans="1:10" x14ac:dyDescent="0.25">
      <c r="A5774" s="5" t="s">
        <v>5808</v>
      </c>
      <c r="B5774" s="5" t="s">
        <v>7641</v>
      </c>
      <c r="C5774" s="6" t="str">
        <f>_xll.QS.CONTEXT.CREATE("market.5772",A5774,"USD","SOFR")</f>
        <v>QSObject:PricingContext:w1~market.5772:9249</v>
      </c>
      <c r="D5774" s="6" t="str">
        <f>_xll.QS.CONTEXT.ADD.CURVE(C5774,"SOFR",$K$2:$K$7,$L$2:$L$7,,,"Actual360","LogLinear",TRUE)</f>
        <v>QSObject:ContextInput:w1~input.qs_context_add_curve.2359132437744.5773.3.0:34784</v>
      </c>
      <c r="E5774" s="6" t="str">
        <f>_xll.QS.INSTRUMENT.SWAP("swap.5772",H5774,B5774,"USD","SOFR",I5774,J5774,0,"Actual360","Simple","Annual","Annual","Annual")</f>
        <v>QSObject:Swap:w1~swap.5772:9248</v>
      </c>
      <c r="F5774" s="6" t="str">
        <f>_xll.QS.TRADE.CREATE("trade.5772",E5774,A5774,"Receive")</f>
        <v>QSObject:SwapTrade:w1~trade.5772:26157</v>
      </c>
      <c r="G5774" s="3">
        <f>_xll.QS.EVALUATE(C5774,F5774)</f>
        <v>37748.874621367519</v>
      </c>
      <c r="H5774" s="5" t="s">
        <v>5815</v>
      </c>
      <c r="I5774" s="7">
        <v>1577200</v>
      </c>
      <c r="J5774" s="8">
        <v>3.7199999999999997E-2</v>
      </c>
    </row>
    <row r="5775" spans="1:10" x14ac:dyDescent="0.25">
      <c r="A5775" s="5" t="s">
        <v>5809</v>
      </c>
      <c r="B5775" s="5" t="s">
        <v>7642</v>
      </c>
      <c r="C5775" s="6" t="str">
        <f>_xll.QS.CONTEXT.CREATE("market.5773",A5775,"USD","SOFR")</f>
        <v>QSObject:PricingContext:w1~market.5773:9247</v>
      </c>
      <c r="D5775" s="6" t="str">
        <f>_xll.QS.CONTEXT.ADD.CURVE(C5775,"SOFR",$K$2:$K$7,$L$2:$L$7,,,"Actual360","LogLinear",TRUE)</f>
        <v>QSObject:ContextInput:w1~input.qs_context_add_curve.2359132437744.5774.3.0:34783</v>
      </c>
      <c r="E5775" s="6" t="str">
        <f>_xll.QS.INSTRUMENT.SWAP("swap.5773",H5775,B5775,"USD","SOFR",I5775,J5775,0,"Actual360","Simple","Annual","Annual","Annual")</f>
        <v>QSObject:Swap:w1~swap.5773:9246</v>
      </c>
      <c r="F5775" s="6" t="str">
        <f>_xll.QS.TRADE.CREATE("trade.5773",E5775,A5775,"Receive")</f>
        <v>QSObject:SwapTrade:w1~trade.5773:26156</v>
      </c>
      <c r="G5775" s="3">
        <f>_xll.QS.EVALUATE(C5775,F5775)</f>
        <v>38366.820698696924</v>
      </c>
      <c r="H5775" s="5" t="s">
        <v>5816</v>
      </c>
      <c r="I5775" s="7">
        <v>1577300</v>
      </c>
      <c r="J5775" s="8">
        <v>3.73E-2</v>
      </c>
    </row>
    <row r="5776" spans="1:10" x14ac:dyDescent="0.25">
      <c r="A5776" s="5" t="s">
        <v>5810</v>
      </c>
      <c r="B5776" s="5" t="s">
        <v>7643</v>
      </c>
      <c r="C5776" s="6" t="str">
        <f>_xll.QS.CONTEXT.CREATE("market.5774",A5776,"USD","SOFR")</f>
        <v>QSObject:PricingContext:w1~market.5774:9245</v>
      </c>
      <c r="D5776" s="6" t="str">
        <f>_xll.QS.CONTEXT.ADD.CURVE(C5776,"SOFR",$K$2:$K$7,$L$2:$L$7,,,"Actual360","LogLinear",TRUE)</f>
        <v>QSObject:ContextInput:w1~input.qs_context_add_curve.2359132437744.5775.3.0:34782</v>
      </c>
      <c r="E5776" s="6" t="str">
        <f>_xll.QS.INSTRUMENT.SWAP("swap.5774",H5776,B5776,"USD","SOFR",I5776,J5776,0,"Actual360","Simple","Annual","Annual","Annual")</f>
        <v>QSObject:Swap:w1~swap.5774:9244</v>
      </c>
      <c r="F5776" s="6" t="str">
        <f>_xll.QS.TRADE.CREATE("trade.5774",E5776,A5776,"Receive")</f>
        <v>QSObject:SwapTrade:w1~trade.5774:26155</v>
      </c>
      <c r="G5776" s="3">
        <f>_xll.QS.EVALUATE(C5776,F5776)</f>
        <v>39098.89934182162</v>
      </c>
      <c r="H5776" s="5" t="s">
        <v>5817</v>
      </c>
      <c r="I5776" s="7">
        <v>1577400</v>
      </c>
      <c r="J5776" s="8">
        <v>3.7400000000000003E-2</v>
      </c>
    </row>
    <row r="5777" spans="1:10" x14ac:dyDescent="0.25">
      <c r="A5777" s="5" t="s">
        <v>5811</v>
      </c>
      <c r="B5777" s="5" t="s">
        <v>7644</v>
      </c>
      <c r="C5777" s="6" t="str">
        <f>_xll.QS.CONTEXT.CREATE("market.5775",A5777,"USD","SOFR")</f>
        <v>QSObject:PricingContext:w1~market.5775:9243</v>
      </c>
      <c r="D5777" s="6" t="str">
        <f>_xll.QS.CONTEXT.ADD.CURVE(C5777,"SOFR",$K$2:$K$7,$L$2:$L$7,,,"Actual360","LogLinear",TRUE)</f>
        <v>QSObject:ContextInput:w1~input.qs_context_add_curve.2359132437744.5776.3.0:34781</v>
      </c>
      <c r="E5777" s="6" t="str">
        <f>_xll.QS.INSTRUMENT.SWAP("swap.5775",H5777,B5777,"USD","SOFR",I5777,J5777,0,"Actual360","Simple","Annual","Annual","Annual")</f>
        <v>QSObject:Swap:w1~swap.5775:9242</v>
      </c>
      <c r="F5777" s="6" t="str">
        <f>_xll.QS.TRADE.CREATE("trade.5775",E5777,A5777,"Receive")</f>
        <v>QSObject:SwapTrade:w1~trade.5775:26154</v>
      </c>
      <c r="G5777" s="3">
        <f>_xll.QS.EVALUATE(C5777,F5777)</f>
        <v>39894.508394518496</v>
      </c>
      <c r="H5777" s="5" t="s">
        <v>5818</v>
      </c>
      <c r="I5777" s="7">
        <v>1577500</v>
      </c>
      <c r="J5777" s="8">
        <v>3.7500000000000012E-2</v>
      </c>
    </row>
    <row r="5778" spans="1:10" x14ac:dyDescent="0.25">
      <c r="A5778" s="5" t="s">
        <v>5812</v>
      </c>
      <c r="B5778" s="5" t="s">
        <v>7645</v>
      </c>
      <c r="C5778" s="6" t="str">
        <f>_xll.QS.CONTEXT.CREATE("market.5776",A5778,"USD","SOFR")</f>
        <v>QSObject:PricingContext:w1~market.5776:9241</v>
      </c>
      <c r="D5778" s="6" t="str">
        <f>_xll.QS.CONTEXT.ADD.CURVE(C5778,"SOFR",$K$2:$K$7,$L$2:$L$7,,,"Actual360","LogLinear",TRUE)</f>
        <v>QSObject:ContextInput:w1~input.qs_context_add_curve.2359132437744.5777.3.0:34780</v>
      </c>
      <c r="E5778" s="6" t="str">
        <f>_xll.QS.INSTRUMENT.SWAP("swap.5776",H5778,B5778,"USD","SOFR",I5778,J5778,0,"Actual360","Simple","Annual","Annual","Annual")</f>
        <v>QSObject:Swap:w1~swap.5776:9240</v>
      </c>
      <c r="F5778" s="6" t="str">
        <f>_xll.QS.TRADE.CREATE("trade.5776",E5778,A5778,"Receive")</f>
        <v>QSObject:SwapTrade:w1~trade.5776:26153</v>
      </c>
      <c r="G5778" s="3">
        <f>_xll.QS.EVALUATE(C5778,F5778)</f>
        <v>40544.60322378917</v>
      </c>
      <c r="H5778" s="5" t="s">
        <v>5819</v>
      </c>
      <c r="I5778" s="7">
        <v>1577600</v>
      </c>
      <c r="J5778" s="8">
        <v>3.7600000000000001E-2</v>
      </c>
    </row>
    <row r="5779" spans="1:10" x14ac:dyDescent="0.25">
      <c r="A5779" s="5" t="s">
        <v>5813</v>
      </c>
      <c r="B5779" s="5" t="s">
        <v>7646</v>
      </c>
      <c r="C5779" s="6" t="str">
        <f>_xll.QS.CONTEXT.CREATE("market.5777",A5779,"USD","SOFR")</f>
        <v>QSObject:PricingContext:w1~market.5777:9239</v>
      </c>
      <c r="D5779" s="6" t="str">
        <f>_xll.QS.CONTEXT.ADD.CURVE(C5779,"SOFR",$K$2:$K$7,$L$2:$L$7,,,"Actual360","LogLinear",TRUE)</f>
        <v>QSObject:ContextInput:w1~input.qs_context_add_curve.2359132437744.5778.3.0:34779</v>
      </c>
      <c r="E5779" s="6" t="str">
        <f>_xll.QS.INSTRUMENT.SWAP("swap.5777",H5779,B5779,"USD","SOFR",I5779,J5779,0,"Actual360","Simple","Annual","Annual","Annual")</f>
        <v>QSObject:Swap:w1~swap.5777:9238</v>
      </c>
      <c r="F5779" s="6" t="str">
        <f>_xll.QS.TRADE.CREATE("trade.5777",E5779,A5779,"Receive")</f>
        <v>QSObject:SwapTrade:w1~trade.5777:26152</v>
      </c>
      <c r="G5779" s="3">
        <f>_xll.QS.EVALUATE(C5779,F5779)</f>
        <v>41390.293294893447</v>
      </c>
      <c r="H5779" s="5" t="s">
        <v>5820</v>
      </c>
      <c r="I5779" s="7">
        <v>1577700</v>
      </c>
      <c r="J5779" s="8">
        <v>3.7699999999999997E-2</v>
      </c>
    </row>
    <row r="5780" spans="1:10" x14ac:dyDescent="0.25">
      <c r="A5780" s="5" t="s">
        <v>5814</v>
      </c>
      <c r="B5780" s="5" t="s">
        <v>7647</v>
      </c>
      <c r="C5780" s="6" t="str">
        <f>_xll.QS.CONTEXT.CREATE("market.5778",A5780,"USD","SOFR")</f>
        <v>QSObject:PricingContext:w1~market.5778:9237</v>
      </c>
      <c r="D5780" s="6" t="str">
        <f>_xll.QS.CONTEXT.ADD.CURVE(C5780,"SOFR",$K$2:$K$7,$L$2:$L$7,,,"Actual360","LogLinear",TRUE)</f>
        <v>QSObject:ContextInput:w1~input.qs_context_add_curve.2359132437744.5779.3.0:34778</v>
      </c>
      <c r="E5780" s="6" t="str">
        <f>_xll.QS.INSTRUMENT.SWAP("swap.5778",H5780,B5780,"USD","SOFR",I5780,J5780,0,"Actual360","Simple","Annual","Annual","Annual")</f>
        <v>QSObject:Swap:w1~swap.5778:9236</v>
      </c>
      <c r="F5780" s="6" t="str">
        <f>_xll.QS.TRADE.CREATE("trade.5778",E5780,A5780,"Receive")</f>
        <v>QSObject:SwapTrade:w1~trade.5778:26151</v>
      </c>
      <c r="G5780" s="3">
        <f>_xll.QS.EVALUATE(C5780,F5780)</f>
        <v>42125.271127380103</v>
      </c>
      <c r="H5780" s="5" t="s">
        <v>5821</v>
      </c>
      <c r="I5780" s="7">
        <v>1577800</v>
      </c>
      <c r="J5780" s="8">
        <v>3.78E-2</v>
      </c>
    </row>
    <row r="5781" spans="1:10" x14ac:dyDescent="0.25">
      <c r="A5781" s="5" t="s">
        <v>5815</v>
      </c>
      <c r="B5781" s="5" t="s">
        <v>7648</v>
      </c>
      <c r="C5781" s="6" t="str">
        <f>_xll.QS.CONTEXT.CREATE("market.5779",A5781,"USD","SOFR")</f>
        <v>QSObject:PricingContext:w1~market.5779:9235</v>
      </c>
      <c r="D5781" s="6" t="str">
        <f>_xll.QS.CONTEXT.ADD.CURVE(C5781,"SOFR",$K$2:$K$7,$L$2:$L$7,,,"Actual360","LogLinear",TRUE)</f>
        <v>QSObject:ContextInput:w1~input.qs_context_add_curve.2359132437744.5780.3.0:34777</v>
      </c>
      <c r="E5781" s="6" t="str">
        <f>_xll.QS.INSTRUMENT.SWAP("swap.5779",H5781,B5781,"USD","SOFR",I5781,J5781,0,"Actual360","Simple","Annual","Annual","Annual")</f>
        <v>QSObject:Swap:w1~swap.5779:9234</v>
      </c>
      <c r="F5781" s="6" t="str">
        <f>_xll.QS.TRADE.CREATE("trade.5779",E5781,A5781,"Receive")</f>
        <v>QSObject:SwapTrade:w1~trade.5779:26150</v>
      </c>
      <c r="G5781" s="3">
        <f>_xll.QS.EVALUATE(C5781,F5781)</f>
        <v>42859.048475394884</v>
      </c>
      <c r="H5781" s="5" t="s">
        <v>5822</v>
      </c>
      <c r="I5781" s="7">
        <v>1577900</v>
      </c>
      <c r="J5781" s="8">
        <v>3.7900000000000003E-2</v>
      </c>
    </row>
    <row r="5782" spans="1:10" x14ac:dyDescent="0.25">
      <c r="A5782" s="5" t="s">
        <v>5816</v>
      </c>
      <c r="B5782" s="5" t="s">
        <v>7649</v>
      </c>
      <c r="C5782" s="6" t="str">
        <f>_xll.QS.CONTEXT.CREATE("market.5780",A5782,"USD","SOFR")</f>
        <v>QSObject:PricingContext:w1~market.5780:9233</v>
      </c>
      <c r="D5782" s="6" t="str">
        <f>_xll.QS.CONTEXT.ADD.CURVE(C5782,"SOFR",$K$2:$K$7,$L$2:$L$7,,,"Actual360","LogLinear",TRUE)</f>
        <v>QSObject:ContextInput:w1~input.qs_context_add_curve.2359132437744.5781.3.0:34776</v>
      </c>
      <c r="E5782" s="6" t="str">
        <f>_xll.QS.INSTRUMENT.SWAP("swap.5780",H5782,B5782,"USD","SOFR",I5782,J5782,0,"Actual360","Simple","Annual","Annual","Annual")</f>
        <v>QSObject:Swap:w1~swap.5780:9232</v>
      </c>
      <c r="F5782" s="6" t="str">
        <f>_xll.QS.TRADE.CREATE("trade.5780",E5782,A5782,"Receive")</f>
        <v>QSObject:SwapTrade:w1~trade.5780:26149</v>
      </c>
      <c r="G5782" s="3">
        <f>_xll.QS.EVALUATE(C5782,F5782)</f>
        <v>43471.591858146559</v>
      </c>
      <c r="H5782" s="5" t="s">
        <v>5823</v>
      </c>
      <c r="I5782" s="7">
        <v>1578000</v>
      </c>
      <c r="J5782" s="8">
        <v>3.8000000000000013E-2</v>
      </c>
    </row>
    <row r="5783" spans="1:10" x14ac:dyDescent="0.25">
      <c r="A5783" s="5" t="s">
        <v>5817</v>
      </c>
      <c r="B5783" s="5" t="s">
        <v>7650</v>
      </c>
      <c r="C5783" s="6" t="str">
        <f>_xll.QS.CONTEXT.CREATE("market.5781",A5783,"USD","SOFR")</f>
        <v>QSObject:PricingContext:w1~market.5781:9231</v>
      </c>
      <c r="D5783" s="6" t="str">
        <f>_xll.QS.CONTEXT.ADD.CURVE(C5783,"SOFR",$K$2:$K$7,$L$2:$L$7,,,"Actual360","LogLinear",TRUE)</f>
        <v>QSObject:ContextInput:w1~input.qs_context_add_curve.2359132437744.5782.3.0:34775</v>
      </c>
      <c r="E5783" s="6" t="str">
        <f>_xll.QS.INSTRUMENT.SWAP("swap.5781",H5783,B5783,"USD","SOFR",I5783,J5783,0,"Actual360","Simple","Annual","Annual","Annual")</f>
        <v>QSObject:Swap:w1~swap.5781:9230</v>
      </c>
      <c r="F5783" s="6" t="str">
        <f>_xll.QS.TRADE.CREATE("trade.5781",E5783,A5783,"Receive")</f>
        <v>QSObject:SwapTrade:w1~trade.5781:26148</v>
      </c>
      <c r="G5783" s="3">
        <f>_xll.QS.EVALUATE(C5783,F5783)</f>
        <v>44090.651081644224</v>
      </c>
      <c r="H5783" s="5" t="s">
        <v>5824</v>
      </c>
      <c r="I5783" s="7">
        <v>1578100</v>
      </c>
      <c r="J5783" s="8">
        <v>3.8100000000000002E-2</v>
      </c>
    </row>
    <row r="5784" spans="1:10" x14ac:dyDescent="0.25">
      <c r="A5784" s="5" t="s">
        <v>5818</v>
      </c>
      <c r="B5784" s="5" t="s">
        <v>7651</v>
      </c>
      <c r="C5784" s="6" t="str">
        <f>_xll.QS.CONTEXT.CREATE("market.5782",A5784,"USD","SOFR")</f>
        <v>QSObject:PricingContext:w1~market.5782:9229</v>
      </c>
      <c r="D5784" s="6" t="str">
        <f>_xll.QS.CONTEXT.ADD.CURVE(C5784,"SOFR",$K$2:$K$7,$L$2:$L$7,,,"Actual360","LogLinear",TRUE)</f>
        <v>QSObject:ContextInput:w1~input.qs_context_add_curve.2359132437744.5783.3.0:34774</v>
      </c>
      <c r="E5784" s="6" t="str">
        <f>_xll.QS.INSTRUMENT.SWAP("swap.5782",H5784,B5784,"USD","SOFR",I5784,J5784,0,"Actual360","Simple","Annual","Annual","Annual")</f>
        <v>QSObject:Swap:w1~swap.5782:9228</v>
      </c>
      <c r="F5784" s="6" t="str">
        <f>_xll.QS.TRADE.CREATE("trade.5782",E5784,A5784,"Receive")</f>
        <v>QSObject:SwapTrade:w1~trade.5782:26147</v>
      </c>
      <c r="G5784" s="3">
        <f>_xll.QS.EVALUATE(C5784,F5784)</f>
        <v>44888.280252799093</v>
      </c>
      <c r="H5784" s="5" t="s">
        <v>5825</v>
      </c>
      <c r="I5784" s="7">
        <v>1578200</v>
      </c>
      <c r="J5784" s="8">
        <v>3.8199999999999998E-2</v>
      </c>
    </row>
    <row r="5785" spans="1:10" x14ac:dyDescent="0.25">
      <c r="A5785" s="5" t="s">
        <v>5819</v>
      </c>
      <c r="B5785" s="5" t="s">
        <v>7652</v>
      </c>
      <c r="C5785" s="6" t="str">
        <f>_xll.QS.CONTEXT.CREATE("market.5783",A5785,"USD","SOFR")</f>
        <v>QSObject:PricingContext:w1~market.5783:9227</v>
      </c>
      <c r="D5785" s="6" t="str">
        <f>_xll.QS.CONTEXT.ADD.CURVE(C5785,"SOFR",$K$2:$K$7,$L$2:$L$7,,,"Actual360","LogLinear",TRUE)</f>
        <v>QSObject:ContextInput:w1~input.qs_context_add_curve.2359132437744.5784.3.0:34773</v>
      </c>
      <c r="E5785" s="6" t="str">
        <f>_xll.QS.INSTRUMENT.SWAP("swap.5783",H5785,B5785,"USD","SOFR",I5785,J5785,0,"Actual360","Simple","Annual","Annual","Annual")</f>
        <v>QSObject:Swap:w1~swap.5783:9226</v>
      </c>
      <c r="F5785" s="6" t="str">
        <f>_xll.QS.TRADE.CREATE("trade.5783",E5785,A5785,"Receive")</f>
        <v>QSObject:SwapTrade:w1~trade.5783:26146</v>
      </c>
      <c r="G5785" s="3">
        <f>_xll.QS.EVALUATE(C5785,F5785)</f>
        <v>45657.22405213827</v>
      </c>
      <c r="H5785" s="5" t="s">
        <v>5826</v>
      </c>
      <c r="I5785" s="7">
        <v>1578300</v>
      </c>
      <c r="J5785" s="8">
        <v>3.8300000000000001E-2</v>
      </c>
    </row>
    <row r="5786" spans="1:10" x14ac:dyDescent="0.25">
      <c r="A5786" s="5" t="s">
        <v>5820</v>
      </c>
      <c r="B5786" s="5" t="s">
        <v>7653</v>
      </c>
      <c r="C5786" s="6" t="str">
        <f>_xll.QS.CONTEXT.CREATE("market.5784",A5786,"USD","SOFR")</f>
        <v>QSObject:PricingContext:w1~market.5784:9225</v>
      </c>
      <c r="D5786" s="6" t="str">
        <f>_xll.QS.CONTEXT.ADD.CURVE(C5786,"SOFR",$K$2:$K$7,$L$2:$L$7,,,"Actual360","LogLinear",TRUE)</f>
        <v>QSObject:ContextInput:w1~input.qs_context_add_curve.2359132437744.5785.3.0:34772</v>
      </c>
      <c r="E5786" s="6" t="str">
        <f>_xll.QS.INSTRUMENT.SWAP("swap.5784",H5786,B5786,"USD","SOFR",I5786,J5786,0,"Actual360","Simple","Annual","Annual","Annual")</f>
        <v>QSObject:Swap:w1~swap.5784:9224</v>
      </c>
      <c r="F5786" s="6" t="str">
        <f>_xll.QS.TRADE.CREATE("trade.5784",E5786,A5786,"Receive")</f>
        <v>QSObject:SwapTrade:w1~trade.5784:26145</v>
      </c>
      <c r="G5786" s="3">
        <f>_xll.QS.EVALUATE(C5786,F5786)</f>
        <v>46503.689842836066</v>
      </c>
      <c r="H5786" s="5" t="s">
        <v>5827</v>
      </c>
      <c r="I5786" s="7">
        <v>1578400</v>
      </c>
      <c r="J5786" s="8">
        <v>3.8399999999999997E-2</v>
      </c>
    </row>
    <row r="5787" spans="1:10" x14ac:dyDescent="0.25">
      <c r="A5787" s="5" t="s">
        <v>5821</v>
      </c>
      <c r="B5787" s="5" t="s">
        <v>7654</v>
      </c>
      <c r="C5787" s="6" t="str">
        <f>_xll.QS.CONTEXT.CREATE("market.5785",A5787,"USD","SOFR")</f>
        <v>QSObject:PricingContext:w1~market.5785:9223</v>
      </c>
      <c r="D5787" s="6" t="str">
        <f>_xll.QS.CONTEXT.ADD.CURVE(C5787,"SOFR",$K$2:$K$7,$L$2:$L$7,,,"Actual360","LogLinear",TRUE)</f>
        <v>QSObject:ContextInput:w1~input.qs_context_add_curve.2359132437744.5786.3.0:34771</v>
      </c>
      <c r="E5787" s="6" t="str">
        <f>_xll.QS.INSTRUMENT.SWAP("swap.5785",H5787,B5787,"USD","SOFR",I5787,J5787,0,"Actual360","Simple","Annual","Annual","Annual")</f>
        <v>QSObject:Swap:w1~swap.5785:9222</v>
      </c>
      <c r="F5787" s="6" t="str">
        <f>_xll.QS.TRADE.CREATE("trade.5785",E5787,A5787,"Receive")</f>
        <v>QSObject:SwapTrade:w1~trade.5785:26144</v>
      </c>
      <c r="G5787" s="3">
        <f>_xll.QS.EVALUATE(C5787,F5787)</f>
        <v>47303.450544314495</v>
      </c>
      <c r="H5787" s="5" t="s">
        <v>5828</v>
      </c>
      <c r="I5787" s="7">
        <v>1578500</v>
      </c>
      <c r="J5787" s="8">
        <v>3.8500000000000013E-2</v>
      </c>
    </row>
    <row r="5788" spans="1:10" x14ac:dyDescent="0.25">
      <c r="A5788" s="5" t="s">
        <v>5822</v>
      </c>
      <c r="B5788" s="5" t="s">
        <v>7655</v>
      </c>
      <c r="C5788" s="6" t="str">
        <f>_xll.QS.CONTEXT.CREATE("market.5786",A5788,"USD","SOFR")</f>
        <v>QSObject:PricingContext:w1~market.5786:9221</v>
      </c>
      <c r="D5788" s="6" t="str">
        <f>_xll.QS.CONTEXT.ADD.CURVE(C5788,"SOFR",$K$2:$K$7,$L$2:$L$7,,,"Actual360","LogLinear",TRUE)</f>
        <v>QSObject:ContextInput:w1~input.qs_context_add_curve.2359132437744.5787.3.0:34770</v>
      </c>
      <c r="E5788" s="6" t="str">
        <f>_xll.QS.INSTRUMENT.SWAP("swap.5786",H5788,B5788,"USD","SOFR",I5788,J5788,0,"Actual360","Simple","Annual","Annual","Annual")</f>
        <v>QSObject:Swap:w1~swap.5786:9220</v>
      </c>
      <c r="F5788" s="6" t="str">
        <f>_xll.QS.TRADE.CREATE("trade.5786",E5788,A5788,"Receive")</f>
        <v>QSObject:SwapTrade:w1~trade.5786:26143</v>
      </c>
      <c r="G5788" s="3">
        <f>_xll.QS.EVALUATE(C5788,F5788)</f>
        <v>47846.252108001128</v>
      </c>
      <c r="H5788" s="5" t="s">
        <v>5829</v>
      </c>
      <c r="I5788" s="7">
        <v>1578600</v>
      </c>
      <c r="J5788" s="8">
        <v>3.8600000000000002E-2</v>
      </c>
    </row>
    <row r="5789" spans="1:10" x14ac:dyDescent="0.25">
      <c r="A5789" s="5" t="s">
        <v>5823</v>
      </c>
      <c r="B5789" s="5" t="s">
        <v>7656</v>
      </c>
      <c r="C5789" s="6" t="str">
        <f>_xll.QS.CONTEXT.CREATE("market.5787",A5789,"USD","SOFR")</f>
        <v>QSObject:PricingContext:w1~market.5787:9219</v>
      </c>
      <c r="D5789" s="6" t="str">
        <f>_xll.QS.CONTEXT.ADD.CURVE(C5789,"SOFR",$K$2:$K$7,$L$2:$L$7,,,"Actual360","LogLinear",TRUE)</f>
        <v>QSObject:ContextInput:w1~input.qs_context_add_curve.2359132437744.5788.3.0:34769</v>
      </c>
      <c r="E5789" s="6" t="str">
        <f>_xll.QS.INSTRUMENT.SWAP("swap.5787",H5789,B5789,"USD","SOFR",I5789,J5789,0,"Actual360","Simple","Annual","Annual","Annual")</f>
        <v>QSObject:Swap:w1~swap.5787:9218</v>
      </c>
      <c r="F5789" s="6" t="str">
        <f>_xll.QS.TRADE.CREATE("trade.5787",E5789,A5789,"Receive")</f>
        <v>QSObject:SwapTrade:w1~trade.5787:26142</v>
      </c>
      <c r="G5789" s="3">
        <f>_xll.QS.EVALUATE(C5789,F5789)</f>
        <v>48580.48211401693</v>
      </c>
      <c r="H5789" s="5" t="s">
        <v>5830</v>
      </c>
      <c r="I5789" s="7">
        <v>1578700</v>
      </c>
      <c r="J5789" s="8">
        <v>3.8700000000000012E-2</v>
      </c>
    </row>
    <row r="5790" spans="1:10" x14ac:dyDescent="0.25">
      <c r="A5790" s="5" t="s">
        <v>5824</v>
      </c>
      <c r="B5790" s="5" t="s">
        <v>7657</v>
      </c>
      <c r="C5790" s="6" t="str">
        <f>_xll.QS.CONTEXT.CREATE("market.5788",A5790,"USD","SOFR")</f>
        <v>QSObject:PricingContext:w1~market.5788:9217</v>
      </c>
      <c r="D5790" s="6" t="str">
        <f>_xll.QS.CONTEXT.ADD.CURVE(C5790,"SOFR",$K$2:$K$7,$L$2:$L$7,,,"Actual360","LogLinear",TRUE)</f>
        <v>QSObject:ContextInput:w1~input.qs_context_add_curve.2359132437744.5789.3.0:34768</v>
      </c>
      <c r="E5790" s="6" t="str">
        <f>_xll.QS.INSTRUMENT.SWAP("swap.5788",H5790,B5790,"USD","SOFR",I5790,J5790,0,"Actual360","Simple","Annual","Annual","Annual")</f>
        <v>QSObject:Swap:w1~swap.5788:9216</v>
      </c>
      <c r="F5790" s="6" t="str">
        <f>_xll.QS.TRADE.CREATE("trade.5788",E5790,A5790,"Receive")</f>
        <v>QSObject:SwapTrade:w1~trade.5788:26141</v>
      </c>
      <c r="G5790" s="3">
        <f>_xll.QS.EVALUATE(C5790,F5790)</f>
        <v>49208.099084412628</v>
      </c>
      <c r="H5790" s="5" t="s">
        <v>5831</v>
      </c>
      <c r="I5790" s="7">
        <v>1578800</v>
      </c>
      <c r="J5790" s="8">
        <v>3.8800000000000001E-2</v>
      </c>
    </row>
    <row r="5791" spans="1:10" x14ac:dyDescent="0.25">
      <c r="A5791" s="5" t="s">
        <v>5825</v>
      </c>
      <c r="B5791" s="5" t="s">
        <v>7658</v>
      </c>
      <c r="C5791" s="6" t="str">
        <f>_xll.QS.CONTEXT.CREATE("market.5789",A5791,"USD","SOFR")</f>
        <v>QSObject:PricingContext:w1~market.5789:9215</v>
      </c>
      <c r="D5791" s="6" t="str">
        <f>_xll.QS.CONTEXT.ADD.CURVE(C5791,"SOFR",$K$2:$K$7,$L$2:$L$7,,,"Actual360","LogLinear",TRUE)</f>
        <v>QSObject:ContextInput:w1~input.qs_context_add_curve.2359132437744.5790.3.0:34767</v>
      </c>
      <c r="E5791" s="6" t="str">
        <f>_xll.QS.INSTRUMENT.SWAP("swap.5789",H5791,B5791,"USD","SOFR",I5791,J5791,0,"Actual360","Simple","Annual","Annual","Annual")</f>
        <v>QSObject:Swap:w1~swap.5789:9214</v>
      </c>
      <c r="F5791" s="6" t="str">
        <f>_xll.QS.TRADE.CREATE("trade.5789",E5791,A5791,"Receive")</f>
        <v>QSObject:SwapTrade:w1~trade.5789:26140</v>
      </c>
      <c r="G5791" s="3">
        <f>_xll.QS.EVALUATE(C5791,F5791)</f>
        <v>50065.043955917303</v>
      </c>
      <c r="H5791" s="5" t="s">
        <v>5832</v>
      </c>
      <c r="I5791" s="7">
        <v>1578900</v>
      </c>
      <c r="J5791" s="8">
        <v>3.8899999999999997E-2</v>
      </c>
    </row>
    <row r="5792" spans="1:10" x14ac:dyDescent="0.25">
      <c r="A5792" s="5" t="s">
        <v>5826</v>
      </c>
      <c r="B5792" s="5" t="s">
        <v>7659</v>
      </c>
      <c r="C5792" s="6" t="str">
        <f>_xll.QS.CONTEXT.CREATE("market.5790",A5792,"USD","SOFR")</f>
        <v>QSObject:PricingContext:w1~market.5790:9213</v>
      </c>
      <c r="D5792" s="6" t="str">
        <f>_xll.QS.CONTEXT.ADD.CURVE(C5792,"SOFR",$K$2:$K$7,$L$2:$L$7,,,"Actual360","LogLinear",TRUE)</f>
        <v>QSObject:ContextInput:w1~input.qs_context_add_curve.2359132437744.5791.3.0:34766</v>
      </c>
      <c r="E5792" s="6" t="str">
        <f>_xll.QS.INSTRUMENT.SWAP("swap.5790",H5792,B5792,"USD","SOFR",I5792,J5792,0,"Actual360","Simple","Annual","Annual","Annual")</f>
        <v>QSObject:Swap:w1~swap.5790:9212</v>
      </c>
      <c r="F5792" s="6" t="str">
        <f>_xll.QS.TRADE.CREATE("trade.5790",E5792,A5792,"Receive")</f>
        <v>QSObject:SwapTrade:w1~trade.5790:26139</v>
      </c>
      <c r="G5792" s="3">
        <f>_xll.QS.EVALUATE(C5792,F5792)</f>
        <v>50949.267640125479</v>
      </c>
      <c r="H5792" s="5" t="s">
        <v>5833</v>
      </c>
      <c r="I5792" s="7">
        <v>1579000</v>
      </c>
      <c r="J5792" s="8">
        <v>3.9000000000000007E-2</v>
      </c>
    </row>
    <row r="5793" spans="1:10" x14ac:dyDescent="0.25">
      <c r="A5793" s="5" t="s">
        <v>5827</v>
      </c>
      <c r="B5793" s="5" t="s">
        <v>7660</v>
      </c>
      <c r="C5793" s="6" t="str">
        <f>_xll.QS.CONTEXT.CREATE("market.5791",A5793,"USD","SOFR")</f>
        <v>QSObject:PricingContext:w1~market.5791:9211</v>
      </c>
      <c r="D5793" s="6" t="str">
        <f>_xll.QS.CONTEXT.ADD.CURVE(C5793,"SOFR",$K$2:$K$7,$L$2:$L$7,,,"Actual360","LogLinear",TRUE)</f>
        <v>QSObject:ContextInput:w1~input.qs_context_add_curve.2359132437744.5792.3.0:34765</v>
      </c>
      <c r="E5793" s="6" t="str">
        <f>_xll.QS.INSTRUMENT.SWAP("swap.5791",H5793,B5793,"USD","SOFR",I5793,J5793,0,"Actual360","Simple","Annual","Annual","Annual")</f>
        <v>QSObject:Swap:w1~swap.5791:9210</v>
      </c>
      <c r="F5793" s="6" t="str">
        <f>_xll.QS.TRADE.CREATE("trade.5791",E5793,A5793,"Receive")</f>
        <v>QSObject:SwapTrade:w1~trade.5791:26138</v>
      </c>
      <c r="G5793" s="3">
        <f>_xll.QS.EVALUATE(C5793,F5793)</f>
        <v>51695.352744896998</v>
      </c>
      <c r="H5793" s="5" t="s">
        <v>5834</v>
      </c>
      <c r="I5793" s="7">
        <v>1579100</v>
      </c>
      <c r="J5793" s="8">
        <v>3.9100000000000003E-2</v>
      </c>
    </row>
    <row r="5794" spans="1:10" x14ac:dyDescent="0.25">
      <c r="A5794" s="5" t="s">
        <v>5828</v>
      </c>
      <c r="B5794" s="5" t="s">
        <v>7661</v>
      </c>
      <c r="C5794" s="6" t="str">
        <f>_xll.QS.CONTEXT.CREATE("market.5792",A5794,"USD","SOFR")</f>
        <v>QSObject:PricingContext:w1~market.5792:9209</v>
      </c>
      <c r="D5794" s="6" t="str">
        <f>_xll.QS.CONTEXT.ADD.CURVE(C5794,"SOFR",$K$2:$K$7,$L$2:$L$7,,,"Actual360","LogLinear",TRUE)</f>
        <v>QSObject:ContextInput:w1~input.qs_context_add_curve.2359132437744.5793.3.0:34764</v>
      </c>
      <c r="E5794" s="6" t="str">
        <f>_xll.QS.INSTRUMENT.SWAP("swap.5792",H5794,B5794,"USD","SOFR",I5794,J5794,0,"Actual360","Simple","Annual","Annual","Annual")</f>
        <v>QSObject:Swap:w1~swap.5792:9208</v>
      </c>
      <c r="F5794" s="6" t="str">
        <f>_xll.QS.TRADE.CREATE("trade.5792",E5794,A5794,"Receive")</f>
        <v>QSObject:SwapTrade:w1~trade.5792:26137</v>
      </c>
      <c r="G5794" s="3">
        <f>_xll.QS.EVALUATE(C5794,F5794)</f>
        <v>52424.283093668048</v>
      </c>
      <c r="H5794" s="5" t="s">
        <v>5835</v>
      </c>
      <c r="I5794" s="7">
        <v>1579200</v>
      </c>
      <c r="J5794" s="8">
        <v>3.9200000000000013E-2</v>
      </c>
    </row>
    <row r="5795" spans="1:10" x14ac:dyDescent="0.25">
      <c r="A5795" s="5" t="s">
        <v>5829</v>
      </c>
      <c r="B5795" s="5" t="s">
        <v>7662</v>
      </c>
      <c r="C5795" s="6" t="str">
        <f>_xll.QS.CONTEXT.CREATE("market.5793",A5795,"USD","SOFR")</f>
        <v>QSObject:PricingContext:w1~market.5793:9207</v>
      </c>
      <c r="D5795" s="6" t="str">
        <f>_xll.QS.CONTEXT.ADD.CURVE(C5795,"SOFR",$K$2:$K$7,$L$2:$L$7,,,"Actual360","LogLinear",TRUE)</f>
        <v>QSObject:ContextInput:w1~input.qs_context_add_curve.2359132437744.5794.3.0:34763</v>
      </c>
      <c r="E5795" s="6" t="str">
        <f>_xll.QS.INSTRUMENT.SWAP("swap.5793",H5795,B5795,"USD","SOFR",I5795,J5795,0,"Actual360","Simple","Annual","Annual","Annual")</f>
        <v>QSObject:Swap:w1~swap.5793:9206</v>
      </c>
      <c r="F5795" s="6" t="str">
        <f>_xll.QS.TRADE.CREATE("trade.5793",E5795,A5795,"Receive")</f>
        <v>QSObject:SwapTrade:w1~trade.5793:26136</v>
      </c>
      <c r="G5795" s="3">
        <f>_xll.QS.EVALUATE(C5795,F5795)</f>
        <v>53092.953673728131</v>
      </c>
      <c r="H5795" s="5" t="s">
        <v>5836</v>
      </c>
      <c r="I5795" s="7">
        <v>1579300</v>
      </c>
      <c r="J5795" s="8">
        <v>3.9300000000000002E-2</v>
      </c>
    </row>
    <row r="5796" spans="1:10" x14ac:dyDescent="0.25">
      <c r="A5796" s="5" t="s">
        <v>5830</v>
      </c>
      <c r="B5796" s="5" t="s">
        <v>7663</v>
      </c>
      <c r="C5796" s="6" t="str">
        <f>_xll.QS.CONTEXT.CREATE("market.5794",A5796,"USD","SOFR")</f>
        <v>QSObject:PricingContext:w1~market.5794:9205</v>
      </c>
      <c r="D5796" s="6" t="str">
        <f>_xll.QS.CONTEXT.ADD.CURVE(C5796,"SOFR",$K$2:$K$7,$L$2:$L$7,,,"Actual360","LogLinear",TRUE)</f>
        <v>QSObject:ContextInput:w1~input.qs_context_add_curve.2359132437744.5795.3.0:34762</v>
      </c>
      <c r="E5796" s="6" t="str">
        <f>_xll.QS.INSTRUMENT.SWAP("swap.5794",H5796,B5796,"USD","SOFR",I5796,J5796,0,"Actual360","Simple","Annual","Annual","Annual")</f>
        <v>QSObject:Swap:w1~swap.5794:9204</v>
      </c>
      <c r="F5796" s="6" t="str">
        <f>_xll.QS.TRADE.CREATE("trade.5794",E5796,A5796,"Receive")</f>
        <v>QSObject:SwapTrade:w1~trade.5794:26135</v>
      </c>
      <c r="G5796" s="3">
        <f>_xll.QS.EVALUATE(C5796,F5796)</f>
        <v>53694.675701276814</v>
      </c>
      <c r="H5796" s="5" t="s">
        <v>5837</v>
      </c>
      <c r="I5796" s="7">
        <v>1579400</v>
      </c>
      <c r="J5796" s="8">
        <v>3.9399999999999998E-2</v>
      </c>
    </row>
    <row r="5797" spans="1:10" x14ac:dyDescent="0.25">
      <c r="A5797" s="5" t="s">
        <v>5831</v>
      </c>
      <c r="B5797" s="5" t="s">
        <v>7664</v>
      </c>
      <c r="C5797" s="6" t="str">
        <f>_xll.QS.CONTEXT.CREATE("market.5795",A5797,"USD","SOFR")</f>
        <v>QSObject:PricingContext:w1~market.5795:9203</v>
      </c>
      <c r="D5797" s="6" t="str">
        <f>_xll.QS.CONTEXT.ADD.CURVE(C5797,"SOFR",$K$2:$K$7,$L$2:$L$7,,,"Actual360","LogLinear",TRUE)</f>
        <v>QSObject:ContextInput:w1~input.qs_context_add_curve.2359132437744.5796.3.0:34761</v>
      </c>
      <c r="E5797" s="6" t="str">
        <f>_xll.QS.INSTRUMENT.SWAP("swap.5795",H5797,B5797,"USD","SOFR",I5797,J5797,0,"Actual360","Simple","Annual","Annual","Annual")</f>
        <v>QSObject:Swap:w1~swap.5795:9202</v>
      </c>
      <c r="F5797" s="6" t="str">
        <f>_xll.QS.TRADE.CREATE("trade.5795",E5797,A5797,"Receive")</f>
        <v>QSObject:SwapTrade:w1~trade.5795:26134</v>
      </c>
      <c r="G5797" s="3">
        <f>_xll.QS.EVALUATE(C5797,F5797)</f>
        <v>54330.735464162513</v>
      </c>
      <c r="H5797" s="5" t="s">
        <v>5838</v>
      </c>
      <c r="I5797" s="7">
        <v>1579500</v>
      </c>
      <c r="J5797" s="8">
        <v>3.9500000000000007E-2</v>
      </c>
    </row>
    <row r="5798" spans="1:10" x14ac:dyDescent="0.25">
      <c r="A5798" s="5" t="s">
        <v>5832</v>
      </c>
      <c r="B5798" s="5" t="s">
        <v>7665</v>
      </c>
      <c r="C5798" s="6" t="str">
        <f>_xll.QS.CONTEXT.CREATE("market.5796",A5798,"USD","SOFR")</f>
        <v>QSObject:PricingContext:w1~market.5796:9201</v>
      </c>
      <c r="D5798" s="6" t="str">
        <f>_xll.QS.CONTEXT.ADD.CURVE(C5798,"SOFR",$K$2:$K$7,$L$2:$L$7,,,"Actual360","LogLinear",TRUE)</f>
        <v>QSObject:ContextInput:w1~input.qs_context_add_curve.2359132437744.5797.3.0:34706</v>
      </c>
      <c r="E5798" s="6" t="str">
        <f>_xll.QS.INSTRUMENT.SWAP("swap.5796",H5798,B5798,"USD","SOFR",I5798,J5798,0,"Actual360","Simple","Annual","Annual","Annual")</f>
        <v>QSObject:Swap:w1~swap.5796:9200</v>
      </c>
      <c r="F5798" s="6" t="str">
        <f>_xll.QS.TRADE.CREATE("trade.5796",E5798,A5798,"Receive")</f>
        <v>QSObject:SwapTrade:w1~trade.5796:26133</v>
      </c>
      <c r="G5798" s="3">
        <f>_xll.QS.EVALUATE(C5798,F5798)</f>
        <v>55130.703758606978</v>
      </c>
      <c r="H5798" s="5" t="s">
        <v>5839</v>
      </c>
      <c r="I5798" s="7">
        <v>1579600</v>
      </c>
      <c r="J5798" s="8">
        <v>3.9600000000000003E-2</v>
      </c>
    </row>
    <row r="5799" spans="1:10" x14ac:dyDescent="0.25">
      <c r="A5799" s="5" t="s">
        <v>5833</v>
      </c>
      <c r="B5799" s="5" t="s">
        <v>7666</v>
      </c>
      <c r="C5799" s="6" t="str">
        <f>_xll.QS.CONTEXT.CREATE("market.5797",A5799,"USD","SOFR")</f>
        <v>QSObject:PricingContext:w1~market.5797:9199</v>
      </c>
      <c r="D5799" s="6" t="str">
        <f>_xll.QS.CONTEXT.ADD.CURVE(C5799,"SOFR",$K$2:$K$7,$L$2:$L$7,,,"Actual360","LogLinear",TRUE)</f>
        <v>QSObject:ContextInput:w1~input.qs_context_add_curve.2359132437744.5798.3.0:34705</v>
      </c>
      <c r="E5799" s="6" t="str">
        <f>_xll.QS.INSTRUMENT.SWAP("swap.5797",H5799,B5799,"USD","SOFR",I5799,J5799,0,"Actual360","Simple","Annual","Annual","Annual")</f>
        <v>QSObject:Swap:w1~swap.5797:9198</v>
      </c>
      <c r="F5799" s="6" t="str">
        <f>_xll.QS.TRADE.CREATE("trade.5797",E5799,A5799,"Receive")</f>
        <v>QSObject:SwapTrade:w1~trade.5797:26132</v>
      </c>
      <c r="G5799" s="3">
        <f>_xll.QS.EVALUATE(C5799,F5799)</f>
        <v>55895.962726588652</v>
      </c>
      <c r="H5799" s="5" t="s">
        <v>5840</v>
      </c>
      <c r="I5799" s="7">
        <v>1579700</v>
      </c>
      <c r="J5799" s="8">
        <v>3.9700000000000013E-2</v>
      </c>
    </row>
    <row r="5800" spans="1:10" x14ac:dyDescent="0.25">
      <c r="A5800" s="5" t="s">
        <v>5834</v>
      </c>
      <c r="B5800" s="5" t="s">
        <v>7667</v>
      </c>
      <c r="C5800" s="6" t="str">
        <f>_xll.QS.CONTEXT.CREATE("market.5798",A5800,"USD","SOFR")</f>
        <v>QSObject:PricingContext:w1~market.5798:9197</v>
      </c>
      <c r="D5800" s="6" t="str">
        <f>_xll.QS.CONTEXT.ADD.CURVE(C5800,"SOFR",$K$2:$K$7,$L$2:$L$7,,,"Actual360","LogLinear",TRUE)</f>
        <v>QSObject:ContextInput:w1~input.qs_context_add_curve.2359132437744.5799.3.0:34704</v>
      </c>
      <c r="E5800" s="6" t="str">
        <f>_xll.QS.INSTRUMENT.SWAP("swap.5798",H5800,B5800,"USD","SOFR",I5800,J5800,0,"Actual360","Simple","Annual","Annual","Annual")</f>
        <v>QSObject:Swap:w1~swap.5798:9196</v>
      </c>
      <c r="F5800" s="6" t="str">
        <f>_xll.QS.TRADE.CREATE("trade.5798",E5800,A5800,"Receive")</f>
        <v>QSObject:SwapTrade:w1~trade.5798:26131</v>
      </c>
      <c r="G5800" s="3">
        <f>_xll.QS.EVALUATE(C5800,F5800)</f>
        <v>56743.931733051846</v>
      </c>
      <c r="H5800" s="5" t="s">
        <v>5841</v>
      </c>
      <c r="I5800" s="7">
        <v>1579800</v>
      </c>
      <c r="J5800" s="8">
        <v>3.9800000000000002E-2</v>
      </c>
    </row>
    <row r="5801" spans="1:10" x14ac:dyDescent="0.25">
      <c r="A5801" s="5" t="s">
        <v>5835</v>
      </c>
      <c r="B5801" s="5" t="s">
        <v>7668</v>
      </c>
      <c r="C5801" s="6" t="str">
        <f>_xll.QS.CONTEXT.CREATE("market.5799",A5801,"USD","SOFR")</f>
        <v>QSObject:PricingContext:w1~market.5799:9195</v>
      </c>
      <c r="D5801" s="6" t="str">
        <f>_xll.QS.CONTEXT.ADD.CURVE(C5801,"SOFR",$K$2:$K$7,$L$2:$L$7,,,"Actual360","LogLinear",TRUE)</f>
        <v>QSObject:ContextInput:w1~input.qs_context_add_curve.2359132437744.5800.3.0:34703</v>
      </c>
      <c r="E5801" s="6" t="str">
        <f>_xll.QS.INSTRUMENT.SWAP("swap.5799",H5801,B5801,"USD","SOFR",I5801,J5801,0,"Actual360","Simple","Annual","Annual","Annual")</f>
        <v>QSObject:Swap:w1~swap.5799:9194</v>
      </c>
      <c r="F5801" s="6" t="str">
        <f>_xll.QS.TRADE.CREATE("trade.5799",E5801,A5801,"Receive")</f>
        <v>QSObject:SwapTrade:w1~trade.5799:26130</v>
      </c>
      <c r="G5801" s="3">
        <f>_xll.QS.EVALUATE(C5801,F5801)</f>
        <v>57509.06588791345</v>
      </c>
      <c r="H5801" s="5" t="s">
        <v>5842</v>
      </c>
      <c r="I5801" s="7">
        <v>1579900</v>
      </c>
      <c r="J5801" s="8">
        <v>3.9899999999999998E-2</v>
      </c>
    </row>
    <row r="5802" spans="1:10" x14ac:dyDescent="0.25">
      <c r="A5802" s="5" t="s">
        <v>5836</v>
      </c>
      <c r="B5802" s="5" t="s">
        <v>7669</v>
      </c>
      <c r="C5802" s="6" t="str">
        <f>_xll.QS.CONTEXT.CREATE("market.5800",A5802,"USD","SOFR")</f>
        <v>QSObject:PricingContext:w1~market.5800:9193</v>
      </c>
      <c r="D5802" s="6" t="str">
        <f>_xll.QS.CONTEXT.ADD.CURVE(C5802,"SOFR",$K$2:$K$7,$L$2:$L$7,,,"Actual360","LogLinear",TRUE)</f>
        <v>QSObject:ContextInput:w1~input.qs_context_add_curve.2359132437744.5801.3.0:34702</v>
      </c>
      <c r="E5802" s="6" t="str">
        <f>_xll.QS.INSTRUMENT.SWAP("swap.5800",H5802,B5802,"USD","SOFR",I5802,J5802,0,"Actual360","Simple","Annual","Annual","Annual")</f>
        <v>QSObject:Swap:w1~swap.5800:9192</v>
      </c>
      <c r="F5802" s="6" t="str">
        <f>_xll.QS.TRADE.CREATE("trade.5800",E5802,A5802,"Receive")</f>
        <v>QSObject:SwapTrade:w1~trade.5800:26129</v>
      </c>
      <c r="G5802" s="3">
        <f>_xll.QS.EVALUATE(C5802,F5802)</f>
        <v>21739.067341317554</v>
      </c>
      <c r="H5802" s="5" t="s">
        <v>5843</v>
      </c>
      <c r="I5802" s="7">
        <v>1580000</v>
      </c>
      <c r="J5802" s="8">
        <v>3.5000000000000003E-2</v>
      </c>
    </row>
    <row r="5803" spans="1:10" x14ac:dyDescent="0.25">
      <c r="A5803" s="5" t="s">
        <v>5837</v>
      </c>
      <c r="B5803" s="5" t="s">
        <v>7670</v>
      </c>
      <c r="C5803" s="6" t="str">
        <f>_xll.QS.CONTEXT.CREATE("market.5801",A5803,"USD","SOFR")</f>
        <v>QSObject:PricingContext:w1~market.5801:9191</v>
      </c>
      <c r="D5803" s="6" t="str">
        <f>_xll.QS.CONTEXT.ADD.CURVE(C5803,"SOFR",$K$2:$K$7,$L$2:$L$7,,,"Actual360","LogLinear",TRUE)</f>
        <v>QSObject:ContextInput:w1~input.qs_context_add_curve.2359132437744.5802.3.0:34701</v>
      </c>
      <c r="E5803" s="6" t="str">
        <f>_xll.QS.INSTRUMENT.SWAP("swap.5801",H5803,B5803,"USD","SOFR",I5803,J5803,0,"Actual360","Simple","Annual","Annual","Annual")</f>
        <v>QSObject:Swap:w1~swap.5801:9190</v>
      </c>
      <c r="F5803" s="6" t="str">
        <f>_xll.QS.TRADE.CREATE("trade.5801",E5803,A5803,"Receive")</f>
        <v>QSObject:SwapTrade:w1~trade.5801:26128</v>
      </c>
      <c r="G5803" s="3">
        <f>_xll.QS.EVALUATE(C5803,F5803)</f>
        <v>22425.018625285848</v>
      </c>
      <c r="H5803" s="5" t="s">
        <v>5844</v>
      </c>
      <c r="I5803" s="7">
        <v>1580100</v>
      </c>
      <c r="J5803" s="8">
        <v>3.5100000000000013E-2</v>
      </c>
    </row>
    <row r="5804" spans="1:10" x14ac:dyDescent="0.25">
      <c r="A5804" s="5" t="s">
        <v>5838</v>
      </c>
      <c r="B5804" s="5" t="s">
        <v>7671</v>
      </c>
      <c r="C5804" s="6" t="str">
        <f>_xll.QS.CONTEXT.CREATE("market.5802",A5804,"USD","SOFR")</f>
        <v>QSObject:PricingContext:w1~market.5802:9189</v>
      </c>
      <c r="D5804" s="6" t="str">
        <f>_xll.QS.CONTEXT.ADD.CURVE(C5804,"SOFR",$K$2:$K$7,$L$2:$L$7,,,"Actual360","LogLinear",TRUE)</f>
        <v>QSObject:ContextInput:w1~input.qs_context_add_curve.2359132437744.5803.3.0:34700</v>
      </c>
      <c r="E5804" s="6" t="str">
        <f>_xll.QS.INSTRUMENT.SWAP("swap.5802",H5804,B5804,"USD","SOFR",I5804,J5804,0,"Actual360","Simple","Annual","Annual","Annual")</f>
        <v>QSObject:Swap:w1~swap.5802:9188</v>
      </c>
      <c r="F5804" s="6" t="str">
        <f>_xll.QS.TRADE.CREATE("trade.5802",E5804,A5804,"Receive")</f>
        <v>QSObject:SwapTrade:w1~trade.5802:26127</v>
      </c>
      <c r="G5804" s="3">
        <f>_xll.QS.EVALUATE(C5804,F5804)</f>
        <v>23010.630606318511</v>
      </c>
      <c r="H5804" s="5" t="s">
        <v>5845</v>
      </c>
      <c r="I5804" s="7">
        <v>1580200</v>
      </c>
      <c r="J5804" s="8">
        <v>3.5200000000000002E-2</v>
      </c>
    </row>
    <row r="5805" spans="1:10" x14ac:dyDescent="0.25">
      <c r="A5805" s="5" t="s">
        <v>5839</v>
      </c>
      <c r="B5805" s="5" t="s">
        <v>7672</v>
      </c>
      <c r="C5805" s="6" t="str">
        <f>_xll.QS.CONTEXT.CREATE("market.5803",A5805,"USD","SOFR")</f>
        <v>QSObject:PricingContext:w1~market.5803:9187</v>
      </c>
      <c r="D5805" s="6" t="str">
        <f>_xll.QS.CONTEXT.ADD.CURVE(C5805,"SOFR",$K$2:$K$7,$L$2:$L$7,,,"Actual360","LogLinear",TRUE)</f>
        <v>QSObject:ContextInput:w1~input.qs_context_add_curve.2359132437744.5804.3.0:34699</v>
      </c>
      <c r="E5805" s="6" t="str">
        <f>_xll.QS.INSTRUMENT.SWAP("swap.5803",H5805,B5805,"USD","SOFR",I5805,J5805,0,"Actual360","Simple","Annual","Annual","Annual")</f>
        <v>QSObject:Swap:w1~swap.5803:9186</v>
      </c>
      <c r="F5805" s="6" t="str">
        <f>_xll.QS.TRADE.CREATE("trade.5803",E5805,A5805,"Receive")</f>
        <v>QSObject:SwapTrade:w1~trade.5803:26126</v>
      </c>
      <c r="G5805" s="3">
        <f>_xll.QS.EVALUATE(C5805,F5805)</f>
        <v>23862.753846825304</v>
      </c>
      <c r="H5805" s="5" t="s">
        <v>5846</v>
      </c>
      <c r="I5805" s="7">
        <v>1580300</v>
      </c>
      <c r="J5805" s="8">
        <v>3.5299999999999998E-2</v>
      </c>
    </row>
    <row r="5806" spans="1:10" x14ac:dyDescent="0.25">
      <c r="A5806" s="5" t="s">
        <v>5840</v>
      </c>
      <c r="B5806" s="5" t="s">
        <v>7673</v>
      </c>
      <c r="C5806" s="6" t="str">
        <f>_xll.QS.CONTEXT.CREATE("market.5804",A5806,"USD","SOFR")</f>
        <v>QSObject:PricingContext:w1~market.5804:9185</v>
      </c>
      <c r="D5806" s="6" t="str">
        <f>_xll.QS.CONTEXT.ADD.CURVE(C5806,"SOFR",$K$2:$K$7,$L$2:$L$7,,,"Actual360","LogLinear",TRUE)</f>
        <v>QSObject:ContextInput:w1~input.qs_context_add_curve.2359132437744.5805.3.0:34698</v>
      </c>
      <c r="E5806" s="6" t="str">
        <f>_xll.QS.INSTRUMENT.SWAP("swap.5804",H5806,B5806,"USD","SOFR",I5806,J5806,0,"Actual360","Simple","Annual","Annual","Annual")</f>
        <v>QSObject:Swap:w1~swap.5804:9184</v>
      </c>
      <c r="F5806" s="6" t="str">
        <f>_xll.QS.TRADE.CREATE("trade.5804",E5806,A5806,"Receive")</f>
        <v>QSObject:SwapTrade:w1~trade.5804:26125</v>
      </c>
      <c r="G5806" s="3">
        <f>_xll.QS.EVALUATE(C5806,F5806)</f>
        <v>24763.770743485758</v>
      </c>
      <c r="H5806" s="5" t="s">
        <v>5847</v>
      </c>
      <c r="I5806" s="7">
        <v>1580400</v>
      </c>
      <c r="J5806" s="8">
        <v>3.5400000000000001E-2</v>
      </c>
    </row>
    <row r="5807" spans="1:10" x14ac:dyDescent="0.25">
      <c r="A5807" s="5" t="s">
        <v>5841</v>
      </c>
      <c r="B5807" s="5" t="s">
        <v>7674</v>
      </c>
      <c r="C5807" s="6" t="str">
        <f>_xll.QS.CONTEXT.CREATE("market.5805",A5807,"USD","SOFR")</f>
        <v>QSObject:PricingContext:w1~market.5805:9183</v>
      </c>
      <c r="D5807" s="6" t="str">
        <f>_xll.QS.CONTEXT.ADD.CURVE(C5807,"SOFR",$K$2:$K$7,$L$2:$L$7,,,"Actual360","LogLinear",TRUE)</f>
        <v>QSObject:ContextInput:w1~input.qs_context_add_curve.2359132437744.5806.3.0:34697</v>
      </c>
      <c r="E5807" s="6" t="str">
        <f>_xll.QS.INSTRUMENT.SWAP("swap.5805",H5807,B5807,"USD","SOFR",I5807,J5807,0,"Actual360","Simple","Annual","Annual","Annual")</f>
        <v>QSObject:Swap:w1~swap.5805:9182</v>
      </c>
      <c r="F5807" s="6" t="str">
        <f>_xll.QS.TRADE.CREATE("trade.5805",E5807,A5807,"Receive")</f>
        <v>QSObject:SwapTrade:w1~trade.5805:26124</v>
      </c>
      <c r="G5807" s="3">
        <f>_xll.QS.EVALUATE(C5807,F5807)</f>
        <v>25503.123377872653</v>
      </c>
      <c r="H5807" s="5" t="s">
        <v>5848</v>
      </c>
      <c r="I5807" s="7">
        <v>1580500</v>
      </c>
      <c r="J5807" s="8">
        <v>3.5499999999999997E-2</v>
      </c>
    </row>
    <row r="5808" spans="1:10" x14ac:dyDescent="0.25">
      <c r="A5808" s="5" t="s">
        <v>5842</v>
      </c>
      <c r="B5808" s="5" t="s">
        <v>7675</v>
      </c>
      <c r="C5808" s="6" t="str">
        <f>_xll.QS.CONTEXT.CREATE("market.5806",A5808,"USD","SOFR")</f>
        <v>QSObject:PricingContext:w1~market.5806:9181</v>
      </c>
      <c r="D5808" s="6" t="str">
        <f>_xll.QS.CONTEXT.ADD.CURVE(C5808,"SOFR",$K$2:$K$7,$L$2:$L$7,,,"Actual360","LogLinear",TRUE)</f>
        <v>QSObject:ContextInput:w1~input.qs_context_add_curve.2359132437744.5807.3.0:34696</v>
      </c>
      <c r="E5808" s="6" t="str">
        <f>_xll.QS.INSTRUMENT.SWAP("swap.5806",H5808,B5808,"USD","SOFR",I5808,J5808,0,"Actual360","Simple","Annual","Annual","Annual")</f>
        <v>QSObject:Swap:w1~swap.5806:9180</v>
      </c>
      <c r="F5808" s="6" t="str">
        <f>_xll.QS.TRADE.CREATE("trade.5806",E5808,A5808,"Receive")</f>
        <v>QSObject:SwapTrade:w1~trade.5806:26123</v>
      </c>
      <c r="G5808" s="3">
        <f>_xll.QS.EVALUATE(C5808,F5808)</f>
        <v>26228.866428591049</v>
      </c>
      <c r="H5808" s="5" t="s">
        <v>5849</v>
      </c>
      <c r="I5808" s="7">
        <v>1580600</v>
      </c>
      <c r="J5808" s="8">
        <v>3.5600000000000007E-2</v>
      </c>
    </row>
    <row r="5809" spans="1:10" x14ac:dyDescent="0.25">
      <c r="A5809" s="5" t="s">
        <v>5843</v>
      </c>
      <c r="B5809" s="5" t="s">
        <v>7676</v>
      </c>
      <c r="C5809" s="6" t="str">
        <f>_xll.QS.CONTEXT.CREATE("market.5807",A5809,"USD","SOFR")</f>
        <v>QSObject:PricingContext:w1~market.5807:9179</v>
      </c>
      <c r="D5809" s="6" t="str">
        <f>_xll.QS.CONTEXT.ADD.CURVE(C5809,"SOFR",$K$2:$K$7,$L$2:$L$7,,,"Actual360","LogLinear",TRUE)</f>
        <v>QSObject:ContextInput:w1~input.qs_context_add_curve.2359132437744.5808.3.0:34695</v>
      </c>
      <c r="E5809" s="6" t="str">
        <f>_xll.QS.INSTRUMENT.SWAP("swap.5807",H5809,B5809,"USD","SOFR",I5809,J5809,0,"Actual360","Simple","Annual","Annual","Annual")</f>
        <v>QSObject:Swap:w1~swap.5807:9178</v>
      </c>
      <c r="F5809" s="6" t="str">
        <f>_xll.QS.TRADE.CREATE("trade.5807",E5809,A5809,"Receive")</f>
        <v>QSObject:SwapTrade:w1~trade.5807:26122</v>
      </c>
      <c r="G5809" s="3">
        <f>_xll.QS.EVALUATE(C5809,F5809)</f>
        <v>26898.57317655201</v>
      </c>
      <c r="H5809" s="5" t="s">
        <v>5850</v>
      </c>
      <c r="I5809" s="7">
        <v>1580700</v>
      </c>
      <c r="J5809" s="8">
        <v>3.5700000000000003E-2</v>
      </c>
    </row>
    <row r="5810" spans="1:10" x14ac:dyDescent="0.25">
      <c r="A5810" s="5" t="s">
        <v>5844</v>
      </c>
      <c r="B5810" s="5" t="s">
        <v>7677</v>
      </c>
      <c r="C5810" s="6" t="str">
        <f>_xll.QS.CONTEXT.CREATE("market.5808",A5810,"USD","SOFR")</f>
        <v>QSObject:PricingContext:w1~market.5808:9177</v>
      </c>
      <c r="D5810" s="6" t="str">
        <f>_xll.QS.CONTEXT.ADD.CURVE(C5810,"SOFR",$K$2:$K$7,$L$2:$L$7,,,"Actual360","LogLinear",TRUE)</f>
        <v>QSObject:ContextInput:w1~input.qs_context_add_curve.2359132437744.5809.3.0:34694</v>
      </c>
      <c r="E5810" s="6" t="str">
        <f>_xll.QS.INSTRUMENT.SWAP("swap.5808",H5810,B5810,"USD","SOFR",I5810,J5810,0,"Actual360","Simple","Annual","Annual","Annual")</f>
        <v>QSObject:Swap:w1~swap.5808:9176</v>
      </c>
      <c r="F5810" s="6" t="str">
        <f>_xll.QS.TRADE.CREATE("trade.5808",E5810,A5810,"Receive")</f>
        <v>QSObject:SwapTrade:w1~trade.5808:26121</v>
      </c>
      <c r="G5810" s="3">
        <f>_xll.QS.EVALUATE(C5810,F5810)</f>
        <v>27530.069730346018</v>
      </c>
      <c r="H5810" s="5" t="s">
        <v>5851</v>
      </c>
      <c r="I5810" s="7">
        <v>1580800</v>
      </c>
      <c r="J5810" s="8">
        <v>3.5800000000000012E-2</v>
      </c>
    </row>
    <row r="5811" spans="1:10" x14ac:dyDescent="0.25">
      <c r="A5811" s="5" t="s">
        <v>5845</v>
      </c>
      <c r="B5811" s="5" t="s">
        <v>7678</v>
      </c>
      <c r="C5811" s="6" t="str">
        <f>_xll.QS.CONTEXT.CREATE("market.5809",A5811,"USD","SOFR")</f>
        <v>QSObject:PricingContext:w1~market.5809:9175</v>
      </c>
      <c r="D5811" s="6" t="str">
        <f>_xll.QS.CONTEXT.ADD.CURVE(C5811,"SOFR",$K$2:$K$7,$L$2:$L$7,,,"Actual360","LogLinear",TRUE)</f>
        <v>QSObject:ContextInput:w1~input.qs_context_add_curve.2359132437744.5810.3.0:34693</v>
      </c>
      <c r="E5811" s="6" t="str">
        <f>_xll.QS.INSTRUMENT.SWAP("swap.5809",H5811,B5811,"USD","SOFR",I5811,J5811,0,"Actual360","Simple","Annual","Annual","Annual")</f>
        <v>QSObject:Swap:w1~swap.5809:9174</v>
      </c>
      <c r="F5811" s="6" t="str">
        <f>_xll.QS.TRADE.CREATE("trade.5809",E5811,A5811,"Receive")</f>
        <v>QSObject:SwapTrade:w1~trade.5809:26120</v>
      </c>
      <c r="G5811" s="3">
        <f>_xll.QS.EVALUATE(C5811,F5811)</f>
        <v>28124.342175209546</v>
      </c>
      <c r="H5811" s="5" t="s">
        <v>5852</v>
      </c>
      <c r="I5811" s="7">
        <v>1580900</v>
      </c>
      <c r="J5811" s="8">
        <v>3.5900000000000001E-2</v>
      </c>
    </row>
    <row r="5812" spans="1:10" x14ac:dyDescent="0.25">
      <c r="A5812" s="5" t="s">
        <v>5846</v>
      </c>
      <c r="B5812" s="5" t="s">
        <v>7679</v>
      </c>
      <c r="C5812" s="6" t="str">
        <f>_xll.QS.CONTEXT.CREATE("market.5810",A5812,"USD","SOFR")</f>
        <v>QSObject:PricingContext:w1~market.5810:9173</v>
      </c>
      <c r="D5812" s="6" t="str">
        <f>_xll.QS.CONTEXT.ADD.CURVE(C5812,"SOFR",$K$2:$K$7,$L$2:$L$7,,,"Actual360","LogLinear",TRUE)</f>
        <v>QSObject:ContextInput:w1~input.qs_context_add_curve.2359132437744.5811.3.0:34692</v>
      </c>
      <c r="E5812" s="6" t="str">
        <f>_xll.QS.INSTRUMENT.SWAP("swap.5810",H5812,B5812,"USD","SOFR",I5812,J5812,0,"Actual360","Simple","Annual","Annual","Annual")</f>
        <v>QSObject:Swap:w1~swap.5810:9172</v>
      </c>
      <c r="F5812" s="6" t="str">
        <f>_xll.QS.TRADE.CREATE("trade.5810",E5812,A5812,"Receive")</f>
        <v>QSObject:SwapTrade:w1~trade.5810:26119</v>
      </c>
      <c r="G5812" s="3">
        <f>_xll.QS.EVALUATE(C5812,F5812)</f>
        <v>28920.839407049782</v>
      </c>
      <c r="H5812" s="5" t="s">
        <v>5853</v>
      </c>
      <c r="I5812" s="7">
        <v>1581000</v>
      </c>
      <c r="J5812" s="8">
        <v>3.5999999999999997E-2</v>
      </c>
    </row>
    <row r="5813" spans="1:10" x14ac:dyDescent="0.25">
      <c r="A5813" s="5" t="s">
        <v>5847</v>
      </c>
      <c r="B5813" s="5" t="s">
        <v>7680</v>
      </c>
      <c r="C5813" s="6" t="str">
        <f>_xll.QS.CONTEXT.CREATE("market.5811",A5813,"USD","SOFR")</f>
        <v>QSObject:PricingContext:w1~market.5811:9171</v>
      </c>
      <c r="D5813" s="6" t="str">
        <f>_xll.QS.CONTEXT.ADD.CURVE(C5813,"SOFR",$K$2:$K$7,$L$2:$L$7,,,"Actual360","LogLinear",TRUE)</f>
        <v>QSObject:ContextInput:w1~input.qs_context_add_curve.2359132437744.5812.3.0:34691</v>
      </c>
      <c r="E5813" s="6" t="str">
        <f>_xll.QS.INSTRUMENT.SWAP("swap.5811",H5813,B5813,"USD","SOFR",I5813,J5813,0,"Actual360","Simple","Annual","Annual","Annual")</f>
        <v>QSObject:Swap:w1~swap.5811:9170</v>
      </c>
      <c r="F5813" s="6" t="str">
        <f>_xll.QS.TRADE.CREATE("trade.5811",E5813,A5813,"Receive")</f>
        <v>QSObject:SwapTrade:w1~trade.5811:26118</v>
      </c>
      <c r="G5813" s="3">
        <f>_xll.QS.EVALUATE(C5813,F5813)</f>
        <v>29698.12892510918</v>
      </c>
      <c r="H5813" s="5" t="s">
        <v>5854</v>
      </c>
      <c r="I5813" s="7">
        <v>1581100</v>
      </c>
      <c r="J5813" s="8">
        <v>3.61E-2</v>
      </c>
    </row>
    <row r="5814" spans="1:10" x14ac:dyDescent="0.25">
      <c r="A5814" s="5" t="s">
        <v>5848</v>
      </c>
      <c r="B5814" s="5" t="s">
        <v>7681</v>
      </c>
      <c r="C5814" s="6" t="str">
        <f>_xll.QS.CONTEXT.CREATE("market.5812",A5814,"USD","SOFR")</f>
        <v>QSObject:PricingContext:w1~market.5812:9169</v>
      </c>
      <c r="D5814" s="6" t="str">
        <f>_xll.QS.CONTEXT.ADD.CURVE(C5814,"SOFR",$K$2:$K$7,$L$2:$L$7,,,"Actual360","LogLinear",TRUE)</f>
        <v>QSObject:ContextInput:w1~input.qs_context_add_curve.2359132437744.5813.3.0:34690</v>
      </c>
      <c r="E5814" s="6" t="str">
        <f>_xll.QS.INSTRUMENT.SWAP("swap.5812",H5814,B5814,"USD","SOFR",I5814,J5814,0,"Actual360","Simple","Annual","Annual","Annual")</f>
        <v>QSObject:Swap:w1~swap.5812:9168</v>
      </c>
      <c r="F5814" s="6" t="str">
        <f>_xll.QS.TRADE.CREATE("trade.5812",E5814,A5814,"Receive")</f>
        <v>QSObject:SwapTrade:w1~trade.5812:26117</v>
      </c>
      <c r="G5814" s="3">
        <f>_xll.QS.EVALUATE(C5814,F5814)</f>
        <v>30544.822833411607</v>
      </c>
      <c r="H5814" s="5" t="s">
        <v>5855</v>
      </c>
      <c r="I5814" s="7">
        <v>1581200</v>
      </c>
      <c r="J5814" s="8">
        <v>3.6200000000000003E-2</v>
      </c>
    </row>
    <row r="5815" spans="1:10" x14ac:dyDescent="0.25">
      <c r="A5815" s="5" t="s">
        <v>5849</v>
      </c>
      <c r="B5815" s="5" t="s">
        <v>7682</v>
      </c>
      <c r="C5815" s="6" t="str">
        <f>_xll.QS.CONTEXT.CREATE("market.5813",A5815,"USD","SOFR")</f>
        <v>QSObject:PricingContext:w1~market.5813:9167</v>
      </c>
      <c r="D5815" s="6" t="str">
        <f>_xll.QS.CONTEXT.ADD.CURVE(C5815,"SOFR",$K$2:$K$7,$L$2:$L$7,,,"Actual360","LogLinear",TRUE)</f>
        <v>QSObject:ContextInput:w1~input.qs_context_add_curve.2359132437744.5814.3.0:34689</v>
      </c>
      <c r="E5815" s="6" t="str">
        <f>_xll.QS.INSTRUMENT.SWAP("swap.5813",H5815,B5815,"USD","SOFR",I5815,J5815,0,"Actual360","Simple","Annual","Annual","Annual")</f>
        <v>QSObject:Swap:w1~swap.5813:9166</v>
      </c>
      <c r="F5815" s="6" t="str">
        <f>_xll.QS.TRADE.CREATE("trade.5813",E5815,A5815,"Receive")</f>
        <v>QSObject:SwapTrade:w1~trade.5813:26116</v>
      </c>
      <c r="G5815" s="3">
        <f>_xll.QS.EVALUATE(C5815,F5815)</f>
        <v>31344.933566385756</v>
      </c>
      <c r="H5815" s="5" t="s">
        <v>5856</v>
      </c>
      <c r="I5815" s="7">
        <v>1581300</v>
      </c>
      <c r="J5815" s="8">
        <v>3.6300000000000013E-2</v>
      </c>
    </row>
    <row r="5816" spans="1:10" x14ac:dyDescent="0.25">
      <c r="A5816" s="5" t="s">
        <v>5850</v>
      </c>
      <c r="B5816" s="5" t="s">
        <v>7683</v>
      </c>
      <c r="C5816" s="6" t="str">
        <f>_xll.QS.CONTEXT.CREATE("market.5814",A5816,"USD","SOFR")</f>
        <v>QSObject:PricingContext:w1~market.5814:9165</v>
      </c>
      <c r="D5816" s="6" t="str">
        <f>_xll.QS.CONTEXT.ADD.CURVE(C5816,"SOFR",$K$2:$K$7,$L$2:$L$7,,,"Actual360","LogLinear",TRUE)</f>
        <v>QSObject:ContextInput:w1~input.qs_context_add_curve.2359132437744.5815.3.0:34688</v>
      </c>
      <c r="E5816" s="6" t="str">
        <f>_xll.QS.INSTRUMENT.SWAP("swap.5814",H5816,B5816,"USD","SOFR",I5816,J5816,0,"Actual360","Simple","Annual","Annual","Annual")</f>
        <v>QSObject:Swap:w1~swap.5814:9164</v>
      </c>
      <c r="F5816" s="6" t="str">
        <f>_xll.QS.TRADE.CREATE("trade.5814",E5816,A5816,"Receive")</f>
        <v>QSObject:SwapTrade:w1~trade.5814:26115</v>
      </c>
      <c r="G5816" s="3">
        <f>_xll.QS.EVALUATE(C5816,F5816)</f>
        <v>32015.434573910825</v>
      </c>
      <c r="H5816" s="5" t="s">
        <v>5857</v>
      </c>
      <c r="I5816" s="7">
        <v>1581400</v>
      </c>
      <c r="J5816" s="8">
        <v>3.6400000000000002E-2</v>
      </c>
    </row>
    <row r="5817" spans="1:10" x14ac:dyDescent="0.25">
      <c r="A5817" s="5" t="s">
        <v>5851</v>
      </c>
      <c r="B5817" s="5" t="s">
        <v>7684</v>
      </c>
      <c r="C5817" s="6" t="str">
        <f>_xll.QS.CONTEXT.CREATE("market.5815",A5817,"USD","SOFR")</f>
        <v>QSObject:PricingContext:w1~market.5815:9163</v>
      </c>
      <c r="D5817" s="6" t="str">
        <f>_xll.QS.CONTEXT.ADD.CURVE(C5817,"SOFR",$K$2:$K$7,$L$2:$L$7,,,"Actual360","LogLinear",TRUE)</f>
        <v>QSObject:ContextInput:w1~input.qs_context_add_curve.2359132437744.5816.3.0:34687</v>
      </c>
      <c r="E5817" s="6" t="str">
        <f>_xll.QS.INSTRUMENT.SWAP("swap.5815",H5817,B5817,"USD","SOFR",I5817,J5817,0,"Actual360","Simple","Annual","Annual","Annual")</f>
        <v>QSObject:Swap:w1~swap.5815:9162</v>
      </c>
      <c r="F5817" s="6" t="str">
        <f>_xll.QS.TRADE.CREATE("trade.5815",E5817,A5817,"Receive")</f>
        <v>QSObject:SwapTrade:w1~trade.5815:26114</v>
      </c>
      <c r="G5817" s="3">
        <f>_xll.QS.EVALUATE(C5817,F5817)</f>
        <v>32641.521651040675</v>
      </c>
      <c r="H5817" s="5" t="s">
        <v>5858</v>
      </c>
      <c r="I5817" s="7">
        <v>1581500</v>
      </c>
      <c r="J5817" s="8">
        <v>3.6499999999999998E-2</v>
      </c>
    </row>
    <row r="5818" spans="1:10" x14ac:dyDescent="0.25">
      <c r="A5818" s="5" t="s">
        <v>5852</v>
      </c>
      <c r="B5818" s="5" t="s">
        <v>7685</v>
      </c>
      <c r="C5818" s="6" t="str">
        <f>_xll.QS.CONTEXT.CREATE("market.5816",A5818,"USD","SOFR")</f>
        <v>QSObject:PricingContext:w1~market.5816:9161</v>
      </c>
      <c r="D5818" s="6" t="str">
        <f>_xll.QS.CONTEXT.ADD.CURVE(C5818,"SOFR",$K$2:$K$7,$L$2:$L$7,,,"Actual360","LogLinear",TRUE)</f>
        <v>QSObject:ContextInput:w1~input.qs_context_add_curve.2359132437744.5817.3.0:34686</v>
      </c>
      <c r="E5818" s="6" t="str">
        <f>_xll.QS.INSTRUMENT.SWAP("swap.5816",H5818,B5818,"USD","SOFR",I5818,J5818,0,"Actual360","Simple","Annual","Annual","Annual")</f>
        <v>QSObject:Swap:w1~swap.5816:9160</v>
      </c>
      <c r="F5818" s="6" t="str">
        <f>_xll.QS.TRADE.CREATE("trade.5816",E5818,A5818,"Receive")</f>
        <v>QSObject:SwapTrade:w1~trade.5816:26113</v>
      </c>
      <c r="G5818" s="3">
        <f>_xll.QS.EVALUATE(C5818,F5818)</f>
        <v>33244.296169471614</v>
      </c>
      <c r="H5818" s="5" t="s">
        <v>5859</v>
      </c>
      <c r="I5818" s="7">
        <v>1581600</v>
      </c>
      <c r="J5818" s="8">
        <v>3.6600000000000001E-2</v>
      </c>
    </row>
    <row r="5819" spans="1:10" x14ac:dyDescent="0.25">
      <c r="A5819" s="5" t="s">
        <v>5853</v>
      </c>
      <c r="B5819" s="5" t="s">
        <v>7686</v>
      </c>
      <c r="C5819" s="6" t="str">
        <f>_xll.QS.CONTEXT.CREATE("market.5817",A5819,"USD","SOFR")</f>
        <v>QSObject:PricingContext:w1~market.5817:9159</v>
      </c>
      <c r="D5819" s="6" t="str">
        <f>_xll.QS.CONTEXT.ADD.CURVE(C5819,"SOFR",$K$2:$K$7,$L$2:$L$7,,,"Actual360","LogLinear",TRUE)</f>
        <v>QSObject:ContextInput:w1~input.qs_context_add_curve.2359132437744.5818.3.0:34685</v>
      </c>
      <c r="E5819" s="6" t="str">
        <f>_xll.QS.INSTRUMENT.SWAP("swap.5817",H5819,B5819,"USD","SOFR",I5819,J5819,0,"Actual360","Simple","Annual","Annual","Annual")</f>
        <v>QSObject:Swap:w1~swap.5817:9158</v>
      </c>
      <c r="F5819" s="6" t="str">
        <f>_xll.QS.TRADE.CREATE("trade.5817",E5819,A5819,"Receive")</f>
        <v>QSObject:SwapTrade:w1~trade.5817:26112</v>
      </c>
      <c r="G5819" s="3">
        <f>_xll.QS.EVALUATE(C5819,F5819)</f>
        <v>34041.935899767821</v>
      </c>
      <c r="H5819" s="5" t="s">
        <v>5860</v>
      </c>
      <c r="I5819" s="7">
        <v>1581700</v>
      </c>
      <c r="J5819" s="8">
        <v>3.6700000000000003E-2</v>
      </c>
    </row>
    <row r="5820" spans="1:10" x14ac:dyDescent="0.25">
      <c r="A5820" s="5" t="s">
        <v>5854</v>
      </c>
      <c r="B5820" s="5" t="s">
        <v>7687</v>
      </c>
      <c r="C5820" s="6" t="str">
        <f>_xll.QS.CONTEXT.CREATE("market.5818",A5820,"USD","SOFR")</f>
        <v>QSObject:PricingContext:w1~market.5818:9157</v>
      </c>
      <c r="D5820" s="6" t="str">
        <f>_xll.QS.CONTEXT.ADD.CURVE(C5820,"SOFR",$K$2:$K$7,$L$2:$L$7,,,"Actual360","LogLinear",TRUE)</f>
        <v>QSObject:ContextInput:w1~input.qs_context_add_curve.2359132437744.5819.3.0:34684</v>
      </c>
      <c r="E5820" s="6" t="str">
        <f>_xll.QS.INSTRUMENT.SWAP("swap.5818",H5820,B5820,"USD","SOFR",I5820,J5820,0,"Actual360","Simple","Annual","Annual","Annual")</f>
        <v>QSObject:Swap:w1~swap.5818:9156</v>
      </c>
      <c r="F5820" s="6" t="str">
        <f>_xll.QS.TRADE.CREATE("trade.5818",E5820,A5820,"Receive")</f>
        <v>QSObject:SwapTrade:w1~trade.5818:26111</v>
      </c>
      <c r="G5820" s="3">
        <f>_xll.QS.EVALUATE(C5820,F5820)</f>
        <v>34817.202928485596</v>
      </c>
      <c r="H5820" s="5" t="s">
        <v>5861</v>
      </c>
      <c r="I5820" s="7">
        <v>1581800</v>
      </c>
      <c r="J5820" s="8">
        <v>3.6800000000000013E-2</v>
      </c>
    </row>
    <row r="5821" spans="1:10" x14ac:dyDescent="0.25">
      <c r="A5821" s="5" t="s">
        <v>5855</v>
      </c>
      <c r="B5821" s="5" t="s">
        <v>7688</v>
      </c>
      <c r="C5821" s="6" t="str">
        <f>_xll.QS.CONTEXT.CREATE("market.5819",A5821,"USD","SOFR")</f>
        <v>QSObject:PricingContext:w1~market.5819:9155</v>
      </c>
      <c r="D5821" s="6" t="str">
        <f>_xll.QS.CONTEXT.ADD.CURVE(C5821,"SOFR",$K$2:$K$7,$L$2:$L$7,,,"Actual360","LogLinear",TRUE)</f>
        <v>QSObject:ContextInput:w1~input.qs_context_add_curve.2359132437744.5820.3.0:34683</v>
      </c>
      <c r="E5821" s="6" t="str">
        <f>_xll.QS.INSTRUMENT.SWAP("swap.5819",H5821,B5821,"USD","SOFR",I5821,J5821,0,"Actual360","Simple","Annual","Annual","Annual")</f>
        <v>QSObject:Swap:w1~swap.5819:9154</v>
      </c>
      <c r="F5821" s="6" t="str">
        <f>_xll.QS.TRADE.CREATE("trade.5819",E5821,A5821,"Receive")</f>
        <v>QSObject:SwapTrade:w1~trade.5819:26110</v>
      </c>
      <c r="G5821" s="3">
        <f>_xll.QS.EVALUATE(C5821,F5821)</f>
        <v>35664.674435732813</v>
      </c>
      <c r="H5821" s="5" t="s">
        <v>5862</v>
      </c>
      <c r="I5821" s="7">
        <v>1581900</v>
      </c>
      <c r="J5821" s="8">
        <v>3.6900000000000002E-2</v>
      </c>
    </row>
    <row r="5822" spans="1:10" x14ac:dyDescent="0.25">
      <c r="A5822" s="5" t="s">
        <v>5856</v>
      </c>
      <c r="B5822" s="5" t="s">
        <v>7689</v>
      </c>
      <c r="C5822" s="6" t="str">
        <f>_xll.QS.CONTEXT.CREATE("market.5820",A5822,"USD","SOFR")</f>
        <v>QSObject:PricingContext:w1~market.5820:9153</v>
      </c>
      <c r="D5822" s="6" t="str">
        <f>_xll.QS.CONTEXT.ADD.CURVE(C5822,"SOFR",$K$2:$K$7,$L$2:$L$7,,,"Actual360","LogLinear",TRUE)</f>
        <v>QSObject:ContextInput:w1~input.qs_context_add_curve.2359132437744.5821.3.0:34682</v>
      </c>
      <c r="E5822" s="6" t="str">
        <f>_xll.QS.INSTRUMENT.SWAP("swap.5820",H5822,B5822,"USD","SOFR",I5822,J5822,0,"Actual360","Simple","Annual","Annual","Annual")</f>
        <v>QSObject:Swap:w1~swap.5820:9152</v>
      </c>
      <c r="F5822" s="6" t="str">
        <f>_xll.QS.TRADE.CREATE("trade.5820",E5822,A5822,"Receive")</f>
        <v>QSObject:SwapTrade:w1~trade.5820:26109</v>
      </c>
      <c r="G5822" s="3">
        <f>_xll.QS.EVALUATE(C5822,F5822)</f>
        <v>36465.519917252976</v>
      </c>
      <c r="H5822" s="5" t="s">
        <v>5863</v>
      </c>
      <c r="I5822" s="7">
        <v>1582000</v>
      </c>
      <c r="J5822" s="8">
        <v>3.7000000000000012E-2</v>
      </c>
    </row>
    <row r="5823" spans="1:10" x14ac:dyDescent="0.25">
      <c r="A5823" s="5" t="s">
        <v>5857</v>
      </c>
      <c r="B5823" s="5" t="s">
        <v>7690</v>
      </c>
      <c r="C5823" s="6" t="str">
        <f>_xll.QS.CONTEXT.CREATE("market.5821",A5823,"USD","SOFR")</f>
        <v>QSObject:PricingContext:w1~market.5821:9151</v>
      </c>
      <c r="D5823" s="6" t="str">
        <f>_xll.QS.CONTEXT.ADD.CURVE(C5823,"SOFR",$K$2:$K$7,$L$2:$L$7,,,"Actual360","LogLinear",TRUE)</f>
        <v>QSObject:ContextInput:w1~input.qs_context_add_curve.2359132437744.5822.3.0:34681</v>
      </c>
      <c r="E5823" s="6" t="str">
        <f>_xll.QS.INSTRUMENT.SWAP("swap.5821",H5823,B5823,"USD","SOFR",I5823,J5823,0,"Actual360","Simple","Annual","Annual","Annual")</f>
        <v>QSObject:Swap:w1~swap.5821:9150</v>
      </c>
      <c r="F5823" s="6" t="str">
        <f>_xll.QS.TRADE.CREATE("trade.5821",E5823,A5823,"Receive")</f>
        <v>QSObject:SwapTrade:w1~trade.5821:26108</v>
      </c>
      <c r="G5823" s="3">
        <f>_xll.QS.EVALUATE(C5823,F5823)</f>
        <v>37136.583539115869</v>
      </c>
      <c r="H5823" s="5" t="s">
        <v>5864</v>
      </c>
      <c r="I5823" s="7">
        <v>1582100</v>
      </c>
      <c r="J5823" s="8">
        <v>3.7100000000000001E-2</v>
      </c>
    </row>
    <row r="5824" spans="1:10" x14ac:dyDescent="0.25">
      <c r="A5824" s="5" t="s">
        <v>5858</v>
      </c>
      <c r="B5824" s="5" t="s">
        <v>7691</v>
      </c>
      <c r="C5824" s="6" t="str">
        <f>_xll.QS.CONTEXT.CREATE("market.5822",A5824,"USD","SOFR")</f>
        <v>QSObject:PricingContext:w1~market.5822:9149</v>
      </c>
      <c r="D5824" s="6" t="str">
        <f>_xll.QS.CONTEXT.ADD.CURVE(C5824,"SOFR",$K$2:$K$7,$L$2:$L$7,,,"Actual360","LogLinear",TRUE)</f>
        <v>QSObject:ContextInput:w1~input.qs_context_add_curve.2359132437744.5823.3.0:34680</v>
      </c>
      <c r="E5824" s="6" t="str">
        <f>_xll.QS.INSTRUMENT.SWAP("swap.5822",H5824,B5824,"USD","SOFR",I5824,J5824,0,"Actual360","Simple","Annual","Annual","Annual")</f>
        <v>QSObject:Swap:w1~swap.5822:9148</v>
      </c>
      <c r="F5824" s="6" t="str">
        <f>_xll.QS.TRADE.CREATE("trade.5822",E5824,A5824,"Receive")</f>
        <v>QSObject:SwapTrade:w1~trade.5822:26107</v>
      </c>
      <c r="G5824" s="3">
        <f>_xll.QS.EVALUATE(C5824,F5824)</f>
        <v>37757.254996772761</v>
      </c>
      <c r="H5824" s="5" t="s">
        <v>5865</v>
      </c>
      <c r="I5824" s="7">
        <v>1582200</v>
      </c>
      <c r="J5824" s="8">
        <v>3.7199999999999997E-2</v>
      </c>
    </row>
    <row r="5825" spans="1:10" x14ac:dyDescent="0.25">
      <c r="A5825" s="5" t="s">
        <v>5859</v>
      </c>
      <c r="B5825" s="5" t="s">
        <v>7692</v>
      </c>
      <c r="C5825" s="6" t="str">
        <f>_xll.QS.CONTEXT.CREATE("market.5823",A5825,"USD","SOFR")</f>
        <v>QSObject:PricingContext:w1~market.5823:9147</v>
      </c>
      <c r="D5825" s="6" t="str">
        <f>_xll.QS.CONTEXT.ADD.CURVE(C5825,"SOFR",$K$2:$K$7,$L$2:$L$7,,,"Actual360","LogLinear",TRUE)</f>
        <v>QSObject:ContextInput:w1~input.qs_context_add_curve.2359132437744.5824.3.0:34679</v>
      </c>
      <c r="E5825" s="6" t="str">
        <f>_xll.QS.INSTRUMENT.SWAP("swap.5823",H5825,B5825,"USD","SOFR",I5825,J5825,0,"Actual360","Simple","Annual","Annual","Annual")</f>
        <v>QSObject:Swap:w1~swap.5823:9146</v>
      </c>
      <c r="F5825" s="6" t="str">
        <f>_xll.QS.TRADE.CREATE("trade.5823",E5825,A5825,"Receive")</f>
        <v>QSObject:SwapTrade:w1~trade.5823:26106</v>
      </c>
      <c r="G5825" s="3">
        <f>_xll.QS.EVALUATE(C5825,F5825)</f>
        <v>38368.536290640426</v>
      </c>
      <c r="H5825" s="5" t="s">
        <v>5866</v>
      </c>
      <c r="I5825" s="7">
        <v>1582300</v>
      </c>
      <c r="J5825" s="8">
        <v>3.73E-2</v>
      </c>
    </row>
    <row r="5826" spans="1:10" x14ac:dyDescent="0.25">
      <c r="A5826" s="5" t="s">
        <v>5860</v>
      </c>
      <c r="B5826" s="5" t="s">
        <v>7693</v>
      </c>
      <c r="C5826" s="6" t="str">
        <f>_xll.QS.CONTEXT.CREATE("market.5824",A5826,"USD","SOFR")</f>
        <v>QSObject:PricingContext:w1~market.5824:9145</v>
      </c>
      <c r="D5826" s="6" t="str">
        <f>_xll.QS.CONTEXT.ADD.CURVE(C5826,"SOFR",$K$2:$K$7,$L$2:$L$7,,,"Actual360","LogLinear",TRUE)</f>
        <v>QSObject:ContextInput:w1~input.qs_context_add_curve.2359132437744.5825.3.0:34678</v>
      </c>
      <c r="E5826" s="6" t="str">
        <f>_xll.QS.INSTRUMENT.SWAP("swap.5824",H5826,B5826,"USD","SOFR",I5826,J5826,0,"Actual360","Simple","Annual","Annual","Annual")</f>
        <v>QSObject:Swap:w1~swap.5824:9144</v>
      </c>
      <c r="F5826" s="6" t="str">
        <f>_xll.QS.TRADE.CREATE("trade.5824",E5826,A5826,"Receive")</f>
        <v>QSObject:SwapTrade:w1~trade.5824:26105</v>
      </c>
      <c r="G5826" s="3">
        <f>_xll.QS.EVALUATE(C5826,F5826)</f>
        <v>39167.345989222245</v>
      </c>
      <c r="H5826" s="5" t="s">
        <v>5867</v>
      </c>
      <c r="I5826" s="7">
        <v>1582400</v>
      </c>
      <c r="J5826" s="8">
        <v>3.7400000000000003E-2</v>
      </c>
    </row>
    <row r="5827" spans="1:10" x14ac:dyDescent="0.25">
      <c r="A5827" s="5" t="s">
        <v>5861</v>
      </c>
      <c r="B5827" s="5" t="s">
        <v>7694</v>
      </c>
      <c r="C5827" s="6" t="str">
        <f>_xll.QS.CONTEXT.CREATE("market.5825",A5827,"USD","SOFR")</f>
        <v>QSObject:PricingContext:w1~market.5825:9143</v>
      </c>
      <c r="D5827" s="6" t="str">
        <f>_xll.QS.CONTEXT.ADD.CURVE(C5827,"SOFR",$K$2:$K$7,$L$2:$L$7,,,"Actual360","LogLinear",TRUE)</f>
        <v>QSObject:ContextInput:w1~input.qs_context_add_curve.2359132437744.5826.3.0:34677</v>
      </c>
      <c r="E5827" s="6" t="str">
        <f>_xll.QS.INSTRUMENT.SWAP("swap.5825",H5827,B5827,"USD","SOFR",I5827,J5827,0,"Actual360","Simple","Annual","Annual","Annual")</f>
        <v>QSObject:Swap:w1~swap.5825:9142</v>
      </c>
      <c r="F5827" s="6" t="str">
        <f>_xll.QS.TRADE.CREATE("trade.5825",E5827,A5827,"Receive")</f>
        <v>QSObject:SwapTrade:w1~trade.5825:26104</v>
      </c>
      <c r="G5827" s="3">
        <f>_xll.QS.EVALUATE(C5827,F5827)</f>
        <v>39940.796021545379</v>
      </c>
      <c r="H5827" s="5" t="s">
        <v>5868</v>
      </c>
      <c r="I5827" s="7">
        <v>1582500</v>
      </c>
      <c r="J5827" s="8">
        <v>3.7500000000000012E-2</v>
      </c>
    </row>
    <row r="5828" spans="1:10" x14ac:dyDescent="0.25">
      <c r="A5828" s="5" t="s">
        <v>5862</v>
      </c>
      <c r="B5828" s="5" t="s">
        <v>7695</v>
      </c>
      <c r="C5828" s="6" t="str">
        <f>_xll.QS.CONTEXT.CREATE("market.5826",A5828,"USD","SOFR")</f>
        <v>QSObject:PricingContext:w1~market.5826:9141</v>
      </c>
      <c r="D5828" s="6" t="str">
        <f>_xll.QS.CONTEXT.ADD.CURVE(C5828,"SOFR",$K$2:$K$7,$L$2:$L$7,,,"Actual360","LogLinear",TRUE)</f>
        <v>QSObject:ContextInput:w1~input.qs_context_add_curve.2359132437744.5827.3.0:34676</v>
      </c>
      <c r="E5828" s="6" t="str">
        <f>_xll.QS.INSTRUMENT.SWAP("swap.5826",H5828,B5828,"USD","SOFR",I5828,J5828,0,"Actual360","Simple","Annual","Annual","Annual")</f>
        <v>QSObject:Swap:w1~swap.5826:9140</v>
      </c>
      <c r="F5828" s="6" t="str">
        <f>_xll.QS.TRADE.CREATE("trade.5826",E5828,A5828,"Receive")</f>
        <v>QSObject:SwapTrade:w1~trade.5826:26103</v>
      </c>
      <c r="G5828" s="3">
        <f>_xll.QS.EVALUATE(C5828,F5828)</f>
        <v>40789.04519925137</v>
      </c>
      <c r="H5828" s="5" t="s">
        <v>5869</v>
      </c>
      <c r="I5828" s="7">
        <v>1582600</v>
      </c>
      <c r="J5828" s="8">
        <v>3.7600000000000001E-2</v>
      </c>
    </row>
    <row r="5829" spans="1:10" x14ac:dyDescent="0.25">
      <c r="A5829" s="5" t="s">
        <v>5863</v>
      </c>
      <c r="B5829" s="5" t="s">
        <v>7696</v>
      </c>
      <c r="C5829" s="6" t="str">
        <f>_xll.QS.CONTEXT.CREATE("market.5827",A5829,"USD","SOFR")</f>
        <v>QSObject:PricingContext:w1~market.5827:9139</v>
      </c>
      <c r="D5829" s="6" t="str">
        <f>_xll.QS.CONTEXT.ADD.CURVE(C5829,"SOFR",$K$2:$K$7,$L$2:$L$7,,,"Actual360","LogLinear",TRUE)</f>
        <v>QSObject:ContextInput:w1~input.qs_context_add_curve.2359132437744.5828.3.0:34675</v>
      </c>
      <c r="E5829" s="6" t="str">
        <f>_xll.QS.INSTRUMENT.SWAP("swap.5827",H5829,B5829,"USD","SOFR",I5829,J5829,0,"Actual360","Simple","Annual","Annual","Annual")</f>
        <v>QSObject:Swap:w1~swap.5827:9138</v>
      </c>
      <c r="F5829" s="6" t="str">
        <f>_xll.QS.TRADE.CREATE("trade.5827",E5829,A5829,"Receive")</f>
        <v>QSObject:SwapTrade:w1~trade.5827:26102</v>
      </c>
      <c r="G5829" s="3">
        <f>_xll.QS.EVALUATE(C5829,F5829)</f>
        <v>41590.625481191993</v>
      </c>
      <c r="H5829" s="5" t="s">
        <v>5870</v>
      </c>
      <c r="I5829" s="7">
        <v>1582700</v>
      </c>
      <c r="J5829" s="8">
        <v>3.7699999999999997E-2</v>
      </c>
    </row>
    <row r="5830" spans="1:10" x14ac:dyDescent="0.25">
      <c r="A5830" s="5" t="s">
        <v>5864</v>
      </c>
      <c r="B5830" s="5" t="s">
        <v>7697</v>
      </c>
      <c r="C5830" s="6" t="str">
        <f>_xll.QS.CONTEXT.CREATE("market.5828",A5830,"USD","SOFR")</f>
        <v>QSObject:PricingContext:w1~market.5828:9137</v>
      </c>
      <c r="D5830" s="6" t="str">
        <f>_xll.QS.CONTEXT.ADD.CURVE(C5830,"SOFR",$K$2:$K$7,$L$2:$L$7,,,"Actual360","LogLinear",TRUE)</f>
        <v>QSObject:ContextInput:w1~input.qs_context_add_curve.2359132437744.5829.3.0:34674</v>
      </c>
      <c r="E5830" s="6" t="str">
        <f>_xll.QS.INSTRUMENT.SWAP("swap.5828",H5830,B5830,"USD","SOFR",I5830,J5830,0,"Actual360","Simple","Annual","Annual","Annual")</f>
        <v>QSObject:Swap:w1~swap.5828:9136</v>
      </c>
      <c r="F5830" s="6" t="str">
        <f>_xll.QS.TRADE.CREATE("trade.5828",E5830,A5830,"Receive")</f>
        <v>QSObject:SwapTrade:w1~trade.5828:26101</v>
      </c>
      <c r="G5830" s="3">
        <f>_xll.QS.EVALUATE(C5830,F5830)</f>
        <v>42262.107759000697</v>
      </c>
      <c r="H5830" s="5" t="s">
        <v>5871</v>
      </c>
      <c r="I5830" s="7">
        <v>1582800</v>
      </c>
      <c r="J5830" s="8">
        <v>3.78E-2</v>
      </c>
    </row>
    <row r="5831" spans="1:10" x14ac:dyDescent="0.25">
      <c r="A5831" s="5" t="s">
        <v>5865</v>
      </c>
      <c r="B5831" s="5" t="s">
        <v>7698</v>
      </c>
      <c r="C5831" s="6" t="str">
        <f>_xll.QS.CONTEXT.CREATE("market.5829",A5831,"USD","SOFR")</f>
        <v>QSObject:PricingContext:w1~market.5829:9135</v>
      </c>
      <c r="D5831" s="6" t="str">
        <f>_xll.QS.CONTEXT.ADD.CURVE(C5831,"SOFR",$K$2:$K$7,$L$2:$L$7,,,"Actual360","LogLinear",TRUE)</f>
        <v>QSObject:ContextInput:w1~input.qs_context_add_curve.2359132437744.5830.3.0:34673</v>
      </c>
      <c r="E5831" s="6" t="str">
        <f>_xll.QS.INSTRUMENT.SWAP("swap.5829",H5831,B5831,"USD","SOFR",I5831,J5831,0,"Actual360","Simple","Annual","Annual","Annual")</f>
        <v>QSObject:Swap:w1~swap.5829:9134</v>
      </c>
      <c r="F5831" s="6" t="str">
        <f>_xll.QS.TRADE.CREATE("trade.5829",E5831,A5831,"Receive")</f>
        <v>QSObject:SwapTrade:w1~trade.5829:26100</v>
      </c>
      <c r="G5831" s="3">
        <f>_xll.QS.EVALUATE(C5831,F5831)</f>
        <v>42733.435339822943</v>
      </c>
      <c r="H5831" s="5" t="s">
        <v>5872</v>
      </c>
      <c r="I5831" s="7">
        <v>1582900</v>
      </c>
      <c r="J5831" s="8">
        <v>3.7900000000000003E-2</v>
      </c>
    </row>
    <row r="5832" spans="1:10" x14ac:dyDescent="0.25">
      <c r="A5832" s="5" t="s">
        <v>5866</v>
      </c>
      <c r="B5832" s="5" t="s">
        <v>7699</v>
      </c>
      <c r="C5832" s="6" t="str">
        <f>_xll.QS.CONTEXT.CREATE("market.5830",A5832,"USD","SOFR")</f>
        <v>QSObject:PricingContext:w1~market.5830:9133</v>
      </c>
      <c r="D5832" s="6" t="str">
        <f>_xll.QS.CONTEXT.ADD.CURVE(C5832,"SOFR",$K$2:$K$7,$L$2:$L$7,,,"Actual360","LogLinear",TRUE)</f>
        <v>QSObject:ContextInput:w1~input.qs_context_add_curve.2359132437744.5831.3.0:34672</v>
      </c>
      <c r="E5832" s="6" t="str">
        <f>_xll.QS.INSTRUMENT.SWAP("swap.5830",H5832,B5832,"USD","SOFR",I5832,J5832,0,"Actual360","Simple","Annual","Annual","Annual")</f>
        <v>QSObject:Swap:w1~swap.5830:9132</v>
      </c>
      <c r="F5832" s="6" t="str">
        <f>_xll.QS.TRADE.CREATE("trade.5830",E5832,A5832,"Receive")</f>
        <v>QSObject:SwapTrade:w1~trade.5830:26099</v>
      </c>
      <c r="G5832" s="3">
        <f>_xll.QS.EVALUATE(C5832,F5832)</f>
        <v>43469.150759794313</v>
      </c>
      <c r="H5832" s="5" t="s">
        <v>5873</v>
      </c>
      <c r="I5832" s="7">
        <v>1583000</v>
      </c>
      <c r="J5832" s="8">
        <v>3.8000000000000013E-2</v>
      </c>
    </row>
    <row r="5833" spans="1:10" x14ac:dyDescent="0.25">
      <c r="A5833" s="5" t="s">
        <v>5867</v>
      </c>
      <c r="B5833" s="5" t="s">
        <v>7700</v>
      </c>
      <c r="C5833" s="6" t="str">
        <f>_xll.QS.CONTEXT.CREATE("market.5831",A5833,"USD","SOFR")</f>
        <v>QSObject:PricingContext:w1~market.5831:9131</v>
      </c>
      <c r="D5833" s="6" t="str">
        <f>_xll.QS.CONTEXT.ADD.CURVE(C5833,"SOFR",$K$2:$K$7,$L$2:$L$7,,,"Actual360","LogLinear",TRUE)</f>
        <v>QSObject:ContextInput:w1~input.qs_context_add_curve.2359132437744.5832.3.0:34671</v>
      </c>
      <c r="E5833" s="6" t="str">
        <f>_xll.QS.INSTRUMENT.SWAP("swap.5831",H5833,B5833,"USD","SOFR",I5833,J5833,0,"Actual360","Simple","Annual","Annual","Annual")</f>
        <v>QSObject:Swap:w1~swap.5831:9130</v>
      </c>
      <c r="F5833" s="6" t="str">
        <f>_xll.QS.TRADE.CREATE("trade.5831",E5833,A5833,"Receive")</f>
        <v>QSObject:SwapTrade:w1~trade.5831:26098</v>
      </c>
      <c r="G5833" s="3">
        <f>_xll.QS.EVALUATE(C5833,F5833)</f>
        <v>44269.207055316343</v>
      </c>
      <c r="H5833" s="5" t="s">
        <v>5874</v>
      </c>
      <c r="I5833" s="7">
        <v>1583100</v>
      </c>
      <c r="J5833" s="8">
        <v>3.8100000000000002E-2</v>
      </c>
    </row>
    <row r="5834" spans="1:10" x14ac:dyDescent="0.25">
      <c r="A5834" s="5" t="s">
        <v>5868</v>
      </c>
      <c r="B5834" s="5" t="s">
        <v>7701</v>
      </c>
      <c r="C5834" s="6" t="str">
        <f>_xll.QS.CONTEXT.CREATE("market.5832",A5834,"USD","SOFR")</f>
        <v>QSObject:PricingContext:w1~market.5832:9129</v>
      </c>
      <c r="D5834" s="6" t="str">
        <f>_xll.QS.CONTEXT.ADD.CURVE(C5834,"SOFR",$K$2:$K$7,$L$2:$L$7,,,"Actual360","LogLinear",TRUE)</f>
        <v>QSObject:ContextInput:w1~input.qs_context_add_curve.2359132437744.5833.3.0:34670</v>
      </c>
      <c r="E5834" s="6" t="str">
        <f>_xll.QS.INSTRUMENT.SWAP("swap.5832",H5834,B5834,"USD","SOFR",I5834,J5834,0,"Actual360","Simple","Annual","Annual","Annual")</f>
        <v>QSObject:Swap:w1~swap.5832:9128</v>
      </c>
      <c r="F5834" s="6" t="str">
        <f>_xll.QS.TRADE.CREATE("trade.5832",E5834,A5834,"Receive")</f>
        <v>QSObject:SwapTrade:w1~trade.5832:26097</v>
      </c>
      <c r="G5834" s="3">
        <f>_xll.QS.EVALUATE(C5834,F5834)</f>
        <v>45244.161374691204</v>
      </c>
      <c r="H5834" s="5" t="s">
        <v>5875</v>
      </c>
      <c r="I5834" s="7">
        <v>1583200</v>
      </c>
      <c r="J5834" s="8">
        <v>3.8199999999999998E-2</v>
      </c>
    </row>
    <row r="5835" spans="1:10" x14ac:dyDescent="0.25">
      <c r="A5835" s="5" t="s">
        <v>5869</v>
      </c>
      <c r="B5835" s="5" t="s">
        <v>7702</v>
      </c>
      <c r="C5835" s="6" t="str">
        <f>_xll.QS.CONTEXT.CREATE("market.5833",A5835,"USD","SOFR")</f>
        <v>QSObject:PricingContext:w1~market.5833:9127</v>
      </c>
      <c r="D5835" s="6" t="str">
        <f>_xll.QS.CONTEXT.ADD.CURVE(C5835,"SOFR",$K$2:$K$7,$L$2:$L$7,,,"Actual360","LogLinear",TRUE)</f>
        <v>QSObject:ContextInput:w1~input.qs_context_add_curve.2359132437744.5834.3.0:34669</v>
      </c>
      <c r="E5835" s="6" t="str">
        <f>_xll.QS.INSTRUMENT.SWAP("swap.5833",H5835,B5835,"USD","SOFR",I5835,J5835,0,"Actual360","Simple","Annual","Annual","Annual")</f>
        <v>QSObject:Swap:w1~swap.5833:9126</v>
      </c>
      <c r="F5835" s="6" t="str">
        <f>_xll.QS.TRADE.CREATE("trade.5833",E5835,A5835,"Receive")</f>
        <v>QSObject:SwapTrade:w1~trade.5833:26096</v>
      </c>
      <c r="G5835" s="3">
        <f>_xll.QS.EVALUATE(C5835,F5835)</f>
        <v>45976.23142183922</v>
      </c>
      <c r="H5835" s="5" t="s">
        <v>5876</v>
      </c>
      <c r="I5835" s="7">
        <v>1583300</v>
      </c>
      <c r="J5835" s="8">
        <v>3.8300000000000001E-2</v>
      </c>
    </row>
    <row r="5836" spans="1:10" x14ac:dyDescent="0.25">
      <c r="A5836" s="5" t="s">
        <v>5870</v>
      </c>
      <c r="B5836" s="5" t="s">
        <v>7703</v>
      </c>
      <c r="C5836" s="6" t="str">
        <f>_xll.QS.CONTEXT.CREATE("market.5834",A5836,"USD","SOFR")</f>
        <v>QSObject:PricingContext:w1~market.5834:9125</v>
      </c>
      <c r="D5836" s="6" t="str">
        <f>_xll.QS.CONTEXT.ADD.CURVE(C5836,"SOFR",$K$2:$K$7,$L$2:$L$7,,,"Actual360","LogLinear",TRUE)</f>
        <v>QSObject:ContextInput:w1~input.qs_context_add_curve.2359132437744.5835.3.0:34668</v>
      </c>
      <c r="E5836" s="6" t="str">
        <f>_xll.QS.INSTRUMENT.SWAP("swap.5834",H5836,B5836,"USD","SOFR",I5836,J5836,0,"Actual360","Simple","Annual","Annual","Annual")</f>
        <v>QSObject:Swap:w1~swap.5834:9124</v>
      </c>
      <c r="F5836" s="6" t="str">
        <f>_xll.QS.TRADE.CREATE("trade.5834",E5836,A5836,"Receive")</f>
        <v>QSObject:SwapTrade:w1~trade.5834:26095</v>
      </c>
      <c r="G5836" s="3">
        <f>_xll.QS.EVALUATE(C5836,F5836)</f>
        <v>46722.301059538353</v>
      </c>
      <c r="H5836" s="5" t="s">
        <v>5877</v>
      </c>
      <c r="I5836" s="7">
        <v>1583400</v>
      </c>
      <c r="J5836" s="8">
        <v>3.8399999999999997E-2</v>
      </c>
    </row>
    <row r="5837" spans="1:10" x14ac:dyDescent="0.25">
      <c r="A5837" s="5" t="s">
        <v>5871</v>
      </c>
      <c r="B5837" s="5" t="s">
        <v>7704</v>
      </c>
      <c r="C5837" s="6" t="str">
        <f>_xll.QS.CONTEXT.CREATE("market.5835",A5837,"USD","SOFR")</f>
        <v>QSObject:PricingContext:w1~market.5835:9123</v>
      </c>
      <c r="D5837" s="6" t="str">
        <f>_xll.QS.CONTEXT.ADD.CURVE(C5837,"SOFR",$K$2:$K$7,$L$2:$L$7,,,"Actual360","LogLinear",TRUE)</f>
        <v>QSObject:ContextInput:w1~input.qs_context_add_curve.2359132437744.5836.3.0:34667</v>
      </c>
      <c r="E5837" s="6" t="str">
        <f>_xll.QS.INSTRUMENT.SWAP("swap.5835",H5837,B5837,"USD","SOFR",I5837,J5837,0,"Actual360","Simple","Annual","Annual","Annual")</f>
        <v>QSObject:Swap:w1~swap.5835:9122</v>
      </c>
      <c r="F5837" s="6" t="str">
        <f>_xll.QS.TRADE.CREATE("trade.5835",E5837,A5837,"Receive")</f>
        <v>QSObject:SwapTrade:w1~trade.5835:26094</v>
      </c>
      <c r="G5837" s="3">
        <f>_xll.QS.EVALUATE(C5837,F5837)</f>
        <v>47455.549050637812</v>
      </c>
      <c r="H5837" s="5" t="s">
        <v>5878</v>
      </c>
      <c r="I5837" s="7">
        <v>1583500</v>
      </c>
      <c r="J5837" s="8">
        <v>3.8500000000000013E-2</v>
      </c>
    </row>
    <row r="5838" spans="1:10" x14ac:dyDescent="0.25">
      <c r="A5838" s="5" t="s">
        <v>5872</v>
      </c>
      <c r="B5838" s="5" t="s">
        <v>7705</v>
      </c>
      <c r="C5838" s="6" t="str">
        <f>_xll.QS.CONTEXT.CREATE("market.5836",A5838,"USD","SOFR")</f>
        <v>QSObject:PricingContext:w1~market.5836:9121</v>
      </c>
      <c r="D5838" s="6" t="str">
        <f>_xll.QS.CONTEXT.ADD.CURVE(C5838,"SOFR",$K$2:$K$7,$L$2:$L$7,,,"Actual360","LogLinear",TRUE)</f>
        <v>QSObject:ContextInput:w1~input.qs_context_add_curve.2359132437744.5837.3.0:34666</v>
      </c>
      <c r="E5838" s="6" t="str">
        <f>_xll.QS.INSTRUMENT.SWAP("swap.5836",H5838,B5838,"USD","SOFR",I5838,J5838,0,"Actual360","Simple","Annual","Annual","Annual")</f>
        <v>QSObject:Swap:w1~swap.5836:9120</v>
      </c>
      <c r="F5838" s="6" t="str">
        <f>_xll.QS.TRADE.CREATE("trade.5836",E5838,A5838,"Receive")</f>
        <v>QSObject:SwapTrade:w1~trade.5836:26093</v>
      </c>
      <c r="G5838" s="3">
        <f>_xll.QS.EVALUATE(C5838,F5838)</f>
        <v>48156.350339814133</v>
      </c>
      <c r="H5838" s="5" t="s">
        <v>5879</v>
      </c>
      <c r="I5838" s="7">
        <v>1583600</v>
      </c>
      <c r="J5838" s="8">
        <v>3.8600000000000002E-2</v>
      </c>
    </row>
    <row r="5839" spans="1:10" x14ac:dyDescent="0.25">
      <c r="A5839" s="5" t="s">
        <v>5873</v>
      </c>
      <c r="B5839" s="5" t="s">
        <v>7706</v>
      </c>
      <c r="C5839" s="6" t="str">
        <f>_xll.QS.CONTEXT.CREATE("market.5837",A5839,"USD","SOFR")</f>
        <v>QSObject:PricingContext:w1~market.5837:9119</v>
      </c>
      <c r="D5839" s="6" t="str">
        <f>_xll.QS.CONTEXT.ADD.CURVE(C5839,"SOFR",$K$2:$K$7,$L$2:$L$7,,,"Actual360","LogLinear",TRUE)</f>
        <v>QSObject:ContextInput:w1~input.qs_context_add_curve.2359132437744.5838.3.0:34665</v>
      </c>
      <c r="E5839" s="6" t="str">
        <f>_xll.QS.INSTRUMENT.SWAP("swap.5837",H5839,B5839,"USD","SOFR",I5839,J5839,0,"Actual360","Simple","Annual","Annual","Annual")</f>
        <v>QSObject:Swap:w1~swap.5837:9118</v>
      </c>
      <c r="F5839" s="6" t="str">
        <f>_xll.QS.TRADE.CREATE("trade.5837",E5839,A5839,"Receive")</f>
        <v>QSObject:SwapTrade:w1~trade.5837:26092</v>
      </c>
      <c r="G5839" s="3">
        <f>_xll.QS.EVALUATE(C5839,F5839)</f>
        <v>48663.195502012597</v>
      </c>
      <c r="H5839" s="5" t="s">
        <v>5880</v>
      </c>
      <c r="I5839" s="7">
        <v>1583700</v>
      </c>
      <c r="J5839" s="8">
        <v>3.8700000000000012E-2</v>
      </c>
    </row>
    <row r="5840" spans="1:10" x14ac:dyDescent="0.25">
      <c r="A5840" s="5" t="s">
        <v>5874</v>
      </c>
      <c r="B5840" s="5" t="s">
        <v>7707</v>
      </c>
      <c r="C5840" s="6" t="str">
        <f>_xll.QS.CONTEXT.CREATE("market.5838",A5840,"USD","SOFR")</f>
        <v>QSObject:PricingContext:w1~market.5838:9117</v>
      </c>
      <c r="D5840" s="6" t="str">
        <f>_xll.QS.CONTEXT.ADD.CURVE(C5840,"SOFR",$K$2:$K$7,$L$2:$L$7,,,"Actual360","LogLinear",TRUE)</f>
        <v>QSObject:ContextInput:w1~input.qs_context_add_curve.2359132437744.5839.3.0:34664</v>
      </c>
      <c r="E5840" s="6" t="str">
        <f>_xll.QS.INSTRUMENT.SWAP("swap.5838",H5840,B5840,"USD","SOFR",I5840,J5840,0,"Actual360","Simple","Annual","Annual","Annual")</f>
        <v>QSObject:Swap:w1~swap.5838:9116</v>
      </c>
      <c r="F5840" s="6" t="str">
        <f>_xll.QS.TRADE.CREATE("trade.5838",E5840,A5840,"Receive")</f>
        <v>QSObject:SwapTrade:w1~trade.5838:26091</v>
      </c>
      <c r="G5840" s="3">
        <f>_xll.QS.EVALUATE(C5840,F5840)</f>
        <v>49400.66346646646</v>
      </c>
      <c r="H5840" s="5" t="s">
        <v>5881</v>
      </c>
      <c r="I5840" s="7">
        <v>1583800</v>
      </c>
      <c r="J5840" s="8">
        <v>3.8800000000000001E-2</v>
      </c>
    </row>
    <row r="5841" spans="1:10" x14ac:dyDescent="0.25">
      <c r="A5841" s="5" t="s">
        <v>5875</v>
      </c>
      <c r="B5841" s="5" t="s">
        <v>7708</v>
      </c>
      <c r="C5841" s="6" t="str">
        <f>_xll.QS.CONTEXT.CREATE("market.5839",A5841,"USD","SOFR")</f>
        <v>QSObject:PricingContext:w1~market.5839:9115</v>
      </c>
      <c r="D5841" s="6" t="str">
        <f>_xll.QS.CONTEXT.ADD.CURVE(C5841,"SOFR",$K$2:$K$7,$L$2:$L$7,,,"Actual360","LogLinear",TRUE)</f>
        <v>QSObject:ContextInput:w1~input.qs_context_add_curve.2359132437744.5840.3.0:34663</v>
      </c>
      <c r="E5841" s="6" t="str">
        <f>_xll.QS.INSTRUMENT.SWAP("swap.5839",H5841,B5841,"USD","SOFR",I5841,J5841,0,"Actual360","Simple","Annual","Annual","Annual")</f>
        <v>QSObject:Swap:w1~swap.5839:9114</v>
      </c>
      <c r="F5841" s="6" t="str">
        <f>_xll.QS.TRADE.CREATE("trade.5839",E5841,A5841,"Receive")</f>
        <v>QSObject:SwapTrade:w1~trade.5839:26090</v>
      </c>
      <c r="G5841" s="3">
        <f>_xll.QS.EVALUATE(C5841,F5841)</f>
        <v>50201.673582378193</v>
      </c>
      <c r="H5841" s="5" t="s">
        <v>5882</v>
      </c>
      <c r="I5841" s="7">
        <v>1583900</v>
      </c>
      <c r="J5841" s="8">
        <v>3.8899999999999997E-2</v>
      </c>
    </row>
    <row r="5842" spans="1:10" x14ac:dyDescent="0.25">
      <c r="A5842" s="5" t="s">
        <v>5876</v>
      </c>
      <c r="B5842" s="5" t="s">
        <v>7709</v>
      </c>
      <c r="C5842" s="6" t="str">
        <f>_xll.QS.CONTEXT.CREATE("market.5840",A5842,"USD","SOFR")</f>
        <v>QSObject:PricingContext:w1~market.5840:9113</v>
      </c>
      <c r="D5842" s="6" t="str">
        <f>_xll.QS.CONTEXT.ADD.CURVE(C5842,"SOFR",$K$2:$K$7,$L$2:$L$7,,,"Actual360","LogLinear",TRUE)</f>
        <v>QSObject:ContextInput:w1~input.qs_context_add_curve.2359132437744.5841.3.0:34662</v>
      </c>
      <c r="E5842" s="6" t="str">
        <f>_xll.QS.INSTRUMENT.SWAP("swap.5840",H5842,B5842,"USD","SOFR",I5842,J5842,0,"Actual360","Simple","Annual","Annual","Annual")</f>
        <v>QSObject:Swap:w1~swap.5840:9112</v>
      </c>
      <c r="F5842" s="6" t="str">
        <f>_xll.QS.TRADE.CREATE("trade.5840",E5842,A5842,"Receive")</f>
        <v>QSObject:SwapTrade:w1~trade.5840:26089</v>
      </c>
      <c r="G5842" s="3">
        <f>_xll.QS.EVALUATE(C5842,F5842)</f>
        <v>51112.697491881801</v>
      </c>
      <c r="H5842" s="5" t="s">
        <v>5883</v>
      </c>
      <c r="I5842" s="7">
        <v>1584000</v>
      </c>
      <c r="J5842" s="8">
        <v>3.9000000000000007E-2</v>
      </c>
    </row>
    <row r="5843" spans="1:10" x14ac:dyDescent="0.25">
      <c r="A5843" s="5" t="s">
        <v>5877</v>
      </c>
      <c r="B5843" s="5" t="s">
        <v>7710</v>
      </c>
      <c r="C5843" s="6" t="str">
        <f>_xll.QS.CONTEXT.CREATE("market.5841",A5843,"USD","SOFR")</f>
        <v>QSObject:PricingContext:w1~market.5841:9111</v>
      </c>
      <c r="D5843" s="6" t="str">
        <f>_xll.QS.CONTEXT.ADD.CURVE(C5843,"SOFR",$K$2:$K$7,$L$2:$L$7,,,"Actual360","LogLinear",TRUE)</f>
        <v>QSObject:ContextInput:w1~input.qs_context_add_curve.2359132437744.5842.3.0:34661</v>
      </c>
      <c r="E5843" s="6" t="str">
        <f>_xll.QS.INSTRUMENT.SWAP("swap.5841",H5843,B5843,"USD","SOFR",I5843,J5843,0,"Actual360","Simple","Annual","Annual","Annual")</f>
        <v>QSObject:Swap:w1~swap.5841:9110</v>
      </c>
      <c r="F5843" s="6" t="str">
        <f>_xll.QS.TRADE.CREATE("trade.5841",E5843,A5843,"Receive")</f>
        <v>QSObject:SwapTrade:w1~trade.5841:26088</v>
      </c>
      <c r="G5843" s="3">
        <f>_xll.QS.EVALUATE(C5843,F5843)</f>
        <v>51856.448251681031</v>
      </c>
      <c r="H5843" s="5" t="s">
        <v>5884</v>
      </c>
      <c r="I5843" s="7">
        <v>1584100</v>
      </c>
      <c r="J5843" s="8">
        <v>3.9100000000000003E-2</v>
      </c>
    </row>
    <row r="5844" spans="1:10" x14ac:dyDescent="0.25">
      <c r="A5844" s="5" t="s">
        <v>5878</v>
      </c>
      <c r="B5844" s="5" t="s">
        <v>7711</v>
      </c>
      <c r="C5844" s="6" t="str">
        <f>_xll.QS.CONTEXT.CREATE("market.5842",A5844,"USD","SOFR")</f>
        <v>QSObject:PricingContext:w1~market.5842:9109</v>
      </c>
      <c r="D5844" s="6" t="str">
        <f>_xll.QS.CONTEXT.ADD.CURVE(C5844,"SOFR",$K$2:$K$7,$L$2:$L$7,,,"Actual360","LogLinear",TRUE)</f>
        <v>QSObject:ContextInput:w1~input.qs_context_add_curve.2359132437744.5843.3.0:34660</v>
      </c>
      <c r="E5844" s="6" t="str">
        <f>_xll.QS.INSTRUMENT.SWAP("swap.5842",H5844,B5844,"USD","SOFR",I5844,J5844,0,"Actual360","Simple","Annual","Annual","Annual")</f>
        <v>QSObject:Swap:w1~swap.5842:9108</v>
      </c>
      <c r="F5844" s="6" t="str">
        <f>_xll.QS.TRADE.CREATE("trade.5842",E5844,A5844,"Receive")</f>
        <v>QSObject:SwapTrade:w1~trade.5842:26087</v>
      </c>
      <c r="G5844" s="3">
        <f>_xll.QS.EVALUATE(C5844,F5844)</f>
        <v>52591.110586199116</v>
      </c>
      <c r="H5844" s="5" t="s">
        <v>5885</v>
      </c>
      <c r="I5844" s="7">
        <v>1584200</v>
      </c>
      <c r="J5844" s="8">
        <v>3.9200000000000013E-2</v>
      </c>
    </row>
    <row r="5845" spans="1:10" x14ac:dyDescent="0.25">
      <c r="A5845" s="5" t="s">
        <v>5879</v>
      </c>
      <c r="B5845" s="5" t="s">
        <v>7712</v>
      </c>
      <c r="C5845" s="6" t="str">
        <f>_xll.QS.CONTEXT.CREATE("market.5843",A5845,"USD","SOFR")</f>
        <v>QSObject:PricingContext:w1~market.5843:9107</v>
      </c>
      <c r="D5845" s="6" t="str">
        <f>_xll.QS.CONTEXT.ADD.CURVE(C5845,"SOFR",$K$2:$K$7,$L$2:$L$7,,,"Actual360","LogLinear",TRUE)</f>
        <v>QSObject:ContextInput:w1~input.qs_context_add_curve.2359132437744.5844.3.0:34659</v>
      </c>
      <c r="E5845" s="6" t="str">
        <f>_xll.QS.INSTRUMENT.SWAP("swap.5843",H5845,B5845,"USD","SOFR",I5845,J5845,0,"Actual360","Simple","Annual","Annual","Annual")</f>
        <v>QSObject:Swap:w1~swap.5843:9106</v>
      </c>
      <c r="F5845" s="6" t="str">
        <f>_xll.QS.TRADE.CREATE("trade.5843",E5845,A5845,"Receive")</f>
        <v>QSObject:SwapTrade:w1~trade.5843:26086</v>
      </c>
      <c r="G5845" s="3">
        <f>_xll.QS.EVALUATE(C5845,F5845)</f>
        <v>53195.492314946547</v>
      </c>
      <c r="H5845" s="5" t="s">
        <v>5886</v>
      </c>
      <c r="I5845" s="7">
        <v>1584300</v>
      </c>
      <c r="J5845" s="8">
        <v>3.9300000000000002E-2</v>
      </c>
    </row>
    <row r="5846" spans="1:10" x14ac:dyDescent="0.25">
      <c r="A5846" s="5" t="s">
        <v>5880</v>
      </c>
      <c r="B5846" s="5" t="s">
        <v>7713</v>
      </c>
      <c r="C5846" s="6" t="str">
        <f>_xll.QS.CONTEXT.CREATE("market.5844",A5846,"USD","SOFR")</f>
        <v>QSObject:PricingContext:w1~market.5844:9105</v>
      </c>
      <c r="D5846" s="6" t="str">
        <f>_xll.QS.CONTEXT.ADD.CURVE(C5846,"SOFR",$K$2:$K$7,$L$2:$L$7,,,"Actual360","LogLinear",TRUE)</f>
        <v>QSObject:ContextInput:w1~input.qs_context_add_curve.2359132437744.5845.3.0:34658</v>
      </c>
      <c r="E5846" s="6" t="str">
        <f>_xll.QS.INSTRUMENT.SWAP("swap.5844",H5846,B5846,"USD","SOFR",I5846,J5846,0,"Actual360","Simple","Annual","Annual","Annual")</f>
        <v>QSObject:Swap:w1~swap.5844:9104</v>
      </c>
      <c r="F5846" s="6" t="str">
        <f>_xll.QS.TRADE.CREATE("trade.5844",E5846,A5846,"Receive")</f>
        <v>QSObject:SwapTrade:w1~trade.5844:26085</v>
      </c>
      <c r="G5846" s="3">
        <f>_xll.QS.EVALUATE(C5846,F5846)</f>
        <v>53832.132058137278</v>
      </c>
      <c r="H5846" s="5" t="s">
        <v>5887</v>
      </c>
      <c r="I5846" s="7">
        <v>1584400</v>
      </c>
      <c r="J5846" s="8">
        <v>3.9399999999999998E-2</v>
      </c>
    </row>
    <row r="5847" spans="1:10" x14ac:dyDescent="0.25">
      <c r="A5847" s="5" t="s">
        <v>5881</v>
      </c>
      <c r="B5847" s="5" t="s">
        <v>7714</v>
      </c>
      <c r="C5847" s="6" t="str">
        <f>_xll.QS.CONTEXT.CREATE("market.5845",A5847,"USD","SOFR")</f>
        <v>QSObject:PricingContext:w1~market.5845:9103</v>
      </c>
      <c r="D5847" s="6" t="str">
        <f>_xll.QS.CONTEXT.ADD.CURVE(C5847,"SOFR",$K$2:$K$7,$L$2:$L$7,,,"Actual360","LogLinear",TRUE)</f>
        <v>QSObject:ContextInput:w1~input.qs_context_add_curve.2359132437744.5846.3.0:34657</v>
      </c>
      <c r="E5847" s="6" t="str">
        <f>_xll.QS.INSTRUMENT.SWAP("swap.5845",H5847,B5847,"USD","SOFR",I5847,J5847,0,"Actual360","Simple","Annual","Annual","Annual")</f>
        <v>QSObject:Swap:w1~swap.5845:9102</v>
      </c>
      <c r="F5847" s="6" t="str">
        <f>_xll.QS.TRADE.CREATE("trade.5845",E5847,A5847,"Receive")</f>
        <v>QSObject:SwapTrade:w1~trade.5845:26084</v>
      </c>
      <c r="G5847" s="3">
        <f>_xll.QS.EVALUATE(C5847,F5847)</f>
        <v>54570.7039706824</v>
      </c>
      <c r="H5847" s="5" t="s">
        <v>5888</v>
      </c>
      <c r="I5847" s="7">
        <v>1584500</v>
      </c>
      <c r="J5847" s="8">
        <v>3.9500000000000007E-2</v>
      </c>
    </row>
    <row r="5848" spans="1:10" x14ac:dyDescent="0.25">
      <c r="A5848" s="5" t="s">
        <v>5882</v>
      </c>
      <c r="B5848" s="5" t="s">
        <v>7715</v>
      </c>
      <c r="C5848" s="6" t="str">
        <f>_xll.QS.CONTEXT.CREATE("market.5846",A5848,"USD","SOFR")</f>
        <v>QSObject:PricingContext:w1~market.5846:9101</v>
      </c>
      <c r="D5848" s="6" t="str">
        <f>_xll.QS.CONTEXT.ADD.CURVE(C5848,"SOFR",$K$2:$K$7,$L$2:$L$7,,,"Actual360","LogLinear",TRUE)</f>
        <v>QSObject:ContextInput:w1~input.qs_context_add_curve.2359132437744.5847.3.0:34656</v>
      </c>
      <c r="E5848" s="6" t="str">
        <f>_xll.QS.INSTRUMENT.SWAP("swap.5846",H5848,B5848,"USD","SOFR",I5848,J5848,0,"Actual360","Simple","Annual","Annual","Annual")</f>
        <v>QSObject:Swap:w1~swap.5846:9100</v>
      </c>
      <c r="F5848" s="6" t="str">
        <f>_xll.QS.TRADE.CREATE("trade.5846",E5848,A5848,"Receive")</f>
        <v>QSObject:SwapTrade:w1~trade.5846:26083</v>
      </c>
      <c r="G5848" s="3">
        <f>_xll.QS.EVALUATE(C5848,F5848)</f>
        <v>55338.68983882694</v>
      </c>
      <c r="H5848" s="5" t="s">
        <v>5889</v>
      </c>
      <c r="I5848" s="7">
        <v>1584600</v>
      </c>
      <c r="J5848" s="8">
        <v>3.9600000000000003E-2</v>
      </c>
    </row>
    <row r="5849" spans="1:10" x14ac:dyDescent="0.25">
      <c r="A5849" s="5" t="s">
        <v>5883</v>
      </c>
      <c r="B5849" s="5" t="s">
        <v>7716</v>
      </c>
      <c r="C5849" s="6" t="str">
        <f>_xll.QS.CONTEXT.CREATE("market.5847",A5849,"USD","SOFR")</f>
        <v>QSObject:PricingContext:w1~market.5847:9099</v>
      </c>
      <c r="D5849" s="6" t="str">
        <f>_xll.QS.CONTEXT.ADD.CURVE(C5849,"SOFR",$K$2:$K$7,$L$2:$L$7,,,"Actual360","LogLinear",TRUE)</f>
        <v>QSObject:ContextInput:w1~input.qs_context_add_curve.2359132437744.5848.3.0:34655</v>
      </c>
      <c r="E5849" s="6" t="str">
        <f>_xll.QS.INSTRUMENT.SWAP("swap.5847",H5849,B5849,"USD","SOFR",I5849,J5849,0,"Actual360","Simple","Annual","Annual","Annual")</f>
        <v>QSObject:Swap:w1~swap.5847:9098</v>
      </c>
      <c r="F5849" s="6" t="str">
        <f>_xll.QS.TRADE.CREATE("trade.5847",E5849,A5849,"Receive")</f>
        <v>QSObject:SwapTrade:w1~trade.5847:26082</v>
      </c>
      <c r="G5849" s="3">
        <f>_xll.QS.EVALUATE(C5849,F5849)</f>
        <v>56189.272456992207</v>
      </c>
      <c r="H5849" s="5" t="s">
        <v>5890</v>
      </c>
      <c r="I5849" s="7">
        <v>1584700</v>
      </c>
      <c r="J5849" s="8">
        <v>3.9700000000000013E-2</v>
      </c>
    </row>
    <row r="5850" spans="1:10" x14ac:dyDescent="0.25">
      <c r="A5850" s="5" t="s">
        <v>5884</v>
      </c>
      <c r="B5850" s="5" t="s">
        <v>7717</v>
      </c>
      <c r="C5850" s="6" t="str">
        <f>_xll.QS.CONTEXT.CREATE("market.5848",A5850,"USD","SOFR")</f>
        <v>QSObject:PricingContext:w1~market.5848:9097</v>
      </c>
      <c r="D5850" s="6" t="str">
        <f>_xll.QS.CONTEXT.ADD.CURVE(C5850,"SOFR",$K$2:$K$7,$L$2:$L$7,,,"Actual360","LogLinear",TRUE)</f>
        <v>QSObject:ContextInput:w1~input.qs_context_add_curve.2359132437744.5849.3.0:34654</v>
      </c>
      <c r="E5850" s="6" t="str">
        <f>_xll.QS.INSTRUMENT.SWAP("swap.5848",H5850,B5850,"USD","SOFR",I5850,J5850,0,"Actual360","Simple","Annual","Annual","Annual")</f>
        <v>QSObject:Swap:w1~swap.5848:9096</v>
      </c>
      <c r="F5850" s="6" t="str">
        <f>_xll.QS.TRADE.CREATE("trade.5848",E5850,A5850,"Receive")</f>
        <v>QSObject:SwapTrade:w1~trade.5848:26081</v>
      </c>
      <c r="G5850" s="3">
        <f>_xll.QS.EVALUATE(C5850,F5850)</f>
        <v>56993.057451442983</v>
      </c>
      <c r="H5850" s="5" t="s">
        <v>5891</v>
      </c>
      <c r="I5850" s="7">
        <v>1584800</v>
      </c>
      <c r="J5850" s="8">
        <v>3.9800000000000002E-2</v>
      </c>
    </row>
    <row r="5851" spans="1:10" x14ac:dyDescent="0.25">
      <c r="A5851" s="5" t="s">
        <v>5885</v>
      </c>
      <c r="B5851" s="5" t="s">
        <v>7718</v>
      </c>
      <c r="C5851" s="6" t="str">
        <f>_xll.QS.CONTEXT.CREATE("market.5849",A5851,"USD","SOFR")</f>
        <v>QSObject:PricingContext:w1~market.5849:9095</v>
      </c>
      <c r="D5851" s="6" t="str">
        <f>_xll.QS.CONTEXT.ADD.CURVE(C5851,"SOFR",$K$2:$K$7,$L$2:$L$7,,,"Actual360","LogLinear",TRUE)</f>
        <v>QSObject:ContextInput:w1~input.qs_context_add_curve.2359132437744.5850.3.0:34653</v>
      </c>
      <c r="E5851" s="6" t="str">
        <f>_xll.QS.INSTRUMENT.SWAP("swap.5849",H5851,B5851,"USD","SOFR",I5851,J5851,0,"Actual360","Simple","Annual","Annual","Annual")</f>
        <v>QSObject:Swap:w1~swap.5849:9094</v>
      </c>
      <c r="F5851" s="6" t="str">
        <f>_xll.QS.TRADE.CREATE("trade.5849",E5851,A5851,"Receive")</f>
        <v>QSObject:SwapTrade:w1~trade.5849:26080</v>
      </c>
      <c r="G5851" s="3">
        <f>_xll.QS.EVALUATE(C5851,F5851)</f>
        <v>57666.218928981172</v>
      </c>
      <c r="H5851" s="5" t="s">
        <v>5892</v>
      </c>
      <c r="I5851" s="7">
        <v>1584900</v>
      </c>
      <c r="J5851" s="8">
        <v>3.9899999999999998E-2</v>
      </c>
    </row>
    <row r="5852" spans="1:10" x14ac:dyDescent="0.25">
      <c r="A5852" s="5" t="s">
        <v>5886</v>
      </c>
      <c r="B5852" s="5" t="s">
        <v>7719</v>
      </c>
      <c r="C5852" s="6" t="str">
        <f>_xll.QS.CONTEXT.CREATE("market.5850",A5852,"USD","SOFR")</f>
        <v>QSObject:PricingContext:w1~market.5850:9093</v>
      </c>
      <c r="D5852" s="6" t="str">
        <f>_xll.QS.CONTEXT.ADD.CURVE(C5852,"SOFR",$K$2:$K$7,$L$2:$L$7,,,"Actual360","LogLinear",TRUE)</f>
        <v>QSObject:ContextInput:w1~input.qs_context_add_curve.2359132437744.5851.3.0:34652</v>
      </c>
      <c r="E5852" s="6" t="str">
        <f>_xll.QS.INSTRUMENT.SWAP("swap.5850",H5852,B5852,"USD","SOFR",I5852,J5852,0,"Actual360","Simple","Annual","Annual","Annual")</f>
        <v>QSObject:Swap:w1~swap.5850:9092</v>
      </c>
      <c r="F5852" s="6" t="str">
        <f>_xll.QS.TRADE.CREATE("trade.5850",E5852,A5852,"Receive")</f>
        <v>QSObject:SwapTrade:w1~trade.5850:26079</v>
      </c>
      <c r="G5852" s="3">
        <f>_xll.QS.EVALUATE(C5852,F5852)</f>
        <v>21747.988548042056</v>
      </c>
      <c r="H5852" s="5" t="s">
        <v>5893</v>
      </c>
      <c r="I5852" s="7">
        <v>1585000</v>
      </c>
      <c r="J5852" s="8">
        <v>3.5000000000000003E-2</v>
      </c>
    </row>
    <row r="5853" spans="1:10" x14ac:dyDescent="0.25">
      <c r="A5853" s="5" t="s">
        <v>5887</v>
      </c>
      <c r="B5853" s="5" t="s">
        <v>7720</v>
      </c>
      <c r="C5853" s="6" t="str">
        <f>_xll.QS.CONTEXT.CREATE("market.5851",A5853,"USD","SOFR")</f>
        <v>QSObject:PricingContext:w1~market.5851:9091</v>
      </c>
      <c r="D5853" s="6" t="str">
        <f>_xll.QS.CONTEXT.ADD.CURVE(C5853,"SOFR",$K$2:$K$7,$L$2:$L$7,,,"Actual360","LogLinear",TRUE)</f>
        <v>QSObject:ContextInput:w1~input.qs_context_add_curve.2359132437744.5852.3.0:34651</v>
      </c>
      <c r="E5853" s="6" t="str">
        <f>_xll.QS.INSTRUMENT.SWAP("swap.5851",H5853,B5853,"USD","SOFR",I5853,J5853,0,"Actual360","Simple","Annual","Annual","Annual")</f>
        <v>QSObject:Swap:w1~swap.5851:9090</v>
      </c>
      <c r="F5853" s="6" t="str">
        <f>_xll.QS.TRADE.CREATE("trade.5851",E5853,A5853,"Receive")</f>
        <v>QSObject:SwapTrade:w1~trade.5851:26078</v>
      </c>
      <c r="G5853" s="3">
        <f>_xll.QS.EVALUATE(C5853,F5853)</f>
        <v>22285.046983766544</v>
      </c>
      <c r="H5853" s="5" t="s">
        <v>5894</v>
      </c>
      <c r="I5853" s="7">
        <v>1585100</v>
      </c>
      <c r="J5853" s="8">
        <v>3.5100000000000013E-2</v>
      </c>
    </row>
    <row r="5854" spans="1:10" x14ac:dyDescent="0.25">
      <c r="A5854" s="5" t="s">
        <v>5888</v>
      </c>
      <c r="B5854" s="5" t="s">
        <v>7721</v>
      </c>
      <c r="C5854" s="6" t="str">
        <f>_xll.QS.CONTEXT.CREATE("market.5852",A5854,"USD","SOFR")</f>
        <v>QSObject:PricingContext:w1~market.5852:9089</v>
      </c>
      <c r="D5854" s="6" t="str">
        <f>_xll.QS.CONTEXT.ADD.CURVE(C5854,"SOFR",$K$2:$K$7,$L$2:$L$7,,,"Actual360","LogLinear",TRUE)</f>
        <v>QSObject:ContextInput:w1~input.qs_context_add_curve.2359132437744.5853.3.0:34650</v>
      </c>
      <c r="E5854" s="6" t="str">
        <f>_xll.QS.INSTRUMENT.SWAP("swap.5852",H5854,B5854,"USD","SOFR",I5854,J5854,0,"Actual360","Simple","Annual","Annual","Annual")</f>
        <v>QSObject:Swap:w1~swap.5852:9088</v>
      </c>
      <c r="F5854" s="6" t="str">
        <f>_xll.QS.TRADE.CREATE("trade.5852",E5854,A5854,"Receive")</f>
        <v>QSObject:SwapTrade:w1~trade.5852:26077</v>
      </c>
      <c r="G5854" s="3">
        <f>_xll.QS.EVALUATE(C5854,F5854)</f>
        <v>23083.084786140702</v>
      </c>
      <c r="H5854" s="5" t="s">
        <v>5895</v>
      </c>
      <c r="I5854" s="7">
        <v>1585200</v>
      </c>
      <c r="J5854" s="8">
        <v>3.5200000000000002E-2</v>
      </c>
    </row>
    <row r="5855" spans="1:10" x14ac:dyDescent="0.25">
      <c r="A5855" s="5" t="s">
        <v>5889</v>
      </c>
      <c r="B5855" s="5" t="s">
        <v>7722</v>
      </c>
      <c r="C5855" s="6" t="str">
        <f>_xll.QS.CONTEXT.CREATE("market.5853",A5855,"USD","SOFR")</f>
        <v>QSObject:PricingContext:w1~market.5853:9087</v>
      </c>
      <c r="D5855" s="6" t="str">
        <f>_xll.QS.CONTEXT.ADD.CURVE(C5855,"SOFR",$K$2:$K$7,$L$2:$L$7,,,"Actual360","LogLinear",TRUE)</f>
        <v>QSObject:ContextInput:w1~input.qs_context_add_curve.2359132437744.5854.3.0:34649</v>
      </c>
      <c r="E5855" s="6" t="str">
        <f>_xll.QS.INSTRUMENT.SWAP("swap.5853",H5855,B5855,"USD","SOFR",I5855,J5855,0,"Actual360","Simple","Annual","Annual","Annual")</f>
        <v>QSObject:Swap:w1~swap.5853:9086</v>
      </c>
      <c r="F5855" s="6" t="str">
        <f>_xll.QS.TRADE.CREATE("trade.5853",E5855,A5855,"Receive")</f>
        <v>QSObject:SwapTrade:w1~trade.5853:26076</v>
      </c>
      <c r="G5855" s="3">
        <f>_xll.QS.EVALUATE(C5855,F5855)</f>
        <v>23880.820483644493</v>
      </c>
      <c r="H5855" s="5" t="s">
        <v>5896</v>
      </c>
      <c r="I5855" s="7">
        <v>1585300</v>
      </c>
      <c r="J5855" s="8">
        <v>3.5299999999999998E-2</v>
      </c>
    </row>
    <row r="5856" spans="1:10" x14ac:dyDescent="0.25">
      <c r="A5856" s="5" t="s">
        <v>5890</v>
      </c>
      <c r="B5856" s="5" t="s">
        <v>7723</v>
      </c>
      <c r="C5856" s="6" t="str">
        <f>_xll.QS.CONTEXT.CREATE("market.5854",A5856,"USD","SOFR")</f>
        <v>QSObject:PricingContext:w1~market.5854:9085</v>
      </c>
      <c r="D5856" s="6" t="str">
        <f>_xll.QS.CONTEXT.ADD.CURVE(C5856,"SOFR",$K$2:$K$7,$L$2:$L$7,,,"Actual360","LogLinear",TRUE)</f>
        <v>QSObject:ContextInput:w1~input.qs_context_add_curve.2359132437744.5855.3.0:34648</v>
      </c>
      <c r="E5856" s="6" t="str">
        <f>_xll.QS.INSTRUMENT.SWAP("swap.5854",H5856,B5856,"USD","SOFR",I5856,J5856,0,"Actual360","Simple","Annual","Annual","Annual")</f>
        <v>QSObject:Swap:w1~swap.5854:9084</v>
      </c>
      <c r="F5856" s="6" t="str">
        <f>_xll.QS.TRADE.CREATE("trade.5854",E5856,A5856,"Receive")</f>
        <v>QSObject:SwapTrade:w1~trade.5854:26075</v>
      </c>
      <c r="G5856" s="3">
        <f>_xll.QS.EVALUATE(C5856,F5856)</f>
        <v>24835.555595774254</v>
      </c>
      <c r="H5856" s="5" t="s">
        <v>5897</v>
      </c>
      <c r="I5856" s="7">
        <v>1585400</v>
      </c>
      <c r="J5856" s="8">
        <v>3.5400000000000001E-2</v>
      </c>
    </row>
    <row r="5857" spans="1:10" x14ac:dyDescent="0.25">
      <c r="A5857" s="5" t="s">
        <v>5891</v>
      </c>
      <c r="B5857" s="5" t="s">
        <v>7724</v>
      </c>
      <c r="C5857" s="6" t="str">
        <f>_xll.QS.CONTEXT.CREATE("market.5855",A5857,"USD","SOFR")</f>
        <v>QSObject:PricingContext:w1~market.5855:9083</v>
      </c>
      <c r="D5857" s="6" t="str">
        <f>_xll.QS.CONTEXT.ADD.CURVE(C5857,"SOFR",$K$2:$K$7,$L$2:$L$7,,,"Actual360","LogLinear",TRUE)</f>
        <v>QSObject:ContextInput:w1~input.qs_context_add_curve.2359132437744.5856.3.0:34647</v>
      </c>
      <c r="E5857" s="6" t="str">
        <f>_xll.QS.INSTRUMENT.SWAP("swap.5855",H5857,B5857,"USD","SOFR",I5857,J5857,0,"Actual360","Simple","Annual","Annual","Annual")</f>
        <v>QSObject:Swap:w1~swap.5855:9082</v>
      </c>
      <c r="F5857" s="6" t="str">
        <f>_xll.QS.TRADE.CREATE("trade.5855",E5857,A5857,"Receive")</f>
        <v>QSObject:SwapTrade:w1~trade.5855:26074</v>
      </c>
      <c r="G5857" s="3">
        <f>_xll.QS.EVALUATE(C5857,F5857)</f>
        <v>25582.683415259846</v>
      </c>
      <c r="H5857" s="5" t="s">
        <v>5898</v>
      </c>
      <c r="I5857" s="7">
        <v>1585500</v>
      </c>
      <c r="J5857" s="8">
        <v>3.5499999999999997E-2</v>
      </c>
    </row>
    <row r="5858" spans="1:10" x14ac:dyDescent="0.25">
      <c r="A5858" s="5" t="s">
        <v>5892</v>
      </c>
      <c r="B5858" s="5" t="s">
        <v>7725</v>
      </c>
      <c r="C5858" s="6" t="str">
        <f>_xll.QS.CONTEXT.CREATE("market.5856",A5858,"USD","SOFR")</f>
        <v>QSObject:PricingContext:w1~market.5856:9081</v>
      </c>
      <c r="D5858" s="6" t="str">
        <f>_xll.QS.CONTEXT.ADD.CURVE(C5858,"SOFR",$K$2:$K$7,$L$2:$L$7,,,"Actual360","LogLinear",TRUE)</f>
        <v>QSObject:ContextInput:w1~input.qs_context_add_curve.2359132437744.5857.3.0:34646</v>
      </c>
      <c r="E5858" s="6" t="str">
        <f>_xll.QS.INSTRUMENT.SWAP("swap.5856",H5858,B5858,"USD","SOFR",I5858,J5858,0,"Actual360","Simple","Annual","Annual","Annual")</f>
        <v>QSObject:Swap:w1~swap.5856:9080</v>
      </c>
      <c r="F5858" s="6" t="str">
        <f>_xll.QS.TRADE.CREATE("trade.5856",E5858,A5858,"Receive")</f>
        <v>QSObject:SwapTrade:w1~trade.5856:26073</v>
      </c>
      <c r="G5858" s="3">
        <f>_xll.QS.EVALUATE(C5858,F5858)</f>
        <v>26314.444308905404</v>
      </c>
      <c r="H5858" s="5" t="s">
        <v>5899</v>
      </c>
      <c r="I5858" s="7">
        <v>1585600</v>
      </c>
      <c r="J5858" s="8">
        <v>3.5600000000000007E-2</v>
      </c>
    </row>
    <row r="5859" spans="1:10" x14ac:dyDescent="0.25">
      <c r="A5859" s="5" t="s">
        <v>5893</v>
      </c>
      <c r="B5859" s="5" t="s">
        <v>7726</v>
      </c>
      <c r="C5859" s="6" t="str">
        <f>_xll.QS.CONTEXT.CREATE("market.5857",A5859,"USD","SOFR")</f>
        <v>QSObject:PricingContext:w1~market.5857:9079</v>
      </c>
      <c r="D5859" s="6" t="str">
        <f>_xll.QS.CONTEXT.ADD.CURVE(C5859,"SOFR",$K$2:$K$7,$L$2:$L$7,,,"Actual360","LogLinear",TRUE)</f>
        <v>QSObject:ContextInput:w1~input.qs_context_add_curve.2359132437744.5858.3.0:34645</v>
      </c>
      <c r="E5859" s="6" t="str">
        <f>_xll.QS.INSTRUMENT.SWAP("swap.5857",H5859,B5859,"USD","SOFR",I5859,J5859,0,"Actual360","Simple","Annual","Annual","Annual")</f>
        <v>QSObject:Swap:w1~swap.5857:9078</v>
      </c>
      <c r="F5859" s="6" t="str">
        <f>_xll.QS.TRADE.CREATE("trade.5857",E5859,A5859,"Receive")</f>
        <v>QSObject:SwapTrade:w1~trade.5857:26072</v>
      </c>
      <c r="G5859" s="3">
        <f>_xll.QS.EVALUATE(C5859,F5859)</f>
        <v>26948.727702651231</v>
      </c>
      <c r="H5859" s="5" t="s">
        <v>5900</v>
      </c>
      <c r="I5859" s="7">
        <v>1585700</v>
      </c>
      <c r="J5859" s="8">
        <v>3.5700000000000003E-2</v>
      </c>
    </row>
    <row r="5860" spans="1:10" x14ac:dyDescent="0.25">
      <c r="A5860" s="5" t="s">
        <v>5894</v>
      </c>
      <c r="B5860" s="5" t="s">
        <v>7727</v>
      </c>
      <c r="C5860" s="6" t="str">
        <f>_xll.QS.CONTEXT.CREATE("market.5858",A5860,"USD","SOFR")</f>
        <v>QSObject:PricingContext:w1~market.5858:9077</v>
      </c>
      <c r="D5860" s="6" t="str">
        <f>_xll.QS.CONTEXT.ADD.CURVE(C5860,"SOFR",$K$2:$K$7,$L$2:$L$7,,,"Actual360","LogLinear",TRUE)</f>
        <v>QSObject:ContextInput:w1~input.qs_context_add_curve.2359132437744.5859.3.0:34644</v>
      </c>
      <c r="E5860" s="6" t="str">
        <f>_xll.QS.INSTRUMENT.SWAP("swap.5858",H5860,B5860,"USD","SOFR",I5860,J5860,0,"Actual360","Simple","Annual","Annual","Annual")</f>
        <v>QSObject:Swap:w1~swap.5858:9076</v>
      </c>
      <c r="F5860" s="6" t="str">
        <f>_xll.QS.TRADE.CREATE("trade.5858",E5860,A5860,"Receive")</f>
        <v>QSObject:SwapTrade:w1~trade.5858:26071</v>
      </c>
      <c r="G5860" s="3">
        <f>_xll.QS.EVALUATE(C5860,F5860)</f>
        <v>27543.736622006742</v>
      </c>
      <c r="H5860" s="5" t="s">
        <v>5901</v>
      </c>
      <c r="I5860" s="7">
        <v>1585800</v>
      </c>
      <c r="J5860" s="8">
        <v>3.5800000000000012E-2</v>
      </c>
    </row>
    <row r="5861" spans="1:10" x14ac:dyDescent="0.25">
      <c r="A5861" s="5" t="s">
        <v>5895</v>
      </c>
      <c r="B5861" s="5" t="s">
        <v>7728</v>
      </c>
      <c r="C5861" s="6" t="str">
        <f>_xll.QS.CONTEXT.CREATE("market.5859",A5861,"USD","SOFR")</f>
        <v>QSObject:PricingContext:w1~market.5859:9075</v>
      </c>
      <c r="D5861" s="6" t="str">
        <f>_xll.QS.CONTEXT.ADD.CURVE(C5861,"SOFR",$K$2:$K$7,$L$2:$L$7,,,"Actual360","LogLinear",TRUE)</f>
        <v>QSObject:ContextInput:w1~input.qs_context_add_curve.2359132437744.5860.3.0:34643</v>
      </c>
      <c r="E5861" s="6" t="str">
        <f>_xll.QS.INSTRUMENT.SWAP("swap.5859",H5861,B5861,"USD","SOFR",I5861,J5861,0,"Actual360","Simple","Annual","Annual","Annual")</f>
        <v>QSObject:Swap:w1~swap.5859:9074</v>
      </c>
      <c r="F5861" s="6" t="str">
        <f>_xll.QS.TRADE.CREATE("trade.5859",E5861,A5861,"Receive")</f>
        <v>QSObject:SwapTrade:w1~trade.5859:26070</v>
      </c>
      <c r="G5861" s="3">
        <f>_xll.QS.EVALUATE(C5861,F5861)</f>
        <v>28278.947084068379</v>
      </c>
      <c r="H5861" s="5" t="s">
        <v>5902</v>
      </c>
      <c r="I5861" s="7">
        <v>1585900</v>
      </c>
      <c r="J5861" s="8">
        <v>3.5900000000000001E-2</v>
      </c>
    </row>
    <row r="5862" spans="1:10" x14ac:dyDescent="0.25">
      <c r="A5862" s="5" t="s">
        <v>5896</v>
      </c>
      <c r="B5862" s="5" t="s">
        <v>7729</v>
      </c>
      <c r="C5862" s="6" t="str">
        <f>_xll.QS.CONTEXT.CREATE("market.5860",A5862,"USD","SOFR")</f>
        <v>QSObject:PricingContext:w1~market.5860:9073</v>
      </c>
      <c r="D5862" s="6" t="str">
        <f>_xll.QS.CONTEXT.ADD.CURVE(C5862,"SOFR",$K$2:$K$7,$L$2:$L$7,,,"Actual360","LogLinear",TRUE)</f>
        <v>QSObject:ContextInput:w1~input.qs_context_add_curve.2359132437744.5861.3.0:34642</v>
      </c>
      <c r="E5862" s="6" t="str">
        <f>_xll.QS.INSTRUMENT.SWAP("swap.5860",H5862,B5862,"USD","SOFR",I5862,J5862,0,"Actual360","Simple","Annual","Annual","Annual")</f>
        <v>QSObject:Swap:w1~swap.5860:9072</v>
      </c>
      <c r="F5862" s="6" t="str">
        <f>_xll.QS.TRADE.CREATE("trade.5860",E5862,A5862,"Receive")</f>
        <v>QSObject:SwapTrade:w1~trade.5860:26069</v>
      </c>
      <c r="G5862" s="3">
        <f>_xll.QS.EVALUATE(C5862,F5862)</f>
        <v>29058.992088227751</v>
      </c>
      <c r="H5862" s="5" t="s">
        <v>5903</v>
      </c>
      <c r="I5862" s="7">
        <v>1586000</v>
      </c>
      <c r="J5862" s="8">
        <v>3.5999999999999997E-2</v>
      </c>
    </row>
    <row r="5863" spans="1:10" x14ac:dyDescent="0.25">
      <c r="A5863" s="5" t="s">
        <v>5897</v>
      </c>
      <c r="B5863" s="5" t="s">
        <v>7730</v>
      </c>
      <c r="C5863" s="6" t="str">
        <f>_xll.QS.CONTEXT.CREATE("market.5861",A5863,"USD","SOFR")</f>
        <v>QSObject:PricingContext:w1~market.5861:9071</v>
      </c>
      <c r="D5863" s="6" t="str">
        <f>_xll.QS.CONTEXT.ADD.CURVE(C5863,"SOFR",$K$2:$K$7,$L$2:$L$7,,,"Actual360","LogLinear",TRUE)</f>
        <v>QSObject:ContextInput:w1~input.qs_context_add_curve.2359132437744.5862.3.0:34641</v>
      </c>
      <c r="E5863" s="6" t="str">
        <f>_xll.QS.INSTRUMENT.SWAP("swap.5861",H5863,B5863,"USD","SOFR",I5863,J5863,0,"Actual360","Simple","Annual","Annual","Annual")</f>
        <v>QSObject:Swap:w1~swap.5861:9070</v>
      </c>
      <c r="F5863" s="6" t="str">
        <f>_xll.QS.TRADE.CREATE("trade.5861",E5863,A5863,"Receive")</f>
        <v>QSObject:SwapTrade:w1~trade.5861:26068</v>
      </c>
      <c r="G5863" s="3">
        <f>_xll.QS.EVALUATE(C5863,F5863)</f>
        <v>29908.14230734235</v>
      </c>
      <c r="H5863" s="5" t="s">
        <v>5904</v>
      </c>
      <c r="I5863" s="7">
        <v>1586100</v>
      </c>
      <c r="J5863" s="8">
        <v>3.61E-2</v>
      </c>
    </row>
    <row r="5864" spans="1:10" x14ac:dyDescent="0.25">
      <c r="A5864" s="5" t="s">
        <v>5898</v>
      </c>
      <c r="B5864" s="5" t="s">
        <v>7731</v>
      </c>
      <c r="C5864" s="6" t="str">
        <f>_xll.QS.CONTEXT.CREATE("market.5862",A5864,"USD","SOFR")</f>
        <v>QSObject:PricingContext:w1~market.5862:9069</v>
      </c>
      <c r="D5864" s="6" t="str">
        <f>_xll.QS.CONTEXT.ADD.CURVE(C5864,"SOFR",$K$2:$K$7,$L$2:$L$7,,,"Actual360","LogLinear",TRUE)</f>
        <v>QSObject:ContextInput:w1~input.qs_context_add_curve.2359132437744.5863.3.0:34640</v>
      </c>
      <c r="E5864" s="6" t="str">
        <f>_xll.QS.INSTRUMENT.SWAP("swap.5862",H5864,B5864,"USD","SOFR",I5864,J5864,0,"Actual360","Simple","Annual","Annual","Annual")</f>
        <v>QSObject:Swap:w1~swap.5862:9068</v>
      </c>
      <c r="F5864" s="6" t="str">
        <f>_xll.QS.TRADE.CREATE("trade.5862",E5864,A5864,"Receive")</f>
        <v>QSObject:SwapTrade:w1~trade.5862:26067</v>
      </c>
      <c r="G5864" s="3">
        <f>_xll.QS.EVALUATE(C5864,F5864)</f>
        <v>30710.595705430947</v>
      </c>
      <c r="H5864" s="5" t="s">
        <v>5905</v>
      </c>
      <c r="I5864" s="7">
        <v>1586200</v>
      </c>
      <c r="J5864" s="8">
        <v>3.6200000000000003E-2</v>
      </c>
    </row>
    <row r="5865" spans="1:10" x14ac:dyDescent="0.25">
      <c r="A5865" s="5" t="s">
        <v>5899</v>
      </c>
      <c r="B5865" s="5" t="s">
        <v>7732</v>
      </c>
      <c r="C5865" s="6" t="str">
        <f>_xll.QS.CONTEXT.CREATE("market.5863",A5865,"USD","SOFR")</f>
        <v>QSObject:PricingContext:w1~market.5863:9067</v>
      </c>
      <c r="D5865" s="6" t="str">
        <f>_xll.QS.CONTEXT.ADD.CURVE(C5865,"SOFR",$K$2:$K$7,$L$2:$L$7,,,"Actual360","LogLinear",TRUE)</f>
        <v>QSObject:ContextInput:w1~input.qs_context_add_curve.2359132437744.5864.3.0:34639</v>
      </c>
      <c r="E5865" s="6" t="str">
        <f>_xll.QS.INSTRUMENT.SWAP("swap.5863",H5865,B5865,"USD","SOFR",I5865,J5865,0,"Actual360","Simple","Annual","Annual","Annual")</f>
        <v>QSObject:Swap:w1~swap.5863:9066</v>
      </c>
      <c r="F5865" s="6" t="str">
        <f>_xll.QS.TRADE.CREATE("trade.5863",E5865,A5865,"Receive")</f>
        <v>QSObject:SwapTrade:w1~trade.5863:26066</v>
      </c>
      <c r="G5865" s="3">
        <f>_xll.QS.EVALUATE(C5865,F5865)</f>
        <v>31383.130053629044</v>
      </c>
      <c r="H5865" s="5" t="s">
        <v>5906</v>
      </c>
      <c r="I5865" s="7">
        <v>1586300</v>
      </c>
      <c r="J5865" s="8">
        <v>3.6300000000000013E-2</v>
      </c>
    </row>
    <row r="5866" spans="1:10" x14ac:dyDescent="0.25">
      <c r="A5866" s="5" t="s">
        <v>5900</v>
      </c>
      <c r="B5866" s="5" t="s">
        <v>7733</v>
      </c>
      <c r="C5866" s="6" t="str">
        <f>_xll.QS.CONTEXT.CREATE("market.5864",A5866,"USD","SOFR")</f>
        <v>QSObject:PricingContext:w1~market.5864:9065</v>
      </c>
      <c r="D5866" s="6" t="str">
        <f>_xll.QS.CONTEXT.ADD.CURVE(C5866,"SOFR",$K$2:$K$7,$L$2:$L$7,,,"Actual360","LogLinear",TRUE)</f>
        <v>QSObject:ContextInput:w1~input.qs_context_add_curve.2359132437744.5865.3.0:34638</v>
      </c>
      <c r="E5866" s="6" t="str">
        <f>_xll.QS.INSTRUMENT.SWAP("swap.5864",H5866,B5866,"USD","SOFR",I5866,J5866,0,"Actual360","Simple","Annual","Annual","Annual")</f>
        <v>QSObject:Swap:w1~swap.5864:9064</v>
      </c>
      <c r="F5866" s="6" t="str">
        <f>_xll.QS.TRADE.CREATE("trade.5864",E5866,A5866,"Receive")</f>
        <v>QSObject:SwapTrade:w1~trade.5864:26065</v>
      </c>
      <c r="G5866" s="3">
        <f>_xll.QS.EVALUATE(C5866,F5866)</f>
        <v>32011.966080013233</v>
      </c>
      <c r="H5866" s="5" t="s">
        <v>5907</v>
      </c>
      <c r="I5866" s="7">
        <v>1586400</v>
      </c>
      <c r="J5866" s="8">
        <v>3.6400000000000002E-2</v>
      </c>
    </row>
    <row r="5867" spans="1:10" x14ac:dyDescent="0.25">
      <c r="A5867" s="5" t="s">
        <v>5901</v>
      </c>
      <c r="B5867" s="5" t="s">
        <v>7734</v>
      </c>
      <c r="C5867" s="6" t="str">
        <f>_xll.QS.CONTEXT.CREATE("market.5865",A5867,"USD","SOFR")</f>
        <v>QSObject:PricingContext:w1~market.5865:9063</v>
      </c>
      <c r="D5867" s="6" t="str">
        <f>_xll.QS.CONTEXT.ADD.CURVE(C5867,"SOFR",$K$2:$K$7,$L$2:$L$7,,,"Actual360","LogLinear",TRUE)</f>
        <v>QSObject:ContextInput:w1~input.qs_context_add_curve.2359132437744.5866.3.0:34637</v>
      </c>
      <c r="E5867" s="6" t="str">
        <f>_xll.QS.INSTRUMENT.SWAP("swap.5865",H5867,B5867,"USD","SOFR",I5867,J5867,0,"Actual360","Simple","Annual","Annual","Annual")</f>
        <v>QSObject:Swap:w1~swap.5865:9062</v>
      </c>
      <c r="F5867" s="6" t="str">
        <f>_xll.QS.TRADE.CREATE("trade.5865",E5867,A5867,"Receive")</f>
        <v>QSObject:SwapTrade:w1~trade.5865:26064</v>
      </c>
      <c r="G5867" s="3">
        <f>_xll.QS.EVALUATE(C5867,F5867)</f>
        <v>32615.421401842425</v>
      </c>
      <c r="H5867" s="5" t="s">
        <v>5908</v>
      </c>
      <c r="I5867" s="7">
        <v>1586500</v>
      </c>
      <c r="J5867" s="8">
        <v>3.6499999999999998E-2</v>
      </c>
    </row>
    <row r="5868" spans="1:10" x14ac:dyDescent="0.25">
      <c r="A5868" s="5" t="s">
        <v>5902</v>
      </c>
      <c r="B5868" s="5" t="s">
        <v>7735</v>
      </c>
      <c r="C5868" s="6" t="str">
        <f>_xll.QS.CONTEXT.CREATE("market.5866",A5868,"USD","SOFR")</f>
        <v>QSObject:PricingContext:w1~market.5866:9061</v>
      </c>
      <c r="D5868" s="6" t="str">
        <f>_xll.QS.CONTEXT.ADD.CURVE(C5868,"SOFR",$K$2:$K$7,$L$2:$L$7,,,"Actual360","LogLinear",TRUE)</f>
        <v>QSObject:ContextInput:w1~input.qs_context_add_curve.2359132437744.5867.3.0:34636</v>
      </c>
      <c r="E5868" s="6" t="str">
        <f>_xll.QS.INSTRUMENT.SWAP("swap.5866",H5868,B5868,"USD","SOFR",I5868,J5868,0,"Actual360","Simple","Annual","Annual","Annual")</f>
        <v>QSObject:Swap:w1~swap.5866:9060</v>
      </c>
      <c r="F5868" s="6" t="str">
        <f>_xll.QS.TRADE.CREATE("trade.5866",E5868,A5868,"Receive")</f>
        <v>QSObject:SwapTrade:w1~trade.5866:26063</v>
      </c>
      <c r="G5868" s="3">
        <f>_xll.QS.EVALUATE(C5868,F5868)</f>
        <v>33415.555071287919</v>
      </c>
      <c r="H5868" s="5" t="s">
        <v>5909</v>
      </c>
      <c r="I5868" s="7">
        <v>1586600</v>
      </c>
      <c r="J5868" s="8">
        <v>3.6600000000000001E-2</v>
      </c>
    </row>
    <row r="5869" spans="1:10" x14ac:dyDescent="0.25">
      <c r="A5869" s="5" t="s">
        <v>5903</v>
      </c>
      <c r="B5869" s="5" t="s">
        <v>7736</v>
      </c>
      <c r="C5869" s="6" t="str">
        <f>_xll.QS.CONTEXT.CREATE("market.5867",A5869,"USD","SOFR")</f>
        <v>QSObject:PricingContext:w1~market.5867:9059</v>
      </c>
      <c r="D5869" s="6" t="str">
        <f>_xll.QS.CONTEXT.ADD.CURVE(C5869,"SOFR",$K$2:$K$7,$L$2:$L$7,,,"Actual360","LogLinear",TRUE)</f>
        <v>QSObject:ContextInput:w1~input.qs_context_add_curve.2359132437744.5868.3.0:34635</v>
      </c>
      <c r="E5869" s="6" t="str">
        <f>_xll.QS.INSTRUMENT.SWAP("swap.5867",H5869,B5869,"USD","SOFR",I5869,J5869,0,"Actual360","Simple","Annual","Annual","Annual")</f>
        <v>QSObject:Swap:w1~swap.5867:9058</v>
      </c>
      <c r="F5869" s="6" t="str">
        <f>_xll.QS.TRADE.CREATE("trade.5867",E5869,A5869,"Receive")</f>
        <v>QSObject:SwapTrade:w1~trade.5867:26062</v>
      </c>
      <c r="G5869" s="3">
        <f>_xll.QS.EVALUATE(C5869,F5869)</f>
        <v>34193.805433491041</v>
      </c>
      <c r="H5869" s="5" t="s">
        <v>5910</v>
      </c>
      <c r="I5869" s="7">
        <v>1586700</v>
      </c>
      <c r="J5869" s="8">
        <v>3.6700000000000003E-2</v>
      </c>
    </row>
    <row r="5870" spans="1:10" x14ac:dyDescent="0.25">
      <c r="A5870" s="5" t="s">
        <v>5904</v>
      </c>
      <c r="B5870" s="5" t="s">
        <v>7737</v>
      </c>
      <c r="C5870" s="6" t="str">
        <f>_xll.QS.CONTEXT.CREATE("market.5868",A5870,"USD","SOFR")</f>
        <v>QSObject:PricingContext:w1~market.5868:9057</v>
      </c>
      <c r="D5870" s="6" t="str">
        <f>_xll.QS.CONTEXT.ADD.CURVE(C5870,"SOFR",$K$2:$K$7,$L$2:$L$7,,,"Actual360","LogLinear",TRUE)</f>
        <v>QSObject:ContextInput:w1~input.qs_context_add_curve.2359132437744.5869.3.0:34634</v>
      </c>
      <c r="E5870" s="6" t="str">
        <f>_xll.QS.INSTRUMENT.SWAP("swap.5868",H5870,B5870,"USD","SOFR",I5870,J5870,0,"Actual360","Simple","Annual","Annual","Annual")</f>
        <v>QSObject:Swap:w1~swap.5868:9056</v>
      </c>
      <c r="F5870" s="6" t="str">
        <f>_xll.QS.TRADE.CREATE("trade.5868",E5870,A5870,"Receive")</f>
        <v>QSObject:SwapTrade:w1~trade.5868:26061</v>
      </c>
      <c r="G5870" s="3">
        <f>_xll.QS.EVALUATE(C5870,F5870)</f>
        <v>35043.412021741206</v>
      </c>
      <c r="H5870" s="5" t="s">
        <v>5911</v>
      </c>
      <c r="I5870" s="7">
        <v>1586800</v>
      </c>
      <c r="J5870" s="8">
        <v>3.6800000000000013E-2</v>
      </c>
    </row>
    <row r="5871" spans="1:10" x14ac:dyDescent="0.25">
      <c r="A5871" s="5" t="s">
        <v>5905</v>
      </c>
      <c r="B5871" s="5" t="s">
        <v>7738</v>
      </c>
      <c r="C5871" s="6" t="str">
        <f>_xll.QS.CONTEXT.CREATE("market.5869",A5871,"USD","SOFR")</f>
        <v>QSObject:PricingContext:w1~market.5869:9055</v>
      </c>
      <c r="D5871" s="6" t="str">
        <f>_xll.QS.CONTEXT.ADD.CURVE(C5871,"SOFR",$K$2:$K$7,$L$2:$L$7,,,"Actual360","LogLinear",TRUE)</f>
        <v>QSObject:ContextInput:w1~input.qs_context_add_curve.2359132437744.5870.3.0:34633</v>
      </c>
      <c r="E5871" s="6" t="str">
        <f>_xll.QS.INSTRUMENT.SWAP("swap.5869",H5871,B5871,"USD","SOFR",I5871,J5871,0,"Actual360","Simple","Annual","Annual","Annual")</f>
        <v>QSObject:Swap:w1~swap.5869:9054</v>
      </c>
      <c r="F5871" s="6" t="str">
        <f>_xll.QS.TRADE.CREATE("trade.5869",E5871,A5871,"Receive")</f>
        <v>QSObject:SwapTrade:w1~trade.5869:26060</v>
      </c>
      <c r="G5871" s="3">
        <f>_xll.QS.EVALUATE(C5871,F5871)</f>
        <v>35846.487222840908</v>
      </c>
      <c r="H5871" s="5" t="s">
        <v>5912</v>
      </c>
      <c r="I5871" s="7">
        <v>1586900</v>
      </c>
      <c r="J5871" s="8">
        <v>3.6900000000000002E-2</v>
      </c>
    </row>
    <row r="5872" spans="1:10" x14ac:dyDescent="0.25">
      <c r="A5872" s="5" t="s">
        <v>5906</v>
      </c>
      <c r="B5872" s="5" t="s">
        <v>7739</v>
      </c>
      <c r="C5872" s="6" t="str">
        <f>_xll.QS.CONTEXT.CREATE("market.5870",A5872,"USD","SOFR")</f>
        <v>QSObject:PricingContext:w1~market.5870:9053</v>
      </c>
      <c r="D5872" s="6" t="str">
        <f>_xll.QS.CONTEXT.ADD.CURVE(C5872,"SOFR",$K$2:$K$7,$L$2:$L$7,,,"Actual360","LogLinear",TRUE)</f>
        <v>QSObject:ContextInput:w1~input.qs_context_add_curve.2359132437744.5871.3.0:34632</v>
      </c>
      <c r="E5872" s="6" t="str">
        <f>_xll.QS.INSTRUMENT.SWAP("swap.5870",H5872,B5872,"USD","SOFR",I5872,J5872,0,"Actual360","Simple","Annual","Annual","Annual")</f>
        <v>QSObject:Swap:w1~swap.5870:9052</v>
      </c>
      <c r="F5872" s="6" t="str">
        <f>_xll.QS.TRADE.CREATE("trade.5870",E5872,A5872,"Receive")</f>
        <v>QSObject:SwapTrade:w1~trade.5870:26059</v>
      </c>
      <c r="G5872" s="3">
        <f>_xll.QS.EVALUATE(C5872,F5872)</f>
        <v>36519.297665854014</v>
      </c>
      <c r="H5872" s="5" t="s">
        <v>5913</v>
      </c>
      <c r="I5872" s="7">
        <v>1587000</v>
      </c>
      <c r="J5872" s="8">
        <v>3.7000000000000012E-2</v>
      </c>
    </row>
    <row r="5873" spans="1:10" x14ac:dyDescent="0.25">
      <c r="A5873" s="5" t="s">
        <v>5907</v>
      </c>
      <c r="B5873" s="5" t="s">
        <v>7740</v>
      </c>
      <c r="C5873" s="6" t="str">
        <f>_xll.QS.CONTEXT.CREATE("market.5871",A5873,"USD","SOFR")</f>
        <v>QSObject:PricingContext:w1~market.5871:9051</v>
      </c>
      <c r="D5873" s="6" t="str">
        <f>_xll.QS.CONTEXT.ADD.CURVE(C5873,"SOFR",$K$2:$K$7,$L$2:$L$7,,,"Actual360","LogLinear",TRUE)</f>
        <v>QSObject:ContextInput:w1~input.qs_context_add_curve.2359132437744.5872.3.0:34631</v>
      </c>
      <c r="E5873" s="6" t="str">
        <f>_xll.QS.INSTRUMENT.SWAP("swap.5871",H5873,B5873,"USD","SOFR",I5873,J5873,0,"Actual360","Simple","Annual","Annual","Annual")</f>
        <v>QSObject:Swap:w1~swap.5871:9050</v>
      </c>
      <c r="F5873" s="6" t="str">
        <f>_xll.QS.TRADE.CREATE("trade.5871",E5873,A5873,"Receive")</f>
        <v>QSObject:SwapTrade:w1~trade.5871:26058</v>
      </c>
      <c r="G5873" s="3">
        <f>_xll.QS.EVALUATE(C5873,F5873)</f>
        <v>37142.645332654356</v>
      </c>
      <c r="H5873" s="5" t="s">
        <v>5914</v>
      </c>
      <c r="I5873" s="7">
        <v>1587100</v>
      </c>
      <c r="J5873" s="8">
        <v>3.7100000000000001E-2</v>
      </c>
    </row>
    <row r="5874" spans="1:10" x14ac:dyDescent="0.25">
      <c r="A5874" s="5" t="s">
        <v>5908</v>
      </c>
      <c r="B5874" s="5" t="s">
        <v>7741</v>
      </c>
      <c r="C5874" s="6" t="str">
        <f>_xll.QS.CONTEXT.CREATE("market.5872",A5874,"USD","SOFR")</f>
        <v>QSObject:PricingContext:w1~market.5872:9049</v>
      </c>
      <c r="D5874" s="6" t="str">
        <f>_xll.QS.CONTEXT.ADD.CURVE(C5874,"SOFR",$K$2:$K$7,$L$2:$L$7,,,"Actual360","LogLinear",TRUE)</f>
        <v>QSObject:ContextInput:w1~input.qs_context_add_curve.2359132437744.5873.3.0:34630</v>
      </c>
      <c r="E5874" s="6" t="str">
        <f>_xll.QS.INSTRUMENT.SWAP("swap.5872",H5874,B5874,"USD","SOFR",I5874,J5874,0,"Actual360","Simple","Annual","Annual","Annual")</f>
        <v>QSObject:Swap:w1~swap.5872:9048</v>
      </c>
      <c r="F5874" s="6" t="str">
        <f>_xll.QS.TRADE.CREATE("trade.5872",E5874,A5874,"Receive")</f>
        <v>QSObject:SwapTrade:w1~trade.5872:26057</v>
      </c>
      <c r="G5874" s="3">
        <f>_xll.QS.EVALUATE(C5874,F5874)</f>
        <v>37754.468262718969</v>
      </c>
      <c r="H5874" s="5" t="s">
        <v>5915</v>
      </c>
      <c r="I5874" s="7">
        <v>1587200</v>
      </c>
      <c r="J5874" s="8">
        <v>3.7199999999999997E-2</v>
      </c>
    </row>
    <row r="5875" spans="1:10" x14ac:dyDescent="0.25">
      <c r="A5875" s="5" t="s">
        <v>5909</v>
      </c>
      <c r="B5875" s="5" t="s">
        <v>7742</v>
      </c>
      <c r="C5875" s="6" t="str">
        <f>_xll.QS.CONTEXT.CREATE("market.5873",A5875,"USD","SOFR")</f>
        <v>QSObject:PricingContext:w1~market.5873:9047</v>
      </c>
      <c r="D5875" s="6" t="str">
        <f>_xll.QS.CONTEXT.ADD.CURVE(C5875,"SOFR",$K$2:$K$7,$L$2:$L$7,,,"Actual360","LogLinear",TRUE)</f>
        <v>QSObject:ContextInput:w1~input.qs_context_add_curve.2359132437744.5874.3.0:34629</v>
      </c>
      <c r="E5875" s="6" t="str">
        <f>_xll.QS.INSTRUMENT.SWAP("swap.5873",H5875,B5875,"USD","SOFR",I5875,J5875,0,"Actual360","Simple","Annual","Annual","Annual")</f>
        <v>QSObject:Swap:w1~swap.5873:9046</v>
      </c>
      <c r="F5875" s="6" t="str">
        <f>_xll.QS.TRADE.CREATE("trade.5873",E5875,A5875,"Receive")</f>
        <v>QSObject:SwapTrade:w1~trade.5873:26056</v>
      </c>
      <c r="G5875" s="3">
        <f>_xll.QS.EVALUATE(C5875,F5875)</f>
        <v>38556.320264759335</v>
      </c>
      <c r="H5875" s="5" t="s">
        <v>5916</v>
      </c>
      <c r="I5875" s="7">
        <v>1587300</v>
      </c>
      <c r="J5875" s="8">
        <v>3.73E-2</v>
      </c>
    </row>
    <row r="5876" spans="1:10" x14ac:dyDescent="0.25">
      <c r="A5876" s="5" t="s">
        <v>5910</v>
      </c>
      <c r="B5876" s="5" t="s">
        <v>7743</v>
      </c>
      <c r="C5876" s="6" t="str">
        <f>_xll.QS.CONTEXT.CREATE("market.5874",A5876,"USD","SOFR")</f>
        <v>QSObject:PricingContext:w1~market.5874:9045</v>
      </c>
      <c r="D5876" s="6" t="str">
        <f>_xll.QS.CONTEXT.ADD.CURVE(C5876,"SOFR",$K$2:$K$7,$L$2:$L$7,,,"Actual360","LogLinear",TRUE)</f>
        <v>QSObject:ContextInput:w1~input.qs_context_add_curve.2359132437744.5875.3.0:34628</v>
      </c>
      <c r="E5876" s="6" t="str">
        <f>_xll.QS.INSTRUMENT.SWAP("swap.5874",H5876,B5876,"USD","SOFR",I5876,J5876,0,"Actual360","Simple","Annual","Annual","Annual")</f>
        <v>QSObject:Swap:w1~swap.5874:9044</v>
      </c>
      <c r="F5876" s="6" t="str">
        <f>_xll.QS.TRADE.CREATE("trade.5874",E5876,A5876,"Receive")</f>
        <v>QSObject:SwapTrade:w1~trade.5874:26055</v>
      </c>
      <c r="G5876" s="3">
        <f>_xll.QS.EVALUATE(C5876,F5876)</f>
        <v>39332.467062239433</v>
      </c>
      <c r="H5876" s="5" t="s">
        <v>5917</v>
      </c>
      <c r="I5876" s="7">
        <v>1587400</v>
      </c>
      <c r="J5876" s="8">
        <v>3.7400000000000003E-2</v>
      </c>
    </row>
    <row r="5877" spans="1:10" x14ac:dyDescent="0.25">
      <c r="A5877" s="5" t="s">
        <v>5911</v>
      </c>
      <c r="B5877" s="5" t="s">
        <v>7744</v>
      </c>
      <c r="C5877" s="6" t="str">
        <f>_xll.QS.CONTEXT.CREATE("market.5875",A5877,"USD","SOFR")</f>
        <v>QSObject:PricingContext:w1~market.5875:9043</v>
      </c>
      <c r="D5877" s="6" t="str">
        <f>_xll.QS.CONTEXT.ADD.CURVE(C5877,"SOFR",$K$2:$K$7,$L$2:$L$7,,,"Actual360","LogLinear",TRUE)</f>
        <v>QSObject:ContextInput:w1~input.qs_context_add_curve.2359132437744.5876.3.0:34627</v>
      </c>
      <c r="E5877" s="6" t="str">
        <f>_xll.QS.INSTRUMENT.SWAP("swap.5875",H5877,B5877,"USD","SOFR",I5877,J5877,0,"Actual360","Simple","Annual","Annual","Annual")</f>
        <v>QSObject:Swap:w1~swap.5875:9042</v>
      </c>
      <c r="F5877" s="6" t="str">
        <f>_xll.QS.TRADE.CREATE("trade.5875",E5877,A5877,"Receive")</f>
        <v>QSObject:SwapTrade:w1~trade.5875:26054</v>
      </c>
      <c r="G5877" s="3">
        <f>_xll.QS.EVALUATE(C5877,F5877)</f>
        <v>40183.277052222424</v>
      </c>
      <c r="H5877" s="5" t="s">
        <v>5918</v>
      </c>
      <c r="I5877" s="7">
        <v>1587500</v>
      </c>
      <c r="J5877" s="8">
        <v>3.7500000000000012E-2</v>
      </c>
    </row>
    <row r="5878" spans="1:10" x14ac:dyDescent="0.25">
      <c r="A5878" s="5" t="s">
        <v>5912</v>
      </c>
      <c r="B5878" s="5" t="s">
        <v>7745</v>
      </c>
      <c r="C5878" s="6" t="str">
        <f>_xll.QS.CONTEXT.CREATE("market.5876",A5878,"USD","SOFR")</f>
        <v>QSObject:PricingContext:w1~market.5876:9041</v>
      </c>
      <c r="D5878" s="6" t="str">
        <f>_xll.QS.CONTEXT.ADD.CURVE(C5878,"SOFR",$K$2:$K$7,$L$2:$L$7,,,"Actual360","LogLinear",TRUE)</f>
        <v>QSObject:ContextInput:w1~input.qs_context_add_curve.2359132437744.5877.3.0:34626</v>
      </c>
      <c r="E5878" s="6" t="str">
        <f>_xll.QS.INSTRUMENT.SWAP("swap.5876",H5878,B5878,"USD","SOFR",I5878,J5878,0,"Actual360","Simple","Annual","Annual","Annual")</f>
        <v>QSObject:Swap:w1~swap.5876:9040</v>
      </c>
      <c r="F5878" s="6" t="str">
        <f>_xll.QS.TRADE.CREATE("trade.5876",E5878,A5878,"Receive")</f>
        <v>QSObject:SwapTrade:w1~trade.5876:26053</v>
      </c>
      <c r="G5878" s="3">
        <f>_xll.QS.EVALUATE(C5878,F5878)</f>
        <v>40987.276509875264</v>
      </c>
      <c r="H5878" s="5" t="s">
        <v>5919</v>
      </c>
      <c r="I5878" s="7">
        <v>1587600</v>
      </c>
      <c r="J5878" s="8">
        <v>3.7600000000000001E-2</v>
      </c>
    </row>
    <row r="5879" spans="1:10" x14ac:dyDescent="0.25">
      <c r="A5879" s="5" t="s">
        <v>5913</v>
      </c>
      <c r="B5879" s="5" t="s">
        <v>7746</v>
      </c>
      <c r="C5879" s="6" t="str">
        <f>_xll.QS.CONTEXT.CREATE("market.5877",A5879,"USD","SOFR")</f>
        <v>QSObject:PricingContext:w1~market.5877:9039</v>
      </c>
      <c r="D5879" s="6" t="str">
        <f>_xll.QS.CONTEXT.ADD.CURVE(C5879,"SOFR",$K$2:$K$7,$L$2:$L$7,,,"Actual360","LogLinear",TRUE)</f>
        <v>QSObject:ContextInput:w1~input.qs_context_add_curve.2359132437744.5878.3.0:34625</v>
      </c>
      <c r="E5879" s="6" t="str">
        <f>_xll.QS.INSTRUMENT.SWAP("swap.5877",H5879,B5879,"USD","SOFR",I5879,J5879,0,"Actual360","Simple","Annual","Annual","Annual")</f>
        <v>QSObject:Swap:w1~swap.5877:9038</v>
      </c>
      <c r="F5879" s="6" t="str">
        <f>_xll.QS.TRADE.CREATE("trade.5877",E5879,A5879,"Receive")</f>
        <v>QSObject:SwapTrade:w1~trade.5877:26052</v>
      </c>
      <c r="G5879" s="3">
        <f>_xll.QS.EVALUATE(C5879,F5879)</f>
        <v>41660.935696673318</v>
      </c>
      <c r="H5879" s="5" t="s">
        <v>5920</v>
      </c>
      <c r="I5879" s="7">
        <v>1587700</v>
      </c>
      <c r="J5879" s="8">
        <v>3.7699999999999997E-2</v>
      </c>
    </row>
    <row r="5880" spans="1:10" x14ac:dyDescent="0.25">
      <c r="A5880" s="5" t="s">
        <v>5914</v>
      </c>
      <c r="B5880" s="5" t="s">
        <v>7747</v>
      </c>
      <c r="C5880" s="6" t="str">
        <f>_xll.QS.CONTEXT.CREATE("market.5878",A5880,"USD","SOFR")</f>
        <v>QSObject:PricingContext:w1~market.5878:9037</v>
      </c>
      <c r="D5880" s="6" t="str">
        <f>_xll.QS.CONTEXT.ADD.CURVE(C5880,"SOFR",$K$2:$K$7,$L$2:$L$7,,,"Actual360","LogLinear",TRUE)</f>
        <v>QSObject:ContextInput:w1~input.qs_context_add_curve.2359132437744.5879.3.0:34624</v>
      </c>
      <c r="E5880" s="6" t="str">
        <f>_xll.QS.INSTRUMENT.SWAP("swap.5878",H5880,B5880,"USD","SOFR",I5880,J5880,0,"Actual360","Simple","Annual","Annual","Annual")</f>
        <v>QSObject:Swap:w1~swap.5878:9036</v>
      </c>
      <c r="F5880" s="6" t="str">
        <f>_xll.QS.TRADE.CREATE("trade.5878",E5880,A5880,"Receive")</f>
        <v>QSObject:SwapTrade:w1~trade.5878:26051</v>
      </c>
      <c r="G5880" s="3">
        <f>_xll.QS.EVALUATE(C5880,F5880)</f>
        <v>42278.898668273447</v>
      </c>
      <c r="H5880" s="5" t="s">
        <v>5921</v>
      </c>
      <c r="I5880" s="7">
        <v>1587800</v>
      </c>
      <c r="J5880" s="8">
        <v>3.78E-2</v>
      </c>
    </row>
    <row r="5881" spans="1:10" x14ac:dyDescent="0.25">
      <c r="A5881" s="5" t="s">
        <v>5915</v>
      </c>
      <c r="B5881" s="5" t="s">
        <v>7748</v>
      </c>
      <c r="C5881" s="6" t="str">
        <f>_xll.QS.CONTEXT.CREATE("market.5879",A5881,"USD","SOFR")</f>
        <v>QSObject:PricingContext:w1~market.5879:9035</v>
      </c>
      <c r="D5881" s="6" t="str">
        <f>_xll.QS.CONTEXT.ADD.CURVE(C5881,"SOFR",$K$2:$K$7,$L$2:$L$7,,,"Actual360","LogLinear",TRUE)</f>
        <v>QSObject:ContextInput:w1~input.qs_context_add_curve.2359132437744.5880.3.0:34623</v>
      </c>
      <c r="E5881" s="6" t="str">
        <f>_xll.QS.INSTRUMENT.SWAP("swap.5879",H5881,B5881,"USD","SOFR",I5881,J5881,0,"Actual360","Simple","Annual","Annual","Annual")</f>
        <v>QSObject:Swap:w1~swap.5879:9034</v>
      </c>
      <c r="F5881" s="6" t="str">
        <f>_xll.QS.TRADE.CREATE("trade.5879",E5881,A5881,"Receive")</f>
        <v>QSObject:SwapTrade:w1~trade.5879:26050</v>
      </c>
      <c r="G5881" s="3">
        <f>_xll.QS.EVALUATE(C5881,F5881)</f>
        <v>42899.422589568654</v>
      </c>
      <c r="H5881" s="5" t="s">
        <v>5922</v>
      </c>
      <c r="I5881" s="7">
        <v>1587900</v>
      </c>
      <c r="J5881" s="8">
        <v>3.7900000000000003E-2</v>
      </c>
    </row>
    <row r="5882" spans="1:10" x14ac:dyDescent="0.25">
      <c r="A5882" s="5" t="s">
        <v>5916</v>
      </c>
      <c r="B5882" s="5" t="s">
        <v>7749</v>
      </c>
      <c r="C5882" s="6" t="str">
        <f>_xll.QS.CONTEXT.CREATE("market.5880",A5882,"USD","SOFR")</f>
        <v>QSObject:PricingContext:w1~market.5880:9033</v>
      </c>
      <c r="D5882" s="6" t="str">
        <f>_xll.QS.CONTEXT.ADD.CURVE(C5882,"SOFR",$K$2:$K$7,$L$2:$L$7,,,"Actual360","LogLinear",TRUE)</f>
        <v>QSObject:ContextInput:w1~input.qs_context_add_curve.2359132437744.5881.3.0:34622</v>
      </c>
      <c r="E5882" s="6" t="str">
        <f>_xll.QS.INSTRUMENT.SWAP("swap.5880",H5882,B5882,"USD","SOFR",I5882,J5882,0,"Actual360","Simple","Annual","Annual","Annual")</f>
        <v>QSObject:Swap:w1~swap.5880:9032</v>
      </c>
      <c r="F5882" s="6" t="str">
        <f>_xll.QS.TRADE.CREATE("trade.5880",E5882,A5882,"Receive")</f>
        <v>QSObject:SwapTrade:w1~trade.5880:26049</v>
      </c>
      <c r="G5882" s="3">
        <f>_xll.QS.EVALUATE(C5882,F5882)</f>
        <v>43701.651719290872</v>
      </c>
      <c r="H5882" s="5" t="s">
        <v>5923</v>
      </c>
      <c r="I5882" s="7">
        <v>1588000</v>
      </c>
      <c r="J5882" s="8">
        <v>3.8000000000000013E-2</v>
      </c>
    </row>
    <row r="5883" spans="1:10" x14ac:dyDescent="0.25">
      <c r="A5883" s="5" t="s">
        <v>5917</v>
      </c>
      <c r="B5883" s="5" t="s">
        <v>7750</v>
      </c>
      <c r="C5883" s="6" t="str">
        <f>_xll.QS.CONTEXT.CREATE("market.5881",A5883,"USD","SOFR")</f>
        <v>QSObject:PricingContext:w1~market.5881:9031</v>
      </c>
      <c r="D5883" s="6" t="str">
        <f>_xll.QS.CONTEXT.ADD.CURVE(C5883,"SOFR",$K$2:$K$7,$L$2:$L$7,,,"Actual360","LogLinear",TRUE)</f>
        <v>QSObject:ContextInput:w1~input.qs_context_add_curve.2359132437744.5882.3.0:34621</v>
      </c>
      <c r="E5883" s="6" t="str">
        <f>_xll.QS.INSTRUMENT.SWAP("swap.5881",H5883,B5883,"USD","SOFR",I5883,J5883,0,"Actual360","Simple","Annual","Annual","Annual")</f>
        <v>QSObject:Swap:w1~swap.5881:9030</v>
      </c>
      <c r="F5883" s="6" t="str">
        <f>_xll.QS.TRADE.CREATE("trade.5881",E5883,A5883,"Receive")</f>
        <v>QSObject:SwapTrade:w1~trade.5881:26048</v>
      </c>
      <c r="G5883" s="3">
        <f>_xll.QS.EVALUATE(C5883,F5883)</f>
        <v>44475.874187762871</v>
      </c>
      <c r="H5883" s="5" t="s">
        <v>5924</v>
      </c>
      <c r="I5883" s="7">
        <v>1588100</v>
      </c>
      <c r="J5883" s="8">
        <v>3.8100000000000002E-2</v>
      </c>
    </row>
    <row r="5884" spans="1:10" x14ac:dyDescent="0.25">
      <c r="A5884" s="5" t="s">
        <v>5918</v>
      </c>
      <c r="B5884" s="5" t="s">
        <v>7751</v>
      </c>
      <c r="C5884" s="6" t="str">
        <f>_xll.QS.CONTEXT.CREATE("market.5882",A5884,"USD","SOFR")</f>
        <v>QSObject:PricingContext:w1~market.5882:9029</v>
      </c>
      <c r="D5884" s="6" t="str">
        <f>_xll.QS.CONTEXT.ADD.CURVE(C5884,"SOFR",$K$2:$K$7,$L$2:$L$7,,,"Actual360","LogLinear",TRUE)</f>
        <v>QSObject:ContextInput:w1~input.qs_context_add_curve.2359132437744.5883.3.0:34620</v>
      </c>
      <c r="E5884" s="6" t="str">
        <f>_xll.QS.INSTRUMENT.SWAP("swap.5882",H5884,B5884,"USD","SOFR",I5884,J5884,0,"Actual360","Simple","Annual","Annual","Annual")</f>
        <v>QSObject:Swap:w1~swap.5882:9028</v>
      </c>
      <c r="F5884" s="6" t="str">
        <f>_xll.QS.TRADE.CREATE("trade.5882",E5884,A5884,"Receive")</f>
        <v>QSObject:SwapTrade:w1~trade.5882:26047</v>
      </c>
      <c r="G5884" s="3">
        <f>_xll.QS.EVALUATE(C5884,F5884)</f>
        <v>45327.475601151207</v>
      </c>
      <c r="H5884" s="5" t="s">
        <v>5925</v>
      </c>
      <c r="I5884" s="7">
        <v>1588200</v>
      </c>
      <c r="J5884" s="8">
        <v>3.8199999999999998E-2</v>
      </c>
    </row>
    <row r="5885" spans="1:10" x14ac:dyDescent="0.25">
      <c r="A5885" s="5" t="s">
        <v>5919</v>
      </c>
      <c r="B5885" s="5" t="s">
        <v>7752</v>
      </c>
      <c r="C5885" s="6" t="str">
        <f>_xll.QS.CONTEXT.CREATE("market.5883",A5885,"USD","SOFR")</f>
        <v>QSObject:PricingContext:w1~market.5883:9027</v>
      </c>
      <c r="D5885" s="6" t="str">
        <f>_xll.QS.CONTEXT.ADD.CURVE(C5885,"SOFR",$K$2:$K$7,$L$2:$L$7,,,"Actual360","LogLinear",TRUE)</f>
        <v>QSObject:ContextInput:w1~input.qs_context_add_curve.2359132437744.5884.3.0:34619</v>
      </c>
      <c r="E5885" s="6" t="str">
        <f>_xll.QS.INSTRUMENT.SWAP("swap.5883",H5885,B5885,"USD","SOFR",I5885,J5885,0,"Actual360","Simple","Annual","Annual","Annual")</f>
        <v>QSObject:Swap:w1~swap.5883:9026</v>
      </c>
      <c r="F5885" s="6" t="str">
        <f>_xll.QS.TRADE.CREATE("trade.5883",E5885,A5885,"Receive")</f>
        <v>QSObject:SwapTrade:w1~trade.5883:26046</v>
      </c>
      <c r="G5885" s="3">
        <f>_xll.QS.EVALUATE(C5885,F5885)</f>
        <v>46132.303852814257</v>
      </c>
      <c r="H5885" s="5" t="s">
        <v>5926</v>
      </c>
      <c r="I5885" s="7">
        <v>1588300</v>
      </c>
      <c r="J5885" s="8">
        <v>3.8300000000000001E-2</v>
      </c>
    </row>
    <row r="5886" spans="1:10" x14ac:dyDescent="0.25">
      <c r="A5886" s="5" t="s">
        <v>5920</v>
      </c>
      <c r="B5886" s="5" t="s">
        <v>7753</v>
      </c>
      <c r="C5886" s="6" t="str">
        <f>_xll.QS.CONTEXT.CREATE("market.5884",A5886,"USD","SOFR")</f>
        <v>QSObject:PricingContext:w1~market.5884:9025</v>
      </c>
      <c r="D5886" s="6" t="str">
        <f>_xll.QS.CONTEXT.ADD.CURVE(C5886,"SOFR",$K$2:$K$7,$L$2:$L$7,,,"Actual360","LogLinear",TRUE)</f>
        <v>QSObject:ContextInput:w1~input.qs_context_add_curve.2359132437744.5885.3.0:34618</v>
      </c>
      <c r="E5886" s="6" t="str">
        <f>_xll.QS.INSTRUMENT.SWAP("swap.5884",H5886,B5886,"USD","SOFR",I5886,J5886,0,"Actual360","Simple","Annual","Annual","Annual")</f>
        <v>QSObject:Swap:w1~swap.5884:9024</v>
      </c>
      <c r="F5886" s="6" t="str">
        <f>_xll.QS.TRADE.CREATE("trade.5884",E5886,A5886,"Receive")</f>
        <v>QSObject:SwapTrade:w1~trade.5884:26045</v>
      </c>
      <c r="G5886" s="3">
        <f>_xll.QS.EVALUATE(C5886,F5886)</f>
        <v>46806.282920067868</v>
      </c>
      <c r="H5886" s="5" t="s">
        <v>5927</v>
      </c>
      <c r="I5886" s="7">
        <v>1588400</v>
      </c>
      <c r="J5886" s="8">
        <v>3.8399999999999997E-2</v>
      </c>
    </row>
    <row r="5887" spans="1:10" x14ac:dyDescent="0.25">
      <c r="A5887" s="5" t="s">
        <v>5921</v>
      </c>
      <c r="B5887" s="5" t="s">
        <v>7754</v>
      </c>
      <c r="C5887" s="6" t="str">
        <f>_xll.QS.CONTEXT.CREATE("market.5885",A5887,"USD","SOFR")</f>
        <v>QSObject:PricingContext:w1~market.5885:9023</v>
      </c>
      <c r="D5887" s="6" t="str">
        <f>_xll.QS.CONTEXT.ADD.CURVE(C5887,"SOFR",$K$2:$K$7,$L$2:$L$7,,,"Actual360","LogLinear",TRUE)</f>
        <v>QSObject:ContextInput:w1~input.qs_context_add_curve.2359132437744.5886.3.0:34617</v>
      </c>
      <c r="E5887" s="6" t="str">
        <f>_xll.QS.INSTRUMENT.SWAP("swap.5885",H5887,B5887,"USD","SOFR",I5887,J5887,0,"Actual360","Simple","Annual","Annual","Annual")</f>
        <v>QSObject:Swap:w1~swap.5885:9022</v>
      </c>
      <c r="F5887" s="6" t="str">
        <f>_xll.QS.TRADE.CREATE("trade.5885",E5887,A5887,"Receive")</f>
        <v>QSObject:SwapTrade:w1~trade.5885:26044</v>
      </c>
      <c r="G5887" s="3">
        <f>_xll.QS.EVALUATE(C5887,F5887)</f>
        <v>47388.872941514775</v>
      </c>
      <c r="H5887" s="5" t="s">
        <v>5928</v>
      </c>
      <c r="I5887" s="7">
        <v>1588500</v>
      </c>
      <c r="J5887" s="8">
        <v>3.8500000000000013E-2</v>
      </c>
    </row>
    <row r="5888" spans="1:10" x14ac:dyDescent="0.25">
      <c r="A5888" s="5" t="s">
        <v>5922</v>
      </c>
      <c r="B5888" s="5" t="s">
        <v>7755</v>
      </c>
      <c r="C5888" s="6" t="str">
        <f>_xll.QS.CONTEXT.CREATE("market.5886",A5888,"USD","SOFR")</f>
        <v>QSObject:PricingContext:w1~market.5886:9021</v>
      </c>
      <c r="D5888" s="6" t="str">
        <f>_xll.QS.CONTEXT.ADD.CURVE(C5888,"SOFR",$K$2:$K$7,$L$2:$L$7,,,"Actual360","LogLinear",TRUE)</f>
        <v>QSObject:ContextInput:w1~input.qs_context_add_curve.2359132437744.5887.3.0:34616</v>
      </c>
      <c r="E5888" s="6" t="str">
        <f>_xll.QS.INSTRUMENT.SWAP("swap.5886",H5888,B5888,"USD","SOFR",I5888,J5888,0,"Actual360","Simple","Annual","Annual","Annual")</f>
        <v>QSObject:Swap:w1~swap.5886:9020</v>
      </c>
      <c r="F5888" s="6" t="str">
        <f>_xll.QS.TRADE.CREATE("trade.5886",E5888,A5888,"Receive")</f>
        <v>QSObject:SwapTrade:w1~trade.5886:26043</v>
      </c>
      <c r="G5888" s="3">
        <f>_xll.QS.EVALUATE(C5888,F5888)</f>
        <v>47981.120476601012</v>
      </c>
      <c r="H5888" s="5" t="s">
        <v>5929</v>
      </c>
      <c r="I5888" s="7">
        <v>1588600</v>
      </c>
      <c r="J5888" s="8">
        <v>3.8600000000000002E-2</v>
      </c>
    </row>
    <row r="5889" spans="1:10" x14ac:dyDescent="0.25">
      <c r="A5889" s="5" t="s">
        <v>5923</v>
      </c>
      <c r="B5889" s="5" t="s">
        <v>7756</v>
      </c>
      <c r="C5889" s="6" t="str">
        <f>_xll.QS.CONTEXT.CREATE("market.5887",A5889,"USD","SOFR")</f>
        <v>QSObject:PricingContext:w1~market.5887:9019</v>
      </c>
      <c r="D5889" s="6" t="str">
        <f>_xll.QS.CONTEXT.ADD.CURVE(C5889,"SOFR",$K$2:$K$7,$L$2:$L$7,,,"Actual360","LogLinear",TRUE)</f>
        <v>QSObject:ContextInput:w1~input.qs_context_add_curve.2359132437744.5888.3.0:34615</v>
      </c>
      <c r="E5889" s="6" t="str">
        <f>_xll.QS.INSTRUMENT.SWAP("swap.5887",H5889,B5889,"USD","SOFR",I5889,J5889,0,"Actual360","Simple","Annual","Annual","Annual")</f>
        <v>QSObject:Swap:w1~swap.5887:9018</v>
      </c>
      <c r="F5889" s="6" t="str">
        <f>_xll.QS.TRADE.CREATE("trade.5887",E5889,A5889,"Receive")</f>
        <v>QSObject:SwapTrade:w1~trade.5887:26042</v>
      </c>
      <c r="G5889" s="3">
        <f>_xll.QS.EVALUATE(C5889,F5889)</f>
        <v>48785.099587422774</v>
      </c>
      <c r="H5889" s="5" t="s">
        <v>5930</v>
      </c>
      <c r="I5889" s="7">
        <v>1588700</v>
      </c>
      <c r="J5889" s="8">
        <v>3.8700000000000012E-2</v>
      </c>
    </row>
    <row r="5890" spans="1:10" x14ac:dyDescent="0.25">
      <c r="A5890" s="5" t="s">
        <v>5924</v>
      </c>
      <c r="B5890" s="5" t="s">
        <v>7757</v>
      </c>
      <c r="C5890" s="6" t="str">
        <f>_xll.QS.CONTEXT.CREATE("market.5888",A5890,"USD","SOFR")</f>
        <v>QSObject:PricingContext:w1~market.5888:9017</v>
      </c>
      <c r="D5890" s="6" t="str">
        <f>_xll.QS.CONTEXT.ADD.CURVE(C5890,"SOFR",$K$2:$K$7,$L$2:$L$7,,,"Actual360","LogLinear",TRUE)</f>
        <v>QSObject:ContextInput:w1~input.qs_context_add_curve.2359132437744.5889.3.0:34614</v>
      </c>
      <c r="E5890" s="6" t="str">
        <f>_xll.QS.INSTRUMENT.SWAP("swap.5888",H5890,B5890,"USD","SOFR",I5890,J5890,0,"Actual360","Simple","Annual","Annual","Annual")</f>
        <v>QSObject:Swap:w1~swap.5888:9016</v>
      </c>
      <c r="F5890" s="6" t="str">
        <f>_xll.QS.TRADE.CREATE("trade.5888",E5890,A5890,"Receive")</f>
        <v>QSObject:SwapTrade:w1~trade.5888:26041</v>
      </c>
      <c r="G5890" s="3">
        <f>_xll.QS.EVALUATE(C5890,F5890)</f>
        <v>49589.07731385938</v>
      </c>
      <c r="H5890" s="5" t="s">
        <v>5931</v>
      </c>
      <c r="I5890" s="7">
        <v>1588800</v>
      </c>
      <c r="J5890" s="8">
        <v>3.8800000000000001E-2</v>
      </c>
    </row>
    <row r="5891" spans="1:10" x14ac:dyDescent="0.25">
      <c r="A5891" s="5" t="s">
        <v>5925</v>
      </c>
      <c r="B5891" s="5" t="s">
        <v>7758</v>
      </c>
      <c r="C5891" s="6" t="str">
        <f>_xll.QS.CONTEXT.CREATE("market.5889",A5891,"USD","SOFR")</f>
        <v>QSObject:PricingContext:w1~market.5889:9015</v>
      </c>
      <c r="D5891" s="6" t="str">
        <f>_xll.QS.CONTEXT.ADD.CURVE(C5891,"SOFR",$K$2:$K$7,$L$2:$L$7,,,"Actual360","LogLinear",TRUE)</f>
        <v>QSObject:ContextInput:w1~input.qs_context_add_curve.2359132437744.5890.3.0:34613</v>
      </c>
      <c r="E5891" s="6" t="str">
        <f>_xll.QS.INSTRUMENT.SWAP("swap.5889",H5891,B5891,"USD","SOFR",I5891,J5891,0,"Actual360","Simple","Annual","Annual","Annual")</f>
        <v>QSObject:Swap:w1~swap.5889:9014</v>
      </c>
      <c r="F5891" s="6" t="str">
        <f>_xll.QS.TRADE.CREATE("trade.5889",E5891,A5891,"Receive")</f>
        <v>QSObject:SwapTrade:w1~trade.5889:26040</v>
      </c>
      <c r="G5891" s="3">
        <f>_xll.QS.EVALUATE(C5891,F5891)</f>
        <v>50535.494748273682</v>
      </c>
      <c r="H5891" s="5" t="s">
        <v>5932</v>
      </c>
      <c r="I5891" s="7">
        <v>1588900</v>
      </c>
      <c r="J5891" s="8">
        <v>3.8899999999999997E-2</v>
      </c>
    </row>
    <row r="5892" spans="1:10" x14ac:dyDescent="0.25">
      <c r="A5892" s="5" t="s">
        <v>5926</v>
      </c>
      <c r="B5892" s="5" t="s">
        <v>7759</v>
      </c>
      <c r="C5892" s="6" t="str">
        <f>_xll.QS.CONTEXT.CREATE("market.5890",A5892,"USD","SOFR")</f>
        <v>QSObject:PricingContext:w1~market.5890:9013</v>
      </c>
      <c r="D5892" s="6" t="str">
        <f>_xll.QS.CONTEXT.ADD.CURVE(C5892,"SOFR",$K$2:$K$7,$L$2:$L$7,,,"Actual360","LogLinear",TRUE)</f>
        <v>QSObject:ContextInput:w1~input.qs_context_add_curve.2359132437744.5891.3.0:34612</v>
      </c>
      <c r="E5892" s="6" t="str">
        <f>_xll.QS.INSTRUMENT.SWAP("swap.5890",H5892,B5892,"USD","SOFR",I5892,J5892,0,"Actual360","Simple","Annual","Annual","Annual")</f>
        <v>QSObject:Swap:w1~swap.5890:9012</v>
      </c>
      <c r="F5892" s="6" t="str">
        <f>_xll.QS.TRADE.CREATE("trade.5890",E5892,A5892,"Receive")</f>
        <v>QSObject:SwapTrade:w1~trade.5890:26039</v>
      </c>
      <c r="G5892" s="3">
        <f>_xll.QS.EVALUATE(C5892,F5892)</f>
        <v>51286.030750813232</v>
      </c>
      <c r="H5892" s="5" t="s">
        <v>5933</v>
      </c>
      <c r="I5892" s="7">
        <v>1589000</v>
      </c>
      <c r="J5892" s="8">
        <v>3.9000000000000007E-2</v>
      </c>
    </row>
    <row r="5893" spans="1:10" x14ac:dyDescent="0.25">
      <c r="A5893" s="5" t="s">
        <v>5927</v>
      </c>
      <c r="B5893" s="5" t="s">
        <v>7760</v>
      </c>
      <c r="C5893" s="6" t="str">
        <f>_xll.QS.CONTEXT.CREATE("market.5891",A5893,"USD","SOFR")</f>
        <v>QSObject:PricingContext:w1~market.5891:9011</v>
      </c>
      <c r="D5893" s="6" t="str">
        <f>_xll.QS.CONTEXT.ADD.CURVE(C5893,"SOFR",$K$2:$K$7,$L$2:$L$7,,,"Actual360","LogLinear",TRUE)</f>
        <v>QSObject:ContextInput:w1~input.qs_context_add_curve.2359132437744.5892.3.0:34611</v>
      </c>
      <c r="E5893" s="6" t="str">
        <f>_xll.QS.INSTRUMENT.SWAP("swap.5891",H5893,B5893,"USD","SOFR",I5893,J5893,0,"Actual360","Simple","Annual","Annual","Annual")</f>
        <v>QSObject:Swap:w1~swap.5891:9010</v>
      </c>
      <c r="F5893" s="6" t="str">
        <f>_xll.QS.TRADE.CREATE("trade.5891",E5893,A5893,"Receive")</f>
        <v>QSObject:SwapTrade:w1~trade.5891:26038</v>
      </c>
      <c r="G5893" s="3">
        <f>_xll.QS.EVALUATE(C5893,F5893)</f>
        <v>52020.970696076001</v>
      </c>
      <c r="H5893" s="5" t="s">
        <v>5934</v>
      </c>
      <c r="I5893" s="7">
        <v>1589100</v>
      </c>
      <c r="J5893" s="8">
        <v>3.9100000000000003E-2</v>
      </c>
    </row>
    <row r="5894" spans="1:10" x14ac:dyDescent="0.25">
      <c r="A5894" s="5" t="s">
        <v>5928</v>
      </c>
      <c r="B5894" s="5" t="s">
        <v>7761</v>
      </c>
      <c r="C5894" s="6" t="str">
        <f>_xll.QS.CONTEXT.CREATE("market.5892",A5894,"USD","SOFR")</f>
        <v>QSObject:PricingContext:w1~market.5892:9009</v>
      </c>
      <c r="D5894" s="6" t="str">
        <f>_xll.QS.CONTEXT.ADD.CURVE(C5894,"SOFR",$K$2:$K$7,$L$2:$L$7,,,"Actual360","LogLinear",TRUE)</f>
        <v>QSObject:ContextInput:w1~input.qs_context_add_curve.2359132437744.5893.3.0:34610</v>
      </c>
      <c r="E5894" s="6" t="str">
        <f>_xll.QS.INSTRUMENT.SWAP("swap.5892",H5894,B5894,"USD","SOFR",I5894,J5894,0,"Actual360","Simple","Annual","Annual","Annual")</f>
        <v>QSObject:Swap:w1~swap.5892:9008</v>
      </c>
      <c r="F5894" s="6" t="str">
        <f>_xll.QS.TRADE.CREATE("trade.5892",E5894,A5894,"Receive")</f>
        <v>QSObject:SwapTrade:w1~trade.5892:26037</v>
      </c>
      <c r="G5894" s="3">
        <f>_xll.QS.EVALUATE(C5894,F5894)</f>
        <v>52628.02836096695</v>
      </c>
      <c r="H5894" s="5" t="s">
        <v>5935</v>
      </c>
      <c r="I5894" s="7">
        <v>1589200</v>
      </c>
      <c r="J5894" s="8">
        <v>3.9200000000000013E-2</v>
      </c>
    </row>
    <row r="5895" spans="1:10" x14ac:dyDescent="0.25">
      <c r="A5895" s="5" t="s">
        <v>5929</v>
      </c>
      <c r="B5895" s="5" t="s">
        <v>7762</v>
      </c>
      <c r="C5895" s="6" t="str">
        <f>_xll.QS.CONTEXT.CREATE("market.5893",A5895,"USD","SOFR")</f>
        <v>QSObject:PricingContext:w1~market.5893:9007</v>
      </c>
      <c r="D5895" s="6" t="str">
        <f>_xll.QS.CONTEXT.ADD.CURVE(C5895,"SOFR",$K$2:$K$7,$L$2:$L$7,,,"Actual360","LogLinear",TRUE)</f>
        <v>QSObject:ContextInput:w1~input.qs_context_add_curve.2359132437744.5894.3.0:34609</v>
      </c>
      <c r="E5895" s="6" t="str">
        <f>_xll.QS.INSTRUMENT.SWAP("swap.5893",H5895,B5895,"USD","SOFR",I5895,J5895,0,"Actual360","Simple","Annual","Annual","Annual")</f>
        <v>QSObject:Swap:w1~swap.5893:9006</v>
      </c>
      <c r="F5895" s="6" t="str">
        <f>_xll.QS.TRADE.CREATE("trade.5893",E5895,A5895,"Receive")</f>
        <v>QSObject:SwapTrade:w1~trade.5893:26036</v>
      </c>
      <c r="G5895" s="3">
        <f>_xll.QS.EVALUATE(C5895,F5895)</f>
        <v>53265.444749734605</v>
      </c>
      <c r="H5895" s="5" t="s">
        <v>5936</v>
      </c>
      <c r="I5895" s="7">
        <v>1589300</v>
      </c>
      <c r="J5895" s="8">
        <v>3.9300000000000002E-2</v>
      </c>
    </row>
    <row r="5896" spans="1:10" x14ac:dyDescent="0.25">
      <c r="A5896" s="5" t="s">
        <v>5930</v>
      </c>
      <c r="B5896" s="5" t="s">
        <v>7763</v>
      </c>
      <c r="C5896" s="6" t="str">
        <f>_xll.QS.CONTEXT.CREATE("market.5894",A5896,"USD","SOFR")</f>
        <v>QSObject:PricingContext:w1~market.5894:9005</v>
      </c>
      <c r="D5896" s="6" t="str">
        <f>_xll.QS.CONTEXT.ADD.CURVE(C5896,"SOFR",$K$2:$K$7,$L$2:$L$7,,,"Actual360","LogLinear",TRUE)</f>
        <v>QSObject:ContextInput:w1~input.qs_context_add_curve.2359132437744.5895.3.0:34608</v>
      </c>
      <c r="E5896" s="6" t="str">
        <f>_xll.QS.INSTRUMENT.SWAP("swap.5894",H5896,B5896,"USD","SOFR",I5896,J5896,0,"Actual360","Simple","Annual","Annual","Annual")</f>
        <v>QSObject:Swap:w1~swap.5894:9004</v>
      </c>
      <c r="F5896" s="6" t="str">
        <f>_xll.QS.TRADE.CREATE("trade.5894",E5896,A5896,"Receive")</f>
        <v>QSObject:SwapTrade:w1~trade.5894:26035</v>
      </c>
      <c r="G5896" s="3">
        <f>_xll.QS.EVALUATE(C5896,F5896)</f>
        <v>54006.340825326661</v>
      </c>
      <c r="H5896" s="5" t="s">
        <v>5937</v>
      </c>
      <c r="I5896" s="7">
        <v>1589400</v>
      </c>
      <c r="J5896" s="8">
        <v>3.9399999999999998E-2</v>
      </c>
    </row>
    <row r="5897" spans="1:10" x14ac:dyDescent="0.25">
      <c r="A5897" s="5" t="s">
        <v>5931</v>
      </c>
      <c r="B5897" s="5" t="s">
        <v>7764</v>
      </c>
      <c r="C5897" s="6" t="str">
        <f>_xll.QS.CONTEXT.CREATE("market.5895",A5897,"USD","SOFR")</f>
        <v>QSObject:PricingContext:w1~market.5895:9003</v>
      </c>
      <c r="D5897" s="6" t="str">
        <f>_xll.QS.CONTEXT.ADD.CURVE(C5897,"SOFR",$K$2:$K$7,$L$2:$L$7,,,"Actual360","LogLinear",TRUE)</f>
        <v>QSObject:ContextInput:w1~input.qs_context_add_curve.2359132437744.5896.3.0:34607</v>
      </c>
      <c r="E5897" s="6" t="str">
        <f>_xll.QS.INSTRUMENT.SWAP("swap.5895",H5897,B5897,"USD","SOFR",I5897,J5897,0,"Actual360","Simple","Annual","Annual","Annual")</f>
        <v>QSObject:Swap:w1~swap.5895:9002</v>
      </c>
      <c r="F5897" s="6" t="str">
        <f>_xll.QS.TRADE.CREATE("trade.5895",E5897,A5897,"Receive")</f>
        <v>QSObject:SwapTrade:w1~trade.5895:26034</v>
      </c>
      <c r="G5897" s="3">
        <f>_xll.QS.EVALUATE(C5897,F5897)</f>
        <v>54777.301701203789</v>
      </c>
      <c r="H5897" s="5" t="s">
        <v>5938</v>
      </c>
      <c r="I5897" s="7">
        <v>1589500</v>
      </c>
      <c r="J5897" s="8">
        <v>3.9500000000000007E-2</v>
      </c>
    </row>
    <row r="5898" spans="1:10" x14ac:dyDescent="0.25">
      <c r="A5898" s="5" t="s">
        <v>5932</v>
      </c>
      <c r="B5898" s="5" t="s">
        <v>7765</v>
      </c>
      <c r="C5898" s="6" t="str">
        <f>_xll.QS.CONTEXT.CREATE("market.5896",A5898,"USD","SOFR")</f>
        <v>QSObject:PricingContext:w1~market.5896:9001</v>
      </c>
      <c r="D5898" s="6" t="str">
        <f>_xll.QS.CONTEXT.ADD.CURVE(C5898,"SOFR",$K$2:$K$7,$L$2:$L$7,,,"Actual360","LogLinear",TRUE)</f>
        <v>QSObject:ContextInput:w1~input.qs_context_add_curve.2359132437744.5897.3.0:34606</v>
      </c>
      <c r="E5898" s="6" t="str">
        <f>_xll.QS.INSTRUMENT.SWAP("swap.5896",H5898,B5898,"USD","SOFR",I5898,J5898,0,"Actual360","Simple","Annual","Annual","Annual")</f>
        <v>QSObject:Swap:w1~swap.5896:9000</v>
      </c>
      <c r="F5898" s="6" t="str">
        <f>_xll.QS.TRADE.CREATE("trade.5896",E5898,A5898,"Receive")</f>
        <v>QSObject:SwapTrade:w1~trade.5896:26033</v>
      </c>
      <c r="G5898" s="3">
        <f>_xll.QS.EVALUATE(C5898,F5898)</f>
        <v>55629.695445884732</v>
      </c>
      <c r="H5898" s="5" t="s">
        <v>5939</v>
      </c>
      <c r="I5898" s="7">
        <v>1589600</v>
      </c>
      <c r="J5898" s="8">
        <v>3.9600000000000003E-2</v>
      </c>
    </row>
    <row r="5899" spans="1:10" x14ac:dyDescent="0.25">
      <c r="A5899" s="5" t="s">
        <v>5933</v>
      </c>
      <c r="B5899" s="5" t="s">
        <v>7766</v>
      </c>
      <c r="C5899" s="6" t="str">
        <f>_xll.QS.CONTEXT.CREATE("market.5897",A5899,"USD","SOFR")</f>
        <v>QSObject:PricingContext:w1~market.5897:8999</v>
      </c>
      <c r="D5899" s="6" t="str">
        <f>_xll.QS.CONTEXT.ADD.CURVE(C5899,"SOFR",$K$2:$K$7,$L$2:$L$7,,,"Actual360","LogLinear",TRUE)</f>
        <v>QSObject:ContextInput:w1~input.qs_context_add_curve.2359132437744.5898.3.0:34605</v>
      </c>
      <c r="E5899" s="6" t="str">
        <f>_xll.QS.INSTRUMENT.SWAP("swap.5897",H5899,B5899,"USD","SOFR",I5899,J5899,0,"Actual360","Simple","Annual","Annual","Annual")</f>
        <v>QSObject:Swap:w1~swap.5897:8998</v>
      </c>
      <c r="F5899" s="6" t="str">
        <f>_xll.QS.TRADE.CREATE("trade.5897",E5899,A5899,"Receive")</f>
        <v>QSObject:SwapTrade:w1~trade.5897:26032</v>
      </c>
      <c r="G5899" s="3">
        <f>_xll.QS.EVALUATE(C5899,F5899)</f>
        <v>56436.001178574385</v>
      </c>
      <c r="H5899" s="5" t="s">
        <v>5940</v>
      </c>
      <c r="I5899" s="7">
        <v>1589700</v>
      </c>
      <c r="J5899" s="8">
        <v>3.9700000000000013E-2</v>
      </c>
    </row>
    <row r="5900" spans="1:10" x14ac:dyDescent="0.25">
      <c r="A5900" s="5" t="s">
        <v>5934</v>
      </c>
      <c r="B5900" s="5" t="s">
        <v>7767</v>
      </c>
      <c r="C5900" s="6" t="str">
        <f>_xll.QS.CONTEXT.CREATE("market.5898",A5900,"USD","SOFR")</f>
        <v>QSObject:PricingContext:w1~market.5898:8997</v>
      </c>
      <c r="D5900" s="6" t="str">
        <f>_xll.QS.CONTEXT.ADD.CURVE(C5900,"SOFR",$K$2:$K$7,$L$2:$L$7,,,"Actual360","LogLinear",TRUE)</f>
        <v>QSObject:ContextInput:w1~input.qs_context_add_curve.2359132437744.5899.3.0:34604</v>
      </c>
      <c r="E5900" s="6" t="str">
        <f>_xll.QS.INSTRUMENT.SWAP("swap.5898",H5900,B5900,"USD","SOFR",I5900,J5900,0,"Actual360","Simple","Annual","Annual","Annual")</f>
        <v>QSObject:Swap:w1~swap.5898:8996</v>
      </c>
      <c r="F5900" s="6" t="str">
        <f>_xll.QS.TRADE.CREATE("trade.5898",E5900,A5900,"Receive")</f>
        <v>QSObject:SwapTrade:w1~trade.5898:26031</v>
      </c>
      <c r="G5900" s="3">
        <f>_xll.QS.EVALUATE(C5900,F5900)</f>
        <v>57111.391235925526</v>
      </c>
      <c r="H5900" s="5" t="s">
        <v>5941</v>
      </c>
      <c r="I5900" s="7">
        <v>1589800</v>
      </c>
      <c r="J5900" s="8">
        <v>3.9800000000000002E-2</v>
      </c>
    </row>
    <row r="5901" spans="1:10" x14ac:dyDescent="0.25">
      <c r="A5901" s="5" t="s">
        <v>5935</v>
      </c>
      <c r="B5901" s="5" t="s">
        <v>7768</v>
      </c>
      <c r="C5901" s="6" t="str">
        <f>_xll.QS.CONTEXT.CREATE("market.5899",A5901,"USD","SOFR")</f>
        <v>QSObject:PricingContext:w1~market.5899:8995</v>
      </c>
      <c r="D5901" s="6" t="str">
        <f>_xll.QS.CONTEXT.ADD.CURVE(C5901,"SOFR",$K$2:$K$7,$L$2:$L$7,,,"Actual360","LogLinear",TRUE)</f>
        <v>QSObject:ContextInput:w1~input.qs_context_add_curve.2359132437744.5900.3.0:34603</v>
      </c>
      <c r="E5901" s="6" t="str">
        <f>_xll.QS.INSTRUMENT.SWAP("swap.5899",H5901,B5901,"USD","SOFR",I5901,J5901,0,"Actual360","Simple","Annual","Annual","Annual")</f>
        <v>QSObject:Swap:w1~swap.5899:8994</v>
      </c>
      <c r="F5901" s="6" t="str">
        <f>_xll.QS.TRADE.CREATE("trade.5899",E5901,A5901,"Receive")</f>
        <v>QSObject:SwapTrade:w1~trade.5899:26030</v>
      </c>
      <c r="G5901" s="3">
        <f>_xll.QS.EVALUATE(C5901,F5901)</f>
        <v>57712.767866559057</v>
      </c>
      <c r="H5901" s="5" t="s">
        <v>5942</v>
      </c>
      <c r="I5901" s="7">
        <v>1589900</v>
      </c>
      <c r="J5901" s="8">
        <v>3.9899999999999998E-2</v>
      </c>
    </row>
    <row r="5902" spans="1:10" x14ac:dyDescent="0.25">
      <c r="A5902" s="5" t="s">
        <v>5936</v>
      </c>
      <c r="B5902" s="5" t="s">
        <v>7769</v>
      </c>
      <c r="C5902" s="6" t="str">
        <f>_xll.QS.CONTEXT.CREATE("market.5900",A5902,"USD","SOFR")</f>
        <v>QSObject:PricingContext:w1~market.5900:8993</v>
      </c>
      <c r="D5902" s="6" t="str">
        <f>_xll.QS.CONTEXT.ADD.CURVE(C5902,"SOFR",$K$2:$K$7,$L$2:$L$7,,,"Actual360","LogLinear",TRUE)</f>
        <v>QSObject:ContextInput:w1~input.qs_context_add_curve.2359132437744.5901.3.0:34602</v>
      </c>
      <c r="E5902" s="6" t="str">
        <f>_xll.QS.INSTRUMENT.SWAP("swap.5900",H5902,B5902,"USD","SOFR",I5902,J5902,0,"Actual360","Simple","Annual","Annual","Annual")</f>
        <v>QSObject:Swap:w1~swap.5900:8992</v>
      </c>
      <c r="F5902" s="6" t="str">
        <f>_xll.QS.TRADE.CREATE("trade.5900",E5902,A5902,"Receive")</f>
        <v>QSObject:SwapTrade:w1~trade.5900:26029</v>
      </c>
      <c r="G5902" s="3">
        <f>_xll.QS.EVALUATE(C5902,F5902)</f>
        <v>21684.705167090775</v>
      </c>
      <c r="H5902" s="5" t="s">
        <v>5943</v>
      </c>
      <c r="I5902" s="7">
        <v>1590000</v>
      </c>
      <c r="J5902" s="8">
        <v>3.5000000000000003E-2</v>
      </c>
    </row>
    <row r="5903" spans="1:10" x14ac:dyDescent="0.25">
      <c r="A5903" s="5" t="s">
        <v>5937</v>
      </c>
      <c r="B5903" s="5" t="s">
        <v>7770</v>
      </c>
      <c r="C5903" s="6" t="str">
        <f>_xll.QS.CONTEXT.CREATE("market.5901",A5903,"USD","SOFR")</f>
        <v>QSObject:PricingContext:w1~market.5901:8991</v>
      </c>
      <c r="D5903" s="6" t="str">
        <f>_xll.QS.CONTEXT.ADD.CURVE(C5903,"SOFR",$K$2:$K$7,$L$2:$L$7,,,"Actual360","LogLinear",TRUE)</f>
        <v>QSObject:ContextInput:w1~input.qs_context_add_curve.2359132437744.5902.3.0:34601</v>
      </c>
      <c r="E5903" s="6" t="str">
        <f>_xll.QS.INSTRUMENT.SWAP("swap.5901",H5903,B5903,"USD","SOFR",I5903,J5903,0,"Actual360","Simple","Annual","Annual","Annual")</f>
        <v>QSObject:Swap:w1~swap.5901:8990</v>
      </c>
      <c r="F5903" s="6" t="str">
        <f>_xll.QS.TRADE.CREATE("trade.5901",E5903,A5903,"Receive")</f>
        <v>QSObject:SwapTrade:w1~trade.5901:26028</v>
      </c>
      <c r="G5903" s="3">
        <f>_xll.QS.EVALUATE(C5903,F5903)</f>
        <v>22485.939412248619</v>
      </c>
      <c r="H5903" s="5" t="s">
        <v>5944</v>
      </c>
      <c r="I5903" s="7">
        <v>1590100</v>
      </c>
      <c r="J5903" s="8">
        <v>3.5100000000000013E-2</v>
      </c>
    </row>
    <row r="5904" spans="1:10" x14ac:dyDescent="0.25">
      <c r="A5904" s="5" t="s">
        <v>5938</v>
      </c>
      <c r="B5904" s="5" t="s">
        <v>7771</v>
      </c>
      <c r="C5904" s="6" t="str">
        <f>_xll.QS.CONTEXT.CREATE("market.5902",A5904,"USD","SOFR")</f>
        <v>QSObject:PricingContext:w1~market.5902:8989</v>
      </c>
      <c r="D5904" s="6" t="str">
        <f>_xll.QS.CONTEXT.ADD.CURVE(C5904,"SOFR",$K$2:$K$7,$L$2:$L$7,,,"Actual360","LogLinear",TRUE)</f>
        <v>QSObject:ContextInput:w1~input.qs_context_add_curve.2359132437744.5903.3.0:34600</v>
      </c>
      <c r="E5904" s="6" t="str">
        <f>_xll.QS.INSTRUMENT.SWAP("swap.5902",H5904,B5904,"USD","SOFR",I5904,J5904,0,"Actual360","Simple","Annual","Annual","Annual")</f>
        <v>QSObject:Swap:w1~swap.5902:8988</v>
      </c>
      <c r="F5904" s="6" t="str">
        <f>_xll.QS.TRADE.CREATE("trade.5902",E5904,A5904,"Receive")</f>
        <v>QSObject:SwapTrade:w1~trade.5902:26027</v>
      </c>
      <c r="G5904" s="3">
        <f>_xll.QS.EVALUATE(C5904,F5904)</f>
        <v>23269.437137799876</v>
      </c>
      <c r="H5904" s="5" t="s">
        <v>5945</v>
      </c>
      <c r="I5904" s="7">
        <v>1590200</v>
      </c>
      <c r="J5904" s="8">
        <v>3.5200000000000002E-2</v>
      </c>
    </row>
    <row r="5905" spans="1:10" x14ac:dyDescent="0.25">
      <c r="A5905" s="5" t="s">
        <v>5939</v>
      </c>
      <c r="B5905" s="5" t="s">
        <v>7772</v>
      </c>
      <c r="C5905" s="6" t="str">
        <f>_xll.QS.CONTEXT.CREATE("market.5903",A5905,"USD","SOFR")</f>
        <v>QSObject:PricingContext:w1~market.5903:8987</v>
      </c>
      <c r="D5905" s="6" t="str">
        <f>_xll.QS.CONTEXT.ADD.CURVE(C5905,"SOFR",$K$2:$K$7,$L$2:$L$7,,,"Actual360","LogLinear",TRUE)</f>
        <v>QSObject:ContextInput:w1~input.qs_context_add_curve.2359132437744.5904.3.0:34599</v>
      </c>
      <c r="E5905" s="6" t="str">
        <f>_xll.QS.INSTRUMENT.SWAP("swap.5903",H5905,B5905,"USD","SOFR",I5905,J5905,0,"Actual360","Simple","Annual","Annual","Annual")</f>
        <v>QSObject:Swap:w1~swap.5903:8986</v>
      </c>
      <c r="F5905" s="6" t="str">
        <f>_xll.QS.TRADE.CREATE("trade.5903",E5905,A5905,"Receive")</f>
        <v>QSObject:SwapTrade:w1~trade.5903:26026</v>
      </c>
      <c r="G5905" s="3">
        <f>_xll.QS.EVALUATE(C5905,F5905)</f>
        <v>24120.227586187379</v>
      </c>
      <c r="H5905" s="5" t="s">
        <v>5946</v>
      </c>
      <c r="I5905" s="7">
        <v>1590300</v>
      </c>
      <c r="J5905" s="8">
        <v>3.5299999999999998E-2</v>
      </c>
    </row>
    <row r="5906" spans="1:10" x14ac:dyDescent="0.25">
      <c r="A5906" s="5" t="s">
        <v>5940</v>
      </c>
      <c r="B5906" s="5" t="s">
        <v>7773</v>
      </c>
      <c r="C5906" s="6" t="str">
        <f>_xll.QS.CONTEXT.CREATE("market.5904",A5906,"USD","SOFR")</f>
        <v>QSObject:PricingContext:w1~market.5904:8985</v>
      </c>
      <c r="D5906" s="6" t="str">
        <f>_xll.QS.CONTEXT.ADD.CURVE(C5906,"SOFR",$K$2:$K$7,$L$2:$L$7,,,"Actual360","LogLinear",TRUE)</f>
        <v>QSObject:ContextInput:w1~input.qs_context_add_curve.2359132437744.5905.3.0:34598</v>
      </c>
      <c r="E5906" s="6" t="str">
        <f>_xll.QS.INSTRUMENT.SWAP("swap.5904",H5906,B5906,"USD","SOFR",I5906,J5906,0,"Actual360","Simple","Annual","Annual","Annual")</f>
        <v>QSObject:Swap:w1~swap.5904:8984</v>
      </c>
      <c r="F5906" s="6" t="str">
        <f>_xll.QS.TRADE.CREATE("trade.5904",E5906,A5906,"Receive")</f>
        <v>QSObject:SwapTrade:w1~trade.5904:26025</v>
      </c>
      <c r="G5906" s="3">
        <f>_xll.QS.EVALUATE(C5906,F5906)</f>
        <v>24924.162831611975</v>
      </c>
      <c r="H5906" s="5" t="s">
        <v>5947</v>
      </c>
      <c r="I5906" s="7">
        <v>1590400</v>
      </c>
      <c r="J5906" s="8">
        <v>3.5400000000000001E-2</v>
      </c>
    </row>
    <row r="5907" spans="1:10" x14ac:dyDescent="0.25">
      <c r="A5907" s="5" t="s">
        <v>5941</v>
      </c>
      <c r="B5907" s="5" t="s">
        <v>7774</v>
      </c>
      <c r="C5907" s="6" t="str">
        <f>_xll.QS.CONTEXT.CREATE("market.5905",A5907,"USD","SOFR")</f>
        <v>QSObject:PricingContext:w1~market.5905:8983</v>
      </c>
      <c r="D5907" s="6" t="str">
        <f>_xll.QS.CONTEXT.ADD.CURVE(C5907,"SOFR",$K$2:$K$7,$L$2:$L$7,,,"Actual360","LogLinear",TRUE)</f>
        <v>QSObject:ContextInput:w1~input.qs_context_add_curve.2359132437744.5906.3.0:34597</v>
      </c>
      <c r="E5907" s="6" t="str">
        <f>_xll.QS.INSTRUMENT.SWAP("swap.5905",H5907,B5907,"USD","SOFR",I5907,J5907,0,"Actual360","Simple","Annual","Annual","Annual")</f>
        <v>QSObject:Swap:w1~swap.5905:8982</v>
      </c>
      <c r="F5907" s="6" t="str">
        <f>_xll.QS.TRADE.CREATE("trade.5905",E5907,A5907,"Receive")</f>
        <v>QSObject:SwapTrade:w1~trade.5905:26024</v>
      </c>
      <c r="G5907" s="3">
        <f>_xll.QS.EVALUATE(C5907,F5907)</f>
        <v>25598.895384511517</v>
      </c>
      <c r="H5907" s="5" t="s">
        <v>5948</v>
      </c>
      <c r="I5907" s="7">
        <v>1590500</v>
      </c>
      <c r="J5907" s="8">
        <v>3.5499999999999997E-2</v>
      </c>
    </row>
    <row r="5908" spans="1:10" x14ac:dyDescent="0.25">
      <c r="A5908" s="5" t="s">
        <v>5942</v>
      </c>
      <c r="B5908" s="5" t="s">
        <v>7775</v>
      </c>
      <c r="C5908" s="6" t="str">
        <f>_xll.QS.CONTEXT.CREATE("market.5906",A5908,"USD","SOFR")</f>
        <v>QSObject:PricingContext:w1~market.5906:8981</v>
      </c>
      <c r="D5908" s="6" t="str">
        <f>_xll.QS.CONTEXT.ADD.CURVE(C5908,"SOFR",$K$2:$K$7,$L$2:$L$7,,,"Actual360","LogLinear",TRUE)</f>
        <v>QSObject:ContextInput:w1~input.qs_context_add_curve.2359132437744.5907.3.0:34596</v>
      </c>
      <c r="E5908" s="6" t="str">
        <f>_xll.QS.INSTRUMENT.SWAP("swap.5906",H5908,B5908,"USD","SOFR",I5908,J5908,0,"Actual360","Simple","Annual","Annual","Annual")</f>
        <v>QSObject:Swap:w1~swap.5906:8980</v>
      </c>
      <c r="F5908" s="6" t="str">
        <f>_xll.QS.TRADE.CREATE("trade.5906",E5908,A5908,"Receive")</f>
        <v>QSObject:SwapTrade:w1~trade.5906:26023</v>
      </c>
      <c r="G5908" s="3">
        <f>_xll.QS.EVALUATE(C5908,F5908)</f>
        <v>26235.720967647489</v>
      </c>
      <c r="H5908" s="5" t="s">
        <v>5949</v>
      </c>
      <c r="I5908" s="7">
        <v>1590600</v>
      </c>
      <c r="J5908" s="8">
        <v>3.5600000000000007E-2</v>
      </c>
    </row>
    <row r="5909" spans="1:10" x14ac:dyDescent="0.25">
      <c r="A5909" s="5" t="s">
        <v>5943</v>
      </c>
      <c r="B5909" s="5" t="s">
        <v>7776</v>
      </c>
      <c r="C5909" s="6" t="str">
        <f>_xll.QS.CONTEXT.CREATE("market.5907",A5909,"USD","SOFR")</f>
        <v>QSObject:PricingContext:w1~market.5907:8979</v>
      </c>
      <c r="D5909" s="6" t="str">
        <f>_xll.QS.CONTEXT.ADD.CURVE(C5909,"SOFR",$K$2:$K$7,$L$2:$L$7,,,"Actual360","LogLinear",TRUE)</f>
        <v>QSObject:ContextInput:w1~input.qs_context_add_curve.2359132437744.5908.3.0:34595</v>
      </c>
      <c r="E5909" s="6" t="str">
        <f>_xll.QS.INSTRUMENT.SWAP("swap.5907",H5909,B5909,"USD","SOFR",I5909,J5909,0,"Actual360","Simple","Annual","Annual","Annual")</f>
        <v>QSObject:Swap:w1~swap.5907:8978</v>
      </c>
      <c r="F5909" s="6" t="str">
        <f>_xll.QS.TRADE.CREATE("trade.5907",E5909,A5909,"Receive")</f>
        <v>QSObject:SwapTrade:w1~trade.5907:26022</v>
      </c>
      <c r="G5909" s="3">
        <f>_xll.QS.EVALUATE(C5909,F5909)</f>
        <v>26831.289865911102</v>
      </c>
      <c r="H5909" s="5" t="s">
        <v>5950</v>
      </c>
      <c r="I5909" s="7">
        <v>1590700</v>
      </c>
      <c r="J5909" s="8">
        <v>3.5700000000000003E-2</v>
      </c>
    </row>
    <row r="5910" spans="1:10" x14ac:dyDescent="0.25">
      <c r="A5910" s="5" t="s">
        <v>5944</v>
      </c>
      <c r="B5910" s="5" t="s">
        <v>7777</v>
      </c>
      <c r="C5910" s="6" t="str">
        <f>_xll.QS.CONTEXT.CREATE("market.5908",A5910,"USD","SOFR")</f>
        <v>QSObject:PricingContext:w1~market.5908:8977</v>
      </c>
      <c r="D5910" s="6" t="str">
        <f>_xll.QS.CONTEXT.ADD.CURVE(C5910,"SOFR",$K$2:$K$7,$L$2:$L$7,,,"Actual360","LogLinear",TRUE)</f>
        <v>QSObject:ContextInput:w1~input.qs_context_add_curve.2359132437744.5909.3.0:34594</v>
      </c>
      <c r="E5910" s="6" t="str">
        <f>_xll.QS.INSTRUMENT.SWAP("swap.5908",H5910,B5910,"USD","SOFR",I5910,J5910,0,"Actual360","Simple","Annual","Annual","Annual")</f>
        <v>QSObject:Swap:w1~swap.5908:8976</v>
      </c>
      <c r="F5910" s="6" t="str">
        <f>_xll.QS.TRADE.CREATE("trade.5908",E5910,A5910,"Receive")</f>
        <v>QSObject:SwapTrade:w1~trade.5908:26021</v>
      </c>
      <c r="G5910" s="3">
        <f>_xll.QS.EVALUATE(C5910,F5910)</f>
        <v>27633.329669759732</v>
      </c>
      <c r="H5910" s="5" t="s">
        <v>5951</v>
      </c>
      <c r="I5910" s="7">
        <v>1590800</v>
      </c>
      <c r="J5910" s="8">
        <v>3.5800000000000012E-2</v>
      </c>
    </row>
    <row r="5911" spans="1:10" x14ac:dyDescent="0.25">
      <c r="A5911" s="5" t="s">
        <v>5945</v>
      </c>
      <c r="B5911" s="5" t="s">
        <v>7778</v>
      </c>
      <c r="C5911" s="6" t="str">
        <f>_xll.QS.CONTEXT.CREATE("market.5909",A5911,"USD","SOFR")</f>
        <v>QSObject:PricingContext:w1~market.5909:8975</v>
      </c>
      <c r="D5911" s="6" t="str">
        <f>_xll.QS.CONTEXT.ADD.CURVE(C5911,"SOFR",$K$2:$K$7,$L$2:$L$7,,,"Actual360","LogLinear",TRUE)</f>
        <v>QSObject:ContextInput:w1~input.qs_context_add_curve.2359132437744.5910.3.0:34593</v>
      </c>
      <c r="E5911" s="6" t="str">
        <f>_xll.QS.INSTRUMENT.SWAP("swap.5909",H5911,B5911,"USD","SOFR",I5911,J5911,0,"Actual360","Simple","Annual","Annual","Annual")</f>
        <v>QSObject:Swap:w1~swap.5909:8974</v>
      </c>
      <c r="F5911" s="6" t="str">
        <f>_xll.QS.TRADE.CREATE("trade.5909",E5911,A5911,"Receive")</f>
        <v>QSObject:SwapTrade:w1~trade.5909:26020</v>
      </c>
      <c r="G5911" s="3">
        <f>_xll.QS.EVALUATE(C5911,F5911)</f>
        <v>28414.979158179231</v>
      </c>
      <c r="H5911" s="5" t="s">
        <v>5952</v>
      </c>
      <c r="I5911" s="7">
        <v>1590900</v>
      </c>
      <c r="J5911" s="8">
        <v>3.5900000000000001E-2</v>
      </c>
    </row>
    <row r="5912" spans="1:10" x14ac:dyDescent="0.25">
      <c r="A5912" s="5" t="s">
        <v>5946</v>
      </c>
      <c r="B5912" s="5" t="s">
        <v>7779</v>
      </c>
      <c r="C5912" s="6" t="str">
        <f>_xll.QS.CONTEXT.CREATE("market.5910",A5912,"USD","SOFR")</f>
        <v>QSObject:PricingContext:w1~market.5910:8973</v>
      </c>
      <c r="D5912" s="6" t="str">
        <f>_xll.QS.CONTEXT.ADD.CURVE(C5912,"SOFR",$K$2:$K$7,$L$2:$L$7,,,"Actual360","LogLinear",TRUE)</f>
        <v>QSObject:ContextInput:w1~input.qs_context_add_curve.2359132437744.5911.3.0:34592</v>
      </c>
      <c r="E5912" s="6" t="str">
        <f>_xll.QS.INSTRUMENT.SWAP("swap.5910",H5912,B5912,"USD","SOFR",I5912,J5912,0,"Actual360","Simple","Annual","Annual","Annual")</f>
        <v>QSObject:Swap:w1~swap.5910:8972</v>
      </c>
      <c r="F5912" s="6" t="str">
        <f>_xll.QS.TRADE.CREATE("trade.5910",E5912,A5912,"Receive")</f>
        <v>QSObject:SwapTrade:w1~trade.5910:26019</v>
      </c>
      <c r="G5912" s="3">
        <f>_xll.QS.EVALUATE(C5912,F5912)</f>
        <v>29266.543307177366</v>
      </c>
      <c r="H5912" s="5" t="s">
        <v>5953</v>
      </c>
      <c r="I5912" s="7">
        <v>1591000</v>
      </c>
      <c r="J5912" s="8">
        <v>3.5999999999999997E-2</v>
      </c>
    </row>
    <row r="5913" spans="1:10" x14ac:dyDescent="0.25">
      <c r="A5913" s="5" t="s">
        <v>5947</v>
      </c>
      <c r="B5913" s="5" t="s">
        <v>7780</v>
      </c>
      <c r="C5913" s="6" t="str">
        <f>_xll.QS.CONTEXT.CREATE("market.5911",A5913,"USD","SOFR")</f>
        <v>QSObject:PricingContext:w1~market.5911:8971</v>
      </c>
      <c r="D5913" s="6" t="str">
        <f>_xll.QS.CONTEXT.ADD.CURVE(C5913,"SOFR",$K$2:$K$7,$L$2:$L$7,,,"Actual360","LogLinear",TRUE)</f>
        <v>QSObject:ContextInput:w1~input.qs_context_add_curve.2359132437744.5912.3.0:34591</v>
      </c>
      <c r="E5913" s="6" t="str">
        <f>_xll.QS.INSTRUMENT.SWAP("swap.5911",H5913,B5913,"USD","SOFR",I5913,J5913,0,"Actual360","Simple","Annual","Annual","Annual")</f>
        <v>QSObject:Swap:w1~swap.5911:8970</v>
      </c>
      <c r="F5913" s="6" t="str">
        <f>_xll.QS.TRADE.CREATE("trade.5911",E5913,A5913,"Receive")</f>
        <v>QSObject:SwapTrade:w1~trade.5911:26018</v>
      </c>
      <c r="G5913" s="3">
        <f>_xll.QS.EVALUATE(C5913,F5913)</f>
        <v>30071.209428089503</v>
      </c>
      <c r="H5913" s="5" t="s">
        <v>5954</v>
      </c>
      <c r="I5913" s="7">
        <v>1591100</v>
      </c>
      <c r="J5913" s="8">
        <v>3.61E-2</v>
      </c>
    </row>
    <row r="5914" spans="1:10" x14ac:dyDescent="0.25">
      <c r="A5914" s="5" t="s">
        <v>5948</v>
      </c>
      <c r="B5914" s="5" t="s">
        <v>7781</v>
      </c>
      <c r="C5914" s="6" t="str">
        <f>_xll.QS.CONTEXT.CREATE("market.5912",A5914,"USD","SOFR")</f>
        <v>QSObject:PricingContext:w1~market.5912:8969</v>
      </c>
      <c r="D5914" s="6" t="str">
        <f>_xll.QS.CONTEXT.ADD.CURVE(C5914,"SOFR",$K$2:$K$7,$L$2:$L$7,,,"Actual360","LogLinear",TRUE)</f>
        <v>QSObject:ContextInput:w1~input.qs_context_add_curve.2359132437744.5913.3.0:34590</v>
      </c>
      <c r="E5914" s="6" t="str">
        <f>_xll.QS.INSTRUMENT.SWAP("swap.5912",H5914,B5914,"USD","SOFR",I5914,J5914,0,"Actual360","Simple","Annual","Annual","Annual")</f>
        <v>QSObject:Swap:w1~swap.5912:8968</v>
      </c>
      <c r="F5914" s="6" t="str">
        <f>_xll.QS.TRADE.CREATE("trade.5912",E5914,A5914,"Receive")</f>
        <v>QSObject:SwapTrade:w1~trade.5912:26017</v>
      </c>
      <c r="G5914" s="3">
        <f>_xll.QS.EVALUATE(C5914,F5914)</f>
        <v>30746.51964404888</v>
      </c>
      <c r="H5914" s="5" t="s">
        <v>5955</v>
      </c>
      <c r="I5914" s="7">
        <v>1591200</v>
      </c>
      <c r="J5914" s="8">
        <v>3.6200000000000003E-2</v>
      </c>
    </row>
    <row r="5915" spans="1:10" x14ac:dyDescent="0.25">
      <c r="A5915" s="5" t="s">
        <v>5949</v>
      </c>
      <c r="B5915" s="5" t="s">
        <v>7782</v>
      </c>
      <c r="C5915" s="6" t="str">
        <f>_xll.QS.CONTEXT.CREATE("market.5913",A5915,"USD","SOFR")</f>
        <v>QSObject:PricingContext:w1~market.5913:8967</v>
      </c>
      <c r="D5915" s="6" t="str">
        <f>_xll.QS.CONTEXT.ADD.CURVE(C5915,"SOFR",$K$2:$K$7,$L$2:$L$7,,,"Actual360","LogLinear",TRUE)</f>
        <v>QSObject:ContextInput:w1~input.qs_context_add_curve.2359132437744.5914.3.0:34589</v>
      </c>
      <c r="E5915" s="6" t="str">
        <f>_xll.QS.INSTRUMENT.SWAP("swap.5913",H5915,B5915,"USD","SOFR",I5915,J5915,0,"Actual360","Simple","Annual","Annual","Annual")</f>
        <v>QSObject:Swap:w1~swap.5913:8966</v>
      </c>
      <c r="F5915" s="6" t="str">
        <f>_xll.QS.TRADE.CREATE("trade.5913",E5915,A5915,"Receive")</f>
        <v>QSObject:SwapTrade:w1~trade.5913:26016</v>
      </c>
      <c r="G5915" s="3">
        <f>_xll.QS.EVALUATE(C5915,F5915)</f>
        <v>31377.894164053694</v>
      </c>
      <c r="H5915" s="5" t="s">
        <v>5956</v>
      </c>
      <c r="I5915" s="7">
        <v>1591300</v>
      </c>
      <c r="J5915" s="8">
        <v>3.6300000000000013E-2</v>
      </c>
    </row>
    <row r="5916" spans="1:10" x14ac:dyDescent="0.25">
      <c r="A5916" s="5" t="s">
        <v>5950</v>
      </c>
      <c r="B5916" s="5" t="s">
        <v>7783</v>
      </c>
      <c r="C5916" s="6" t="str">
        <f>_xll.QS.CONTEXT.CREATE("market.5914",A5916,"USD","SOFR")</f>
        <v>QSObject:PricingContext:w1~market.5914:8965</v>
      </c>
      <c r="D5916" s="6" t="str">
        <f>_xll.QS.CONTEXT.ADD.CURVE(C5916,"SOFR",$K$2:$K$7,$L$2:$L$7,,,"Actual360","LogLinear",TRUE)</f>
        <v>QSObject:ContextInput:w1~input.qs_context_add_curve.2359132437744.5915.3.0:34588</v>
      </c>
      <c r="E5916" s="6" t="str">
        <f>_xll.QS.INSTRUMENT.SWAP("swap.5914",H5916,B5916,"USD","SOFR",I5916,J5916,0,"Actual360","Simple","Annual","Annual","Annual")</f>
        <v>QSObject:Swap:w1~swap.5914:8964</v>
      </c>
      <c r="F5916" s="6" t="str">
        <f>_xll.QS.TRADE.CREATE("trade.5914",E5916,A5916,"Receive")</f>
        <v>QSObject:SwapTrade:w1~trade.5914:26015</v>
      </c>
      <c r="G5916" s="3">
        <f>_xll.QS.EVALUATE(C5916,F5916)</f>
        <v>31982.010614695886</v>
      </c>
      <c r="H5916" s="5" t="s">
        <v>5957</v>
      </c>
      <c r="I5916" s="7">
        <v>1591400</v>
      </c>
      <c r="J5916" s="8">
        <v>3.6400000000000002E-2</v>
      </c>
    </row>
    <row r="5917" spans="1:10" x14ac:dyDescent="0.25">
      <c r="A5917" s="5" t="s">
        <v>5951</v>
      </c>
      <c r="B5917" s="5" t="s">
        <v>7784</v>
      </c>
      <c r="C5917" s="6" t="str">
        <f>_xll.QS.CONTEXT.CREATE("market.5915",A5917,"USD","SOFR")</f>
        <v>QSObject:PricingContext:w1~market.5915:8963</v>
      </c>
      <c r="D5917" s="6" t="str">
        <f>_xll.QS.CONTEXT.ADD.CURVE(C5917,"SOFR",$K$2:$K$7,$L$2:$L$7,,,"Actual360","LogLinear",TRUE)</f>
        <v>QSObject:ContextInput:w1~input.qs_context_add_curve.2359132437744.5916.3.0:34587</v>
      </c>
      <c r="E5917" s="6" t="str">
        <f>_xll.QS.INSTRUMENT.SWAP("swap.5915",H5917,B5917,"USD","SOFR",I5917,J5917,0,"Actual360","Simple","Annual","Annual","Annual")</f>
        <v>QSObject:Swap:w1~swap.5915:8962</v>
      </c>
      <c r="F5917" s="6" t="str">
        <f>_xll.QS.TRADE.CREATE("trade.5915",E5917,A5917,"Receive")</f>
        <v>QSObject:SwapTrade:w1~trade.5915:26014</v>
      </c>
      <c r="G5917" s="3">
        <f>_xll.QS.EVALUATE(C5917,F5917)</f>
        <v>32785.241229743588</v>
      </c>
      <c r="H5917" s="5" t="s">
        <v>5958</v>
      </c>
      <c r="I5917" s="7">
        <v>1591500</v>
      </c>
      <c r="J5917" s="8">
        <v>3.6499999999999998E-2</v>
      </c>
    </row>
    <row r="5918" spans="1:10" x14ac:dyDescent="0.25">
      <c r="A5918" s="5" t="s">
        <v>5952</v>
      </c>
      <c r="B5918" s="5" t="s">
        <v>7785</v>
      </c>
      <c r="C5918" s="6" t="str">
        <f>_xll.QS.CONTEXT.CREATE("market.5916",A5918,"USD","SOFR")</f>
        <v>QSObject:PricingContext:w1~market.5916:8961</v>
      </c>
      <c r="D5918" s="6" t="str">
        <f>_xll.QS.CONTEXT.ADD.CURVE(C5918,"SOFR",$K$2:$K$7,$L$2:$L$7,,,"Actual360","LogLinear",TRUE)</f>
        <v>QSObject:ContextInput:w1~input.qs_context_add_curve.2359132437744.5917.3.0:34586</v>
      </c>
      <c r="E5918" s="6" t="str">
        <f>_xll.QS.INSTRUMENT.SWAP("swap.5916",H5918,B5918,"USD","SOFR",I5918,J5918,0,"Actual360","Simple","Annual","Annual","Annual")</f>
        <v>QSObject:Swap:w1~swap.5916:8960</v>
      </c>
      <c r="F5918" s="6" t="str">
        <f>_xll.QS.TRADE.CREATE("trade.5916",E5918,A5918,"Receive")</f>
        <v>QSObject:SwapTrade:w1~trade.5916:26013</v>
      </c>
      <c r="G5918" s="3">
        <f>_xll.QS.EVALUATE(C5918,F5918)</f>
        <v>33564.730572817665</v>
      </c>
      <c r="H5918" s="5" t="s">
        <v>5959</v>
      </c>
      <c r="I5918" s="7">
        <v>1591600</v>
      </c>
      <c r="J5918" s="8">
        <v>3.6600000000000001E-2</v>
      </c>
    </row>
    <row r="5919" spans="1:10" x14ac:dyDescent="0.25">
      <c r="A5919" s="5" t="s">
        <v>5953</v>
      </c>
      <c r="B5919" s="5" t="s">
        <v>7786</v>
      </c>
      <c r="C5919" s="6" t="str">
        <f>_xll.QS.CONTEXT.CREATE("market.5917",A5919,"USD","SOFR")</f>
        <v>QSObject:PricingContext:w1~market.5917:8959</v>
      </c>
      <c r="D5919" s="6" t="str">
        <f>_xll.QS.CONTEXT.ADD.CURVE(C5919,"SOFR",$K$2:$K$7,$L$2:$L$7,,,"Actual360","LogLinear",TRUE)</f>
        <v>QSObject:ContextInput:w1~input.qs_context_add_curve.2359132437744.5918.3.0:34585</v>
      </c>
      <c r="E5919" s="6" t="str">
        <f>_xll.QS.INSTRUMENT.SWAP("swap.5917",H5919,B5919,"USD","SOFR",I5919,J5919,0,"Actual360","Simple","Annual","Annual","Annual")</f>
        <v>QSObject:Swap:w1~swap.5917:8958</v>
      </c>
      <c r="F5919" s="6" t="str">
        <f>_xll.QS.TRADE.CREATE("trade.5917",E5919,A5919,"Receive")</f>
        <v>QSObject:SwapTrade:w1~trade.5917:26012</v>
      </c>
      <c r="G5919" s="3">
        <f>_xll.QS.EVALUATE(C5919,F5919)</f>
        <v>34417.378184834997</v>
      </c>
      <c r="H5919" s="5" t="s">
        <v>5960</v>
      </c>
      <c r="I5919" s="7">
        <v>1591700</v>
      </c>
      <c r="J5919" s="8">
        <v>3.6700000000000003E-2</v>
      </c>
    </row>
    <row r="5920" spans="1:10" x14ac:dyDescent="0.25">
      <c r="A5920" s="5" t="s">
        <v>5954</v>
      </c>
      <c r="B5920" s="5" t="s">
        <v>7787</v>
      </c>
      <c r="C5920" s="6" t="str">
        <f>_xll.QS.CONTEXT.CREATE("market.5918",A5920,"USD","SOFR")</f>
        <v>QSObject:PricingContext:w1~market.5918:8957</v>
      </c>
      <c r="D5920" s="6" t="str">
        <f>_xll.QS.CONTEXT.ADD.CURVE(C5920,"SOFR",$K$2:$K$7,$L$2:$L$7,,,"Actual360","LogLinear",TRUE)</f>
        <v>QSObject:ContextInput:w1~input.qs_context_add_curve.2359132437744.5919.3.0:34584</v>
      </c>
      <c r="E5920" s="6" t="str">
        <f>_xll.QS.INSTRUMENT.SWAP("swap.5918",H5920,B5920,"USD","SOFR",I5920,J5920,0,"Actual360","Simple","Annual","Annual","Annual")</f>
        <v>QSObject:Swap:w1~swap.5918:8956</v>
      </c>
      <c r="F5920" s="6" t="str">
        <f>_xll.QS.TRADE.CREATE("trade.5918",E5920,A5920,"Receive")</f>
        <v>QSObject:SwapTrade:w1~trade.5918:26011</v>
      </c>
      <c r="G5920" s="3">
        <f>_xll.QS.EVALUATE(C5920,F5920)</f>
        <v>35222.621059401878</v>
      </c>
      <c r="H5920" s="5" t="s">
        <v>5961</v>
      </c>
      <c r="I5920" s="7">
        <v>1591800</v>
      </c>
      <c r="J5920" s="8">
        <v>3.6800000000000013E-2</v>
      </c>
    </row>
    <row r="5921" spans="1:10" x14ac:dyDescent="0.25">
      <c r="A5921" s="5" t="s">
        <v>5955</v>
      </c>
      <c r="B5921" s="5" t="s">
        <v>7788</v>
      </c>
      <c r="C5921" s="6" t="str">
        <f>_xll.QS.CONTEXT.CREATE("market.5919",A5921,"USD","SOFR")</f>
        <v>QSObject:PricingContext:w1~market.5919:8955</v>
      </c>
      <c r="D5921" s="6" t="str">
        <f>_xll.QS.CONTEXT.ADD.CURVE(C5921,"SOFR",$K$2:$K$7,$L$2:$L$7,,,"Actual360","LogLinear",TRUE)</f>
        <v>QSObject:ContextInput:w1~input.qs_context_add_curve.2359132437744.5920.3.0:34583</v>
      </c>
      <c r="E5921" s="6" t="str">
        <f>_xll.QS.INSTRUMENT.SWAP("swap.5919",H5921,B5921,"USD","SOFR",I5921,J5921,0,"Actual360","Simple","Annual","Annual","Annual")</f>
        <v>QSObject:Swap:w1~swap.5919:8954</v>
      </c>
      <c r="F5921" s="6" t="str">
        <f>_xll.QS.TRADE.CREATE("trade.5919",E5921,A5921,"Receive")</f>
        <v>QSObject:SwapTrade:w1~trade.5919:26010</v>
      </c>
      <c r="G5921" s="3">
        <f>_xll.QS.EVALUATE(C5921,F5921)</f>
        <v>35899.759339801916</v>
      </c>
      <c r="H5921" s="5" t="s">
        <v>5962</v>
      </c>
      <c r="I5921" s="7">
        <v>1591900</v>
      </c>
      <c r="J5921" s="8">
        <v>3.6900000000000002E-2</v>
      </c>
    </row>
    <row r="5922" spans="1:10" x14ac:dyDescent="0.25">
      <c r="A5922" s="5" t="s">
        <v>5956</v>
      </c>
      <c r="B5922" s="5" t="s">
        <v>7789</v>
      </c>
      <c r="C5922" s="6" t="str">
        <f>_xll.QS.CONTEXT.CREATE("market.5920",A5922,"USD","SOFR")</f>
        <v>QSObject:PricingContext:w1~market.5920:8953</v>
      </c>
      <c r="D5922" s="6" t="str">
        <f>_xll.QS.CONTEXT.ADD.CURVE(C5922,"SOFR",$K$2:$K$7,$L$2:$L$7,,,"Actual360","LogLinear",TRUE)</f>
        <v>QSObject:ContextInput:w1~input.qs_context_add_curve.2359132437744.5921.3.0:34582</v>
      </c>
      <c r="E5922" s="6" t="str">
        <f>_xll.QS.INSTRUMENT.SWAP("swap.5920",H5922,B5922,"USD","SOFR",I5922,J5922,0,"Actual360","Simple","Annual","Annual","Annual")</f>
        <v>QSObject:Swap:w1~swap.5920:8952</v>
      </c>
      <c r="F5922" s="6" t="str">
        <f>_xll.QS.TRADE.CREATE("trade.5920",E5922,A5922,"Receive")</f>
        <v>QSObject:SwapTrade:w1~trade.5920:26009</v>
      </c>
      <c r="G5922" s="3">
        <f>_xll.QS.EVALUATE(C5922,F5922)</f>
        <v>36525.682512683619</v>
      </c>
      <c r="H5922" s="5" t="s">
        <v>5963</v>
      </c>
      <c r="I5922" s="7">
        <v>1592000</v>
      </c>
      <c r="J5922" s="8">
        <v>3.7000000000000012E-2</v>
      </c>
    </row>
    <row r="5923" spans="1:10" x14ac:dyDescent="0.25">
      <c r="A5923" s="5" t="s">
        <v>5957</v>
      </c>
      <c r="B5923" s="5" t="s">
        <v>7790</v>
      </c>
      <c r="C5923" s="6" t="str">
        <f>_xll.QS.CONTEXT.CREATE("market.5921",A5923,"USD","SOFR")</f>
        <v>QSObject:PricingContext:w1~market.5921:8951</v>
      </c>
      <c r="D5923" s="6" t="str">
        <f>_xll.QS.CONTEXT.ADD.CURVE(C5923,"SOFR",$K$2:$K$7,$L$2:$L$7,,,"Actual360","LogLinear",TRUE)</f>
        <v>QSObject:ContextInput:w1~input.qs_context_add_curve.2359132437744.5922.3.0:34581</v>
      </c>
      <c r="E5923" s="6" t="str">
        <f>_xll.QS.INSTRUMENT.SWAP("swap.5921",H5923,B5923,"USD","SOFR",I5923,J5923,0,"Actual360","Simple","Annual","Annual","Annual")</f>
        <v>QSObject:Swap:w1~swap.5921:8950</v>
      </c>
      <c r="F5923" s="6" t="str">
        <f>_xll.QS.TRADE.CREATE("trade.5921",E5923,A5923,"Receive")</f>
        <v>QSObject:SwapTrade:w1~trade.5921:26008</v>
      </c>
      <c r="G5923" s="3">
        <f>_xll.QS.EVALUATE(C5923,F5923)</f>
        <v>37138.197974669936</v>
      </c>
      <c r="H5923" s="5" t="s">
        <v>5964</v>
      </c>
      <c r="I5923" s="7">
        <v>1592100</v>
      </c>
      <c r="J5923" s="8">
        <v>3.7100000000000001E-2</v>
      </c>
    </row>
    <row r="5924" spans="1:10" x14ac:dyDescent="0.25">
      <c r="A5924" s="5" t="s">
        <v>5958</v>
      </c>
      <c r="B5924" s="5" t="s">
        <v>7791</v>
      </c>
      <c r="C5924" s="6" t="str">
        <f>_xll.QS.CONTEXT.CREATE("market.5922",A5924,"USD","SOFR")</f>
        <v>QSObject:PricingContext:w1~market.5922:8949</v>
      </c>
      <c r="D5924" s="6" t="str">
        <f>_xll.QS.CONTEXT.ADD.CURVE(C5924,"SOFR",$K$2:$K$7,$L$2:$L$7,,,"Actual360","LogLinear",TRUE)</f>
        <v>QSObject:ContextInput:w1~input.qs_context_add_curve.2359132437744.5923.3.0:34580</v>
      </c>
      <c r="E5924" s="6" t="str">
        <f>_xll.QS.INSTRUMENT.SWAP("swap.5922",H5924,B5924,"USD","SOFR",I5924,J5924,0,"Actual360","Simple","Annual","Annual","Annual")</f>
        <v>QSObject:Swap:w1~swap.5922:8948</v>
      </c>
      <c r="F5924" s="6" t="str">
        <f>_xll.QS.TRADE.CREATE("trade.5922",E5924,A5924,"Receive")</f>
        <v>QSObject:SwapTrade:w1~trade.5922:26007</v>
      </c>
      <c r="G5924" s="3">
        <f>_xll.QS.EVALUATE(C5924,F5924)</f>
        <v>37941.674092200308</v>
      </c>
      <c r="H5924" s="5" t="s">
        <v>5965</v>
      </c>
      <c r="I5924" s="7">
        <v>1592200</v>
      </c>
      <c r="J5924" s="8">
        <v>3.7199999999999997E-2</v>
      </c>
    </row>
    <row r="5925" spans="1:10" x14ac:dyDescent="0.25">
      <c r="A5925" s="5" t="s">
        <v>5959</v>
      </c>
      <c r="B5925" s="5" t="s">
        <v>7792</v>
      </c>
      <c r="C5925" s="6" t="str">
        <f>_xll.QS.CONTEXT.CREATE("market.5923",A5925,"USD","SOFR")</f>
        <v>QSObject:PricingContext:w1~market.5923:8947</v>
      </c>
      <c r="D5925" s="6" t="str">
        <f>_xll.QS.CONTEXT.ADD.CURVE(C5925,"SOFR",$K$2:$K$7,$L$2:$L$7,,,"Actual360","LogLinear",TRUE)</f>
        <v>QSObject:ContextInput:w1~input.qs_context_add_curve.2359132437744.5924.3.0:34579</v>
      </c>
      <c r="E5925" s="6" t="str">
        <f>_xll.QS.INSTRUMENT.SWAP("swap.5923",H5925,B5925,"USD","SOFR",I5925,J5925,0,"Actual360","Simple","Annual","Annual","Annual")</f>
        <v>QSObject:Swap:w1~swap.5923:8946</v>
      </c>
      <c r="F5925" s="6" t="str">
        <f>_xll.QS.TRADE.CREATE("trade.5923",E5925,A5925,"Receive")</f>
        <v>QSObject:SwapTrade:w1~trade.5923:26006</v>
      </c>
      <c r="G5925" s="3">
        <f>_xll.QS.EVALUATE(C5925,F5925)</f>
        <v>38719.613506612935</v>
      </c>
      <c r="H5925" s="5" t="s">
        <v>5966</v>
      </c>
      <c r="I5925" s="7">
        <v>1592300</v>
      </c>
      <c r="J5925" s="8">
        <v>3.73E-2</v>
      </c>
    </row>
    <row r="5926" spans="1:10" x14ac:dyDescent="0.25">
      <c r="A5926" s="5" t="s">
        <v>5960</v>
      </c>
      <c r="B5926" s="5" t="s">
        <v>7793</v>
      </c>
      <c r="C5926" s="6" t="str">
        <f>_xll.QS.CONTEXT.CREATE("market.5924",A5926,"USD","SOFR")</f>
        <v>QSObject:PricingContext:w1~market.5924:8945</v>
      </c>
      <c r="D5926" s="6" t="str">
        <f>_xll.QS.CONTEXT.ADD.CURVE(C5926,"SOFR",$K$2:$K$7,$L$2:$L$7,,,"Actual360","LogLinear",TRUE)</f>
        <v>QSObject:ContextInput:w1~input.qs_context_add_curve.2359132437744.5925.3.0:34578</v>
      </c>
      <c r="E5926" s="6" t="str">
        <f>_xll.QS.INSTRUMENT.SWAP("swap.5924",H5926,B5926,"USD","SOFR",I5926,J5926,0,"Actual360","Simple","Annual","Annual","Annual")</f>
        <v>QSObject:Swap:w1~swap.5924:8944</v>
      </c>
      <c r="F5926" s="6" t="str">
        <f>_xll.QS.TRADE.CREATE("trade.5924",E5926,A5926,"Receive")</f>
        <v>QSObject:SwapTrade:w1~trade.5924:26005</v>
      </c>
      <c r="G5926" s="3">
        <f>_xll.QS.EVALUATE(C5926,F5926)</f>
        <v>39572.73144295135</v>
      </c>
      <c r="H5926" s="5" t="s">
        <v>5967</v>
      </c>
      <c r="I5926" s="7">
        <v>1592400</v>
      </c>
      <c r="J5926" s="8">
        <v>3.7400000000000003E-2</v>
      </c>
    </row>
    <row r="5927" spans="1:10" x14ac:dyDescent="0.25">
      <c r="A5927" s="5" t="s">
        <v>5961</v>
      </c>
      <c r="B5927" s="5" t="s">
        <v>7794</v>
      </c>
      <c r="C5927" s="6" t="str">
        <f>_xll.QS.CONTEXT.CREATE("market.5925",A5927,"USD","SOFR")</f>
        <v>QSObject:PricingContext:w1~market.5925:8943</v>
      </c>
      <c r="D5927" s="6" t="str">
        <f>_xll.QS.CONTEXT.ADD.CURVE(C5927,"SOFR",$K$2:$K$7,$L$2:$L$7,,,"Actual360","LogLinear",TRUE)</f>
        <v>QSObject:ContextInput:w1~input.qs_context_add_curve.2359132437744.5926.3.0:34577</v>
      </c>
      <c r="E5927" s="6" t="str">
        <f>_xll.QS.INSTRUMENT.SWAP("swap.5925",H5927,B5927,"USD","SOFR",I5927,J5927,0,"Actual360","Simple","Annual","Annual","Annual")</f>
        <v>QSObject:Swap:w1~swap.5925:8942</v>
      </c>
      <c r="F5927" s="6" t="str">
        <f>_xll.QS.TRADE.CREATE("trade.5925",E5927,A5927,"Receive")</f>
        <v>QSObject:SwapTrade:w1~trade.5925:26004</v>
      </c>
      <c r="G5927" s="3">
        <f>_xll.QS.EVALUATE(C5927,F5927)</f>
        <v>40378.860235970613</v>
      </c>
      <c r="H5927" s="5" t="s">
        <v>5968</v>
      </c>
      <c r="I5927" s="7">
        <v>1592500</v>
      </c>
      <c r="J5927" s="8">
        <v>3.7500000000000012E-2</v>
      </c>
    </row>
    <row r="5928" spans="1:10" x14ac:dyDescent="0.25">
      <c r="A5928" s="5" t="s">
        <v>5962</v>
      </c>
      <c r="B5928" s="5" t="s">
        <v>7795</v>
      </c>
      <c r="C5928" s="6" t="str">
        <f>_xll.QS.CONTEXT.CREATE("market.5926",A5928,"USD","SOFR")</f>
        <v>QSObject:PricingContext:w1~market.5926:8941</v>
      </c>
      <c r="D5928" s="6" t="str">
        <f>_xll.QS.CONTEXT.ADD.CURVE(C5928,"SOFR",$K$2:$K$7,$L$2:$L$7,,,"Actual360","LogLinear",TRUE)</f>
        <v>QSObject:ContextInput:w1~input.qs_context_add_curve.2359132437744.5927.3.0:34576</v>
      </c>
      <c r="E5928" s="6" t="str">
        <f>_xll.QS.INSTRUMENT.SWAP("swap.5926",H5928,B5928,"USD","SOFR",I5928,J5928,0,"Actual360","Simple","Annual","Annual","Annual")</f>
        <v>QSObject:Swap:w1~swap.5926:8940</v>
      </c>
      <c r="F5928" s="6" t="str">
        <f>_xll.QS.TRADE.CREATE("trade.5926",E5928,A5928,"Receive")</f>
        <v>QSObject:SwapTrade:w1~trade.5926:26003</v>
      </c>
      <c r="G5928" s="3">
        <f>_xll.QS.EVALUATE(C5928,F5928)</f>
        <v>41055.585101263983</v>
      </c>
      <c r="H5928" s="5" t="s">
        <v>5969</v>
      </c>
      <c r="I5928" s="7">
        <v>1592600</v>
      </c>
      <c r="J5928" s="8">
        <v>3.7600000000000001E-2</v>
      </c>
    </row>
    <row r="5929" spans="1:10" x14ac:dyDescent="0.25">
      <c r="A5929" s="5" t="s">
        <v>5963</v>
      </c>
      <c r="B5929" s="5" t="s">
        <v>7796</v>
      </c>
      <c r="C5929" s="6" t="str">
        <f>_xll.QS.CONTEXT.CREATE("market.5927",A5929,"USD","SOFR")</f>
        <v>QSObject:PricingContext:w1~market.5927:8939</v>
      </c>
      <c r="D5929" s="6" t="str">
        <f>_xll.QS.CONTEXT.ADD.CURVE(C5929,"SOFR",$K$2:$K$7,$L$2:$L$7,,,"Actual360","LogLinear",TRUE)</f>
        <v>QSObject:ContextInput:w1~input.qs_context_add_curve.2359132437744.5928.3.0:34575</v>
      </c>
      <c r="E5929" s="6" t="str">
        <f>_xll.QS.INSTRUMENT.SWAP("swap.5927",H5929,B5929,"USD","SOFR",I5929,J5929,0,"Actual360","Simple","Annual","Annual","Annual")</f>
        <v>QSObject:Swap:w1~swap.5927:8938</v>
      </c>
      <c r="F5929" s="6" t="str">
        <f>_xll.QS.TRADE.CREATE("trade.5927",E5929,A5929,"Receive")</f>
        <v>QSObject:SwapTrade:w1~trade.5927:26002</v>
      </c>
      <c r="G5929" s="3">
        <f>_xll.QS.EVALUATE(C5929,F5929)</f>
        <v>41675.780308106776</v>
      </c>
      <c r="H5929" s="5" t="s">
        <v>5970</v>
      </c>
      <c r="I5929" s="7">
        <v>1592700</v>
      </c>
      <c r="J5929" s="8">
        <v>3.7699999999999997E-2</v>
      </c>
    </row>
    <row r="5930" spans="1:10" x14ac:dyDescent="0.25">
      <c r="A5930" s="5" t="s">
        <v>5964</v>
      </c>
      <c r="B5930" s="5" t="s">
        <v>7797</v>
      </c>
      <c r="C5930" s="6" t="str">
        <f>_xll.QS.CONTEXT.CREATE("market.5928",A5930,"USD","SOFR")</f>
        <v>QSObject:PricingContext:w1~market.5928:8937</v>
      </c>
      <c r="D5930" s="6" t="str">
        <f>_xll.QS.CONTEXT.ADD.CURVE(C5930,"SOFR",$K$2:$K$7,$L$2:$L$7,,,"Actual360","LogLinear",TRUE)</f>
        <v>QSObject:ContextInput:w1~input.qs_context_add_curve.2359132437744.5929.3.0:34574</v>
      </c>
      <c r="E5930" s="6" t="str">
        <f>_xll.QS.INSTRUMENT.SWAP("swap.5928",H5930,B5930,"USD","SOFR",I5930,J5930,0,"Actual360","Simple","Annual","Annual","Annual")</f>
        <v>QSObject:Swap:w1~swap.5928:8936</v>
      </c>
      <c r="F5930" s="6" t="str">
        <f>_xll.QS.TRADE.CREATE("trade.5928",E5930,A5930,"Receive")</f>
        <v>QSObject:SwapTrade:w1~trade.5928:26001</v>
      </c>
      <c r="G5930" s="3">
        <f>_xll.QS.EVALUATE(C5930,F5930)</f>
        <v>42296.837575520818</v>
      </c>
      <c r="H5930" s="5" t="s">
        <v>5971</v>
      </c>
      <c r="I5930" s="7">
        <v>1592800</v>
      </c>
      <c r="J5930" s="8">
        <v>3.78E-2</v>
      </c>
    </row>
    <row r="5931" spans="1:10" x14ac:dyDescent="0.25">
      <c r="A5931" s="5" t="s">
        <v>5965</v>
      </c>
      <c r="B5931" s="5" t="s">
        <v>7798</v>
      </c>
      <c r="C5931" s="6" t="str">
        <f>_xll.QS.CONTEXT.CREATE("market.5929",A5931,"USD","SOFR")</f>
        <v>QSObject:PricingContext:w1~market.5929:8935</v>
      </c>
      <c r="D5931" s="6" t="str">
        <f>_xll.QS.CONTEXT.ADD.CURVE(C5931,"SOFR",$K$2:$K$7,$L$2:$L$7,,,"Actual360","LogLinear",TRUE)</f>
        <v>QSObject:ContextInput:w1~input.qs_context_add_curve.2359132437744.5930.3.0:34573</v>
      </c>
      <c r="E5931" s="6" t="str">
        <f>_xll.QS.INSTRUMENT.SWAP("swap.5929",H5931,B5931,"USD","SOFR",I5931,J5931,0,"Actual360","Simple","Annual","Annual","Annual")</f>
        <v>QSObject:Swap:w1~swap.5929:8934</v>
      </c>
      <c r="F5931" s="6" t="str">
        <f>_xll.QS.TRADE.CREATE("trade.5929",E5931,A5931,"Receive")</f>
        <v>QSObject:SwapTrade:w1~trade.5929:26000</v>
      </c>
      <c r="G5931" s="3">
        <f>_xll.QS.EVALUATE(C5931,F5931)</f>
        <v>43102.624487299181</v>
      </c>
      <c r="H5931" s="5" t="s">
        <v>5972</v>
      </c>
      <c r="I5931" s="7">
        <v>1592900</v>
      </c>
      <c r="J5931" s="8">
        <v>3.7900000000000003E-2</v>
      </c>
    </row>
    <row r="5932" spans="1:10" x14ac:dyDescent="0.25">
      <c r="A5932" s="5" t="s">
        <v>5966</v>
      </c>
      <c r="B5932" s="5" t="s">
        <v>7799</v>
      </c>
      <c r="C5932" s="6" t="str">
        <f>_xll.QS.CONTEXT.CREATE("market.5930",A5932,"USD","SOFR")</f>
        <v>QSObject:PricingContext:w1~market.5930:8933</v>
      </c>
      <c r="D5932" s="6" t="str">
        <f>_xll.QS.CONTEXT.ADD.CURVE(C5932,"SOFR",$K$2:$K$7,$L$2:$L$7,,,"Actual360","LogLinear",TRUE)</f>
        <v>QSObject:ContextInput:w1~input.qs_context_add_curve.2359132437744.5931.3.0:34572</v>
      </c>
      <c r="E5932" s="6" t="str">
        <f>_xll.QS.INSTRUMENT.SWAP("swap.5930",H5932,B5932,"USD","SOFR",I5932,J5932,0,"Actual360","Simple","Annual","Annual","Annual")</f>
        <v>QSObject:Swap:w1~swap.5930:8932</v>
      </c>
      <c r="F5932" s="6" t="str">
        <f>_xll.QS.TRADE.CREATE("trade.5930",E5932,A5932,"Receive")</f>
        <v>QSObject:SwapTrade:w1~trade.5930:25999</v>
      </c>
      <c r="G5932" s="3">
        <f>_xll.QS.EVALUATE(C5932,F5932)</f>
        <v>43878.710802707734</v>
      </c>
      <c r="H5932" s="5" t="s">
        <v>5973</v>
      </c>
      <c r="I5932" s="7">
        <v>1593000</v>
      </c>
      <c r="J5932" s="8">
        <v>3.8000000000000013E-2</v>
      </c>
    </row>
    <row r="5933" spans="1:10" x14ac:dyDescent="0.25">
      <c r="A5933" s="5" t="s">
        <v>5967</v>
      </c>
      <c r="B5933" s="5" t="s">
        <v>7800</v>
      </c>
      <c r="C5933" s="6" t="str">
        <f>_xll.QS.CONTEXT.CREATE("market.5931",A5933,"USD","SOFR")</f>
        <v>QSObject:PricingContext:w1~market.5931:8931</v>
      </c>
      <c r="D5933" s="6" t="str">
        <f>_xll.QS.CONTEXT.ADD.CURVE(C5933,"SOFR",$K$2:$K$7,$L$2:$L$7,,,"Actual360","LogLinear",TRUE)</f>
        <v>QSObject:ContextInput:w1~input.qs_context_add_curve.2359132437744.5932.3.0:34571</v>
      </c>
      <c r="E5933" s="6" t="str">
        <f>_xll.QS.INSTRUMENT.SWAP("swap.5931",H5933,B5933,"USD","SOFR",I5933,J5933,0,"Actual360","Simple","Annual","Annual","Annual")</f>
        <v>QSObject:Swap:w1~swap.5931:8930</v>
      </c>
      <c r="F5933" s="6" t="str">
        <f>_xll.QS.TRADE.CREATE("trade.5931",E5933,A5933,"Receive")</f>
        <v>QSObject:SwapTrade:w1~trade.5931:25998</v>
      </c>
      <c r="G5933" s="3">
        <f>_xll.QS.EVALUATE(C5933,F5933)</f>
        <v>44733.217257673139</v>
      </c>
      <c r="H5933" s="5" t="s">
        <v>5974</v>
      </c>
      <c r="I5933" s="7">
        <v>1593100</v>
      </c>
      <c r="J5933" s="8">
        <v>3.8100000000000002E-2</v>
      </c>
    </row>
    <row r="5934" spans="1:10" x14ac:dyDescent="0.25">
      <c r="A5934" s="5" t="s">
        <v>5968</v>
      </c>
      <c r="B5934" s="5" t="s">
        <v>7801</v>
      </c>
      <c r="C5934" s="6" t="str">
        <f>_xll.QS.CONTEXT.CREATE("market.5932",A5934,"USD","SOFR")</f>
        <v>QSObject:PricingContext:w1~market.5932:8929</v>
      </c>
      <c r="D5934" s="6" t="str">
        <f>_xll.QS.CONTEXT.ADD.CURVE(C5934,"SOFR",$K$2:$K$7,$L$2:$L$7,,,"Actual360","LogLinear",TRUE)</f>
        <v>QSObject:ContextInput:w1~input.qs_context_add_curve.2359132437744.5933.3.0:34570</v>
      </c>
      <c r="E5934" s="6" t="str">
        <f>_xll.QS.INSTRUMENT.SWAP("swap.5932",H5934,B5934,"USD","SOFR",I5934,J5934,0,"Actual360","Simple","Annual","Annual","Annual")</f>
        <v>QSObject:Swap:w1~swap.5932:8928</v>
      </c>
      <c r="F5934" s="6" t="str">
        <f>_xll.QS.TRADE.CREATE("trade.5932",E5934,A5934,"Receive")</f>
        <v>QSObject:SwapTrade:w1~trade.5932:25997</v>
      </c>
      <c r="G5934" s="3">
        <f>_xll.QS.EVALUATE(C5934,F5934)</f>
        <v>45539.155539270905</v>
      </c>
      <c r="H5934" s="5" t="s">
        <v>5975</v>
      </c>
      <c r="I5934" s="7">
        <v>1593200</v>
      </c>
      <c r="J5934" s="8">
        <v>3.8199999999999998E-2</v>
      </c>
    </row>
    <row r="5935" spans="1:10" x14ac:dyDescent="0.25">
      <c r="A5935" s="5" t="s">
        <v>5969</v>
      </c>
      <c r="B5935" s="5" t="s">
        <v>7802</v>
      </c>
      <c r="C5935" s="6" t="str">
        <f>_xll.QS.CONTEXT.CREATE("market.5933",A5935,"USD","SOFR")</f>
        <v>QSObject:PricingContext:w1~market.5933:8927</v>
      </c>
      <c r="D5935" s="6" t="str">
        <f>_xll.QS.CONTEXT.ADD.CURVE(C5935,"SOFR",$K$2:$K$7,$L$2:$L$7,,,"Actual360","LogLinear",TRUE)</f>
        <v>QSObject:ContextInput:w1~input.qs_context_add_curve.2359132437744.5934.3.0:34569</v>
      </c>
      <c r="E5935" s="6" t="str">
        <f>_xll.QS.INSTRUMENT.SWAP("swap.5933",H5935,B5935,"USD","SOFR",I5935,J5935,0,"Actual360","Simple","Annual","Annual","Annual")</f>
        <v>QSObject:Swap:w1~swap.5933:8926</v>
      </c>
      <c r="F5935" s="6" t="str">
        <f>_xll.QS.TRADE.CREATE("trade.5933",E5935,A5935,"Receive")</f>
        <v>QSObject:SwapTrade:w1~trade.5933:25996</v>
      </c>
      <c r="G5935" s="3">
        <f>_xll.QS.EVALUATE(C5935,F5935)</f>
        <v>46217.897453511068</v>
      </c>
      <c r="H5935" s="5" t="s">
        <v>5976</v>
      </c>
      <c r="I5935" s="7">
        <v>1593300</v>
      </c>
      <c r="J5935" s="8">
        <v>3.8300000000000001E-2</v>
      </c>
    </row>
    <row r="5936" spans="1:10" x14ac:dyDescent="0.25">
      <c r="A5936" s="5" t="s">
        <v>5970</v>
      </c>
      <c r="B5936" s="5" t="s">
        <v>7803</v>
      </c>
      <c r="C5936" s="6" t="str">
        <f>_xll.QS.CONTEXT.CREATE("market.5934",A5936,"USD","SOFR")</f>
        <v>QSObject:PricingContext:w1~market.5934:8925</v>
      </c>
      <c r="D5936" s="6" t="str">
        <f>_xll.QS.CONTEXT.ADD.CURVE(C5936,"SOFR",$K$2:$K$7,$L$2:$L$7,,,"Actual360","LogLinear",TRUE)</f>
        <v>QSObject:ContextInput:w1~input.qs_context_add_curve.2359132437744.5935.3.0:34568</v>
      </c>
      <c r="E5936" s="6" t="str">
        <f>_xll.QS.INSTRUMENT.SWAP("swap.5934",H5936,B5936,"USD","SOFR",I5936,J5936,0,"Actual360","Simple","Annual","Annual","Annual")</f>
        <v>QSObject:Swap:w1~swap.5934:8924</v>
      </c>
      <c r="F5936" s="6" t="str">
        <f>_xll.QS.TRADE.CREATE("trade.5934",E5936,A5936,"Receive")</f>
        <v>QSObject:SwapTrade:w1~trade.5934:25995</v>
      </c>
      <c r="G5936" s="3">
        <f>_xll.QS.EVALUATE(C5936,F5936)</f>
        <v>46832.877979504774</v>
      </c>
      <c r="H5936" s="5" t="s">
        <v>5977</v>
      </c>
      <c r="I5936" s="7">
        <v>1593400</v>
      </c>
      <c r="J5936" s="8">
        <v>3.8399999999999997E-2</v>
      </c>
    </row>
    <row r="5937" spans="1:10" x14ac:dyDescent="0.25">
      <c r="A5937" s="5" t="s">
        <v>5971</v>
      </c>
      <c r="B5937" s="5" t="s">
        <v>7804</v>
      </c>
      <c r="C5937" s="6" t="str">
        <f>_xll.QS.CONTEXT.CREATE("market.5935",A5937,"USD","SOFR")</f>
        <v>QSObject:PricingContext:w1~market.5935:8923</v>
      </c>
      <c r="D5937" s="6" t="str">
        <f>_xll.QS.CONTEXT.ADD.CURVE(C5937,"SOFR",$K$2:$K$7,$L$2:$L$7,,,"Actual360","LogLinear",TRUE)</f>
        <v>QSObject:ContextInput:w1~input.qs_context_add_curve.2359132437744.5936.3.0:34567</v>
      </c>
      <c r="E5937" s="6" t="str">
        <f>_xll.QS.INSTRUMENT.SWAP("swap.5935",H5937,B5937,"USD","SOFR",I5937,J5937,0,"Actual360","Simple","Annual","Annual","Annual")</f>
        <v>QSObject:Swap:w1~swap.5935:8922</v>
      </c>
      <c r="F5937" s="6" t="str">
        <f>_xll.QS.TRADE.CREATE("trade.5935",E5937,A5937,"Receive")</f>
        <v>QSObject:SwapTrade:w1~trade.5935:25994</v>
      </c>
      <c r="G5937" s="3">
        <f>_xll.QS.EVALUATE(C5937,F5937)</f>
        <v>47462.678992188463</v>
      </c>
      <c r="H5937" s="5" t="s">
        <v>5978</v>
      </c>
      <c r="I5937" s="7">
        <v>1593500</v>
      </c>
      <c r="J5937" s="8">
        <v>3.8500000000000013E-2</v>
      </c>
    </row>
    <row r="5938" spans="1:10" x14ac:dyDescent="0.25">
      <c r="A5938" s="5" t="s">
        <v>5972</v>
      </c>
      <c r="B5938" s="5" t="s">
        <v>7805</v>
      </c>
      <c r="C5938" s="6" t="str">
        <f>_xll.QS.CONTEXT.CREATE("market.5936",A5938,"USD","SOFR")</f>
        <v>QSObject:PricingContext:w1~market.5936:8921</v>
      </c>
      <c r="D5938" s="6" t="str">
        <f>_xll.QS.CONTEXT.ADD.CURVE(C5938,"SOFR",$K$2:$K$7,$L$2:$L$7,,,"Actual360","LogLinear",TRUE)</f>
        <v>QSObject:ContextInput:w1~input.qs_context_add_curve.2359132437744.5937.3.0:34566</v>
      </c>
      <c r="E5938" s="6" t="str">
        <f>_xll.QS.INSTRUMENT.SWAP("swap.5936",H5938,B5938,"USD","SOFR",I5938,J5938,0,"Actual360","Simple","Annual","Annual","Annual")</f>
        <v>QSObject:Swap:w1~swap.5936:8920</v>
      </c>
      <c r="F5938" s="6" t="str">
        <f>_xll.QS.TRADE.CREATE("trade.5936",E5938,A5938,"Receive")</f>
        <v>QSObject:SwapTrade:w1~trade.5936:25993</v>
      </c>
      <c r="G5938" s="3">
        <f>_xll.QS.EVALUATE(C5938,F5938)</f>
        <v>48268.292497304596</v>
      </c>
      <c r="H5938" s="5" t="s">
        <v>5979</v>
      </c>
      <c r="I5938" s="7">
        <v>1593600</v>
      </c>
      <c r="J5938" s="8">
        <v>3.8600000000000002E-2</v>
      </c>
    </row>
    <row r="5939" spans="1:10" x14ac:dyDescent="0.25">
      <c r="A5939" s="5" t="s">
        <v>5973</v>
      </c>
      <c r="B5939" s="5" t="s">
        <v>7806</v>
      </c>
      <c r="C5939" s="6" t="str">
        <f>_xll.QS.CONTEXT.CREATE("market.5937",A5939,"USD","SOFR")</f>
        <v>QSObject:PricingContext:w1~market.5937:8919</v>
      </c>
      <c r="D5939" s="6" t="str">
        <f>_xll.QS.CONTEXT.ADD.CURVE(C5939,"SOFR",$K$2:$K$7,$L$2:$L$7,,,"Actual360","LogLinear",TRUE)</f>
        <v>QSObject:ContextInput:w1~input.qs_context_add_curve.2359132437744.5938.3.0:34565</v>
      </c>
      <c r="E5939" s="6" t="str">
        <f>_xll.QS.INSTRUMENT.SWAP("swap.5937",H5939,B5939,"USD","SOFR",I5939,J5939,0,"Actual360","Simple","Annual","Annual","Annual")</f>
        <v>QSObject:Swap:w1~swap.5937:8918</v>
      </c>
      <c r="F5939" s="6" t="str">
        <f>_xll.QS.TRADE.CREATE("trade.5937",E5939,A5939,"Receive")</f>
        <v>QSObject:SwapTrade:w1~trade.5937:25992</v>
      </c>
      <c r="G5939" s="3">
        <f>_xll.QS.EVALUATE(C5939,F5939)</f>
        <v>49041.768970198864</v>
      </c>
      <c r="H5939" s="5" t="s">
        <v>5980</v>
      </c>
      <c r="I5939" s="7">
        <v>1593700</v>
      </c>
      <c r="J5939" s="8">
        <v>3.8700000000000012E-2</v>
      </c>
    </row>
    <row r="5940" spans="1:10" x14ac:dyDescent="0.25">
      <c r="A5940" s="5" t="s">
        <v>5974</v>
      </c>
      <c r="B5940" s="5" t="s">
        <v>7807</v>
      </c>
      <c r="C5940" s="6" t="str">
        <f>_xll.QS.CONTEXT.CREATE("market.5938",A5940,"USD","SOFR")</f>
        <v>QSObject:PricingContext:w1~market.5938:8917</v>
      </c>
      <c r="D5940" s="6" t="str">
        <f>_xll.QS.CONTEXT.ADD.CURVE(C5940,"SOFR",$K$2:$K$7,$L$2:$L$7,,,"Actual360","LogLinear",TRUE)</f>
        <v>QSObject:ContextInput:w1~input.qs_context_add_curve.2359132437744.5939.3.0:34564</v>
      </c>
      <c r="E5940" s="6" t="str">
        <f>_xll.QS.INSTRUMENT.SWAP("swap.5938",H5940,B5940,"USD","SOFR",I5940,J5940,0,"Actual360","Simple","Annual","Annual","Annual")</f>
        <v>QSObject:Swap:w1~swap.5938:8916</v>
      </c>
      <c r="F5940" s="6" t="str">
        <f>_xll.QS.TRADE.CREATE("trade.5938",E5940,A5940,"Receive")</f>
        <v>QSObject:SwapTrade:w1~trade.5938:25991</v>
      </c>
      <c r="G5940" s="3">
        <f>_xll.QS.EVALUATE(C5940,F5940)</f>
        <v>49896.997757815152</v>
      </c>
      <c r="H5940" s="5" t="s">
        <v>5981</v>
      </c>
      <c r="I5940" s="7">
        <v>1593800</v>
      </c>
      <c r="J5940" s="8">
        <v>3.8800000000000001E-2</v>
      </c>
    </row>
    <row r="5941" spans="1:10" x14ac:dyDescent="0.25">
      <c r="A5941" s="5" t="s">
        <v>5975</v>
      </c>
      <c r="B5941" s="5" t="s">
        <v>7808</v>
      </c>
      <c r="C5941" s="6" t="str">
        <f>_xll.QS.CONTEXT.CREATE("market.5939",A5941,"USD","SOFR")</f>
        <v>QSObject:PricingContext:w1~market.5939:8915</v>
      </c>
      <c r="D5941" s="6" t="str">
        <f>_xll.QS.CONTEXT.ADD.CURVE(C5941,"SOFR",$K$2:$K$7,$L$2:$L$7,,,"Actual360","LogLinear",TRUE)</f>
        <v>QSObject:ContextInput:w1~input.qs_context_add_curve.2359132437744.5940.3.0:34563</v>
      </c>
      <c r="E5941" s="6" t="str">
        <f>_xll.QS.INSTRUMENT.SWAP("swap.5939",H5941,B5941,"USD","SOFR",I5941,J5941,0,"Actual360","Simple","Annual","Annual","Annual")</f>
        <v>QSObject:Swap:w1~swap.5939:8914</v>
      </c>
      <c r="F5941" s="6" t="str">
        <f>_xll.QS.TRADE.CREATE("trade.5939",E5941,A5941,"Receive")</f>
        <v>QSObject:SwapTrade:w1~trade.5939:25990</v>
      </c>
      <c r="G5941" s="3">
        <f>_xll.QS.EVALUATE(C5941,F5941)</f>
        <v>50704.822053204254</v>
      </c>
      <c r="H5941" s="5" t="s">
        <v>5982</v>
      </c>
      <c r="I5941" s="7">
        <v>1593900</v>
      </c>
      <c r="J5941" s="8">
        <v>3.8899999999999997E-2</v>
      </c>
    </row>
    <row r="5942" spans="1:10" x14ac:dyDescent="0.25">
      <c r="A5942" s="5" t="s">
        <v>5976</v>
      </c>
      <c r="B5942" s="5" t="s">
        <v>7809</v>
      </c>
      <c r="C5942" s="6" t="str">
        <f>_xll.QS.CONTEXT.CREATE("market.5940",A5942,"USD","SOFR")</f>
        <v>QSObject:PricingContext:w1~market.5940:8913</v>
      </c>
      <c r="D5942" s="6" t="str">
        <f>_xll.QS.CONTEXT.ADD.CURVE(C5942,"SOFR",$K$2:$K$7,$L$2:$L$7,,,"Actual360","LogLinear",TRUE)</f>
        <v>QSObject:ContextInput:w1~input.qs_context_add_curve.2359132437744.5941.3.0:34562</v>
      </c>
      <c r="E5942" s="6" t="str">
        <f>_xll.QS.INSTRUMENT.SWAP("swap.5940",H5942,B5942,"USD","SOFR",I5942,J5942,0,"Actual360","Simple","Annual","Annual","Annual")</f>
        <v>QSObject:Swap:w1~swap.5940:8912</v>
      </c>
      <c r="F5942" s="6" t="str">
        <f>_xll.QS.TRADE.CREATE("trade.5940",E5942,A5942,"Receive")</f>
        <v>QSObject:SwapTrade:w1~trade.5940:25989</v>
      </c>
      <c r="G5942" s="3">
        <f>_xll.QS.EVALUATE(C5942,F5942)</f>
        <v>51285.488601590332</v>
      </c>
      <c r="H5942" s="5" t="s">
        <v>5983</v>
      </c>
      <c r="I5942" s="7">
        <v>1594000</v>
      </c>
      <c r="J5942" s="8">
        <v>3.9000000000000007E-2</v>
      </c>
    </row>
    <row r="5943" spans="1:10" x14ac:dyDescent="0.25">
      <c r="A5943" s="5" t="s">
        <v>5977</v>
      </c>
      <c r="B5943" s="5" t="s">
        <v>7810</v>
      </c>
      <c r="C5943" s="6" t="str">
        <f>_xll.QS.CONTEXT.CREATE("market.5941",A5943,"USD","SOFR")</f>
        <v>QSObject:PricingContext:w1~market.5941:8911</v>
      </c>
      <c r="D5943" s="6" t="str">
        <f>_xll.QS.CONTEXT.ADD.CURVE(C5943,"SOFR",$K$2:$K$7,$L$2:$L$7,,,"Actual360","LogLinear",TRUE)</f>
        <v>QSObject:ContextInput:w1~input.qs_context_add_curve.2359132437744.5942.3.0:34561</v>
      </c>
      <c r="E5943" s="6" t="str">
        <f>_xll.QS.INSTRUMENT.SWAP("swap.5941",H5943,B5943,"USD","SOFR",I5943,J5943,0,"Actual360","Simple","Annual","Annual","Annual")</f>
        <v>QSObject:Swap:w1~swap.5941:8910</v>
      </c>
      <c r="F5943" s="6" t="str">
        <f>_xll.QS.TRADE.CREATE("trade.5941",E5943,A5943,"Receive")</f>
        <v>QSObject:SwapTrade:w1~trade.5941:25988</v>
      </c>
      <c r="G5943" s="3">
        <f>_xll.QS.EVALUATE(C5943,F5943)</f>
        <v>51991.725378197822</v>
      </c>
      <c r="H5943" s="5" t="s">
        <v>5984</v>
      </c>
      <c r="I5943" s="7">
        <v>1594100</v>
      </c>
      <c r="J5943" s="8">
        <v>3.9100000000000003E-2</v>
      </c>
    </row>
    <row r="5944" spans="1:10" x14ac:dyDescent="0.25">
      <c r="A5944" s="5" t="s">
        <v>5978</v>
      </c>
      <c r="B5944" s="5" t="s">
        <v>7811</v>
      </c>
      <c r="C5944" s="6" t="str">
        <f>_xll.QS.CONTEXT.CREATE("market.5942",A5944,"USD","SOFR")</f>
        <v>QSObject:PricingContext:w1~market.5942:8909</v>
      </c>
      <c r="D5944" s="6" t="str">
        <f>_xll.QS.CONTEXT.ADD.CURVE(C5944,"SOFR",$K$2:$K$7,$L$2:$L$7,,,"Actual360","LogLinear",TRUE)</f>
        <v>QSObject:ContextInput:w1~input.qs_context_add_curve.2359132437744.5943.3.0:34560</v>
      </c>
      <c r="E5944" s="6" t="str">
        <f>_xll.QS.INSTRUMENT.SWAP("swap.5942",H5944,B5944,"USD","SOFR",I5944,J5944,0,"Actual360","Simple","Annual","Annual","Annual")</f>
        <v>QSObject:Swap:w1~swap.5942:8908</v>
      </c>
      <c r="F5944" s="6" t="str">
        <f>_xll.QS.TRADE.CREATE("trade.5942",E5944,A5944,"Receive")</f>
        <v>QSObject:SwapTrade:w1~trade.5942:25987</v>
      </c>
      <c r="G5944" s="3">
        <f>_xll.QS.EVALUATE(C5944,F5944)</f>
        <v>52630.102097966832</v>
      </c>
      <c r="H5944" s="5" t="s">
        <v>5985</v>
      </c>
      <c r="I5944" s="7">
        <v>1594200</v>
      </c>
      <c r="J5944" s="8">
        <v>3.9200000000000013E-2</v>
      </c>
    </row>
    <row r="5945" spans="1:10" x14ac:dyDescent="0.25">
      <c r="A5945" s="5" t="s">
        <v>5979</v>
      </c>
      <c r="B5945" s="5" t="s">
        <v>7812</v>
      </c>
      <c r="C5945" s="6" t="str">
        <f>_xll.QS.CONTEXT.CREATE("market.5943",A5945,"USD","SOFR")</f>
        <v>QSObject:PricingContext:w1~market.5943:8907</v>
      </c>
      <c r="D5945" s="6" t="str">
        <f>_xll.QS.CONTEXT.ADD.CURVE(C5945,"SOFR",$K$2:$K$7,$L$2:$L$7,,,"Actual360","LogLinear",TRUE)</f>
        <v>QSObject:ContextInput:w1~input.qs_context_add_curve.2359132437744.5944.3.0:34559</v>
      </c>
      <c r="E5945" s="6" t="str">
        <f>_xll.QS.INSTRUMENT.SWAP("swap.5943",H5945,B5945,"USD","SOFR",I5945,J5945,0,"Actual360","Simple","Annual","Annual","Annual")</f>
        <v>QSObject:Swap:w1~swap.5943:8906</v>
      </c>
      <c r="F5945" s="6" t="str">
        <f>_xll.QS.TRADE.CREATE("trade.5943",E5945,A5945,"Receive")</f>
        <v>QSObject:SwapTrade:w1~trade.5943:25986</v>
      </c>
      <c r="G5945" s="3">
        <f>_xll.QS.EVALUATE(C5945,F5945)</f>
        <v>53438.10049440826</v>
      </c>
      <c r="H5945" s="5" t="s">
        <v>5986</v>
      </c>
      <c r="I5945" s="7">
        <v>1594300</v>
      </c>
      <c r="J5945" s="8">
        <v>3.9300000000000002E-2</v>
      </c>
    </row>
    <row r="5946" spans="1:10" x14ac:dyDescent="0.25">
      <c r="A5946" s="5" t="s">
        <v>5980</v>
      </c>
      <c r="B5946" s="5" t="s">
        <v>7813</v>
      </c>
      <c r="C5946" s="6" t="str">
        <f>_xll.QS.CONTEXT.CREATE("market.5944",A5946,"USD","SOFR")</f>
        <v>QSObject:PricingContext:w1~market.5944:8905</v>
      </c>
      <c r="D5946" s="6" t="str">
        <f>_xll.QS.CONTEXT.ADD.CURVE(C5946,"SOFR",$K$2:$K$7,$L$2:$L$7,,,"Actual360","LogLinear",TRUE)</f>
        <v>QSObject:ContextInput:w1~input.qs_context_add_curve.2359132437744.5945.3.0:34558</v>
      </c>
      <c r="E5946" s="6" t="str">
        <f>_xll.QS.INSTRUMENT.SWAP("swap.5944",H5946,B5946,"USD","SOFR",I5946,J5946,0,"Actual360","Simple","Annual","Annual","Annual")</f>
        <v>QSObject:Swap:w1~swap.5944:8904</v>
      </c>
      <c r="F5946" s="6" t="str">
        <f>_xll.QS.TRADE.CREATE("trade.5944",E5946,A5946,"Receive")</f>
        <v>QSObject:SwapTrade:w1~trade.5944:25985</v>
      </c>
      <c r="G5946" s="3">
        <f>_xll.QS.EVALUATE(C5946,F5946)</f>
        <v>54210.475592939438</v>
      </c>
      <c r="H5946" s="5" t="s">
        <v>5987</v>
      </c>
      <c r="I5946" s="7">
        <v>1594400</v>
      </c>
      <c r="J5946" s="8">
        <v>3.9399999999999998E-2</v>
      </c>
    </row>
    <row r="5947" spans="1:10" x14ac:dyDescent="0.25">
      <c r="A5947" s="5" t="s">
        <v>5981</v>
      </c>
      <c r="B5947" s="5" t="s">
        <v>7814</v>
      </c>
      <c r="C5947" s="6" t="str">
        <f>_xll.QS.CONTEXT.CREATE("market.5945",A5947,"USD","SOFR")</f>
        <v>QSObject:PricingContext:w1~market.5945:8903</v>
      </c>
      <c r="D5947" s="6" t="str">
        <f>_xll.QS.CONTEXT.ADD.CURVE(C5947,"SOFR",$K$2:$K$7,$L$2:$L$7,,,"Actual360","LogLinear",TRUE)</f>
        <v>QSObject:ContextInput:w1~input.qs_context_add_curve.2359132437744.5946.3.0:34557</v>
      </c>
      <c r="E5947" s="6" t="str">
        <f>_xll.QS.INSTRUMENT.SWAP("swap.5945",H5947,B5947,"USD","SOFR",I5947,J5947,0,"Actual360","Simple","Annual","Annual","Annual")</f>
        <v>QSObject:Swap:w1~swap.5945:8902</v>
      </c>
      <c r="F5947" s="6" t="str">
        <f>_xll.QS.TRADE.CREATE("trade.5945",E5947,A5947,"Receive")</f>
        <v>QSObject:SwapTrade:w1~trade.5945:25984</v>
      </c>
      <c r="G5947" s="3">
        <f>_xll.QS.EVALUATE(C5947,F5947)</f>
        <v>55139.820280365922</v>
      </c>
      <c r="H5947" s="5" t="s">
        <v>5988</v>
      </c>
      <c r="I5947" s="7">
        <v>1594500</v>
      </c>
      <c r="J5947" s="8">
        <v>3.9500000000000007E-2</v>
      </c>
    </row>
    <row r="5948" spans="1:10" x14ac:dyDescent="0.25">
      <c r="A5948" s="5" t="s">
        <v>5982</v>
      </c>
      <c r="B5948" s="5" t="s">
        <v>7815</v>
      </c>
      <c r="C5948" s="6" t="str">
        <f>_xll.QS.CONTEXT.CREATE("market.5946",A5948,"USD","SOFR")</f>
        <v>QSObject:PricingContext:w1~market.5946:8901</v>
      </c>
      <c r="D5948" s="6" t="str">
        <f>_xll.QS.CONTEXT.ADD.CURVE(C5948,"SOFR",$K$2:$K$7,$L$2:$L$7,,,"Actual360","LogLinear",TRUE)</f>
        <v>QSObject:ContextInput:w1~input.qs_context_add_curve.2359132437744.5947.3.0:34556</v>
      </c>
      <c r="E5948" s="6" t="str">
        <f>_xll.QS.INSTRUMENT.SWAP("swap.5946",H5948,B5948,"USD","SOFR",I5948,J5948,0,"Actual360","Simple","Annual","Annual","Annual")</f>
        <v>QSObject:Swap:w1~swap.5946:8900</v>
      </c>
      <c r="F5948" s="6" t="str">
        <f>_xll.QS.TRADE.CREATE("trade.5946",E5948,A5948,"Receive")</f>
        <v>QSObject:SwapTrade:w1~trade.5946:25983</v>
      </c>
      <c r="G5948" s="3">
        <f>_xll.QS.EVALUATE(C5948,F5948)</f>
        <v>55877.118095772166</v>
      </c>
      <c r="H5948" s="5" t="s">
        <v>5989</v>
      </c>
      <c r="I5948" s="7">
        <v>1594600</v>
      </c>
      <c r="J5948" s="8">
        <v>3.9600000000000003E-2</v>
      </c>
    </row>
    <row r="5949" spans="1:10" x14ac:dyDescent="0.25">
      <c r="A5949" s="5" t="s">
        <v>5983</v>
      </c>
      <c r="B5949" s="5" t="s">
        <v>7816</v>
      </c>
      <c r="C5949" s="6" t="str">
        <f>_xll.QS.CONTEXT.CREATE("market.5947",A5949,"USD","SOFR")</f>
        <v>QSObject:PricingContext:w1~market.5947:8899</v>
      </c>
      <c r="D5949" s="6" t="str">
        <f>_xll.QS.CONTEXT.ADD.CURVE(C5949,"SOFR",$K$2:$K$7,$L$2:$L$7,,,"Actual360","LogLinear",TRUE)</f>
        <v>QSObject:ContextInput:w1~input.qs_context_add_curve.2359132437744.5948.3.0:34555</v>
      </c>
      <c r="E5949" s="6" t="str">
        <f>_xll.QS.INSTRUMENT.SWAP("swap.5947",H5949,B5949,"USD","SOFR",I5949,J5949,0,"Actual360","Simple","Annual","Annual","Annual")</f>
        <v>QSObject:Swap:w1~swap.5947:8898</v>
      </c>
      <c r="F5949" s="6" t="str">
        <f>_xll.QS.TRADE.CREATE("trade.5947",E5949,A5949,"Receive")</f>
        <v>QSObject:SwapTrade:w1~trade.5947:25982</v>
      </c>
      <c r="G5949" s="3">
        <f>_xll.QS.EVALUATE(C5949,F5949)</f>
        <v>56552.430471911997</v>
      </c>
      <c r="H5949" s="5" t="s">
        <v>5990</v>
      </c>
      <c r="I5949" s="7">
        <v>1594700</v>
      </c>
      <c r="J5949" s="8">
        <v>3.9700000000000013E-2</v>
      </c>
    </row>
    <row r="5950" spans="1:10" x14ac:dyDescent="0.25">
      <c r="A5950" s="5" t="s">
        <v>5984</v>
      </c>
      <c r="B5950" s="5" t="s">
        <v>7817</v>
      </c>
      <c r="C5950" s="6" t="str">
        <f>_xll.QS.CONTEXT.CREATE("market.5948",A5950,"USD","SOFR")</f>
        <v>QSObject:PricingContext:w1~market.5948:8897</v>
      </c>
      <c r="D5950" s="6" t="str">
        <f>_xll.QS.CONTEXT.ADD.CURVE(C5950,"SOFR",$K$2:$K$7,$L$2:$L$7,,,"Actual360","LogLinear",TRUE)</f>
        <v>QSObject:ContextInput:w1~input.qs_context_add_curve.2359132437744.5949.3.0:34554</v>
      </c>
      <c r="E5950" s="6" t="str">
        <f>_xll.QS.INSTRUMENT.SWAP("swap.5948",H5950,B5950,"USD","SOFR",I5950,J5950,0,"Actual360","Simple","Annual","Annual","Annual")</f>
        <v>QSObject:Swap:w1~swap.5948:8896</v>
      </c>
      <c r="F5950" s="6" t="str">
        <f>_xll.QS.TRADE.CREATE("trade.5948",E5950,A5950,"Receive")</f>
        <v>QSObject:SwapTrade:w1~trade.5948:25981</v>
      </c>
      <c r="G5950" s="3">
        <f>_xll.QS.EVALUATE(C5950,F5950)</f>
        <v>57059.461235812785</v>
      </c>
      <c r="H5950" s="5" t="s">
        <v>5991</v>
      </c>
      <c r="I5950" s="7">
        <v>1594800</v>
      </c>
      <c r="J5950" s="8">
        <v>3.9800000000000002E-2</v>
      </c>
    </row>
    <row r="5951" spans="1:10" x14ac:dyDescent="0.25">
      <c r="A5951" s="5" t="s">
        <v>5985</v>
      </c>
      <c r="B5951" s="5" t="s">
        <v>7818</v>
      </c>
      <c r="C5951" s="6" t="str">
        <f>_xll.QS.CONTEXT.CREATE("market.5949",A5951,"USD","SOFR")</f>
        <v>QSObject:PricingContext:w1~market.5949:8895</v>
      </c>
      <c r="D5951" s="6" t="str">
        <f>_xll.QS.CONTEXT.ADD.CURVE(C5951,"SOFR",$K$2:$K$7,$L$2:$L$7,,,"Actual360","LogLinear",TRUE)</f>
        <v>QSObject:ContextInput:w1~input.qs_context_add_curve.2359132437744.5950.3.0:34553</v>
      </c>
      <c r="E5951" s="6" t="str">
        <f>_xll.QS.INSTRUMENT.SWAP("swap.5949",H5951,B5951,"USD","SOFR",I5951,J5951,0,"Actual360","Simple","Annual","Annual","Annual")</f>
        <v>QSObject:Swap:w1~swap.5949:8894</v>
      </c>
      <c r="F5951" s="6" t="str">
        <f>_xll.QS.TRADE.CREATE("trade.5949",E5951,A5951,"Receive")</f>
        <v>QSObject:SwapTrade:w1~trade.5949:25980</v>
      </c>
      <c r="G5951" s="3">
        <f>_xll.QS.EVALUATE(C5951,F5951)</f>
        <v>57803.437102731739</v>
      </c>
      <c r="H5951" s="5" t="s">
        <v>5992</v>
      </c>
      <c r="I5951" s="7">
        <v>1594900</v>
      </c>
      <c r="J5951" s="8">
        <v>3.9899999999999998E-2</v>
      </c>
    </row>
    <row r="5952" spans="1:10" x14ac:dyDescent="0.25">
      <c r="A5952" s="5" t="s">
        <v>5986</v>
      </c>
      <c r="B5952" s="5" t="s">
        <v>7819</v>
      </c>
      <c r="C5952" s="6" t="str">
        <f>_xll.QS.CONTEXT.CREATE("market.5950",A5952,"USD","SOFR")</f>
        <v>QSObject:PricingContext:w1~market.5950:8893</v>
      </c>
      <c r="D5952" s="6" t="str">
        <f>_xll.QS.CONTEXT.ADD.CURVE(C5952,"SOFR",$K$2:$K$7,$L$2:$L$7,,,"Actual360","LogLinear",TRUE)</f>
        <v>QSObject:ContextInput:w1~input.qs_context_add_curve.2359132437744.5951.3.0:34552</v>
      </c>
      <c r="E5952" s="6" t="str">
        <f>_xll.QS.INSTRUMENT.SWAP("swap.5950",H5952,B5952,"USD","SOFR",I5952,J5952,0,"Actual360","Simple","Annual","Annual","Annual")</f>
        <v>QSObject:Swap:w1~swap.5950:8892</v>
      </c>
      <c r="F5952" s="6" t="str">
        <f>_xll.QS.TRADE.CREATE("trade.5950",E5952,A5952,"Receive")</f>
        <v>QSObject:SwapTrade:w1~trade.5950:25979</v>
      </c>
      <c r="G5952" s="3">
        <f>_xll.QS.EVALUATE(C5952,F5952)</f>
        <v>21819.366300204543</v>
      </c>
      <c r="H5952" s="5" t="s">
        <v>5993</v>
      </c>
      <c r="I5952" s="7">
        <v>1595000</v>
      </c>
      <c r="J5952" s="8">
        <v>3.5000000000000003E-2</v>
      </c>
    </row>
    <row r="5953" spans="1:10" x14ac:dyDescent="0.25">
      <c r="A5953" s="5" t="s">
        <v>5987</v>
      </c>
      <c r="B5953" s="5" t="s">
        <v>7820</v>
      </c>
      <c r="C5953" s="6" t="str">
        <f>_xll.QS.CONTEXT.CREATE("market.5951",A5953,"USD","SOFR")</f>
        <v>QSObject:PricingContext:w1~market.5951:8891</v>
      </c>
      <c r="D5953" s="6" t="str">
        <f>_xll.QS.CONTEXT.ADD.CURVE(C5953,"SOFR",$K$2:$K$7,$L$2:$L$7,,,"Actual360","LogLinear",TRUE)</f>
        <v>QSObject:ContextInput:w1~input.qs_context_add_curve.2359132437744.5952.3.0:34551</v>
      </c>
      <c r="E5953" s="6" t="str">
        <f>_xll.QS.INSTRUMENT.SWAP("swap.5951",H5953,B5953,"USD","SOFR",I5953,J5953,0,"Actual360","Simple","Annual","Annual","Annual")</f>
        <v>QSObject:Swap:w1~swap.5951:8890</v>
      </c>
      <c r="F5953" s="6" t="str">
        <f>_xll.QS.TRADE.CREATE("trade.5951",E5953,A5953,"Receive")</f>
        <v>QSObject:SwapTrade:w1~trade.5951:25978</v>
      </c>
      <c r="G5953" s="3">
        <f>_xll.QS.EVALUATE(C5953,F5953)</f>
        <v>22781.421679497536</v>
      </c>
      <c r="H5953" s="5" t="s">
        <v>5994</v>
      </c>
      <c r="I5953" s="7">
        <v>1595100</v>
      </c>
      <c r="J5953" s="8">
        <v>3.5100000000000013E-2</v>
      </c>
    </row>
    <row r="5954" spans="1:10" x14ac:dyDescent="0.25">
      <c r="A5954" s="5" t="s">
        <v>5988</v>
      </c>
      <c r="B5954" s="5" t="s">
        <v>7821</v>
      </c>
      <c r="C5954" s="6" t="str">
        <f>_xll.QS.CONTEXT.CREATE("market.5952",A5954,"USD","SOFR")</f>
        <v>QSObject:PricingContext:w1~market.5952:8889</v>
      </c>
      <c r="D5954" s="6" t="str">
        <f>_xll.QS.CONTEXT.ADD.CURVE(C5954,"SOFR",$K$2:$K$7,$L$2:$L$7,,,"Actual360","LogLinear",TRUE)</f>
        <v>QSObject:ContextInput:w1~input.qs_context_add_curve.2359132437744.5953.3.0:34550</v>
      </c>
      <c r="E5954" s="6" t="str">
        <f>_xll.QS.INSTRUMENT.SWAP("swap.5952",H5954,B5954,"USD","SOFR",I5954,J5954,0,"Actual360","Simple","Annual","Annual","Annual")</f>
        <v>QSObject:Swap:w1~swap.5952:8888</v>
      </c>
      <c r="F5954" s="6" t="str">
        <f>_xll.QS.TRADE.CREATE("trade.5952",E5954,A5954,"Receive")</f>
        <v>QSObject:SwapTrade:w1~trade.5952:25977</v>
      </c>
      <c r="G5954" s="3">
        <f>_xll.QS.EVALUATE(C5954,F5954)</f>
        <v>23517.638190944781</v>
      </c>
      <c r="H5954" s="5" t="s">
        <v>5995</v>
      </c>
      <c r="I5954" s="7">
        <v>1595200</v>
      </c>
      <c r="J5954" s="8">
        <v>3.5200000000000002E-2</v>
      </c>
    </row>
    <row r="5955" spans="1:10" x14ac:dyDescent="0.25">
      <c r="A5955" s="5" t="s">
        <v>5989</v>
      </c>
      <c r="B5955" s="5" t="s">
        <v>7822</v>
      </c>
      <c r="C5955" s="6" t="str">
        <f>_xll.QS.CONTEXT.CREATE("market.5953",A5955,"USD","SOFR")</f>
        <v>QSObject:PricingContext:w1~market.5953:8887</v>
      </c>
      <c r="D5955" s="6" t="str">
        <f>_xll.QS.CONTEXT.ADD.CURVE(C5955,"SOFR",$K$2:$K$7,$L$2:$L$7,,,"Actual360","LogLinear",TRUE)</f>
        <v>QSObject:ContextInput:w1~input.qs_context_add_curve.2359132437744.5954.3.0:34549</v>
      </c>
      <c r="E5955" s="6" t="str">
        <f>_xll.QS.INSTRUMENT.SWAP("swap.5953",H5955,B5955,"USD","SOFR",I5955,J5955,0,"Actual360","Simple","Annual","Annual","Annual")</f>
        <v>QSObject:Swap:w1~swap.5953:8886</v>
      </c>
      <c r="F5955" s="6" t="str">
        <f>_xll.QS.TRADE.CREATE("trade.5953",E5955,A5955,"Receive")</f>
        <v>QSObject:SwapTrade:w1~trade.5953:25976</v>
      </c>
      <c r="G5955" s="3">
        <f>_xll.QS.EVALUATE(C5955,F5955)</f>
        <v>24265.291816349927</v>
      </c>
      <c r="H5955" s="5" t="s">
        <v>5996</v>
      </c>
      <c r="I5955" s="7">
        <v>1595300</v>
      </c>
      <c r="J5955" s="8">
        <v>3.5299999999999998E-2</v>
      </c>
    </row>
    <row r="5956" spans="1:10" x14ac:dyDescent="0.25">
      <c r="A5956" s="5" t="s">
        <v>5990</v>
      </c>
      <c r="B5956" s="5" t="s">
        <v>7823</v>
      </c>
      <c r="C5956" s="6" t="str">
        <f>_xll.QS.CONTEXT.CREATE("market.5954",A5956,"USD","SOFR")</f>
        <v>QSObject:PricingContext:w1~market.5954:8885</v>
      </c>
      <c r="D5956" s="6" t="str">
        <f>_xll.QS.CONTEXT.ADD.CURVE(C5956,"SOFR",$K$2:$K$7,$L$2:$L$7,,,"Actual360","LogLinear",TRUE)</f>
        <v>QSObject:ContextInput:w1~input.qs_context_add_curve.2359132437744.5955.3.0:34548</v>
      </c>
      <c r="E5956" s="6" t="str">
        <f>_xll.QS.INSTRUMENT.SWAP("swap.5954",H5956,B5956,"USD","SOFR",I5956,J5956,0,"Actual360","Simple","Annual","Annual","Annual")</f>
        <v>QSObject:Swap:w1~swap.5954:8884</v>
      </c>
      <c r="F5956" s="6" t="str">
        <f>_xll.QS.TRADE.CREATE("trade.5954",E5956,A5956,"Receive")</f>
        <v>QSObject:SwapTrade:w1~trade.5954:25975</v>
      </c>
      <c r="G5956" s="3">
        <f>_xll.QS.EVALUATE(C5956,F5956)</f>
        <v>24942.058068389299</v>
      </c>
      <c r="H5956" s="5" t="s">
        <v>5997</v>
      </c>
      <c r="I5956" s="7">
        <v>1595400</v>
      </c>
      <c r="J5956" s="8">
        <v>3.5400000000000001E-2</v>
      </c>
    </row>
    <row r="5957" spans="1:10" x14ac:dyDescent="0.25">
      <c r="A5957" s="5" t="s">
        <v>5991</v>
      </c>
      <c r="B5957" s="5" t="s">
        <v>7824</v>
      </c>
      <c r="C5957" s="6" t="str">
        <f>_xll.QS.CONTEXT.CREATE("market.5955",A5957,"USD","SOFR")</f>
        <v>QSObject:PricingContext:w1~market.5955:8883</v>
      </c>
      <c r="D5957" s="6" t="str">
        <f>_xll.QS.CONTEXT.ADD.CURVE(C5957,"SOFR",$K$2:$K$7,$L$2:$L$7,,,"Actual360","LogLinear",TRUE)</f>
        <v>QSObject:ContextInput:w1~input.qs_context_add_curve.2359132437744.5956.3.0:34547</v>
      </c>
      <c r="E5957" s="6" t="str">
        <f>_xll.QS.INSTRUMENT.SWAP("swap.5955",H5957,B5957,"USD","SOFR",I5957,J5957,0,"Actual360","Simple","Annual","Annual","Annual")</f>
        <v>QSObject:Swap:w1~swap.5955:8882</v>
      </c>
      <c r="F5957" s="6" t="str">
        <f>_xll.QS.TRADE.CREATE("trade.5955",E5957,A5957,"Receive")</f>
        <v>QSObject:SwapTrade:w1~trade.5955:25974</v>
      </c>
      <c r="G5957" s="3">
        <f>_xll.QS.EVALUATE(C5957,F5957)</f>
        <v>25633.394407714033</v>
      </c>
      <c r="H5957" s="5" t="s">
        <v>5998</v>
      </c>
      <c r="I5957" s="7">
        <v>1595500</v>
      </c>
      <c r="J5957" s="8">
        <v>3.5499999999999997E-2</v>
      </c>
    </row>
    <row r="5958" spans="1:10" x14ac:dyDescent="0.25">
      <c r="A5958" s="5" t="s">
        <v>5992</v>
      </c>
      <c r="B5958" s="5" t="s">
        <v>7825</v>
      </c>
      <c r="C5958" s="6" t="str">
        <f>_xll.QS.CONTEXT.CREATE("market.5956",A5958,"USD","SOFR")</f>
        <v>QSObject:PricingContext:w1~market.5956:8881</v>
      </c>
      <c r="D5958" s="6" t="str">
        <f>_xll.QS.CONTEXT.ADD.CURVE(C5958,"SOFR",$K$2:$K$7,$L$2:$L$7,,,"Actual360","LogLinear",TRUE)</f>
        <v>QSObject:ContextInput:w1~input.qs_context_add_curve.2359132437744.5957.3.0:34546</v>
      </c>
      <c r="E5958" s="6" t="str">
        <f>_xll.QS.INSTRUMENT.SWAP("swap.5956",H5958,B5958,"USD","SOFR",I5958,J5958,0,"Actual360","Simple","Annual","Annual","Annual")</f>
        <v>QSObject:Swap:w1~swap.5956:8880</v>
      </c>
      <c r="F5958" s="6" t="str">
        <f>_xll.QS.TRADE.CREATE("trade.5956",E5958,A5958,"Receive")</f>
        <v>QSObject:SwapTrade:w1~trade.5956:25973</v>
      </c>
      <c r="G5958" s="3">
        <f>_xll.QS.EVALUATE(C5958,F5958)</f>
        <v>26373.23461840571</v>
      </c>
      <c r="H5958" s="5" t="s">
        <v>5999</v>
      </c>
      <c r="I5958" s="7">
        <v>1595600</v>
      </c>
      <c r="J5958" s="8">
        <v>3.5600000000000007E-2</v>
      </c>
    </row>
    <row r="5959" spans="1:10" x14ac:dyDescent="0.25">
      <c r="A5959" s="5" t="s">
        <v>5993</v>
      </c>
      <c r="B5959" s="5" t="s">
        <v>7826</v>
      </c>
      <c r="C5959" s="6" t="str">
        <f>_xll.QS.CONTEXT.CREATE("market.5957",A5959,"USD","SOFR")</f>
        <v>QSObject:PricingContext:w1~market.5957:8879</v>
      </c>
      <c r="D5959" s="6" t="str">
        <f>_xll.QS.CONTEXT.ADD.CURVE(C5959,"SOFR",$K$2:$K$7,$L$2:$L$7,,,"Actual360","LogLinear",TRUE)</f>
        <v>QSObject:ContextInput:w1~input.qs_context_add_curve.2359132437744.5958.3.0:34545</v>
      </c>
      <c r="E5959" s="6" t="str">
        <f>_xll.QS.INSTRUMENT.SWAP("swap.5957",H5959,B5959,"USD","SOFR",I5959,J5959,0,"Actual360","Simple","Annual","Annual","Annual")</f>
        <v>QSObject:Swap:w1~swap.5957:8878</v>
      </c>
      <c r="F5959" s="6" t="str">
        <f>_xll.QS.TRADE.CREATE("trade.5957",E5959,A5959,"Receive")</f>
        <v>QSObject:SwapTrade:w1~trade.5957:25972</v>
      </c>
      <c r="G5959" s="3">
        <f>_xll.QS.EVALUATE(C5959,F5959)</f>
        <v>26982.258166194224</v>
      </c>
      <c r="H5959" s="5" t="s">
        <v>6000</v>
      </c>
      <c r="I5959" s="7">
        <v>1595700</v>
      </c>
      <c r="J5959" s="8">
        <v>3.5700000000000003E-2</v>
      </c>
    </row>
    <row r="5960" spans="1:10" x14ac:dyDescent="0.25">
      <c r="A5960" s="5" t="s">
        <v>5994</v>
      </c>
      <c r="B5960" s="5" t="s">
        <v>7827</v>
      </c>
      <c r="C5960" s="6" t="str">
        <f>_xll.QS.CONTEXT.CREATE("market.5958",A5960,"USD","SOFR")</f>
        <v>QSObject:PricingContext:w1~market.5958:8877</v>
      </c>
      <c r="D5960" s="6" t="str">
        <f>_xll.QS.CONTEXT.ADD.CURVE(C5960,"SOFR",$K$2:$K$7,$L$2:$L$7,,,"Actual360","LogLinear",TRUE)</f>
        <v>QSObject:ContextInput:w1~input.qs_context_add_curve.2359132437744.5959.3.0:34544</v>
      </c>
      <c r="E5960" s="6" t="str">
        <f>_xll.QS.INSTRUMENT.SWAP("swap.5958",H5960,B5960,"USD","SOFR",I5960,J5960,0,"Actual360","Simple","Annual","Annual","Annual")</f>
        <v>QSObject:Swap:w1~swap.5958:8876</v>
      </c>
      <c r="F5960" s="6" t="str">
        <f>_xll.QS.TRADE.CREATE("trade.5958",E5960,A5960,"Receive")</f>
        <v>QSObject:SwapTrade:w1~trade.5958:25971</v>
      </c>
      <c r="G5960" s="3">
        <f>_xll.QS.EVALUATE(C5960,F5960)</f>
        <v>27766.624120730579</v>
      </c>
      <c r="H5960" s="5" t="s">
        <v>6001</v>
      </c>
      <c r="I5960" s="7">
        <v>1595800</v>
      </c>
      <c r="J5960" s="8">
        <v>3.5800000000000012E-2</v>
      </c>
    </row>
    <row r="5961" spans="1:10" x14ac:dyDescent="0.25">
      <c r="A5961" s="5" t="s">
        <v>5995</v>
      </c>
      <c r="B5961" s="5" t="s">
        <v>7828</v>
      </c>
      <c r="C5961" s="6" t="str">
        <f>_xll.QS.CONTEXT.CREATE("market.5959",A5961,"USD","SOFR")</f>
        <v>QSObject:PricingContext:w1~market.5959:8875</v>
      </c>
      <c r="D5961" s="6" t="str">
        <f>_xll.QS.CONTEXT.ADD.CURVE(C5961,"SOFR",$K$2:$K$7,$L$2:$L$7,,,"Actual360","LogLinear",TRUE)</f>
        <v>QSObject:ContextInput:w1~input.qs_context_add_curve.2359132437744.5960.3.0:34543</v>
      </c>
      <c r="E5961" s="6" t="str">
        <f>_xll.QS.INSTRUMENT.SWAP("swap.5959",H5961,B5961,"USD","SOFR",I5961,J5961,0,"Actual360","Simple","Annual","Annual","Annual")</f>
        <v>QSObject:Swap:w1~swap.5959:8874</v>
      </c>
      <c r="F5961" s="6" t="str">
        <f>_xll.QS.TRADE.CREATE("trade.5959",E5961,A5961,"Receive")</f>
        <v>QSObject:SwapTrade:w1~trade.5959:25970</v>
      </c>
      <c r="G5961" s="3">
        <f>_xll.QS.EVALUATE(C5961,F5961)</f>
        <v>28681.883461341946</v>
      </c>
      <c r="H5961" s="5" t="s">
        <v>6002</v>
      </c>
      <c r="I5961" s="7">
        <v>1595900</v>
      </c>
      <c r="J5961" s="8">
        <v>3.5900000000000001E-2</v>
      </c>
    </row>
    <row r="5962" spans="1:10" x14ac:dyDescent="0.25">
      <c r="A5962" s="5" t="s">
        <v>5996</v>
      </c>
      <c r="B5962" s="5" t="s">
        <v>7829</v>
      </c>
      <c r="C5962" s="6" t="str">
        <f>_xll.QS.CONTEXT.CREATE("market.5960",A5962,"USD","SOFR")</f>
        <v>QSObject:PricingContext:w1~market.5960:8873</v>
      </c>
      <c r="D5962" s="6" t="str">
        <f>_xll.QS.CONTEXT.ADD.CURVE(C5962,"SOFR",$K$2:$K$7,$L$2:$L$7,,,"Actual360","LogLinear",TRUE)</f>
        <v>QSObject:ContextInput:w1~input.qs_context_add_curve.2359132437744.5961.3.0:34542</v>
      </c>
      <c r="E5962" s="6" t="str">
        <f>_xll.QS.INSTRUMENT.SWAP("swap.5960",H5962,B5962,"USD","SOFR",I5962,J5962,0,"Actual360","Simple","Annual","Annual","Annual")</f>
        <v>QSObject:Swap:w1~swap.5960:8872</v>
      </c>
      <c r="F5962" s="6" t="str">
        <f>_xll.QS.TRADE.CREATE("trade.5960",E5962,A5962,"Receive")</f>
        <v>QSObject:SwapTrade:w1~trade.5960:25969</v>
      </c>
      <c r="G5962" s="3">
        <f>_xll.QS.EVALUATE(C5962,F5962)</f>
        <v>29427.832829885549</v>
      </c>
      <c r="H5962" s="5" t="s">
        <v>6003</v>
      </c>
      <c r="I5962" s="7">
        <v>1596000</v>
      </c>
      <c r="J5962" s="8">
        <v>3.5999999999999997E-2</v>
      </c>
    </row>
    <row r="5963" spans="1:10" x14ac:dyDescent="0.25">
      <c r="A5963" s="5" t="s">
        <v>5997</v>
      </c>
      <c r="B5963" s="5" t="s">
        <v>7830</v>
      </c>
      <c r="C5963" s="6" t="str">
        <f>_xll.QS.CONTEXT.CREATE("market.5961",A5963,"USD","SOFR")</f>
        <v>QSObject:PricingContext:w1~market.5961:8871</v>
      </c>
      <c r="D5963" s="6" t="str">
        <f>_xll.QS.CONTEXT.ADD.CURVE(C5963,"SOFR",$K$2:$K$7,$L$2:$L$7,,,"Actual360","LogLinear",TRUE)</f>
        <v>QSObject:ContextInput:w1~input.qs_context_add_curve.2359132437744.5962.3.0:34541</v>
      </c>
      <c r="E5963" s="6" t="str">
        <f>_xll.QS.INSTRUMENT.SWAP("swap.5961",H5963,B5963,"USD","SOFR",I5963,J5963,0,"Actual360","Simple","Annual","Annual","Annual")</f>
        <v>QSObject:Swap:w1~swap.5961:8870</v>
      </c>
      <c r="F5963" s="6" t="str">
        <f>_xll.QS.TRADE.CREATE("trade.5961",E5963,A5963,"Receive")</f>
        <v>QSObject:SwapTrade:w1~trade.5961:25968</v>
      </c>
      <c r="G5963" s="3">
        <f>_xll.QS.EVALUATE(C5963,F5963)</f>
        <v>30105.176620079008</v>
      </c>
      <c r="H5963" s="5" t="s">
        <v>6004</v>
      </c>
      <c r="I5963" s="7">
        <v>1596100</v>
      </c>
      <c r="J5963" s="8">
        <v>3.61E-2</v>
      </c>
    </row>
    <row r="5964" spans="1:10" x14ac:dyDescent="0.25">
      <c r="A5964" s="5" t="s">
        <v>5998</v>
      </c>
      <c r="B5964" s="5" t="s">
        <v>7831</v>
      </c>
      <c r="C5964" s="6" t="str">
        <f>_xll.QS.CONTEXT.CREATE("market.5962",A5964,"USD","SOFR")</f>
        <v>QSObject:PricingContext:w1~market.5962:8869</v>
      </c>
      <c r="D5964" s="6" t="str">
        <f>_xll.QS.CONTEXT.ADD.CURVE(C5964,"SOFR",$K$2:$K$7,$L$2:$L$7,,,"Actual360","LogLinear",TRUE)</f>
        <v>QSObject:ContextInput:w1~input.qs_context_add_curve.2359132437744.5963.3.0:34540</v>
      </c>
      <c r="E5964" s="6" t="str">
        <f>_xll.QS.INSTRUMENT.SWAP("swap.5962",H5964,B5964,"USD","SOFR",I5964,J5964,0,"Actual360","Simple","Annual","Annual","Annual")</f>
        <v>QSObject:Swap:w1~swap.5962:8868</v>
      </c>
      <c r="F5964" s="6" t="str">
        <f>_xll.QS.TRADE.CREATE("trade.5962",E5964,A5964,"Receive")</f>
        <v>QSObject:SwapTrade:w1~trade.5962:25967</v>
      </c>
      <c r="G5964" s="3">
        <f>_xll.QS.EVALUATE(C5964,F5964)</f>
        <v>30739.310667700935</v>
      </c>
      <c r="H5964" s="5" t="s">
        <v>6005</v>
      </c>
      <c r="I5964" s="7">
        <v>1596200</v>
      </c>
      <c r="J5964" s="8">
        <v>3.6200000000000003E-2</v>
      </c>
    </row>
    <row r="5965" spans="1:10" x14ac:dyDescent="0.25">
      <c r="A5965" s="5" t="s">
        <v>5999</v>
      </c>
      <c r="B5965" s="5" t="s">
        <v>7832</v>
      </c>
      <c r="C5965" s="6" t="str">
        <f>_xll.QS.CONTEXT.CREATE("market.5963",A5965,"USD","SOFR")</f>
        <v>QSObject:PricingContext:w1~market.5963:8867</v>
      </c>
      <c r="D5965" s="6" t="str">
        <f>_xll.QS.CONTEXT.ADD.CURVE(C5965,"SOFR",$K$2:$K$7,$L$2:$L$7,,,"Actual360","LogLinear",TRUE)</f>
        <v>QSObject:ContextInput:w1~input.qs_context_add_curve.2359132437744.5964.3.0:34539</v>
      </c>
      <c r="E5965" s="6" t="str">
        <f>_xll.QS.INSTRUMENT.SWAP("swap.5963",H5965,B5965,"USD","SOFR",I5965,J5965,0,"Actual360","Simple","Annual","Annual","Annual")</f>
        <v>QSObject:Swap:w1~swap.5963:8866</v>
      </c>
      <c r="F5965" s="6" t="str">
        <f>_xll.QS.TRADE.CREATE("trade.5963",E5965,A5965,"Receive")</f>
        <v>QSObject:SwapTrade:w1~trade.5963:25966</v>
      </c>
      <c r="G5965" s="3">
        <f>_xll.QS.EVALUATE(C5965,F5965)</f>
        <v>31344.093906738468</v>
      </c>
      <c r="H5965" s="5" t="s">
        <v>6006</v>
      </c>
      <c r="I5965" s="7">
        <v>1596300</v>
      </c>
      <c r="J5965" s="8">
        <v>3.6300000000000013E-2</v>
      </c>
    </row>
    <row r="5966" spans="1:10" x14ac:dyDescent="0.25">
      <c r="A5966" s="5" t="s">
        <v>6000</v>
      </c>
      <c r="B5966" s="5" t="s">
        <v>7833</v>
      </c>
      <c r="C5966" s="6" t="str">
        <f>_xll.QS.CONTEXT.CREATE("market.5964",A5966,"USD","SOFR")</f>
        <v>QSObject:PricingContext:w1~market.5964:8865</v>
      </c>
      <c r="D5966" s="6" t="str">
        <f>_xll.QS.CONTEXT.ADD.CURVE(C5966,"SOFR",$K$2:$K$7,$L$2:$L$7,,,"Actual360","LogLinear",TRUE)</f>
        <v>QSObject:ContextInput:w1~input.qs_context_add_curve.2359132437744.5965.3.0:34538</v>
      </c>
      <c r="E5966" s="6" t="str">
        <f>_xll.QS.INSTRUMENT.SWAP("swap.5964",H5966,B5966,"USD","SOFR",I5966,J5966,0,"Actual360","Simple","Annual","Annual","Annual")</f>
        <v>QSObject:Swap:w1~swap.5964:8864</v>
      </c>
      <c r="F5966" s="6" t="str">
        <f>_xll.QS.TRADE.CREATE("trade.5964",E5966,A5966,"Receive")</f>
        <v>QSObject:SwapTrade:w1~trade.5964:25965</v>
      </c>
      <c r="G5966" s="3">
        <f>_xll.QS.EVALUATE(C5966,F5966)</f>
        <v>32149.671334656712</v>
      </c>
      <c r="H5966" s="5" t="s">
        <v>6007</v>
      </c>
      <c r="I5966" s="7">
        <v>1596400</v>
      </c>
      <c r="J5966" s="8">
        <v>3.6400000000000002E-2</v>
      </c>
    </row>
    <row r="5967" spans="1:10" x14ac:dyDescent="0.25">
      <c r="A5967" s="5" t="s">
        <v>6001</v>
      </c>
      <c r="B5967" s="5" t="s">
        <v>7834</v>
      </c>
      <c r="C5967" s="6" t="str">
        <f>_xll.QS.CONTEXT.CREATE("market.5965",A5967,"USD","SOFR")</f>
        <v>QSObject:PricingContext:w1~market.5965:8863</v>
      </c>
      <c r="D5967" s="6" t="str">
        <f>_xll.QS.CONTEXT.ADD.CURVE(C5967,"SOFR",$K$2:$K$7,$L$2:$L$7,,,"Actual360","LogLinear",TRUE)</f>
        <v>QSObject:ContextInput:w1~input.qs_context_add_curve.2359132437744.5966.3.0:34537</v>
      </c>
      <c r="E5967" s="6" t="str">
        <f>_xll.QS.INSTRUMENT.SWAP("swap.5965",H5967,B5967,"USD","SOFR",I5967,J5967,0,"Actual360","Simple","Annual","Annual","Annual")</f>
        <v>QSObject:Swap:w1~swap.5965:8862</v>
      </c>
      <c r="F5967" s="6" t="str">
        <f>_xll.QS.TRADE.CREATE("trade.5965",E5967,A5967,"Receive")</f>
        <v>QSObject:SwapTrade:w1~trade.5965:25964</v>
      </c>
      <c r="G5967" s="3">
        <f>_xll.QS.EVALUATE(C5967,F5967)</f>
        <v>32932.179248907858</v>
      </c>
      <c r="H5967" s="5" t="s">
        <v>6008</v>
      </c>
      <c r="I5967" s="7">
        <v>1596500</v>
      </c>
      <c r="J5967" s="8">
        <v>3.6499999999999998E-2</v>
      </c>
    </row>
    <row r="5968" spans="1:10" x14ac:dyDescent="0.25">
      <c r="A5968" s="5" t="s">
        <v>6002</v>
      </c>
      <c r="B5968" s="5" t="s">
        <v>7835</v>
      </c>
      <c r="C5968" s="6" t="str">
        <f>_xll.QS.CONTEXT.CREATE("market.5966",A5968,"USD","SOFR")</f>
        <v>QSObject:PricingContext:w1~market.5966:8861</v>
      </c>
      <c r="D5968" s="6" t="str">
        <f>_xll.QS.CONTEXT.ADD.CURVE(C5968,"SOFR",$K$2:$K$7,$L$2:$L$7,,,"Actual360","LogLinear",TRUE)</f>
        <v>QSObject:ContextInput:w1~input.qs_context_add_curve.2359132437744.5967.3.0:34536</v>
      </c>
      <c r="E5968" s="6" t="str">
        <f>_xll.QS.INSTRUMENT.SWAP("swap.5966",H5968,B5968,"USD","SOFR",I5968,J5968,0,"Actual360","Simple","Annual","Annual","Annual")</f>
        <v>QSObject:Swap:w1~swap.5966:8860</v>
      </c>
      <c r="F5968" s="6" t="str">
        <f>_xll.QS.TRADE.CREATE("trade.5966",E5968,A5968,"Receive")</f>
        <v>QSObject:SwapTrade:w1~trade.5966:25963</v>
      </c>
      <c r="G5968" s="3">
        <f>_xll.QS.EVALUATE(C5968,F5968)</f>
        <v>33787.077409835103</v>
      </c>
      <c r="H5968" s="5" t="s">
        <v>6009</v>
      </c>
      <c r="I5968" s="7">
        <v>1596600</v>
      </c>
      <c r="J5968" s="8">
        <v>3.6600000000000001E-2</v>
      </c>
    </row>
    <row r="5969" spans="1:10" x14ac:dyDescent="0.25">
      <c r="A5969" s="5" t="s">
        <v>6003</v>
      </c>
      <c r="B5969" s="5" t="s">
        <v>7836</v>
      </c>
      <c r="C5969" s="6" t="str">
        <f>_xll.QS.CONTEXT.CREATE("market.5967",A5969,"USD","SOFR")</f>
        <v>QSObject:PricingContext:w1~market.5967:8859</v>
      </c>
      <c r="D5969" s="6" t="str">
        <f>_xll.QS.CONTEXT.ADD.CURVE(C5969,"SOFR",$K$2:$K$7,$L$2:$L$7,,,"Actual360","LogLinear",TRUE)</f>
        <v>QSObject:ContextInput:w1~input.qs_context_add_curve.2359132437744.5968.3.0:34535</v>
      </c>
      <c r="E5969" s="6" t="str">
        <f>_xll.QS.INSTRUMENT.SWAP("swap.5967",H5969,B5969,"USD","SOFR",I5969,J5969,0,"Actual360","Simple","Annual","Annual","Annual")</f>
        <v>QSObject:Swap:w1~swap.5967:8858</v>
      </c>
      <c r="F5969" s="6" t="str">
        <f>_xll.QS.TRADE.CREATE("trade.5967",E5969,A5969,"Receive")</f>
        <v>QSObject:SwapTrade:w1~trade.5967:25962</v>
      </c>
      <c r="G5969" s="3">
        <f>_xll.QS.EVALUATE(C5969,F5969)</f>
        <v>34594.893048396261</v>
      </c>
      <c r="H5969" s="5" t="s">
        <v>6010</v>
      </c>
      <c r="I5969" s="7">
        <v>1596700</v>
      </c>
      <c r="J5969" s="8">
        <v>3.6700000000000003E-2</v>
      </c>
    </row>
    <row r="5970" spans="1:10" x14ac:dyDescent="0.25">
      <c r="A5970" s="5" t="s">
        <v>6004</v>
      </c>
      <c r="B5970" s="5" t="s">
        <v>7837</v>
      </c>
      <c r="C5970" s="6" t="str">
        <f>_xll.QS.CONTEXT.CREATE("market.5968",A5970,"USD","SOFR")</f>
        <v>QSObject:PricingContext:w1~market.5968:8857</v>
      </c>
      <c r="D5970" s="6" t="str">
        <f>_xll.QS.CONTEXT.ADD.CURVE(C5970,"SOFR",$K$2:$K$7,$L$2:$L$7,,,"Actual360","LogLinear",TRUE)</f>
        <v>QSObject:ContextInput:w1~input.qs_context_add_curve.2359132437744.5969.3.0:34534</v>
      </c>
      <c r="E5970" s="6" t="str">
        <f>_xll.QS.INSTRUMENT.SWAP("swap.5968",H5970,B5970,"USD","SOFR",I5970,J5970,0,"Actual360","Simple","Annual","Annual","Annual")</f>
        <v>QSObject:Swap:w1~swap.5968:8856</v>
      </c>
      <c r="F5970" s="6" t="str">
        <f>_xll.QS.TRADE.CREATE("trade.5968",E5970,A5970,"Receive")</f>
        <v>QSObject:SwapTrade:w1~trade.5968:25961</v>
      </c>
      <c r="G5970" s="3">
        <f>_xll.QS.EVALUATE(C5970,F5970)</f>
        <v>35272.814340313344</v>
      </c>
      <c r="H5970" s="5" t="s">
        <v>6011</v>
      </c>
      <c r="I5970" s="7">
        <v>1596800</v>
      </c>
      <c r="J5970" s="8">
        <v>3.6800000000000013E-2</v>
      </c>
    </row>
    <row r="5971" spans="1:10" x14ac:dyDescent="0.25">
      <c r="A5971" s="5" t="s">
        <v>6005</v>
      </c>
      <c r="B5971" s="5" t="s">
        <v>7838</v>
      </c>
      <c r="C5971" s="6" t="str">
        <f>_xll.QS.CONTEXT.CREATE("market.5969",A5971,"USD","SOFR")</f>
        <v>QSObject:PricingContext:w1~market.5969:8855</v>
      </c>
      <c r="D5971" s="6" t="str">
        <f>_xll.QS.CONTEXT.ADD.CURVE(C5971,"SOFR",$K$2:$K$7,$L$2:$L$7,,,"Actual360","LogLinear",TRUE)</f>
        <v>QSObject:ContextInput:w1~input.qs_context_add_curve.2359132437744.5970.3.0:34533</v>
      </c>
      <c r="E5971" s="6" t="str">
        <f>_xll.QS.INSTRUMENT.SWAP("swap.5969",H5971,B5971,"USD","SOFR",I5971,J5971,0,"Actual360","Simple","Annual","Annual","Annual")</f>
        <v>QSObject:Swap:w1~swap.5969:8854</v>
      </c>
      <c r="F5971" s="6" t="str">
        <f>_xll.QS.TRADE.CREATE("trade.5969",E5971,A5971,"Receive")</f>
        <v>QSObject:SwapTrade:w1~trade.5969:25960</v>
      </c>
      <c r="G5971" s="3">
        <f>_xll.QS.EVALUATE(C5971,F5971)</f>
        <v>35901.473739594425</v>
      </c>
      <c r="H5971" s="5" t="s">
        <v>6012</v>
      </c>
      <c r="I5971" s="7">
        <v>1596900</v>
      </c>
      <c r="J5971" s="8">
        <v>3.6900000000000002E-2</v>
      </c>
    </row>
    <row r="5972" spans="1:10" x14ac:dyDescent="0.25">
      <c r="A5972" s="5" t="s">
        <v>6006</v>
      </c>
      <c r="B5972" s="5" t="s">
        <v>7839</v>
      </c>
      <c r="C5972" s="6" t="str">
        <f>_xll.QS.CONTEXT.CREATE("market.5970",A5972,"USD","SOFR")</f>
        <v>QSObject:PricingContext:w1~market.5970:8853</v>
      </c>
      <c r="D5972" s="6" t="str">
        <f>_xll.QS.CONTEXT.ADD.CURVE(C5972,"SOFR",$K$2:$K$7,$L$2:$L$7,,,"Actual360","LogLinear",TRUE)</f>
        <v>QSObject:ContextInput:w1~input.qs_context_add_curve.2359132437744.5971.3.0:34532</v>
      </c>
      <c r="E5972" s="6" t="str">
        <f>_xll.QS.INSTRUMENT.SWAP("swap.5970",H5972,B5972,"USD","SOFR",I5972,J5972,0,"Actual360","Simple","Annual","Annual","Annual")</f>
        <v>QSObject:Swap:w1~swap.5970:8852</v>
      </c>
      <c r="F5972" s="6" t="str">
        <f>_xll.QS.TRADE.CREATE("trade.5970",E5972,A5972,"Receive")</f>
        <v>QSObject:SwapTrade:w1~trade.5970:25959</v>
      </c>
      <c r="G5972" s="3">
        <f>_xll.QS.EVALUATE(C5972,F5972)</f>
        <v>36514.835557410013</v>
      </c>
      <c r="H5972" s="5" t="s">
        <v>6013</v>
      </c>
      <c r="I5972" s="7">
        <v>1597000</v>
      </c>
      <c r="J5972" s="8">
        <v>3.7000000000000012E-2</v>
      </c>
    </row>
    <row r="5973" spans="1:10" x14ac:dyDescent="0.25">
      <c r="A5973" s="5" t="s">
        <v>6007</v>
      </c>
      <c r="B5973" s="5" t="s">
        <v>7840</v>
      </c>
      <c r="C5973" s="6" t="str">
        <f>_xll.QS.CONTEXT.CREATE("market.5971",A5973,"USD","SOFR")</f>
        <v>QSObject:PricingContext:w1~market.5971:8851</v>
      </c>
      <c r="D5973" s="6" t="str">
        <f>_xll.QS.CONTEXT.ADD.CURVE(C5973,"SOFR",$K$2:$K$7,$L$2:$L$7,,,"Actual360","LogLinear",TRUE)</f>
        <v>QSObject:ContextInput:w1~input.qs_context_add_curve.2359132437744.5972.3.0:34531</v>
      </c>
      <c r="E5973" s="6" t="str">
        <f>_xll.QS.INSTRUMENT.SWAP("swap.5971",H5973,B5973,"USD","SOFR",I5973,J5973,0,"Actual360","Simple","Annual","Annual","Annual")</f>
        <v>QSObject:Swap:w1~swap.5971:8850</v>
      </c>
      <c r="F5973" s="6" t="str">
        <f>_xll.QS.TRADE.CREATE("trade.5971",E5973,A5973,"Receive")</f>
        <v>QSObject:SwapTrade:w1~trade.5971:25958</v>
      </c>
      <c r="G5973" s="3">
        <f>_xll.QS.EVALUATE(C5973,F5973)</f>
        <v>37321.605805592015</v>
      </c>
      <c r="H5973" s="5" t="s">
        <v>6014</v>
      </c>
      <c r="I5973" s="7">
        <v>1597100</v>
      </c>
      <c r="J5973" s="8">
        <v>3.7100000000000001E-2</v>
      </c>
    </row>
    <row r="5974" spans="1:10" x14ac:dyDescent="0.25">
      <c r="A5974" s="5" t="s">
        <v>6008</v>
      </c>
      <c r="B5974" s="5" t="s">
        <v>7841</v>
      </c>
      <c r="C5974" s="6" t="str">
        <f>_xll.QS.CONTEXT.CREATE("market.5972",A5974,"USD","SOFR")</f>
        <v>QSObject:PricingContext:w1~market.5972:8849</v>
      </c>
      <c r="D5974" s="6" t="str">
        <f>_xll.QS.CONTEXT.ADD.CURVE(C5974,"SOFR",$K$2:$K$7,$L$2:$L$7,,,"Actual360","LogLinear",TRUE)</f>
        <v>QSObject:ContextInput:w1~input.qs_context_add_curve.2359132437744.5973.3.0:34530</v>
      </c>
      <c r="E5974" s="6" t="str">
        <f>_xll.QS.INSTRUMENT.SWAP("swap.5972",H5974,B5974,"USD","SOFR",I5974,J5974,0,"Actual360","Simple","Annual","Annual","Annual")</f>
        <v>QSObject:Swap:w1~swap.5972:8848</v>
      </c>
      <c r="F5974" s="6" t="str">
        <f>_xll.QS.TRADE.CREATE("trade.5972",E5974,A5974,"Receive")</f>
        <v>QSObject:SwapTrade:w1~trade.5972:25957</v>
      </c>
      <c r="G5974" s="3">
        <f>_xll.QS.EVALUATE(C5974,F5974)</f>
        <v>38102.253465942369</v>
      </c>
      <c r="H5974" s="5" t="s">
        <v>6015</v>
      </c>
      <c r="I5974" s="7">
        <v>1597200</v>
      </c>
      <c r="J5974" s="8">
        <v>3.7199999999999997E-2</v>
      </c>
    </row>
    <row r="5975" spans="1:10" x14ac:dyDescent="0.25">
      <c r="A5975" s="5" t="s">
        <v>6009</v>
      </c>
      <c r="B5975" s="5" t="s">
        <v>7842</v>
      </c>
      <c r="C5975" s="6" t="str">
        <f>_xll.QS.CONTEXT.CREATE("market.5973",A5975,"USD","SOFR")</f>
        <v>QSObject:PricingContext:w1~market.5973:8847</v>
      </c>
      <c r="D5975" s="6" t="str">
        <f>_xll.QS.CONTEXT.ADD.CURVE(C5975,"SOFR",$K$2:$K$7,$L$2:$L$7,,,"Actual360","LogLinear",TRUE)</f>
        <v>QSObject:ContextInput:w1~input.qs_context_add_curve.2359132437744.5974.3.0:34529</v>
      </c>
      <c r="E5975" s="6" t="str">
        <f>_xll.QS.INSTRUMENT.SWAP("swap.5973",H5975,B5975,"USD","SOFR",I5975,J5975,0,"Actual360","Simple","Annual","Annual","Annual")</f>
        <v>QSObject:Swap:w1~swap.5973:8846</v>
      </c>
      <c r="F5975" s="6" t="str">
        <f>_xll.QS.TRADE.CREATE("trade.5973",E5975,A5975,"Receive")</f>
        <v>QSObject:SwapTrade:w1~trade.5973:25956</v>
      </c>
      <c r="G5975" s="3">
        <f>_xll.QS.EVALUATE(C5975,F5975)</f>
        <v>38957.925695593192</v>
      </c>
      <c r="H5975" s="5" t="s">
        <v>6016</v>
      </c>
      <c r="I5975" s="7">
        <v>1597300</v>
      </c>
      <c r="J5975" s="8">
        <v>3.73E-2</v>
      </c>
    </row>
    <row r="5976" spans="1:10" x14ac:dyDescent="0.25">
      <c r="A5976" s="5" t="s">
        <v>6010</v>
      </c>
      <c r="B5976" s="5" t="s">
        <v>7843</v>
      </c>
      <c r="C5976" s="6" t="str">
        <f>_xll.QS.CONTEXT.CREATE("market.5974",A5976,"USD","SOFR")</f>
        <v>QSObject:PricingContext:w1~market.5974:8845</v>
      </c>
      <c r="D5976" s="6" t="str">
        <f>_xll.QS.CONTEXT.ADD.CURVE(C5976,"SOFR",$K$2:$K$7,$L$2:$L$7,,,"Actual360","LogLinear",TRUE)</f>
        <v>QSObject:ContextInput:w1~input.qs_context_add_curve.2359132437744.5975.3.0:34528</v>
      </c>
      <c r="E5976" s="6" t="str">
        <f>_xll.QS.INSTRUMENT.SWAP("swap.5974",H5976,B5976,"USD","SOFR",I5976,J5976,0,"Actual360","Simple","Annual","Annual","Annual")</f>
        <v>QSObject:Swap:w1~swap.5974:8844</v>
      </c>
      <c r="F5976" s="6" t="str">
        <f>_xll.QS.TRADE.CREATE("trade.5974",E5976,A5976,"Receive")</f>
        <v>QSObject:SwapTrade:w1~trade.5974:25955</v>
      </c>
      <c r="G5976" s="3">
        <f>_xll.QS.EVALUATE(C5976,F5976)</f>
        <v>39766.472471882575</v>
      </c>
      <c r="H5976" s="5" t="s">
        <v>6017</v>
      </c>
      <c r="I5976" s="7">
        <v>1597400</v>
      </c>
      <c r="J5976" s="8">
        <v>3.7400000000000003E-2</v>
      </c>
    </row>
    <row r="5977" spans="1:10" x14ac:dyDescent="0.25">
      <c r="A5977" s="5" t="s">
        <v>6011</v>
      </c>
      <c r="B5977" s="5" t="s">
        <v>7844</v>
      </c>
      <c r="C5977" s="6" t="str">
        <f>_xll.QS.CONTEXT.CREATE("market.5975",A5977,"USD","SOFR")</f>
        <v>QSObject:PricingContext:w1~market.5975:8843</v>
      </c>
      <c r="D5977" s="6" t="str">
        <f>_xll.QS.CONTEXT.ADD.CURVE(C5977,"SOFR",$K$2:$K$7,$L$2:$L$7,,,"Actual360","LogLinear",TRUE)</f>
        <v>QSObject:ContextInput:w1~input.qs_context_add_curve.2359132437744.5976.3.0:34527</v>
      </c>
      <c r="E5977" s="6" t="str">
        <f>_xll.QS.INSTRUMENT.SWAP("swap.5975",H5977,B5977,"USD","SOFR",I5977,J5977,0,"Actual360","Simple","Annual","Annual","Annual")</f>
        <v>QSObject:Swap:w1~swap.5975:8842</v>
      </c>
      <c r="F5977" s="6" t="str">
        <f>_xll.QS.TRADE.CREATE("trade.5975",E5977,A5977,"Receive")</f>
        <v>QSObject:SwapTrade:w1~trade.5975:25954</v>
      </c>
      <c r="G5977" s="3">
        <f>_xll.QS.EVALUATE(C5977,F5977)</f>
        <v>40444.971229091716</v>
      </c>
      <c r="H5977" s="5" t="s">
        <v>6018</v>
      </c>
      <c r="I5977" s="7">
        <v>1597500</v>
      </c>
      <c r="J5977" s="8">
        <v>3.7500000000000012E-2</v>
      </c>
    </row>
    <row r="5978" spans="1:10" x14ac:dyDescent="0.25">
      <c r="A5978" s="5" t="s">
        <v>6012</v>
      </c>
      <c r="B5978" s="5" t="s">
        <v>7845</v>
      </c>
      <c r="C5978" s="6" t="str">
        <f>_xll.QS.CONTEXT.CREATE("market.5976",A5978,"USD","SOFR")</f>
        <v>QSObject:PricingContext:w1~market.5976:8841</v>
      </c>
      <c r="D5978" s="6" t="str">
        <f>_xll.QS.CONTEXT.ADD.CURVE(C5978,"SOFR",$K$2:$K$7,$L$2:$L$7,,,"Actual360","LogLinear",TRUE)</f>
        <v>QSObject:ContextInput:w1~input.qs_context_add_curve.2359132437744.5977.3.0:34526</v>
      </c>
      <c r="E5978" s="6" t="str">
        <f>_xll.QS.INSTRUMENT.SWAP("swap.5976",H5978,B5978,"USD","SOFR",I5978,J5978,0,"Actual360","Simple","Annual","Annual","Annual")</f>
        <v>QSObject:Swap:w1~swap.5976:8840</v>
      </c>
      <c r="F5978" s="6" t="str">
        <f>_xll.QS.TRADE.CREATE("trade.5976",E5978,A5978,"Receive")</f>
        <v>QSObject:SwapTrade:w1~trade.5976:25953</v>
      </c>
      <c r="G5978" s="3">
        <f>_xll.QS.EVALUATE(C5978,F5978)</f>
        <v>41068.150654339799</v>
      </c>
      <c r="H5978" s="5" t="s">
        <v>6019</v>
      </c>
      <c r="I5978" s="7">
        <v>1597600</v>
      </c>
      <c r="J5978" s="8">
        <v>3.7600000000000001E-2</v>
      </c>
    </row>
    <row r="5979" spans="1:10" x14ac:dyDescent="0.25">
      <c r="A5979" s="5" t="s">
        <v>6013</v>
      </c>
      <c r="B5979" s="5" t="s">
        <v>7846</v>
      </c>
      <c r="C5979" s="6" t="str">
        <f>_xll.QS.CONTEXT.CREATE("market.5977",A5979,"USD","SOFR")</f>
        <v>QSObject:PricingContext:w1~market.5977:8839</v>
      </c>
      <c r="D5979" s="6" t="str">
        <f>_xll.QS.CONTEXT.ADD.CURVE(C5979,"SOFR",$K$2:$K$7,$L$2:$L$7,,,"Actual360","LogLinear",TRUE)</f>
        <v>QSObject:ContextInput:w1~input.qs_context_add_curve.2359132437744.5978.3.0:34525</v>
      </c>
      <c r="E5979" s="6" t="str">
        <f>_xll.QS.INSTRUMENT.SWAP("swap.5977",H5979,B5979,"USD","SOFR",I5979,J5979,0,"Actual360","Simple","Annual","Annual","Annual")</f>
        <v>QSObject:Swap:w1~swap.5977:8838</v>
      </c>
      <c r="F5979" s="6" t="str">
        <f>_xll.QS.TRADE.CREATE("trade.5977",E5979,A5979,"Receive")</f>
        <v>QSObject:SwapTrade:w1~trade.5977:25952</v>
      </c>
      <c r="G5979" s="3">
        <f>_xll.QS.EVALUATE(C5979,F5979)</f>
        <v>41690.098056894582</v>
      </c>
      <c r="H5979" s="5" t="s">
        <v>6020</v>
      </c>
      <c r="I5979" s="7">
        <v>1597700</v>
      </c>
      <c r="J5979" s="8">
        <v>3.7699999999999997E-2</v>
      </c>
    </row>
    <row r="5980" spans="1:10" x14ac:dyDescent="0.25">
      <c r="A5980" s="5" t="s">
        <v>6014</v>
      </c>
      <c r="B5980" s="5" t="s">
        <v>7847</v>
      </c>
      <c r="C5980" s="6" t="str">
        <f>_xll.QS.CONTEXT.CREATE("market.5978",A5980,"USD","SOFR")</f>
        <v>QSObject:PricingContext:w1~market.5978:8837</v>
      </c>
      <c r="D5980" s="6" t="str">
        <f>_xll.QS.CONTEXT.ADD.CURVE(C5980,"SOFR",$K$2:$K$7,$L$2:$L$7,,,"Actual360","LogLinear",TRUE)</f>
        <v>QSObject:ContextInput:w1~input.qs_context_add_curve.2359132437744.5979.3.0:34524</v>
      </c>
      <c r="E5980" s="6" t="str">
        <f>_xll.QS.INSTRUMENT.SWAP("swap.5978",H5980,B5980,"USD","SOFR",I5980,J5980,0,"Actual360","Simple","Annual","Annual","Annual")</f>
        <v>QSObject:Swap:w1~swap.5978:8836</v>
      </c>
      <c r="F5980" s="6" t="str">
        <f>_xll.QS.TRADE.CREATE("trade.5978",E5980,A5980,"Receive")</f>
        <v>QSObject:SwapTrade:w1~trade.5978:25951</v>
      </c>
      <c r="G5980" s="3">
        <f>_xll.QS.EVALUATE(C5980,F5980)</f>
        <v>42498.061579000067</v>
      </c>
      <c r="H5980" s="5" t="s">
        <v>6021</v>
      </c>
      <c r="I5980" s="7">
        <v>1597800</v>
      </c>
      <c r="J5980" s="8">
        <v>3.78E-2</v>
      </c>
    </row>
    <row r="5981" spans="1:10" x14ac:dyDescent="0.25">
      <c r="A5981" s="5" t="s">
        <v>6015</v>
      </c>
      <c r="B5981" s="5" t="s">
        <v>7848</v>
      </c>
      <c r="C5981" s="6" t="str">
        <f>_xll.QS.CONTEXT.CREATE("market.5979",A5981,"USD","SOFR")</f>
        <v>QSObject:PricingContext:w1~market.5979:8835</v>
      </c>
      <c r="D5981" s="6" t="str">
        <f>_xll.QS.CONTEXT.ADD.CURVE(C5981,"SOFR",$K$2:$K$7,$L$2:$L$7,,,"Actual360","LogLinear",TRUE)</f>
        <v>QSObject:ContextInput:w1~input.qs_context_add_curve.2359132437744.5980.3.0:34523</v>
      </c>
      <c r="E5981" s="6" t="str">
        <f>_xll.QS.INSTRUMENT.SWAP("swap.5979",H5981,B5981,"USD","SOFR",I5981,J5981,0,"Actual360","Simple","Annual","Annual","Annual")</f>
        <v>QSObject:Swap:w1~swap.5979:8834</v>
      </c>
      <c r="F5981" s="6" t="str">
        <f>_xll.QS.TRADE.CREATE("trade.5979",E5981,A5981,"Receive")</f>
        <v>QSObject:SwapTrade:w1~trade.5979:25950</v>
      </c>
      <c r="G5981" s="3">
        <f>_xll.QS.EVALUATE(C5981,F5981)</f>
        <v>43276.716952625138</v>
      </c>
      <c r="H5981" s="5" t="s">
        <v>6022</v>
      </c>
      <c r="I5981" s="7">
        <v>1597900</v>
      </c>
      <c r="J5981" s="8">
        <v>3.7900000000000003E-2</v>
      </c>
    </row>
    <row r="5982" spans="1:10" x14ac:dyDescent="0.25">
      <c r="A5982" s="5" t="s">
        <v>6016</v>
      </c>
      <c r="B5982" s="5" t="s">
        <v>7849</v>
      </c>
      <c r="C5982" s="6" t="str">
        <f>_xll.QS.CONTEXT.CREATE("market.5980",A5982,"USD","SOFR")</f>
        <v>QSObject:PricingContext:w1~market.5980:8833</v>
      </c>
      <c r="D5982" s="6" t="str">
        <f>_xll.QS.CONTEXT.ADD.CURVE(C5982,"SOFR",$K$2:$K$7,$L$2:$L$7,,,"Actual360","LogLinear",TRUE)</f>
        <v>QSObject:ContextInput:w1~input.qs_context_add_curve.2359132437744.5981.3.0:34522</v>
      </c>
      <c r="E5982" s="6" t="str">
        <f>_xll.QS.INSTRUMENT.SWAP("swap.5980",H5982,B5982,"USD","SOFR",I5982,J5982,0,"Actual360","Simple","Annual","Annual","Annual")</f>
        <v>QSObject:Swap:w1~swap.5980:8832</v>
      </c>
      <c r="F5982" s="6" t="str">
        <f>_xll.QS.TRADE.CREATE("trade.5980",E5982,A5982,"Receive")</f>
        <v>QSObject:SwapTrade:w1~trade.5980:25949</v>
      </c>
      <c r="G5982" s="3">
        <f>_xll.QS.EVALUATE(C5982,F5982)</f>
        <v>44133.068323221523</v>
      </c>
      <c r="H5982" s="5" t="s">
        <v>6023</v>
      </c>
      <c r="I5982" s="7">
        <v>1598000</v>
      </c>
      <c r="J5982" s="8">
        <v>3.8000000000000013E-2</v>
      </c>
    </row>
    <row r="5983" spans="1:10" x14ac:dyDescent="0.25">
      <c r="A5983" s="5" t="s">
        <v>6017</v>
      </c>
      <c r="B5983" s="5" t="s">
        <v>7850</v>
      </c>
      <c r="C5983" s="6" t="str">
        <f>_xll.QS.CONTEXT.CREATE("market.5981",A5983,"USD","SOFR")</f>
        <v>QSObject:PricingContext:w1~market.5981:8831</v>
      </c>
      <c r="D5983" s="6" t="str">
        <f>_xll.QS.CONTEXT.ADD.CURVE(C5983,"SOFR",$K$2:$K$7,$L$2:$L$7,,,"Actual360","LogLinear",TRUE)</f>
        <v>QSObject:ContextInput:w1~input.qs_context_add_curve.2359132437744.5982.3.0:34521</v>
      </c>
      <c r="E5983" s="6" t="str">
        <f>_xll.QS.INSTRUMENT.SWAP("swap.5981",H5983,B5983,"USD","SOFR",I5983,J5983,0,"Actual360","Simple","Annual","Annual","Annual")</f>
        <v>QSObject:Swap:w1~swap.5981:8830</v>
      </c>
      <c r="F5983" s="6" t="str">
        <f>_xll.QS.TRADE.CREATE("trade.5981",E5983,A5983,"Receive")</f>
        <v>QSObject:SwapTrade:w1~trade.5981:25948</v>
      </c>
      <c r="G5983" s="3">
        <f>_xll.QS.EVALUATE(C5983,F5983)</f>
        <v>44942.047289793976</v>
      </c>
      <c r="H5983" s="5" t="s">
        <v>6024</v>
      </c>
      <c r="I5983" s="7">
        <v>1598100</v>
      </c>
      <c r="J5983" s="8">
        <v>3.8100000000000002E-2</v>
      </c>
    </row>
    <row r="5984" spans="1:10" x14ac:dyDescent="0.25">
      <c r="A5984" s="5" t="s">
        <v>6018</v>
      </c>
      <c r="B5984" s="5" t="s">
        <v>7851</v>
      </c>
      <c r="C5984" s="6" t="str">
        <f>_xll.QS.CONTEXT.CREATE("market.5982",A5984,"USD","SOFR")</f>
        <v>QSObject:PricingContext:w1~market.5982:8829</v>
      </c>
      <c r="D5984" s="6" t="str">
        <f>_xll.QS.CONTEXT.ADD.CURVE(C5984,"SOFR",$K$2:$K$7,$L$2:$L$7,,,"Actual360","LogLinear",TRUE)</f>
        <v>QSObject:ContextInput:w1~input.qs_context_add_curve.2359132437744.5983.3.0:34520</v>
      </c>
      <c r="E5984" s="6" t="str">
        <f>_xll.QS.INSTRUMENT.SWAP("swap.5982",H5984,B5984,"USD","SOFR",I5984,J5984,0,"Actual360","Simple","Annual","Annual","Annual")</f>
        <v>QSObject:Swap:w1~swap.5982:8828</v>
      </c>
      <c r="F5984" s="6" t="str">
        <f>_xll.QS.TRADE.CREATE("trade.5982",E5984,A5984,"Receive")</f>
        <v>QSObject:SwapTrade:w1~trade.5982:25947</v>
      </c>
      <c r="G5984" s="3">
        <f>_xll.QS.EVALUATE(C5984,F5984)</f>
        <v>45621.222123764848</v>
      </c>
      <c r="H5984" s="5" t="s">
        <v>6025</v>
      </c>
      <c r="I5984" s="7">
        <v>1598200</v>
      </c>
      <c r="J5984" s="8">
        <v>3.8199999999999998E-2</v>
      </c>
    </row>
    <row r="5985" spans="1:10" x14ac:dyDescent="0.25">
      <c r="A5985" s="5" t="s">
        <v>6019</v>
      </c>
      <c r="B5985" s="5" t="s">
        <v>7852</v>
      </c>
      <c r="C5985" s="6" t="str">
        <f>_xll.QS.CONTEXT.CREATE("market.5983",A5985,"USD","SOFR")</f>
        <v>QSObject:PricingContext:w1~market.5983:8827</v>
      </c>
      <c r="D5985" s="6" t="str">
        <f>_xll.QS.CONTEXT.ADD.CURVE(C5985,"SOFR",$K$2:$K$7,$L$2:$L$7,,,"Actual360","LogLinear",TRUE)</f>
        <v>QSObject:ContextInput:w1~input.qs_context_add_curve.2359132437744.5984.3.0:34519</v>
      </c>
      <c r="E5985" s="6" t="str">
        <f>_xll.QS.INSTRUMENT.SWAP("swap.5983",H5985,B5985,"USD","SOFR",I5985,J5985,0,"Actual360","Simple","Annual","Annual","Annual")</f>
        <v>QSObject:Swap:w1~swap.5983:8826</v>
      </c>
      <c r="F5985" s="6" t="str">
        <f>_xll.QS.TRADE.CREATE("trade.5983",E5985,A5985,"Receive")</f>
        <v>QSObject:SwapTrade:w1~trade.5983:25946</v>
      </c>
      <c r="G5985" s="3">
        <f>_xll.QS.EVALUATE(C5985,F5985)</f>
        <v>46209.874896698137</v>
      </c>
      <c r="H5985" s="5" t="s">
        <v>6026</v>
      </c>
      <c r="I5985" s="7">
        <v>1598300</v>
      </c>
      <c r="J5985" s="8">
        <v>3.8300000000000001E-2</v>
      </c>
    </row>
    <row r="5986" spans="1:10" x14ac:dyDescent="0.25">
      <c r="A5986" s="5" t="s">
        <v>6020</v>
      </c>
      <c r="B5986" s="5" t="s">
        <v>7853</v>
      </c>
      <c r="C5986" s="6" t="str">
        <f>_xll.QS.CONTEXT.CREATE("market.5984",A5986,"USD","SOFR")</f>
        <v>QSObject:PricingContext:w1~market.5984:8825</v>
      </c>
      <c r="D5986" s="6" t="str">
        <f>_xll.QS.CONTEXT.ADD.CURVE(C5986,"SOFR",$K$2:$K$7,$L$2:$L$7,,,"Actual360","LogLinear",TRUE)</f>
        <v>QSObject:ContextInput:w1~input.qs_context_add_curve.2359132437744.5985.3.0:34518</v>
      </c>
      <c r="E5986" s="6" t="str">
        <f>_xll.QS.INSTRUMENT.SWAP("swap.5984",H5986,B5986,"USD","SOFR",I5986,J5986,0,"Actual360","Simple","Annual","Annual","Annual")</f>
        <v>QSObject:Swap:w1~swap.5984:8824</v>
      </c>
      <c r="F5986" s="6" t="str">
        <f>_xll.QS.TRADE.CREATE("trade.5984",E5986,A5986,"Receive")</f>
        <v>QSObject:SwapTrade:w1~trade.5984:25945</v>
      </c>
      <c r="G5986" s="3">
        <f>_xll.QS.EVALUATE(C5986,F5986)</f>
        <v>46802.359135753344</v>
      </c>
      <c r="H5986" s="5" t="s">
        <v>6027</v>
      </c>
      <c r="I5986" s="7">
        <v>1598400</v>
      </c>
      <c r="J5986" s="8">
        <v>3.8399999999999997E-2</v>
      </c>
    </row>
    <row r="5987" spans="1:10" x14ac:dyDescent="0.25">
      <c r="A5987" s="5" t="s">
        <v>6021</v>
      </c>
      <c r="B5987" s="5" t="s">
        <v>7854</v>
      </c>
      <c r="C5987" s="6" t="str">
        <f>_xll.QS.CONTEXT.CREATE("market.5985",A5987,"USD","SOFR")</f>
        <v>QSObject:PricingContext:w1~market.5985:8823</v>
      </c>
      <c r="D5987" s="6" t="str">
        <f>_xll.QS.CONTEXT.ADD.CURVE(C5987,"SOFR",$K$2:$K$7,$L$2:$L$7,,,"Actual360","LogLinear",TRUE)</f>
        <v>QSObject:ContextInput:w1~input.qs_context_add_curve.2359132437744.5986.3.0:34517</v>
      </c>
      <c r="E5987" s="6" t="str">
        <f>_xll.QS.INSTRUMENT.SWAP("swap.5985",H5987,B5987,"USD","SOFR",I5987,J5987,0,"Actual360","Simple","Annual","Annual","Annual")</f>
        <v>QSObject:Swap:w1~swap.5985:8822</v>
      </c>
      <c r="F5987" s="6" t="str">
        <f>_xll.QS.TRADE.CREATE("trade.5985",E5987,A5987,"Receive")</f>
        <v>QSObject:SwapTrade:w1~trade.5985:25944</v>
      </c>
      <c r="G5987" s="3">
        <f>_xll.QS.EVALUATE(C5987,F5987)</f>
        <v>47612.555584080706</v>
      </c>
      <c r="H5987" s="5" t="s">
        <v>6028</v>
      </c>
      <c r="I5987" s="7">
        <v>1598500</v>
      </c>
      <c r="J5987" s="8">
        <v>3.8500000000000013E-2</v>
      </c>
    </row>
    <row r="5988" spans="1:10" x14ac:dyDescent="0.25">
      <c r="A5988" s="5" t="s">
        <v>6022</v>
      </c>
      <c r="B5988" s="5" t="s">
        <v>7855</v>
      </c>
      <c r="C5988" s="6" t="str">
        <f>_xll.QS.CONTEXT.CREATE("market.5986",A5988,"USD","SOFR")</f>
        <v>QSObject:PricingContext:w1~market.5986:8821</v>
      </c>
      <c r="D5988" s="6" t="str">
        <f>_xll.QS.CONTEXT.ADD.CURVE(C5988,"SOFR",$K$2:$K$7,$L$2:$L$7,,,"Actual360","LogLinear",TRUE)</f>
        <v>QSObject:ContextInput:w1~input.qs_context_add_curve.2359132437744.5987.3.0:34516</v>
      </c>
      <c r="E5988" s="6" t="str">
        <f>_xll.QS.INSTRUMENT.SWAP("swap.5986",H5988,B5988,"USD","SOFR",I5988,J5988,0,"Actual360","Simple","Annual","Annual","Annual")</f>
        <v>QSObject:Swap:w1~swap.5986:8820</v>
      </c>
      <c r="F5988" s="6" t="str">
        <f>_xll.QS.TRADE.CREATE("trade.5986",E5988,A5988,"Receive")</f>
        <v>QSObject:SwapTrade:w1~trade.5986:25943</v>
      </c>
      <c r="G5988" s="3">
        <f>_xll.QS.EVALUATE(C5988,F5988)</f>
        <v>48420.269175676993</v>
      </c>
      <c r="H5988" s="5" t="s">
        <v>6029</v>
      </c>
      <c r="I5988" s="7">
        <v>1598600</v>
      </c>
      <c r="J5988" s="8">
        <v>3.8600000000000002E-2</v>
      </c>
    </row>
    <row r="5989" spans="1:10" x14ac:dyDescent="0.25">
      <c r="A5989" s="5" t="s">
        <v>6023</v>
      </c>
      <c r="B5989" s="5" t="s">
        <v>7856</v>
      </c>
      <c r="C5989" s="6" t="str">
        <f>_xll.QS.CONTEXT.CREATE("market.5987",A5989,"USD","SOFR")</f>
        <v>QSObject:PricingContext:w1~market.5987:8819</v>
      </c>
      <c r="D5989" s="6" t="str">
        <f>_xll.QS.CONTEXT.ADD.CURVE(C5989,"SOFR",$K$2:$K$7,$L$2:$L$7,,,"Actual360","LogLinear",TRUE)</f>
        <v>QSObject:ContextInput:w1~input.qs_context_add_curve.2359132437744.5988.3.0:34515</v>
      </c>
      <c r="E5989" s="6" t="str">
        <f>_xll.QS.INSTRUMENT.SWAP("swap.5987",H5989,B5989,"USD","SOFR",I5989,J5989,0,"Actual360","Simple","Annual","Annual","Annual")</f>
        <v>QSObject:Swap:w1~swap.5987:8818</v>
      </c>
      <c r="F5989" s="6" t="str">
        <f>_xll.QS.TRADE.CREATE("trade.5987",E5989,A5989,"Receive")</f>
        <v>QSObject:SwapTrade:w1~trade.5987:25942</v>
      </c>
      <c r="G5989" s="3">
        <f>_xll.QS.EVALUATE(C5989,F5989)</f>
        <v>49373.154866703379</v>
      </c>
      <c r="H5989" s="5" t="s">
        <v>6030</v>
      </c>
      <c r="I5989" s="7">
        <v>1598700</v>
      </c>
      <c r="J5989" s="8">
        <v>3.8700000000000012E-2</v>
      </c>
    </row>
    <row r="5990" spans="1:10" x14ac:dyDescent="0.25">
      <c r="A5990" s="5" t="s">
        <v>6024</v>
      </c>
      <c r="B5990" s="5" t="s">
        <v>7857</v>
      </c>
      <c r="C5990" s="6" t="str">
        <f>_xll.QS.CONTEXT.CREATE("market.5988",A5990,"USD","SOFR")</f>
        <v>QSObject:PricingContext:w1~market.5988:8817</v>
      </c>
      <c r="D5990" s="6" t="str">
        <f>_xll.QS.CONTEXT.ADD.CURVE(C5990,"SOFR",$K$2:$K$7,$L$2:$L$7,,,"Actual360","LogLinear",TRUE)</f>
        <v>QSObject:ContextInput:w1~input.qs_context_add_curve.2359132437744.5989.3.0:34514</v>
      </c>
      <c r="E5990" s="6" t="str">
        <f>_xll.QS.INSTRUMENT.SWAP("swap.5988",H5990,B5990,"USD","SOFR",I5990,J5990,0,"Actual360","Simple","Annual","Annual","Annual")</f>
        <v>QSObject:Swap:w1~swap.5988:8816</v>
      </c>
      <c r="F5990" s="6" t="str">
        <f>_xll.QS.TRADE.CREATE("trade.5988",E5990,A5990,"Receive")</f>
        <v>QSObject:SwapTrade:w1~trade.5988:25941</v>
      </c>
      <c r="G5990" s="3">
        <f>_xll.QS.EVALUATE(C5990,F5990)</f>
        <v>50127.656139135819</v>
      </c>
      <c r="H5990" s="5" t="s">
        <v>6031</v>
      </c>
      <c r="I5990" s="7">
        <v>1598800</v>
      </c>
      <c r="J5990" s="8">
        <v>3.8800000000000001E-2</v>
      </c>
    </row>
    <row r="5991" spans="1:10" x14ac:dyDescent="0.25">
      <c r="A5991" s="5" t="s">
        <v>6025</v>
      </c>
      <c r="B5991" s="5" t="s">
        <v>7858</v>
      </c>
      <c r="C5991" s="6" t="str">
        <f>_xll.QS.CONTEXT.CREATE("market.5989",A5991,"USD","SOFR")</f>
        <v>QSObject:PricingContext:w1~market.5989:8815</v>
      </c>
      <c r="D5991" s="6" t="str">
        <f>_xll.QS.CONTEXT.ADD.CURVE(C5991,"SOFR",$K$2:$K$7,$L$2:$L$7,,,"Actual360","LogLinear",TRUE)</f>
        <v>QSObject:ContextInput:w1~input.qs_context_add_curve.2359132437744.5990.3.0:34513</v>
      </c>
      <c r="E5991" s="6" t="str">
        <f>_xll.QS.INSTRUMENT.SWAP("swap.5989",H5991,B5991,"USD","SOFR",I5991,J5991,0,"Actual360","Simple","Annual","Annual","Annual")</f>
        <v>QSObject:Swap:w1~swap.5989:8814</v>
      </c>
      <c r="F5991" s="6" t="str">
        <f>_xll.QS.TRADE.CREATE("trade.5989",E5991,A5991,"Receive")</f>
        <v>QSObject:SwapTrade:w1~trade.5989:25940</v>
      </c>
      <c r="G5991" s="3">
        <f>_xll.QS.EVALUATE(C5991,F5991)</f>
        <v>50866.77493058511</v>
      </c>
      <c r="H5991" s="5" t="s">
        <v>6032</v>
      </c>
      <c r="I5991" s="7">
        <v>1598900</v>
      </c>
      <c r="J5991" s="8">
        <v>3.8899999999999997E-2</v>
      </c>
    </row>
    <row r="5992" spans="1:10" x14ac:dyDescent="0.25">
      <c r="A5992" s="5" t="s">
        <v>6026</v>
      </c>
      <c r="B5992" s="5" t="s">
        <v>7859</v>
      </c>
      <c r="C5992" s="6" t="str">
        <f>_xll.QS.CONTEXT.CREATE("market.5990",A5992,"USD","SOFR")</f>
        <v>QSObject:PricingContext:w1~market.5990:8813</v>
      </c>
      <c r="D5992" s="6" t="str">
        <f>_xll.QS.CONTEXT.ADD.CURVE(C5992,"SOFR",$K$2:$K$7,$L$2:$L$7,,,"Actual360","LogLinear",TRUE)</f>
        <v>QSObject:ContextInput:w1~input.qs_context_add_curve.2359132437744.5991.3.0:34512</v>
      </c>
      <c r="E5992" s="6" t="str">
        <f>_xll.QS.INSTRUMENT.SWAP("swap.5990",H5992,B5992,"USD","SOFR",I5992,J5992,0,"Actual360","Simple","Annual","Annual","Annual")</f>
        <v>QSObject:Swap:w1~swap.5990:8812</v>
      </c>
      <c r="F5992" s="6" t="str">
        <f>_xll.QS.TRADE.CREATE("trade.5990",E5992,A5992,"Receive")</f>
        <v>QSObject:SwapTrade:w1~trade.5990:25939</v>
      </c>
      <c r="G5992" s="3">
        <f>_xll.QS.EVALUATE(C5992,F5992)</f>
        <v>51478.978876831236</v>
      </c>
      <c r="H5992" s="5" t="s">
        <v>6033</v>
      </c>
      <c r="I5992" s="7">
        <v>1599000</v>
      </c>
      <c r="J5992" s="8">
        <v>3.9000000000000007E-2</v>
      </c>
    </row>
    <row r="5993" spans="1:10" x14ac:dyDescent="0.25">
      <c r="A5993" s="5" t="s">
        <v>6027</v>
      </c>
      <c r="B5993" s="5" t="s">
        <v>7860</v>
      </c>
      <c r="C5993" s="6" t="str">
        <f>_xll.QS.CONTEXT.CREATE("market.5991",A5993,"USD","SOFR")</f>
        <v>QSObject:PricingContext:w1~market.5991:8811</v>
      </c>
      <c r="D5993" s="6" t="str">
        <f>_xll.QS.CONTEXT.ADD.CURVE(C5993,"SOFR",$K$2:$K$7,$L$2:$L$7,,,"Actual360","LogLinear",TRUE)</f>
        <v>QSObject:ContextInput:w1~input.qs_context_add_curve.2359132437744.5992.3.0:34511</v>
      </c>
      <c r="E5993" s="6" t="str">
        <f>_xll.QS.INSTRUMENT.SWAP("swap.5991",H5993,B5993,"USD","SOFR",I5993,J5993,0,"Actual360","Simple","Annual","Annual","Annual")</f>
        <v>QSObject:Swap:w1~swap.5991:8810</v>
      </c>
      <c r="F5993" s="6" t="str">
        <f>_xll.QS.TRADE.CREATE("trade.5991",E5993,A5993,"Receive")</f>
        <v>QSObject:SwapTrade:w1~trade.5991:25938</v>
      </c>
      <c r="G5993" s="3">
        <f>_xll.QS.EVALUATE(C5993,F5993)</f>
        <v>52118.126750287185</v>
      </c>
      <c r="H5993" s="5" t="s">
        <v>6034</v>
      </c>
      <c r="I5993" s="7">
        <v>1599100</v>
      </c>
      <c r="J5993" s="8">
        <v>3.9100000000000003E-2</v>
      </c>
    </row>
    <row r="5994" spans="1:10" x14ac:dyDescent="0.25">
      <c r="A5994" s="5" t="s">
        <v>6028</v>
      </c>
      <c r="B5994" s="5" t="s">
        <v>7861</v>
      </c>
      <c r="C5994" s="6" t="str">
        <f>_xll.QS.CONTEXT.CREATE("market.5992",A5994,"USD","SOFR")</f>
        <v>QSObject:PricingContext:w1~market.5992:8809</v>
      </c>
      <c r="D5994" s="6" t="str">
        <f>_xll.QS.CONTEXT.ADD.CURVE(C5994,"SOFR",$K$2:$K$7,$L$2:$L$7,,,"Actual360","LogLinear",TRUE)</f>
        <v>QSObject:ContextInput:w1~input.qs_context_add_curve.2359132437744.5993.3.0:34510</v>
      </c>
      <c r="E5994" s="6" t="str">
        <f>_xll.QS.INSTRUMENT.SWAP("swap.5992",H5994,B5994,"USD","SOFR",I5994,J5994,0,"Actual360","Simple","Annual","Annual","Annual")</f>
        <v>QSObject:Swap:w1~swap.5992:8808</v>
      </c>
      <c r="F5994" s="6" t="str">
        <f>_xll.QS.TRADE.CREATE("trade.5992",E5994,A5994,"Receive")</f>
        <v>QSObject:SwapTrade:w1~trade.5992:25937</v>
      </c>
      <c r="G5994" s="3">
        <f>_xll.QS.EVALUATE(C5994,F5994)</f>
        <v>52863.195893150325</v>
      </c>
      <c r="H5994" s="5" t="s">
        <v>6035</v>
      </c>
      <c r="I5994" s="7">
        <v>1599200</v>
      </c>
      <c r="J5994" s="8">
        <v>3.9200000000000013E-2</v>
      </c>
    </row>
    <row r="5995" spans="1:10" x14ac:dyDescent="0.25">
      <c r="A5995" s="5" t="s">
        <v>6029</v>
      </c>
      <c r="B5995" s="5" t="s">
        <v>7862</v>
      </c>
      <c r="C5995" s="6" t="str">
        <f>_xll.QS.CONTEXT.CREATE("market.5993",A5995,"USD","SOFR")</f>
        <v>QSObject:PricingContext:w1~market.5993:8807</v>
      </c>
      <c r="D5995" s="6" t="str">
        <f>_xll.QS.CONTEXT.ADD.CURVE(C5995,"SOFR",$K$2:$K$7,$L$2:$L$7,,,"Actual360","LogLinear",TRUE)</f>
        <v>QSObject:ContextInput:w1~input.qs_context_add_curve.2359132437744.5994.3.0:34509</v>
      </c>
      <c r="E5995" s="6" t="str">
        <f>_xll.QS.INSTRUMENT.SWAP("swap.5993",H5995,B5995,"USD","SOFR",I5995,J5995,0,"Actual360","Simple","Annual","Annual","Annual")</f>
        <v>QSObject:Swap:w1~swap.5993:8806</v>
      </c>
      <c r="F5995" s="6" t="str">
        <f>_xll.QS.TRADE.CREATE("trade.5993",E5995,A5995,"Receive")</f>
        <v>QSObject:SwapTrade:w1~trade.5993:25936</v>
      </c>
      <c r="G5995" s="3">
        <f>_xll.QS.EVALUATE(C5995,F5995)</f>
        <v>53639.59065019244</v>
      </c>
      <c r="H5995" s="5" t="s">
        <v>6036</v>
      </c>
      <c r="I5995" s="7">
        <v>1599300</v>
      </c>
      <c r="J5995" s="8">
        <v>3.9300000000000002E-2</v>
      </c>
    </row>
    <row r="5996" spans="1:10" x14ac:dyDescent="0.25">
      <c r="A5996" s="5" t="s">
        <v>6030</v>
      </c>
      <c r="B5996" s="5" t="s">
        <v>7863</v>
      </c>
      <c r="C5996" s="6" t="str">
        <f>_xll.QS.CONTEXT.CREATE("market.5994",A5996,"USD","SOFR")</f>
        <v>QSObject:PricingContext:w1~market.5994:8805</v>
      </c>
      <c r="D5996" s="6" t="str">
        <f>_xll.QS.CONTEXT.ADD.CURVE(C5996,"SOFR",$K$2:$K$7,$L$2:$L$7,,,"Actual360","LogLinear",TRUE)</f>
        <v>QSObject:ContextInput:w1~input.qs_context_add_curve.2359132437744.5995.3.0:34508</v>
      </c>
      <c r="E5996" s="6" t="str">
        <f>_xll.QS.INSTRUMENT.SWAP("swap.5994",H5996,B5996,"USD","SOFR",I5996,J5996,0,"Actual360","Simple","Annual","Annual","Annual")</f>
        <v>QSObject:Swap:w1~swap.5994:8804</v>
      </c>
      <c r="F5996" s="6" t="str">
        <f>_xll.QS.TRADE.CREATE("trade.5994",E5996,A5996,"Receive")</f>
        <v>QSObject:SwapTrade:w1~trade.5994:25935</v>
      </c>
      <c r="G5996" s="3">
        <f>_xll.QS.EVALUATE(C5996,F5996)</f>
        <v>54497.585492874314</v>
      </c>
      <c r="H5996" s="5" t="s">
        <v>6037</v>
      </c>
      <c r="I5996" s="7">
        <v>1599400</v>
      </c>
      <c r="J5996" s="8">
        <v>3.9399999999999998E-2</v>
      </c>
    </row>
    <row r="5997" spans="1:10" x14ac:dyDescent="0.25">
      <c r="A5997" s="5" t="s">
        <v>6031</v>
      </c>
      <c r="B5997" s="5" t="s">
        <v>7864</v>
      </c>
      <c r="C5997" s="6" t="str">
        <f>_xll.QS.CONTEXT.CREATE("market.5995",A5997,"USD","SOFR")</f>
        <v>QSObject:PricingContext:w1~market.5995:8803</v>
      </c>
      <c r="D5997" s="6" t="str">
        <f>_xll.QS.CONTEXT.ADD.CURVE(C5997,"SOFR",$K$2:$K$7,$L$2:$L$7,,,"Actual360","LogLinear",TRUE)</f>
        <v>QSObject:ContextInput:w1~input.qs_context_add_curve.2359132437744.5996.3.0:34507</v>
      </c>
      <c r="E5997" s="6" t="str">
        <f>_xll.QS.INSTRUMENT.SWAP("swap.5995",H5997,B5997,"USD","SOFR",I5997,J5997,0,"Actual360","Simple","Annual","Annual","Annual")</f>
        <v>QSObject:Swap:w1~swap.5995:8802</v>
      </c>
      <c r="F5997" s="6" t="str">
        <f>_xll.QS.TRADE.CREATE("trade.5995",E5997,A5997,"Receive")</f>
        <v>QSObject:SwapTrade:w1~trade.5995:25934</v>
      </c>
      <c r="G5997" s="3">
        <f>_xll.QS.EVALUATE(C5997,F5997)</f>
        <v>55308.32597219255</v>
      </c>
      <c r="H5997" s="5" t="s">
        <v>6038</v>
      </c>
      <c r="I5997" s="7">
        <v>1599500</v>
      </c>
      <c r="J5997" s="8">
        <v>3.9500000000000007E-2</v>
      </c>
    </row>
    <row r="5998" spans="1:10" x14ac:dyDescent="0.25">
      <c r="A5998" s="5" t="s">
        <v>6032</v>
      </c>
      <c r="B5998" s="5" t="s">
        <v>7865</v>
      </c>
      <c r="C5998" s="6" t="str">
        <f>_xll.QS.CONTEXT.CREATE("market.5996",A5998,"USD","SOFR")</f>
        <v>QSObject:PricingContext:w1~market.5996:8801</v>
      </c>
      <c r="D5998" s="6" t="str">
        <f>_xll.QS.CONTEXT.ADD.CURVE(C5998,"SOFR",$K$2:$K$7,$L$2:$L$7,,,"Actual360","LogLinear",TRUE)</f>
        <v>QSObject:ContextInput:w1~input.qs_context_add_curve.2359132437744.5997.3.0:34506</v>
      </c>
      <c r="E5998" s="6" t="str">
        <f>_xll.QS.INSTRUMENT.SWAP("swap.5996",H5998,B5998,"USD","SOFR",I5998,J5998,0,"Actual360","Simple","Annual","Annual","Annual")</f>
        <v>QSObject:Swap:w1~swap.5996:8800</v>
      </c>
      <c r="F5998" s="6" t="str">
        <f>_xll.QS.TRADE.CREATE("trade.5996",E5998,A5998,"Receive")</f>
        <v>QSObject:SwapTrade:w1~trade.5996:25933</v>
      </c>
      <c r="G5998" s="3">
        <f>_xll.QS.EVALUATE(C5998,F5998)</f>
        <v>55988.556906693848</v>
      </c>
      <c r="H5998" s="5" t="s">
        <v>6039</v>
      </c>
      <c r="I5998" s="7">
        <v>1599600</v>
      </c>
      <c r="J5998" s="8">
        <v>3.9600000000000003E-2</v>
      </c>
    </row>
    <row r="5999" spans="1:10" x14ac:dyDescent="0.25">
      <c r="A5999" s="5" t="s">
        <v>6033</v>
      </c>
      <c r="B5999" s="5" t="s">
        <v>7866</v>
      </c>
      <c r="C5999" s="6" t="str">
        <f>_xll.QS.CONTEXT.CREATE("market.5997",A5999,"USD","SOFR")</f>
        <v>QSObject:PricingContext:w1~market.5997:8799</v>
      </c>
      <c r="D5999" s="6" t="str">
        <f>_xll.QS.CONTEXT.ADD.CURVE(C5999,"SOFR",$K$2:$K$7,$L$2:$L$7,,,"Actual360","LogLinear",TRUE)</f>
        <v>QSObject:ContextInput:w1~input.qs_context_add_curve.2359132437744.5998.3.0:34505</v>
      </c>
      <c r="E5999" s="6" t="str">
        <f>_xll.QS.INSTRUMENT.SWAP("swap.5997",H5999,B5999,"USD","SOFR",I5999,J5999,0,"Actual360","Simple","Annual","Annual","Annual")</f>
        <v>QSObject:Swap:w1~swap.5997:8798</v>
      </c>
      <c r="F5999" s="6" t="str">
        <f>_xll.QS.TRADE.CREATE("trade.5997",E5999,A5999,"Receive")</f>
        <v>QSObject:SwapTrade:w1~trade.5997:25932</v>
      </c>
      <c r="G5999" s="3">
        <f>_xll.QS.EVALUATE(C5999,F5999)</f>
        <v>56595.264455687924</v>
      </c>
      <c r="H5999" s="5" t="s">
        <v>6040</v>
      </c>
      <c r="I5999" s="7">
        <v>1599700</v>
      </c>
      <c r="J5999" s="8">
        <v>3.9700000000000013E-2</v>
      </c>
    </row>
    <row r="6000" spans="1:10" x14ac:dyDescent="0.25">
      <c r="A6000" s="5" t="s">
        <v>6034</v>
      </c>
      <c r="B6000" s="5" t="s">
        <v>7867</v>
      </c>
      <c r="C6000" s="6" t="str">
        <f>_xll.QS.CONTEXT.CREATE("market.5998",A6000,"USD","SOFR")</f>
        <v>QSObject:PricingContext:w1~market.5998:8797</v>
      </c>
      <c r="D6000" s="6" t="str">
        <f>_xll.QS.CONTEXT.ADD.CURVE(C6000,"SOFR",$K$2:$K$7,$L$2:$L$7,,,"Actual360","LogLinear",TRUE)</f>
        <v>QSObject:ContextInput:w1~input.qs_context_add_curve.2359132437744.5999.3.0:34504</v>
      </c>
      <c r="E6000" s="6" t="str">
        <f>_xll.QS.INSTRUMENT.SWAP("swap.5998",H6000,B6000,"USD","SOFR",I6000,J6000,0,"Actual360","Simple","Annual","Annual","Annual")</f>
        <v>QSObject:Swap:w1~swap.5998:8796</v>
      </c>
      <c r="F6000" s="6" t="str">
        <f>_xll.QS.TRADE.CREATE("trade.5998",E6000,A6000,"Receive")</f>
        <v>QSObject:SwapTrade:w1~trade.5998:25931</v>
      </c>
      <c r="G6000" s="3">
        <f>_xll.QS.EVALUATE(C6000,F6000)</f>
        <v>57243.010648227442</v>
      </c>
      <c r="H6000" s="5" t="s">
        <v>6041</v>
      </c>
      <c r="I6000" s="7">
        <v>1599800</v>
      </c>
      <c r="J6000" s="8">
        <v>3.9800000000000002E-2</v>
      </c>
    </row>
    <row r="6001" spans="1:10" x14ac:dyDescent="0.25">
      <c r="A6001" s="5" t="s">
        <v>6035</v>
      </c>
      <c r="B6001" s="5" t="s">
        <v>7868</v>
      </c>
      <c r="C6001" s="6" t="str">
        <f>_xll.QS.CONTEXT.CREATE("market.5999",A6001,"USD","SOFR")</f>
        <v>QSObject:PricingContext:w1~market.5999:8795</v>
      </c>
      <c r="D6001" s="6" t="str">
        <f>_xll.QS.CONTEXT.ADD.CURVE(C6001,"SOFR",$K$2:$K$7,$L$2:$L$7,,,"Actual360","LogLinear",TRUE)</f>
        <v>QSObject:ContextInput:w1~input.qs_context_add_curve.2359132437744.6000.3.0:34503</v>
      </c>
      <c r="E6001" s="6" t="str">
        <f>_xll.QS.INSTRUMENT.SWAP("swap.5999",H6001,B6001,"USD","SOFR",I6001,J6001,0,"Actual360","Simple","Annual","Annual","Annual")</f>
        <v>QSObject:Swap:w1~swap.5999:8794</v>
      </c>
      <c r="F6001" s="6" t="str">
        <f>_xll.QS.TRADE.CREATE("trade.5999",E6001,A6001,"Receive")</f>
        <v>QSObject:SwapTrade:w1~trade.5999:25930</v>
      </c>
      <c r="G6001" s="3">
        <f>_xll.QS.EVALUATE(C6001,F6001)</f>
        <v>58054.556714062041</v>
      </c>
      <c r="H6001" s="5" t="s">
        <v>6042</v>
      </c>
      <c r="I6001" s="7">
        <v>1599900</v>
      </c>
      <c r="J6001" s="8">
        <v>3.9899999999999998E-2</v>
      </c>
    </row>
    <row r="6002" spans="1:10" x14ac:dyDescent="0.25">
      <c r="A6002" s="5" t="s">
        <v>6036</v>
      </c>
      <c r="B6002" s="5" t="s">
        <v>7869</v>
      </c>
      <c r="C6002" s="6" t="str">
        <f>_xll.QS.CONTEXT.CREATE("market.6000",A6002,"USD","SOFR")</f>
        <v>QSObject:PricingContext:w1~market.6000:8793</v>
      </c>
      <c r="D6002" s="6" t="str">
        <f>_xll.QS.CONTEXT.ADD.CURVE(C6002,"SOFR",$K$2:$K$7,$L$2:$L$7,,,"Actual360","LogLinear",TRUE)</f>
        <v>QSObject:ContextInput:w1~input.qs_context_add_curve.2359132437744.6001.3.0:34502</v>
      </c>
      <c r="E6002" s="6" t="str">
        <f>_xll.QS.INSTRUMENT.SWAP("swap.6000",H6002,B6002,"USD","SOFR",I6002,J6002,0,"Actual360","Simple","Annual","Annual","Annual")</f>
        <v>QSObject:Swap:w1~swap.6000:8792</v>
      </c>
      <c r="F6002" s="6" t="str">
        <f>_xll.QS.TRADE.CREATE("trade.6000",E6002,A6002,"Receive")</f>
        <v>QSObject:SwapTrade:w1~trade.6000:25929</v>
      </c>
      <c r="G6002" s="3">
        <f>_xll.QS.EVALUATE(C6002,F6002)</f>
        <v>21937.219936164416</v>
      </c>
      <c r="H6002" s="5" t="s">
        <v>6043</v>
      </c>
      <c r="I6002" s="7">
        <v>1600000</v>
      </c>
      <c r="J6002" s="8">
        <v>3.5000000000000003E-2</v>
      </c>
    </row>
    <row r="6003" spans="1:10" x14ac:dyDescent="0.25">
      <c r="A6003" s="5" t="s">
        <v>6037</v>
      </c>
      <c r="B6003" s="5" t="s">
        <v>7870</v>
      </c>
      <c r="C6003" s="6" t="str">
        <f>_xll.QS.CONTEXT.CREATE("market.6001",A6003,"USD","SOFR")</f>
        <v>QSObject:PricingContext:w1~market.6001:8791</v>
      </c>
      <c r="D6003" s="6" t="str">
        <f>_xll.QS.CONTEXT.ADD.CURVE(C6003,"SOFR",$K$2:$K$7,$L$2:$L$7,,,"Actual360","LogLinear",TRUE)</f>
        <v>QSObject:ContextInput:w1~input.qs_context_add_curve.2359132437744.6002.3.0:34501</v>
      </c>
      <c r="E6003" s="6" t="str">
        <f>_xll.QS.INSTRUMENT.SWAP("swap.6001",H6003,B6003,"USD","SOFR",I6003,J6003,0,"Actual360","Simple","Annual","Annual","Annual")</f>
        <v>QSObject:Swap:w1~swap.6001:8790</v>
      </c>
      <c r="F6003" s="6" t="str">
        <f>_xll.QS.TRADE.CREATE("trade.6001",E6003,A6003,"Receive")</f>
        <v>QSObject:SwapTrade:w1~trade.6001:25928</v>
      </c>
      <c r="G6003" s="3">
        <f>_xll.QS.EVALUATE(C6003,F6003)</f>
        <v>22793.129873789789</v>
      </c>
      <c r="H6003" s="5" t="s">
        <v>6044</v>
      </c>
      <c r="I6003" s="7">
        <v>1600100</v>
      </c>
      <c r="J6003" s="8">
        <v>3.5100000000000013E-2</v>
      </c>
    </row>
    <row r="6004" spans="1:10" x14ac:dyDescent="0.25">
      <c r="A6004" s="5" t="s">
        <v>6038</v>
      </c>
      <c r="B6004" s="5" t="s">
        <v>7871</v>
      </c>
      <c r="C6004" s="6" t="str">
        <f>_xll.QS.CONTEXT.CREATE("market.6002",A6004,"USD","SOFR")</f>
        <v>QSObject:PricingContext:w1~market.6002:8789</v>
      </c>
      <c r="D6004" s="6" t="str">
        <f>_xll.QS.CONTEXT.ADD.CURVE(C6004,"SOFR",$K$2:$K$7,$L$2:$L$7,,,"Actual360","LogLinear",TRUE)</f>
        <v>QSObject:ContextInput:w1~input.qs_context_add_curve.2359132437744.6003.3.0:34500</v>
      </c>
      <c r="E6004" s="6" t="str">
        <f>_xll.QS.INSTRUMENT.SWAP("swap.6002",H6004,B6004,"USD","SOFR",I6004,J6004,0,"Actual360","Simple","Annual","Annual","Annual")</f>
        <v>QSObject:Swap:w1~swap.6002:8788</v>
      </c>
      <c r="F6004" s="6" t="str">
        <f>_xll.QS.TRADE.CREATE("trade.6002",E6004,A6004,"Receive")</f>
        <v>QSObject:SwapTrade:w1~trade.6002:25927</v>
      </c>
      <c r="G6004" s="3">
        <f>_xll.QS.EVALUATE(C6004,F6004)</f>
        <v>23601.901596112562</v>
      </c>
      <c r="H6004" s="5" t="s">
        <v>6045</v>
      </c>
      <c r="I6004" s="7">
        <v>1600200</v>
      </c>
      <c r="J6004" s="8">
        <v>3.5200000000000002E-2</v>
      </c>
    </row>
    <row r="6005" spans="1:10" x14ac:dyDescent="0.25">
      <c r="A6005" s="5" t="s">
        <v>6039</v>
      </c>
      <c r="B6005" s="5" t="s">
        <v>7872</v>
      </c>
      <c r="C6005" s="6" t="str">
        <f>_xll.QS.CONTEXT.CREATE("market.6003",A6005,"USD","SOFR")</f>
        <v>QSObject:PricingContext:w1~market.6003:8787</v>
      </c>
      <c r="D6005" s="6" t="str">
        <f>_xll.QS.CONTEXT.ADD.CURVE(C6005,"SOFR",$K$2:$K$7,$L$2:$L$7,,,"Actual360","LogLinear",TRUE)</f>
        <v>QSObject:ContextInput:w1~input.qs_context_add_curve.2359132437744.6004.3.0:34499</v>
      </c>
      <c r="E6005" s="6" t="str">
        <f>_xll.QS.INSTRUMENT.SWAP("swap.6003",H6005,B6005,"USD","SOFR",I6005,J6005,0,"Actual360","Simple","Annual","Annual","Annual")</f>
        <v>QSObject:Swap:w1~swap.6003:8786</v>
      </c>
      <c r="F6005" s="6" t="str">
        <f>_xll.QS.TRADE.CREATE("trade.6003",E6005,A6005,"Receive")</f>
        <v>QSObject:SwapTrade:w1~trade.6003:25926</v>
      </c>
      <c r="G6005" s="3">
        <f>_xll.QS.EVALUATE(C6005,F6005)</f>
        <v>24280.701583722679</v>
      </c>
      <c r="H6005" s="5" t="s">
        <v>6046</v>
      </c>
      <c r="I6005" s="7">
        <v>1600300</v>
      </c>
      <c r="J6005" s="8">
        <v>3.5299999999999998E-2</v>
      </c>
    </row>
    <row r="6006" spans="1:10" x14ac:dyDescent="0.25">
      <c r="A6006" s="5" t="s">
        <v>6040</v>
      </c>
      <c r="B6006" s="5" t="s">
        <v>7873</v>
      </c>
      <c r="C6006" s="6" t="str">
        <f>_xll.QS.CONTEXT.CREATE("market.6004",A6006,"USD","SOFR")</f>
        <v>QSObject:PricingContext:w1~market.6004:8785</v>
      </c>
      <c r="D6006" s="6" t="str">
        <f>_xll.QS.CONTEXT.ADD.CURVE(C6006,"SOFR",$K$2:$K$7,$L$2:$L$7,,,"Actual360","LogLinear",TRUE)</f>
        <v>QSObject:ContextInput:w1~input.qs_context_add_curve.2359132437744.6005.3.0:34498</v>
      </c>
      <c r="E6006" s="6" t="str">
        <f>_xll.QS.INSTRUMENT.SWAP("swap.6004",H6006,B6006,"USD","SOFR",I6006,J6006,0,"Actual360","Simple","Annual","Annual","Annual")</f>
        <v>QSObject:Swap:w1~swap.6004:8784</v>
      </c>
      <c r="F6006" s="6" t="str">
        <f>_xll.QS.TRADE.CREATE("trade.6004",E6006,A6006,"Receive")</f>
        <v>QSObject:SwapTrade:w1~trade.6004:25925</v>
      </c>
      <c r="G6006" s="3">
        <f>_xll.QS.EVALUATE(C6006,F6006)</f>
        <v>24923.088066819691</v>
      </c>
      <c r="H6006" s="5" t="s">
        <v>6047</v>
      </c>
      <c r="I6006" s="7">
        <v>1600400</v>
      </c>
      <c r="J6006" s="8">
        <v>3.5400000000000001E-2</v>
      </c>
    </row>
    <row r="6007" spans="1:10" x14ac:dyDescent="0.25">
      <c r="A6007" s="5" t="s">
        <v>6041</v>
      </c>
      <c r="B6007" s="5" t="s">
        <v>7874</v>
      </c>
      <c r="C6007" s="6" t="str">
        <f>_xll.QS.CONTEXT.CREATE("market.6005",A6007,"USD","SOFR")</f>
        <v>QSObject:PricingContext:w1~market.6005:8783</v>
      </c>
      <c r="D6007" s="6" t="str">
        <f>_xll.QS.CONTEXT.ADD.CURVE(C6007,"SOFR",$K$2:$K$7,$L$2:$L$7,,,"Actual360","LogLinear",TRUE)</f>
        <v>QSObject:ContextInput:w1~input.qs_context_add_curve.2359132437744.6006.3.0:34497</v>
      </c>
      <c r="E6007" s="6" t="str">
        <f>_xll.QS.INSTRUMENT.SWAP("swap.6005",H6007,B6007,"USD","SOFR",I6007,J6007,0,"Actual360","Simple","Annual","Annual","Annual")</f>
        <v>QSObject:Swap:w1~swap.6005:8782</v>
      </c>
      <c r="F6007" s="6" t="str">
        <f>_xll.QS.TRADE.CREATE("trade.6005",E6007,A6007,"Receive")</f>
        <v>QSObject:SwapTrade:w1~trade.6005:25924</v>
      </c>
      <c r="G6007" s="3">
        <f>_xll.QS.EVALUATE(C6007,F6007)</f>
        <v>25519.935495035534</v>
      </c>
      <c r="H6007" s="5" t="s">
        <v>6048</v>
      </c>
      <c r="I6007" s="7">
        <v>1600500</v>
      </c>
      <c r="J6007" s="8">
        <v>3.5499999999999997E-2</v>
      </c>
    </row>
    <row r="6008" spans="1:10" x14ac:dyDescent="0.25">
      <c r="A6008" s="5" t="s">
        <v>6042</v>
      </c>
      <c r="B6008" s="5" t="s">
        <v>7875</v>
      </c>
      <c r="C6008" s="6" t="str">
        <f>_xll.QS.CONTEXT.CREATE("market.6006",A6008,"USD","SOFR")</f>
        <v>QSObject:PricingContext:w1~market.6006:8781</v>
      </c>
      <c r="D6008" s="6" t="str">
        <f>_xll.QS.CONTEXT.ADD.CURVE(C6008,"SOFR",$K$2:$K$7,$L$2:$L$7,,,"Actual360","LogLinear",TRUE)</f>
        <v>QSObject:ContextInput:w1~input.qs_context_add_curve.2359132437744.6007.3.0:34496</v>
      </c>
      <c r="E6008" s="6" t="str">
        <f>_xll.QS.INSTRUMENT.SWAP("swap.6006",H6008,B6008,"USD","SOFR",I6008,J6008,0,"Actual360","Simple","Annual","Annual","Annual")</f>
        <v>QSObject:Swap:w1~swap.6006:8780</v>
      </c>
      <c r="F6008" s="6" t="str">
        <f>_xll.QS.TRADE.CREATE("trade.6006",E6008,A6008,"Receive")</f>
        <v>QSObject:SwapTrade:w1~trade.6006:25923</v>
      </c>
      <c r="G6008" s="3">
        <f>_xll.QS.EVALUATE(C6008,F6008)</f>
        <v>26326.665360155901</v>
      </c>
      <c r="H6008" s="5" t="s">
        <v>6049</v>
      </c>
      <c r="I6008" s="7">
        <v>1600600</v>
      </c>
      <c r="J6008" s="8">
        <v>3.5600000000000007E-2</v>
      </c>
    </row>
    <row r="6009" spans="1:10" x14ac:dyDescent="0.25">
      <c r="A6009" s="5" t="s">
        <v>6043</v>
      </c>
      <c r="B6009" s="5" t="s">
        <v>7876</v>
      </c>
      <c r="C6009" s="6" t="str">
        <f>_xll.QS.CONTEXT.CREATE("market.6007",A6009,"USD","SOFR")</f>
        <v>QSObject:PricingContext:w1~market.6007:8779</v>
      </c>
      <c r="D6009" s="6" t="str">
        <f>_xll.QS.CONTEXT.ADD.CURVE(C6009,"SOFR",$K$2:$K$7,$L$2:$L$7,,,"Actual360","LogLinear",TRUE)</f>
        <v>QSObject:ContextInput:w1~input.qs_context_add_curve.2359132437744.6008.3.0:34495</v>
      </c>
      <c r="E6009" s="6" t="str">
        <f>_xll.QS.INSTRUMENT.SWAP("swap.6007",H6009,B6009,"USD","SOFR",I6009,J6009,0,"Actual360","Simple","Annual","Annual","Annual")</f>
        <v>QSObject:Swap:w1~swap.6007:8778</v>
      </c>
      <c r="F6009" s="6" t="str">
        <f>_xll.QS.TRADE.CREATE("trade.6007",E6009,A6009,"Receive")</f>
        <v>QSObject:SwapTrade:w1~trade.6007:25922</v>
      </c>
      <c r="G6009" s="3">
        <f>_xll.QS.EVALUATE(C6009,F6009)</f>
        <v>27113.749994424339</v>
      </c>
      <c r="H6009" s="5" t="s">
        <v>6050</v>
      </c>
      <c r="I6009" s="7">
        <v>1600700</v>
      </c>
      <c r="J6009" s="8">
        <v>3.5700000000000003E-2</v>
      </c>
    </row>
    <row r="6010" spans="1:10" x14ac:dyDescent="0.25">
      <c r="A6010" s="5" t="s">
        <v>6044</v>
      </c>
      <c r="B6010" s="5" t="s">
        <v>7877</v>
      </c>
      <c r="C6010" s="6" t="str">
        <f>_xll.QS.CONTEXT.CREATE("market.6008",A6010,"USD","SOFR")</f>
        <v>QSObject:PricingContext:w1~market.6008:8777</v>
      </c>
      <c r="D6010" s="6" t="str">
        <f>_xll.QS.CONTEXT.ADD.CURVE(C6010,"SOFR",$K$2:$K$7,$L$2:$L$7,,,"Actual360","LogLinear",TRUE)</f>
        <v>QSObject:ContextInput:w1~input.qs_context_add_curve.2359132437744.6009.3.0:34494</v>
      </c>
      <c r="E6010" s="6" t="str">
        <f>_xll.QS.INSTRUMENT.SWAP("swap.6008",H6010,B6010,"USD","SOFR",I6010,J6010,0,"Actual360","Simple","Annual","Annual","Annual")</f>
        <v>QSObject:Swap:w1~swap.6008:8776</v>
      </c>
      <c r="F6010" s="6" t="str">
        <f>_xll.QS.TRADE.CREATE("trade.6008",E6010,A6010,"Receive")</f>
        <v>QSObject:SwapTrade:w1~trade.6008:25921</v>
      </c>
      <c r="G6010" s="3">
        <f>_xll.QS.EVALUATE(C6010,F6010)</f>
        <v>27970.434097644764</v>
      </c>
      <c r="H6010" s="5" t="s">
        <v>6051</v>
      </c>
      <c r="I6010" s="7">
        <v>1600800</v>
      </c>
      <c r="J6010" s="8">
        <v>3.5800000000000012E-2</v>
      </c>
    </row>
    <row r="6011" spans="1:10" x14ac:dyDescent="0.25">
      <c r="A6011" s="5" t="s">
        <v>6045</v>
      </c>
      <c r="B6011" s="5" t="s">
        <v>7878</v>
      </c>
      <c r="C6011" s="6" t="str">
        <f>_xll.QS.CONTEXT.CREATE("market.6009",A6011,"USD","SOFR")</f>
        <v>QSObject:PricingContext:w1~market.6009:8775</v>
      </c>
      <c r="D6011" s="6" t="str">
        <f>_xll.QS.CONTEXT.ADD.CURVE(C6011,"SOFR",$K$2:$K$7,$L$2:$L$7,,,"Actual360","LogLinear",TRUE)</f>
        <v>QSObject:ContextInput:w1~input.qs_context_add_curve.2359132437744.6010.3.0:34493</v>
      </c>
      <c r="E6011" s="6" t="str">
        <f>_xll.QS.INSTRUMENT.SWAP("swap.6009",H6011,B6011,"USD","SOFR",I6011,J6011,0,"Actual360","Simple","Annual","Annual","Annual")</f>
        <v>QSObject:Swap:w1~swap.6009:8774</v>
      </c>
      <c r="F6011" s="6" t="str">
        <f>_xll.QS.TRADE.CREATE("trade.6009",E6011,A6011,"Receive")</f>
        <v>QSObject:SwapTrade:w1~trade.6009:25920</v>
      </c>
      <c r="G6011" s="3">
        <f>_xll.QS.EVALUATE(C6011,F6011)</f>
        <v>28779.93702670624</v>
      </c>
      <c r="H6011" s="5" t="s">
        <v>6052</v>
      </c>
      <c r="I6011" s="7">
        <v>1600900</v>
      </c>
      <c r="J6011" s="8">
        <v>3.5900000000000001E-2</v>
      </c>
    </row>
    <row r="6012" spans="1:10" x14ac:dyDescent="0.25">
      <c r="A6012" s="5" t="s">
        <v>6046</v>
      </c>
      <c r="B6012" s="5" t="s">
        <v>7879</v>
      </c>
      <c r="C6012" s="6" t="str">
        <f>_xll.QS.CONTEXT.CREATE("market.6010",A6012,"USD","SOFR")</f>
        <v>QSObject:PricingContext:w1~market.6010:8773</v>
      </c>
      <c r="D6012" s="6" t="str">
        <f>_xll.QS.CONTEXT.ADD.CURVE(C6012,"SOFR",$K$2:$K$7,$L$2:$L$7,,,"Actual360","LogLinear",TRUE)</f>
        <v>QSObject:ContextInput:w1~input.qs_context_add_curve.2359132437744.6011.3.0:34492</v>
      </c>
      <c r="E6012" s="6" t="str">
        <f>_xll.QS.INSTRUMENT.SWAP("swap.6010",H6012,B6012,"USD","SOFR",I6012,J6012,0,"Actual360","Simple","Annual","Annual","Annual")</f>
        <v>QSObject:Swap:w1~swap.6010:8772</v>
      </c>
      <c r="F6012" s="6" t="str">
        <f>_xll.QS.TRADE.CREATE("trade.6010",E6012,A6012,"Receive")</f>
        <v>QSObject:SwapTrade:w1~trade.6010:25919</v>
      </c>
      <c r="G6012" s="3">
        <f>_xll.QS.EVALUATE(C6012,F6012)</f>
        <v>29459.314427564794</v>
      </c>
      <c r="H6012" s="5" t="s">
        <v>6053</v>
      </c>
      <c r="I6012" s="7">
        <v>1601000</v>
      </c>
      <c r="J6012" s="8">
        <v>3.5999999999999997E-2</v>
      </c>
    </row>
    <row r="6013" spans="1:10" x14ac:dyDescent="0.25">
      <c r="A6013" s="5" t="s">
        <v>6047</v>
      </c>
      <c r="B6013" s="5" t="s">
        <v>7880</v>
      </c>
      <c r="C6013" s="6" t="str">
        <f>_xll.QS.CONTEXT.CREATE("market.6011",A6013,"USD","SOFR")</f>
        <v>QSObject:PricingContext:w1~market.6011:8771</v>
      </c>
      <c r="D6013" s="6" t="str">
        <f>_xll.QS.CONTEXT.ADD.CURVE(C6013,"SOFR",$K$2:$K$7,$L$2:$L$7,,,"Actual360","LogLinear",TRUE)</f>
        <v>QSObject:ContextInput:w1~input.qs_context_add_curve.2359132437744.6012.3.0:34491</v>
      </c>
      <c r="E6013" s="6" t="str">
        <f>_xll.QS.INSTRUMENT.SWAP("swap.6011",H6013,B6013,"USD","SOFR",I6013,J6013,0,"Actual360","Simple","Annual","Annual","Annual")</f>
        <v>QSObject:Swap:w1~swap.6011:8770</v>
      </c>
      <c r="F6013" s="6" t="str">
        <f>_xll.QS.TRADE.CREATE("trade.6011",E6013,A6013,"Receive")</f>
        <v>QSObject:SwapTrade:w1~trade.6011:25918</v>
      </c>
      <c r="G6013" s="3">
        <f>_xll.QS.EVALUATE(C6013,F6013)</f>
        <v>30096.213328496538</v>
      </c>
      <c r="H6013" s="5" t="s">
        <v>6054</v>
      </c>
      <c r="I6013" s="7">
        <v>1601100</v>
      </c>
      <c r="J6013" s="8">
        <v>3.61E-2</v>
      </c>
    </row>
    <row r="6014" spans="1:10" x14ac:dyDescent="0.25">
      <c r="A6014" s="5" t="s">
        <v>6048</v>
      </c>
      <c r="B6014" s="5" t="s">
        <v>7881</v>
      </c>
      <c r="C6014" s="6" t="str">
        <f>_xll.QS.CONTEXT.CREATE("market.6012",A6014,"USD","SOFR")</f>
        <v>QSObject:PricingContext:w1~market.6012:8769</v>
      </c>
      <c r="D6014" s="6" t="str">
        <f>_xll.QS.CONTEXT.ADD.CURVE(C6014,"SOFR",$K$2:$K$7,$L$2:$L$7,,,"Actual360","LogLinear",TRUE)</f>
        <v>QSObject:ContextInput:w1~input.qs_context_add_curve.2359132437744.6013.3.0:34490</v>
      </c>
      <c r="E6014" s="6" t="str">
        <f>_xll.QS.INSTRUMENT.SWAP("swap.6012",H6014,B6014,"USD","SOFR",I6014,J6014,0,"Actual360","Simple","Annual","Annual","Annual")</f>
        <v>QSObject:Swap:w1~swap.6012:8768</v>
      </c>
      <c r="F6014" s="6" t="str">
        <f>_xll.QS.TRADE.CREATE("trade.6012",E6014,A6014,"Receive")</f>
        <v>QSObject:SwapTrade:w1~trade.6012:25917</v>
      </c>
      <c r="G6014" s="3">
        <f>_xll.QS.EVALUATE(C6014,F6014)</f>
        <v>30701.656349967583</v>
      </c>
      <c r="H6014" s="5" t="s">
        <v>6055</v>
      </c>
      <c r="I6014" s="7">
        <v>1601200</v>
      </c>
      <c r="J6014" s="8">
        <v>3.6200000000000003E-2</v>
      </c>
    </row>
    <row r="6015" spans="1:10" x14ac:dyDescent="0.25">
      <c r="A6015" s="5" t="s">
        <v>6049</v>
      </c>
      <c r="B6015" s="5" t="s">
        <v>7882</v>
      </c>
      <c r="C6015" s="6" t="str">
        <f>_xll.QS.CONTEXT.CREATE("market.6013",A6015,"USD","SOFR")</f>
        <v>QSObject:PricingContext:w1~market.6013:8767</v>
      </c>
      <c r="D6015" s="6" t="str">
        <f>_xll.QS.CONTEXT.ADD.CURVE(C6015,"SOFR",$K$2:$K$7,$L$2:$L$7,,,"Actual360","LogLinear",TRUE)</f>
        <v>QSObject:ContextInput:w1~input.qs_context_add_curve.2359132437744.6014.3.0:34489</v>
      </c>
      <c r="E6015" s="6" t="str">
        <f>_xll.QS.INSTRUMENT.SWAP("swap.6013",H6015,B6015,"USD","SOFR",I6015,J6015,0,"Actual360","Simple","Annual","Annual","Annual")</f>
        <v>QSObject:Swap:w1~swap.6013:8766</v>
      </c>
      <c r="F6015" s="6" t="str">
        <f>_xll.QS.TRADE.CREATE("trade.6013",E6015,A6015,"Receive")</f>
        <v>QSObject:SwapTrade:w1~trade.6013:25916</v>
      </c>
      <c r="G6015" s="3">
        <f>_xll.QS.EVALUATE(C6015,F6015)</f>
        <v>31509.580137097022</v>
      </c>
      <c r="H6015" s="5" t="s">
        <v>6056</v>
      </c>
      <c r="I6015" s="7">
        <v>1601300</v>
      </c>
      <c r="J6015" s="8">
        <v>3.6300000000000013E-2</v>
      </c>
    </row>
    <row r="6016" spans="1:10" x14ac:dyDescent="0.25">
      <c r="A6016" s="5" t="s">
        <v>6050</v>
      </c>
      <c r="B6016" s="5" t="s">
        <v>7883</v>
      </c>
      <c r="C6016" s="6" t="str">
        <f>_xll.QS.CONTEXT.CREATE("market.6014",A6016,"USD","SOFR")</f>
        <v>QSObject:PricingContext:w1~market.6014:8765</v>
      </c>
      <c r="D6016" s="6" t="str">
        <f>_xll.QS.CONTEXT.ADD.CURVE(C6016,"SOFR",$K$2:$K$7,$L$2:$L$7,,,"Actual360","LogLinear",TRUE)</f>
        <v>QSObject:ContextInput:w1~input.qs_context_add_curve.2359132437744.6015.3.0:34488</v>
      </c>
      <c r="E6016" s="6" t="str">
        <f>_xll.QS.INSTRUMENT.SWAP("swap.6014",H6016,B6016,"USD","SOFR",I6016,J6016,0,"Actual360","Simple","Annual","Annual","Annual")</f>
        <v>QSObject:Swap:w1~swap.6014:8764</v>
      </c>
      <c r="F6016" s="6" t="str">
        <f>_xll.QS.TRADE.CREATE("trade.6014",E6016,A6016,"Receive")</f>
        <v>QSObject:SwapTrade:w1~trade.6014:25915</v>
      </c>
      <c r="G6016" s="3">
        <f>_xll.QS.EVALUATE(C6016,F6016)</f>
        <v>32294.7991415418</v>
      </c>
      <c r="H6016" s="5" t="s">
        <v>6057</v>
      </c>
      <c r="I6016" s="7">
        <v>1601400</v>
      </c>
      <c r="J6016" s="8">
        <v>3.6400000000000002E-2</v>
      </c>
    </row>
    <row r="6017" spans="1:10" x14ac:dyDescent="0.25">
      <c r="A6017" s="5" t="s">
        <v>6051</v>
      </c>
      <c r="B6017" s="5" t="s">
        <v>7884</v>
      </c>
      <c r="C6017" s="6" t="str">
        <f>_xll.QS.CONTEXT.CREATE("market.6015",A6017,"USD","SOFR")</f>
        <v>QSObject:PricingContext:w1~market.6015:8763</v>
      </c>
      <c r="D6017" s="6" t="str">
        <f>_xll.QS.CONTEXT.ADD.CURVE(C6017,"SOFR",$K$2:$K$7,$L$2:$L$7,,,"Actual360","LogLinear",TRUE)</f>
        <v>QSObject:ContextInput:w1~input.qs_context_add_curve.2359132437744.6016.3.0:34487</v>
      </c>
      <c r="E6017" s="6" t="str">
        <f>_xll.QS.INSTRUMENT.SWAP("swap.6015",H6017,B6017,"USD","SOFR",I6017,J6017,0,"Actual360","Simple","Annual","Annual","Annual")</f>
        <v>QSObject:Swap:w1~swap.6015:8762</v>
      </c>
      <c r="F6017" s="6" t="str">
        <f>_xll.QS.TRADE.CREATE("trade.6015",E6017,A6017,"Receive")</f>
        <v>QSObject:SwapTrade:w1~trade.6015:25914</v>
      </c>
      <c r="G6017" s="3">
        <f>_xll.QS.EVALUATE(C6017,F6017)</f>
        <v>33152.257478167361</v>
      </c>
      <c r="H6017" s="5" t="s">
        <v>6058</v>
      </c>
      <c r="I6017" s="7">
        <v>1601500</v>
      </c>
      <c r="J6017" s="8">
        <v>3.6499999999999998E-2</v>
      </c>
    </row>
    <row r="6018" spans="1:10" x14ac:dyDescent="0.25">
      <c r="A6018" s="5" t="s">
        <v>6052</v>
      </c>
      <c r="B6018" s="5" t="s">
        <v>7885</v>
      </c>
      <c r="C6018" s="6" t="str">
        <f>_xll.QS.CONTEXT.CREATE("market.6016",A6018,"USD","SOFR")</f>
        <v>QSObject:PricingContext:w1~market.6016:8761</v>
      </c>
      <c r="D6018" s="6" t="str">
        <f>_xll.QS.CONTEXT.ADD.CURVE(C6018,"SOFR",$K$2:$K$7,$L$2:$L$7,,,"Actual360","LogLinear",TRUE)</f>
        <v>QSObject:ContextInput:w1~input.qs_context_add_curve.2359132437744.6017.3.0:34486</v>
      </c>
      <c r="E6018" s="6" t="str">
        <f>_xll.QS.INSTRUMENT.SWAP("swap.6016",H6018,B6018,"USD","SOFR",I6018,J6018,0,"Actual360","Simple","Annual","Annual","Annual")</f>
        <v>QSObject:Swap:w1~swap.6016:8760</v>
      </c>
      <c r="F6018" s="6" t="str">
        <f>_xll.QS.TRADE.CREATE("trade.6016",E6018,A6018,"Receive")</f>
        <v>QSObject:SwapTrade:w1~trade.6016:25913</v>
      </c>
      <c r="G6018" s="3">
        <f>_xll.QS.EVALUATE(C6018,F6018)</f>
        <v>33962.491662275046</v>
      </c>
      <c r="H6018" s="5" t="s">
        <v>6059</v>
      </c>
      <c r="I6018" s="7">
        <v>1601600</v>
      </c>
      <c r="J6018" s="8">
        <v>3.6600000000000001E-2</v>
      </c>
    </row>
    <row r="6019" spans="1:10" x14ac:dyDescent="0.25">
      <c r="A6019" s="5" t="s">
        <v>6053</v>
      </c>
      <c r="B6019" s="5" t="s">
        <v>7886</v>
      </c>
      <c r="C6019" s="6" t="str">
        <f>_xll.QS.CONTEXT.CREATE("market.6017",A6019,"USD","SOFR")</f>
        <v>QSObject:PricingContext:w1~market.6017:8759</v>
      </c>
      <c r="D6019" s="6" t="str">
        <f>_xll.QS.CONTEXT.ADD.CURVE(C6019,"SOFR",$K$2:$K$7,$L$2:$L$7,,,"Actual360","LogLinear",TRUE)</f>
        <v>QSObject:ContextInput:w1~input.qs_context_add_curve.2359132437744.6018.3.0:34485</v>
      </c>
      <c r="E6019" s="6" t="str">
        <f>_xll.QS.INSTRUMENT.SWAP("swap.6017",H6019,B6019,"USD","SOFR",I6019,J6019,0,"Actual360","Simple","Annual","Annual","Annual")</f>
        <v>QSObject:Swap:w1~swap.6017:8758</v>
      </c>
      <c r="F6019" s="6" t="str">
        <f>_xll.QS.TRADE.CREATE("trade.6017",E6019,A6019,"Receive")</f>
        <v>QSObject:SwapTrade:w1~trade.6017:25912</v>
      </c>
      <c r="G6019" s="3">
        <f>_xll.QS.EVALUATE(C6019,F6019)</f>
        <v>34642.701981774917</v>
      </c>
      <c r="H6019" s="5" t="s">
        <v>6060</v>
      </c>
      <c r="I6019" s="7">
        <v>1601700</v>
      </c>
      <c r="J6019" s="8">
        <v>3.6700000000000003E-2</v>
      </c>
    </row>
    <row r="6020" spans="1:10" x14ac:dyDescent="0.25">
      <c r="A6020" s="5" t="s">
        <v>6054</v>
      </c>
      <c r="B6020" s="5" t="s">
        <v>7887</v>
      </c>
      <c r="C6020" s="6" t="str">
        <f>_xll.QS.CONTEXT.CREATE("market.6018",A6020,"USD","SOFR")</f>
        <v>QSObject:PricingContext:w1~market.6018:8757</v>
      </c>
      <c r="D6020" s="6" t="str">
        <f>_xll.QS.CONTEXT.ADD.CURVE(C6020,"SOFR",$K$2:$K$7,$L$2:$L$7,,,"Actual360","LogLinear",TRUE)</f>
        <v>QSObject:ContextInput:w1~input.qs_context_add_curve.2359132437744.6019.3.0:34484</v>
      </c>
      <c r="E6020" s="6" t="str">
        <f>_xll.QS.INSTRUMENT.SWAP("swap.6018",H6020,B6020,"USD","SOFR",I6020,J6020,0,"Actual360","Simple","Annual","Annual","Annual")</f>
        <v>QSObject:Swap:w1~swap.6018:8756</v>
      </c>
      <c r="F6020" s="6" t="str">
        <f>_xll.QS.TRADE.CREATE("trade.6018",E6020,A6020,"Receive")</f>
        <v>QSObject:SwapTrade:w1~trade.6018:25911</v>
      </c>
      <c r="G6020" s="3">
        <f>_xll.QS.EVALUATE(C6020,F6020)</f>
        <v>35273.85243302524</v>
      </c>
      <c r="H6020" s="5" t="s">
        <v>6061</v>
      </c>
      <c r="I6020" s="7">
        <v>1601800</v>
      </c>
      <c r="J6020" s="8">
        <v>3.6800000000000013E-2</v>
      </c>
    </row>
    <row r="6021" spans="1:10" x14ac:dyDescent="0.25">
      <c r="A6021" s="5" t="s">
        <v>6055</v>
      </c>
      <c r="B6021" s="5" t="s">
        <v>7888</v>
      </c>
      <c r="C6021" s="6" t="str">
        <f>_xll.QS.CONTEXT.CREATE("market.6019",A6021,"USD","SOFR")</f>
        <v>QSObject:PricingContext:w1~market.6019:8755</v>
      </c>
      <c r="D6021" s="6" t="str">
        <f>_xll.QS.CONTEXT.ADD.CURVE(C6021,"SOFR",$K$2:$K$7,$L$2:$L$7,,,"Actual360","LogLinear",TRUE)</f>
        <v>QSObject:ContextInput:w1~input.qs_context_add_curve.2359132437744.6020.3.0:34483</v>
      </c>
      <c r="E6021" s="6" t="str">
        <f>_xll.QS.INSTRUMENT.SWAP("swap.6019",H6021,B6021,"USD","SOFR",I6021,J6021,0,"Actual360","Simple","Annual","Annual","Annual")</f>
        <v>QSObject:Swap:w1~swap.6019:8754</v>
      </c>
      <c r="F6021" s="6" t="str">
        <f>_xll.QS.TRADE.CREATE("trade.6019",E6021,A6021,"Receive")</f>
        <v>QSObject:SwapTrade:w1~trade.6019:25910</v>
      </c>
      <c r="G6021" s="3">
        <f>_xll.QS.EVALUATE(C6021,F6021)</f>
        <v>35844.9355773567</v>
      </c>
      <c r="H6021" s="5" t="s">
        <v>6062</v>
      </c>
      <c r="I6021" s="7">
        <v>1601900</v>
      </c>
      <c r="J6021" s="8">
        <v>3.6900000000000002E-2</v>
      </c>
    </row>
    <row r="6022" spans="1:10" x14ac:dyDescent="0.25">
      <c r="A6022" s="5" t="s">
        <v>6056</v>
      </c>
      <c r="B6022" s="5" t="s">
        <v>7889</v>
      </c>
      <c r="C6022" s="6" t="str">
        <f>_xll.QS.CONTEXT.CREATE("market.6020",A6022,"USD","SOFR")</f>
        <v>QSObject:PricingContext:w1~market.6020:8753</v>
      </c>
      <c r="D6022" s="6" t="str">
        <f>_xll.QS.CONTEXT.ADD.CURVE(C6022,"SOFR",$K$2:$K$7,$L$2:$L$7,,,"Actual360","LogLinear",TRUE)</f>
        <v>QSObject:ContextInput:w1~input.qs_context_add_curve.2359132437744.6021.3.0:34482</v>
      </c>
      <c r="E6022" s="6" t="str">
        <f>_xll.QS.INSTRUMENT.SWAP("swap.6020",H6022,B6022,"USD","SOFR",I6022,J6022,0,"Actual360","Simple","Annual","Annual","Annual")</f>
        <v>QSObject:Swap:w1~swap.6020:8752</v>
      </c>
      <c r="F6022" s="6" t="str">
        <f>_xll.QS.TRADE.CREATE("trade.6020",E6022,A6022,"Receive")</f>
        <v>QSObject:SwapTrade:w1~trade.6020:25909</v>
      </c>
      <c r="G6022" s="3">
        <f>_xll.QS.EVALUATE(C6022,F6022)</f>
        <v>36654.151016694603</v>
      </c>
      <c r="H6022" s="5" t="s">
        <v>6063</v>
      </c>
      <c r="I6022" s="7">
        <v>1602000</v>
      </c>
      <c r="J6022" s="8">
        <v>3.7000000000000012E-2</v>
      </c>
    </row>
    <row r="6023" spans="1:10" x14ac:dyDescent="0.25">
      <c r="A6023" s="5" t="s">
        <v>6057</v>
      </c>
      <c r="B6023" s="5" t="s">
        <v>7890</v>
      </c>
      <c r="C6023" s="6" t="str">
        <f>_xll.QS.CONTEXT.CREATE("market.6021",A6023,"USD","SOFR")</f>
        <v>QSObject:PricingContext:w1~market.6021:8751</v>
      </c>
      <c r="D6023" s="6" t="str">
        <f>_xll.QS.CONTEXT.ADD.CURVE(C6023,"SOFR",$K$2:$K$7,$L$2:$L$7,,,"Actual360","LogLinear",TRUE)</f>
        <v>QSObject:ContextInput:w1~input.qs_context_add_curve.2359132437744.6022.3.0:34481</v>
      </c>
      <c r="E6023" s="6" t="str">
        <f>_xll.QS.INSTRUMENT.SWAP("swap.6021",H6023,B6023,"USD","SOFR",I6023,J6023,0,"Actual360","Simple","Annual","Annual","Annual")</f>
        <v>QSObject:Swap:w1~swap.6021:8750</v>
      </c>
      <c r="F6023" s="6" t="str">
        <f>_xll.QS.TRADE.CREATE("trade.6021",E6023,A6023,"Receive")</f>
        <v>QSObject:SwapTrade:w1~trade.6021:25908</v>
      </c>
      <c r="G6023" s="3">
        <f>_xll.QS.EVALUATE(C6023,F6023)</f>
        <v>37413.531149337708</v>
      </c>
      <c r="H6023" s="5" t="s">
        <v>6064</v>
      </c>
      <c r="I6023" s="7">
        <v>1602100</v>
      </c>
      <c r="J6023" s="8">
        <v>3.7100000000000001E-2</v>
      </c>
    </row>
    <row r="6024" spans="1:10" x14ac:dyDescent="0.25">
      <c r="A6024" s="5" t="s">
        <v>6058</v>
      </c>
      <c r="B6024" s="5" t="s">
        <v>7891</v>
      </c>
      <c r="C6024" s="6" t="str">
        <f>_xll.QS.CONTEXT.CREATE("market.6022",A6024,"USD","SOFR")</f>
        <v>QSObject:PricingContext:w1~market.6022:8749</v>
      </c>
      <c r="D6024" s="6" t="str">
        <f>_xll.QS.CONTEXT.ADD.CURVE(C6024,"SOFR",$K$2:$K$7,$L$2:$L$7,,,"Actual360","LogLinear",TRUE)</f>
        <v>QSObject:ContextInput:w1~input.qs_context_add_curve.2359132437744.6023.3.0:34480</v>
      </c>
      <c r="E6024" s="6" t="str">
        <f>_xll.QS.INSTRUMENT.SWAP("swap.6022",H6024,B6024,"USD","SOFR",I6024,J6024,0,"Actual360","Simple","Annual","Annual","Annual")</f>
        <v>QSObject:Swap:w1~swap.6022:8748</v>
      </c>
      <c r="F6024" s="6" t="str">
        <f>_xll.QS.TRADE.CREATE("trade.6022",E6024,A6024,"Receive")</f>
        <v>QSObject:SwapTrade:w1~trade.6022:25907</v>
      </c>
      <c r="G6024" s="3">
        <f>_xll.QS.EVALUATE(C6024,F6024)</f>
        <v>38398.226092344179</v>
      </c>
      <c r="H6024" s="5" t="s">
        <v>6065</v>
      </c>
      <c r="I6024" s="7">
        <v>1602200</v>
      </c>
      <c r="J6024" s="8">
        <v>3.7199999999999997E-2</v>
      </c>
    </row>
    <row r="6025" spans="1:10" x14ac:dyDescent="0.25">
      <c r="A6025" s="5" t="s">
        <v>6059</v>
      </c>
      <c r="B6025" s="5" t="s">
        <v>7892</v>
      </c>
      <c r="C6025" s="6" t="str">
        <f>_xll.QS.CONTEXT.CREATE("market.6023",A6025,"USD","SOFR")</f>
        <v>QSObject:PricingContext:w1~market.6023:8747</v>
      </c>
      <c r="D6025" s="6" t="str">
        <f>_xll.QS.CONTEXT.ADD.CURVE(C6025,"SOFR",$K$2:$K$7,$L$2:$L$7,,,"Actual360","LogLinear",TRUE)</f>
        <v>QSObject:ContextInput:w1~input.qs_context_add_curve.2359132437744.6024.3.0:34479</v>
      </c>
      <c r="E6025" s="6" t="str">
        <f>_xll.QS.INSTRUMENT.SWAP("swap.6023",H6025,B6025,"USD","SOFR",I6025,J6025,0,"Actual360","Simple","Annual","Annual","Annual")</f>
        <v>QSObject:Swap:w1~swap.6023:8746</v>
      </c>
      <c r="F6025" s="6" t="str">
        <f>_xll.QS.TRADE.CREATE("trade.6023",E6025,A6025,"Receive")</f>
        <v>QSObject:SwapTrade:w1~trade.6023:25906</v>
      </c>
      <c r="G6025" s="3">
        <f>_xll.QS.EVALUATE(C6025,F6025)</f>
        <v>39152.10423731857</v>
      </c>
      <c r="H6025" s="5" t="s">
        <v>6066</v>
      </c>
      <c r="I6025" s="7">
        <v>1602300</v>
      </c>
      <c r="J6025" s="8">
        <v>3.73E-2</v>
      </c>
    </row>
    <row r="6026" spans="1:10" x14ac:dyDescent="0.25">
      <c r="A6026" s="5" t="s">
        <v>6060</v>
      </c>
      <c r="B6026" s="5" t="s">
        <v>7893</v>
      </c>
      <c r="C6026" s="6" t="str">
        <f>_xll.QS.CONTEXT.CREATE("market.6024",A6026,"USD","SOFR")</f>
        <v>QSObject:PricingContext:w1~market.6024:8745</v>
      </c>
      <c r="D6026" s="6" t="str">
        <f>_xll.QS.CONTEXT.ADD.CURVE(C6026,"SOFR",$K$2:$K$7,$L$2:$L$7,,,"Actual360","LogLinear",TRUE)</f>
        <v>QSObject:ContextInput:w1~input.qs_context_add_curve.2359132437744.6025.3.0:34478</v>
      </c>
      <c r="E6026" s="6" t="str">
        <f>_xll.QS.INSTRUMENT.SWAP("swap.6024",H6026,B6026,"USD","SOFR",I6026,J6026,0,"Actual360","Simple","Annual","Annual","Annual")</f>
        <v>QSObject:Swap:w1~swap.6024:8744</v>
      </c>
      <c r="F6026" s="6" t="str">
        <f>_xll.QS.TRADE.CREATE("trade.6024",E6026,A6026,"Receive")</f>
        <v>QSObject:SwapTrade:w1~trade.6024:25905</v>
      </c>
      <c r="G6026" s="3">
        <f>_xll.QS.EVALUATE(C6026,F6026)</f>
        <v>39895.537553276838</v>
      </c>
      <c r="H6026" s="5" t="s">
        <v>6067</v>
      </c>
      <c r="I6026" s="7">
        <v>1602400</v>
      </c>
      <c r="J6026" s="8">
        <v>3.7400000000000003E-2</v>
      </c>
    </row>
    <row r="6027" spans="1:10" x14ac:dyDescent="0.25">
      <c r="A6027" s="5" t="s">
        <v>6061</v>
      </c>
      <c r="B6027" s="5" t="s">
        <v>7894</v>
      </c>
      <c r="C6027" s="6" t="str">
        <f>_xll.QS.CONTEXT.CREATE("market.6025",A6027,"USD","SOFR")</f>
        <v>QSObject:PricingContext:w1~market.6025:8743</v>
      </c>
      <c r="D6027" s="6" t="str">
        <f>_xll.QS.CONTEXT.ADD.CURVE(C6027,"SOFR",$K$2:$K$7,$L$2:$L$7,,,"Actual360","LogLinear",TRUE)</f>
        <v>QSObject:ContextInput:w1~input.qs_context_add_curve.2359132437744.6026.3.0:34477</v>
      </c>
      <c r="E6027" s="6" t="str">
        <f>_xll.QS.INSTRUMENT.SWAP("swap.6025",H6027,B6027,"USD","SOFR",I6027,J6027,0,"Actual360","Simple","Annual","Annual","Annual")</f>
        <v>QSObject:Swap:w1~swap.6025:8742</v>
      </c>
      <c r="F6027" s="6" t="str">
        <f>_xll.QS.TRADE.CREATE("trade.6025",E6027,A6027,"Receive")</f>
        <v>QSObject:SwapTrade:w1~trade.6025:25904</v>
      </c>
      <c r="G6027" s="3">
        <f>_xll.QS.EVALUATE(C6027,F6027)</f>
        <v>40521.452526302768</v>
      </c>
      <c r="H6027" s="5" t="s">
        <v>6068</v>
      </c>
      <c r="I6027" s="7">
        <v>1602500</v>
      </c>
      <c r="J6027" s="8">
        <v>3.7500000000000012E-2</v>
      </c>
    </row>
    <row r="6028" spans="1:10" x14ac:dyDescent="0.25">
      <c r="A6028" s="5" t="s">
        <v>6062</v>
      </c>
      <c r="B6028" s="5" t="s">
        <v>7895</v>
      </c>
      <c r="C6028" s="6" t="str">
        <f>_xll.QS.CONTEXT.CREATE("market.6026",A6028,"USD","SOFR")</f>
        <v>QSObject:PricingContext:w1~market.6026:8741</v>
      </c>
      <c r="D6028" s="6" t="str">
        <f>_xll.QS.CONTEXT.ADD.CURVE(C6028,"SOFR",$K$2:$K$7,$L$2:$L$7,,,"Actual360","LogLinear",TRUE)</f>
        <v>QSObject:ContextInput:w1~input.qs_context_add_curve.2359132437744.6027.3.0:34476</v>
      </c>
      <c r="E6028" s="6" t="str">
        <f>_xll.QS.INSTRUMENT.SWAP("swap.6026",H6028,B6028,"USD","SOFR",I6028,J6028,0,"Actual360","Simple","Annual","Annual","Annual")</f>
        <v>QSObject:Swap:w1~swap.6026:8740</v>
      </c>
      <c r="F6028" s="6" t="str">
        <f>_xll.QS.TRADE.CREATE("trade.6026",E6028,A6028,"Receive")</f>
        <v>QSObject:SwapTrade:w1~trade.6026:25903</v>
      </c>
      <c r="G6028" s="3">
        <f>_xll.QS.EVALUATE(C6028,F6028)</f>
        <v>41143.957723382926</v>
      </c>
      <c r="H6028" s="5" t="s">
        <v>6069</v>
      </c>
      <c r="I6028" s="7">
        <v>1602600</v>
      </c>
      <c r="J6028" s="8">
        <v>3.7600000000000001E-2</v>
      </c>
    </row>
    <row r="6029" spans="1:10" x14ac:dyDescent="0.25">
      <c r="A6029" s="5" t="s">
        <v>6063</v>
      </c>
      <c r="B6029" s="5" t="s">
        <v>7896</v>
      </c>
      <c r="C6029" s="6" t="str">
        <f>_xll.QS.CONTEXT.CREATE("market.6027",A6029,"USD","SOFR")</f>
        <v>QSObject:PricingContext:w1~market.6027:8739</v>
      </c>
      <c r="D6029" s="6" t="str">
        <f>_xll.QS.CONTEXT.ADD.CURVE(C6029,"SOFR",$K$2:$K$7,$L$2:$L$7,,,"Actual360","LogLinear",TRUE)</f>
        <v>QSObject:ContextInput:w1~input.qs_context_add_curve.2359132437744.6028.3.0:34475</v>
      </c>
      <c r="E6029" s="6" t="str">
        <f>_xll.QS.INSTRUMENT.SWAP("swap.6027",H6029,B6029,"USD","SOFR",I6029,J6029,0,"Actual360","Simple","Annual","Annual","Annual")</f>
        <v>QSObject:Swap:w1~swap.6027:8738</v>
      </c>
      <c r="F6029" s="6" t="str">
        <f>_xll.QS.TRADE.CREATE("trade.6027",E6029,A6029,"Receive")</f>
        <v>QSObject:SwapTrade:w1~trade.6027:25902</v>
      </c>
      <c r="G6029" s="3">
        <f>_xll.QS.EVALUATE(C6029,F6029)</f>
        <v>41952.407413216948</v>
      </c>
      <c r="H6029" s="5" t="s">
        <v>6070</v>
      </c>
      <c r="I6029" s="7">
        <v>1602700</v>
      </c>
      <c r="J6029" s="8">
        <v>3.7699999999999997E-2</v>
      </c>
    </row>
    <row r="6030" spans="1:10" x14ac:dyDescent="0.25">
      <c r="A6030" s="5" t="s">
        <v>6064</v>
      </c>
      <c r="B6030" s="5" t="s">
        <v>7897</v>
      </c>
      <c r="C6030" s="6" t="str">
        <f>_xll.QS.CONTEXT.CREATE("market.6028",A6030,"USD","SOFR")</f>
        <v>QSObject:PricingContext:w1~market.6028:8737</v>
      </c>
      <c r="D6030" s="6" t="str">
        <f>_xll.QS.CONTEXT.ADD.CURVE(C6030,"SOFR",$K$2:$K$7,$L$2:$L$7,,,"Actual360","LogLinear",TRUE)</f>
        <v>QSObject:ContextInput:w1~input.qs_context_add_curve.2359132437744.6029.3.0:34474</v>
      </c>
      <c r="E6030" s="6" t="str">
        <f>_xll.QS.INSTRUMENT.SWAP("swap.6028",H6030,B6030,"USD","SOFR",I6030,J6030,0,"Actual360","Simple","Annual","Annual","Annual")</f>
        <v>QSObject:Swap:w1~swap.6028:8736</v>
      </c>
      <c r="F6030" s="6" t="str">
        <f>_xll.QS.TRADE.CREATE("trade.6028",E6030,A6030,"Receive")</f>
        <v>QSObject:SwapTrade:w1~trade.6028:25901</v>
      </c>
      <c r="G6030" s="3">
        <f>_xll.QS.EVALUATE(C6030,F6030)</f>
        <v>42670.454702349707</v>
      </c>
      <c r="H6030" s="5" t="s">
        <v>6071</v>
      </c>
      <c r="I6030" s="7">
        <v>1602800</v>
      </c>
      <c r="J6030" s="8">
        <v>3.78E-2</v>
      </c>
    </row>
    <row r="6031" spans="1:10" x14ac:dyDescent="0.25">
      <c r="A6031" s="5" t="s">
        <v>6065</v>
      </c>
      <c r="B6031" s="5" t="s">
        <v>7898</v>
      </c>
      <c r="C6031" s="6" t="str">
        <f>_xll.QS.CONTEXT.CREATE("market.6029",A6031,"USD","SOFR")</f>
        <v>QSObject:PricingContext:w1~market.6029:8735</v>
      </c>
      <c r="D6031" s="6" t="str">
        <f>_xll.QS.CONTEXT.ADD.CURVE(C6031,"SOFR",$K$2:$K$7,$L$2:$L$7,,,"Actual360","LogLinear",TRUE)</f>
        <v>QSObject:ContextInput:w1~input.qs_context_add_curve.2359132437744.6030.3.0:34473</v>
      </c>
      <c r="E6031" s="6" t="str">
        <f>_xll.QS.INSTRUMENT.SWAP("swap.6029",H6031,B6031,"USD","SOFR",I6031,J6031,0,"Actual360","Simple","Annual","Annual","Annual")</f>
        <v>QSObject:Swap:w1~swap.6029:8734</v>
      </c>
      <c r="F6031" s="6" t="str">
        <f>_xll.QS.TRADE.CREATE("trade.6029",E6031,A6031,"Receive")</f>
        <v>QSObject:SwapTrade:w1~trade.6029:25900</v>
      </c>
      <c r="G6031" s="3">
        <f>_xll.QS.EVALUATE(C6031,F6031)</f>
        <v>43529.461709216353</v>
      </c>
      <c r="H6031" s="5" t="s">
        <v>6072</v>
      </c>
      <c r="I6031" s="7">
        <v>1602900</v>
      </c>
      <c r="J6031" s="8">
        <v>3.7900000000000003E-2</v>
      </c>
    </row>
    <row r="6032" spans="1:10" x14ac:dyDescent="0.25">
      <c r="A6032" s="5" t="s">
        <v>6066</v>
      </c>
      <c r="B6032" s="5" t="s">
        <v>7899</v>
      </c>
      <c r="C6032" s="6" t="str">
        <f>_xll.QS.CONTEXT.CREATE("market.6030",A6032,"USD","SOFR")</f>
        <v>QSObject:PricingContext:w1~market.6030:8733</v>
      </c>
      <c r="D6032" s="6" t="str">
        <f>_xll.QS.CONTEXT.ADD.CURVE(C6032,"SOFR",$K$2:$K$7,$L$2:$L$7,,,"Actual360","LogLinear",TRUE)</f>
        <v>QSObject:ContextInput:w1~input.qs_context_add_curve.2359132437744.6031.3.0:34472</v>
      </c>
      <c r="E6032" s="6" t="str">
        <f>_xll.QS.INSTRUMENT.SWAP("swap.6030",H6032,B6032,"USD","SOFR",I6032,J6032,0,"Actual360","Simple","Annual","Annual","Annual")</f>
        <v>QSObject:Swap:w1~swap.6030:8732</v>
      </c>
      <c r="F6032" s="6" t="str">
        <f>_xll.QS.TRADE.CREATE("trade.6030",E6032,A6032,"Receive")</f>
        <v>QSObject:SwapTrade:w1~trade.6030:25899</v>
      </c>
      <c r="G6032" s="3">
        <f>_xll.QS.EVALUATE(C6032,F6032)</f>
        <v>44341.158548338899</v>
      </c>
      <c r="H6032" s="5" t="s">
        <v>6073</v>
      </c>
      <c r="I6032" s="7">
        <v>1603000</v>
      </c>
      <c r="J6032" s="8">
        <v>3.8000000000000013E-2</v>
      </c>
    </row>
    <row r="6033" spans="1:10" x14ac:dyDescent="0.25">
      <c r="A6033" s="5" t="s">
        <v>6067</v>
      </c>
      <c r="B6033" s="5" t="s">
        <v>7900</v>
      </c>
      <c r="C6033" s="6" t="str">
        <f>_xll.QS.CONTEXT.CREATE("market.6031",A6033,"USD","SOFR")</f>
        <v>QSObject:PricingContext:w1~market.6031:8731</v>
      </c>
      <c r="D6033" s="6" t="str">
        <f>_xll.QS.CONTEXT.ADD.CURVE(C6033,"SOFR",$K$2:$K$7,$L$2:$L$7,,,"Actual360","LogLinear",TRUE)</f>
        <v>QSObject:ContextInput:w1~input.qs_context_add_curve.2359132437744.6032.3.0:34471</v>
      </c>
      <c r="E6033" s="6" t="str">
        <f>_xll.QS.INSTRUMENT.SWAP("swap.6031",H6033,B6033,"USD","SOFR",I6033,J6033,0,"Actual360","Simple","Annual","Annual","Annual")</f>
        <v>QSObject:Swap:w1~swap.6031:8730</v>
      </c>
      <c r="F6033" s="6" t="str">
        <f>_xll.QS.TRADE.CREATE("trade.6031",E6033,A6033,"Receive")</f>
        <v>QSObject:SwapTrade:w1~trade.6031:25898</v>
      </c>
      <c r="G6033" s="3">
        <f>_xll.QS.EVALUATE(C6033,F6033)</f>
        <v>45022.267970357279</v>
      </c>
      <c r="H6033" s="5" t="s">
        <v>6074</v>
      </c>
      <c r="I6033" s="7">
        <v>1603100</v>
      </c>
      <c r="J6033" s="8">
        <v>3.8100000000000002E-2</v>
      </c>
    </row>
    <row r="6034" spans="1:10" x14ac:dyDescent="0.25">
      <c r="A6034" s="5" t="s">
        <v>6068</v>
      </c>
      <c r="B6034" s="5" t="s">
        <v>7901</v>
      </c>
      <c r="C6034" s="6" t="str">
        <f>_xll.QS.CONTEXT.CREATE("market.6032",A6034,"USD","SOFR")</f>
        <v>QSObject:PricingContext:w1~market.6032:8729</v>
      </c>
      <c r="D6034" s="6" t="str">
        <f>_xll.QS.CONTEXT.ADD.CURVE(C6034,"SOFR",$K$2:$K$7,$L$2:$L$7,,,"Actual360","LogLinear",TRUE)</f>
        <v>QSObject:ContextInput:w1~input.qs_context_add_curve.2359132437744.6033.3.0:34470</v>
      </c>
      <c r="E6034" s="6" t="str">
        <f>_xll.QS.INSTRUMENT.SWAP("swap.6032",H6034,B6034,"USD","SOFR",I6034,J6034,0,"Actual360","Simple","Annual","Annual","Annual")</f>
        <v>QSObject:Swap:w1~swap.6032:8728</v>
      </c>
      <c r="F6034" s="6" t="str">
        <f>_xll.QS.TRADE.CREATE("trade.6032",E6034,A6034,"Receive")</f>
        <v>QSObject:SwapTrade:w1~trade.6032:25897</v>
      </c>
      <c r="G6034" s="3">
        <f>_xll.QS.EVALUATE(C6034,F6034)</f>
        <v>45642.672170638703</v>
      </c>
      <c r="H6034" s="5" t="s">
        <v>6075</v>
      </c>
      <c r="I6034" s="7">
        <v>1603200</v>
      </c>
      <c r="J6034" s="8">
        <v>3.8199999999999998E-2</v>
      </c>
    </row>
    <row r="6035" spans="1:10" x14ac:dyDescent="0.25">
      <c r="A6035" s="5" t="s">
        <v>6069</v>
      </c>
      <c r="B6035" s="5" t="s">
        <v>7902</v>
      </c>
      <c r="C6035" s="6" t="str">
        <f>_xll.QS.CONTEXT.CREATE("market.6033",A6035,"USD","SOFR")</f>
        <v>QSObject:PricingContext:w1~market.6033:8727</v>
      </c>
      <c r="D6035" s="6" t="str">
        <f>_xll.QS.CONTEXT.ADD.CURVE(C6035,"SOFR",$K$2:$K$7,$L$2:$L$7,,,"Actual360","LogLinear",TRUE)</f>
        <v>QSObject:ContextInput:w1~input.qs_context_add_curve.2359132437744.6034.3.0:34469</v>
      </c>
      <c r="E6035" s="6" t="str">
        <f>_xll.QS.INSTRUMENT.SWAP("swap.6033",H6035,B6035,"USD","SOFR",I6035,J6035,0,"Actual360","Simple","Annual","Annual","Annual")</f>
        <v>QSObject:Swap:w1~swap.6033:8726</v>
      </c>
      <c r="F6035" s="6" t="str">
        <f>_xll.QS.TRADE.CREATE("trade.6033",E6035,A6035,"Receive")</f>
        <v>QSObject:SwapTrade:w1~trade.6033:25896</v>
      </c>
      <c r="G6035" s="3">
        <f>_xll.QS.EVALUATE(C6035,F6035)</f>
        <v>46273.944007642254</v>
      </c>
      <c r="H6035" s="5" t="s">
        <v>6076</v>
      </c>
      <c r="I6035" s="7">
        <v>1603300</v>
      </c>
      <c r="J6035" s="8">
        <v>3.8300000000000001E-2</v>
      </c>
    </row>
    <row r="6036" spans="1:10" x14ac:dyDescent="0.25">
      <c r="A6036" s="5" t="s">
        <v>6070</v>
      </c>
      <c r="B6036" s="5" t="s">
        <v>7903</v>
      </c>
      <c r="C6036" s="6" t="str">
        <f>_xll.QS.CONTEXT.CREATE("market.6034",A6036,"USD","SOFR")</f>
        <v>QSObject:PricingContext:w1~market.6034:8725</v>
      </c>
      <c r="D6036" s="6" t="str">
        <f>_xll.QS.CONTEXT.ADD.CURVE(C6036,"SOFR",$K$2:$K$7,$L$2:$L$7,,,"Actual360","LogLinear",TRUE)</f>
        <v>QSObject:ContextInput:w1~input.qs_context_add_curve.2359132437744.6035.3.0:34468</v>
      </c>
      <c r="E6036" s="6" t="str">
        <f>_xll.QS.INSTRUMENT.SWAP("swap.6034",H6036,B6036,"USD","SOFR",I6036,J6036,0,"Actual360","Simple","Annual","Annual","Annual")</f>
        <v>QSObject:Swap:w1~swap.6034:8724</v>
      </c>
      <c r="F6036" s="6" t="str">
        <f>_xll.QS.TRADE.CREATE("trade.6034",E6036,A6036,"Receive")</f>
        <v>QSObject:SwapTrade:w1~trade.6034:25895</v>
      </c>
      <c r="G6036" s="3">
        <f>_xll.QS.EVALUATE(C6036,F6036)</f>
        <v>47085.45228275664</v>
      </c>
      <c r="H6036" s="5" t="s">
        <v>6077</v>
      </c>
      <c r="I6036" s="7">
        <v>1603400</v>
      </c>
      <c r="J6036" s="8">
        <v>3.8399999999999997E-2</v>
      </c>
    </row>
    <row r="6037" spans="1:10" x14ac:dyDescent="0.25">
      <c r="A6037" s="5" t="s">
        <v>6071</v>
      </c>
      <c r="B6037" s="5" t="s">
        <v>7904</v>
      </c>
      <c r="C6037" s="6" t="str">
        <f>_xll.QS.CONTEXT.CREATE("market.6035",A6037,"USD","SOFR")</f>
        <v>QSObject:PricingContext:w1~market.6035:8723</v>
      </c>
      <c r="D6037" s="6" t="str">
        <f>_xll.QS.CONTEXT.ADD.CURVE(C6037,"SOFR",$K$2:$K$7,$L$2:$L$7,,,"Actual360","LogLinear",TRUE)</f>
        <v>QSObject:ContextInput:w1~input.qs_context_add_curve.2359132437744.6036.3.0:34467</v>
      </c>
      <c r="E6037" s="6" t="str">
        <f>_xll.QS.INSTRUMENT.SWAP("swap.6035",H6037,B6037,"USD","SOFR",I6037,J6037,0,"Actual360","Simple","Annual","Annual","Annual")</f>
        <v>QSObject:Swap:w1~swap.6035:8722</v>
      </c>
      <c r="F6037" s="6" t="str">
        <f>_xll.QS.TRADE.CREATE("trade.6035",E6037,A6037,"Receive")</f>
        <v>QSObject:SwapTrade:w1~trade.6035:25894</v>
      </c>
      <c r="G6037" s="3">
        <f>_xll.QS.EVALUATE(C6037,F6037)</f>
        <v>47865.061116039957</v>
      </c>
      <c r="H6037" s="5" t="s">
        <v>6078</v>
      </c>
      <c r="I6037" s="7">
        <v>1603500</v>
      </c>
      <c r="J6037" s="8">
        <v>3.8500000000000013E-2</v>
      </c>
    </row>
    <row r="6038" spans="1:10" x14ac:dyDescent="0.25">
      <c r="A6038" s="5" t="s">
        <v>6072</v>
      </c>
      <c r="B6038" s="5" t="s">
        <v>7905</v>
      </c>
      <c r="C6038" s="6" t="str">
        <f>_xll.QS.CONTEXT.CREATE("market.6036",A6038,"USD","SOFR")</f>
        <v>QSObject:PricingContext:w1~market.6036:8721</v>
      </c>
      <c r="D6038" s="6" t="str">
        <f>_xll.QS.CONTEXT.ADD.CURVE(C6038,"SOFR",$K$2:$K$7,$L$2:$L$7,,,"Actual360","LogLinear",TRUE)</f>
        <v>QSObject:ContextInput:w1~input.qs_context_add_curve.2359132437744.6037.3.0:34466</v>
      </c>
      <c r="E6038" s="6" t="str">
        <f>_xll.QS.INSTRUMENT.SWAP("swap.6036",H6038,B6038,"USD","SOFR",I6038,J6038,0,"Actual360","Simple","Annual","Annual","Annual")</f>
        <v>QSObject:Swap:w1~swap.6036:8720</v>
      </c>
      <c r="F6038" s="6" t="str">
        <f>_xll.QS.TRADE.CREATE("trade.6036",E6038,A6038,"Receive")</f>
        <v>QSObject:SwapTrade:w1~trade.6036:25893</v>
      </c>
      <c r="G6038" s="3">
        <f>_xll.QS.EVALUATE(C6038,F6038)</f>
        <v>48724.842559742588</v>
      </c>
      <c r="H6038" s="5" t="s">
        <v>6079</v>
      </c>
      <c r="I6038" s="7">
        <v>1603600</v>
      </c>
      <c r="J6038" s="8">
        <v>3.8600000000000002E-2</v>
      </c>
    </row>
    <row r="6039" spans="1:10" x14ac:dyDescent="0.25">
      <c r="A6039" s="5" t="s">
        <v>6073</v>
      </c>
      <c r="B6039" s="5" t="s">
        <v>7906</v>
      </c>
      <c r="C6039" s="6" t="str">
        <f>_xll.QS.CONTEXT.CREATE("market.6037",A6039,"USD","SOFR")</f>
        <v>QSObject:PricingContext:w1~market.6037:8719</v>
      </c>
      <c r="D6039" s="6" t="str">
        <f>_xll.QS.CONTEXT.ADD.CURVE(C6039,"SOFR",$K$2:$K$7,$L$2:$L$7,,,"Actual360","LogLinear",TRUE)</f>
        <v>QSObject:ContextInput:w1~input.qs_context_add_curve.2359132437744.6038.3.0:34465</v>
      </c>
      <c r="E6039" s="6" t="str">
        <f>_xll.QS.INSTRUMENT.SWAP("swap.6037",H6039,B6039,"USD","SOFR",I6039,J6039,0,"Actual360","Simple","Annual","Annual","Annual")</f>
        <v>QSObject:Swap:w1~swap.6037:8718</v>
      </c>
      <c r="F6039" s="6" t="str">
        <f>_xll.QS.TRADE.CREATE("trade.6037",E6039,A6039,"Receive")</f>
        <v>QSObject:SwapTrade:w1~trade.6037:25892</v>
      </c>
      <c r="G6039" s="3">
        <f>_xll.QS.EVALUATE(C6039,F6039)</f>
        <v>49537.270798833466</v>
      </c>
      <c r="H6039" s="5" t="s">
        <v>6080</v>
      </c>
      <c r="I6039" s="7">
        <v>1603700</v>
      </c>
      <c r="J6039" s="8">
        <v>3.8700000000000012E-2</v>
      </c>
    </row>
    <row r="6040" spans="1:10" x14ac:dyDescent="0.25">
      <c r="A6040" s="5" t="s">
        <v>6074</v>
      </c>
      <c r="B6040" s="5" t="s">
        <v>7907</v>
      </c>
      <c r="C6040" s="6" t="str">
        <f>_xll.QS.CONTEXT.CREATE("market.6038",A6040,"USD","SOFR")</f>
        <v>QSObject:PricingContext:w1~market.6038:8717</v>
      </c>
      <c r="D6040" s="6" t="str">
        <f>_xll.QS.CONTEXT.ADD.CURVE(C6040,"SOFR",$K$2:$K$7,$L$2:$L$7,,,"Actual360","LogLinear",TRUE)</f>
        <v>QSObject:ContextInput:w1~input.qs_context_add_curve.2359132437744.6039.3.0:34464</v>
      </c>
      <c r="E6040" s="6" t="str">
        <f>_xll.QS.INSTRUMENT.SWAP("swap.6038",H6040,B6040,"USD","SOFR",I6040,J6040,0,"Actual360","Simple","Annual","Annual","Annual")</f>
        <v>QSObject:Swap:w1~swap.6038:8716</v>
      </c>
      <c r="F6040" s="6" t="str">
        <f>_xll.QS.TRADE.CREATE("trade.6038",E6040,A6040,"Receive")</f>
        <v>QSObject:SwapTrade:w1~trade.6038:25891</v>
      </c>
      <c r="G6040" s="3">
        <f>_xll.QS.EVALUATE(C6040,F6040)</f>
        <v>50218.957488377149</v>
      </c>
      <c r="H6040" s="5" t="s">
        <v>6081</v>
      </c>
      <c r="I6040" s="7">
        <v>1603800</v>
      </c>
      <c r="J6040" s="8">
        <v>3.8800000000000001E-2</v>
      </c>
    </row>
    <row r="6041" spans="1:10" x14ac:dyDescent="0.25">
      <c r="A6041" s="5" t="s">
        <v>6075</v>
      </c>
      <c r="B6041" s="5" t="s">
        <v>7908</v>
      </c>
      <c r="C6041" s="6" t="str">
        <f>_xll.QS.CONTEXT.CREATE("market.6039",A6041,"USD","SOFR")</f>
        <v>QSObject:PricingContext:w1~market.6039:8715</v>
      </c>
      <c r="D6041" s="6" t="str">
        <f>_xll.QS.CONTEXT.ADD.CURVE(C6041,"SOFR",$K$2:$K$7,$L$2:$L$7,,,"Actual360","LogLinear",TRUE)</f>
        <v>QSObject:ContextInput:w1~input.qs_context_add_curve.2359132437744.6040.3.0:34463</v>
      </c>
      <c r="E6041" s="6" t="str">
        <f>_xll.QS.INSTRUMENT.SWAP("swap.6039",H6041,B6041,"USD","SOFR",I6041,J6041,0,"Actual360","Simple","Annual","Annual","Annual")</f>
        <v>QSObject:Swap:w1~swap.6039:8714</v>
      </c>
      <c r="F6041" s="6" t="str">
        <f>_xll.QS.TRADE.CREATE("trade.6039",E6041,A6041,"Receive")</f>
        <v>QSObject:SwapTrade:w1~trade.6039:25890</v>
      </c>
      <c r="G6041" s="3">
        <f>_xll.QS.EVALUATE(C6041,F6041)</f>
        <v>50833.852803723472</v>
      </c>
      <c r="H6041" s="5" t="s">
        <v>6082</v>
      </c>
      <c r="I6041" s="7">
        <v>1603900</v>
      </c>
      <c r="J6041" s="8">
        <v>3.8899999999999997E-2</v>
      </c>
    </row>
    <row r="6042" spans="1:10" x14ac:dyDescent="0.25">
      <c r="A6042" s="5" t="s">
        <v>6076</v>
      </c>
      <c r="B6042" s="5" t="s">
        <v>7909</v>
      </c>
      <c r="C6042" s="6" t="str">
        <f>_xll.QS.CONTEXT.CREATE("market.6040",A6042,"USD","SOFR")</f>
        <v>QSObject:PricingContext:w1~market.6040:8713</v>
      </c>
      <c r="D6042" s="6" t="str">
        <f>_xll.QS.CONTEXT.ADD.CURVE(C6042,"SOFR",$K$2:$K$7,$L$2:$L$7,,,"Actual360","LogLinear",TRUE)</f>
        <v>QSObject:ContextInput:w1~input.qs_context_add_curve.2359132437744.6041.3.0:34462</v>
      </c>
      <c r="E6042" s="6" t="str">
        <f>_xll.QS.INSTRUMENT.SWAP("swap.6040",H6042,B6042,"USD","SOFR",I6042,J6042,0,"Actual360","Simple","Annual","Annual","Annual")</f>
        <v>QSObject:Swap:w1~swap.6040:8712</v>
      </c>
      <c r="F6042" s="6" t="str">
        <f>_xll.QS.TRADE.CREATE("trade.6040",E6042,A6042,"Receive")</f>
        <v>QSObject:SwapTrade:w1~trade.6040:25889</v>
      </c>
      <c r="G6042" s="3">
        <f>_xll.QS.EVALUATE(C6042,F6042)</f>
        <v>51473.748257826788</v>
      </c>
      <c r="H6042" s="5" t="s">
        <v>6083</v>
      </c>
      <c r="I6042" s="7">
        <v>1604000</v>
      </c>
      <c r="J6042" s="8">
        <v>3.9000000000000007E-2</v>
      </c>
    </row>
    <row r="6043" spans="1:10" x14ac:dyDescent="0.25">
      <c r="A6043" s="5" t="s">
        <v>6077</v>
      </c>
      <c r="B6043" s="5" t="s">
        <v>7910</v>
      </c>
      <c r="C6043" s="6" t="str">
        <f>_xll.QS.CONTEXT.CREATE("market.6041",A6043,"USD","SOFR")</f>
        <v>QSObject:PricingContext:w1~market.6041:8711</v>
      </c>
      <c r="D6043" s="6" t="str">
        <f>_xll.QS.CONTEXT.ADD.CURVE(C6043,"SOFR",$K$2:$K$7,$L$2:$L$7,,,"Actual360","LogLinear",TRUE)</f>
        <v>QSObject:ContextInput:w1~input.qs_context_add_curve.2359132437744.6042.3.0:34461</v>
      </c>
      <c r="E6043" s="6" t="str">
        <f>_xll.QS.INSTRUMENT.SWAP("swap.6041",H6043,B6043,"USD","SOFR",I6043,J6043,0,"Actual360","Simple","Annual","Annual","Annual")</f>
        <v>QSObject:Swap:w1~swap.6041:8710</v>
      </c>
      <c r="F6043" s="6" t="str">
        <f>_xll.QS.TRADE.CREATE("trade.6041",E6043,A6043,"Receive")</f>
        <v>QSObject:SwapTrade:w1~trade.6041:25888</v>
      </c>
      <c r="G6043" s="3">
        <f>_xll.QS.EVALUATE(C6043,F6043)</f>
        <v>52286.452269589106</v>
      </c>
      <c r="H6043" s="5" t="s">
        <v>6084</v>
      </c>
      <c r="I6043" s="7">
        <v>1604100</v>
      </c>
      <c r="J6043" s="8">
        <v>3.9100000000000003E-2</v>
      </c>
    </row>
    <row r="6044" spans="1:10" x14ac:dyDescent="0.25">
      <c r="A6044" s="5" t="s">
        <v>6078</v>
      </c>
      <c r="B6044" s="5" t="s">
        <v>7911</v>
      </c>
      <c r="C6044" s="6" t="str">
        <f>_xll.QS.CONTEXT.CREATE("market.6042",A6044,"USD","SOFR")</f>
        <v>QSObject:PricingContext:w1~market.6042:8709</v>
      </c>
      <c r="D6044" s="6" t="str">
        <f>_xll.QS.CONTEXT.ADD.CURVE(C6044,"SOFR",$K$2:$K$7,$L$2:$L$7,,,"Actual360","LogLinear",TRUE)</f>
        <v>QSObject:ContextInput:w1~input.qs_context_add_curve.2359132437744.6043.3.0:34460</v>
      </c>
      <c r="E6044" s="6" t="str">
        <f>_xll.QS.INSTRUMENT.SWAP("swap.6042",H6044,B6044,"USD","SOFR",I6044,J6044,0,"Actual360","Simple","Annual","Annual","Annual")</f>
        <v>QSObject:Swap:w1~swap.6042:8708</v>
      </c>
      <c r="F6044" s="6" t="str">
        <f>_xll.QS.TRADE.CREATE("trade.6042",E6044,A6044,"Receive")</f>
        <v>QSObject:SwapTrade:w1~trade.6042:25887</v>
      </c>
      <c r="G6044" s="3">
        <f>_xll.QS.EVALUATE(C6044,F6044)</f>
        <v>53064.186618587977</v>
      </c>
      <c r="H6044" s="5" t="s">
        <v>6085</v>
      </c>
      <c r="I6044" s="7">
        <v>1604200</v>
      </c>
      <c r="J6044" s="8">
        <v>3.9200000000000013E-2</v>
      </c>
    </row>
    <row r="6045" spans="1:10" x14ac:dyDescent="0.25">
      <c r="A6045" s="5" t="s">
        <v>6079</v>
      </c>
      <c r="B6045" s="5" t="s">
        <v>7912</v>
      </c>
      <c r="C6045" s="6" t="str">
        <f>_xll.QS.CONTEXT.CREATE("market.6043",A6045,"USD","SOFR")</f>
        <v>QSObject:PricingContext:w1~market.6043:8707</v>
      </c>
      <c r="D6045" s="6" t="str">
        <f>_xll.QS.CONTEXT.ADD.CURVE(C6045,"SOFR",$K$2:$K$7,$L$2:$L$7,,,"Actual360","LogLinear",TRUE)</f>
        <v>QSObject:ContextInput:w1~input.qs_context_add_curve.2359132437744.6044.3.0:34459</v>
      </c>
      <c r="E6045" s="6" t="str">
        <f>_xll.QS.INSTRUMENT.SWAP("swap.6043",H6045,B6045,"USD","SOFR",I6045,J6045,0,"Actual360","Simple","Annual","Annual","Annual")</f>
        <v>QSObject:Swap:w1~swap.6043:8706</v>
      </c>
      <c r="F6045" s="6" t="str">
        <f>_xll.QS.TRADE.CREATE("trade.6043",E6045,A6045,"Receive")</f>
        <v>QSObject:SwapTrade:w1~trade.6043:25886</v>
      </c>
      <c r="G6045" s="3">
        <f>_xll.QS.EVALUATE(C6045,F6045)</f>
        <v>53924.742566936671</v>
      </c>
      <c r="H6045" s="5" t="s">
        <v>6086</v>
      </c>
      <c r="I6045" s="7">
        <v>1604300</v>
      </c>
      <c r="J6045" s="8">
        <v>3.9300000000000002E-2</v>
      </c>
    </row>
    <row r="6046" spans="1:10" x14ac:dyDescent="0.25">
      <c r="A6046" s="5" t="s">
        <v>6080</v>
      </c>
      <c r="B6046" s="5" t="s">
        <v>7913</v>
      </c>
      <c r="C6046" s="6" t="str">
        <f>_xll.QS.CONTEXT.CREATE("market.6044",A6046,"USD","SOFR")</f>
        <v>QSObject:PricingContext:w1~market.6044:8705</v>
      </c>
      <c r="D6046" s="6" t="str">
        <f>_xll.QS.CONTEXT.ADD.CURVE(C6046,"SOFR",$K$2:$K$7,$L$2:$L$7,,,"Actual360","LogLinear",TRUE)</f>
        <v>QSObject:ContextInput:w1~input.qs_context_add_curve.2359132437744.6045.3.0:34458</v>
      </c>
      <c r="E6046" s="6" t="str">
        <f>_xll.QS.INSTRUMENT.SWAP("swap.6044",H6046,B6046,"USD","SOFR",I6046,J6046,0,"Actual360","Simple","Annual","Annual","Annual")</f>
        <v>QSObject:Swap:w1~swap.6044:8704</v>
      </c>
      <c r="F6046" s="6" t="str">
        <f>_xll.QS.TRADE.CREATE("trade.6044",E6046,A6046,"Receive")</f>
        <v>QSObject:SwapTrade:w1~trade.6044:25885</v>
      </c>
      <c r="G6046" s="3">
        <f>_xll.QS.EVALUATE(C6046,F6046)</f>
        <v>54737.902254303401</v>
      </c>
      <c r="H6046" s="5" t="s">
        <v>6087</v>
      </c>
      <c r="I6046" s="7">
        <v>1604400</v>
      </c>
      <c r="J6046" s="8">
        <v>3.9399999999999998E-2</v>
      </c>
    </row>
    <row r="6047" spans="1:10" x14ac:dyDescent="0.25">
      <c r="A6047" s="5" t="s">
        <v>6081</v>
      </c>
      <c r="B6047" s="5" t="s">
        <v>7914</v>
      </c>
      <c r="C6047" s="6" t="str">
        <f>_xll.QS.CONTEXT.CREATE("market.6045",A6047,"USD","SOFR")</f>
        <v>QSObject:PricingContext:w1~market.6045:8703</v>
      </c>
      <c r="D6047" s="6" t="str">
        <f>_xll.QS.CONTEXT.ADD.CURVE(C6047,"SOFR",$K$2:$K$7,$L$2:$L$7,,,"Actual360","LogLinear",TRUE)</f>
        <v>QSObject:ContextInput:w1~input.qs_context_add_curve.2359132437744.6046.3.0:34457</v>
      </c>
      <c r="E6047" s="6" t="str">
        <f>_xll.QS.INSTRUMENT.SWAP("swap.6045",H6047,B6047,"USD","SOFR",I6047,J6047,0,"Actual360","Simple","Annual","Annual","Annual")</f>
        <v>QSObject:Swap:w1~swap.6045:8702</v>
      </c>
      <c r="F6047" s="6" t="str">
        <f>_xll.QS.TRADE.CREATE("trade.6045",E6047,A6047,"Receive")</f>
        <v>QSObject:SwapTrade:w1~trade.6045:25884</v>
      </c>
      <c r="G6047" s="3">
        <f>_xll.QS.EVALUATE(C6047,F6047)</f>
        <v>55420.166174941107</v>
      </c>
      <c r="H6047" s="5" t="s">
        <v>6088</v>
      </c>
      <c r="I6047" s="7">
        <v>1604500</v>
      </c>
      <c r="J6047" s="8">
        <v>3.9500000000000007E-2</v>
      </c>
    </row>
    <row r="6048" spans="1:10" x14ac:dyDescent="0.25">
      <c r="A6048" s="5" t="s">
        <v>6082</v>
      </c>
      <c r="B6048" s="5" t="s">
        <v>7915</v>
      </c>
      <c r="C6048" s="6" t="str">
        <f>_xll.QS.CONTEXT.CREATE("market.6046",A6048,"USD","SOFR")</f>
        <v>QSObject:PricingContext:w1~market.6046:8701</v>
      </c>
      <c r="D6048" s="6" t="str">
        <f>_xll.QS.CONTEXT.ADD.CURVE(C6048,"SOFR",$K$2:$K$7,$L$2:$L$7,,,"Actual360","LogLinear",TRUE)</f>
        <v>QSObject:ContextInput:w1~input.qs_context_add_curve.2359132437744.6047.3.0:34456</v>
      </c>
      <c r="E6048" s="6" t="str">
        <f>_xll.QS.INSTRUMENT.SWAP("swap.6046",H6048,B6048,"USD","SOFR",I6048,J6048,0,"Actual360","Simple","Annual","Annual","Annual")</f>
        <v>QSObject:Swap:w1~swap.6046:8700</v>
      </c>
      <c r="F6048" s="6" t="str">
        <f>_xll.QS.TRADE.CREATE("trade.6046",E6048,A6048,"Receive")</f>
        <v>QSObject:SwapTrade:w1~trade.6046:25883</v>
      </c>
      <c r="G6048" s="3">
        <f>_xll.QS.EVALUATE(C6048,F6048)</f>
        <v>56029.547279660233</v>
      </c>
      <c r="H6048" s="5" t="s">
        <v>6089</v>
      </c>
      <c r="I6048" s="7">
        <v>1604600</v>
      </c>
      <c r="J6048" s="8">
        <v>3.9600000000000003E-2</v>
      </c>
    </row>
    <row r="6049" spans="1:10" x14ac:dyDescent="0.25">
      <c r="A6049" s="5" t="s">
        <v>6083</v>
      </c>
      <c r="B6049" s="5" t="s">
        <v>7916</v>
      </c>
      <c r="C6049" s="6" t="str">
        <f>_xll.QS.CONTEXT.CREATE("market.6047",A6049,"USD","SOFR")</f>
        <v>QSObject:PricingContext:w1~market.6047:8699</v>
      </c>
      <c r="D6049" s="6" t="str">
        <f>_xll.QS.CONTEXT.ADD.CURVE(C6049,"SOFR",$K$2:$K$7,$L$2:$L$7,,,"Actual360","LogLinear",TRUE)</f>
        <v>QSObject:ContextInput:w1~input.qs_context_add_curve.2359132437744.6048.3.0:34455</v>
      </c>
      <c r="E6049" s="6" t="str">
        <f>_xll.QS.INSTRUMENT.SWAP("swap.6047",H6049,B6049,"USD","SOFR",I6049,J6049,0,"Actual360","Simple","Annual","Annual","Annual")</f>
        <v>QSObject:Swap:w1~swap.6047:8698</v>
      </c>
      <c r="F6049" s="6" t="str">
        <f>_xll.QS.TRADE.CREATE("trade.6047",E6049,A6049,"Receive")</f>
        <v>QSObject:SwapTrade:w1~trade.6047:25882</v>
      </c>
      <c r="G6049" s="3">
        <f>_xll.QS.EVALUATE(C6049,F6049)</f>
        <v>56776.727047591143</v>
      </c>
      <c r="H6049" s="5" t="s">
        <v>6090</v>
      </c>
      <c r="I6049" s="7">
        <v>1604700</v>
      </c>
      <c r="J6049" s="8">
        <v>3.9700000000000013E-2</v>
      </c>
    </row>
    <row r="6050" spans="1:10" x14ac:dyDescent="0.25">
      <c r="A6050" s="5" t="s">
        <v>6084</v>
      </c>
      <c r="B6050" s="5" t="s">
        <v>7917</v>
      </c>
      <c r="C6050" s="6" t="str">
        <f>_xll.QS.CONTEXT.CREATE("market.6048",A6050,"USD","SOFR")</f>
        <v>QSObject:PricingContext:w1~market.6048:8697</v>
      </c>
      <c r="D6050" s="6" t="str">
        <f>_xll.QS.CONTEXT.ADD.CURVE(C6050,"SOFR",$K$2:$K$7,$L$2:$L$7,,,"Actual360","LogLinear",TRUE)</f>
        <v>QSObject:ContextInput:w1~input.qs_context_add_curve.2359132437744.6049.3.0:34454</v>
      </c>
      <c r="E6050" s="6" t="str">
        <f>_xll.QS.INSTRUMENT.SWAP("swap.6048",H6050,B6050,"USD","SOFR",I6050,J6050,0,"Actual360","Simple","Annual","Annual","Annual")</f>
        <v>QSObject:Swap:w1~swap.6048:8696</v>
      </c>
      <c r="F6050" s="6" t="str">
        <f>_xll.QS.TRADE.CREATE("trade.6048",E6050,A6050,"Receive")</f>
        <v>QSObject:SwapTrade:w1~trade.6048:25881</v>
      </c>
      <c r="G6050" s="3">
        <f>_xll.QS.EVALUATE(C6050,F6050)</f>
        <v>57589.722440783284</v>
      </c>
      <c r="H6050" s="5" t="s">
        <v>6091</v>
      </c>
      <c r="I6050" s="7">
        <v>1604800</v>
      </c>
      <c r="J6050" s="8">
        <v>3.9800000000000002E-2</v>
      </c>
    </row>
    <row r="6051" spans="1:10" x14ac:dyDescent="0.25">
      <c r="A6051" s="5" t="s">
        <v>6085</v>
      </c>
      <c r="B6051" s="5" t="s">
        <v>7918</v>
      </c>
      <c r="C6051" s="6" t="str">
        <f>_xll.QS.CONTEXT.CREATE("market.6049",A6051,"USD","SOFR")</f>
        <v>QSObject:PricingContext:w1~market.6049:8695</v>
      </c>
      <c r="D6051" s="6" t="str">
        <f>_xll.QS.CONTEXT.ADD.CURVE(C6051,"SOFR",$K$2:$K$7,$L$2:$L$7,,,"Actual360","LogLinear",TRUE)</f>
        <v>QSObject:ContextInput:w1~input.qs_context_add_curve.2359132437744.6050.3.0:34453</v>
      </c>
      <c r="E6051" s="6" t="str">
        <f>_xll.QS.INSTRUMENT.SWAP("swap.6049",H6051,B6051,"USD","SOFR",I6051,J6051,0,"Actual360","Simple","Annual","Annual","Annual")</f>
        <v>QSObject:Swap:w1~swap.6049:8694</v>
      </c>
      <c r="F6051" s="6" t="str">
        <f>_xll.QS.TRADE.CREATE("trade.6049",E6051,A6051,"Receive")</f>
        <v>QSObject:SwapTrade:w1~trade.6049:25880</v>
      </c>
      <c r="G6051" s="3">
        <f>_xll.QS.EVALUATE(C6051,F6051)</f>
        <v>58267.831209993332</v>
      </c>
      <c r="H6051" s="5" t="s">
        <v>6092</v>
      </c>
      <c r="I6051" s="7">
        <v>1604900</v>
      </c>
      <c r="J6051" s="8">
        <v>3.9899999999999998E-2</v>
      </c>
    </row>
    <row r="6052" spans="1:10" x14ac:dyDescent="0.25">
      <c r="A6052" s="5" t="s">
        <v>6086</v>
      </c>
      <c r="B6052" s="5" t="s">
        <v>7919</v>
      </c>
      <c r="C6052" s="6" t="str">
        <f>_xll.QS.CONTEXT.CREATE("market.6050",A6052,"USD","SOFR")</f>
        <v>QSObject:PricingContext:w1~market.6050:8693</v>
      </c>
      <c r="D6052" s="6" t="str">
        <f>_xll.QS.CONTEXT.ADD.CURVE(C6052,"SOFR",$K$2:$K$7,$L$2:$L$7,,,"Actual360","LogLinear",TRUE)</f>
        <v>QSObject:ContextInput:w1~input.qs_context_add_curve.2359132437744.6051.3.0:34452</v>
      </c>
      <c r="E6052" s="6" t="str">
        <f>_xll.QS.INSTRUMENT.SWAP("swap.6050",H6052,B6052,"USD","SOFR",I6052,J6052,0,"Actual360","Simple","Annual","Annual","Annual")</f>
        <v>QSObject:Swap:w1~swap.6050:8692</v>
      </c>
      <c r="F6052" s="6" t="str">
        <f>_xll.QS.TRADE.CREATE("trade.6050",E6052,A6052,"Receive")</f>
        <v>QSObject:SwapTrade:w1~trade.6050:25879</v>
      </c>
      <c r="G6052" s="3">
        <f>_xll.QS.EVALUATE(C6052,F6052)</f>
        <v>22122.802282589226</v>
      </c>
      <c r="H6052" s="5" t="s">
        <v>6093</v>
      </c>
      <c r="I6052" s="7">
        <v>1605000</v>
      </c>
      <c r="J6052" s="8">
        <v>3.5000000000000003E-2</v>
      </c>
    </row>
    <row r="6053" spans="1:10" x14ac:dyDescent="0.25">
      <c r="A6053" s="5" t="s">
        <v>6087</v>
      </c>
      <c r="B6053" s="5" t="s">
        <v>7920</v>
      </c>
      <c r="C6053" s="6" t="str">
        <f>_xll.QS.CONTEXT.CREATE("market.6051",A6053,"USD","SOFR")</f>
        <v>QSObject:PricingContext:w1~market.6051:8691</v>
      </c>
      <c r="D6053" s="6" t="str">
        <f>_xll.QS.CONTEXT.ADD.CURVE(C6053,"SOFR",$K$2:$K$7,$L$2:$L$7,,,"Actual360","LogLinear",TRUE)</f>
        <v>QSObject:ContextInput:w1~input.qs_context_add_curve.2359132437744.6052.3.0:34451</v>
      </c>
      <c r="E6053" s="6" t="str">
        <f>_xll.QS.INSTRUMENT.SWAP("swap.6051",H6053,B6053,"USD","SOFR",I6053,J6053,0,"Actual360","Simple","Annual","Annual","Annual")</f>
        <v>QSObject:Swap:w1~swap.6051:8690</v>
      </c>
      <c r="F6053" s="6" t="str">
        <f>_xll.QS.TRADE.CREATE("trade.6051",E6053,A6053,"Receive")</f>
        <v>QSObject:SwapTrade:w1~trade.6051:25878</v>
      </c>
      <c r="G6053" s="3">
        <f>_xll.QS.EVALUATE(C6053,F6053)</f>
        <v>22868.899257533471</v>
      </c>
      <c r="H6053" s="5" t="s">
        <v>6094</v>
      </c>
      <c r="I6053" s="7">
        <v>1605100</v>
      </c>
      <c r="J6053" s="8">
        <v>3.5100000000000013E-2</v>
      </c>
    </row>
    <row r="6054" spans="1:10" x14ac:dyDescent="0.25">
      <c r="A6054" s="5" t="s">
        <v>6088</v>
      </c>
      <c r="B6054" s="5" t="s">
        <v>7921</v>
      </c>
      <c r="C6054" s="6" t="str">
        <f>_xll.QS.CONTEXT.CREATE("market.6052",A6054,"USD","SOFR")</f>
        <v>QSObject:PricingContext:w1~market.6052:8689</v>
      </c>
      <c r="D6054" s="6" t="str">
        <f>_xll.QS.CONTEXT.ADD.CURVE(C6054,"SOFR",$K$2:$K$7,$L$2:$L$7,,,"Actual360","LogLinear",TRUE)</f>
        <v>QSObject:ContextInput:w1~input.qs_context_add_curve.2359132437744.6053.3.0:34450</v>
      </c>
      <c r="E6054" s="6" t="str">
        <f>_xll.QS.INSTRUMENT.SWAP("swap.6052",H6054,B6054,"USD","SOFR",I6054,J6054,0,"Actual360","Simple","Annual","Annual","Annual")</f>
        <v>QSObject:Swap:w1~swap.6052:8688</v>
      </c>
      <c r="F6054" s="6" t="str">
        <f>_xll.QS.TRADE.CREATE("trade.6052",E6054,A6054,"Receive")</f>
        <v>QSObject:SwapTrade:w1~trade.6052:25877</v>
      </c>
      <c r="G6054" s="3">
        <f>_xll.QS.EVALUATE(C6054,F6054)</f>
        <v>23614.825930511804</v>
      </c>
      <c r="H6054" s="5" t="s">
        <v>6095</v>
      </c>
      <c r="I6054" s="7">
        <v>1605200</v>
      </c>
      <c r="J6054" s="8">
        <v>3.5200000000000002E-2</v>
      </c>
    </row>
    <row r="6055" spans="1:10" x14ac:dyDescent="0.25">
      <c r="A6055" s="5" t="s">
        <v>6089</v>
      </c>
      <c r="B6055" s="5" t="s">
        <v>7922</v>
      </c>
      <c r="C6055" s="6" t="str">
        <f>_xll.QS.CONTEXT.CREATE("market.6053",A6055,"USD","SOFR")</f>
        <v>QSObject:PricingContext:w1~market.6053:8687</v>
      </c>
      <c r="D6055" s="6" t="str">
        <f>_xll.QS.CONTEXT.ADD.CURVE(C6055,"SOFR",$K$2:$K$7,$L$2:$L$7,,,"Actual360","LogLinear",TRUE)</f>
        <v>QSObject:ContextInput:w1~input.qs_context_add_curve.2359132437744.6054.3.0:34449</v>
      </c>
      <c r="E6055" s="6" t="str">
        <f>_xll.QS.INSTRUMENT.SWAP("swap.6053",H6055,B6055,"USD","SOFR",I6055,J6055,0,"Actual360","Simple","Annual","Annual","Annual")</f>
        <v>QSObject:Swap:w1~swap.6053:8686</v>
      </c>
      <c r="F6055" s="6" t="str">
        <f>_xll.QS.TRADE.CREATE("trade.6053",E6055,A6055,"Receive")</f>
        <v>QSObject:SwapTrade:w1~trade.6053:25876</v>
      </c>
      <c r="G6055" s="3">
        <f>_xll.QS.EVALUATE(C6055,F6055)</f>
        <v>24260.0008521278</v>
      </c>
      <c r="H6055" s="5" t="s">
        <v>6096</v>
      </c>
      <c r="I6055" s="7">
        <v>1605300</v>
      </c>
      <c r="J6055" s="8">
        <v>3.5299999999999998E-2</v>
      </c>
    </row>
    <row r="6056" spans="1:10" x14ac:dyDescent="0.25">
      <c r="A6056" s="5" t="s">
        <v>6090</v>
      </c>
      <c r="B6056" s="5" t="s">
        <v>7923</v>
      </c>
      <c r="C6056" s="6" t="str">
        <f>_xll.QS.CONTEXT.CREATE("market.6054",A6056,"USD","SOFR")</f>
        <v>QSObject:PricingContext:w1~market.6054:8685</v>
      </c>
      <c r="D6056" s="6" t="str">
        <f>_xll.QS.CONTEXT.ADD.CURVE(C6056,"SOFR",$K$2:$K$7,$L$2:$L$7,,,"Actual360","LogLinear",TRUE)</f>
        <v>QSObject:ContextInput:w1~input.qs_context_add_curve.2359132437744.6055.3.0:34448</v>
      </c>
      <c r="E6056" s="6" t="str">
        <f>_xll.QS.INSTRUMENT.SWAP("swap.6054",H6056,B6056,"USD","SOFR",I6056,J6056,0,"Actual360","Simple","Annual","Annual","Annual")</f>
        <v>QSObject:Swap:w1~swap.6054:8684</v>
      </c>
      <c r="F6056" s="6" t="str">
        <f>_xll.QS.TRADE.CREATE("trade.6054",E6056,A6056,"Receive")</f>
        <v>QSObject:SwapTrade:w1~trade.6054:25875</v>
      </c>
      <c r="G6056" s="3">
        <f>_xll.QS.EVALUATE(C6056,F6056)</f>
        <v>24857.477036378063</v>
      </c>
      <c r="H6056" s="5" t="s">
        <v>6097</v>
      </c>
      <c r="I6056" s="7">
        <v>1605400</v>
      </c>
      <c r="J6056" s="8">
        <v>3.5400000000000001E-2</v>
      </c>
    </row>
    <row r="6057" spans="1:10" x14ac:dyDescent="0.25">
      <c r="A6057" s="5" t="s">
        <v>6091</v>
      </c>
      <c r="B6057" s="5" t="s">
        <v>7924</v>
      </c>
      <c r="C6057" s="6" t="str">
        <f>_xll.QS.CONTEXT.CREATE("market.6055",A6057,"USD","SOFR")</f>
        <v>QSObject:PricingContext:w1~market.6055:8683</v>
      </c>
      <c r="D6057" s="6" t="str">
        <f>_xll.QS.CONTEXT.ADD.CURVE(C6057,"SOFR",$K$2:$K$7,$L$2:$L$7,,,"Actual360","LogLinear",TRUE)</f>
        <v>QSObject:ContextInput:w1~input.qs_context_add_curve.2359132437744.6056.3.0:34447</v>
      </c>
      <c r="E6057" s="6" t="str">
        <f>_xll.QS.INSTRUMENT.SWAP("swap.6055",H6057,B6057,"USD","SOFR",I6057,J6057,0,"Actual360","Simple","Annual","Annual","Annual")</f>
        <v>QSObject:Swap:w1~swap.6055:8682</v>
      </c>
      <c r="F6057" s="6" t="str">
        <f>_xll.QS.TRADE.CREATE("trade.6055",E6057,A6057,"Receive")</f>
        <v>QSObject:SwapTrade:w1~trade.6055:25874</v>
      </c>
      <c r="G6057" s="3">
        <f>_xll.QS.EVALUATE(C6057,F6057)</f>
        <v>25666.551251644858</v>
      </c>
      <c r="H6057" s="5" t="s">
        <v>6098</v>
      </c>
      <c r="I6057" s="7">
        <v>1605500</v>
      </c>
      <c r="J6057" s="8">
        <v>3.5499999999999997E-2</v>
      </c>
    </row>
    <row r="6058" spans="1:10" x14ac:dyDescent="0.25">
      <c r="A6058" s="5" t="s">
        <v>6092</v>
      </c>
      <c r="B6058" s="5" t="s">
        <v>7925</v>
      </c>
      <c r="C6058" s="6" t="str">
        <f>_xll.QS.CONTEXT.CREATE("market.6056",A6058,"USD","SOFR")</f>
        <v>QSObject:PricingContext:w1~market.6056:8681</v>
      </c>
      <c r="D6058" s="6" t="str">
        <f>_xll.QS.CONTEXT.ADD.CURVE(C6058,"SOFR",$K$2:$K$7,$L$2:$L$7,,,"Actual360","LogLinear",TRUE)</f>
        <v>QSObject:ContextInput:w1~input.qs_context_add_curve.2359132437744.6057.3.0:34446</v>
      </c>
      <c r="E6058" s="6" t="str">
        <f>_xll.QS.INSTRUMENT.SWAP("swap.6056",H6058,B6058,"USD","SOFR",I6058,J6058,0,"Actual360","Simple","Annual","Annual","Annual")</f>
        <v>QSObject:Swap:w1~swap.6056:8680</v>
      </c>
      <c r="F6058" s="6" t="str">
        <f>_xll.QS.TRADE.CREATE("trade.6056",E6058,A6058,"Receive")</f>
        <v>QSObject:SwapTrade:w1~trade.6056:25873</v>
      </c>
      <c r="G6058" s="3">
        <f>_xll.QS.EVALUATE(C6058,F6058)</f>
        <v>26456.356779260481</v>
      </c>
      <c r="H6058" s="5" t="s">
        <v>6099</v>
      </c>
      <c r="I6058" s="7">
        <v>1605600</v>
      </c>
      <c r="J6058" s="8">
        <v>3.5600000000000007E-2</v>
      </c>
    </row>
    <row r="6059" spans="1:10" x14ac:dyDescent="0.25">
      <c r="A6059" s="5" t="s">
        <v>6093</v>
      </c>
      <c r="B6059" s="5" t="s">
        <v>7926</v>
      </c>
      <c r="C6059" s="6" t="str">
        <f>_xll.QS.CONTEXT.CREATE("market.6057",A6059,"USD","SOFR")</f>
        <v>QSObject:PricingContext:w1~market.6057:8679</v>
      </c>
      <c r="D6059" s="6" t="str">
        <f>_xll.QS.CONTEXT.ADD.CURVE(C6059,"SOFR",$K$2:$K$7,$L$2:$L$7,,,"Actual360","LogLinear",TRUE)</f>
        <v>QSObject:ContextInput:w1~input.qs_context_add_curve.2359132437744.6058.3.0:34445</v>
      </c>
      <c r="E6059" s="6" t="str">
        <f>_xll.QS.INSTRUMENT.SWAP("swap.6057",H6059,B6059,"USD","SOFR",I6059,J6059,0,"Actual360","Simple","Annual","Annual","Annual")</f>
        <v>QSObject:Swap:w1~swap.6057:8678</v>
      </c>
      <c r="F6059" s="6" t="str">
        <f>_xll.QS.TRADE.CREATE("trade.6057",E6059,A6059,"Receive")</f>
        <v>QSObject:SwapTrade:w1~trade.6057:25872</v>
      </c>
      <c r="G6059" s="3">
        <f>_xll.QS.EVALUATE(C6059,F6059)</f>
        <v>27315.600757876542</v>
      </c>
      <c r="H6059" s="5" t="s">
        <v>6100</v>
      </c>
      <c r="I6059" s="7">
        <v>1605700</v>
      </c>
      <c r="J6059" s="8">
        <v>3.5700000000000003E-2</v>
      </c>
    </row>
    <row r="6060" spans="1:10" x14ac:dyDescent="0.25">
      <c r="A6060" s="5" t="s">
        <v>6094</v>
      </c>
      <c r="B6060" s="5" t="s">
        <v>7927</v>
      </c>
      <c r="C6060" s="6" t="str">
        <f>_xll.QS.CONTEXT.CREATE("market.6058",A6060,"USD","SOFR")</f>
        <v>QSObject:PricingContext:w1~market.6058:8677</v>
      </c>
      <c r="D6060" s="6" t="str">
        <f>_xll.QS.CONTEXT.ADD.CURVE(C6060,"SOFR",$K$2:$K$7,$L$2:$L$7,,,"Actual360","LogLinear",TRUE)</f>
        <v>QSObject:ContextInput:w1~input.qs_context_add_curve.2359132437744.6059.3.0:34444</v>
      </c>
      <c r="E6060" s="6" t="str">
        <f>_xll.QS.INSTRUMENT.SWAP("swap.6058",H6060,B6060,"USD","SOFR",I6060,J6060,0,"Actual360","Simple","Annual","Annual","Annual")</f>
        <v>QSObject:Swap:w1~swap.6058:8676</v>
      </c>
      <c r="F6060" s="6" t="str">
        <f>_xll.QS.TRADE.CREATE("trade.6058",E6060,A6060,"Receive")</f>
        <v>QSObject:SwapTrade:w1~trade.6058:25871</v>
      </c>
      <c r="G6060" s="3">
        <f>_xll.QS.EVALUATE(C6060,F6060)</f>
        <v>28127.522018551834</v>
      </c>
      <c r="H6060" s="5" t="s">
        <v>6101</v>
      </c>
      <c r="I6060" s="7">
        <v>1605800</v>
      </c>
      <c r="J6060" s="8">
        <v>3.5800000000000012E-2</v>
      </c>
    </row>
    <row r="6061" spans="1:10" x14ac:dyDescent="0.25">
      <c r="A6061" s="5" t="s">
        <v>6095</v>
      </c>
      <c r="B6061" s="5" t="s">
        <v>7928</v>
      </c>
      <c r="C6061" s="6" t="str">
        <f>_xll.QS.CONTEXT.CREATE("market.6059",A6061,"USD","SOFR")</f>
        <v>QSObject:PricingContext:w1~market.6059:8675</v>
      </c>
      <c r="D6061" s="6" t="str">
        <f>_xll.QS.CONTEXT.ADD.CURVE(C6061,"SOFR",$K$2:$K$7,$L$2:$L$7,,,"Actual360","LogLinear",TRUE)</f>
        <v>QSObject:ContextInput:w1~input.qs_context_add_curve.2359132437744.6060.3.0:34443</v>
      </c>
      <c r="E6061" s="6" t="str">
        <f>_xll.QS.INSTRUMENT.SWAP("swap.6059",H6061,B6061,"USD","SOFR",I6061,J6061,0,"Actual360","Simple","Annual","Annual","Annual")</f>
        <v>QSObject:Swap:w1~swap.6059:8674</v>
      </c>
      <c r="F6061" s="6" t="str">
        <f>_xll.QS.TRADE.CREATE("trade.6059",E6061,A6061,"Receive")</f>
        <v>QSObject:SwapTrade:w1~trade.6059:25870</v>
      </c>
      <c r="G6061" s="3">
        <f>_xll.QS.EVALUATE(C6061,F6061)</f>
        <v>28808.933066506012</v>
      </c>
      <c r="H6061" s="5" t="s">
        <v>6102</v>
      </c>
      <c r="I6061" s="7">
        <v>1605900</v>
      </c>
      <c r="J6061" s="8">
        <v>3.5900000000000001E-2</v>
      </c>
    </row>
    <row r="6062" spans="1:10" x14ac:dyDescent="0.25">
      <c r="A6062" s="5" t="s">
        <v>6096</v>
      </c>
      <c r="B6062" s="5" t="s">
        <v>7929</v>
      </c>
      <c r="C6062" s="6" t="str">
        <f>_xll.QS.CONTEXT.CREATE("market.6060",A6062,"USD","SOFR")</f>
        <v>QSObject:PricingContext:w1~market.6060:8673</v>
      </c>
      <c r="D6062" s="6" t="str">
        <f>_xll.QS.CONTEXT.ADD.CURVE(C6062,"SOFR",$K$2:$K$7,$L$2:$L$7,,,"Actual360","LogLinear",TRUE)</f>
        <v>QSObject:ContextInput:w1~input.qs_context_add_curve.2359132437744.6061.3.0:34442</v>
      </c>
      <c r="E6062" s="6" t="str">
        <f>_xll.QS.INSTRUMENT.SWAP("swap.6060",H6062,B6062,"USD","SOFR",I6062,J6062,0,"Actual360","Simple","Annual","Annual","Annual")</f>
        <v>QSObject:Swap:w1~swap.6060:8672</v>
      </c>
      <c r="F6062" s="6" t="str">
        <f>_xll.QS.TRADE.CREATE("trade.6060",E6062,A6062,"Receive")</f>
        <v>QSObject:SwapTrade:w1~trade.6060:25869</v>
      </c>
      <c r="G6062" s="3">
        <f>_xll.QS.EVALUATE(C6062,F6062)</f>
        <v>29448.60214643988</v>
      </c>
      <c r="H6062" s="5" t="s">
        <v>6103</v>
      </c>
      <c r="I6062" s="7">
        <v>1606000</v>
      </c>
      <c r="J6062" s="8">
        <v>3.5999999999999997E-2</v>
      </c>
    </row>
    <row r="6063" spans="1:10" x14ac:dyDescent="0.25">
      <c r="A6063" s="5" t="s">
        <v>6097</v>
      </c>
      <c r="B6063" s="5" t="s">
        <v>7930</v>
      </c>
      <c r="C6063" s="6" t="str">
        <f>_xll.QS.CONTEXT.CREATE("market.6061",A6063,"USD","SOFR")</f>
        <v>QSObject:PricingContext:w1~market.6061:8671</v>
      </c>
      <c r="D6063" s="6" t="str">
        <f>_xll.QS.CONTEXT.ADD.CURVE(C6063,"SOFR",$K$2:$K$7,$L$2:$L$7,,,"Actual360","LogLinear",TRUE)</f>
        <v>QSObject:ContextInput:w1~input.qs_context_add_curve.2359132437744.6062.3.0:34441</v>
      </c>
      <c r="E6063" s="6" t="str">
        <f>_xll.QS.INSTRUMENT.SWAP("swap.6061",H6063,B6063,"USD","SOFR",I6063,J6063,0,"Actual360","Simple","Annual","Annual","Annual")</f>
        <v>QSObject:Swap:w1~swap.6061:8670</v>
      </c>
      <c r="F6063" s="6" t="str">
        <f>_xll.QS.TRADE.CREATE("trade.6061",E6063,A6063,"Receive")</f>
        <v>QSObject:SwapTrade:w1~trade.6061:25868</v>
      </c>
      <c r="G6063" s="3">
        <f>_xll.QS.EVALUATE(C6063,F6063)</f>
        <v>30054.697944383697</v>
      </c>
      <c r="H6063" s="5" t="s">
        <v>6104</v>
      </c>
      <c r="I6063" s="7">
        <v>1606100</v>
      </c>
      <c r="J6063" s="8">
        <v>3.61E-2</v>
      </c>
    </row>
    <row r="6064" spans="1:10" x14ac:dyDescent="0.25">
      <c r="A6064" s="5" t="s">
        <v>6098</v>
      </c>
      <c r="B6064" s="5" t="s">
        <v>7931</v>
      </c>
      <c r="C6064" s="6" t="str">
        <f>_xll.QS.CONTEXT.CREATE("market.6062",A6064,"USD","SOFR")</f>
        <v>QSObject:PricingContext:w1~market.6062:8669</v>
      </c>
      <c r="D6064" s="6" t="str">
        <f>_xll.QS.CONTEXT.ADD.CURVE(C6064,"SOFR",$K$2:$K$7,$L$2:$L$7,,,"Actual360","LogLinear",TRUE)</f>
        <v>QSObject:ContextInput:w1~input.qs_context_add_curve.2359132437744.6063.3.0:34440</v>
      </c>
      <c r="E6064" s="6" t="str">
        <f>_xll.QS.INSTRUMENT.SWAP("swap.6062",H6064,B6064,"USD","SOFR",I6064,J6064,0,"Actual360","Simple","Annual","Annual","Annual")</f>
        <v>QSObject:Swap:w1~swap.6062:8668</v>
      </c>
      <c r="F6064" s="6" t="str">
        <f>_xll.QS.TRADE.CREATE("trade.6062",E6064,A6064,"Receive")</f>
        <v>QSObject:SwapTrade:w1~trade.6062:25867</v>
      </c>
      <c r="G6064" s="3">
        <f>_xll.QS.EVALUATE(C6064,F6064)</f>
        <v>30864.967637064045</v>
      </c>
      <c r="H6064" s="5" t="s">
        <v>6105</v>
      </c>
      <c r="I6064" s="7">
        <v>1606200</v>
      </c>
      <c r="J6064" s="8">
        <v>3.6200000000000003E-2</v>
      </c>
    </row>
    <row r="6065" spans="1:10" x14ac:dyDescent="0.25">
      <c r="A6065" s="5" t="s">
        <v>6099</v>
      </c>
      <c r="B6065" s="5" t="s">
        <v>7932</v>
      </c>
      <c r="C6065" s="6" t="str">
        <f>_xll.QS.CONTEXT.CREATE("market.6063",A6065,"USD","SOFR")</f>
        <v>QSObject:PricingContext:w1~market.6063:8667</v>
      </c>
      <c r="D6065" s="6" t="str">
        <f>_xll.QS.CONTEXT.ADD.CURVE(C6065,"SOFR",$K$2:$K$7,$L$2:$L$7,,,"Actual360","LogLinear",TRUE)</f>
        <v>QSObject:ContextInput:w1~input.qs_context_add_curve.2359132437744.6064.3.0:34439</v>
      </c>
      <c r="E6065" s="6" t="str">
        <f>_xll.QS.INSTRUMENT.SWAP("swap.6063",H6065,B6065,"USD","SOFR",I6065,J6065,0,"Actual360","Simple","Annual","Annual","Annual")</f>
        <v>QSObject:Swap:w1~swap.6063:8666</v>
      </c>
      <c r="F6065" s="6" t="str">
        <f>_xll.QS.TRADE.CREATE("trade.6063",E6065,A6065,"Receive")</f>
        <v>QSObject:SwapTrade:w1~trade.6063:25866</v>
      </c>
      <c r="G6065" s="3">
        <f>_xll.QS.EVALUATE(C6065,F6065)</f>
        <v>31652.899945318466</v>
      </c>
      <c r="H6065" s="5" t="s">
        <v>6106</v>
      </c>
      <c r="I6065" s="7">
        <v>1606300</v>
      </c>
      <c r="J6065" s="8">
        <v>3.6300000000000013E-2</v>
      </c>
    </row>
    <row r="6066" spans="1:10" x14ac:dyDescent="0.25">
      <c r="A6066" s="5" t="s">
        <v>6100</v>
      </c>
      <c r="B6066" s="5" t="s">
        <v>7933</v>
      </c>
      <c r="C6066" s="6" t="str">
        <f>_xll.QS.CONTEXT.CREATE("market.6064",A6066,"USD","SOFR")</f>
        <v>QSObject:PricingContext:w1~market.6064:8665</v>
      </c>
      <c r="D6066" s="6" t="str">
        <f>_xll.QS.CONTEXT.ADD.CURVE(C6066,"SOFR",$K$2:$K$7,$L$2:$L$7,,,"Actual360","LogLinear",TRUE)</f>
        <v>QSObject:ContextInput:w1~input.qs_context_add_curve.2359132437744.6065.3.0:34438</v>
      </c>
      <c r="E6066" s="6" t="str">
        <f>_xll.QS.INSTRUMENT.SWAP("swap.6064",H6066,B6066,"USD","SOFR",I6066,J6066,0,"Actual360","Simple","Annual","Annual","Annual")</f>
        <v>QSObject:Swap:w1~swap.6064:8664</v>
      </c>
      <c r="F6066" s="6" t="str">
        <f>_xll.QS.TRADE.CREATE("trade.6064",E6066,A6066,"Receive")</f>
        <v>QSObject:SwapTrade:w1~trade.6064:25865</v>
      </c>
      <c r="G6066" s="3">
        <f>_xll.QS.EVALUATE(C6066,F6066)</f>
        <v>32512.918389831953</v>
      </c>
      <c r="H6066" s="5" t="s">
        <v>6107</v>
      </c>
      <c r="I6066" s="7">
        <v>1606400</v>
      </c>
      <c r="J6066" s="8">
        <v>3.6400000000000002E-2</v>
      </c>
    </row>
    <row r="6067" spans="1:10" x14ac:dyDescent="0.25">
      <c r="A6067" s="5" t="s">
        <v>6101</v>
      </c>
      <c r="B6067" s="5" t="s">
        <v>7934</v>
      </c>
      <c r="C6067" s="6" t="str">
        <f>_xll.QS.CONTEXT.CREATE("market.6065",A6067,"USD","SOFR")</f>
        <v>QSObject:PricingContext:w1~market.6065:8663</v>
      </c>
      <c r="D6067" s="6" t="str">
        <f>_xll.QS.CONTEXT.ADD.CURVE(C6067,"SOFR",$K$2:$K$7,$L$2:$L$7,,,"Actual360","LogLinear",TRUE)</f>
        <v>QSObject:ContextInput:w1~input.qs_context_add_curve.2359132437744.6066.3.0:34437</v>
      </c>
      <c r="E6067" s="6" t="str">
        <f>_xll.QS.INSTRUMENT.SWAP("swap.6065",H6067,B6067,"USD","SOFR",I6067,J6067,0,"Actual360","Simple","Annual","Annual","Annual")</f>
        <v>QSObject:Swap:w1~swap.6065:8662</v>
      </c>
      <c r="F6067" s="6" t="str">
        <f>_xll.QS.TRADE.CREATE("trade.6065",E6067,A6067,"Receive")</f>
        <v>QSObject:SwapTrade:w1~trade.6065:25864</v>
      </c>
      <c r="G6067" s="3">
        <f>_xll.QS.EVALUATE(C6067,F6067)</f>
        <v>33325.571071178718</v>
      </c>
      <c r="H6067" s="5" t="s">
        <v>6108</v>
      </c>
      <c r="I6067" s="7">
        <v>1606500</v>
      </c>
      <c r="J6067" s="8">
        <v>3.6499999999999998E-2</v>
      </c>
    </row>
    <row r="6068" spans="1:10" x14ac:dyDescent="0.25">
      <c r="A6068" s="5" t="s">
        <v>6102</v>
      </c>
      <c r="B6068" s="5" t="s">
        <v>7935</v>
      </c>
      <c r="C6068" s="6" t="str">
        <f>_xll.QS.CONTEXT.CREATE("market.6066",A6068,"USD","SOFR")</f>
        <v>QSObject:PricingContext:w1~market.6066:8661</v>
      </c>
      <c r="D6068" s="6" t="str">
        <f>_xll.QS.CONTEXT.ADD.CURVE(C6068,"SOFR",$K$2:$K$7,$L$2:$L$7,,,"Actual360","LogLinear",TRUE)</f>
        <v>QSObject:ContextInput:w1~input.qs_context_add_curve.2359132437744.6067.3.0:34436</v>
      </c>
      <c r="E6068" s="6" t="str">
        <f>_xll.QS.INSTRUMENT.SWAP("swap.6066",H6068,B6068,"USD","SOFR",I6068,J6068,0,"Actual360","Simple","Annual","Annual","Annual")</f>
        <v>QSObject:Swap:w1~swap.6066:8660</v>
      </c>
      <c r="F6068" s="6" t="str">
        <f>_xll.QS.TRADE.CREATE("trade.6066",E6068,A6068,"Receive")</f>
        <v>QSObject:SwapTrade:w1~trade.6066:25863</v>
      </c>
      <c r="G6068" s="3">
        <f>_xll.QS.EVALUATE(C6068,F6068)</f>
        <v>34007.559371044808</v>
      </c>
      <c r="H6068" s="5" t="s">
        <v>6109</v>
      </c>
      <c r="I6068" s="7">
        <v>1606600</v>
      </c>
      <c r="J6068" s="8">
        <v>3.6600000000000001E-2</v>
      </c>
    </row>
    <row r="6069" spans="1:10" x14ac:dyDescent="0.25">
      <c r="A6069" s="5" t="s">
        <v>6103</v>
      </c>
      <c r="B6069" s="5" t="s">
        <v>7936</v>
      </c>
      <c r="C6069" s="6" t="str">
        <f>_xll.QS.CONTEXT.CREATE("market.6067",A6069,"USD","SOFR")</f>
        <v>QSObject:PricingContext:w1~market.6067:8659</v>
      </c>
      <c r="D6069" s="6" t="str">
        <f>_xll.QS.CONTEXT.ADD.CURVE(C6069,"SOFR",$K$2:$K$7,$L$2:$L$7,,,"Actual360","LogLinear",TRUE)</f>
        <v>QSObject:ContextInput:w1~input.qs_context_add_curve.2359132437744.6068.3.0:34435</v>
      </c>
      <c r="E6069" s="6" t="str">
        <f>_xll.QS.INSTRUMENT.SWAP("swap.6067",H6069,B6069,"USD","SOFR",I6069,J6069,0,"Actual360","Simple","Annual","Annual","Annual")</f>
        <v>QSObject:Swap:w1~swap.6067:8658</v>
      </c>
      <c r="F6069" s="6" t="str">
        <f>_xll.QS.TRADE.CREATE("trade.6067",E6069,A6069,"Receive")</f>
        <v>QSObject:SwapTrade:w1~trade.6067:25862</v>
      </c>
      <c r="G6069" s="3">
        <f>_xll.QS.EVALUATE(C6069,F6069)</f>
        <v>34641.717283604215</v>
      </c>
      <c r="H6069" s="5" t="s">
        <v>6110</v>
      </c>
      <c r="I6069" s="7">
        <v>1606700</v>
      </c>
      <c r="J6069" s="8">
        <v>3.6700000000000003E-2</v>
      </c>
    </row>
    <row r="6070" spans="1:10" x14ac:dyDescent="0.25">
      <c r="A6070" s="5" t="s">
        <v>6104</v>
      </c>
      <c r="B6070" s="5" t="s">
        <v>7937</v>
      </c>
      <c r="C6070" s="6" t="str">
        <f>_xll.QS.CONTEXT.CREATE("market.6068",A6070,"USD","SOFR")</f>
        <v>QSObject:PricingContext:w1~market.6068:8657</v>
      </c>
      <c r="D6070" s="6" t="str">
        <f>_xll.QS.CONTEXT.ADD.CURVE(C6070,"SOFR",$K$2:$K$7,$L$2:$L$7,,,"Actual360","LogLinear",TRUE)</f>
        <v>QSObject:ContextInput:w1~input.qs_context_add_curve.2359132437744.6069.3.0:34434</v>
      </c>
      <c r="E6070" s="6" t="str">
        <f>_xll.QS.INSTRUMENT.SWAP("swap.6068",H6070,B6070,"USD","SOFR",I6070,J6070,0,"Actual360","Simple","Annual","Annual","Annual")</f>
        <v>QSObject:Swap:w1~swap.6068:8656</v>
      </c>
      <c r="F6070" s="6" t="str">
        <f>_xll.QS.TRADE.CREATE("trade.6068",E6070,A6070,"Receive")</f>
        <v>QSObject:SwapTrade:w1~trade.6068:25861</v>
      </c>
      <c r="G6070" s="3">
        <f>_xll.QS.EVALUATE(C6070,F6070)</f>
        <v>35256.439701202471</v>
      </c>
      <c r="H6070" s="5" t="s">
        <v>6111</v>
      </c>
      <c r="I6070" s="7">
        <v>1606800</v>
      </c>
      <c r="J6070" s="8">
        <v>3.6800000000000013E-2</v>
      </c>
    </row>
    <row r="6071" spans="1:10" x14ac:dyDescent="0.25">
      <c r="A6071" s="5" t="s">
        <v>6105</v>
      </c>
      <c r="B6071" s="5" t="s">
        <v>7938</v>
      </c>
      <c r="C6071" s="6" t="str">
        <f>_xll.QS.CONTEXT.CREATE("market.6069",A6071,"USD","SOFR")</f>
        <v>QSObject:PricingContext:w1~market.6069:8655</v>
      </c>
      <c r="D6071" s="6" t="str">
        <f>_xll.QS.CONTEXT.ADD.CURVE(C6071,"SOFR",$K$2:$K$7,$L$2:$L$7,,,"Actual360","LogLinear",TRUE)</f>
        <v>QSObject:ContextInput:w1~input.qs_context_add_curve.2359132437744.6070.3.0:34433</v>
      </c>
      <c r="E6071" s="6" t="str">
        <f>_xll.QS.INSTRUMENT.SWAP("swap.6069",H6071,B6071,"USD","SOFR",I6071,J6071,0,"Actual360","Simple","Annual","Annual","Annual")</f>
        <v>QSObject:Swap:w1~swap.6069:8654</v>
      </c>
      <c r="F6071" s="6" t="str">
        <f>_xll.QS.TRADE.CREATE("trade.6069",E6071,A6071,"Receive")</f>
        <v>QSObject:SwapTrade:w1~trade.6069:25860</v>
      </c>
      <c r="G6071" s="3">
        <f>_xll.QS.EVALUATE(C6071,F6071)</f>
        <v>36067.905324956315</v>
      </c>
      <c r="H6071" s="5" t="s">
        <v>6112</v>
      </c>
      <c r="I6071" s="7">
        <v>1606900</v>
      </c>
      <c r="J6071" s="8">
        <v>3.6900000000000002E-2</v>
      </c>
    </row>
    <row r="6072" spans="1:10" x14ac:dyDescent="0.25">
      <c r="A6072" s="5" t="s">
        <v>6106</v>
      </c>
      <c r="B6072" s="5" t="s">
        <v>7939</v>
      </c>
      <c r="C6072" s="6" t="str">
        <f>_xll.QS.CONTEXT.CREATE("market.6070",A6072,"USD","SOFR")</f>
        <v>QSObject:PricingContext:w1~market.6070:8653</v>
      </c>
      <c r="D6072" s="6" t="str">
        <f>_xll.QS.CONTEXT.ADD.CURVE(C6072,"SOFR",$K$2:$K$7,$L$2:$L$7,,,"Actual360","LogLinear",TRUE)</f>
        <v>QSObject:ContextInput:w1~input.qs_context_add_curve.2359132437744.6071.3.0:34432</v>
      </c>
      <c r="E6072" s="6" t="str">
        <f>_xll.QS.INSTRUMENT.SWAP("swap.6070",H6072,B6072,"USD","SOFR",I6072,J6072,0,"Actual360","Simple","Annual","Annual","Annual")</f>
        <v>QSObject:Swap:w1~swap.6070:8652</v>
      </c>
      <c r="F6072" s="6" t="str">
        <f>_xll.QS.TRADE.CREATE("trade.6070",E6072,A6072,"Receive")</f>
        <v>QSObject:SwapTrade:w1~trade.6070:25859</v>
      </c>
      <c r="G6072" s="3">
        <f>_xll.QS.EVALUATE(C6072,F6072)</f>
        <v>36853.962200233807</v>
      </c>
      <c r="H6072" s="5" t="s">
        <v>6113</v>
      </c>
      <c r="I6072" s="7">
        <v>1607000</v>
      </c>
      <c r="J6072" s="8">
        <v>3.7000000000000012E-2</v>
      </c>
    </row>
    <row r="6073" spans="1:10" x14ac:dyDescent="0.25">
      <c r="A6073" s="5" t="s">
        <v>6107</v>
      </c>
      <c r="B6073" s="5" t="s">
        <v>7940</v>
      </c>
      <c r="C6073" s="6" t="str">
        <f>_xll.QS.CONTEXT.CREATE("market.6071",A6073,"USD","SOFR")</f>
        <v>QSObject:PricingContext:w1~market.6071:8651</v>
      </c>
      <c r="D6073" s="6" t="str">
        <f>_xll.QS.CONTEXT.ADD.CURVE(C6073,"SOFR",$K$2:$K$7,$L$2:$L$7,,,"Actual360","LogLinear",TRUE)</f>
        <v>QSObject:ContextInput:w1~input.qs_context_add_curve.2359132437744.6072.3.0:34431</v>
      </c>
      <c r="E6073" s="6" t="str">
        <f>_xll.QS.INSTRUMENT.SWAP("swap.6071",H6073,B6073,"USD","SOFR",I6073,J6073,0,"Actual360","Simple","Annual","Annual","Annual")</f>
        <v>QSObject:Swap:w1~swap.6071:8650</v>
      </c>
      <c r="F6073" s="6" t="str">
        <f>_xll.QS.TRADE.CREATE("trade.6071",E6073,A6073,"Receive")</f>
        <v>QSObject:SwapTrade:w1~trade.6071:25858</v>
      </c>
      <c r="G6073" s="3">
        <f>_xll.QS.EVALUATE(C6073,F6073)</f>
        <v>37714.755178455031</v>
      </c>
      <c r="H6073" s="5" t="s">
        <v>6114</v>
      </c>
      <c r="I6073" s="7">
        <v>1607100</v>
      </c>
      <c r="J6073" s="8">
        <v>3.7100000000000001E-2</v>
      </c>
    </row>
    <row r="6074" spans="1:10" x14ac:dyDescent="0.25">
      <c r="A6074" s="5" t="s">
        <v>6108</v>
      </c>
      <c r="B6074" s="5" t="s">
        <v>7941</v>
      </c>
      <c r="C6074" s="6" t="str">
        <f>_xll.QS.CONTEXT.CREATE("market.6072",A6074,"USD","SOFR")</f>
        <v>QSObject:PricingContext:w1~market.6072:8649</v>
      </c>
      <c r="D6074" s="6" t="str">
        <f>_xll.QS.CONTEXT.ADD.CURVE(C6074,"SOFR",$K$2:$K$7,$L$2:$L$7,,,"Actual360","LogLinear",TRUE)</f>
        <v>QSObject:ContextInput:w1~input.qs_context_add_curve.2359132437744.6073.3.0:34430</v>
      </c>
      <c r="E6074" s="6" t="str">
        <f>_xll.QS.INSTRUMENT.SWAP("swap.6072",H6074,B6074,"USD","SOFR",I6074,J6074,0,"Actual360","Simple","Annual","Annual","Annual")</f>
        <v>QSObject:Swap:w1~swap.6072:8648</v>
      </c>
      <c r="F6074" s="6" t="str">
        <f>_xll.QS.TRADE.CREATE("trade.6072",E6074,A6074,"Receive")</f>
        <v>QSObject:SwapTrade:w1~trade.6072:25857</v>
      </c>
      <c r="G6074" s="3">
        <f>_xll.QS.EVALUATE(C6074,F6074)</f>
        <v>38528.139328780882</v>
      </c>
      <c r="H6074" s="5" t="s">
        <v>6115</v>
      </c>
      <c r="I6074" s="7">
        <v>1607200</v>
      </c>
      <c r="J6074" s="8">
        <v>3.7199999999999997E-2</v>
      </c>
    </row>
    <row r="6075" spans="1:10" x14ac:dyDescent="0.25">
      <c r="A6075" s="5" t="s">
        <v>6109</v>
      </c>
      <c r="B6075" s="5" t="s">
        <v>7942</v>
      </c>
      <c r="C6075" s="6" t="str">
        <f>_xll.QS.CONTEXT.CREATE("market.6073",A6075,"USD","SOFR")</f>
        <v>QSObject:PricingContext:w1~market.6073:8647</v>
      </c>
      <c r="D6075" s="6" t="str">
        <f>_xll.QS.CONTEXT.ADD.CURVE(C6075,"SOFR",$K$2:$K$7,$L$2:$L$7,,,"Actual360","LogLinear",TRUE)</f>
        <v>QSObject:ContextInput:w1~input.qs_context_add_curve.2359132437744.6074.3.0:34429</v>
      </c>
      <c r="E6075" s="6" t="str">
        <f>_xll.QS.INSTRUMENT.SWAP("swap.6073",H6075,B6075,"USD","SOFR",I6075,J6075,0,"Actual360","Simple","Annual","Annual","Annual")</f>
        <v>QSObject:Swap:w1~swap.6073:8646</v>
      </c>
      <c r="F6075" s="6" t="str">
        <f>_xll.QS.TRADE.CREATE("trade.6073",E6075,A6075,"Receive")</f>
        <v>QSObject:SwapTrade:w1~trade.6073:25856</v>
      </c>
      <c r="G6075" s="3">
        <f>_xll.QS.EVALUATE(C6075,F6075)</f>
        <v>39210.704844127904</v>
      </c>
      <c r="H6075" s="5" t="s">
        <v>6116</v>
      </c>
      <c r="I6075" s="7">
        <v>1607300</v>
      </c>
      <c r="J6075" s="8">
        <v>3.73E-2</v>
      </c>
    </row>
    <row r="6076" spans="1:10" x14ac:dyDescent="0.25">
      <c r="A6076" s="5" t="s">
        <v>6110</v>
      </c>
      <c r="B6076" s="5" t="s">
        <v>7943</v>
      </c>
      <c r="C6076" s="6" t="str">
        <f>_xll.QS.CONTEXT.CREATE("market.6074",A6076,"USD","SOFR")</f>
        <v>QSObject:PricingContext:w1~market.6074:8645</v>
      </c>
      <c r="D6076" s="6" t="str">
        <f>_xll.QS.CONTEXT.ADD.CURVE(C6076,"SOFR",$K$2:$K$7,$L$2:$L$7,,,"Actual360","LogLinear",TRUE)</f>
        <v>QSObject:ContextInput:w1~input.qs_context_add_curve.2359132437744.6075.3.0:34428</v>
      </c>
      <c r="E6076" s="6" t="str">
        <f>_xll.QS.INSTRUMENT.SWAP("swap.6074",H6076,B6076,"USD","SOFR",I6076,J6076,0,"Actual360","Simple","Annual","Annual","Annual")</f>
        <v>QSObject:Swap:w1~swap.6074:8644</v>
      </c>
      <c r="F6076" s="6" t="str">
        <f>_xll.QS.TRADE.CREATE("trade.6074",E6076,A6076,"Receive")</f>
        <v>QSObject:SwapTrade:w1~trade.6074:25855</v>
      </c>
      <c r="G6076" s="3">
        <f>_xll.QS.EVALUATE(C6076,F6076)</f>
        <v>39839.346263620231</v>
      </c>
      <c r="H6076" s="5" t="s">
        <v>6117</v>
      </c>
      <c r="I6076" s="7">
        <v>1607400</v>
      </c>
      <c r="J6076" s="8">
        <v>3.7400000000000003E-2</v>
      </c>
    </row>
    <row r="6077" spans="1:10" x14ac:dyDescent="0.25">
      <c r="A6077" s="5" t="s">
        <v>6111</v>
      </c>
      <c r="B6077" s="5" t="s">
        <v>7944</v>
      </c>
      <c r="C6077" s="6" t="str">
        <f>_xll.QS.CONTEXT.CREATE("market.6075",A6077,"USD","SOFR")</f>
        <v>QSObject:PricingContext:w1~market.6075:8643</v>
      </c>
      <c r="D6077" s="6" t="str">
        <f>_xll.QS.CONTEXT.ADD.CURVE(C6077,"SOFR",$K$2:$K$7,$L$2:$L$7,,,"Actual360","LogLinear",TRUE)</f>
        <v>QSObject:ContextInput:w1~input.qs_context_add_curve.2359132437744.6076.3.0:34427</v>
      </c>
      <c r="E6077" s="6" t="str">
        <f>_xll.QS.INSTRUMENT.SWAP("swap.6075",H6077,B6077,"USD","SOFR",I6077,J6077,0,"Actual360","Simple","Annual","Annual","Annual")</f>
        <v>QSObject:Swap:w1~swap.6075:8642</v>
      </c>
      <c r="F6077" s="6" t="str">
        <f>_xll.QS.TRADE.CREATE("trade.6075",E6077,A6077,"Receive")</f>
        <v>QSObject:SwapTrade:w1~trade.6075:25854</v>
      </c>
      <c r="G6077" s="3">
        <f>_xll.QS.EVALUATE(C6077,F6077)</f>
        <v>40462.702306834057</v>
      </c>
      <c r="H6077" s="5" t="s">
        <v>6118</v>
      </c>
      <c r="I6077" s="7">
        <v>1607500</v>
      </c>
      <c r="J6077" s="8">
        <v>3.7500000000000012E-2</v>
      </c>
    </row>
    <row r="6078" spans="1:10" x14ac:dyDescent="0.25">
      <c r="A6078" s="5" t="s">
        <v>6112</v>
      </c>
      <c r="B6078" s="5" t="s">
        <v>7945</v>
      </c>
      <c r="C6078" s="6" t="str">
        <f>_xll.QS.CONTEXT.CREATE("market.6076",A6078,"USD","SOFR")</f>
        <v>QSObject:PricingContext:w1~market.6076:8641</v>
      </c>
      <c r="D6078" s="6" t="str">
        <f>_xll.QS.CONTEXT.ADD.CURVE(C6078,"SOFR",$K$2:$K$7,$L$2:$L$7,,,"Actual360","LogLinear",TRUE)</f>
        <v>QSObject:ContextInput:w1~input.qs_context_add_curve.2359132437744.6077.3.0:34426</v>
      </c>
      <c r="E6078" s="6" t="str">
        <f>_xll.QS.INSTRUMENT.SWAP("swap.6076",H6078,B6078,"USD","SOFR",I6078,J6078,0,"Actual360","Simple","Annual","Annual","Annual")</f>
        <v>QSObject:Swap:w1~swap.6076:8640</v>
      </c>
      <c r="F6078" s="6" t="str">
        <f>_xll.QS.TRADE.CREATE("trade.6076",E6078,A6078,"Receive")</f>
        <v>QSObject:SwapTrade:w1~trade.6076:25853</v>
      </c>
      <c r="G6078" s="3">
        <f>_xll.QS.EVALUATE(C6078,F6078)</f>
        <v>41275.364315321385</v>
      </c>
      <c r="H6078" s="5" t="s">
        <v>6119</v>
      </c>
      <c r="I6078" s="7">
        <v>1607600</v>
      </c>
      <c r="J6078" s="8">
        <v>3.7600000000000001E-2</v>
      </c>
    </row>
    <row r="6079" spans="1:10" x14ac:dyDescent="0.25">
      <c r="A6079" s="5" t="s">
        <v>6113</v>
      </c>
      <c r="B6079" s="5" t="s">
        <v>7946</v>
      </c>
      <c r="C6079" s="6" t="str">
        <f>_xll.QS.CONTEXT.CREATE("market.6077",A6079,"USD","SOFR")</f>
        <v>QSObject:PricingContext:w1~market.6077:8639</v>
      </c>
      <c r="D6079" s="6" t="str">
        <f>_xll.QS.CONTEXT.ADD.CURVE(C6079,"SOFR",$K$2:$K$7,$L$2:$L$7,,,"Actual360","LogLinear",TRUE)</f>
        <v>QSObject:ContextInput:w1~input.qs_context_add_curve.2359132437744.6078.3.0:34425</v>
      </c>
      <c r="E6079" s="6" t="str">
        <f>_xll.QS.INSTRUMENT.SWAP("swap.6077",H6079,B6079,"USD","SOFR",I6079,J6079,0,"Actual360","Simple","Annual","Annual","Annual")</f>
        <v>QSObject:Swap:w1~swap.6077:8638</v>
      </c>
      <c r="F6079" s="6" t="str">
        <f>_xll.QS.TRADE.CREATE("trade.6077",E6079,A6079,"Receive")</f>
        <v>QSObject:SwapTrade:w1~trade.6077:25852</v>
      </c>
      <c r="G6079" s="3">
        <f>_xll.QS.EVALUATE(C6079,F6079)</f>
        <v>42059.543544006716</v>
      </c>
      <c r="H6079" s="5" t="s">
        <v>6120</v>
      </c>
      <c r="I6079" s="7">
        <v>1607700</v>
      </c>
      <c r="J6079" s="8">
        <v>3.7699999999999997E-2</v>
      </c>
    </row>
    <row r="6080" spans="1:10" x14ac:dyDescent="0.25">
      <c r="A6080" s="5" t="s">
        <v>6114</v>
      </c>
      <c r="B6080" s="5" t="s">
        <v>7947</v>
      </c>
      <c r="C6080" s="6" t="str">
        <f>_xll.QS.CONTEXT.CREATE("market.6078",A6080,"USD","SOFR")</f>
        <v>QSObject:PricingContext:w1~market.6078:8637</v>
      </c>
      <c r="D6080" s="6" t="str">
        <f>_xll.QS.CONTEXT.ADD.CURVE(C6080,"SOFR",$K$2:$K$7,$L$2:$L$7,,,"Actual360","LogLinear",TRUE)</f>
        <v>QSObject:ContextInput:w1~input.qs_context_add_curve.2359132437744.6079.3.0:34424</v>
      </c>
      <c r="E6080" s="6" t="str">
        <f>_xll.QS.INSTRUMENT.SWAP("swap.6078",H6080,B6080,"USD","SOFR",I6080,J6080,0,"Actual360","Simple","Annual","Annual","Annual")</f>
        <v>QSObject:Swap:w1~swap.6078:8636</v>
      </c>
      <c r="F6080" s="6" t="str">
        <f>_xll.QS.TRADE.CREATE("trade.6078",E6080,A6080,"Receive")</f>
        <v>QSObject:SwapTrade:w1~trade.6078:25851</v>
      </c>
      <c r="G6080" s="3">
        <f>_xll.QS.EVALUATE(C6080,F6080)</f>
        <v>42921.39271881889</v>
      </c>
      <c r="H6080" s="5" t="s">
        <v>6121</v>
      </c>
      <c r="I6080" s="7">
        <v>1607800</v>
      </c>
      <c r="J6080" s="8">
        <v>3.78E-2</v>
      </c>
    </row>
    <row r="6081" spans="1:10" x14ac:dyDescent="0.25">
      <c r="A6081" s="5" t="s">
        <v>6115</v>
      </c>
      <c r="B6081" s="5" t="s">
        <v>7948</v>
      </c>
      <c r="C6081" s="6" t="str">
        <f>_xll.QS.CONTEXT.CREATE("market.6079",A6081,"USD","SOFR")</f>
        <v>QSObject:PricingContext:w1~market.6079:8635</v>
      </c>
      <c r="D6081" s="6" t="str">
        <f>_xll.QS.CONTEXT.ADD.CURVE(C6081,"SOFR",$K$2:$K$7,$L$2:$L$7,,,"Actual360","LogLinear",TRUE)</f>
        <v>QSObject:ContextInput:w1~input.qs_context_add_curve.2359132437744.6080.3.0:34423</v>
      </c>
      <c r="E6081" s="6" t="str">
        <f>_xll.QS.INSTRUMENT.SWAP("swap.6079",H6081,B6081,"USD","SOFR",I6081,J6081,0,"Actual360","Simple","Annual","Annual","Annual")</f>
        <v>QSObject:Swap:w1~swap.6079:8634</v>
      </c>
      <c r="F6081" s="6" t="str">
        <f>_xll.QS.TRADE.CREATE("trade.6079",E6081,A6081,"Receive")</f>
        <v>QSObject:SwapTrade:w1~trade.6079:25850</v>
      </c>
      <c r="G6081" s="3">
        <f>_xll.QS.EVALUATE(C6081,F6081)</f>
        <v>43735.793202554865</v>
      </c>
      <c r="H6081" s="5" t="s">
        <v>6122</v>
      </c>
      <c r="I6081" s="7">
        <v>1607900</v>
      </c>
      <c r="J6081" s="8">
        <v>3.7900000000000003E-2</v>
      </c>
    </row>
    <row r="6082" spans="1:10" x14ac:dyDescent="0.25">
      <c r="A6082" s="5" t="s">
        <v>6116</v>
      </c>
      <c r="B6082" s="5" t="s">
        <v>7949</v>
      </c>
      <c r="C6082" s="6" t="str">
        <f>_xll.QS.CONTEXT.CREATE("market.6080",A6082,"USD","SOFR")</f>
        <v>QSObject:PricingContext:w1~market.6080:8633</v>
      </c>
      <c r="D6082" s="6" t="str">
        <f>_xll.QS.CONTEXT.ADD.CURVE(C6082,"SOFR",$K$2:$K$7,$L$2:$L$7,,,"Actual360","LogLinear",TRUE)</f>
        <v>QSObject:ContextInput:w1~input.qs_context_add_curve.2359132437744.6081.3.0:34422</v>
      </c>
      <c r="E6082" s="6" t="str">
        <f>_xll.QS.INSTRUMENT.SWAP("swap.6080",H6082,B6082,"USD","SOFR",I6082,J6082,0,"Actual360","Simple","Annual","Annual","Annual")</f>
        <v>QSObject:Swap:w1~swap.6080:8632</v>
      </c>
      <c r="F6082" s="6" t="str">
        <f>_xll.QS.TRADE.CREATE("trade.6080",E6082,A6082,"Receive")</f>
        <v>QSObject:SwapTrade:w1~trade.6080:25849</v>
      </c>
      <c r="G6082" s="3">
        <f>_xll.QS.EVALUATE(C6082,F6082)</f>
        <v>44417.832603305957</v>
      </c>
      <c r="H6082" s="5" t="s">
        <v>6123</v>
      </c>
      <c r="I6082" s="7">
        <v>1608000</v>
      </c>
      <c r="J6082" s="8">
        <v>3.8000000000000013E-2</v>
      </c>
    </row>
    <row r="6083" spans="1:10" x14ac:dyDescent="0.25">
      <c r="A6083" s="5" t="s">
        <v>6117</v>
      </c>
      <c r="B6083" s="5" t="s">
        <v>7950</v>
      </c>
      <c r="C6083" s="6" t="str">
        <f>_xll.QS.CONTEXT.CREATE("market.6081",A6083,"USD","SOFR")</f>
        <v>QSObject:PricingContext:w1~market.6081:8631</v>
      </c>
      <c r="D6083" s="6" t="str">
        <f>_xll.QS.CONTEXT.ADD.CURVE(C6083,"SOFR",$K$2:$K$7,$L$2:$L$7,,,"Actual360","LogLinear",TRUE)</f>
        <v>QSObject:ContextInput:w1~input.qs_context_add_curve.2359132437744.6082.3.0:34421</v>
      </c>
      <c r="E6083" s="6" t="str">
        <f>_xll.QS.INSTRUMENT.SWAP("swap.6081",H6083,B6083,"USD","SOFR",I6083,J6083,0,"Actual360","Simple","Annual","Annual","Annual")</f>
        <v>QSObject:Swap:w1~swap.6081:8630</v>
      </c>
      <c r="F6083" s="6" t="str">
        <f>_xll.QS.TRADE.CREATE("trade.6081",E6083,A6083,"Receive")</f>
        <v>QSObject:SwapTrade:w1~trade.6081:25848</v>
      </c>
      <c r="G6083" s="3">
        <f>_xll.QS.EVALUATE(C6083,F6083)</f>
        <v>45012.596579919955</v>
      </c>
      <c r="H6083" s="5" t="s">
        <v>6124</v>
      </c>
      <c r="I6083" s="7">
        <v>1608100</v>
      </c>
      <c r="J6083" s="8">
        <v>3.8100000000000002E-2</v>
      </c>
    </row>
    <row r="6084" spans="1:10" x14ac:dyDescent="0.25">
      <c r="A6084" s="5" t="s">
        <v>6118</v>
      </c>
      <c r="B6084" s="5" t="s">
        <v>7951</v>
      </c>
      <c r="C6084" s="6" t="str">
        <f>_xll.QS.CONTEXT.CREATE("market.6082",A6084,"USD","SOFR")</f>
        <v>QSObject:PricingContext:w1~market.6082:8629</v>
      </c>
      <c r="D6084" s="6" t="str">
        <f>_xll.QS.CONTEXT.ADD.CURVE(C6084,"SOFR",$K$2:$K$7,$L$2:$L$7,,,"Actual360","LogLinear",TRUE)</f>
        <v>QSObject:ContextInput:w1~input.qs_context_add_curve.2359132437744.6083.3.0:34420</v>
      </c>
      <c r="E6084" s="6" t="str">
        <f>_xll.QS.INSTRUMENT.SWAP("swap.6082",H6084,B6084,"USD","SOFR",I6084,J6084,0,"Actual360","Simple","Annual","Annual","Annual")</f>
        <v>QSObject:Swap:w1~swap.6082:8628</v>
      </c>
      <c r="F6084" s="6" t="str">
        <f>_xll.QS.TRADE.CREATE("trade.6082",E6084,A6084,"Receive")</f>
        <v>QSObject:SwapTrade:w1~trade.6082:25847</v>
      </c>
      <c r="G6084" s="3">
        <f>_xll.QS.EVALUATE(C6084,F6084)</f>
        <v>45605.579886828324</v>
      </c>
      <c r="H6084" s="5" t="s">
        <v>6125</v>
      </c>
      <c r="I6084" s="7">
        <v>1608200</v>
      </c>
      <c r="J6084" s="8">
        <v>3.8199999999999998E-2</v>
      </c>
    </row>
    <row r="6085" spans="1:10" x14ac:dyDescent="0.25">
      <c r="A6085" s="5" t="s">
        <v>6119</v>
      </c>
      <c r="B6085" s="5" t="s">
        <v>7952</v>
      </c>
      <c r="C6085" s="6" t="str">
        <f>_xll.QS.CONTEXT.CREATE("market.6083",A6085,"USD","SOFR")</f>
        <v>QSObject:PricingContext:w1~market.6083:8627</v>
      </c>
      <c r="D6085" s="6" t="str">
        <f>_xll.QS.CONTEXT.ADD.CURVE(C6085,"SOFR",$K$2:$K$7,$L$2:$L$7,,,"Actual360","LogLinear",TRUE)</f>
        <v>QSObject:ContextInput:w1~input.qs_context_add_curve.2359132437744.6084.3.0:34419</v>
      </c>
      <c r="E6085" s="6" t="str">
        <f>_xll.QS.INSTRUMENT.SWAP("swap.6083",H6085,B6085,"USD","SOFR",I6085,J6085,0,"Actual360","Simple","Annual","Annual","Annual")</f>
        <v>QSObject:Swap:w1~swap.6083:8626</v>
      </c>
      <c r="F6085" s="6" t="str">
        <f>_xll.QS.TRADE.CREATE("trade.6083",E6085,A6085,"Receive")</f>
        <v>QSObject:SwapTrade:w1~trade.6083:25846</v>
      </c>
      <c r="G6085" s="3">
        <f>_xll.QS.EVALUATE(C6085,F6085)</f>
        <v>46418.896154306225</v>
      </c>
      <c r="H6085" s="5" t="s">
        <v>6126</v>
      </c>
      <c r="I6085" s="7">
        <v>1608300</v>
      </c>
      <c r="J6085" s="8">
        <v>3.8300000000000001E-2</v>
      </c>
    </row>
    <row r="6086" spans="1:10" x14ac:dyDescent="0.25">
      <c r="A6086" s="5" t="s">
        <v>6120</v>
      </c>
      <c r="B6086" s="5" t="s">
        <v>7953</v>
      </c>
      <c r="C6086" s="6" t="str">
        <f>_xll.QS.CONTEXT.CREATE("market.6084",A6086,"USD","SOFR")</f>
        <v>QSObject:PricingContext:w1~market.6084:8625</v>
      </c>
      <c r="D6086" s="6" t="str">
        <f>_xll.QS.CONTEXT.ADD.CURVE(C6086,"SOFR",$K$2:$K$7,$L$2:$L$7,,,"Actual360","LogLinear",TRUE)</f>
        <v>QSObject:ContextInput:w1~input.qs_context_add_curve.2359132437744.6085.3.0:34418</v>
      </c>
      <c r="E6086" s="6" t="str">
        <f>_xll.QS.INSTRUMENT.SWAP("swap.6084",H6086,B6086,"USD","SOFR",I6086,J6086,0,"Actual360","Simple","Annual","Annual","Annual")</f>
        <v>QSObject:Swap:w1~swap.6084:8624</v>
      </c>
      <c r="F6086" s="6" t="str">
        <f>_xll.QS.TRADE.CREATE("trade.6084",E6086,A6086,"Receive")</f>
        <v>QSObject:SwapTrade:w1~trade.6084:25845</v>
      </c>
      <c r="G6086" s="3">
        <f>_xll.QS.EVALUATE(C6086,F6086)</f>
        <v>47231.01199086148</v>
      </c>
      <c r="H6086" s="5" t="s">
        <v>6127</v>
      </c>
      <c r="I6086" s="7">
        <v>1608400</v>
      </c>
      <c r="J6086" s="8">
        <v>3.8399999999999997E-2</v>
      </c>
    </row>
    <row r="6087" spans="1:10" x14ac:dyDescent="0.25">
      <c r="A6087" s="5" t="s">
        <v>6121</v>
      </c>
      <c r="B6087" s="5" t="s">
        <v>7954</v>
      </c>
      <c r="C6087" s="6" t="str">
        <f>_xll.QS.CONTEXT.CREATE("market.6085",A6087,"USD","SOFR")</f>
        <v>QSObject:PricingContext:w1~market.6085:8623</v>
      </c>
      <c r="D6087" s="6" t="str">
        <f>_xll.QS.CONTEXT.ADD.CURVE(C6087,"SOFR",$K$2:$K$7,$L$2:$L$7,,,"Actual360","LogLinear",TRUE)</f>
        <v>QSObject:ContextInput:w1~input.qs_context_add_curve.2359132437744.6086.3.0:34417</v>
      </c>
      <c r="E6087" s="6" t="str">
        <f>_xll.QS.INSTRUMENT.SWAP("swap.6085",H6087,B6087,"USD","SOFR",I6087,J6087,0,"Actual360","Simple","Annual","Annual","Annual")</f>
        <v>QSObject:Swap:w1~swap.6085:8622</v>
      </c>
      <c r="F6087" s="6" t="str">
        <f>_xll.QS.TRADE.CREATE("trade.6085",E6087,A6087,"Receive")</f>
        <v>QSObject:SwapTrade:w1~trade.6085:25844</v>
      </c>
      <c r="G6087" s="3">
        <f>_xll.QS.EVALUATE(C6087,F6087)</f>
        <v>48191.441309786518</v>
      </c>
      <c r="H6087" s="5" t="s">
        <v>6128</v>
      </c>
      <c r="I6087" s="7">
        <v>1608500</v>
      </c>
      <c r="J6087" s="8">
        <v>3.8500000000000013E-2</v>
      </c>
    </row>
    <row r="6088" spans="1:10" x14ac:dyDescent="0.25">
      <c r="A6088" s="5" t="s">
        <v>6122</v>
      </c>
      <c r="B6088" s="5" t="s">
        <v>7955</v>
      </c>
      <c r="C6088" s="6" t="str">
        <f>_xll.QS.CONTEXT.CREATE("market.6086",A6088,"USD","SOFR")</f>
        <v>QSObject:PricingContext:w1~market.6086:8621</v>
      </c>
      <c r="D6088" s="6" t="str">
        <f>_xll.QS.CONTEXT.ADD.CURVE(C6088,"SOFR",$K$2:$K$7,$L$2:$L$7,,,"Actual360","LogLinear",TRUE)</f>
        <v>QSObject:ContextInput:w1~input.qs_context_add_curve.2359132437744.6087.3.0:34416</v>
      </c>
      <c r="E6088" s="6" t="str">
        <f>_xll.QS.INSTRUMENT.SWAP("swap.6086",H6088,B6088,"USD","SOFR",I6088,J6088,0,"Actual360","Simple","Annual","Annual","Annual")</f>
        <v>QSObject:Swap:w1~swap.6086:8620</v>
      </c>
      <c r="F6088" s="6" t="str">
        <f>_xll.QS.TRADE.CREATE("trade.6086",E6088,A6088,"Receive")</f>
        <v>QSObject:SwapTrade:w1~trade.6086:25843</v>
      </c>
      <c r="G6088" s="3">
        <f>_xll.QS.EVALUATE(C6088,F6088)</f>
        <v>48951.768391353871</v>
      </c>
      <c r="H6088" s="5" t="s">
        <v>6129</v>
      </c>
      <c r="I6088" s="7">
        <v>1608600</v>
      </c>
      <c r="J6088" s="8">
        <v>3.8600000000000002E-2</v>
      </c>
    </row>
    <row r="6089" spans="1:10" x14ac:dyDescent="0.25">
      <c r="A6089" s="5" t="s">
        <v>6123</v>
      </c>
      <c r="B6089" s="5" t="s">
        <v>7956</v>
      </c>
      <c r="C6089" s="6" t="str">
        <f>_xll.QS.CONTEXT.CREATE("market.6087",A6089,"USD","SOFR")</f>
        <v>QSObject:PricingContext:w1~market.6087:8619</v>
      </c>
      <c r="D6089" s="6" t="str">
        <f>_xll.QS.CONTEXT.ADD.CURVE(C6089,"SOFR",$K$2:$K$7,$L$2:$L$7,,,"Actual360","LogLinear",TRUE)</f>
        <v>QSObject:ContextInput:w1~input.qs_context_add_curve.2359132437744.6088.3.0:34415</v>
      </c>
      <c r="E6089" s="6" t="str">
        <f>_xll.QS.INSTRUMENT.SWAP("swap.6087",H6089,B6089,"USD","SOFR",I6089,J6089,0,"Actual360","Simple","Annual","Annual","Annual")</f>
        <v>QSObject:Swap:w1~swap.6087:8618</v>
      </c>
      <c r="F6089" s="6" t="str">
        <f>_xll.QS.TRADE.CREATE("trade.6087",E6089,A6089,"Receive")</f>
        <v>QSObject:SwapTrade:w1~trade.6087:25842</v>
      </c>
      <c r="G6089" s="3">
        <f>_xll.QS.EVALUATE(C6089,F6089)</f>
        <v>49696.48609792185</v>
      </c>
      <c r="H6089" s="5" t="s">
        <v>6130</v>
      </c>
      <c r="I6089" s="7">
        <v>1608700</v>
      </c>
      <c r="J6089" s="8">
        <v>3.8700000000000012E-2</v>
      </c>
    </row>
    <row r="6090" spans="1:10" x14ac:dyDescent="0.25">
      <c r="A6090" s="5" t="s">
        <v>6124</v>
      </c>
      <c r="B6090" s="5" t="s">
        <v>7957</v>
      </c>
      <c r="C6090" s="6" t="str">
        <f>_xll.QS.CONTEXT.CREATE("market.6088",A6090,"USD","SOFR")</f>
        <v>QSObject:PricingContext:w1~market.6088:8617</v>
      </c>
      <c r="D6090" s="6" t="str">
        <f>_xll.QS.CONTEXT.ADD.CURVE(C6090,"SOFR",$K$2:$K$7,$L$2:$L$7,,,"Actual360","LogLinear",TRUE)</f>
        <v>QSObject:ContextInput:w1~input.qs_context_add_curve.2359132437744.6089.3.0:34414</v>
      </c>
      <c r="E6090" s="6" t="str">
        <f>_xll.QS.INSTRUMENT.SWAP("swap.6088",H6090,B6090,"USD","SOFR",I6090,J6090,0,"Actual360","Simple","Annual","Annual","Annual")</f>
        <v>QSObject:Swap:w1~swap.6088:8616</v>
      </c>
      <c r="F6090" s="6" t="str">
        <f>_xll.QS.TRADE.CREATE("trade.6088",E6090,A6090,"Receive")</f>
        <v>QSObject:SwapTrade:w1~trade.6088:25841</v>
      </c>
      <c r="G6090" s="3">
        <f>_xll.QS.EVALUATE(C6090,F6090)</f>
        <v>50314.08566091556</v>
      </c>
      <c r="H6090" s="5" t="s">
        <v>6131</v>
      </c>
      <c r="I6090" s="7">
        <v>1608800</v>
      </c>
      <c r="J6090" s="8">
        <v>3.8800000000000001E-2</v>
      </c>
    </row>
    <row r="6091" spans="1:10" x14ac:dyDescent="0.25">
      <c r="A6091" s="5" t="s">
        <v>6125</v>
      </c>
      <c r="B6091" s="5" t="s">
        <v>7958</v>
      </c>
      <c r="C6091" s="6" t="str">
        <f>_xll.QS.CONTEXT.CREATE("market.6089",A6091,"USD","SOFR")</f>
        <v>QSObject:PricingContext:w1~market.6089:8615</v>
      </c>
      <c r="D6091" s="6" t="str">
        <f>_xll.QS.CONTEXT.ADD.CURVE(C6091,"SOFR",$K$2:$K$7,$L$2:$L$7,,,"Actual360","LogLinear",TRUE)</f>
        <v>QSObject:ContextInput:w1~input.qs_context_add_curve.2359132437744.6090.3.0:34413</v>
      </c>
      <c r="E6091" s="6" t="str">
        <f>_xll.QS.INSTRUMENT.SWAP("swap.6089",H6091,B6091,"USD","SOFR",I6091,J6091,0,"Actual360","Simple","Annual","Annual","Annual")</f>
        <v>QSObject:Swap:w1~swap.6089:8614</v>
      </c>
      <c r="F6091" s="6" t="str">
        <f>_xll.QS.TRADE.CREATE("trade.6089",E6091,A6091,"Receive")</f>
        <v>QSObject:SwapTrade:w1~trade.6089:25840</v>
      </c>
      <c r="G6091" s="3">
        <f>_xll.QS.EVALUATE(C6091,F6091)</f>
        <v>50954.574504443663</v>
      </c>
      <c r="H6091" s="5" t="s">
        <v>6132</v>
      </c>
      <c r="I6091" s="7">
        <v>1608900</v>
      </c>
      <c r="J6091" s="8">
        <v>3.8899999999999997E-2</v>
      </c>
    </row>
    <row r="6092" spans="1:10" x14ac:dyDescent="0.25">
      <c r="A6092" s="5" t="s">
        <v>6126</v>
      </c>
      <c r="B6092" s="5" t="s">
        <v>7959</v>
      </c>
      <c r="C6092" s="6" t="str">
        <f>_xll.QS.CONTEXT.CREATE("market.6090",A6092,"USD","SOFR")</f>
        <v>QSObject:PricingContext:w1~market.6090:8613</v>
      </c>
      <c r="D6092" s="6" t="str">
        <f>_xll.QS.CONTEXT.ADD.CURVE(C6092,"SOFR",$K$2:$K$7,$L$2:$L$7,,,"Actual360","LogLinear",TRUE)</f>
        <v>QSObject:ContextInput:w1~input.qs_context_add_curve.2359132437744.6091.3.0:34412</v>
      </c>
      <c r="E6092" s="6" t="str">
        <f>_xll.QS.INSTRUMENT.SWAP("swap.6090",H6092,B6092,"USD","SOFR",I6092,J6092,0,"Actual360","Simple","Annual","Annual","Annual")</f>
        <v>QSObject:Swap:w1~swap.6090:8612</v>
      </c>
      <c r="F6092" s="6" t="str">
        <f>_xll.QS.TRADE.CREATE("trade.6090",E6092,A6092,"Receive")</f>
        <v>QSObject:SwapTrade:w1~trade.6090:25839</v>
      </c>
      <c r="G6092" s="3">
        <f>_xll.QS.EVALUATE(C6092,F6092)</f>
        <v>51703.977206592652</v>
      </c>
      <c r="H6092" s="5" t="s">
        <v>6133</v>
      </c>
      <c r="I6092" s="7">
        <v>1609000</v>
      </c>
      <c r="J6092" s="8">
        <v>3.9000000000000007E-2</v>
      </c>
    </row>
    <row r="6093" spans="1:10" x14ac:dyDescent="0.25">
      <c r="A6093" s="5" t="s">
        <v>6127</v>
      </c>
      <c r="B6093" s="5" t="s">
        <v>7960</v>
      </c>
      <c r="C6093" s="6" t="str">
        <f>_xll.QS.CONTEXT.CREATE("market.6091",A6093,"USD","SOFR")</f>
        <v>QSObject:PricingContext:w1~market.6091:8611</v>
      </c>
      <c r="D6093" s="6" t="str">
        <f>_xll.QS.CONTEXT.ADD.CURVE(C6093,"SOFR",$K$2:$K$7,$L$2:$L$7,,,"Actual360","LogLinear",TRUE)</f>
        <v>QSObject:ContextInput:w1~input.qs_context_add_curve.2359132437744.6092.3.0:34411</v>
      </c>
      <c r="E6093" s="6" t="str">
        <f>_xll.QS.INSTRUMENT.SWAP("swap.6091",H6093,B6093,"USD","SOFR",I6093,J6093,0,"Actual360","Simple","Annual","Annual","Annual")</f>
        <v>QSObject:Swap:w1~swap.6091:8610</v>
      </c>
      <c r="F6093" s="6" t="str">
        <f>_xll.QS.TRADE.CREATE("trade.6091",E6093,A6093,"Receive")</f>
        <v>QSObject:SwapTrade:w1~trade.6091:25838</v>
      </c>
      <c r="G6093" s="3">
        <f>_xll.QS.EVALUATE(C6093,F6093)</f>
        <v>52484.330109699833</v>
      </c>
      <c r="H6093" s="5" t="s">
        <v>6134</v>
      </c>
      <c r="I6093" s="7">
        <v>1609100</v>
      </c>
      <c r="J6093" s="8">
        <v>3.9100000000000003E-2</v>
      </c>
    </row>
    <row r="6094" spans="1:10" x14ac:dyDescent="0.25">
      <c r="A6094" s="5" t="s">
        <v>6128</v>
      </c>
      <c r="B6094" s="5" t="s">
        <v>7961</v>
      </c>
      <c r="C6094" s="6" t="str">
        <f>_xll.QS.CONTEXT.CREATE("market.6092",A6094,"USD","SOFR")</f>
        <v>QSObject:PricingContext:w1~market.6092:8609</v>
      </c>
      <c r="D6094" s="6" t="str">
        <f>_xll.QS.CONTEXT.ADD.CURVE(C6094,"SOFR",$K$2:$K$7,$L$2:$L$7,,,"Actual360","LogLinear",TRUE)</f>
        <v>QSObject:ContextInput:w1~input.qs_context_add_curve.2359132437744.6093.3.0:34410</v>
      </c>
      <c r="E6094" s="6" t="str">
        <f>_xll.QS.INSTRUMENT.SWAP("swap.6092",H6094,B6094,"USD","SOFR",I6094,J6094,0,"Actual360","Simple","Annual","Annual","Annual")</f>
        <v>QSObject:Swap:w1~swap.6092:8608</v>
      </c>
      <c r="F6094" s="6" t="str">
        <f>_xll.QS.TRADE.CREATE("trade.6092",E6094,A6094,"Receive")</f>
        <v>QSObject:SwapTrade:w1~trade.6092:25837</v>
      </c>
      <c r="G6094" s="3">
        <f>_xll.QS.EVALUATE(C6094,F6094)</f>
        <v>53347.380484331421</v>
      </c>
      <c r="H6094" s="5" t="s">
        <v>6135</v>
      </c>
      <c r="I6094" s="7">
        <v>1609200</v>
      </c>
      <c r="J6094" s="8">
        <v>3.9200000000000013E-2</v>
      </c>
    </row>
    <row r="6095" spans="1:10" x14ac:dyDescent="0.25">
      <c r="A6095" s="5" t="s">
        <v>6129</v>
      </c>
      <c r="B6095" s="5" t="s">
        <v>7962</v>
      </c>
      <c r="C6095" s="6" t="str">
        <f>_xll.QS.CONTEXT.CREATE("market.6093",A6095,"USD","SOFR")</f>
        <v>QSObject:PricingContext:w1~market.6093:8607</v>
      </c>
      <c r="D6095" s="6" t="str">
        <f>_xll.QS.CONTEXT.ADD.CURVE(C6095,"SOFR",$K$2:$K$7,$L$2:$L$7,,,"Actual360","LogLinear",TRUE)</f>
        <v>QSObject:ContextInput:w1~input.qs_context_add_curve.2359132437744.6094.3.0:34409</v>
      </c>
      <c r="E6095" s="6" t="str">
        <f>_xll.QS.INSTRUMENT.SWAP("swap.6093",H6095,B6095,"USD","SOFR",I6095,J6095,0,"Actual360","Simple","Annual","Annual","Annual")</f>
        <v>QSObject:Swap:w1~swap.6093:8606</v>
      </c>
      <c r="F6095" s="6" t="str">
        <f>_xll.QS.TRADE.CREATE("trade.6093",E6095,A6095,"Receive")</f>
        <v>QSObject:SwapTrade:w1~trade.6093:25836</v>
      </c>
      <c r="G6095" s="3">
        <f>_xll.QS.EVALUATE(C6095,F6095)</f>
        <v>54162.959331439153</v>
      </c>
      <c r="H6095" s="5" t="s">
        <v>6136</v>
      </c>
      <c r="I6095" s="7">
        <v>1609300</v>
      </c>
      <c r="J6095" s="8">
        <v>3.9300000000000002E-2</v>
      </c>
    </row>
    <row r="6096" spans="1:10" x14ac:dyDescent="0.25">
      <c r="A6096" s="5" t="s">
        <v>6130</v>
      </c>
      <c r="B6096" s="5" t="s">
        <v>7963</v>
      </c>
      <c r="C6096" s="6" t="str">
        <f>_xll.QS.CONTEXT.CREATE("market.6094",A6096,"USD","SOFR")</f>
        <v>QSObject:PricingContext:w1~market.6094:8605</v>
      </c>
      <c r="D6096" s="6" t="str">
        <f>_xll.QS.CONTEXT.ADD.CURVE(C6096,"SOFR",$K$2:$K$7,$L$2:$L$7,,,"Actual360","LogLinear",TRUE)</f>
        <v>QSObject:ContextInput:w1~input.qs_context_add_curve.2359132437744.6095.3.0:34408</v>
      </c>
      <c r="E6096" s="6" t="str">
        <f>_xll.QS.INSTRUMENT.SWAP("swap.6094",H6096,B6096,"USD","SOFR",I6096,J6096,0,"Actual360","Simple","Annual","Annual","Annual")</f>
        <v>QSObject:Swap:w1~swap.6094:8604</v>
      </c>
      <c r="F6096" s="6" t="str">
        <f>_xll.QS.TRADE.CREATE("trade.6094",E6096,A6096,"Receive")</f>
        <v>QSObject:SwapTrade:w1~trade.6094:25835</v>
      </c>
      <c r="G6096" s="3">
        <f>_xll.QS.EVALUATE(C6096,F6096)</f>
        <v>54847.256274644082</v>
      </c>
      <c r="H6096" s="5" t="s">
        <v>6137</v>
      </c>
      <c r="I6096" s="7">
        <v>1609400</v>
      </c>
      <c r="J6096" s="8">
        <v>3.9399999999999998E-2</v>
      </c>
    </row>
    <row r="6097" spans="1:10" x14ac:dyDescent="0.25">
      <c r="A6097" s="5" t="s">
        <v>6131</v>
      </c>
      <c r="B6097" s="5" t="s">
        <v>7964</v>
      </c>
      <c r="C6097" s="6" t="str">
        <f>_xll.QS.CONTEXT.CREATE("market.6095",A6097,"USD","SOFR")</f>
        <v>QSObject:PricingContext:w1~market.6095:8603</v>
      </c>
      <c r="D6097" s="6" t="str">
        <f>_xll.QS.CONTEXT.ADD.CURVE(C6097,"SOFR",$K$2:$K$7,$L$2:$L$7,,,"Actual360","LogLinear",TRUE)</f>
        <v>QSObject:ContextInput:w1~input.qs_context_add_curve.2359132437744.6096.3.0:34407</v>
      </c>
      <c r="E6097" s="6" t="str">
        <f>_xll.QS.INSTRUMENT.SWAP("swap.6095",H6097,B6097,"USD","SOFR",I6097,J6097,0,"Actual360","Simple","Annual","Annual","Annual")</f>
        <v>QSObject:Swap:w1~swap.6095:8602</v>
      </c>
      <c r="F6097" s="6" t="str">
        <f>_xll.QS.TRADE.CREATE("trade.6095",E6097,A6097,"Receive")</f>
        <v>QSObject:SwapTrade:w1~trade.6095:25834</v>
      </c>
      <c r="G6097" s="3">
        <f>_xll.QS.EVALUATE(C6097,F6097)</f>
        <v>55459.316260780462</v>
      </c>
      <c r="H6097" s="5" t="s">
        <v>6138</v>
      </c>
      <c r="I6097" s="7">
        <v>1609500</v>
      </c>
      <c r="J6097" s="8">
        <v>3.9500000000000007E-2</v>
      </c>
    </row>
    <row r="6098" spans="1:10" x14ac:dyDescent="0.25">
      <c r="A6098" s="5" t="s">
        <v>6132</v>
      </c>
      <c r="B6098" s="5" t="s">
        <v>7965</v>
      </c>
      <c r="C6098" s="6" t="str">
        <f>_xll.QS.CONTEXT.CREATE("market.6096",A6098,"USD","SOFR")</f>
        <v>QSObject:PricingContext:w1~market.6096:8601</v>
      </c>
      <c r="D6098" s="6" t="str">
        <f>_xll.QS.CONTEXT.ADD.CURVE(C6098,"SOFR",$K$2:$K$7,$L$2:$L$7,,,"Actual360","LogLinear",TRUE)</f>
        <v>QSObject:ContextInput:w1~input.qs_context_add_curve.2359132437744.6097.3.0:34406</v>
      </c>
      <c r="E6098" s="6" t="str">
        <f>_xll.QS.INSTRUMENT.SWAP("swap.6096",H6098,B6098,"USD","SOFR",I6098,J6098,0,"Actual360","Simple","Annual","Annual","Annual")</f>
        <v>QSObject:Swap:w1~swap.6096:8600</v>
      </c>
      <c r="F6098" s="6" t="str">
        <f>_xll.QS.TRADE.CREATE("trade.6096",E6098,A6098,"Receive")</f>
        <v>QSObject:SwapTrade:w1~trade.6096:25833</v>
      </c>
      <c r="G6098" s="3">
        <f>_xll.QS.EVALUATE(C6098,F6098)</f>
        <v>56108.615216608247</v>
      </c>
      <c r="H6098" s="5" t="s">
        <v>6139</v>
      </c>
      <c r="I6098" s="7">
        <v>1609600</v>
      </c>
      <c r="J6098" s="8">
        <v>3.9600000000000003E-2</v>
      </c>
    </row>
    <row r="6099" spans="1:10" x14ac:dyDescent="0.25">
      <c r="A6099" s="5" t="s">
        <v>6133</v>
      </c>
      <c r="B6099" s="5" t="s">
        <v>7966</v>
      </c>
      <c r="C6099" s="6" t="str">
        <f>_xll.QS.CONTEXT.CREATE("market.6097",A6099,"USD","SOFR")</f>
        <v>QSObject:PricingContext:w1~market.6097:8599</v>
      </c>
      <c r="D6099" s="6" t="str">
        <f>_xll.QS.CONTEXT.ADD.CURVE(C6099,"SOFR",$K$2:$K$7,$L$2:$L$7,,,"Actual360","LogLinear",TRUE)</f>
        <v>QSObject:ContextInput:w1~input.qs_context_add_curve.2359132437744.6098.3.0:34405</v>
      </c>
      <c r="E6099" s="6" t="str">
        <f>_xll.QS.INSTRUMENT.SWAP("swap.6097",H6099,B6099,"USD","SOFR",I6099,J6099,0,"Actual360","Simple","Annual","Annual","Annual")</f>
        <v>QSObject:Swap:w1~swap.6097:8598</v>
      </c>
      <c r="F6099" s="6" t="str">
        <f>_xll.QS.TRADE.CREATE("trade.6097",E6099,A6099,"Receive")</f>
        <v>QSObject:SwapTrade:w1~trade.6097:25832</v>
      </c>
      <c r="G6099" s="3">
        <f>_xll.QS.EVALUATE(C6099,F6099)</f>
        <v>56924.869101254022</v>
      </c>
      <c r="H6099" s="5" t="s">
        <v>6140</v>
      </c>
      <c r="I6099" s="7">
        <v>1609700</v>
      </c>
      <c r="J6099" s="8">
        <v>3.9700000000000013E-2</v>
      </c>
    </row>
    <row r="6100" spans="1:10" x14ac:dyDescent="0.25">
      <c r="A6100" s="5" t="s">
        <v>6134</v>
      </c>
      <c r="B6100" s="5" t="s">
        <v>7967</v>
      </c>
      <c r="C6100" s="6" t="str">
        <f>_xll.QS.CONTEXT.CREATE("market.6098",A6100,"USD","SOFR")</f>
        <v>QSObject:PricingContext:w1~market.6098:8597</v>
      </c>
      <c r="D6100" s="6" t="str">
        <f>_xll.QS.CONTEXT.ADD.CURVE(C6100,"SOFR",$K$2:$K$7,$L$2:$L$7,,,"Actual360","LogLinear",TRUE)</f>
        <v>QSObject:ContextInput:w1~input.qs_context_add_curve.2359132437744.6099.3.0:34404</v>
      </c>
      <c r="E6100" s="6" t="str">
        <f>_xll.QS.INSTRUMENT.SWAP("swap.6098",H6100,B6100,"USD","SOFR",I6100,J6100,0,"Actual360","Simple","Annual","Annual","Annual")</f>
        <v>QSObject:Swap:w1~swap.6098:8596</v>
      </c>
      <c r="F6100" s="6" t="str">
        <f>_xll.QS.TRADE.CREATE("trade.6098",E6100,A6100,"Receive")</f>
        <v>QSObject:SwapTrade:w1~trade.6098:25831</v>
      </c>
      <c r="G6100" s="3">
        <f>_xll.QS.EVALUATE(C6100,F6100)</f>
        <v>57703.40210847152</v>
      </c>
      <c r="H6100" s="5" t="s">
        <v>6141</v>
      </c>
      <c r="I6100" s="7">
        <v>1609800</v>
      </c>
      <c r="J6100" s="8">
        <v>3.9800000000000002E-2</v>
      </c>
    </row>
    <row r="6101" spans="1:10" x14ac:dyDescent="0.25">
      <c r="A6101" s="5" t="s">
        <v>6135</v>
      </c>
      <c r="B6101" s="5" t="s">
        <v>7968</v>
      </c>
      <c r="C6101" s="6" t="str">
        <f>_xll.QS.CONTEXT.CREATE("market.6099",A6101,"USD","SOFR")</f>
        <v>QSObject:PricingContext:w1~market.6099:8595</v>
      </c>
      <c r="D6101" s="6" t="str">
        <f>_xll.QS.CONTEXT.ADD.CURVE(C6101,"SOFR",$K$2:$K$7,$L$2:$L$7,,,"Actual360","LogLinear",TRUE)</f>
        <v>QSObject:ContextInput:w1~input.qs_context_add_curve.2359132437744.6100.3.0:34403</v>
      </c>
      <c r="E6101" s="6" t="str">
        <f>_xll.QS.INSTRUMENT.SWAP("swap.6099",H6101,B6101,"USD","SOFR",I6101,J6101,0,"Actual360","Simple","Annual","Annual","Annual")</f>
        <v>QSObject:Swap:w1~swap.6099:8594</v>
      </c>
      <c r="F6101" s="6" t="str">
        <f>_xll.QS.TRADE.CREATE("trade.6099",E6101,A6101,"Receive")</f>
        <v>QSObject:SwapTrade:w1~trade.6099:25830</v>
      </c>
      <c r="G6101" s="3">
        <f>_xll.QS.EVALUATE(C6101,F6101)</f>
        <v>58567.293899625482</v>
      </c>
      <c r="H6101" s="5" t="s">
        <v>6142</v>
      </c>
      <c r="I6101" s="7">
        <v>1609900</v>
      </c>
      <c r="J6101" s="8">
        <v>3.9899999999999998E-2</v>
      </c>
    </row>
    <row r="6102" spans="1:10" x14ac:dyDescent="0.25">
      <c r="A6102" s="5" t="s">
        <v>6136</v>
      </c>
      <c r="B6102" s="5" t="s">
        <v>7969</v>
      </c>
      <c r="C6102" s="6" t="str">
        <f>_xll.QS.CONTEXT.CREATE("market.6100",A6102,"USD","SOFR")</f>
        <v>QSObject:PricingContext:w1~market.6100:8593</v>
      </c>
      <c r="D6102" s="6" t="str">
        <f>_xll.QS.CONTEXT.ADD.CURVE(C6102,"SOFR",$K$2:$K$7,$L$2:$L$7,,,"Actual360","LogLinear",TRUE)</f>
        <v>QSObject:ContextInput:w1~input.qs_context_add_curve.2359132437744.6101.3.0:34402</v>
      </c>
      <c r="E6102" s="6" t="str">
        <f>_xll.QS.INSTRUMENT.SWAP("swap.6100",H6102,B6102,"USD","SOFR",I6102,J6102,0,"Actual360","Simple","Annual","Annual","Annual")</f>
        <v>QSObject:Swap:w1~swap.6100:8592</v>
      </c>
      <c r="F6102" s="6" t="str">
        <f>_xll.QS.TRADE.CREATE("trade.6100",E6102,A6102,"Receive")</f>
        <v>QSObject:SwapTrade:w1~trade.6100:25829</v>
      </c>
      <c r="G6102" s="3">
        <f>_xll.QS.EVALUATE(C6102,F6102)</f>
        <v>22261.563540712072</v>
      </c>
      <c r="H6102" s="5" t="s">
        <v>6143</v>
      </c>
      <c r="I6102" s="7">
        <v>1610000</v>
      </c>
      <c r="J6102" s="8">
        <v>3.5000000000000003E-2</v>
      </c>
    </row>
    <row r="6103" spans="1:10" x14ac:dyDescent="0.25">
      <c r="A6103" s="5" t="s">
        <v>6137</v>
      </c>
      <c r="B6103" s="5" t="s">
        <v>7970</v>
      </c>
      <c r="C6103" s="6" t="str">
        <f>_xll.QS.CONTEXT.CREATE("market.6101",A6103,"USD","SOFR")</f>
        <v>QSObject:PricingContext:w1~market.6101:8591</v>
      </c>
      <c r="D6103" s="6" t="str">
        <f>_xll.QS.CONTEXT.ADD.CURVE(C6103,"SOFR",$K$2:$K$7,$L$2:$L$7,,,"Actual360","LogLinear",TRUE)</f>
        <v>QSObject:ContextInput:w1~input.qs_context_add_curve.2359132437744.6102.3.0:34401</v>
      </c>
      <c r="E6103" s="6" t="str">
        <f>_xll.QS.INSTRUMENT.SWAP("swap.6101",H6103,B6103,"USD","SOFR",I6103,J6103,0,"Actual360","Simple","Annual","Annual","Annual")</f>
        <v>QSObject:Swap:w1~swap.6101:8590</v>
      </c>
      <c r="F6103" s="6" t="str">
        <f>_xll.QS.TRADE.CREATE("trade.6101",E6103,A6103,"Receive")</f>
        <v>QSObject:SwapTrade:w1~trade.6101:25828</v>
      </c>
      <c r="G6103" s="3">
        <f>_xll.QS.EVALUATE(C6103,F6103)</f>
        <v>22944.431108756347</v>
      </c>
      <c r="H6103" s="5" t="s">
        <v>6144</v>
      </c>
      <c r="I6103" s="7">
        <v>1610100</v>
      </c>
      <c r="J6103" s="8">
        <v>3.5100000000000013E-2</v>
      </c>
    </row>
    <row r="6104" spans="1:10" x14ac:dyDescent="0.25">
      <c r="A6104" s="5" t="s">
        <v>6138</v>
      </c>
      <c r="B6104" s="5" t="s">
        <v>7971</v>
      </c>
      <c r="C6104" s="6" t="str">
        <f>_xll.QS.CONTEXT.CREATE("market.6102",A6104,"USD","SOFR")</f>
        <v>QSObject:PricingContext:w1~market.6102:8589</v>
      </c>
      <c r="D6104" s="6" t="str">
        <f>_xll.QS.CONTEXT.ADD.CURVE(C6104,"SOFR",$K$2:$K$7,$L$2:$L$7,,,"Actual360","LogLinear",TRUE)</f>
        <v>QSObject:ContextInput:w1~input.qs_context_add_curve.2359132437744.6103.3.0:34400</v>
      </c>
      <c r="E6104" s="6" t="str">
        <f>_xll.QS.INSTRUMENT.SWAP("swap.6102",H6104,B6104,"USD","SOFR",I6104,J6104,0,"Actual360","Simple","Annual","Annual","Annual")</f>
        <v>QSObject:Swap:w1~swap.6102:8588</v>
      </c>
      <c r="F6104" s="6" t="str">
        <f>_xll.QS.TRADE.CREATE("trade.6102",E6104,A6104,"Receive")</f>
        <v>QSObject:SwapTrade:w1~trade.6102:25827</v>
      </c>
      <c r="G6104" s="3">
        <f>_xll.QS.EVALUATE(C6104,F6104)</f>
        <v>23592.399794584104</v>
      </c>
      <c r="H6104" s="5" t="s">
        <v>6145</v>
      </c>
      <c r="I6104" s="7">
        <v>1610200</v>
      </c>
      <c r="J6104" s="8">
        <v>3.5200000000000002E-2</v>
      </c>
    </row>
    <row r="6105" spans="1:10" x14ac:dyDescent="0.25">
      <c r="A6105" s="5" t="s">
        <v>6139</v>
      </c>
      <c r="B6105" s="5" t="s">
        <v>7972</v>
      </c>
      <c r="C6105" s="6" t="str">
        <f>_xll.QS.CONTEXT.CREATE("market.6103",A6105,"USD","SOFR")</f>
        <v>QSObject:PricingContext:w1~market.6103:8587</v>
      </c>
      <c r="D6105" s="6" t="str">
        <f>_xll.QS.CONTEXT.ADD.CURVE(C6105,"SOFR",$K$2:$K$7,$L$2:$L$7,,,"Actual360","LogLinear",TRUE)</f>
        <v>QSObject:ContextInput:w1~input.qs_context_add_curve.2359132437744.6104.3.0:34399</v>
      </c>
      <c r="E6105" s="6" t="str">
        <f>_xll.QS.INSTRUMENT.SWAP("swap.6103",H6105,B6105,"USD","SOFR",I6105,J6105,0,"Actual360","Simple","Annual","Annual","Annual")</f>
        <v>QSObject:Swap:w1~swap.6103:8586</v>
      </c>
      <c r="F6105" s="6" t="str">
        <f>_xll.QS.TRADE.CREATE("trade.6103",E6105,A6105,"Receive")</f>
        <v>QSObject:SwapTrade:w1~trade.6103:25826</v>
      </c>
      <c r="G6105" s="3">
        <f>_xll.QS.EVALUATE(C6105,F6105)</f>
        <v>24190.497728907445</v>
      </c>
      <c r="H6105" s="5" t="s">
        <v>6146</v>
      </c>
      <c r="I6105" s="7">
        <v>1610300</v>
      </c>
      <c r="J6105" s="8">
        <v>3.5299999999999998E-2</v>
      </c>
    </row>
    <row r="6106" spans="1:10" x14ac:dyDescent="0.25">
      <c r="A6106" s="5" t="s">
        <v>6140</v>
      </c>
      <c r="B6106" s="5" t="s">
        <v>7973</v>
      </c>
      <c r="C6106" s="6" t="str">
        <f>_xll.QS.CONTEXT.CREATE("market.6104",A6106,"USD","SOFR")</f>
        <v>QSObject:PricingContext:w1~market.6104:8585</v>
      </c>
      <c r="D6106" s="6" t="str">
        <f>_xll.QS.CONTEXT.ADD.CURVE(C6106,"SOFR",$K$2:$K$7,$L$2:$L$7,,,"Actual360","LogLinear",TRUE)</f>
        <v>QSObject:ContextInput:w1~input.qs_context_add_curve.2359132437744.6105.3.0:34398</v>
      </c>
      <c r="E6106" s="6" t="str">
        <f>_xll.QS.INSTRUMENT.SWAP("swap.6104",H6106,B6106,"USD","SOFR",I6106,J6106,0,"Actual360","Simple","Annual","Annual","Annual")</f>
        <v>QSObject:Swap:w1~swap.6104:8584</v>
      </c>
      <c r="F6106" s="6" t="str">
        <f>_xll.QS.TRADE.CREATE("trade.6104",E6106,A6106,"Receive")</f>
        <v>QSObject:SwapTrade:w1~trade.6104:25825</v>
      </c>
      <c r="G6106" s="3">
        <f>_xll.QS.EVALUATE(C6106,F6106)</f>
        <v>25001.915840660717</v>
      </c>
      <c r="H6106" s="5" t="s">
        <v>6147</v>
      </c>
      <c r="I6106" s="7">
        <v>1610400</v>
      </c>
      <c r="J6106" s="8">
        <v>3.5400000000000001E-2</v>
      </c>
    </row>
    <row r="6107" spans="1:10" x14ac:dyDescent="0.25">
      <c r="A6107" s="5" t="s">
        <v>6141</v>
      </c>
      <c r="B6107" s="5" t="s">
        <v>7974</v>
      </c>
      <c r="C6107" s="6" t="str">
        <f>_xll.QS.CONTEXT.CREATE("market.6105",A6107,"USD","SOFR")</f>
        <v>QSObject:PricingContext:w1~market.6105:8583</v>
      </c>
      <c r="D6107" s="6" t="str">
        <f>_xll.QS.CONTEXT.ADD.CURVE(C6107,"SOFR",$K$2:$K$7,$L$2:$L$7,,,"Actual360","LogLinear",TRUE)</f>
        <v>QSObject:ContextInput:w1~input.qs_context_add_curve.2359132437744.6106.3.0:34397</v>
      </c>
      <c r="E6107" s="6" t="str">
        <f>_xll.QS.INSTRUMENT.SWAP("swap.6105",H6107,B6107,"USD","SOFR",I6107,J6107,0,"Actual360","Simple","Annual","Annual","Annual")</f>
        <v>QSObject:Swap:w1~swap.6105:8582</v>
      </c>
      <c r="F6107" s="6" t="str">
        <f>_xll.QS.TRADE.CREATE("trade.6105",E6107,A6107,"Receive")</f>
        <v>QSObject:SwapTrade:w1~trade.6105:25824</v>
      </c>
      <c r="G6107" s="3">
        <f>_xll.QS.EVALUATE(C6107,F6107)</f>
        <v>25794.444475239106</v>
      </c>
      <c r="H6107" s="5" t="s">
        <v>6148</v>
      </c>
      <c r="I6107" s="7">
        <v>1610500</v>
      </c>
      <c r="J6107" s="8">
        <v>3.5499999999999997E-2</v>
      </c>
    </row>
    <row r="6108" spans="1:10" x14ac:dyDescent="0.25">
      <c r="A6108" s="5" t="s">
        <v>6142</v>
      </c>
      <c r="B6108" s="5" t="s">
        <v>7975</v>
      </c>
      <c r="C6108" s="6" t="str">
        <f>_xll.QS.CONTEXT.CREATE("market.6106",A6108,"USD","SOFR")</f>
        <v>QSObject:PricingContext:w1~market.6106:8581</v>
      </c>
      <c r="D6108" s="6" t="str">
        <f>_xll.QS.CONTEXT.ADD.CURVE(C6108,"SOFR",$K$2:$K$7,$L$2:$L$7,,,"Actual360","LogLinear",TRUE)</f>
        <v>QSObject:ContextInput:w1~input.qs_context_add_curve.2359132437744.6107.3.0:34396</v>
      </c>
      <c r="E6108" s="6" t="str">
        <f>_xll.QS.INSTRUMENT.SWAP("swap.6106",H6108,B6108,"USD","SOFR",I6108,J6108,0,"Actual360","Simple","Annual","Annual","Annual")</f>
        <v>QSObject:Swap:w1~swap.6106:8580</v>
      </c>
      <c r="F6108" s="6" t="str">
        <f>_xll.QS.TRADE.CREATE("trade.6106",E6108,A6108,"Receive")</f>
        <v>QSObject:SwapTrade:w1~trade.6106:25823</v>
      </c>
      <c r="G6108" s="3">
        <f>_xll.QS.EVALUATE(C6108,F6108)</f>
        <v>26656.248261440676</v>
      </c>
      <c r="H6108" s="5" t="s">
        <v>6149</v>
      </c>
      <c r="I6108" s="7">
        <v>1610600</v>
      </c>
      <c r="J6108" s="8">
        <v>3.5600000000000007E-2</v>
      </c>
    </row>
    <row r="6109" spans="1:10" x14ac:dyDescent="0.25">
      <c r="A6109" s="5" t="s">
        <v>6143</v>
      </c>
      <c r="B6109" s="5" t="s">
        <v>7976</v>
      </c>
      <c r="C6109" s="6" t="str">
        <f>_xll.QS.CONTEXT.CREATE("market.6107",A6109,"USD","SOFR")</f>
        <v>QSObject:PricingContext:w1~market.6107:8579</v>
      </c>
      <c r="D6109" s="6" t="str">
        <f>_xll.QS.CONTEXT.ADD.CURVE(C6109,"SOFR",$K$2:$K$7,$L$2:$L$7,,,"Actual360","LogLinear",TRUE)</f>
        <v>QSObject:ContextInput:w1~input.qs_context_add_curve.2359132437744.6108.3.0:34395</v>
      </c>
      <c r="E6109" s="6" t="str">
        <f>_xll.QS.INSTRUMENT.SWAP("swap.6107",H6109,B6109,"USD","SOFR",I6109,J6109,0,"Actual360","Simple","Annual","Annual","Annual")</f>
        <v>QSObject:Swap:w1~swap.6107:8578</v>
      </c>
      <c r="F6109" s="6" t="str">
        <f>_xll.QS.TRADE.CREATE("trade.6107",E6109,A6109,"Receive")</f>
        <v>QSObject:SwapTrade:w1~trade.6107:25822</v>
      </c>
      <c r="G6109" s="3">
        <f>_xll.QS.EVALUATE(C6109,F6109)</f>
        <v>27470.587805421856</v>
      </c>
      <c r="H6109" s="5" t="s">
        <v>6150</v>
      </c>
      <c r="I6109" s="7">
        <v>1610700</v>
      </c>
      <c r="J6109" s="8">
        <v>3.5700000000000003E-2</v>
      </c>
    </row>
    <row r="6110" spans="1:10" x14ac:dyDescent="0.25">
      <c r="A6110" s="5" t="s">
        <v>6144</v>
      </c>
      <c r="B6110" s="5" t="s">
        <v>7977</v>
      </c>
      <c r="C6110" s="6" t="str">
        <f>_xll.QS.CONTEXT.CREATE("market.6108",A6110,"USD","SOFR")</f>
        <v>QSObject:PricingContext:w1~market.6108:8577</v>
      </c>
      <c r="D6110" s="6" t="str">
        <f>_xll.QS.CONTEXT.ADD.CURVE(C6110,"SOFR",$K$2:$K$7,$L$2:$L$7,,,"Actual360","LogLinear",TRUE)</f>
        <v>QSObject:ContextInput:w1~input.qs_context_add_curve.2359132437744.6109.3.0:34394</v>
      </c>
      <c r="E6110" s="6" t="str">
        <f>_xll.QS.INSTRUMENT.SWAP("swap.6108",H6110,B6110,"USD","SOFR",I6110,J6110,0,"Actual360","Simple","Annual","Annual","Annual")</f>
        <v>QSObject:Swap:w1~swap.6108:8576</v>
      </c>
      <c r="F6110" s="6" t="str">
        <f>_xll.QS.TRADE.CREATE("trade.6108",E6110,A6110,"Receive")</f>
        <v>QSObject:SwapTrade:w1~trade.6108:25821</v>
      </c>
      <c r="G6110" s="3">
        <f>_xll.QS.EVALUATE(C6110,F6110)</f>
        <v>28154.283228281041</v>
      </c>
      <c r="H6110" s="5" t="s">
        <v>6151</v>
      </c>
      <c r="I6110" s="7">
        <v>1610800</v>
      </c>
      <c r="J6110" s="8">
        <v>3.5800000000000012E-2</v>
      </c>
    </row>
    <row r="6111" spans="1:10" x14ac:dyDescent="0.25">
      <c r="A6111" s="5" t="s">
        <v>6145</v>
      </c>
      <c r="B6111" s="5" t="s">
        <v>7978</v>
      </c>
      <c r="C6111" s="6" t="str">
        <f>_xll.QS.CONTEXT.CREATE("market.6109",A6111,"USD","SOFR")</f>
        <v>QSObject:PricingContext:w1~market.6109:8575</v>
      </c>
      <c r="D6111" s="6" t="str">
        <f>_xll.QS.CONTEXT.ADD.CURVE(C6111,"SOFR",$K$2:$K$7,$L$2:$L$7,,,"Actual360","LogLinear",TRUE)</f>
        <v>QSObject:ContextInput:w1~input.qs_context_add_curve.2359132437744.6110.3.0:34393</v>
      </c>
      <c r="E6111" s="6" t="str">
        <f>_xll.QS.INSTRUMENT.SWAP("swap.6109",H6111,B6111,"USD","SOFR",I6111,J6111,0,"Actual360","Simple","Annual","Annual","Annual")</f>
        <v>QSObject:Swap:w1~swap.6109:8574</v>
      </c>
      <c r="F6111" s="6" t="str">
        <f>_xll.QS.TRADE.CREATE("trade.6109",E6111,A6111,"Receive")</f>
        <v>QSObject:SwapTrade:w1~trade.6109:25820</v>
      </c>
      <c r="G6111" s="3">
        <f>_xll.QS.EVALUATE(C6111,F6111)</f>
        <v>28854.122489168753</v>
      </c>
      <c r="H6111" s="5" t="s">
        <v>6152</v>
      </c>
      <c r="I6111" s="7">
        <v>1610900</v>
      </c>
      <c r="J6111" s="8">
        <v>3.5900000000000001E-2</v>
      </c>
    </row>
    <row r="6112" spans="1:10" x14ac:dyDescent="0.25">
      <c r="A6112" s="5" t="s">
        <v>6146</v>
      </c>
      <c r="B6112" s="5" t="s">
        <v>7979</v>
      </c>
      <c r="C6112" s="6" t="str">
        <f>_xll.QS.CONTEXT.CREATE("market.6110",A6112,"USD","SOFR")</f>
        <v>QSObject:PricingContext:w1~market.6110:8573</v>
      </c>
      <c r="D6112" s="6" t="str">
        <f>_xll.QS.CONTEXT.ADD.CURVE(C6112,"SOFR",$K$2:$K$7,$L$2:$L$7,,,"Actual360","LogLinear",TRUE)</f>
        <v>QSObject:ContextInput:w1~input.qs_context_add_curve.2359132437744.6111.3.0:34392</v>
      </c>
      <c r="E6112" s="6" t="str">
        <f>_xll.QS.INSTRUMENT.SWAP("swap.6110",H6112,B6112,"USD","SOFR",I6112,J6112,0,"Actual360","Simple","Annual","Annual","Annual")</f>
        <v>QSObject:Swap:w1~swap.6110:8572</v>
      </c>
      <c r="F6112" s="6" t="str">
        <f>_xll.QS.TRADE.CREATE("trade.6110",E6112,A6112,"Receive")</f>
        <v>QSObject:SwapTrade:w1~trade.6110:25819</v>
      </c>
      <c r="G6112" s="3">
        <f>_xll.QS.EVALUATE(C6112,F6112)</f>
        <v>29403.218689986534</v>
      </c>
      <c r="H6112" s="5" t="s">
        <v>6153</v>
      </c>
      <c r="I6112" s="7">
        <v>1611000</v>
      </c>
      <c r="J6112" s="8">
        <v>3.5999999999999997E-2</v>
      </c>
    </row>
    <row r="6113" spans="1:10" x14ac:dyDescent="0.25">
      <c r="A6113" s="5" t="s">
        <v>6147</v>
      </c>
      <c r="B6113" s="5" t="s">
        <v>7980</v>
      </c>
      <c r="C6113" s="6" t="str">
        <f>_xll.QS.CONTEXT.CREATE("market.6111",A6113,"USD","SOFR")</f>
        <v>QSObject:PricingContext:w1~market.6111:8571</v>
      </c>
      <c r="D6113" s="6" t="str">
        <f>_xll.QS.CONTEXT.ADD.CURVE(C6113,"SOFR",$K$2:$K$7,$L$2:$L$7,,,"Actual360","LogLinear",TRUE)</f>
        <v>QSObject:ContextInput:w1~input.qs_context_add_curve.2359132437744.6112.3.0:34391</v>
      </c>
      <c r="E6113" s="6" t="str">
        <f>_xll.QS.INSTRUMENT.SWAP("swap.6111",H6113,B6113,"USD","SOFR",I6113,J6113,0,"Actual360","Simple","Annual","Annual","Annual")</f>
        <v>QSObject:Swap:w1~swap.6111:8570</v>
      </c>
      <c r="F6113" s="6" t="str">
        <f>_xll.QS.TRADE.CREATE("trade.6111",E6113,A6113,"Receive")</f>
        <v>QSObject:SwapTrade:w1~trade.6111:25818</v>
      </c>
      <c r="G6113" s="3">
        <f>_xll.QS.EVALUATE(C6113,F6113)</f>
        <v>30215.833834558558</v>
      </c>
      <c r="H6113" s="5" t="s">
        <v>6154</v>
      </c>
      <c r="I6113" s="7">
        <v>1611100</v>
      </c>
      <c r="J6113" s="8">
        <v>3.61E-2</v>
      </c>
    </row>
    <row r="6114" spans="1:10" x14ac:dyDescent="0.25">
      <c r="A6114" s="5" t="s">
        <v>6148</v>
      </c>
      <c r="B6114" s="5" t="s">
        <v>7981</v>
      </c>
      <c r="C6114" s="6" t="str">
        <f>_xll.QS.CONTEXT.CREATE("market.6112",A6114,"USD","SOFR")</f>
        <v>QSObject:PricingContext:w1~market.6112:8569</v>
      </c>
      <c r="D6114" s="6" t="str">
        <f>_xll.QS.CONTEXT.ADD.CURVE(C6114,"SOFR",$K$2:$K$7,$L$2:$L$7,,,"Actual360","LogLinear",TRUE)</f>
        <v>QSObject:ContextInput:w1~input.qs_context_add_curve.2359132437744.6113.3.0:34390</v>
      </c>
      <c r="E6114" s="6" t="str">
        <f>_xll.QS.INSTRUMENT.SWAP("swap.6112",H6114,B6114,"USD","SOFR",I6114,J6114,0,"Actual360","Simple","Annual","Annual","Annual")</f>
        <v>QSObject:Swap:w1~swap.6112:8568</v>
      </c>
      <c r="F6114" s="6" t="str">
        <f>_xll.QS.TRADE.CREATE("trade.6112",E6114,A6114,"Receive")</f>
        <v>QSObject:SwapTrade:w1~trade.6112:25817</v>
      </c>
      <c r="G6114" s="3">
        <f>_xll.QS.EVALUATE(C6114,F6114)</f>
        <v>31006.481660237318</v>
      </c>
      <c r="H6114" s="5" t="s">
        <v>6155</v>
      </c>
      <c r="I6114" s="7">
        <v>1611200</v>
      </c>
      <c r="J6114" s="8">
        <v>3.6200000000000003E-2</v>
      </c>
    </row>
    <row r="6115" spans="1:10" x14ac:dyDescent="0.25">
      <c r="A6115" s="5" t="s">
        <v>6149</v>
      </c>
      <c r="B6115" s="5" t="s">
        <v>7982</v>
      </c>
      <c r="C6115" s="6" t="str">
        <f>_xll.QS.CONTEXT.CREATE("market.6113",A6115,"USD","SOFR")</f>
        <v>QSObject:PricingContext:w1~market.6113:8567</v>
      </c>
      <c r="D6115" s="6" t="str">
        <f>_xll.QS.CONTEXT.ADD.CURVE(C6115,"SOFR",$K$2:$K$7,$L$2:$L$7,,,"Actual360","LogLinear",TRUE)</f>
        <v>QSObject:ContextInput:w1~input.qs_context_add_curve.2359132437744.6114.3.0:34389</v>
      </c>
      <c r="E6115" s="6" t="str">
        <f>_xll.QS.INSTRUMENT.SWAP("swap.6113",H6115,B6115,"USD","SOFR",I6115,J6115,0,"Actual360","Simple","Annual","Annual","Annual")</f>
        <v>QSObject:Swap:w1~swap.6113:8566</v>
      </c>
      <c r="F6115" s="6" t="str">
        <f>_xll.QS.TRADE.CREATE("trade.6113",E6115,A6115,"Receive")</f>
        <v>QSObject:SwapTrade:w1~trade.6113:25816</v>
      </c>
      <c r="G6115" s="3">
        <f>_xll.QS.EVALUATE(C6115,F6115)</f>
        <v>31931.269738738563</v>
      </c>
      <c r="H6115" s="5" t="s">
        <v>6156</v>
      </c>
      <c r="I6115" s="7">
        <v>1611300</v>
      </c>
      <c r="J6115" s="8">
        <v>3.6300000000000013E-2</v>
      </c>
    </row>
    <row r="6116" spans="1:10" x14ac:dyDescent="0.25">
      <c r="A6116" s="5" t="s">
        <v>6150</v>
      </c>
      <c r="B6116" s="5" t="s">
        <v>7983</v>
      </c>
      <c r="C6116" s="6" t="str">
        <f>_xll.QS.CONTEXT.CREATE("market.6114",A6116,"USD","SOFR")</f>
        <v>QSObject:PricingContext:w1~market.6114:8565</v>
      </c>
      <c r="D6116" s="6" t="str">
        <f>_xll.QS.CONTEXT.ADD.CURVE(C6116,"SOFR",$K$2:$K$7,$L$2:$L$7,,,"Actual360","LogLinear",TRUE)</f>
        <v>QSObject:ContextInput:w1~input.qs_context_add_curve.2359132437744.6115.3.0:34388</v>
      </c>
      <c r="E6116" s="6" t="str">
        <f>_xll.QS.INSTRUMENT.SWAP("swap.6114",H6116,B6116,"USD","SOFR",I6116,J6116,0,"Actual360","Simple","Annual","Annual","Annual")</f>
        <v>QSObject:Swap:w1~swap.6114:8564</v>
      </c>
      <c r="F6116" s="6" t="str">
        <f>_xll.QS.TRADE.CREATE("trade.6114",E6116,A6116,"Receive")</f>
        <v>QSObject:SwapTrade:w1~trade.6114:25815</v>
      </c>
      <c r="G6116" s="3">
        <f>_xll.QS.EVALUATE(C6116,F6116)</f>
        <v>32684.131275106782</v>
      </c>
      <c r="H6116" s="5" t="s">
        <v>6157</v>
      </c>
      <c r="I6116" s="7">
        <v>1611400</v>
      </c>
      <c r="J6116" s="8">
        <v>3.6400000000000002E-2</v>
      </c>
    </row>
    <row r="6117" spans="1:10" x14ac:dyDescent="0.25">
      <c r="A6117" s="5" t="s">
        <v>6151</v>
      </c>
      <c r="B6117" s="5" t="s">
        <v>7984</v>
      </c>
      <c r="C6117" s="6" t="str">
        <f>_xll.QS.CONTEXT.CREATE("market.6115",A6117,"USD","SOFR")</f>
        <v>QSObject:PricingContext:w1~market.6115:8563</v>
      </c>
      <c r="D6117" s="6" t="str">
        <f>_xll.QS.CONTEXT.ADD.CURVE(C6117,"SOFR",$K$2:$K$7,$L$2:$L$7,,,"Actual360","LogLinear",TRUE)</f>
        <v>QSObject:ContextInput:w1~input.qs_context_add_curve.2359132437744.6116.3.0:34387</v>
      </c>
      <c r="E6117" s="6" t="str">
        <f>_xll.QS.INSTRUMENT.SWAP("swap.6115",H6117,B6117,"USD","SOFR",I6117,J6117,0,"Actual360","Simple","Annual","Annual","Annual")</f>
        <v>QSObject:Swap:w1~swap.6115:8562</v>
      </c>
      <c r="F6117" s="6" t="str">
        <f>_xll.QS.TRADE.CREATE("trade.6115",E6117,A6117,"Receive")</f>
        <v>QSObject:SwapTrade:w1~trade.6115:25814</v>
      </c>
      <c r="G6117" s="3">
        <f>_xll.QS.EVALUATE(C6117,F6117)</f>
        <v>33368.011683117664</v>
      </c>
      <c r="H6117" s="5" t="s">
        <v>6158</v>
      </c>
      <c r="I6117" s="7">
        <v>1611500</v>
      </c>
      <c r="J6117" s="8">
        <v>3.6499999999999998E-2</v>
      </c>
    </row>
    <row r="6118" spans="1:10" x14ac:dyDescent="0.25">
      <c r="A6118" s="5" t="s">
        <v>6152</v>
      </c>
      <c r="B6118" s="5" t="s">
        <v>7985</v>
      </c>
      <c r="C6118" s="6" t="str">
        <f>_xll.QS.CONTEXT.CREATE("market.6116",A6118,"USD","SOFR")</f>
        <v>QSObject:PricingContext:w1~market.6116:8561</v>
      </c>
      <c r="D6118" s="6" t="str">
        <f>_xll.QS.CONTEXT.ADD.CURVE(C6118,"SOFR",$K$2:$K$7,$L$2:$L$7,,,"Actual360","LogLinear",TRUE)</f>
        <v>QSObject:ContextInput:w1~input.qs_context_add_curve.2359132437744.6117.3.0:34386</v>
      </c>
      <c r="E6118" s="6" t="str">
        <f>_xll.QS.INSTRUMENT.SWAP("swap.6116",H6118,B6118,"USD","SOFR",I6118,J6118,0,"Actual360","Simple","Annual","Annual","Annual")</f>
        <v>QSObject:Swap:w1~swap.6116:8560</v>
      </c>
      <c r="F6118" s="6" t="str">
        <f>_xll.QS.TRADE.CREATE("trade.6116",E6118,A6118,"Receive")</f>
        <v>QSObject:SwapTrade:w1~trade.6116:25813</v>
      </c>
      <c r="G6118" s="3">
        <f>_xll.QS.EVALUATE(C6118,F6118)</f>
        <v>33982.785172074502</v>
      </c>
      <c r="H6118" s="5" t="s">
        <v>6159</v>
      </c>
      <c r="I6118" s="7">
        <v>1611600</v>
      </c>
      <c r="J6118" s="8">
        <v>3.6600000000000001E-2</v>
      </c>
    </row>
    <row r="6119" spans="1:10" x14ac:dyDescent="0.25">
      <c r="A6119" s="5" t="s">
        <v>6153</v>
      </c>
      <c r="B6119" s="5" t="s">
        <v>7986</v>
      </c>
      <c r="C6119" s="6" t="str">
        <f>_xll.QS.CONTEXT.CREATE("market.6117",A6119,"USD","SOFR")</f>
        <v>QSObject:PricingContext:w1~market.6117:8559</v>
      </c>
      <c r="D6119" s="6" t="str">
        <f>_xll.QS.CONTEXT.ADD.CURVE(C6119,"SOFR",$K$2:$K$7,$L$2:$L$7,,,"Actual360","LogLinear",TRUE)</f>
        <v>QSObject:ContextInput:w1~input.qs_context_add_curve.2359132437744.6118.3.0:34385</v>
      </c>
      <c r="E6119" s="6" t="str">
        <f>_xll.QS.INSTRUMENT.SWAP("swap.6117",H6119,B6119,"USD","SOFR",I6119,J6119,0,"Actual360","Simple","Annual","Annual","Annual")</f>
        <v>QSObject:Swap:w1~swap.6117:8558</v>
      </c>
      <c r="F6119" s="6" t="str">
        <f>_xll.QS.TRADE.CREATE("trade.6117",E6119,A6119,"Receive")</f>
        <v>QSObject:SwapTrade:w1~trade.6117:25812</v>
      </c>
      <c r="G6119" s="3">
        <f>_xll.QS.EVALUATE(C6119,F6119)</f>
        <v>34553.802095630628</v>
      </c>
      <c r="H6119" s="5" t="s">
        <v>6160</v>
      </c>
      <c r="I6119" s="7">
        <v>1611700</v>
      </c>
      <c r="J6119" s="8">
        <v>3.6700000000000003E-2</v>
      </c>
    </row>
    <row r="6120" spans="1:10" x14ac:dyDescent="0.25">
      <c r="A6120" s="5" t="s">
        <v>6154</v>
      </c>
      <c r="B6120" s="5" t="s">
        <v>7987</v>
      </c>
      <c r="C6120" s="6" t="str">
        <f>_xll.QS.CONTEXT.CREATE("market.6118",A6120,"USD","SOFR")</f>
        <v>QSObject:PricingContext:w1~market.6118:8557</v>
      </c>
      <c r="D6120" s="6" t="str">
        <f>_xll.QS.CONTEXT.ADD.CURVE(C6120,"SOFR",$K$2:$K$7,$L$2:$L$7,,,"Actual360","LogLinear",TRUE)</f>
        <v>QSObject:ContextInput:w1~input.qs_context_add_curve.2359132437744.6119.3.0:34384</v>
      </c>
      <c r="E6120" s="6" t="str">
        <f>_xll.QS.INSTRUMENT.SWAP("swap.6118",H6120,B6120,"USD","SOFR",I6120,J6120,0,"Actual360","Simple","Annual","Annual","Annual")</f>
        <v>QSObject:Swap:w1~swap.6118:8556</v>
      </c>
      <c r="F6120" s="6" t="str">
        <f>_xll.QS.TRADE.CREATE("trade.6118",E6120,A6120,"Receive")</f>
        <v>QSObject:SwapTrade:w1~trade.6118:25811</v>
      </c>
      <c r="G6120" s="3">
        <f>_xll.QS.EVALUATE(C6120,F6120)</f>
        <v>35368.02654408494</v>
      </c>
      <c r="H6120" s="5" t="s">
        <v>6161</v>
      </c>
      <c r="I6120" s="7">
        <v>1611800</v>
      </c>
      <c r="J6120" s="8">
        <v>3.6800000000000013E-2</v>
      </c>
    </row>
    <row r="6121" spans="1:10" x14ac:dyDescent="0.25">
      <c r="A6121" s="5" t="s">
        <v>6155</v>
      </c>
      <c r="B6121" s="5" t="s">
        <v>7988</v>
      </c>
      <c r="C6121" s="6" t="str">
        <f>_xll.QS.CONTEXT.CREATE("market.6119",A6121,"USD","SOFR")</f>
        <v>QSObject:PricingContext:w1~market.6119:8555</v>
      </c>
      <c r="D6121" s="6" t="str">
        <f>_xll.QS.CONTEXT.ADD.CURVE(C6121,"SOFR",$K$2:$K$7,$L$2:$L$7,,,"Actual360","LogLinear",TRUE)</f>
        <v>QSObject:ContextInput:w1~input.qs_context_add_curve.2359132437744.6120.3.0:34383</v>
      </c>
      <c r="E6121" s="6" t="str">
        <f>_xll.QS.INSTRUMENT.SWAP("swap.6119",H6121,B6121,"USD","SOFR",I6121,J6121,0,"Actual360","Simple","Annual","Annual","Annual")</f>
        <v>QSObject:Swap:w1~swap.6119:8554</v>
      </c>
      <c r="F6121" s="6" t="str">
        <f>_xll.QS.TRADE.CREATE("trade.6119",E6121,A6121,"Receive")</f>
        <v>QSObject:SwapTrade:w1~trade.6119:25810</v>
      </c>
      <c r="G6121" s="3">
        <f>_xll.QS.EVALUATE(C6121,F6121)</f>
        <v>36180.143178392282</v>
      </c>
      <c r="H6121" s="5" t="s">
        <v>6162</v>
      </c>
      <c r="I6121" s="7">
        <v>1611900</v>
      </c>
      <c r="J6121" s="8">
        <v>3.6900000000000002E-2</v>
      </c>
    </row>
    <row r="6122" spans="1:10" x14ac:dyDescent="0.25">
      <c r="A6122" s="5" t="s">
        <v>6156</v>
      </c>
      <c r="B6122" s="5" t="s">
        <v>7989</v>
      </c>
      <c r="C6122" s="6" t="str">
        <f>_xll.QS.CONTEXT.CREATE("market.6120",A6122,"USD","SOFR")</f>
        <v>QSObject:PricingContext:w1~market.6120:8553</v>
      </c>
      <c r="D6122" s="6" t="str">
        <f>_xll.QS.CONTEXT.ADD.CURVE(C6122,"SOFR",$K$2:$K$7,$L$2:$L$7,,,"Actual360","LogLinear",TRUE)</f>
        <v>QSObject:ContextInput:w1~input.qs_context_add_curve.2359132437744.6121.3.0:34382</v>
      </c>
      <c r="E6122" s="6" t="str">
        <f>_xll.QS.INSTRUMENT.SWAP("swap.6120",H6122,B6122,"USD","SOFR",I6122,J6122,0,"Actual360","Simple","Annual","Annual","Annual")</f>
        <v>QSObject:Swap:w1~swap.6120:8552</v>
      </c>
      <c r="F6122" s="6" t="str">
        <f>_xll.QS.TRADE.CREATE("trade.6120",E6122,A6122,"Receive")</f>
        <v>QSObject:SwapTrade:w1~trade.6120:25809</v>
      </c>
      <c r="G6122" s="3">
        <f>_xll.QS.EVALUATE(C6122,F6122)</f>
        <v>37145.674848112736</v>
      </c>
      <c r="H6122" s="5" t="s">
        <v>6163</v>
      </c>
      <c r="I6122" s="7">
        <v>1612000</v>
      </c>
      <c r="J6122" s="8">
        <v>3.7000000000000012E-2</v>
      </c>
    </row>
    <row r="6123" spans="1:10" x14ac:dyDescent="0.25">
      <c r="A6123" s="5" t="s">
        <v>6157</v>
      </c>
      <c r="B6123" s="5" t="s">
        <v>7990</v>
      </c>
      <c r="C6123" s="6" t="str">
        <f>_xll.QS.CONTEXT.CREATE("market.6121",A6123,"USD","SOFR")</f>
        <v>QSObject:PricingContext:w1~market.6121:8551</v>
      </c>
      <c r="D6123" s="6" t="str">
        <f>_xll.QS.CONTEXT.ADD.CURVE(C6123,"SOFR",$K$2:$K$7,$L$2:$L$7,,,"Actual360","LogLinear",TRUE)</f>
        <v>QSObject:ContextInput:w1~input.qs_context_add_curve.2359132437744.6122.3.0:34381</v>
      </c>
      <c r="E6123" s="6" t="str">
        <f>_xll.QS.INSTRUMENT.SWAP("swap.6121",H6123,B6123,"USD","SOFR",I6123,J6123,0,"Actual360","Simple","Annual","Annual","Annual")</f>
        <v>QSObject:Swap:w1~swap.6121:8550</v>
      </c>
      <c r="F6123" s="6" t="str">
        <f>_xll.QS.TRADE.CREATE("trade.6121",E6123,A6123,"Receive")</f>
        <v>QSObject:SwapTrade:w1~trade.6121:25808</v>
      </c>
      <c r="G6123" s="3">
        <f>_xll.QS.EVALUATE(C6123,F6123)</f>
        <v>37906.658408634074</v>
      </c>
      <c r="H6123" s="5" t="s">
        <v>6164</v>
      </c>
      <c r="I6123" s="7">
        <v>1612100</v>
      </c>
      <c r="J6123" s="8">
        <v>3.7100000000000001E-2</v>
      </c>
    </row>
    <row r="6124" spans="1:10" x14ac:dyDescent="0.25">
      <c r="A6124" s="5" t="s">
        <v>6158</v>
      </c>
      <c r="B6124" s="5" t="s">
        <v>7991</v>
      </c>
      <c r="C6124" s="6" t="str">
        <f>_xll.QS.CONTEXT.CREATE("market.6122",A6124,"USD","SOFR")</f>
        <v>QSObject:PricingContext:w1~market.6122:8549</v>
      </c>
      <c r="D6124" s="6" t="str">
        <f>_xll.QS.CONTEXT.ADD.CURVE(C6124,"SOFR",$K$2:$K$7,$L$2:$L$7,,,"Actual360","LogLinear",TRUE)</f>
        <v>QSObject:ContextInput:w1~input.qs_context_add_curve.2359132437744.6123.3.0:34380</v>
      </c>
      <c r="E6124" s="6" t="str">
        <f>_xll.QS.INSTRUMENT.SWAP("swap.6122",H6124,B6124,"USD","SOFR",I6124,J6124,0,"Actual360","Simple","Annual","Annual","Annual")</f>
        <v>QSObject:Swap:w1~swap.6122:8548</v>
      </c>
      <c r="F6124" s="6" t="str">
        <f>_xll.QS.TRADE.CREATE("trade.6122",E6124,A6124,"Receive")</f>
        <v>QSObject:SwapTrade:w1~trade.6122:25807</v>
      </c>
      <c r="G6124" s="3">
        <f>_xll.QS.EVALUATE(C6124,F6124)</f>
        <v>38652.726680632244</v>
      </c>
      <c r="H6124" s="5" t="s">
        <v>6165</v>
      </c>
      <c r="I6124" s="7">
        <v>1612200</v>
      </c>
      <c r="J6124" s="8">
        <v>3.7199999999999997E-2</v>
      </c>
    </row>
    <row r="6125" spans="1:10" x14ac:dyDescent="0.25">
      <c r="A6125" s="5" t="s">
        <v>6159</v>
      </c>
      <c r="B6125" s="5" t="s">
        <v>7992</v>
      </c>
      <c r="C6125" s="6" t="str">
        <f>_xll.QS.CONTEXT.CREATE("market.6123",A6125,"USD","SOFR")</f>
        <v>QSObject:PricingContext:w1~market.6123:8547</v>
      </c>
      <c r="D6125" s="6" t="str">
        <f>_xll.QS.CONTEXT.ADD.CURVE(C6125,"SOFR",$K$2:$K$7,$L$2:$L$7,,,"Actual360","LogLinear",TRUE)</f>
        <v>QSObject:ContextInput:w1~input.qs_context_add_curve.2359132437744.6124.3.0:34379</v>
      </c>
      <c r="E6125" s="6" t="str">
        <f>_xll.QS.INSTRUMENT.SWAP("swap.6123",H6125,B6125,"USD","SOFR",I6125,J6125,0,"Actual360","Simple","Annual","Annual","Annual")</f>
        <v>QSObject:Swap:w1~swap.6123:8546</v>
      </c>
      <c r="F6125" s="6" t="str">
        <f>_xll.QS.TRADE.CREATE("trade.6123",E6125,A6125,"Receive")</f>
        <v>QSObject:SwapTrade:w1~trade.6123:25806</v>
      </c>
      <c r="G6125" s="3">
        <f>_xll.QS.EVALUATE(C6125,F6125)</f>
        <v>39284.352289888287</v>
      </c>
      <c r="H6125" s="5" t="s">
        <v>6166</v>
      </c>
      <c r="I6125" s="7">
        <v>1612300</v>
      </c>
      <c r="J6125" s="8">
        <v>3.73E-2</v>
      </c>
    </row>
    <row r="6126" spans="1:10" x14ac:dyDescent="0.25">
      <c r="A6126" s="5" t="s">
        <v>6160</v>
      </c>
      <c r="B6126" s="5" t="s">
        <v>7993</v>
      </c>
      <c r="C6126" s="6" t="str">
        <f>_xll.QS.CONTEXT.CREATE("market.6124",A6126,"USD","SOFR")</f>
        <v>QSObject:PricingContext:w1~market.6124:8545</v>
      </c>
      <c r="D6126" s="6" t="str">
        <f>_xll.QS.CONTEXT.ADD.CURVE(C6126,"SOFR",$K$2:$K$7,$L$2:$L$7,,,"Actual360","LogLinear",TRUE)</f>
        <v>QSObject:ContextInput:w1~input.qs_context_add_curve.2359132437744.6125.3.0:34378</v>
      </c>
      <c r="E6126" s="6" t="str">
        <f>_xll.QS.INSTRUMENT.SWAP("swap.6124",H6126,B6126,"USD","SOFR",I6126,J6126,0,"Actual360","Simple","Annual","Annual","Annual")</f>
        <v>QSObject:Swap:w1~swap.6124:8544</v>
      </c>
      <c r="F6126" s="6" t="str">
        <f>_xll.QS.TRADE.CREATE("trade.6124",E6126,A6126,"Receive")</f>
        <v>QSObject:SwapTrade:w1~trade.6124:25805</v>
      </c>
      <c r="G6126" s="3">
        <f>_xll.QS.EVALUATE(C6126,F6126)</f>
        <v>39908.251981300804</v>
      </c>
      <c r="H6126" s="5" t="s">
        <v>6167</v>
      </c>
      <c r="I6126" s="7">
        <v>1612400</v>
      </c>
      <c r="J6126" s="8">
        <v>3.7400000000000003E-2</v>
      </c>
    </row>
    <row r="6127" spans="1:10" x14ac:dyDescent="0.25">
      <c r="A6127" s="5" t="s">
        <v>6161</v>
      </c>
      <c r="B6127" s="5" t="s">
        <v>7994</v>
      </c>
      <c r="C6127" s="6" t="str">
        <f>_xll.QS.CONTEXT.CREATE("market.6125",A6127,"USD","SOFR")</f>
        <v>QSObject:PricingContext:w1~market.6125:8543</v>
      </c>
      <c r="D6127" s="6" t="str">
        <f>_xll.QS.CONTEXT.ADD.CURVE(C6127,"SOFR",$K$2:$K$7,$L$2:$L$7,,,"Actual360","LogLinear",TRUE)</f>
        <v>QSObject:ContextInput:w1~input.qs_context_add_curve.2359132437744.6126.3.0:34377</v>
      </c>
      <c r="E6127" s="6" t="str">
        <f>_xll.QS.INSTRUMENT.SWAP("swap.6125",H6127,B6127,"USD","SOFR",I6127,J6127,0,"Actual360","Simple","Annual","Annual","Annual")</f>
        <v>QSObject:Swap:w1~swap.6125:8542</v>
      </c>
      <c r="F6127" s="6" t="str">
        <f>_xll.QS.TRADE.CREATE("trade.6125",E6127,A6127,"Receive")</f>
        <v>QSObject:SwapTrade:w1~trade.6125:25804</v>
      </c>
      <c r="G6127" s="3">
        <f>_xll.QS.EVALUATE(C6127,F6127)</f>
        <v>40657.495964049995</v>
      </c>
      <c r="H6127" s="5" t="s">
        <v>6168</v>
      </c>
      <c r="I6127" s="7">
        <v>1612500</v>
      </c>
      <c r="J6127" s="8">
        <v>3.7500000000000012E-2</v>
      </c>
    </row>
    <row r="6128" spans="1:10" x14ac:dyDescent="0.25">
      <c r="A6128" s="5" t="s">
        <v>6162</v>
      </c>
      <c r="B6128" s="5" t="s">
        <v>7995</v>
      </c>
      <c r="C6128" s="6" t="str">
        <f>_xll.QS.CONTEXT.CREATE("market.6126",A6128,"USD","SOFR")</f>
        <v>QSObject:PricingContext:w1~market.6126:8541</v>
      </c>
      <c r="D6128" s="6" t="str">
        <f>_xll.QS.CONTEXT.ADD.CURVE(C6128,"SOFR",$K$2:$K$7,$L$2:$L$7,,,"Actual360","LogLinear",TRUE)</f>
        <v>QSObject:ContextInput:w1~input.qs_context_add_curve.2359132437744.6127.3.0:34376</v>
      </c>
      <c r="E6128" s="6" t="str">
        <f>_xll.QS.INSTRUMENT.SWAP("swap.6126",H6128,B6128,"USD","SOFR",I6128,J6128,0,"Actual360","Simple","Annual","Annual","Annual")</f>
        <v>QSObject:Swap:w1~swap.6126:8540</v>
      </c>
      <c r="F6128" s="6" t="str">
        <f>_xll.QS.TRADE.CREATE("trade.6126",E6128,A6128,"Receive")</f>
        <v>QSObject:SwapTrade:w1~trade.6126:25803</v>
      </c>
      <c r="G6128" s="3">
        <f>_xll.QS.EVALUATE(C6128,F6128)</f>
        <v>41444.30334909894</v>
      </c>
      <c r="H6128" s="5" t="s">
        <v>6169</v>
      </c>
      <c r="I6128" s="7">
        <v>1612600</v>
      </c>
      <c r="J6128" s="8">
        <v>3.7600000000000001E-2</v>
      </c>
    </row>
    <row r="6129" spans="1:10" x14ac:dyDescent="0.25">
      <c r="A6129" s="5" t="s">
        <v>6163</v>
      </c>
      <c r="B6129" s="5" t="s">
        <v>7996</v>
      </c>
      <c r="C6129" s="6" t="str">
        <f>_xll.QS.CONTEXT.CREATE("market.6127",A6129,"USD","SOFR")</f>
        <v>QSObject:PricingContext:w1~market.6127:8539</v>
      </c>
      <c r="D6129" s="6" t="str">
        <f>_xll.QS.CONTEXT.ADD.CURVE(C6129,"SOFR",$K$2:$K$7,$L$2:$L$7,,,"Actual360","LogLinear",TRUE)</f>
        <v>QSObject:ContextInput:w1~input.qs_context_add_curve.2359132437744.6128.3.0:34375</v>
      </c>
      <c r="E6129" s="6" t="str">
        <f>_xll.QS.INSTRUMENT.SWAP("swap.6127",H6129,B6129,"USD","SOFR",I6129,J6129,0,"Actual360","Simple","Annual","Annual","Annual")</f>
        <v>QSObject:Swap:w1~swap.6127:8538</v>
      </c>
      <c r="F6129" s="6" t="str">
        <f>_xll.QS.TRADE.CREATE("trade.6127",E6129,A6129,"Receive")</f>
        <v>QSObject:SwapTrade:w1~trade.6127:25802</v>
      </c>
      <c r="G6129" s="3">
        <f>_xll.QS.EVALUATE(C6129,F6129)</f>
        <v>42308.325270032292</v>
      </c>
      <c r="H6129" s="5" t="s">
        <v>6170</v>
      </c>
      <c r="I6129" s="7">
        <v>1612700</v>
      </c>
      <c r="J6129" s="8">
        <v>3.7699999999999997E-2</v>
      </c>
    </row>
    <row r="6130" spans="1:10" x14ac:dyDescent="0.25">
      <c r="A6130" s="5" t="s">
        <v>6164</v>
      </c>
      <c r="B6130" s="5" t="s">
        <v>7997</v>
      </c>
      <c r="C6130" s="6" t="str">
        <f>_xll.QS.CONTEXT.CREATE("market.6128",A6130,"USD","SOFR")</f>
        <v>QSObject:PricingContext:w1~market.6128:8537</v>
      </c>
      <c r="D6130" s="6" t="str">
        <f>_xll.QS.CONTEXT.ADD.CURVE(C6130,"SOFR",$K$2:$K$7,$L$2:$L$7,,,"Actual360","LogLinear",TRUE)</f>
        <v>QSObject:ContextInput:w1~input.qs_context_add_curve.2359132437744.6129.3.0:34374</v>
      </c>
      <c r="E6130" s="6" t="str">
        <f>_xll.QS.INSTRUMENT.SWAP("swap.6128",H6130,B6130,"USD","SOFR",I6130,J6130,0,"Actual360","Simple","Annual","Annual","Annual")</f>
        <v>QSObject:Swap:w1~swap.6128:8536</v>
      </c>
      <c r="F6130" s="6" t="str">
        <f>_xll.QS.TRADE.CREATE("trade.6128",E6130,A6130,"Receive")</f>
        <v>QSObject:SwapTrade:w1~trade.6128:25801</v>
      </c>
      <c r="G6130" s="3">
        <f>_xll.QS.EVALUATE(C6130,F6130)</f>
        <v>43124.775829402679</v>
      </c>
      <c r="H6130" s="5" t="s">
        <v>6171</v>
      </c>
      <c r="I6130" s="7">
        <v>1612800</v>
      </c>
      <c r="J6130" s="8">
        <v>3.78E-2</v>
      </c>
    </row>
    <row r="6131" spans="1:10" x14ac:dyDescent="0.25">
      <c r="A6131" s="5" t="s">
        <v>6165</v>
      </c>
      <c r="B6131" s="5" t="s">
        <v>7998</v>
      </c>
      <c r="C6131" s="6" t="str">
        <f>_xll.QS.CONTEXT.CREATE("market.6129",A6131,"USD","SOFR")</f>
        <v>QSObject:PricingContext:w1~market.6129:8535</v>
      </c>
      <c r="D6131" s="6" t="str">
        <f>_xll.QS.CONTEXT.ADD.CURVE(C6131,"SOFR",$K$2:$K$7,$L$2:$L$7,,,"Actual360","LogLinear",TRUE)</f>
        <v>QSObject:ContextInput:w1~input.qs_context_add_curve.2359132437744.6130.3.0:34373</v>
      </c>
      <c r="E6131" s="6" t="str">
        <f>_xll.QS.INSTRUMENT.SWAP("swap.6129",H6131,B6131,"USD","SOFR",I6131,J6131,0,"Actual360","Simple","Annual","Annual","Annual")</f>
        <v>QSObject:Swap:w1~swap.6129:8534</v>
      </c>
      <c r="F6131" s="6" t="str">
        <f>_xll.QS.TRADE.CREATE("trade.6129",E6131,A6131,"Receive")</f>
        <v>QSObject:SwapTrade:w1~trade.6129:25800</v>
      </c>
      <c r="G6131" s="3">
        <f>_xll.QS.EVALUATE(C6131,F6131)</f>
        <v>43809.951832609513</v>
      </c>
      <c r="H6131" s="5" t="s">
        <v>6172</v>
      </c>
      <c r="I6131" s="7">
        <v>1612900</v>
      </c>
      <c r="J6131" s="8">
        <v>3.7900000000000003E-2</v>
      </c>
    </row>
    <row r="6132" spans="1:10" x14ac:dyDescent="0.25">
      <c r="A6132" s="5" t="s">
        <v>6166</v>
      </c>
      <c r="B6132" s="5" t="s">
        <v>7999</v>
      </c>
      <c r="C6132" s="6" t="str">
        <f>_xll.QS.CONTEXT.CREATE("market.6130",A6132,"USD","SOFR")</f>
        <v>QSObject:PricingContext:w1~market.6130:8533</v>
      </c>
      <c r="D6132" s="6" t="str">
        <f>_xll.QS.CONTEXT.ADD.CURVE(C6132,"SOFR",$K$2:$K$7,$L$2:$L$7,,,"Actual360","LogLinear",TRUE)</f>
        <v>QSObject:ContextInput:w1~input.qs_context_add_curve.2359132437744.6131.3.0:34372</v>
      </c>
      <c r="E6132" s="6" t="str">
        <f>_xll.QS.INSTRUMENT.SWAP("swap.6130",H6132,B6132,"USD","SOFR",I6132,J6132,0,"Actual360","Simple","Annual","Annual","Annual")</f>
        <v>QSObject:Swap:w1~swap.6130:8532</v>
      </c>
      <c r="F6132" s="6" t="str">
        <f>_xll.QS.TRADE.CREATE("trade.6130",E6132,A6132,"Receive")</f>
        <v>QSObject:SwapTrade:w1~trade.6130:25799</v>
      </c>
      <c r="G6132" s="3">
        <f>_xll.QS.EVALUATE(C6132,F6132)</f>
        <v>44435.792159486053</v>
      </c>
      <c r="H6132" s="5" t="s">
        <v>6173</v>
      </c>
      <c r="I6132" s="7">
        <v>1613000</v>
      </c>
      <c r="J6132" s="8">
        <v>3.8000000000000013E-2</v>
      </c>
    </row>
    <row r="6133" spans="1:10" x14ac:dyDescent="0.25">
      <c r="A6133" s="5" t="s">
        <v>6167</v>
      </c>
      <c r="B6133" s="5" t="s">
        <v>8000</v>
      </c>
      <c r="C6133" s="6" t="str">
        <f>_xll.QS.CONTEXT.CREATE("market.6131",A6133,"USD","SOFR")</f>
        <v>QSObject:PricingContext:w1~market.6131:8531</v>
      </c>
      <c r="D6133" s="6" t="str">
        <f>_xll.QS.CONTEXT.ADD.CURVE(C6133,"SOFR",$K$2:$K$7,$L$2:$L$7,,,"Actual360","LogLinear",TRUE)</f>
        <v>QSObject:ContextInput:w1~input.qs_context_add_curve.2359132437744.6132.3.0:34371</v>
      </c>
      <c r="E6133" s="6" t="str">
        <f>_xll.QS.INSTRUMENT.SWAP("swap.6131",H6133,B6133,"USD","SOFR",I6133,J6133,0,"Actual360","Simple","Annual","Annual","Annual")</f>
        <v>QSObject:Swap:w1~swap.6131:8530</v>
      </c>
      <c r="F6133" s="6" t="str">
        <f>_xll.QS.TRADE.CREATE("trade.6131",E6133,A6133,"Receive")</f>
        <v>QSObject:SwapTrade:w1~trade.6131:25798</v>
      </c>
      <c r="G6133" s="3">
        <f>_xll.QS.EVALUATE(C6133,F6133)</f>
        <v>45068.506666102556</v>
      </c>
      <c r="H6133" s="5" t="s">
        <v>6174</v>
      </c>
      <c r="I6133" s="7">
        <v>1613100</v>
      </c>
      <c r="J6133" s="8">
        <v>3.8100000000000002E-2</v>
      </c>
    </row>
    <row r="6134" spans="1:10" x14ac:dyDescent="0.25">
      <c r="A6134" s="5" t="s">
        <v>6168</v>
      </c>
      <c r="B6134" s="5" t="s">
        <v>8001</v>
      </c>
      <c r="C6134" s="6" t="str">
        <f>_xll.QS.CONTEXT.CREATE("market.6132",A6134,"USD","SOFR")</f>
        <v>QSObject:PricingContext:w1~market.6132:8529</v>
      </c>
      <c r="D6134" s="6" t="str">
        <f>_xll.QS.CONTEXT.ADD.CURVE(C6134,"SOFR",$K$2:$K$7,$L$2:$L$7,,,"Actual360","LogLinear",TRUE)</f>
        <v>QSObject:ContextInput:w1~input.qs_context_add_curve.2359132437744.6133.3.0:34370</v>
      </c>
      <c r="E6134" s="6" t="str">
        <f>_xll.QS.INSTRUMENT.SWAP("swap.6132",H6134,B6134,"USD","SOFR",I6134,J6134,0,"Actual360","Simple","Annual","Annual","Annual")</f>
        <v>QSObject:Swap:w1~swap.6132:8528</v>
      </c>
      <c r="F6134" s="6" t="str">
        <f>_xll.QS.TRADE.CREATE("trade.6132",E6134,A6134,"Receive")</f>
        <v>QSObject:SwapTrade:w1~trade.6132:25797</v>
      </c>
      <c r="G6134" s="3">
        <f>_xll.QS.EVALUATE(C6134,F6134)</f>
        <v>45884.715631089064</v>
      </c>
      <c r="H6134" s="5" t="s">
        <v>6175</v>
      </c>
      <c r="I6134" s="7">
        <v>1613200</v>
      </c>
      <c r="J6134" s="8">
        <v>3.8199999999999998E-2</v>
      </c>
    </row>
    <row r="6135" spans="1:10" x14ac:dyDescent="0.25">
      <c r="A6135" s="5" t="s">
        <v>6169</v>
      </c>
      <c r="B6135" s="5" t="s">
        <v>8002</v>
      </c>
      <c r="C6135" s="6" t="str">
        <f>_xll.QS.CONTEXT.CREATE("market.6133",A6135,"USD","SOFR")</f>
        <v>QSObject:PricingContext:w1~market.6133:8527</v>
      </c>
      <c r="D6135" s="6" t="str">
        <f>_xll.QS.CONTEXT.ADD.CURVE(C6135,"SOFR",$K$2:$K$7,$L$2:$L$7,,,"Actual360","LogLinear",TRUE)</f>
        <v>QSObject:ContextInput:w1~input.qs_context_add_curve.2359132437744.6134.3.0:34369</v>
      </c>
      <c r="E6135" s="6" t="str">
        <f>_xll.QS.INSTRUMENT.SWAP("swap.6133",H6135,B6135,"USD","SOFR",I6135,J6135,0,"Actual360","Simple","Annual","Annual","Annual")</f>
        <v>QSObject:Swap:w1~swap.6133:8526</v>
      </c>
      <c r="F6135" s="6" t="str">
        <f>_xll.QS.TRADE.CREATE("trade.6133",E6135,A6135,"Receive")</f>
        <v>QSObject:SwapTrade:w1~trade.6133:25796</v>
      </c>
      <c r="G6135" s="3">
        <f>_xll.QS.EVALUATE(C6135,F6135)</f>
        <v>46669.707748377245</v>
      </c>
      <c r="H6135" s="5" t="s">
        <v>6176</v>
      </c>
      <c r="I6135" s="7">
        <v>1613300</v>
      </c>
      <c r="J6135" s="8">
        <v>3.8300000000000001E-2</v>
      </c>
    </row>
    <row r="6136" spans="1:10" x14ac:dyDescent="0.25">
      <c r="A6136" s="5" t="s">
        <v>6170</v>
      </c>
      <c r="B6136" s="5" t="s">
        <v>8003</v>
      </c>
      <c r="C6136" s="6" t="str">
        <f>_xll.QS.CONTEXT.CREATE("market.6134",A6136,"USD","SOFR")</f>
        <v>QSObject:PricingContext:w1~market.6134:8525</v>
      </c>
      <c r="D6136" s="6" t="str">
        <f>_xll.QS.CONTEXT.ADD.CURVE(C6136,"SOFR",$K$2:$K$7,$L$2:$L$7,,,"Actual360","LogLinear",TRUE)</f>
        <v>QSObject:ContextInput:w1~input.qs_context_add_curve.2359132437744.6135.3.0:34368</v>
      </c>
      <c r="E6136" s="6" t="str">
        <f>_xll.QS.INSTRUMENT.SWAP("swap.6134",H6136,B6136,"USD","SOFR",I6136,J6136,0,"Actual360","Simple","Annual","Annual","Annual")</f>
        <v>QSObject:Swap:w1~swap.6134:8524</v>
      </c>
      <c r="F6136" s="6" t="str">
        <f>_xll.QS.TRADE.CREATE("trade.6134",E6136,A6136,"Receive")</f>
        <v>QSObject:SwapTrade:w1~trade.6134:25795</v>
      </c>
      <c r="G6136" s="3">
        <f>_xll.QS.EVALUATE(C6136,F6136)</f>
        <v>47534.610734998823</v>
      </c>
      <c r="H6136" s="5" t="s">
        <v>6177</v>
      </c>
      <c r="I6136" s="7">
        <v>1613400</v>
      </c>
      <c r="J6136" s="8">
        <v>3.8399999999999997E-2</v>
      </c>
    </row>
    <row r="6137" spans="1:10" x14ac:dyDescent="0.25">
      <c r="A6137" s="5" t="s">
        <v>6171</v>
      </c>
      <c r="B6137" s="5" t="s">
        <v>8004</v>
      </c>
      <c r="C6137" s="6" t="str">
        <f>_xll.QS.CONTEXT.CREATE("market.6135",A6137,"USD","SOFR")</f>
        <v>QSObject:PricingContext:w1~market.6135:8523</v>
      </c>
      <c r="D6137" s="6" t="str">
        <f>_xll.QS.CONTEXT.ADD.CURVE(C6137,"SOFR",$K$2:$K$7,$L$2:$L$7,,,"Actual360","LogLinear",TRUE)</f>
        <v>QSObject:ContextInput:w1~input.qs_context_add_curve.2359132437744.6136.3.0:34367</v>
      </c>
      <c r="E6137" s="6" t="str">
        <f>_xll.QS.INSTRUMENT.SWAP("swap.6135",H6137,B6137,"USD","SOFR",I6137,J6137,0,"Actual360","Simple","Annual","Annual","Annual")</f>
        <v>QSObject:Swap:w1~swap.6135:8522</v>
      </c>
      <c r="F6137" s="6" t="str">
        <f>_xll.QS.TRADE.CREATE("trade.6135",E6137,A6137,"Receive")</f>
        <v>QSObject:SwapTrade:w1~trade.6135:25794</v>
      </c>
      <c r="G6137" s="3">
        <f>_xll.QS.EVALUATE(C6137,F6137)</f>
        <v>48351.876914013621</v>
      </c>
      <c r="H6137" s="5" t="s">
        <v>6178</v>
      </c>
      <c r="I6137" s="7">
        <v>1613500</v>
      </c>
      <c r="J6137" s="8">
        <v>3.8500000000000013E-2</v>
      </c>
    </row>
    <row r="6138" spans="1:10" x14ac:dyDescent="0.25">
      <c r="A6138" s="5" t="s">
        <v>6172</v>
      </c>
      <c r="B6138" s="5" t="s">
        <v>8005</v>
      </c>
      <c r="C6138" s="6" t="str">
        <f>_xll.QS.CONTEXT.CREATE("market.6136",A6138,"USD","SOFR")</f>
        <v>QSObject:PricingContext:w1~market.6136:8521</v>
      </c>
      <c r="D6138" s="6" t="str">
        <f>_xll.QS.CONTEXT.ADD.CURVE(C6138,"SOFR",$K$2:$K$7,$L$2:$L$7,,,"Actual360","LogLinear",TRUE)</f>
        <v>QSObject:ContextInput:w1~input.qs_context_add_curve.2359132437744.6137.3.0:34366</v>
      </c>
      <c r="E6138" s="6" t="str">
        <f>_xll.QS.INSTRUMENT.SWAP("swap.6136",H6138,B6138,"USD","SOFR",I6138,J6138,0,"Actual360","Simple","Annual","Annual","Annual")</f>
        <v>QSObject:Swap:w1~swap.6136:8520</v>
      </c>
      <c r="F6138" s="6" t="str">
        <f>_xll.QS.TRADE.CREATE("trade.6136",E6138,A6138,"Receive")</f>
        <v>QSObject:SwapTrade:w1~trade.6136:25793</v>
      </c>
      <c r="G6138" s="3">
        <f>_xll.QS.EVALUATE(C6138,F6138)</f>
        <v>49037.629934933837</v>
      </c>
      <c r="H6138" s="5" t="s">
        <v>6179</v>
      </c>
      <c r="I6138" s="7">
        <v>1613600</v>
      </c>
      <c r="J6138" s="8">
        <v>3.8600000000000002E-2</v>
      </c>
    </row>
    <row r="6139" spans="1:10" x14ac:dyDescent="0.25">
      <c r="A6139" s="5" t="s">
        <v>6173</v>
      </c>
      <c r="B6139" s="5" t="s">
        <v>8006</v>
      </c>
      <c r="C6139" s="6" t="str">
        <f>_xll.QS.CONTEXT.CREATE("market.6137",A6139,"USD","SOFR")</f>
        <v>QSObject:PricingContext:w1~market.6137:8519</v>
      </c>
      <c r="D6139" s="6" t="str">
        <f>_xll.QS.CONTEXT.ADD.CURVE(C6139,"SOFR",$K$2:$K$7,$L$2:$L$7,,,"Actual360","LogLinear",TRUE)</f>
        <v>QSObject:ContextInput:w1~input.qs_context_add_curve.2359132437744.6138.3.0:34365</v>
      </c>
      <c r="E6139" s="6" t="str">
        <f>_xll.QS.INSTRUMENT.SWAP("swap.6137",H6139,B6139,"USD","SOFR",I6139,J6139,0,"Actual360","Simple","Annual","Annual","Annual")</f>
        <v>QSObject:Swap:w1~swap.6137:8518</v>
      </c>
      <c r="F6139" s="6" t="str">
        <f>_xll.QS.TRADE.CREATE("trade.6137",E6139,A6139,"Receive")</f>
        <v>QSObject:SwapTrade:w1~trade.6137:25792</v>
      </c>
      <c r="G6139" s="3">
        <f>_xll.QS.EVALUATE(C6139,F6139)</f>
        <v>49657.924857841397</v>
      </c>
      <c r="H6139" s="5" t="s">
        <v>6180</v>
      </c>
      <c r="I6139" s="7">
        <v>1613700</v>
      </c>
      <c r="J6139" s="8">
        <v>3.8700000000000012E-2</v>
      </c>
    </row>
    <row r="6140" spans="1:10" x14ac:dyDescent="0.25">
      <c r="A6140" s="5" t="s">
        <v>6174</v>
      </c>
      <c r="B6140" s="5" t="s">
        <v>8007</v>
      </c>
      <c r="C6140" s="6" t="str">
        <f>_xll.QS.CONTEXT.CREATE("market.6138",A6140,"USD","SOFR")</f>
        <v>QSObject:PricingContext:w1~market.6138:8517</v>
      </c>
      <c r="D6140" s="6" t="str">
        <f>_xll.QS.CONTEXT.ADD.CURVE(C6140,"SOFR",$K$2:$K$7,$L$2:$L$7,,,"Actual360","LogLinear",TRUE)</f>
        <v>QSObject:ContextInput:w1~input.qs_context_add_curve.2359132437744.6139.3.0:34364</v>
      </c>
      <c r="E6140" s="6" t="str">
        <f>_xll.QS.INSTRUMENT.SWAP("swap.6138",H6140,B6140,"USD","SOFR",I6140,J6140,0,"Actual360","Simple","Annual","Annual","Annual")</f>
        <v>QSObject:Swap:w1~swap.6138:8516</v>
      </c>
      <c r="F6140" s="6" t="str">
        <f>_xll.QS.TRADE.CREATE("trade.6138",E6140,A6140,"Receive")</f>
        <v>QSObject:SwapTrade:w1~trade.6138:25791</v>
      </c>
      <c r="G6140" s="3">
        <f>_xll.QS.EVALUATE(C6140,F6140)</f>
        <v>50299.311022434093</v>
      </c>
      <c r="H6140" s="5" t="s">
        <v>6181</v>
      </c>
      <c r="I6140" s="7">
        <v>1613800</v>
      </c>
      <c r="J6140" s="8">
        <v>3.8800000000000001E-2</v>
      </c>
    </row>
    <row r="6141" spans="1:10" x14ac:dyDescent="0.25">
      <c r="A6141" s="5" t="s">
        <v>6175</v>
      </c>
      <c r="B6141" s="5" t="s">
        <v>8008</v>
      </c>
      <c r="C6141" s="6" t="str">
        <f>_xll.QS.CONTEXT.CREATE("market.6139",A6141,"USD","SOFR")</f>
        <v>QSObject:PricingContext:w1~market.6139:8515</v>
      </c>
      <c r="D6141" s="6" t="str">
        <f>_xll.QS.CONTEXT.ADD.CURVE(C6141,"SOFR",$K$2:$K$7,$L$2:$L$7,,,"Actual360","LogLinear",TRUE)</f>
        <v>QSObject:ContextInput:w1~input.qs_context_add_curve.2359132437744.6140.3.0:34363</v>
      </c>
      <c r="E6141" s="6" t="str">
        <f>_xll.QS.INSTRUMENT.SWAP("swap.6139",H6141,B6141,"USD","SOFR",I6141,J6141,0,"Actual360","Simple","Annual","Annual","Annual")</f>
        <v>QSObject:Swap:w1~swap.6139:8514</v>
      </c>
      <c r="F6141" s="6" t="str">
        <f>_xll.QS.TRADE.CREATE("trade.6139",E6141,A6141,"Receive")</f>
        <v>QSObject:SwapTrade:w1~trade.6139:25790</v>
      </c>
      <c r="G6141" s="3">
        <f>_xll.QS.EVALUATE(C6141,F6141)</f>
        <v>51116.877247948141</v>
      </c>
      <c r="H6141" s="5" t="s">
        <v>6182</v>
      </c>
      <c r="I6141" s="7">
        <v>1613900</v>
      </c>
      <c r="J6141" s="8">
        <v>3.8899999999999997E-2</v>
      </c>
    </row>
    <row r="6142" spans="1:10" x14ac:dyDescent="0.25">
      <c r="A6142" s="5" t="s">
        <v>6176</v>
      </c>
      <c r="B6142" s="5" t="s">
        <v>8009</v>
      </c>
      <c r="C6142" s="6" t="str">
        <f>_xll.QS.CONTEXT.CREATE("market.6140",A6142,"USD","SOFR")</f>
        <v>QSObject:PricingContext:w1~market.6140:8513</v>
      </c>
      <c r="D6142" s="6" t="str">
        <f>_xll.QS.CONTEXT.ADD.CURVE(C6142,"SOFR",$K$2:$K$7,$L$2:$L$7,,,"Actual360","LogLinear",TRUE)</f>
        <v>QSObject:ContextInput:w1~input.qs_context_add_curve.2359132437744.6141.3.0:34362</v>
      </c>
      <c r="E6142" s="6" t="str">
        <f>_xll.QS.INSTRUMENT.SWAP("swap.6140",H6142,B6142,"USD","SOFR",I6142,J6142,0,"Actual360","Simple","Annual","Annual","Annual")</f>
        <v>QSObject:Swap:w1~swap.6140:8512</v>
      </c>
      <c r="F6142" s="6" t="str">
        <f>_xll.QS.TRADE.CREATE("trade.6140",E6142,A6142,"Receive")</f>
        <v>QSObject:SwapTrade:w1~trade.6140:25789</v>
      </c>
      <c r="G6142" s="3">
        <f>_xll.QS.EVALUATE(C6142,F6142)</f>
        <v>51900.236759776024</v>
      </c>
      <c r="H6142" s="5" t="s">
        <v>6183</v>
      </c>
      <c r="I6142" s="7">
        <v>1614000</v>
      </c>
      <c r="J6142" s="8">
        <v>3.9000000000000007E-2</v>
      </c>
    </row>
    <row r="6143" spans="1:10" x14ac:dyDescent="0.25">
      <c r="A6143" s="5" t="s">
        <v>6177</v>
      </c>
      <c r="B6143" s="5" t="s">
        <v>8010</v>
      </c>
      <c r="C6143" s="6" t="str">
        <f>_xll.QS.CONTEXT.CREATE("market.6141",A6143,"USD","SOFR")</f>
        <v>QSObject:PricingContext:w1~market.6141:8511</v>
      </c>
      <c r="D6143" s="6" t="str">
        <f>_xll.QS.CONTEXT.ADD.CURVE(C6143,"SOFR",$K$2:$K$7,$L$2:$L$7,,,"Actual360","LogLinear",TRUE)</f>
        <v>QSObject:ContextInput:w1~input.qs_context_add_curve.2359132437744.6142.3.0:34361</v>
      </c>
      <c r="E6143" s="6" t="str">
        <f>_xll.QS.INSTRUMENT.SWAP("swap.6141",H6143,B6143,"USD","SOFR",I6143,J6143,0,"Actual360","Simple","Annual","Annual","Annual")</f>
        <v>QSObject:Swap:w1~swap.6141:8510</v>
      </c>
      <c r="F6143" s="6" t="str">
        <f>_xll.QS.TRADE.CREATE("trade.6141",E6143,A6143,"Receive")</f>
        <v>QSObject:SwapTrade:w1~trade.6141:25788</v>
      </c>
      <c r="G6143" s="3">
        <f>_xll.QS.EVALUATE(C6143,F6143)</f>
        <v>52765.498306359645</v>
      </c>
      <c r="H6143" s="5" t="s">
        <v>6184</v>
      </c>
      <c r="I6143" s="7">
        <v>1614100</v>
      </c>
      <c r="J6143" s="8">
        <v>3.9100000000000003E-2</v>
      </c>
    </row>
    <row r="6144" spans="1:10" x14ac:dyDescent="0.25">
      <c r="A6144" s="5" t="s">
        <v>6178</v>
      </c>
      <c r="B6144" s="5" t="s">
        <v>8011</v>
      </c>
      <c r="C6144" s="6" t="str">
        <f>_xll.QS.CONTEXT.CREATE("market.6142",A6144,"USD","SOFR")</f>
        <v>QSObject:PricingContext:w1~market.6142:8509</v>
      </c>
      <c r="D6144" s="6" t="str">
        <f>_xll.QS.CONTEXT.ADD.CURVE(C6144,"SOFR",$K$2:$K$7,$L$2:$L$7,,,"Actual360","LogLinear",TRUE)</f>
        <v>QSObject:ContextInput:w1~input.qs_context_add_curve.2359132437744.6143.3.0:34360</v>
      </c>
      <c r="E6144" s="6" t="str">
        <f>_xll.QS.INSTRUMENT.SWAP("swap.6142",H6144,B6144,"USD","SOFR",I6144,J6144,0,"Actual360","Simple","Annual","Annual","Annual")</f>
        <v>QSObject:Swap:w1~swap.6142:8508</v>
      </c>
      <c r="F6144" s="6" t="str">
        <f>_xll.QS.TRADE.CREATE("trade.6142",E6144,A6144,"Receive")</f>
        <v>QSObject:SwapTrade:w1~trade.6142:25787</v>
      </c>
      <c r="G6144" s="3">
        <f>_xll.QS.EVALUATE(C6144,F6144)</f>
        <v>53583.30422882703</v>
      </c>
      <c r="H6144" s="5" t="s">
        <v>6185</v>
      </c>
      <c r="I6144" s="7">
        <v>1614200</v>
      </c>
      <c r="J6144" s="8">
        <v>3.9200000000000013E-2</v>
      </c>
    </row>
    <row r="6145" spans="1:10" x14ac:dyDescent="0.25">
      <c r="A6145" s="5" t="s">
        <v>6179</v>
      </c>
      <c r="B6145" s="5" t="s">
        <v>8012</v>
      </c>
      <c r="C6145" s="6" t="str">
        <f>_xll.QS.CONTEXT.CREATE("market.6143",A6145,"USD","SOFR")</f>
        <v>QSObject:PricingContext:w1~market.6143:8507</v>
      </c>
      <c r="D6145" s="6" t="str">
        <f>_xll.QS.CONTEXT.ADD.CURVE(C6145,"SOFR",$K$2:$K$7,$L$2:$L$7,,,"Actual360","LogLinear",TRUE)</f>
        <v>QSObject:ContextInput:w1~input.qs_context_add_curve.2359132437744.6144.3.0:34359</v>
      </c>
      <c r="E6145" s="6" t="str">
        <f>_xll.QS.INSTRUMENT.SWAP("swap.6143",H6145,B6145,"USD","SOFR",I6145,J6145,0,"Actual360","Simple","Annual","Annual","Annual")</f>
        <v>QSObject:Swap:w1~swap.6143:8506</v>
      </c>
      <c r="F6145" s="6" t="str">
        <f>_xll.QS.TRADE.CREATE("trade.6143",E6145,A6145,"Receive")</f>
        <v>QSObject:SwapTrade:w1~trade.6143:25786</v>
      </c>
      <c r="G6145" s="3">
        <f>_xll.QS.EVALUATE(C6145,F6145)</f>
        <v>54269.431951504703</v>
      </c>
      <c r="H6145" s="5" t="s">
        <v>6186</v>
      </c>
      <c r="I6145" s="7">
        <v>1614300</v>
      </c>
      <c r="J6145" s="8">
        <v>3.9300000000000002E-2</v>
      </c>
    </row>
    <row r="6146" spans="1:10" x14ac:dyDescent="0.25">
      <c r="A6146" s="5" t="s">
        <v>6180</v>
      </c>
      <c r="B6146" s="5" t="s">
        <v>8013</v>
      </c>
      <c r="C6146" s="6" t="str">
        <f>_xll.QS.CONTEXT.CREATE("market.6144",A6146,"USD","SOFR")</f>
        <v>QSObject:PricingContext:w1~market.6144:8505</v>
      </c>
      <c r="D6146" s="6" t="str">
        <f>_xll.QS.CONTEXT.ADD.CURVE(C6146,"SOFR",$K$2:$K$7,$L$2:$L$7,,,"Actual360","LogLinear",TRUE)</f>
        <v>QSObject:ContextInput:w1~input.qs_context_add_curve.2359132437744.6145.3.0:34358</v>
      </c>
      <c r="E6146" s="6" t="str">
        <f>_xll.QS.INSTRUMENT.SWAP("swap.6144",H6146,B6146,"USD","SOFR",I6146,J6146,0,"Actual360","Simple","Annual","Annual","Annual")</f>
        <v>QSObject:Swap:w1~swap.6144:8504</v>
      </c>
      <c r="F6146" s="6" t="str">
        <f>_xll.QS.TRADE.CREATE("trade.6144",E6146,A6146,"Receive")</f>
        <v>QSObject:SwapTrade:w1~trade.6144:25785</v>
      </c>
      <c r="G6146" s="3">
        <f>_xll.QS.EVALUATE(C6146,F6146)</f>
        <v>54884.176364678315</v>
      </c>
      <c r="H6146" s="5" t="s">
        <v>6187</v>
      </c>
      <c r="I6146" s="7">
        <v>1614400</v>
      </c>
      <c r="J6146" s="8">
        <v>3.9399999999999998E-2</v>
      </c>
    </row>
    <row r="6147" spans="1:10" x14ac:dyDescent="0.25">
      <c r="A6147" s="5" t="s">
        <v>6181</v>
      </c>
      <c r="B6147" s="5" t="s">
        <v>8014</v>
      </c>
      <c r="C6147" s="6" t="str">
        <f>_xll.QS.CONTEXT.CREATE("market.6145",A6147,"USD","SOFR")</f>
        <v>QSObject:PricingContext:w1~market.6145:8503</v>
      </c>
      <c r="D6147" s="6" t="str">
        <f>_xll.QS.CONTEXT.ADD.CURVE(C6147,"SOFR",$K$2:$K$7,$L$2:$L$7,,,"Actual360","LogLinear",TRUE)</f>
        <v>QSObject:ContextInput:w1~input.qs_context_add_curve.2359132437744.6146.3.0:34357</v>
      </c>
      <c r="E6147" s="6" t="str">
        <f>_xll.QS.INSTRUMENT.SWAP("swap.6145",H6147,B6147,"USD","SOFR",I6147,J6147,0,"Actual360","Simple","Annual","Annual","Annual")</f>
        <v>QSObject:Swap:w1~swap.6145:8502</v>
      </c>
      <c r="F6147" s="6" t="str">
        <f>_xll.QS.TRADE.CREATE("trade.6145",E6147,A6147,"Receive")</f>
        <v>QSObject:SwapTrade:w1~trade.6145:25784</v>
      </c>
      <c r="G6147" s="3">
        <f>_xll.QS.EVALUATE(C6147,F6147)</f>
        <v>55534.242078933843</v>
      </c>
      <c r="H6147" s="5" t="s">
        <v>6188</v>
      </c>
      <c r="I6147" s="7">
        <v>1614500</v>
      </c>
      <c r="J6147" s="8">
        <v>3.9500000000000007E-2</v>
      </c>
    </row>
    <row r="6148" spans="1:10" x14ac:dyDescent="0.25">
      <c r="A6148" s="5" t="s">
        <v>6182</v>
      </c>
      <c r="B6148" s="5" t="s">
        <v>8015</v>
      </c>
      <c r="C6148" s="6" t="str">
        <f>_xll.QS.CONTEXT.CREATE("market.6146",A6148,"USD","SOFR")</f>
        <v>QSObject:PricingContext:w1~market.6146:8501</v>
      </c>
      <c r="D6148" s="6" t="str">
        <f>_xll.QS.CONTEXT.ADD.CURVE(C6148,"SOFR",$K$2:$K$7,$L$2:$L$7,,,"Actual360","LogLinear",TRUE)</f>
        <v>QSObject:ContextInput:w1~input.qs_context_add_curve.2359132437744.6147.3.0:34356</v>
      </c>
      <c r="E6148" s="6" t="str">
        <f>_xll.QS.INSTRUMENT.SWAP("swap.6146",H6148,B6148,"USD","SOFR",I6148,J6148,0,"Actual360","Simple","Annual","Annual","Annual")</f>
        <v>QSObject:Swap:w1~swap.6146:8500</v>
      </c>
      <c r="F6148" s="6" t="str">
        <f>_xll.QS.TRADE.CREATE("trade.6146",E6148,A6148,"Receive")</f>
        <v>QSObject:SwapTrade:w1~trade.6146:25783</v>
      </c>
      <c r="G6148" s="3">
        <f>_xll.QS.EVALUATE(C6148,F6148)</f>
        <v>56353.243341140587</v>
      </c>
      <c r="H6148" s="5" t="s">
        <v>6189</v>
      </c>
      <c r="I6148" s="7">
        <v>1614600</v>
      </c>
      <c r="J6148" s="8">
        <v>3.9600000000000003E-2</v>
      </c>
    </row>
    <row r="6149" spans="1:10" x14ac:dyDescent="0.25">
      <c r="A6149" s="5" t="s">
        <v>6183</v>
      </c>
      <c r="B6149" s="5" t="s">
        <v>8016</v>
      </c>
      <c r="C6149" s="6" t="str">
        <f>_xll.QS.CONTEXT.CREATE("market.6147",A6149,"USD","SOFR")</f>
        <v>QSObject:PricingContext:w1~market.6147:8499</v>
      </c>
      <c r="D6149" s="6" t="str">
        <f>_xll.QS.CONTEXT.ADD.CURVE(C6149,"SOFR",$K$2:$K$7,$L$2:$L$7,,,"Actual360","LogLinear",TRUE)</f>
        <v>QSObject:ContextInput:w1~input.qs_context_add_curve.2359132437744.6148.3.0:34355</v>
      </c>
      <c r="E6149" s="6" t="str">
        <f>_xll.QS.INSTRUMENT.SWAP("swap.6147",H6149,B6149,"USD","SOFR",I6149,J6149,0,"Actual360","Simple","Annual","Annual","Annual")</f>
        <v>QSObject:Swap:w1~swap.6147:8498</v>
      </c>
      <c r="F6149" s="6" t="str">
        <f>_xll.QS.TRADE.CREATE("trade.6147",E6149,A6149,"Receive")</f>
        <v>QSObject:SwapTrade:w1~trade.6147:25782</v>
      </c>
      <c r="G6149" s="3">
        <f>_xll.QS.EVALUATE(C6149,F6149)</f>
        <v>57134.453918092127</v>
      </c>
      <c r="H6149" s="5" t="s">
        <v>6190</v>
      </c>
      <c r="I6149" s="7">
        <v>1614700</v>
      </c>
      <c r="J6149" s="8">
        <v>3.9700000000000013E-2</v>
      </c>
    </row>
    <row r="6150" spans="1:10" x14ac:dyDescent="0.25">
      <c r="A6150" s="5" t="s">
        <v>6184</v>
      </c>
      <c r="B6150" s="5" t="s">
        <v>8017</v>
      </c>
      <c r="C6150" s="6" t="str">
        <f>_xll.QS.CONTEXT.CREATE("market.6148",A6150,"USD","SOFR")</f>
        <v>QSObject:PricingContext:w1~market.6148:8497</v>
      </c>
      <c r="D6150" s="6" t="str">
        <f>_xll.QS.CONTEXT.ADD.CURVE(C6150,"SOFR",$K$2:$K$7,$L$2:$L$7,,,"Actual360","LogLinear",TRUE)</f>
        <v>QSObject:ContextInput:w1~input.qs_context_add_curve.2359132437744.6149.3.0:34354</v>
      </c>
      <c r="E6150" s="6" t="str">
        <f>_xll.QS.INSTRUMENT.SWAP("swap.6148",H6150,B6150,"USD","SOFR",I6150,J6150,0,"Actual360","Simple","Annual","Annual","Annual")</f>
        <v>QSObject:Swap:w1~swap.6148:8496</v>
      </c>
      <c r="F6150" s="6" t="str">
        <f>_xll.QS.TRADE.CREATE("trade.6148",E6150,A6150,"Receive")</f>
        <v>QSObject:SwapTrade:w1~trade.6148:25781</v>
      </c>
      <c r="G6150" s="3">
        <f>_xll.QS.EVALUATE(C6150,F6150)</f>
        <v>58000.90691178495</v>
      </c>
      <c r="H6150" s="5" t="s">
        <v>6191</v>
      </c>
      <c r="I6150" s="7">
        <v>1614800</v>
      </c>
      <c r="J6150" s="8">
        <v>3.9800000000000002E-2</v>
      </c>
    </row>
    <row r="6151" spans="1:10" x14ac:dyDescent="0.25">
      <c r="A6151" s="5" t="s">
        <v>6185</v>
      </c>
      <c r="B6151" s="5" t="s">
        <v>8018</v>
      </c>
      <c r="C6151" s="6" t="str">
        <f>_xll.QS.CONTEXT.CREATE("market.6149",A6151,"USD","SOFR")</f>
        <v>QSObject:PricingContext:w1~market.6149:8495</v>
      </c>
      <c r="D6151" s="6" t="str">
        <f>_xll.QS.CONTEXT.ADD.CURVE(C6151,"SOFR",$K$2:$K$7,$L$2:$L$7,,,"Actual360","LogLinear",TRUE)</f>
        <v>QSObject:ContextInput:w1~input.qs_context_add_curve.2359132437744.6150.3.0:34353</v>
      </c>
      <c r="E6151" s="6" t="str">
        <f>_xll.QS.INSTRUMENT.SWAP("swap.6149",H6151,B6151,"USD","SOFR",I6151,J6151,0,"Actual360","Simple","Annual","Annual","Annual")</f>
        <v>QSObject:Swap:w1~swap.6149:8494</v>
      </c>
      <c r="F6151" s="6" t="str">
        <f>_xll.QS.TRADE.CREATE("trade.6149",E6151,A6151,"Receive")</f>
        <v>QSObject:SwapTrade:w1~trade.6149:25780</v>
      </c>
      <c r="G6151" s="3">
        <f>_xll.QS.EVALUATE(C6151,F6151)</f>
        <v>58819.636698160873</v>
      </c>
      <c r="H6151" s="5" t="s">
        <v>6192</v>
      </c>
      <c r="I6151" s="7">
        <v>1614900</v>
      </c>
      <c r="J6151" s="8">
        <v>3.9899999999999998E-2</v>
      </c>
    </row>
    <row r="6152" spans="1:10" x14ac:dyDescent="0.25">
      <c r="A6152" s="5" t="s">
        <v>6186</v>
      </c>
      <c r="B6152" s="5" t="s">
        <v>8019</v>
      </c>
      <c r="C6152" s="6" t="str">
        <f>_xll.QS.CONTEXT.CREATE("market.6150",A6152,"USD","SOFR")</f>
        <v>QSObject:PricingContext:w1~market.6150:8493</v>
      </c>
      <c r="D6152" s="6" t="str">
        <f>_xll.QS.CONTEXT.ADD.CURVE(C6152,"SOFR",$K$2:$K$7,$L$2:$L$7,,,"Actual360","LogLinear",TRUE)</f>
        <v>QSObject:ContextInput:w1~input.qs_context_add_curve.2359132437744.6151.3.0:34352</v>
      </c>
      <c r="E6152" s="6" t="str">
        <f>_xll.QS.INSTRUMENT.SWAP("swap.6150",H6152,B6152,"USD","SOFR",I6152,J6152,0,"Actual360","Simple","Annual","Annual","Annual")</f>
        <v>QSObject:Swap:w1~swap.6150:8492</v>
      </c>
      <c r="F6152" s="6" t="str">
        <f>_xll.QS.TRADE.CREATE("trade.6150",E6152,A6152,"Receive")</f>
        <v>QSObject:SwapTrade:w1~trade.6150:25779</v>
      </c>
      <c r="G6152" s="3">
        <f>_xll.QS.EVALUATE(C6152,F6152)</f>
        <v>22269.230001457792</v>
      </c>
      <c r="H6152" s="5" t="s">
        <v>6193</v>
      </c>
      <c r="I6152" s="7">
        <v>1615000</v>
      </c>
      <c r="J6152" s="8">
        <v>3.5000000000000003E-2</v>
      </c>
    </row>
    <row r="6153" spans="1:10" x14ac:dyDescent="0.25">
      <c r="A6153" s="5" t="s">
        <v>6187</v>
      </c>
      <c r="B6153" s="5" t="s">
        <v>8020</v>
      </c>
      <c r="C6153" s="6" t="str">
        <f>_xll.QS.CONTEXT.CREATE("market.6151",A6153,"USD","SOFR")</f>
        <v>QSObject:PricingContext:w1~market.6151:8491</v>
      </c>
      <c r="D6153" s="6" t="str">
        <f>_xll.QS.CONTEXT.ADD.CURVE(C6153,"SOFR",$K$2:$K$7,$L$2:$L$7,,,"Actual360","LogLinear",TRUE)</f>
        <v>QSObject:ContextInput:w1~input.qs_context_add_curve.2359132437744.6152.3.0:34351</v>
      </c>
      <c r="E6153" s="6" t="str">
        <f>_xll.QS.INSTRUMENT.SWAP("swap.6151",H6153,B6153,"USD","SOFR",I6153,J6153,0,"Actual360","Simple","Annual","Annual","Annual")</f>
        <v>QSObject:Swap:w1~swap.6151:8490</v>
      </c>
      <c r="F6153" s="6" t="str">
        <f>_xll.QS.TRADE.CREATE("trade.6151",E6153,A6153,"Receive")</f>
        <v>QSObject:SwapTrade:w1~trade.6151:25778</v>
      </c>
      <c r="G6153" s="3">
        <f>_xll.QS.EVALUATE(C6153,F6153)</f>
        <v>22770.170510296753</v>
      </c>
      <c r="H6153" s="5" t="s">
        <v>6194</v>
      </c>
      <c r="I6153" s="7">
        <v>1615100</v>
      </c>
      <c r="J6153" s="8">
        <v>3.5100000000000013E-2</v>
      </c>
    </row>
    <row r="6154" spans="1:10" x14ac:dyDescent="0.25">
      <c r="A6154" s="5" t="s">
        <v>6188</v>
      </c>
      <c r="B6154" s="5" t="s">
        <v>8021</v>
      </c>
      <c r="C6154" s="6" t="str">
        <f>_xll.QS.CONTEXT.CREATE("market.6152",A6154,"USD","SOFR")</f>
        <v>QSObject:PricingContext:w1~market.6152:8489</v>
      </c>
      <c r="D6154" s="6" t="str">
        <f>_xll.QS.CONTEXT.ADD.CURVE(C6154,"SOFR",$K$2:$K$7,$L$2:$L$7,,,"Actual360","LogLinear",TRUE)</f>
        <v>QSObject:ContextInput:w1~input.qs_context_add_curve.2359132437744.6153.3.0:34350</v>
      </c>
      <c r="E6154" s="6" t="str">
        <f>_xll.QS.INSTRUMENT.SWAP("swap.6152",H6154,B6154,"USD","SOFR",I6154,J6154,0,"Actual360","Simple","Annual","Annual","Annual")</f>
        <v>QSObject:Swap:w1~swap.6152:8488</v>
      </c>
      <c r="F6154" s="6" t="str">
        <f>_xll.QS.TRADE.CREATE("trade.6152",E6154,A6154,"Receive")</f>
        <v>QSObject:SwapTrade:w1~trade.6152:25777</v>
      </c>
      <c r="G6154" s="3">
        <f>_xll.QS.EVALUATE(C6154,F6154)</f>
        <v>23518.619750535639</v>
      </c>
      <c r="H6154" s="5" t="s">
        <v>6195</v>
      </c>
      <c r="I6154" s="7">
        <v>1615200</v>
      </c>
      <c r="J6154" s="8">
        <v>3.5200000000000002E-2</v>
      </c>
    </row>
    <row r="6155" spans="1:10" x14ac:dyDescent="0.25">
      <c r="A6155" s="5" t="s">
        <v>6189</v>
      </c>
      <c r="B6155" s="5" t="s">
        <v>8022</v>
      </c>
      <c r="C6155" s="6" t="str">
        <f>_xll.QS.CONTEXT.CREATE("market.6153",A6155,"USD","SOFR")</f>
        <v>QSObject:PricingContext:w1~market.6153:8487</v>
      </c>
      <c r="D6155" s="6" t="str">
        <f>_xll.QS.CONTEXT.ADD.CURVE(C6155,"SOFR",$K$2:$K$7,$L$2:$L$7,,,"Actual360","LogLinear",TRUE)</f>
        <v>QSObject:ContextInput:w1~input.qs_context_add_curve.2359132437744.6154.3.0:34349</v>
      </c>
      <c r="E6155" s="6" t="str">
        <f>_xll.QS.INSTRUMENT.SWAP("swap.6153",H6155,B6155,"USD","SOFR",I6155,J6155,0,"Actual360","Simple","Annual","Annual","Annual")</f>
        <v>QSObject:Swap:w1~swap.6153:8486</v>
      </c>
      <c r="F6155" s="6" t="str">
        <f>_xll.QS.TRADE.CREATE("trade.6153",E6155,A6155,"Receive")</f>
        <v>QSObject:SwapTrade:w1~trade.6153:25776</v>
      </c>
      <c r="G6155" s="3">
        <f>_xll.QS.EVALUATE(C6155,F6155)</f>
        <v>24332.89116114749</v>
      </c>
      <c r="H6155" s="5" t="s">
        <v>6196</v>
      </c>
      <c r="I6155" s="7">
        <v>1615300</v>
      </c>
      <c r="J6155" s="8">
        <v>3.5299999999999998E-2</v>
      </c>
    </row>
    <row r="6156" spans="1:10" x14ac:dyDescent="0.25">
      <c r="A6156" s="5" t="s">
        <v>6190</v>
      </c>
      <c r="B6156" s="5" t="s">
        <v>8023</v>
      </c>
      <c r="C6156" s="6" t="str">
        <f>_xll.QS.CONTEXT.CREATE("market.6154",A6156,"USD","SOFR")</f>
        <v>QSObject:PricingContext:w1~market.6154:8485</v>
      </c>
      <c r="D6156" s="6" t="str">
        <f>_xll.QS.CONTEXT.ADD.CURVE(C6156,"SOFR",$K$2:$K$7,$L$2:$L$7,,,"Actual360","LogLinear",TRUE)</f>
        <v>QSObject:ContextInput:w1~input.qs_context_add_curve.2359132437744.6155.3.0:34348</v>
      </c>
      <c r="E6156" s="6" t="str">
        <f>_xll.QS.INSTRUMENT.SWAP("swap.6154",H6156,B6156,"USD","SOFR",I6156,J6156,0,"Actual360","Simple","Annual","Annual","Annual")</f>
        <v>QSObject:Swap:w1~swap.6154:8484</v>
      </c>
      <c r="F6156" s="6" t="str">
        <f>_xll.QS.TRADE.CREATE("trade.6154",E6156,A6156,"Receive")</f>
        <v>QSObject:SwapTrade:w1~trade.6154:25775</v>
      </c>
      <c r="G6156" s="3">
        <f>_xll.QS.EVALUATE(C6156,F6156)</f>
        <v>25306.288108628585</v>
      </c>
      <c r="H6156" s="5" t="s">
        <v>6197</v>
      </c>
      <c r="I6156" s="7">
        <v>1615400</v>
      </c>
      <c r="J6156" s="8">
        <v>3.5400000000000001E-2</v>
      </c>
    </row>
    <row r="6157" spans="1:10" x14ac:dyDescent="0.25">
      <c r="A6157" s="5" t="s">
        <v>6191</v>
      </c>
      <c r="B6157" s="5" t="s">
        <v>8024</v>
      </c>
      <c r="C6157" s="6" t="str">
        <f>_xll.QS.CONTEXT.CREATE("market.6155",A6157,"USD","SOFR")</f>
        <v>QSObject:PricingContext:w1~market.6155:8483</v>
      </c>
      <c r="D6157" s="6" t="str">
        <f>_xll.QS.CONTEXT.ADD.CURVE(C6157,"SOFR",$K$2:$K$7,$L$2:$L$7,,,"Actual360","LogLinear",TRUE)</f>
        <v>QSObject:ContextInput:w1~input.qs_context_add_curve.2359132437744.6156.3.0:34347</v>
      </c>
      <c r="E6157" s="6" t="str">
        <f>_xll.QS.INSTRUMENT.SWAP("swap.6155",H6157,B6157,"USD","SOFR",I6157,J6157,0,"Actual360","Simple","Annual","Annual","Annual")</f>
        <v>QSObject:Swap:w1~swap.6155:8482</v>
      </c>
      <c r="F6157" s="6" t="str">
        <f>_xll.QS.TRADE.CREATE("trade.6155",E6157,A6157,"Receive")</f>
        <v>QSObject:SwapTrade:w1~trade.6155:25774</v>
      </c>
      <c r="G6157" s="3">
        <f>_xll.QS.EVALUATE(C6157,F6157)</f>
        <v>26051.673764105864</v>
      </c>
      <c r="H6157" s="5" t="s">
        <v>6198</v>
      </c>
      <c r="I6157" s="7">
        <v>1615500</v>
      </c>
      <c r="J6157" s="8">
        <v>3.5499999999999997E-2</v>
      </c>
    </row>
    <row r="6158" spans="1:10" x14ac:dyDescent="0.25">
      <c r="A6158" s="5" t="s">
        <v>6192</v>
      </c>
      <c r="B6158" s="5" t="s">
        <v>8025</v>
      </c>
      <c r="C6158" s="6" t="str">
        <f>_xll.QS.CONTEXT.CREATE("market.6156",A6158,"USD","SOFR")</f>
        <v>QSObject:PricingContext:w1~market.6156:8481</v>
      </c>
      <c r="D6158" s="6" t="str">
        <f>_xll.QS.CONTEXT.ADD.CURVE(C6158,"SOFR",$K$2:$K$7,$L$2:$L$7,,,"Actual360","LogLinear",TRUE)</f>
        <v>QSObject:ContextInput:w1~input.qs_context_add_curve.2359132437744.6157.3.0:34346</v>
      </c>
      <c r="E6158" s="6" t="str">
        <f>_xll.QS.INSTRUMENT.SWAP("swap.6156",H6158,B6158,"USD","SOFR",I6158,J6158,0,"Actual360","Simple","Annual","Annual","Annual")</f>
        <v>QSObject:Swap:w1~swap.6156:8480</v>
      </c>
      <c r="F6158" s="6" t="str">
        <f>_xll.QS.TRADE.CREATE("trade.6156",E6158,A6158,"Receive")</f>
        <v>QSObject:SwapTrade:w1~trade.6156:25773</v>
      </c>
      <c r="G6158" s="3">
        <f>_xll.QS.EVALUATE(C6158,F6158)</f>
        <v>26809.134387316786</v>
      </c>
      <c r="H6158" s="5" t="s">
        <v>6199</v>
      </c>
      <c r="I6158" s="7">
        <v>1615600</v>
      </c>
      <c r="J6158" s="8">
        <v>3.5600000000000007E-2</v>
      </c>
    </row>
    <row r="6159" spans="1:10" x14ac:dyDescent="0.25">
      <c r="A6159" s="5" t="s">
        <v>6193</v>
      </c>
      <c r="B6159" s="5" t="s">
        <v>8026</v>
      </c>
      <c r="C6159" s="6" t="str">
        <f>_xll.QS.CONTEXT.CREATE("market.6157",A6159,"USD","SOFR")</f>
        <v>QSObject:PricingContext:w1~market.6157:8479</v>
      </c>
      <c r="D6159" s="6" t="str">
        <f>_xll.QS.CONTEXT.ADD.CURVE(C6159,"SOFR",$K$2:$K$7,$L$2:$L$7,,,"Actual360","LogLinear",TRUE)</f>
        <v>QSObject:ContextInput:w1~input.qs_context_add_curve.2359132437744.6158.3.0:34345</v>
      </c>
      <c r="E6159" s="6" t="str">
        <f>_xll.QS.INSTRUMENT.SWAP("swap.6157",H6159,B6159,"USD","SOFR",I6159,J6159,0,"Actual360","Simple","Annual","Annual","Annual")</f>
        <v>QSObject:Swap:w1~swap.6157:8478</v>
      </c>
      <c r="F6159" s="6" t="str">
        <f>_xll.QS.TRADE.CREATE("trade.6157",E6159,A6159,"Receive")</f>
        <v>QSObject:SwapTrade:w1~trade.6157:25772</v>
      </c>
      <c r="G6159" s="3">
        <f>_xll.QS.EVALUATE(C6159,F6159)</f>
        <v>27494.612838755434</v>
      </c>
      <c r="H6159" s="5" t="s">
        <v>6200</v>
      </c>
      <c r="I6159" s="7">
        <v>1615700</v>
      </c>
      <c r="J6159" s="8">
        <v>3.5700000000000003E-2</v>
      </c>
    </row>
    <row r="6160" spans="1:10" x14ac:dyDescent="0.25">
      <c r="A6160" s="5" t="s">
        <v>6194</v>
      </c>
      <c r="B6160" s="5" t="s">
        <v>8027</v>
      </c>
      <c r="C6160" s="6" t="str">
        <f>_xll.QS.CONTEXT.CREATE("market.6158",A6160,"USD","SOFR")</f>
        <v>QSObject:PricingContext:w1~market.6158:8477</v>
      </c>
      <c r="D6160" s="6" t="str">
        <f>_xll.QS.CONTEXT.ADD.CURVE(C6160,"SOFR",$K$2:$K$7,$L$2:$L$7,,,"Actual360","LogLinear",TRUE)</f>
        <v>QSObject:ContextInput:w1~input.qs_context_add_curve.2359132437744.6159.3.0:34344</v>
      </c>
      <c r="E6160" s="6" t="str">
        <f>_xll.QS.INSTRUMENT.SWAP("swap.6158",H6160,B6160,"USD","SOFR",I6160,J6160,0,"Actual360","Simple","Annual","Annual","Annual")</f>
        <v>QSObject:Swap:w1~swap.6158:8476</v>
      </c>
      <c r="F6160" s="6" t="str">
        <f>_xll.QS.TRADE.CREATE("trade.6158",E6160,A6160,"Receive")</f>
        <v>QSObject:SwapTrade:w1~trade.6158:25771</v>
      </c>
      <c r="G6160" s="3">
        <f>_xll.QS.EVALUATE(C6160,F6160)</f>
        <v>28139.838253771195</v>
      </c>
      <c r="H6160" s="5" t="s">
        <v>6201</v>
      </c>
      <c r="I6160" s="7">
        <v>1615800</v>
      </c>
      <c r="J6160" s="8">
        <v>3.5800000000000012E-2</v>
      </c>
    </row>
    <row r="6161" spans="1:10" x14ac:dyDescent="0.25">
      <c r="A6161" s="5" t="s">
        <v>6195</v>
      </c>
      <c r="B6161" s="5" t="s">
        <v>8028</v>
      </c>
      <c r="C6161" s="6" t="str">
        <f>_xll.QS.CONTEXT.CREATE("market.6159",A6161,"USD","SOFR")</f>
        <v>QSObject:PricingContext:w1~market.6159:8475</v>
      </c>
      <c r="D6161" s="6" t="str">
        <f>_xll.QS.CONTEXT.ADD.CURVE(C6161,"SOFR",$K$2:$K$7,$L$2:$L$7,,,"Actual360","LogLinear",TRUE)</f>
        <v>QSObject:ContextInput:w1~input.qs_context_add_curve.2359132437744.6160.3.0:34343</v>
      </c>
      <c r="E6161" s="6" t="str">
        <f>_xll.QS.INSTRUMENT.SWAP("swap.6159",H6161,B6161,"USD","SOFR",I6161,J6161,0,"Actual360","Simple","Annual","Annual","Annual")</f>
        <v>QSObject:Swap:w1~swap.6159:8474</v>
      </c>
      <c r="F6161" s="6" t="str">
        <f>_xll.QS.TRADE.CREATE("trade.6159",E6161,A6161,"Receive")</f>
        <v>QSObject:SwapTrade:w1~trade.6159:25770</v>
      </c>
      <c r="G6161" s="3">
        <f>_xll.QS.EVALUATE(C6161,F6161)</f>
        <v>28747.218586776406</v>
      </c>
      <c r="H6161" s="5" t="s">
        <v>6202</v>
      </c>
      <c r="I6161" s="7">
        <v>1615900</v>
      </c>
      <c r="J6161" s="8">
        <v>3.5900000000000001E-2</v>
      </c>
    </row>
    <row r="6162" spans="1:10" x14ac:dyDescent="0.25">
      <c r="A6162" s="5" t="s">
        <v>6196</v>
      </c>
      <c r="B6162" s="5" t="s">
        <v>8029</v>
      </c>
      <c r="C6162" s="6" t="str">
        <f>_xll.QS.CONTEXT.CREATE("market.6160",A6162,"USD","SOFR")</f>
        <v>QSObject:PricingContext:w1~market.6160:8473</v>
      </c>
      <c r="D6162" s="6" t="str">
        <f>_xll.QS.CONTEXT.ADD.CURVE(C6162,"SOFR",$K$2:$K$7,$L$2:$L$7,,,"Actual360","LogLinear",TRUE)</f>
        <v>QSObject:ContextInput:w1~input.qs_context_add_curve.2359132437744.6161.3.0:34342</v>
      </c>
      <c r="E6162" s="6" t="str">
        <f>_xll.QS.INSTRUMENT.SWAP("swap.6160",H6162,B6162,"USD","SOFR",I6162,J6162,0,"Actual360","Simple","Annual","Annual","Annual")</f>
        <v>QSObject:Swap:w1~swap.6160:8472</v>
      </c>
      <c r="F6162" s="6" t="str">
        <f>_xll.QS.TRADE.CREATE("trade.6160",E6162,A6162,"Receive")</f>
        <v>QSObject:SwapTrade:w1~trade.6160:25769</v>
      </c>
      <c r="G6162" s="3">
        <f>_xll.QS.EVALUATE(C6162,F6162)</f>
        <v>29562.178729579995</v>
      </c>
      <c r="H6162" s="5" t="s">
        <v>6203</v>
      </c>
      <c r="I6162" s="7">
        <v>1616000</v>
      </c>
      <c r="J6162" s="8">
        <v>3.5999999999999997E-2</v>
      </c>
    </row>
    <row r="6163" spans="1:10" x14ac:dyDescent="0.25">
      <c r="A6163" s="5" t="s">
        <v>6197</v>
      </c>
      <c r="B6163" s="5" t="s">
        <v>8030</v>
      </c>
      <c r="C6163" s="6" t="str">
        <f>_xll.QS.CONTEXT.CREATE("market.6161",A6163,"USD","SOFR")</f>
        <v>QSObject:PricingContext:w1~market.6161:8471</v>
      </c>
      <c r="D6163" s="6" t="str">
        <f>_xll.QS.CONTEXT.ADD.CURVE(C6163,"SOFR",$K$2:$K$7,$L$2:$L$7,,,"Actual360","LogLinear",TRUE)</f>
        <v>QSObject:ContextInput:w1~input.qs_context_add_curve.2359132437744.6162.3.0:34341</v>
      </c>
      <c r="E6163" s="6" t="str">
        <f>_xll.QS.INSTRUMENT.SWAP("swap.6161",H6163,B6163,"USD","SOFR",I6163,J6163,0,"Actual360","Simple","Annual","Annual","Annual")</f>
        <v>QSObject:Swap:w1~swap.6161:8470</v>
      </c>
      <c r="F6163" s="6" t="str">
        <f>_xll.QS.TRADE.CREATE("trade.6161",E6163,A6163,"Receive")</f>
        <v>QSObject:SwapTrade:w1~trade.6161:25768</v>
      </c>
      <c r="G6163" s="3">
        <f>_xll.QS.EVALUATE(C6163,F6163)</f>
        <v>30355.544286298638</v>
      </c>
      <c r="H6163" s="5" t="s">
        <v>6204</v>
      </c>
      <c r="I6163" s="7">
        <v>1616100</v>
      </c>
      <c r="J6163" s="8">
        <v>3.61E-2</v>
      </c>
    </row>
    <row r="6164" spans="1:10" x14ac:dyDescent="0.25">
      <c r="A6164" s="5" t="s">
        <v>6198</v>
      </c>
      <c r="B6164" s="5" t="s">
        <v>8031</v>
      </c>
      <c r="C6164" s="6" t="str">
        <f>_xll.QS.CONTEXT.CREATE("market.6162",A6164,"USD","SOFR")</f>
        <v>QSObject:PricingContext:w1~market.6162:8469</v>
      </c>
      <c r="D6164" s="6" t="str">
        <f>_xll.QS.CONTEXT.ADD.CURVE(C6164,"SOFR",$K$2:$K$7,$L$2:$L$7,,,"Actual360","LogLinear",TRUE)</f>
        <v>QSObject:ContextInput:w1~input.qs_context_add_curve.2359132437744.6163.3.0:34340</v>
      </c>
      <c r="E6164" s="6" t="str">
        <f>_xll.QS.INSTRUMENT.SWAP("swap.6162",H6164,B6164,"USD","SOFR",I6164,J6164,0,"Actual360","Simple","Annual","Annual","Annual")</f>
        <v>QSObject:Swap:w1~swap.6162:8468</v>
      </c>
      <c r="F6164" s="6" t="str">
        <f>_xll.QS.TRADE.CREATE("trade.6162",E6164,A6164,"Receive")</f>
        <v>QSObject:SwapTrade:w1~trade.6162:25767</v>
      </c>
      <c r="G6164" s="3">
        <f>_xll.QS.EVALUATE(C6164,F6164)</f>
        <v>31220.623242018184</v>
      </c>
      <c r="H6164" s="5" t="s">
        <v>6205</v>
      </c>
      <c r="I6164" s="7">
        <v>1616200</v>
      </c>
      <c r="J6164" s="8">
        <v>3.6200000000000003E-2</v>
      </c>
    </row>
    <row r="6165" spans="1:10" x14ac:dyDescent="0.25">
      <c r="A6165" s="5" t="s">
        <v>6199</v>
      </c>
      <c r="B6165" s="5" t="s">
        <v>8032</v>
      </c>
      <c r="C6165" s="6" t="str">
        <f>_xll.QS.CONTEXT.CREATE("market.6163",A6165,"USD","SOFR")</f>
        <v>QSObject:PricingContext:w1~market.6163:8467</v>
      </c>
      <c r="D6165" s="6" t="str">
        <f>_xll.QS.CONTEXT.ADD.CURVE(C6165,"SOFR",$K$2:$K$7,$L$2:$L$7,,,"Actual360","LogLinear",TRUE)</f>
        <v>QSObject:ContextInput:w1~input.qs_context_add_curve.2359132437744.6164.3.0:34339</v>
      </c>
      <c r="E6165" s="6" t="str">
        <f>_xll.QS.INSTRUMENT.SWAP("swap.6163",H6165,B6165,"USD","SOFR",I6165,J6165,0,"Actual360","Simple","Annual","Annual","Annual")</f>
        <v>QSObject:Swap:w1~swap.6163:8466</v>
      </c>
      <c r="F6165" s="6" t="str">
        <f>_xll.QS.TRADE.CREATE("trade.6163",E6165,A6165,"Receive")</f>
        <v>QSObject:SwapTrade:w1~trade.6163:25766</v>
      </c>
      <c r="G6165" s="3">
        <f>_xll.QS.EVALUATE(C6165,F6165)</f>
        <v>32017.656896109896</v>
      </c>
      <c r="H6165" s="5" t="s">
        <v>6206</v>
      </c>
      <c r="I6165" s="7">
        <v>1616300</v>
      </c>
      <c r="J6165" s="8">
        <v>3.6300000000000013E-2</v>
      </c>
    </row>
    <row r="6166" spans="1:10" x14ac:dyDescent="0.25">
      <c r="A6166" s="5" t="s">
        <v>6200</v>
      </c>
      <c r="B6166" s="5" t="s">
        <v>8033</v>
      </c>
      <c r="C6166" s="6" t="str">
        <f>_xll.QS.CONTEXT.CREATE("market.6164",A6166,"USD","SOFR")</f>
        <v>QSObject:PricingContext:w1~market.6164:8465</v>
      </c>
      <c r="D6166" s="6" t="str">
        <f>_xll.QS.CONTEXT.ADD.CURVE(C6166,"SOFR",$K$2:$K$7,$L$2:$L$7,,,"Actual360","LogLinear",TRUE)</f>
        <v>QSObject:ContextInput:w1~input.qs_context_add_curve.2359132437744.6165.3.0:34338</v>
      </c>
      <c r="E6166" s="6" t="str">
        <f>_xll.QS.INSTRUMENT.SWAP("swap.6164",H6166,B6166,"USD","SOFR",I6166,J6166,0,"Actual360","Simple","Annual","Annual","Annual")</f>
        <v>QSObject:Swap:w1~swap.6164:8464</v>
      </c>
      <c r="F6166" s="6" t="str">
        <f>_xll.QS.TRADE.CREATE("trade.6164",E6166,A6166,"Receive")</f>
        <v>QSObject:SwapTrade:w1~trade.6164:25765</v>
      </c>
      <c r="G6166" s="3">
        <f>_xll.QS.EVALUATE(C6166,F6166)</f>
        <v>32680.433050082655</v>
      </c>
      <c r="H6166" s="5" t="s">
        <v>6207</v>
      </c>
      <c r="I6166" s="7">
        <v>1616400</v>
      </c>
      <c r="J6166" s="8">
        <v>3.6400000000000002E-2</v>
      </c>
    </row>
    <row r="6167" spans="1:10" x14ac:dyDescent="0.25">
      <c r="A6167" s="5" t="s">
        <v>6201</v>
      </c>
      <c r="B6167" s="5" t="s">
        <v>8034</v>
      </c>
      <c r="C6167" s="6" t="str">
        <f>_xll.QS.CONTEXT.CREATE("market.6165",A6167,"USD","SOFR")</f>
        <v>QSObject:PricingContext:w1~market.6165:8463</v>
      </c>
      <c r="D6167" s="6" t="str">
        <f>_xll.QS.CONTEXT.ADD.CURVE(C6167,"SOFR",$K$2:$K$7,$L$2:$L$7,,,"Actual360","LogLinear",TRUE)</f>
        <v>QSObject:ContextInput:w1~input.qs_context_add_curve.2359132437744.6166.3.0:34337</v>
      </c>
      <c r="E6167" s="6" t="str">
        <f>_xll.QS.INSTRUMENT.SWAP("swap.6165",H6167,B6167,"USD","SOFR",I6167,J6167,0,"Actual360","Simple","Annual","Annual","Annual")</f>
        <v>QSObject:Swap:w1~swap.6165:8462</v>
      </c>
      <c r="F6167" s="6" t="str">
        <f>_xll.QS.TRADE.CREATE("trade.6165",E6167,A6167,"Receive")</f>
        <v>QSObject:SwapTrade:w1~trade.6165:25764</v>
      </c>
      <c r="G6167" s="3">
        <f>_xll.QS.EVALUATE(C6167,F6167)</f>
        <v>33365.181764833476</v>
      </c>
      <c r="H6167" s="5" t="s">
        <v>6208</v>
      </c>
      <c r="I6167" s="7">
        <v>1616500</v>
      </c>
      <c r="J6167" s="8">
        <v>3.6499999999999998E-2</v>
      </c>
    </row>
    <row r="6168" spans="1:10" x14ac:dyDescent="0.25">
      <c r="A6168" s="5" t="s">
        <v>6202</v>
      </c>
      <c r="B6168" s="5" t="s">
        <v>8035</v>
      </c>
      <c r="C6168" s="6" t="str">
        <f>_xll.QS.CONTEXT.CREATE("market.6166",A6168,"USD","SOFR")</f>
        <v>QSObject:PricingContext:w1~market.6166:8461</v>
      </c>
      <c r="D6168" s="6" t="str">
        <f>_xll.QS.CONTEXT.ADD.CURVE(C6168,"SOFR",$K$2:$K$7,$L$2:$L$7,,,"Actual360","LogLinear",TRUE)</f>
        <v>QSObject:ContextInput:w1~input.qs_context_add_curve.2359132437744.6167.3.0:34336</v>
      </c>
      <c r="E6168" s="6" t="str">
        <f>_xll.QS.INSTRUMENT.SWAP("swap.6166",H6168,B6168,"USD","SOFR",I6168,J6168,0,"Actual360","Simple","Annual","Annual","Annual")</f>
        <v>QSObject:Swap:w1~swap.6166:8460</v>
      </c>
      <c r="F6168" s="6" t="str">
        <f>_xll.QS.TRADE.CREATE("trade.6166",E6168,A6168,"Receive")</f>
        <v>QSObject:SwapTrade:w1~trade.6166:25763</v>
      </c>
      <c r="G6168" s="3">
        <f>_xll.QS.EVALUATE(C6168,F6168)</f>
        <v>33981.221976463719</v>
      </c>
      <c r="H6168" s="5" t="s">
        <v>6209</v>
      </c>
      <c r="I6168" s="7">
        <v>1616600</v>
      </c>
      <c r="J6168" s="8">
        <v>3.6600000000000001E-2</v>
      </c>
    </row>
    <row r="6169" spans="1:10" x14ac:dyDescent="0.25">
      <c r="A6169" s="5" t="s">
        <v>6203</v>
      </c>
      <c r="B6169" s="5" t="s">
        <v>8036</v>
      </c>
      <c r="C6169" s="6" t="str">
        <f>_xll.QS.CONTEXT.CREATE("market.6167",A6169,"USD","SOFR")</f>
        <v>QSObject:PricingContext:w1~market.6167:8459</v>
      </c>
      <c r="D6169" s="6" t="str">
        <f>_xll.QS.CONTEXT.ADD.CURVE(C6169,"SOFR",$K$2:$K$7,$L$2:$L$7,,,"Actual360","LogLinear",TRUE)</f>
        <v>QSObject:ContextInput:w1~input.qs_context_add_curve.2359132437744.6168.3.0:34335</v>
      </c>
      <c r="E6169" s="6" t="str">
        <f>_xll.QS.INSTRUMENT.SWAP("swap.6167",H6169,B6169,"USD","SOFR",I6169,J6169,0,"Actual360","Simple","Annual","Annual","Annual")</f>
        <v>QSObject:Swap:w1~swap.6167:8458</v>
      </c>
      <c r="F6169" s="6" t="str">
        <f>_xll.QS.TRADE.CREATE("trade.6167",E6169,A6169,"Receive")</f>
        <v>QSObject:SwapTrade:w1~trade.6167:25762</v>
      </c>
      <c r="G6169" s="3">
        <f>_xll.QS.EVALUATE(C6169,F6169)</f>
        <v>34855.464971706657</v>
      </c>
      <c r="H6169" s="5" t="s">
        <v>6210</v>
      </c>
      <c r="I6169" s="7">
        <v>1616700</v>
      </c>
      <c r="J6169" s="8">
        <v>3.6700000000000003E-2</v>
      </c>
    </row>
    <row r="6170" spans="1:10" x14ac:dyDescent="0.25">
      <c r="A6170" s="5" t="s">
        <v>6204</v>
      </c>
      <c r="B6170" s="5" t="s">
        <v>8037</v>
      </c>
      <c r="C6170" s="6" t="str">
        <f>_xll.QS.CONTEXT.CREATE("market.6168",A6170,"USD","SOFR")</f>
        <v>QSObject:PricingContext:w1~market.6168:8457</v>
      </c>
      <c r="D6170" s="6" t="str">
        <f>_xll.QS.CONTEXT.ADD.CURVE(C6170,"SOFR",$K$2:$K$7,$L$2:$L$7,,,"Actual360","LogLinear",TRUE)</f>
        <v>QSObject:ContextInput:w1~input.qs_context_add_curve.2359132437744.6169.3.0:34334</v>
      </c>
      <c r="E6170" s="6" t="str">
        <f>_xll.QS.INSTRUMENT.SWAP("swap.6168",H6170,B6170,"USD","SOFR",I6170,J6170,0,"Actual360","Simple","Annual","Annual","Annual")</f>
        <v>QSObject:Swap:w1~swap.6168:8456</v>
      </c>
      <c r="F6170" s="6" t="str">
        <f>_xll.QS.TRADE.CREATE("trade.6168",E6170,A6170,"Receive")</f>
        <v>QSObject:SwapTrade:w1~trade.6168:25761</v>
      </c>
      <c r="G6170" s="3">
        <f>_xll.QS.EVALUATE(C6170,F6170)</f>
        <v>35771.909913236326</v>
      </c>
      <c r="H6170" s="5" t="s">
        <v>6211</v>
      </c>
      <c r="I6170" s="7">
        <v>1616800</v>
      </c>
      <c r="J6170" s="8">
        <v>3.6800000000000013E-2</v>
      </c>
    </row>
    <row r="6171" spans="1:10" x14ac:dyDescent="0.25">
      <c r="A6171" s="5" t="s">
        <v>6205</v>
      </c>
      <c r="B6171" s="5" t="s">
        <v>8038</v>
      </c>
      <c r="C6171" s="6" t="str">
        <f>_xll.QS.CONTEXT.CREATE("market.6169",A6171,"USD","SOFR")</f>
        <v>QSObject:PricingContext:w1~market.6169:8455</v>
      </c>
      <c r="D6171" s="6" t="str">
        <f>_xll.QS.CONTEXT.ADD.CURVE(C6171,"SOFR",$K$2:$K$7,$L$2:$L$7,,,"Actual360","LogLinear",TRUE)</f>
        <v>QSObject:ContextInput:w1~input.qs_context_add_curve.2359132437744.6170.3.0:34333</v>
      </c>
      <c r="E6171" s="6" t="str">
        <f>_xll.QS.INSTRUMENT.SWAP("swap.6169",H6171,B6171,"USD","SOFR",I6171,J6171,0,"Actual360","Simple","Annual","Annual","Annual")</f>
        <v>QSObject:Swap:w1~swap.6169:8454</v>
      </c>
      <c r="F6171" s="6" t="str">
        <f>_xll.QS.TRADE.CREATE("trade.6169",E6171,A6171,"Receive")</f>
        <v>QSObject:SwapTrade:w1~trade.6169:25760</v>
      </c>
      <c r="G6171" s="3">
        <f>_xll.QS.EVALUATE(C6171,F6171)</f>
        <v>36529.222429938207</v>
      </c>
      <c r="H6171" s="5" t="s">
        <v>6212</v>
      </c>
      <c r="I6171" s="7">
        <v>1616900</v>
      </c>
      <c r="J6171" s="8">
        <v>3.6900000000000002E-2</v>
      </c>
    </row>
    <row r="6172" spans="1:10" x14ac:dyDescent="0.25">
      <c r="A6172" s="5" t="s">
        <v>6206</v>
      </c>
      <c r="B6172" s="5" t="s">
        <v>8039</v>
      </c>
      <c r="C6172" s="6" t="str">
        <f>_xll.QS.CONTEXT.CREATE("market.6170",A6172,"USD","SOFR")</f>
        <v>QSObject:PricingContext:w1~market.6170:8453</v>
      </c>
      <c r="D6172" s="6" t="str">
        <f>_xll.QS.CONTEXT.ADD.CURVE(C6172,"SOFR",$K$2:$K$7,$L$2:$L$7,,,"Actual360","LogLinear",TRUE)</f>
        <v>QSObject:ContextInput:w1~input.qs_context_add_curve.2359132437744.6171.3.0:34332</v>
      </c>
      <c r="E6172" s="6" t="str">
        <f>_xll.QS.INSTRUMENT.SWAP("swap.6170",H6172,B6172,"USD","SOFR",I6172,J6172,0,"Actual360","Simple","Annual","Annual","Annual")</f>
        <v>QSObject:Swap:w1~swap.6170:8452</v>
      </c>
      <c r="F6172" s="6" t="str">
        <f>_xll.QS.TRADE.CREATE("trade.6170",E6172,A6172,"Receive")</f>
        <v>QSObject:SwapTrade:w1~trade.6170:25759</v>
      </c>
      <c r="G6172" s="3">
        <f>_xll.QS.EVALUATE(C6172,F6172)</f>
        <v>37272.710451605497</v>
      </c>
      <c r="H6172" s="5" t="s">
        <v>6213</v>
      </c>
      <c r="I6172" s="7">
        <v>1617000</v>
      </c>
      <c r="J6172" s="8">
        <v>3.7000000000000012E-2</v>
      </c>
    </row>
    <row r="6173" spans="1:10" x14ac:dyDescent="0.25">
      <c r="A6173" s="5" t="s">
        <v>6207</v>
      </c>
      <c r="B6173" s="5" t="s">
        <v>8040</v>
      </c>
      <c r="C6173" s="6" t="str">
        <f>_xll.QS.CONTEXT.CREATE("market.6171",A6173,"USD","SOFR")</f>
        <v>QSObject:PricingContext:w1~market.6171:8451</v>
      </c>
      <c r="D6173" s="6" t="str">
        <f>_xll.QS.CONTEXT.ADD.CURVE(C6173,"SOFR",$K$2:$K$7,$L$2:$L$7,,,"Actual360","LogLinear",TRUE)</f>
        <v>QSObject:ContextInput:w1~input.qs_context_add_curve.2359132437744.6172.3.0:34331</v>
      </c>
      <c r="E6173" s="6" t="str">
        <f>_xll.QS.INSTRUMENT.SWAP("swap.6171",H6173,B6173,"USD","SOFR",I6173,J6173,0,"Actual360","Simple","Annual","Annual","Annual")</f>
        <v>QSObject:Swap:w1~swap.6171:8450</v>
      </c>
      <c r="F6173" s="6" t="str">
        <f>_xll.QS.TRADE.CREATE("trade.6171",E6173,A6173,"Receive")</f>
        <v>QSObject:SwapTrade:w1~trade.6171:25758</v>
      </c>
      <c r="G6173" s="3">
        <f>_xll.QS.EVALUATE(C6173,F6173)</f>
        <v>37958.361890791581</v>
      </c>
      <c r="H6173" s="5" t="s">
        <v>6214</v>
      </c>
      <c r="I6173" s="7">
        <v>1617100</v>
      </c>
      <c r="J6173" s="8">
        <v>3.7100000000000001E-2</v>
      </c>
    </row>
    <row r="6174" spans="1:10" x14ac:dyDescent="0.25">
      <c r="A6174" s="5" t="s">
        <v>6208</v>
      </c>
      <c r="B6174" s="5" t="s">
        <v>8041</v>
      </c>
      <c r="C6174" s="6" t="str">
        <f>_xll.QS.CONTEXT.CREATE("market.6172",A6174,"USD","SOFR")</f>
        <v>QSObject:PricingContext:w1~market.6172:8449</v>
      </c>
      <c r="D6174" s="6" t="str">
        <f>_xll.QS.CONTEXT.ADD.CURVE(C6174,"SOFR",$K$2:$K$7,$L$2:$L$7,,,"Actual360","LogLinear",TRUE)</f>
        <v>QSObject:ContextInput:w1~input.qs_context_add_curve.2359132437744.6173.3.0:34330</v>
      </c>
      <c r="E6174" s="6" t="str">
        <f>_xll.QS.INSTRUMENT.SWAP("swap.6172",H6174,B6174,"USD","SOFR",I6174,J6174,0,"Actual360","Simple","Annual","Annual","Annual")</f>
        <v>QSObject:Swap:w1~swap.6172:8448</v>
      </c>
      <c r="F6174" s="6" t="str">
        <f>_xll.QS.TRADE.CREATE("trade.6172",E6174,A6174,"Receive")</f>
        <v>QSObject:SwapTrade:w1~trade.6172:25757</v>
      </c>
      <c r="G6174" s="3">
        <f>_xll.QS.EVALUATE(C6174,F6174)</f>
        <v>38592.486713127058</v>
      </c>
      <c r="H6174" s="5" t="s">
        <v>6215</v>
      </c>
      <c r="I6174" s="7">
        <v>1617200</v>
      </c>
      <c r="J6174" s="8">
        <v>3.7199999999999997E-2</v>
      </c>
    </row>
    <row r="6175" spans="1:10" x14ac:dyDescent="0.25">
      <c r="A6175" s="5" t="s">
        <v>6209</v>
      </c>
      <c r="B6175" s="5" t="s">
        <v>8042</v>
      </c>
      <c r="C6175" s="6" t="str">
        <f>_xll.QS.CONTEXT.CREATE("market.6173",A6175,"USD","SOFR")</f>
        <v>QSObject:PricingContext:w1~market.6173:8447</v>
      </c>
      <c r="D6175" s="6" t="str">
        <f>_xll.QS.CONTEXT.ADD.CURVE(C6175,"SOFR",$K$2:$K$7,$L$2:$L$7,,,"Actual360","LogLinear",TRUE)</f>
        <v>QSObject:ContextInput:w1~input.qs_context_add_curve.2359132437744.6174.3.0:34329</v>
      </c>
      <c r="E6175" s="6" t="str">
        <f>_xll.QS.INSTRUMENT.SWAP("swap.6173",H6175,B6175,"USD","SOFR",I6175,J6175,0,"Actual360","Simple","Annual","Annual","Annual")</f>
        <v>QSObject:Swap:w1~swap.6173:8446</v>
      </c>
      <c r="F6175" s="6" t="str">
        <f>_xll.QS.TRADE.CREATE("trade.6173",E6175,A6175,"Receive")</f>
        <v>QSObject:SwapTrade:w1~trade.6173:25756</v>
      </c>
      <c r="G6175" s="3">
        <f>_xll.QS.EVALUATE(C6175,F6175)</f>
        <v>39217.223690636223</v>
      </c>
      <c r="H6175" s="5" t="s">
        <v>6216</v>
      </c>
      <c r="I6175" s="7">
        <v>1617300</v>
      </c>
      <c r="J6175" s="8">
        <v>3.73E-2</v>
      </c>
    </row>
    <row r="6176" spans="1:10" x14ac:dyDescent="0.25">
      <c r="A6176" s="5" t="s">
        <v>6210</v>
      </c>
      <c r="B6176" s="5" t="s">
        <v>8043</v>
      </c>
      <c r="C6176" s="6" t="str">
        <f>_xll.QS.CONTEXT.CREATE("market.6174",A6176,"USD","SOFR")</f>
        <v>QSObject:PricingContext:w1~market.6174:8445</v>
      </c>
      <c r="D6176" s="6" t="str">
        <f>_xll.QS.CONTEXT.ADD.CURVE(C6176,"SOFR",$K$2:$K$7,$L$2:$L$7,,,"Actual360","LogLinear",TRUE)</f>
        <v>QSObject:ContextInput:w1~input.qs_context_add_curve.2359132437744.6175.3.0:34328</v>
      </c>
      <c r="E6176" s="6" t="str">
        <f>_xll.QS.INSTRUMENT.SWAP("swap.6174",H6176,B6176,"USD","SOFR",I6176,J6176,0,"Actual360","Simple","Annual","Annual","Annual")</f>
        <v>QSObject:Swap:w1~swap.6174:8444</v>
      </c>
      <c r="F6176" s="6" t="str">
        <f>_xll.QS.TRADE.CREATE("trade.6174",E6176,A6176,"Receive")</f>
        <v>QSObject:SwapTrade:w1~trade.6174:25755</v>
      </c>
      <c r="G6176" s="3">
        <f>_xll.QS.EVALUATE(C6176,F6176)</f>
        <v>40033.638535245256</v>
      </c>
      <c r="H6176" s="5" t="s">
        <v>6217</v>
      </c>
      <c r="I6176" s="7">
        <v>1617400</v>
      </c>
      <c r="J6176" s="8">
        <v>3.7400000000000003E-2</v>
      </c>
    </row>
    <row r="6177" spans="1:10" x14ac:dyDescent="0.25">
      <c r="A6177" s="5" t="s">
        <v>6211</v>
      </c>
      <c r="B6177" s="5" t="s">
        <v>8044</v>
      </c>
      <c r="C6177" s="6" t="str">
        <f>_xll.QS.CONTEXT.CREATE("market.6175",A6177,"USD","SOFR")</f>
        <v>QSObject:PricingContext:w1~market.6175:8443</v>
      </c>
      <c r="D6177" s="6" t="str">
        <f>_xll.QS.CONTEXT.ADD.CURVE(C6177,"SOFR",$K$2:$K$7,$L$2:$L$7,,,"Actual360","LogLinear",TRUE)</f>
        <v>QSObject:ContextInput:w1~input.qs_context_add_curve.2359132437744.6176.3.0:34327</v>
      </c>
      <c r="E6177" s="6" t="str">
        <f>_xll.QS.INSTRUMENT.SWAP("swap.6175",H6177,B6177,"USD","SOFR",I6177,J6177,0,"Actual360","Simple","Annual","Annual","Annual")</f>
        <v>QSObject:Swap:w1~swap.6175:8442</v>
      </c>
      <c r="F6177" s="6" t="str">
        <f>_xll.QS.TRADE.CREATE("trade.6175",E6177,A6177,"Receive")</f>
        <v>QSObject:SwapTrade:w1~trade.6175:25754</v>
      </c>
      <c r="G6177" s="3">
        <f>_xll.QS.EVALUATE(C6177,F6177)</f>
        <v>40823.247429864226</v>
      </c>
      <c r="H6177" s="5" t="s">
        <v>6218</v>
      </c>
      <c r="I6177" s="7">
        <v>1617500</v>
      </c>
      <c r="J6177" s="8">
        <v>3.7500000000000012E-2</v>
      </c>
    </row>
    <row r="6178" spans="1:10" x14ac:dyDescent="0.25">
      <c r="A6178" s="5" t="s">
        <v>6212</v>
      </c>
      <c r="B6178" s="5" t="s">
        <v>8045</v>
      </c>
      <c r="C6178" s="6" t="str">
        <f>_xll.QS.CONTEXT.CREATE("market.6176",A6178,"USD","SOFR")</f>
        <v>QSObject:PricingContext:w1~market.6176:8441</v>
      </c>
      <c r="D6178" s="6" t="str">
        <f>_xll.QS.CONTEXT.ADD.CURVE(C6178,"SOFR",$K$2:$K$7,$L$2:$L$7,,,"Actual360","LogLinear",TRUE)</f>
        <v>QSObject:ContextInput:w1~input.qs_context_add_curve.2359132437744.6177.3.0:34326</v>
      </c>
      <c r="E6178" s="6" t="str">
        <f>_xll.QS.INSTRUMENT.SWAP("swap.6176",H6178,B6178,"USD","SOFR",I6178,J6178,0,"Actual360","Simple","Annual","Annual","Annual")</f>
        <v>QSObject:Swap:w1~swap.6176:8440</v>
      </c>
      <c r="F6178" s="6" t="str">
        <f>_xll.QS.TRADE.CREATE("trade.6176",E6178,A6178,"Receive")</f>
        <v>QSObject:SwapTrade:w1~trade.6176:25753</v>
      </c>
      <c r="G6178" s="3">
        <f>_xll.QS.EVALUATE(C6178,F6178)</f>
        <v>41690.852482801456</v>
      </c>
      <c r="H6178" s="5" t="s">
        <v>6219</v>
      </c>
      <c r="I6178" s="7">
        <v>1617600</v>
      </c>
      <c r="J6178" s="8">
        <v>3.7600000000000001E-2</v>
      </c>
    </row>
    <row r="6179" spans="1:10" x14ac:dyDescent="0.25">
      <c r="A6179" s="5" t="s">
        <v>6213</v>
      </c>
      <c r="B6179" s="5" t="s">
        <v>8046</v>
      </c>
      <c r="C6179" s="6" t="str">
        <f>_xll.QS.CONTEXT.CREATE("market.6177",A6179,"USD","SOFR")</f>
        <v>QSObject:PricingContext:w1~market.6177:8439</v>
      </c>
      <c r="D6179" s="6" t="str">
        <f>_xll.QS.CONTEXT.ADD.CURVE(C6179,"SOFR",$K$2:$K$7,$L$2:$L$7,,,"Actual360","LogLinear",TRUE)</f>
        <v>QSObject:ContextInput:w1~input.qs_context_add_curve.2359132437744.6178.3.0:34325</v>
      </c>
      <c r="E6179" s="6" t="str">
        <f>_xll.QS.INSTRUMENT.SWAP("swap.6177",H6179,B6179,"USD","SOFR",I6179,J6179,0,"Actual360","Simple","Annual","Annual","Annual")</f>
        <v>QSObject:Swap:w1~swap.6177:8438</v>
      </c>
      <c r="F6179" s="6" t="str">
        <f>_xll.QS.TRADE.CREATE("trade.6177",E6179,A6179,"Receive")</f>
        <v>QSObject:SwapTrade:w1~trade.6177:25752</v>
      </c>
      <c r="G6179" s="3">
        <f>_xll.QS.EVALUATE(C6179,F6179)</f>
        <v>42509.805662471845</v>
      </c>
      <c r="H6179" s="5" t="s">
        <v>6220</v>
      </c>
      <c r="I6179" s="7">
        <v>1617700</v>
      </c>
      <c r="J6179" s="8">
        <v>3.7699999999999997E-2</v>
      </c>
    </row>
    <row r="6180" spans="1:10" x14ac:dyDescent="0.25">
      <c r="A6180" s="5" t="s">
        <v>6214</v>
      </c>
      <c r="B6180" s="5" t="s">
        <v>8047</v>
      </c>
      <c r="C6180" s="6" t="str">
        <f>_xll.QS.CONTEXT.CREATE("market.6178",A6180,"USD","SOFR")</f>
        <v>QSObject:PricingContext:w1~market.6178:8437</v>
      </c>
      <c r="D6180" s="6" t="str">
        <f>_xll.QS.CONTEXT.ADD.CURVE(C6180,"SOFR",$K$2:$K$7,$L$2:$L$7,,,"Actual360","LogLinear",TRUE)</f>
        <v>QSObject:ContextInput:w1~input.qs_context_add_curve.2359132437744.6179.3.0:34324</v>
      </c>
      <c r="E6180" s="6" t="str">
        <f>_xll.QS.INSTRUMENT.SWAP("swap.6178",H6180,B6180,"USD","SOFR",I6180,J6180,0,"Actual360","Simple","Annual","Annual","Annual")</f>
        <v>QSObject:Swap:w1~swap.6178:8436</v>
      </c>
      <c r="F6180" s="6" t="str">
        <f>_xll.QS.TRADE.CREATE("trade.6178",E6180,A6180,"Receive")</f>
        <v>QSObject:SwapTrade:w1~trade.6178:25751</v>
      </c>
      <c r="G6180" s="3">
        <f>_xll.QS.EVALUATE(C6180,F6180)</f>
        <v>43197.015010918862</v>
      </c>
      <c r="H6180" s="5" t="s">
        <v>6221</v>
      </c>
      <c r="I6180" s="7">
        <v>1617800</v>
      </c>
      <c r="J6180" s="8">
        <v>3.78E-2</v>
      </c>
    </row>
    <row r="6181" spans="1:10" x14ac:dyDescent="0.25">
      <c r="A6181" s="5" t="s">
        <v>6215</v>
      </c>
      <c r="B6181" s="5" t="s">
        <v>8048</v>
      </c>
      <c r="C6181" s="6" t="str">
        <f>_xll.QS.CONTEXT.CREATE("market.6179",A6181,"USD","SOFR")</f>
        <v>QSObject:PricingContext:w1~market.6179:8435</v>
      </c>
      <c r="D6181" s="6" t="str">
        <f>_xll.QS.CONTEXT.ADD.CURVE(C6181,"SOFR",$K$2:$K$7,$L$2:$L$7,,,"Actual360","LogLinear",TRUE)</f>
        <v>QSObject:ContextInput:w1~input.qs_context_add_curve.2359132437744.6180.3.0:34323</v>
      </c>
      <c r="E6181" s="6" t="str">
        <f>_xll.QS.INSTRUMENT.SWAP("swap.6179",H6181,B6181,"USD","SOFR",I6181,J6181,0,"Actual360","Simple","Annual","Annual","Annual")</f>
        <v>QSObject:Swap:w1~swap.6179:8434</v>
      </c>
      <c r="F6181" s="6" t="str">
        <f>_xll.QS.TRADE.CREATE("trade.6179",E6181,A6181,"Receive")</f>
        <v>QSObject:SwapTrade:w1~trade.6179:25750</v>
      </c>
      <c r="G6181" s="3">
        <f>_xll.QS.EVALUATE(C6181,F6181)</f>
        <v>43825.581389631487</v>
      </c>
      <c r="H6181" s="5" t="s">
        <v>6222</v>
      </c>
      <c r="I6181" s="7">
        <v>1617900</v>
      </c>
      <c r="J6181" s="8">
        <v>3.7900000000000003E-2</v>
      </c>
    </row>
    <row r="6182" spans="1:10" x14ac:dyDescent="0.25">
      <c r="A6182" s="5" t="s">
        <v>6216</v>
      </c>
      <c r="B6182" s="5" t="s">
        <v>8049</v>
      </c>
      <c r="C6182" s="6" t="str">
        <f>_xll.QS.CONTEXT.CREATE("market.6180",A6182,"USD","SOFR")</f>
        <v>QSObject:PricingContext:w1~market.6180:8433</v>
      </c>
      <c r="D6182" s="6" t="str">
        <f>_xll.QS.CONTEXT.ADD.CURVE(C6182,"SOFR",$K$2:$K$7,$L$2:$L$7,,,"Actual360","LogLinear",TRUE)</f>
        <v>QSObject:ContextInput:w1~input.qs_context_add_curve.2359132437744.6181.3.0:34322</v>
      </c>
      <c r="E6182" s="6" t="str">
        <f>_xll.QS.INSTRUMENT.SWAP("swap.6180",H6182,B6182,"USD","SOFR",I6182,J6182,0,"Actual360","Simple","Annual","Annual","Annual")</f>
        <v>QSObject:Swap:w1~swap.6180:8432</v>
      </c>
      <c r="F6182" s="6" t="str">
        <f>_xll.QS.TRADE.CREATE("trade.6180",E6182,A6182,"Receive")</f>
        <v>QSObject:SwapTrade:w1~trade.6180:25749</v>
      </c>
      <c r="G6182" s="3">
        <f>_xll.QS.EVALUATE(C6182,F6182)</f>
        <v>44459.006722113169</v>
      </c>
      <c r="H6182" s="5" t="s">
        <v>6223</v>
      </c>
      <c r="I6182" s="7">
        <v>1618000</v>
      </c>
      <c r="J6182" s="8">
        <v>3.8000000000000013E-2</v>
      </c>
    </row>
    <row r="6183" spans="1:10" x14ac:dyDescent="0.25">
      <c r="A6183" s="5" t="s">
        <v>6217</v>
      </c>
      <c r="B6183" s="5" t="s">
        <v>8050</v>
      </c>
      <c r="C6183" s="6" t="str">
        <f>_xll.QS.CONTEXT.CREATE("market.6181",A6183,"USD","SOFR")</f>
        <v>QSObject:PricingContext:w1~market.6181:8431</v>
      </c>
      <c r="D6183" s="6" t="str">
        <f>_xll.QS.CONTEXT.ADD.CURVE(C6183,"SOFR",$K$2:$K$7,$L$2:$L$7,,,"Actual360","LogLinear",TRUE)</f>
        <v>QSObject:ContextInput:w1~input.qs_context_add_curve.2359132437744.6182.3.0:34321</v>
      </c>
      <c r="E6183" s="6" t="str">
        <f>_xll.QS.INSTRUMENT.SWAP("swap.6181",H6183,B6183,"USD","SOFR",I6183,J6183,0,"Actual360","Simple","Annual","Annual","Annual")</f>
        <v>QSObject:Swap:w1~swap.6181:8430</v>
      </c>
      <c r="F6183" s="6" t="str">
        <f>_xll.QS.TRADE.CREATE("trade.6181",E6183,A6183,"Receive")</f>
        <v>QSObject:SwapTrade:w1~trade.6181:25748</v>
      </c>
      <c r="G6183" s="3">
        <f>_xll.QS.EVALUATE(C6183,F6183)</f>
        <v>45277.565351546073</v>
      </c>
      <c r="H6183" s="5" t="s">
        <v>6224</v>
      </c>
      <c r="I6183" s="7">
        <v>1618100</v>
      </c>
      <c r="J6183" s="8">
        <v>3.8100000000000002E-2</v>
      </c>
    </row>
    <row r="6184" spans="1:10" x14ac:dyDescent="0.25">
      <c r="A6184" s="5" t="s">
        <v>6218</v>
      </c>
      <c r="B6184" s="5" t="s">
        <v>8051</v>
      </c>
      <c r="C6184" s="6" t="str">
        <f>_xll.QS.CONTEXT.CREATE("market.6182",A6184,"USD","SOFR")</f>
        <v>QSObject:PricingContext:w1~market.6182:8429</v>
      </c>
      <c r="D6184" s="6" t="str">
        <f>_xll.QS.CONTEXT.ADD.CURVE(C6184,"SOFR",$K$2:$K$7,$L$2:$L$7,,,"Actual360","LogLinear",TRUE)</f>
        <v>QSObject:ContextInput:w1~input.qs_context_add_curve.2359132437744.6183.3.0:34320</v>
      </c>
      <c r="E6184" s="6" t="str">
        <f>_xll.QS.INSTRUMENT.SWAP("swap.6182",H6184,B6184,"USD","SOFR",I6184,J6184,0,"Actual360","Simple","Annual","Annual","Annual")</f>
        <v>QSObject:Swap:w1~swap.6182:8428</v>
      </c>
      <c r="F6184" s="6" t="str">
        <f>_xll.QS.TRADE.CREATE("trade.6182",E6184,A6184,"Receive")</f>
        <v>QSObject:SwapTrade:w1~trade.6182:24958</v>
      </c>
      <c r="G6184" s="3">
        <f>_xll.QS.EVALUATE(C6184,F6184)</f>
        <v>46065.252431259512</v>
      </c>
      <c r="H6184" s="5" t="s">
        <v>6225</v>
      </c>
      <c r="I6184" s="7">
        <v>1618200</v>
      </c>
      <c r="J6184" s="8">
        <v>3.8199999999999998E-2</v>
      </c>
    </row>
    <row r="6185" spans="1:10" x14ac:dyDescent="0.25">
      <c r="A6185" s="5" t="s">
        <v>6219</v>
      </c>
      <c r="B6185" s="5" t="s">
        <v>8052</v>
      </c>
      <c r="C6185" s="6" t="str">
        <f>_xll.QS.CONTEXT.CREATE("market.6183",A6185,"USD","SOFR")</f>
        <v>QSObject:PricingContext:w1~market.6183:8427</v>
      </c>
      <c r="D6185" s="6" t="str">
        <f>_xll.QS.CONTEXT.ADD.CURVE(C6185,"SOFR",$K$2:$K$7,$L$2:$L$7,,,"Actual360","LogLinear",TRUE)</f>
        <v>QSObject:ContextInput:w1~input.qs_context_add_curve.2359132437744.6184.3.0:34319</v>
      </c>
      <c r="E6185" s="6" t="str">
        <f>_xll.QS.INSTRUMENT.SWAP("swap.6183",H6185,B6185,"USD","SOFR",I6185,J6185,0,"Actual360","Simple","Annual","Annual","Annual")</f>
        <v>QSObject:Swap:w1~swap.6183:8426</v>
      </c>
      <c r="F6185" s="6" t="str">
        <f>_xll.QS.TRADE.CREATE("trade.6183",E6185,A6185,"Receive")</f>
        <v>QSObject:SwapTrade:w1~trade.6183:25651</v>
      </c>
      <c r="G6185" s="3">
        <f>_xll.QS.EVALUATE(C6185,F6185)</f>
        <v>46932.716087625246</v>
      </c>
      <c r="H6185" s="5" t="s">
        <v>6226</v>
      </c>
      <c r="I6185" s="7">
        <v>1618300</v>
      </c>
      <c r="J6185" s="8">
        <v>3.8300000000000001E-2</v>
      </c>
    </row>
    <row r="6186" spans="1:10" x14ac:dyDescent="0.25">
      <c r="A6186" s="5" t="s">
        <v>6220</v>
      </c>
      <c r="B6186" s="5" t="s">
        <v>8053</v>
      </c>
      <c r="C6186" s="6" t="str">
        <f>_xll.QS.CONTEXT.CREATE("market.6184",A6186,"USD","SOFR")</f>
        <v>QSObject:PricingContext:w1~market.6184:8425</v>
      </c>
      <c r="D6186" s="6" t="str">
        <f>_xll.QS.CONTEXT.ADD.CURVE(C6186,"SOFR",$K$2:$K$7,$L$2:$L$7,,,"Actual360","LogLinear",TRUE)</f>
        <v>QSObject:ContextInput:w1~input.qs_context_add_curve.2359132437744.6185.3.0:34318</v>
      </c>
      <c r="E6186" s="6" t="str">
        <f>_xll.QS.INSTRUMENT.SWAP("swap.6184",H6186,B6186,"USD","SOFR",I6186,J6186,0,"Actual360","Simple","Annual","Annual","Annual")</f>
        <v>QSObject:Swap:w1~swap.6184:8424</v>
      </c>
      <c r="F6186" s="6" t="str">
        <f>_xll.QS.TRADE.CREATE("trade.6184",E6186,A6186,"Receive")</f>
        <v>QSObject:SwapTrade:w1~trade.6184:25650</v>
      </c>
      <c r="G6186" s="3">
        <f>_xll.QS.EVALUATE(C6186,F6186)</f>
        <v>47752.401164140618</v>
      </c>
      <c r="H6186" s="5" t="s">
        <v>6227</v>
      </c>
      <c r="I6186" s="7">
        <v>1618400</v>
      </c>
      <c r="J6186" s="8">
        <v>3.8399999999999997E-2</v>
      </c>
    </row>
    <row r="6187" spans="1:10" x14ac:dyDescent="0.25">
      <c r="A6187" s="5" t="s">
        <v>6221</v>
      </c>
      <c r="B6187" s="5" t="s">
        <v>8054</v>
      </c>
      <c r="C6187" s="6" t="str">
        <f>_xll.QS.CONTEXT.CREATE("market.6185",A6187,"USD","SOFR")</f>
        <v>QSObject:PricingContext:w1~market.6185:8423</v>
      </c>
      <c r="D6187" s="6" t="str">
        <f>_xll.QS.CONTEXT.ADD.CURVE(C6187,"SOFR",$K$2:$K$7,$L$2:$L$7,,,"Actual360","LogLinear",TRUE)</f>
        <v>QSObject:ContextInput:w1~input.qs_context_add_curve.2359132437744.6186.3.0:34317</v>
      </c>
      <c r="E6187" s="6" t="str">
        <f>_xll.QS.INSTRUMENT.SWAP("swap.6185",H6187,B6187,"USD","SOFR",I6187,J6187,0,"Actual360","Simple","Annual","Annual","Annual")</f>
        <v>QSObject:Swap:w1~swap.6185:8422</v>
      </c>
      <c r="F6187" s="6" t="str">
        <f>_xll.QS.TRADE.CREATE("trade.6185",E6187,A6187,"Receive")</f>
        <v>QSObject:SwapTrade:w1~trade.6185:24957</v>
      </c>
      <c r="G6187" s="3">
        <f>_xll.QS.EVALUATE(C6187,F6187)</f>
        <v>48440.187405395576</v>
      </c>
      <c r="H6187" s="5" t="s">
        <v>6228</v>
      </c>
      <c r="I6187" s="7">
        <v>1618500</v>
      </c>
      <c r="J6187" s="8">
        <v>3.8500000000000013E-2</v>
      </c>
    </row>
    <row r="6188" spans="1:10" x14ac:dyDescent="0.25">
      <c r="A6188" s="5" t="s">
        <v>6222</v>
      </c>
      <c r="B6188" s="5" t="s">
        <v>8055</v>
      </c>
      <c r="C6188" s="6" t="str">
        <f>_xll.QS.CONTEXT.CREATE("market.6186",A6188,"USD","SOFR")</f>
        <v>QSObject:PricingContext:w1~market.6186:8421</v>
      </c>
      <c r="D6188" s="6" t="str">
        <f>_xll.QS.CONTEXT.ADD.CURVE(C6188,"SOFR",$K$2:$K$7,$L$2:$L$7,,,"Actual360","LogLinear",TRUE)</f>
        <v>QSObject:ContextInput:w1~input.qs_context_add_curve.2359132437744.6187.3.0:34316</v>
      </c>
      <c r="E6188" s="6" t="str">
        <f>_xll.QS.INSTRUMENT.SWAP("swap.6186",H6188,B6188,"USD","SOFR",I6188,J6188,0,"Actual360","Simple","Annual","Annual","Annual")</f>
        <v>QSObject:Swap:w1~swap.6186:8420</v>
      </c>
      <c r="F6188" s="6" t="str">
        <f>_xll.QS.TRADE.CREATE("trade.6186",E6188,A6188,"Receive")</f>
        <v>QSObject:SwapTrade:w1~trade.6186:25649</v>
      </c>
      <c r="G6188" s="3">
        <f>_xll.QS.EVALUATE(C6188,F6188)</f>
        <v>49063.190120622261</v>
      </c>
      <c r="H6188" s="5" t="s">
        <v>6229</v>
      </c>
      <c r="I6188" s="7">
        <v>1618600</v>
      </c>
      <c r="J6188" s="8">
        <v>3.8600000000000002E-2</v>
      </c>
    </row>
    <row r="6189" spans="1:10" x14ac:dyDescent="0.25">
      <c r="A6189" s="5" t="s">
        <v>6223</v>
      </c>
      <c r="B6189" s="5" t="s">
        <v>8056</v>
      </c>
      <c r="C6189" s="6" t="str">
        <f>_xll.QS.CONTEXT.CREATE("market.6187",A6189,"USD","SOFR")</f>
        <v>QSObject:PricingContext:w1~market.6187:8419</v>
      </c>
      <c r="D6189" s="6" t="str">
        <f>_xll.QS.CONTEXT.ADD.CURVE(C6189,"SOFR",$K$2:$K$7,$L$2:$L$7,,,"Actual360","LogLinear",TRUE)</f>
        <v>QSObject:ContextInput:w1~input.qs_context_add_curve.2359132437744.6188.3.0:34315</v>
      </c>
      <c r="E6189" s="6" t="str">
        <f>_xll.QS.INSTRUMENT.SWAP("swap.6187",H6189,B6189,"USD","SOFR",I6189,J6189,0,"Actual360","Simple","Annual","Annual","Annual")</f>
        <v>QSObject:Swap:w1~swap.6187:8418</v>
      </c>
      <c r="F6189" s="6" t="str">
        <f>_xll.QS.TRADE.CREATE("trade.6187",E6189,A6189,"Receive")</f>
        <v>QSObject:SwapTrade:w1~trade.6187:24956</v>
      </c>
      <c r="G6189" s="3">
        <f>_xll.QS.EVALUATE(C6189,F6189)</f>
        <v>49705.311131518298</v>
      </c>
      <c r="H6189" s="5" t="s">
        <v>6230</v>
      </c>
      <c r="I6189" s="7">
        <v>1618700</v>
      </c>
      <c r="J6189" s="8">
        <v>3.8700000000000012E-2</v>
      </c>
    </row>
    <row r="6190" spans="1:10" x14ac:dyDescent="0.25">
      <c r="A6190" s="5" t="s">
        <v>6224</v>
      </c>
      <c r="B6190" s="5" t="s">
        <v>8057</v>
      </c>
      <c r="C6190" s="6" t="str">
        <f>_xll.QS.CONTEXT.CREATE("market.6188",A6190,"USD","SOFR")</f>
        <v>QSObject:PricingContext:w1~market.6188:8417</v>
      </c>
      <c r="D6190" s="6" t="str">
        <f>_xll.QS.CONTEXT.ADD.CURVE(C6190,"SOFR",$K$2:$K$7,$L$2:$L$7,,,"Actual360","LogLinear",TRUE)</f>
        <v>QSObject:ContextInput:w1~input.qs_context_add_curve.2359132437744.6189.3.0:34314</v>
      </c>
      <c r="E6190" s="6" t="str">
        <f>_xll.QS.INSTRUMENT.SWAP("swap.6188",H6190,B6190,"USD","SOFR",I6190,J6190,0,"Actual360","Simple","Annual","Annual","Annual")</f>
        <v>QSObject:Swap:w1~swap.6188:8416</v>
      </c>
      <c r="F6190" s="6" t="str">
        <f>_xll.QS.TRADE.CREATE("trade.6188",E6190,A6190,"Receive")</f>
        <v>QSObject:SwapTrade:w1~trade.6188:24955</v>
      </c>
      <c r="G6190" s="3">
        <f>_xll.QS.EVALUATE(C6190,F6190)</f>
        <v>50525.070163813733</v>
      </c>
      <c r="H6190" s="5" t="s">
        <v>6231</v>
      </c>
      <c r="I6190" s="7">
        <v>1618800</v>
      </c>
      <c r="J6190" s="8">
        <v>3.8800000000000001E-2</v>
      </c>
    </row>
    <row r="6191" spans="1:10" x14ac:dyDescent="0.25">
      <c r="A6191" s="5" t="s">
        <v>6225</v>
      </c>
      <c r="B6191" s="5" t="s">
        <v>8058</v>
      </c>
      <c r="C6191" s="6" t="str">
        <f>_xll.QS.CONTEXT.CREATE("market.6189",A6191,"USD","SOFR")</f>
        <v>QSObject:PricingContext:w1~market.6189:8415</v>
      </c>
      <c r="D6191" s="6" t="str">
        <f>_xll.QS.CONTEXT.ADD.CURVE(C6191,"SOFR",$K$2:$K$7,$L$2:$L$7,,,"Actual360","LogLinear",TRUE)</f>
        <v>QSObject:ContextInput:w1~input.qs_context_add_curve.2359132437744.6190.3.0:34313</v>
      </c>
      <c r="E6191" s="6" t="str">
        <f>_xll.QS.INSTRUMENT.SWAP("swap.6189",H6191,B6191,"USD","SOFR",I6191,J6191,0,"Actual360","Simple","Annual","Annual","Annual")</f>
        <v>QSObject:Swap:w1~swap.6189:8414</v>
      </c>
      <c r="F6191" s="6" t="str">
        <f>_xll.QS.TRADE.CREATE("trade.6189",E6191,A6191,"Receive")</f>
        <v>QSObject:SwapTrade:w1~trade.6189:24954</v>
      </c>
      <c r="G6191" s="3">
        <f>_xll.QS.EVALUATE(C6191,F6191)</f>
        <v>51310.859990628291</v>
      </c>
      <c r="H6191" s="5" t="s">
        <v>6232</v>
      </c>
      <c r="I6191" s="7">
        <v>1618900</v>
      </c>
      <c r="J6191" s="8">
        <v>3.8899999999999997E-2</v>
      </c>
    </row>
    <row r="6192" spans="1:10" x14ac:dyDescent="0.25">
      <c r="A6192" s="5" t="s">
        <v>6226</v>
      </c>
      <c r="B6192" s="5" t="s">
        <v>8059</v>
      </c>
      <c r="C6192" s="6" t="str">
        <f>_xll.QS.CONTEXT.CREATE("market.6190",A6192,"USD","SOFR")</f>
        <v>QSObject:PricingContext:w1~market.6190:8413</v>
      </c>
      <c r="D6192" s="6" t="str">
        <f>_xll.QS.CONTEXT.ADD.CURVE(C6192,"SOFR",$K$2:$K$7,$L$2:$L$7,,,"Actual360","LogLinear",TRUE)</f>
        <v>QSObject:ContextInput:w1~input.qs_context_add_curve.2359132437744.6191.3.0:34312</v>
      </c>
      <c r="E6192" s="6" t="str">
        <f>_xll.QS.INSTRUMENT.SWAP("swap.6190",H6192,B6192,"USD","SOFR",I6192,J6192,0,"Actual360","Simple","Annual","Annual","Annual")</f>
        <v>QSObject:Swap:w1~swap.6190:8412</v>
      </c>
      <c r="F6192" s="6" t="str">
        <f>_xll.QS.TRADE.CREATE("trade.6190",E6192,A6192,"Receive")</f>
        <v>QSObject:SwapTrade:w1~trade.6190:25648</v>
      </c>
      <c r="G6192" s="3">
        <f>_xll.QS.EVALUATE(C6192,F6192)</f>
        <v>52179.098849116875</v>
      </c>
      <c r="H6192" s="5" t="s">
        <v>6233</v>
      </c>
      <c r="I6192" s="7">
        <v>1619000</v>
      </c>
      <c r="J6192" s="8">
        <v>3.9000000000000007E-2</v>
      </c>
    </row>
    <row r="6193" spans="1:10" x14ac:dyDescent="0.25">
      <c r="A6193" s="5" t="s">
        <v>6227</v>
      </c>
      <c r="B6193" s="5" t="s">
        <v>8060</v>
      </c>
      <c r="C6193" s="6" t="str">
        <f>_xll.QS.CONTEXT.CREATE("market.6191",A6193,"USD","SOFR")</f>
        <v>QSObject:PricingContext:w1~market.6191:8411</v>
      </c>
      <c r="D6193" s="6" t="str">
        <f>_xll.QS.CONTEXT.ADD.CURVE(C6193,"SOFR",$K$2:$K$7,$L$2:$L$7,,,"Actual360","LogLinear",TRUE)</f>
        <v>QSObject:ContextInput:w1~input.qs_context_add_curve.2359132437744.6192.3.0:34311</v>
      </c>
      <c r="E6193" s="6" t="str">
        <f>_xll.QS.INSTRUMENT.SWAP("swap.6191",H6193,B6193,"USD","SOFR",I6193,J6193,0,"Actual360","Simple","Annual","Annual","Annual")</f>
        <v>QSObject:Swap:w1~swap.6191:8410</v>
      </c>
      <c r="F6193" s="6" t="str">
        <f>_xll.QS.TRADE.CREATE("trade.6191",E6193,A6193,"Receive")</f>
        <v>QSObject:SwapTrade:w1~trade.6191:24953</v>
      </c>
      <c r="G6193" s="3">
        <f>_xll.QS.EVALUATE(C6193,F6193)</f>
        <v>52999.515870784766</v>
      </c>
      <c r="H6193" s="5" t="s">
        <v>6234</v>
      </c>
      <c r="I6193" s="7">
        <v>1619100</v>
      </c>
      <c r="J6193" s="8">
        <v>3.9100000000000003E-2</v>
      </c>
    </row>
    <row r="6194" spans="1:10" x14ac:dyDescent="0.25">
      <c r="A6194" s="5" t="s">
        <v>6228</v>
      </c>
      <c r="B6194" s="5" t="s">
        <v>8061</v>
      </c>
      <c r="C6194" s="6" t="str">
        <f>_xll.QS.CONTEXT.CREATE("market.6192",A6194,"USD","SOFR")</f>
        <v>QSObject:PricingContext:w1~market.6192:8409</v>
      </c>
      <c r="D6194" s="6" t="str">
        <f>_xll.QS.CONTEXT.ADD.CURVE(C6194,"SOFR",$K$2:$K$7,$L$2:$L$7,,,"Actual360","LogLinear",TRUE)</f>
        <v>QSObject:ContextInput:w1~input.qs_context_add_curve.2359132437744.6193.3.0:34310</v>
      </c>
      <c r="E6194" s="6" t="str">
        <f>_xll.QS.INSTRUMENT.SWAP("swap.6192",H6194,B6194,"USD","SOFR",I6194,J6194,0,"Actual360","Simple","Annual","Annual","Annual")</f>
        <v>QSObject:Swap:w1~swap.6192:8408</v>
      </c>
      <c r="F6194" s="6" t="str">
        <f>_xll.QS.TRADE.CREATE("trade.6192",E6194,A6194,"Receive")</f>
        <v>QSObject:SwapTrade:w1~trade.6192:24952</v>
      </c>
      <c r="G6194" s="3">
        <f>_xll.QS.EVALUATE(C6194,F6194)</f>
        <v>53687.878968416553</v>
      </c>
      <c r="H6194" s="5" t="s">
        <v>6235</v>
      </c>
      <c r="I6194" s="7">
        <v>1619200</v>
      </c>
      <c r="J6194" s="8">
        <v>3.9200000000000013E-2</v>
      </c>
    </row>
    <row r="6195" spans="1:10" x14ac:dyDescent="0.25">
      <c r="A6195" s="5" t="s">
        <v>6229</v>
      </c>
      <c r="B6195" s="5" t="s">
        <v>8062</v>
      </c>
      <c r="C6195" s="6" t="str">
        <f>_xll.QS.CONTEXT.CREATE("market.6193",A6195,"USD","SOFR")</f>
        <v>QSObject:PricingContext:w1~market.6193:8407</v>
      </c>
      <c r="D6195" s="6" t="str">
        <f>_xll.QS.CONTEXT.ADD.CURVE(C6195,"SOFR",$K$2:$K$7,$L$2:$L$7,,,"Actual360","LogLinear",TRUE)</f>
        <v>QSObject:ContextInput:w1~input.qs_context_add_curve.2359132437744.6194.3.0:34309</v>
      </c>
      <c r="E6195" s="6" t="str">
        <f>_xll.QS.INSTRUMENT.SWAP("swap.6193",H6195,B6195,"USD","SOFR",I6195,J6195,0,"Actual360","Simple","Annual","Annual","Annual")</f>
        <v>QSObject:Swap:w1~swap.6193:8406</v>
      </c>
      <c r="F6195" s="6" t="str">
        <f>_xll.QS.TRADE.CREATE("trade.6193",E6195,A6195,"Receive")</f>
        <v>QSObject:SwapTrade:w1~trade.6193:25647</v>
      </c>
      <c r="G6195" s="3">
        <f>_xll.QS.EVALUATE(C6195,F6195)</f>
        <v>54271.227630599606</v>
      </c>
      <c r="H6195" s="5" t="s">
        <v>6236</v>
      </c>
      <c r="I6195" s="7">
        <v>1619300</v>
      </c>
      <c r="J6195" s="8">
        <v>3.9300000000000002E-2</v>
      </c>
    </row>
    <row r="6196" spans="1:10" x14ac:dyDescent="0.25">
      <c r="A6196" s="5" t="s">
        <v>6230</v>
      </c>
      <c r="B6196" s="5" t="s">
        <v>8063</v>
      </c>
      <c r="C6196" s="6" t="str">
        <f>_xll.QS.CONTEXT.CREATE("market.6194",A6196,"USD","SOFR")</f>
        <v>QSObject:PricingContext:w1~market.6194:8405</v>
      </c>
      <c r="D6196" s="6" t="str">
        <f>_xll.QS.CONTEXT.ADD.CURVE(C6196,"SOFR",$K$2:$K$7,$L$2:$L$7,,,"Actual360","LogLinear",TRUE)</f>
        <v>QSObject:ContextInput:w1~input.qs_context_add_curve.2359132437744.6195.3.0:34308</v>
      </c>
      <c r="E6196" s="6" t="str">
        <f>_xll.QS.INSTRUMENT.SWAP("swap.6194",H6196,B6196,"USD","SOFR",I6196,J6196,0,"Actual360","Simple","Annual","Annual","Annual")</f>
        <v>QSObject:Swap:w1~swap.6194:8404</v>
      </c>
      <c r="F6196" s="6" t="str">
        <f>_xll.QS.TRADE.CREATE("trade.6194",E6196,A6196,"Receive")</f>
        <v>QSObject:SwapTrade:w1~trade.6194:25646</v>
      </c>
      <c r="G6196" s="3">
        <f>_xll.QS.EVALUATE(C6196,F6196)</f>
        <v>54887.174972505294</v>
      </c>
      <c r="H6196" s="5" t="s">
        <v>6237</v>
      </c>
      <c r="I6196" s="7">
        <v>1619400</v>
      </c>
      <c r="J6196" s="8">
        <v>3.9399999999999998E-2</v>
      </c>
    </row>
    <row r="6197" spans="1:10" x14ac:dyDescent="0.25">
      <c r="A6197" s="5" t="s">
        <v>6231</v>
      </c>
      <c r="B6197" s="5" t="s">
        <v>8064</v>
      </c>
      <c r="C6197" s="6" t="str">
        <f>_xll.QS.CONTEXT.CREATE("market.6195",A6197,"USD","SOFR")</f>
        <v>QSObject:PricingContext:w1~market.6195:8403</v>
      </c>
      <c r="D6197" s="6" t="str">
        <f>_xll.QS.CONTEXT.ADD.CURVE(C6197,"SOFR",$K$2:$K$7,$L$2:$L$7,,,"Actual360","LogLinear",TRUE)</f>
        <v>QSObject:ContextInput:w1~input.qs_context_add_curve.2359132437744.6196.3.0:34307</v>
      </c>
      <c r="E6197" s="6" t="str">
        <f>_xll.QS.INSTRUMENT.SWAP("swap.6195",H6197,B6197,"USD","SOFR",I6197,J6197,0,"Actual360","Simple","Annual","Annual","Annual")</f>
        <v>QSObject:Swap:w1~swap.6195:8402</v>
      </c>
      <c r="F6197" s="6" t="str">
        <f>_xll.QS.TRADE.CREATE("trade.6195",E6197,A6197,"Receive")</f>
        <v>QSObject:SwapTrade:w1~trade.6195:25645</v>
      </c>
      <c r="G6197" s="3">
        <f>_xll.QS.EVALUATE(C6197,F6197)</f>
        <v>55707.827162330846</v>
      </c>
      <c r="H6197" s="5" t="s">
        <v>6238</v>
      </c>
      <c r="I6197" s="7">
        <v>1619500</v>
      </c>
      <c r="J6197" s="8">
        <v>3.9500000000000007E-2</v>
      </c>
    </row>
    <row r="6198" spans="1:10" x14ac:dyDescent="0.25">
      <c r="A6198" s="5" t="s">
        <v>6232</v>
      </c>
      <c r="B6198" s="5" t="s">
        <v>8065</v>
      </c>
      <c r="C6198" s="6" t="str">
        <f>_xll.QS.CONTEXT.CREATE("market.6196",A6198,"USD","SOFR")</f>
        <v>QSObject:PricingContext:w1~market.6196:8401</v>
      </c>
      <c r="D6198" s="6" t="str">
        <f>_xll.QS.CONTEXT.ADD.CURVE(C6198,"SOFR",$K$2:$K$7,$L$2:$L$7,,,"Actual360","LogLinear",TRUE)</f>
        <v>QSObject:ContextInput:w1~input.qs_context_add_curve.2359132437744.6197.3.0:34306</v>
      </c>
      <c r="E6198" s="6" t="str">
        <f>_xll.QS.INSTRUMENT.SWAP("swap.6196",H6198,B6198,"USD","SOFR",I6198,J6198,0,"Actual360","Simple","Annual","Annual","Annual")</f>
        <v>QSObject:Swap:w1~swap.6196:8400</v>
      </c>
      <c r="F6198" s="6" t="str">
        <f>_xll.QS.TRADE.CREATE("trade.6196",E6198,A6198,"Receive")</f>
        <v>QSObject:SwapTrade:w1~trade.6196:24951</v>
      </c>
      <c r="G6198" s="3">
        <f>_xll.QS.EVALUATE(C6198,F6198)</f>
        <v>56527.931573254413</v>
      </c>
      <c r="H6198" s="5" t="s">
        <v>6239</v>
      </c>
      <c r="I6198" s="7">
        <v>1619600</v>
      </c>
      <c r="J6198" s="8">
        <v>3.9600000000000003E-2</v>
      </c>
    </row>
    <row r="6199" spans="1:10" x14ac:dyDescent="0.25">
      <c r="A6199" s="5" t="s">
        <v>6233</v>
      </c>
      <c r="B6199" s="5" t="s">
        <v>8066</v>
      </c>
      <c r="C6199" s="6" t="str">
        <f>_xll.QS.CONTEXT.CREATE("market.6197",A6199,"USD","SOFR")</f>
        <v>QSObject:PricingContext:w1~market.6197:8399</v>
      </c>
      <c r="D6199" s="6" t="str">
        <f>_xll.QS.CONTEXT.ADD.CURVE(C6199,"SOFR",$K$2:$K$7,$L$2:$L$7,,,"Actual360","LogLinear",TRUE)</f>
        <v>QSObject:ContextInput:w1~input.qs_context_add_curve.2359132437744.6198.3.0:34305</v>
      </c>
      <c r="E6199" s="6" t="str">
        <f>_xll.QS.INSTRUMENT.SWAP("swap.6197",H6199,B6199,"USD","SOFR",I6199,J6199,0,"Actual360","Simple","Annual","Annual","Annual")</f>
        <v>QSObject:Swap:w1~swap.6197:8398</v>
      </c>
      <c r="F6199" s="6" t="str">
        <f>_xll.QS.TRADE.CREATE("trade.6197",E6199,A6199,"Receive")</f>
        <v>QSObject:SwapTrade:w1~trade.6197:24950</v>
      </c>
      <c r="G6199" s="3">
        <f>_xll.QS.EVALUATE(C6199,F6199)</f>
        <v>57490.352757953107</v>
      </c>
      <c r="H6199" s="5" t="s">
        <v>6240</v>
      </c>
      <c r="I6199" s="7">
        <v>1619700</v>
      </c>
      <c r="J6199" s="8">
        <v>3.9700000000000013E-2</v>
      </c>
    </row>
    <row r="6200" spans="1:10" x14ac:dyDescent="0.25">
      <c r="A6200" s="5" t="s">
        <v>6234</v>
      </c>
      <c r="B6200" s="5" t="s">
        <v>8067</v>
      </c>
      <c r="C6200" s="6" t="str">
        <f>_xll.QS.CONTEXT.CREATE("market.6198",A6200,"USD","SOFR")</f>
        <v>QSObject:PricingContext:w1~market.6198:8397</v>
      </c>
      <c r="D6200" s="6" t="str">
        <f>_xll.QS.CONTEXT.ADD.CURVE(C6200,"SOFR",$K$2:$K$7,$L$2:$L$7,,,"Actual360","LogLinear",TRUE)</f>
        <v>QSObject:ContextInput:w1~input.qs_context_add_curve.2359132437744.6199.3.0:34304</v>
      </c>
      <c r="E6200" s="6" t="str">
        <f>_xll.QS.INSTRUMENT.SWAP("swap.6198",H6200,B6200,"USD","SOFR",I6200,J6200,0,"Actual360","Simple","Annual","Annual","Annual")</f>
        <v>QSObject:Swap:w1~swap.6198:8396</v>
      </c>
      <c r="F6200" s="6" t="str">
        <f>_xll.QS.TRADE.CREATE("trade.6198",E6200,A6200,"Receive")</f>
        <v>QSObject:SwapTrade:w1~trade.6198:24949</v>
      </c>
      <c r="G6200" s="3">
        <f>_xll.QS.EVALUATE(C6200,F6200)</f>
        <v>58256.067196422468</v>
      </c>
      <c r="H6200" s="5" t="s">
        <v>6241</v>
      </c>
      <c r="I6200" s="7">
        <v>1619800</v>
      </c>
      <c r="J6200" s="8">
        <v>3.9800000000000002E-2</v>
      </c>
    </row>
    <row r="6201" spans="1:10" x14ac:dyDescent="0.25">
      <c r="A6201" s="5" t="s">
        <v>6235</v>
      </c>
      <c r="B6201" s="5" t="s">
        <v>8068</v>
      </c>
      <c r="C6201" s="6" t="str">
        <f>_xll.QS.CONTEXT.CREATE("market.6199",A6201,"USD","SOFR")</f>
        <v>QSObject:PricingContext:w1~market.6199:8395</v>
      </c>
      <c r="D6201" s="6" t="str">
        <f>_xll.QS.CONTEXT.ADD.CURVE(C6201,"SOFR",$K$2:$K$7,$L$2:$L$7,,,"Actual360","LogLinear",TRUE)</f>
        <v>QSObject:ContextInput:w1~input.qs_context_add_curve.2359132437744.6200.3.0:34303</v>
      </c>
      <c r="E6201" s="6" t="str">
        <f>_xll.QS.INSTRUMENT.SWAP("swap.6199",H6201,B6201,"USD","SOFR",I6201,J6201,0,"Actual360","Simple","Annual","Annual","Annual")</f>
        <v>QSObject:Swap:w1~swap.6199:8394</v>
      </c>
      <c r="F6201" s="6" t="str">
        <f>_xll.QS.TRADE.CREATE("trade.6199",E6201,A6201,"Receive")</f>
        <v>QSObject:SwapTrade:w1~trade.6199:24948</v>
      </c>
      <c r="G6201" s="3">
        <f>_xll.QS.EVALUATE(C6201,F6201)</f>
        <v>59006.507386482175</v>
      </c>
      <c r="H6201" s="5" t="s">
        <v>6242</v>
      </c>
      <c r="I6201" s="7">
        <v>1619900</v>
      </c>
      <c r="J6201" s="8">
        <v>3.9899999999999998E-2</v>
      </c>
    </row>
    <row r="6202" spans="1:10" x14ac:dyDescent="0.25">
      <c r="A6202" s="5" t="s">
        <v>6236</v>
      </c>
      <c r="B6202" s="5" t="s">
        <v>8069</v>
      </c>
      <c r="C6202" s="6" t="str">
        <f>_xll.QS.CONTEXT.CREATE("market.6200",A6202,"USD","SOFR")</f>
        <v>QSObject:PricingContext:w1~market.6200:8393</v>
      </c>
      <c r="D6202" s="6" t="str">
        <f>_xll.QS.CONTEXT.ADD.CURVE(C6202,"SOFR",$K$2:$K$7,$L$2:$L$7,,,"Actual360","LogLinear",TRUE)</f>
        <v>QSObject:ContextInput:w1~input.qs_context_add_curve.2359132437744.6201.3.0:34302</v>
      </c>
      <c r="E6202" s="6" t="str">
        <f>_xll.QS.INSTRUMENT.SWAP("swap.6200",H6202,B6202,"USD","SOFR",I6202,J6202,0,"Actual360","Simple","Annual","Annual","Annual")</f>
        <v>QSObject:Swap:w1~swap.6200:8392</v>
      </c>
      <c r="F6202" s="6" t="str">
        <f>_xll.QS.TRADE.CREATE("trade.6200",E6202,A6202,"Receive")</f>
        <v>QSObject:SwapTrade:w1~trade.6200:25644</v>
      </c>
      <c r="G6202" s="3">
        <f>_xll.QS.EVALUATE(C6202,F6202)</f>
        <v>22355.421532647473</v>
      </c>
      <c r="H6202" s="5" t="s">
        <v>6243</v>
      </c>
      <c r="I6202" s="7">
        <v>1620000</v>
      </c>
      <c r="J6202" s="8">
        <v>3.5000000000000003E-2</v>
      </c>
    </row>
    <row r="6203" spans="1:10" x14ac:dyDescent="0.25">
      <c r="A6203" s="5" t="s">
        <v>6237</v>
      </c>
      <c r="B6203" s="5" t="s">
        <v>8070</v>
      </c>
      <c r="C6203" s="6" t="str">
        <f>_xll.QS.CONTEXT.CREATE("market.6201",A6203,"USD","SOFR")</f>
        <v>QSObject:PricingContext:w1~market.6201:8391</v>
      </c>
      <c r="D6203" s="6" t="str">
        <f>_xll.QS.CONTEXT.ADD.CURVE(C6203,"SOFR",$K$2:$K$7,$L$2:$L$7,,,"Actual360","LogLinear",TRUE)</f>
        <v>QSObject:ContextInput:w1~input.qs_context_add_curve.2359132437744.6202.3.0:34301</v>
      </c>
      <c r="E6203" s="6" t="str">
        <f>_xll.QS.INSTRUMENT.SWAP("swap.6201",H6203,B6203,"USD","SOFR",I6203,J6203,0,"Actual360","Simple","Annual","Annual","Annual")</f>
        <v>QSObject:Swap:w1~swap.6201:8390</v>
      </c>
      <c r="F6203" s="6" t="str">
        <f>_xll.QS.TRADE.CREATE("trade.6201",E6203,A6203,"Receive")</f>
        <v>QSObject:SwapTrade:w1~trade.6201:24947</v>
      </c>
      <c r="G6203" s="3">
        <f>_xll.QS.EVALUATE(C6203,F6203)</f>
        <v>23105.917969320224</v>
      </c>
      <c r="H6203" s="5" t="s">
        <v>6244</v>
      </c>
      <c r="I6203" s="7">
        <v>1620100</v>
      </c>
      <c r="J6203" s="8">
        <v>3.5100000000000013E-2</v>
      </c>
    </row>
    <row r="6204" spans="1:10" x14ac:dyDescent="0.25">
      <c r="A6204" s="5" t="s">
        <v>6238</v>
      </c>
      <c r="B6204" s="5" t="s">
        <v>8071</v>
      </c>
      <c r="C6204" s="6" t="str">
        <f>_xll.QS.CONTEXT.CREATE("market.6202",A6204,"USD","SOFR")</f>
        <v>QSObject:PricingContext:w1~market.6202:8389</v>
      </c>
      <c r="D6204" s="6" t="str">
        <f>_xll.QS.CONTEXT.ADD.CURVE(C6204,"SOFR",$K$2:$K$7,$L$2:$L$7,,,"Actual360","LogLinear",TRUE)</f>
        <v>QSObject:ContextInput:w1~input.qs_context_add_curve.2359132437744.6203.3.0:34300</v>
      </c>
      <c r="E6204" s="6" t="str">
        <f>_xll.QS.INSTRUMENT.SWAP("swap.6202",H6204,B6204,"USD","SOFR",I6204,J6204,0,"Actual360","Simple","Annual","Annual","Annual")</f>
        <v>QSObject:Swap:w1~swap.6202:8388</v>
      </c>
      <c r="F6204" s="6" t="str">
        <f>_xll.QS.TRADE.CREATE("trade.6202",E6204,A6204,"Receive")</f>
        <v>QSObject:SwapTrade:w1~trade.6202:25643</v>
      </c>
      <c r="G6204" s="3">
        <f>_xll.QS.EVALUATE(C6204,F6204)</f>
        <v>23592.875346888315</v>
      </c>
      <c r="H6204" s="5" t="s">
        <v>6245</v>
      </c>
      <c r="I6204" s="7">
        <v>1620200</v>
      </c>
      <c r="J6204" s="8">
        <v>3.5200000000000002E-2</v>
      </c>
    </row>
    <row r="6205" spans="1:10" x14ac:dyDescent="0.25">
      <c r="A6205" s="5" t="s">
        <v>6239</v>
      </c>
      <c r="B6205" s="5" t="s">
        <v>8072</v>
      </c>
      <c r="C6205" s="6" t="str">
        <f>_xll.QS.CONTEXT.CREATE("market.6203",A6205,"USD","SOFR")</f>
        <v>QSObject:PricingContext:w1~market.6203:8387</v>
      </c>
      <c r="D6205" s="6" t="str">
        <f>_xll.QS.CONTEXT.ADD.CURVE(C6205,"SOFR",$K$2:$K$7,$L$2:$L$7,,,"Actual360","LogLinear",TRUE)</f>
        <v>QSObject:ContextInput:w1~input.qs_context_add_curve.2359132437744.6204.3.0:34299</v>
      </c>
      <c r="E6205" s="6" t="str">
        <f>_xll.QS.INSTRUMENT.SWAP("swap.6203",H6205,B6205,"USD","SOFR",I6205,J6205,0,"Actual360","Simple","Annual","Annual","Annual")</f>
        <v>QSObject:Swap:w1~swap.6203:8386</v>
      </c>
      <c r="F6205" s="6" t="str">
        <f>_xll.QS.TRADE.CREATE("trade.6203",E6205,A6205,"Receive")</f>
        <v>QSObject:SwapTrade:w1~trade.6203:24946</v>
      </c>
      <c r="G6205" s="3">
        <f>_xll.QS.EVALUATE(C6205,F6205)</f>
        <v>24408.246801979534</v>
      </c>
      <c r="H6205" s="5" t="s">
        <v>6246</v>
      </c>
      <c r="I6205" s="7">
        <v>1620300</v>
      </c>
      <c r="J6205" s="8">
        <v>3.5299999999999998E-2</v>
      </c>
    </row>
    <row r="6206" spans="1:10" x14ac:dyDescent="0.25">
      <c r="A6206" s="5" t="s">
        <v>6240</v>
      </c>
      <c r="B6206" s="5" t="s">
        <v>8073</v>
      </c>
      <c r="C6206" s="6" t="str">
        <f>_xll.QS.CONTEXT.CREATE("market.6204",A6206,"USD","SOFR")</f>
        <v>QSObject:PricingContext:w1~market.6204:8385</v>
      </c>
      <c r="D6206" s="6" t="str">
        <f>_xll.QS.CONTEXT.ADD.CURVE(C6206,"SOFR",$K$2:$K$7,$L$2:$L$7,,,"Actual360","LogLinear",TRUE)</f>
        <v>QSObject:ContextInput:w1~input.qs_context_add_curve.2359132437744.6205.3.0:34298</v>
      </c>
      <c r="E6206" s="6" t="str">
        <f>_xll.QS.INSTRUMENT.SWAP("swap.6204",H6206,B6206,"USD","SOFR",I6206,J6206,0,"Actual360","Simple","Annual","Annual","Annual")</f>
        <v>QSObject:Swap:w1~swap.6204:8384</v>
      </c>
      <c r="F6206" s="6" t="str">
        <f>_xll.QS.TRADE.CREATE("trade.6204",E6206,A6206,"Receive")</f>
        <v>QSObject:SwapTrade:w1~trade.6204:25642</v>
      </c>
      <c r="G6206" s="3">
        <f>_xll.QS.EVALUATE(C6206,F6206)</f>
        <v>25385.573560484554</v>
      </c>
      <c r="H6206" s="5" t="s">
        <v>6247</v>
      </c>
      <c r="I6206" s="7">
        <v>1620400</v>
      </c>
      <c r="J6206" s="8">
        <v>3.5400000000000001E-2</v>
      </c>
    </row>
    <row r="6207" spans="1:10" x14ac:dyDescent="0.25">
      <c r="A6207" s="5" t="s">
        <v>6241</v>
      </c>
      <c r="B6207" s="5" t="s">
        <v>8074</v>
      </c>
      <c r="C6207" s="6" t="str">
        <f>_xll.QS.CONTEXT.CREATE("market.6205",A6207,"USD","SOFR")</f>
        <v>QSObject:PricingContext:w1~market.6205:8383</v>
      </c>
      <c r="D6207" s="6" t="str">
        <f>_xll.QS.CONTEXT.ADD.CURVE(C6207,"SOFR",$K$2:$K$7,$L$2:$L$7,,,"Actual360","LogLinear",TRUE)</f>
        <v>QSObject:ContextInput:w1~input.qs_context_add_curve.2359132437744.6206.3.0:34297</v>
      </c>
      <c r="E6207" s="6" t="str">
        <f>_xll.QS.INSTRUMENT.SWAP("swap.6205",H6207,B6207,"USD","SOFR",I6207,J6207,0,"Actual360","Simple","Annual","Annual","Annual")</f>
        <v>QSObject:Swap:w1~swap.6205:8382</v>
      </c>
      <c r="F6207" s="6" t="str">
        <f>_xll.QS.TRADE.CREATE("trade.6205",E6207,A6207,"Receive")</f>
        <v>QSObject:SwapTrade:w1~trade.6205:25641</v>
      </c>
      <c r="G6207" s="3">
        <f>_xll.QS.EVALUATE(C6207,F6207)</f>
        <v>26147.95664800056</v>
      </c>
      <c r="H6207" s="5" t="s">
        <v>6248</v>
      </c>
      <c r="I6207" s="7">
        <v>1620500</v>
      </c>
      <c r="J6207" s="8">
        <v>3.5499999999999997E-2</v>
      </c>
    </row>
    <row r="6208" spans="1:10" x14ac:dyDescent="0.25">
      <c r="A6208" s="5" t="s">
        <v>6242</v>
      </c>
      <c r="B6208" s="5" t="s">
        <v>8075</v>
      </c>
      <c r="C6208" s="6" t="str">
        <f>_xll.QS.CONTEXT.CREATE("market.6206",A6208,"USD","SOFR")</f>
        <v>QSObject:PricingContext:w1~market.6206:8381</v>
      </c>
      <c r="D6208" s="6" t="str">
        <f>_xll.QS.CONTEXT.ADD.CURVE(C6208,"SOFR",$K$2:$K$7,$L$2:$L$7,,,"Actual360","LogLinear",TRUE)</f>
        <v>QSObject:ContextInput:w1~input.qs_context_add_curve.2359132437744.6207.3.0:34296</v>
      </c>
      <c r="E6208" s="6" t="str">
        <f>_xll.QS.INSTRUMENT.SWAP("swap.6206",H6208,B6208,"USD","SOFR",I6208,J6208,0,"Actual360","Simple","Annual","Annual","Annual")</f>
        <v>QSObject:Swap:w1~swap.6206:8380</v>
      </c>
      <c r="F6208" s="6" t="str">
        <f>_xll.QS.TRADE.CREATE("trade.6206",E6208,A6208,"Receive")</f>
        <v>QSObject:SwapTrade:w1~trade.6206:25640</v>
      </c>
      <c r="G6208" s="3">
        <f>_xll.QS.EVALUATE(C6208,F6208)</f>
        <v>26896.556714665188</v>
      </c>
      <c r="H6208" s="5" t="s">
        <v>6249</v>
      </c>
      <c r="I6208" s="7">
        <v>1620600</v>
      </c>
      <c r="J6208" s="8">
        <v>3.5600000000000007E-2</v>
      </c>
    </row>
    <row r="6209" spans="1:10" x14ac:dyDescent="0.25">
      <c r="A6209" s="5" t="s">
        <v>6243</v>
      </c>
      <c r="B6209" s="5" t="s">
        <v>8076</v>
      </c>
      <c r="C6209" s="6" t="str">
        <f>_xll.QS.CONTEXT.CREATE("market.6207",A6209,"USD","SOFR")</f>
        <v>QSObject:PricingContext:w1~market.6207:8379</v>
      </c>
      <c r="D6209" s="6" t="str">
        <f>_xll.QS.CONTEXT.ADD.CURVE(C6209,"SOFR",$K$2:$K$7,$L$2:$L$7,,,"Actual360","LogLinear",TRUE)</f>
        <v>QSObject:ContextInput:w1~input.qs_context_add_curve.2359132437744.6208.3.0:34295</v>
      </c>
      <c r="E6209" s="6" t="str">
        <f>_xll.QS.INSTRUMENT.SWAP("swap.6207",H6209,B6209,"USD","SOFR",I6209,J6209,0,"Actual360","Simple","Annual","Annual","Annual")</f>
        <v>QSObject:Swap:w1~swap.6207:8378</v>
      </c>
      <c r="F6209" s="6" t="str">
        <f>_xll.QS.TRADE.CREATE("trade.6207",E6209,A6209,"Receive")</f>
        <v>QSObject:SwapTrade:w1~trade.6207:24945</v>
      </c>
      <c r="G6209" s="3">
        <f>_xll.QS.EVALUATE(C6209,F6209)</f>
        <v>27544.575833142502</v>
      </c>
      <c r="H6209" s="5" t="s">
        <v>6250</v>
      </c>
      <c r="I6209" s="7">
        <v>1620700</v>
      </c>
      <c r="J6209" s="8">
        <v>3.5700000000000003E-2</v>
      </c>
    </row>
    <row r="6210" spans="1:10" x14ac:dyDescent="0.25">
      <c r="A6210" s="5" t="s">
        <v>6244</v>
      </c>
      <c r="B6210" s="5" t="s">
        <v>8077</v>
      </c>
      <c r="C6210" s="6" t="str">
        <f>_xll.QS.CONTEXT.CREATE("market.6208",A6210,"USD","SOFR")</f>
        <v>QSObject:PricingContext:w1~market.6208:8377</v>
      </c>
      <c r="D6210" s="6" t="str">
        <f>_xll.QS.CONTEXT.ADD.CURVE(C6210,"SOFR",$K$2:$K$7,$L$2:$L$7,,,"Actual360","LogLinear",TRUE)</f>
        <v>QSObject:ContextInput:w1~input.qs_context_add_curve.2359132437744.6209.3.0:34294</v>
      </c>
      <c r="E6210" s="6" t="str">
        <f>_xll.QS.INSTRUMENT.SWAP("swap.6208",H6210,B6210,"USD","SOFR",I6210,J6210,0,"Actual360","Simple","Annual","Annual","Annual")</f>
        <v>QSObject:Swap:w1~swap.6208:8376</v>
      </c>
      <c r="F6210" s="6" t="str">
        <f>_xll.QS.TRADE.CREATE("trade.6208",E6210,A6210,"Receive")</f>
        <v>QSObject:SwapTrade:w1~trade.6208:25639</v>
      </c>
      <c r="G6210" s="3">
        <f>_xll.QS.EVALUATE(C6210,F6210)</f>
        <v>28152.443268450341</v>
      </c>
      <c r="H6210" s="5" t="s">
        <v>6251</v>
      </c>
      <c r="I6210" s="7">
        <v>1620800</v>
      </c>
      <c r="J6210" s="8">
        <v>3.5800000000000012E-2</v>
      </c>
    </row>
    <row r="6211" spans="1:10" x14ac:dyDescent="0.25">
      <c r="A6211" s="5" t="s">
        <v>6245</v>
      </c>
      <c r="B6211" s="5" t="s">
        <v>8078</v>
      </c>
      <c r="C6211" s="6" t="str">
        <f>_xll.QS.CONTEXT.CREATE("market.6209",A6211,"USD","SOFR")</f>
        <v>QSObject:PricingContext:w1~market.6209:8375</v>
      </c>
      <c r="D6211" s="6" t="str">
        <f>_xll.QS.CONTEXT.ADD.CURVE(C6211,"SOFR",$K$2:$K$7,$L$2:$L$7,,,"Actual360","LogLinear",TRUE)</f>
        <v>QSObject:ContextInput:w1~input.qs_context_add_curve.2359132437744.6210.3.0:34293</v>
      </c>
      <c r="E6211" s="6" t="str">
        <f>_xll.QS.INSTRUMENT.SWAP("swap.6209",H6211,B6211,"USD","SOFR",I6211,J6211,0,"Actual360","Simple","Annual","Annual","Annual")</f>
        <v>QSObject:Swap:w1~swap.6209:8374</v>
      </c>
      <c r="F6211" s="6" t="str">
        <f>_xll.QS.TRADE.CREATE("trade.6209",E6211,A6211,"Receive")</f>
        <v>QSObject:SwapTrade:w1~trade.6209:25638</v>
      </c>
      <c r="G6211" s="3">
        <f>_xll.QS.EVALUATE(C6211,F6211)</f>
        <v>28904.002322128879</v>
      </c>
      <c r="H6211" s="5" t="s">
        <v>6252</v>
      </c>
      <c r="I6211" s="7">
        <v>1620900</v>
      </c>
      <c r="J6211" s="8">
        <v>3.5900000000000001E-2</v>
      </c>
    </row>
    <row r="6212" spans="1:10" x14ac:dyDescent="0.25">
      <c r="A6212" s="5" t="s">
        <v>6246</v>
      </c>
      <c r="B6212" s="5" t="s">
        <v>8079</v>
      </c>
      <c r="C6212" s="6" t="str">
        <f>_xll.QS.CONTEXT.CREATE("market.6210",A6212,"USD","SOFR")</f>
        <v>QSObject:PricingContext:w1~market.6210:8373</v>
      </c>
      <c r="D6212" s="6" t="str">
        <f>_xll.QS.CONTEXT.ADD.CURVE(C6212,"SOFR",$K$2:$K$7,$L$2:$L$7,,,"Actual360","LogLinear",TRUE)</f>
        <v>QSObject:ContextInput:w1~input.qs_context_add_curve.2359132437744.6211.3.0:34292</v>
      </c>
      <c r="E6212" s="6" t="str">
        <f>_xll.QS.INSTRUMENT.SWAP("swap.6210",H6212,B6212,"USD","SOFR",I6212,J6212,0,"Actual360","Simple","Annual","Annual","Annual")</f>
        <v>QSObject:Swap:w1~swap.6210:8372</v>
      </c>
      <c r="F6212" s="6" t="str">
        <f>_xll.QS.TRADE.CREATE("trade.6210",E6212,A6212,"Receive")</f>
        <v>QSObject:SwapTrade:w1~trade.6210:25637</v>
      </c>
      <c r="G6212" s="3">
        <f>_xll.QS.EVALUATE(C6212,F6212)</f>
        <v>29700.087823502356</v>
      </c>
      <c r="H6212" s="5" t="s">
        <v>6253</v>
      </c>
      <c r="I6212" s="7">
        <v>1621000</v>
      </c>
      <c r="J6212" s="8">
        <v>3.5999999999999997E-2</v>
      </c>
    </row>
    <row r="6213" spans="1:10" x14ac:dyDescent="0.25">
      <c r="A6213" s="5" t="s">
        <v>6247</v>
      </c>
      <c r="B6213" s="5" t="s">
        <v>8080</v>
      </c>
      <c r="C6213" s="6" t="str">
        <f>_xll.QS.CONTEXT.CREATE("market.6211",A6213,"USD","SOFR")</f>
        <v>QSObject:PricingContext:w1~market.6211:8371</v>
      </c>
      <c r="D6213" s="6" t="str">
        <f>_xll.QS.CONTEXT.ADD.CURVE(C6213,"SOFR",$K$2:$K$7,$L$2:$L$7,,,"Actual360","LogLinear",TRUE)</f>
        <v>QSObject:ContextInput:w1~input.qs_context_add_curve.2359132437744.6212.3.0:34291</v>
      </c>
      <c r="E6213" s="6" t="str">
        <f>_xll.QS.INSTRUMENT.SWAP("swap.6211",H6213,B6213,"USD","SOFR",I6213,J6213,0,"Actual360","Simple","Annual","Annual","Annual")</f>
        <v>QSObject:Swap:w1~swap.6211:8370</v>
      </c>
      <c r="F6213" s="6" t="str">
        <f>_xll.QS.TRADE.CREATE("trade.6211",E6213,A6213,"Receive")</f>
        <v>QSObject:SwapTrade:w1~trade.6211:25636</v>
      </c>
      <c r="G6213" s="3">
        <f>_xll.QS.EVALUATE(C6213,F6213)</f>
        <v>30567.786184818338</v>
      </c>
      <c r="H6213" s="5" t="s">
        <v>6254</v>
      </c>
      <c r="I6213" s="7">
        <v>1621100</v>
      </c>
      <c r="J6213" s="8">
        <v>3.61E-2</v>
      </c>
    </row>
    <row r="6214" spans="1:10" x14ac:dyDescent="0.25">
      <c r="A6214" s="5" t="s">
        <v>6248</v>
      </c>
      <c r="B6214" s="5" t="s">
        <v>8081</v>
      </c>
      <c r="C6214" s="6" t="str">
        <f>_xll.QS.CONTEXT.CREATE("market.6212",A6214,"USD","SOFR")</f>
        <v>QSObject:PricingContext:w1~market.6212:8369</v>
      </c>
      <c r="D6214" s="6" t="str">
        <f>_xll.QS.CONTEXT.ADD.CURVE(C6214,"SOFR",$K$2:$K$7,$L$2:$L$7,,,"Actual360","LogLinear",TRUE)</f>
        <v>QSObject:ContextInput:w1~input.qs_context_add_curve.2359132437744.6213.3.0:34290</v>
      </c>
      <c r="E6214" s="6" t="str">
        <f>_xll.QS.INSTRUMENT.SWAP("swap.6212",H6214,B6214,"USD","SOFR",I6214,J6214,0,"Actual360","Simple","Annual","Annual","Annual")</f>
        <v>QSObject:Swap:w1~swap.6212:8368</v>
      </c>
      <c r="F6214" s="6" t="str">
        <f>_xll.QS.TRADE.CREATE("trade.6212",E6214,A6214,"Receive")</f>
        <v>QSObject:SwapTrade:w1~trade.6212:24944</v>
      </c>
      <c r="G6214" s="3">
        <f>_xll.QS.EVALUATE(C6214,F6214)</f>
        <v>31387.694068037679</v>
      </c>
      <c r="H6214" s="5" t="s">
        <v>6255</v>
      </c>
      <c r="I6214" s="7">
        <v>1621200</v>
      </c>
      <c r="J6214" s="8">
        <v>3.6200000000000003E-2</v>
      </c>
    </row>
    <row r="6215" spans="1:10" x14ac:dyDescent="0.25">
      <c r="A6215" s="5" t="s">
        <v>6249</v>
      </c>
      <c r="B6215" s="5" t="s">
        <v>8082</v>
      </c>
      <c r="C6215" s="6" t="str">
        <f>_xll.QS.CONTEXT.CREATE("market.6213",A6215,"USD","SOFR")</f>
        <v>QSObject:PricingContext:w1~market.6213:8367</v>
      </c>
      <c r="D6215" s="6" t="str">
        <f>_xll.QS.CONTEXT.ADD.CURVE(C6215,"SOFR",$K$2:$K$7,$L$2:$L$7,,,"Actual360","LogLinear",TRUE)</f>
        <v>QSObject:ContextInput:w1~input.qs_context_add_curve.2359132437744.6214.3.0:34289</v>
      </c>
      <c r="E6215" s="6" t="str">
        <f>_xll.QS.INSTRUMENT.SWAP("swap.6213",H6215,B6215,"USD","SOFR",I6215,J6215,0,"Actual360","Simple","Annual","Annual","Annual")</f>
        <v>QSObject:Swap:w1~swap.6213:8366</v>
      </c>
      <c r="F6215" s="6" t="str">
        <f>_xll.QS.TRADE.CREATE("trade.6213",E6215,A6215,"Receive")</f>
        <v>QSObject:SwapTrade:w1~trade.6213:25635</v>
      </c>
      <c r="G6215" s="3">
        <f>_xll.QS.EVALUATE(C6215,F6215)</f>
        <v>32075.783153059267</v>
      </c>
      <c r="H6215" s="5" t="s">
        <v>6256</v>
      </c>
      <c r="I6215" s="7">
        <v>1621300</v>
      </c>
      <c r="J6215" s="8">
        <v>3.6300000000000013E-2</v>
      </c>
    </row>
    <row r="6216" spans="1:10" x14ac:dyDescent="0.25">
      <c r="A6216" s="5" t="s">
        <v>6250</v>
      </c>
      <c r="B6216" s="5" t="s">
        <v>8083</v>
      </c>
      <c r="C6216" s="6" t="str">
        <f>_xll.QS.CONTEXT.CREATE("market.6214",A6216,"USD","SOFR")</f>
        <v>QSObject:PricingContext:w1~market.6214:8365</v>
      </c>
      <c r="D6216" s="6" t="str">
        <f>_xll.QS.CONTEXT.ADD.CURVE(C6216,"SOFR",$K$2:$K$7,$L$2:$L$7,,,"Actual360","LogLinear",TRUE)</f>
        <v>QSObject:ContextInput:w1~input.qs_context_add_curve.2359132437744.6215.3.0:34288</v>
      </c>
      <c r="E6216" s="6" t="str">
        <f>_xll.QS.INSTRUMENT.SWAP("swap.6214",H6216,B6216,"USD","SOFR",I6216,J6216,0,"Actual360","Simple","Annual","Annual","Annual")</f>
        <v>QSObject:Swap:w1~swap.6214:8364</v>
      </c>
      <c r="F6216" s="6" t="str">
        <f>_xll.QS.TRADE.CREATE("trade.6214",E6216,A6216,"Receive")</f>
        <v>QSObject:SwapTrade:w1~trade.6214:24943</v>
      </c>
      <c r="G6216" s="3">
        <f>_xll.QS.EVALUATE(C6216,F6216)</f>
        <v>32696.753981302769</v>
      </c>
      <c r="H6216" s="5" t="s">
        <v>6257</v>
      </c>
      <c r="I6216" s="7">
        <v>1621400</v>
      </c>
      <c r="J6216" s="8">
        <v>3.6400000000000002E-2</v>
      </c>
    </row>
    <row r="6217" spans="1:10" x14ac:dyDescent="0.25">
      <c r="A6217" s="5" t="s">
        <v>6251</v>
      </c>
      <c r="B6217" s="5" t="s">
        <v>8084</v>
      </c>
      <c r="C6217" s="6" t="str">
        <f>_xll.QS.CONTEXT.CREATE("market.6215",A6217,"USD","SOFR")</f>
        <v>QSObject:PricingContext:w1~market.6215:8363</v>
      </c>
      <c r="D6217" s="6" t="str">
        <f>_xll.QS.CONTEXT.ADD.CURVE(C6217,"SOFR",$K$2:$K$7,$L$2:$L$7,,,"Actual360","LogLinear",TRUE)</f>
        <v>QSObject:ContextInput:w1~input.qs_context_add_curve.2359132437744.6216.3.0:34287</v>
      </c>
      <c r="E6217" s="6" t="str">
        <f>_xll.QS.INSTRUMENT.SWAP("swap.6215",H6217,B6217,"USD","SOFR",I6217,J6217,0,"Actual360","Simple","Annual","Annual","Annual")</f>
        <v>QSObject:Swap:w1~swap.6215:8362</v>
      </c>
      <c r="F6217" s="6" t="str">
        <f>_xll.QS.TRADE.CREATE("trade.6215",E6217,A6217,"Receive")</f>
        <v>QSObject:SwapTrade:w1~trade.6215:25634</v>
      </c>
      <c r="G6217" s="3">
        <f>_xll.QS.EVALUATE(C6217,F6217)</f>
        <v>33268.075818228099</v>
      </c>
      <c r="H6217" s="5" t="s">
        <v>6258</v>
      </c>
      <c r="I6217" s="7">
        <v>1621500</v>
      </c>
      <c r="J6217" s="8">
        <v>3.6499999999999998E-2</v>
      </c>
    </row>
    <row r="6218" spans="1:10" x14ac:dyDescent="0.25">
      <c r="A6218" s="5" t="s">
        <v>6252</v>
      </c>
      <c r="B6218" s="5" t="s">
        <v>8085</v>
      </c>
      <c r="C6218" s="6" t="str">
        <f>_xll.QS.CONTEXT.CREATE("market.6216",A6218,"USD","SOFR")</f>
        <v>QSObject:PricingContext:w1~market.6216:8361</v>
      </c>
      <c r="D6218" s="6" t="str">
        <f>_xll.QS.CONTEXT.ADD.CURVE(C6218,"SOFR",$K$2:$K$7,$L$2:$L$7,,,"Actual360","LogLinear",TRUE)</f>
        <v>QSObject:ContextInput:w1~input.qs_context_add_curve.2359132437744.6217.3.0:34286</v>
      </c>
      <c r="E6218" s="6" t="str">
        <f>_xll.QS.INSTRUMENT.SWAP("swap.6216",H6218,B6218,"USD","SOFR",I6218,J6218,0,"Actual360","Simple","Annual","Annual","Annual")</f>
        <v>QSObject:Swap:w1~swap.6216:8360</v>
      </c>
      <c r="F6218" s="6" t="str">
        <f>_xll.QS.TRADE.CREATE("trade.6216",E6218,A6218,"Receive")</f>
        <v>QSObject:SwapTrade:w1~trade.6216:25633</v>
      </c>
      <c r="G6218" s="3">
        <f>_xll.QS.EVALUATE(C6218,F6218)</f>
        <v>34086.482515929529</v>
      </c>
      <c r="H6218" s="5" t="s">
        <v>6259</v>
      </c>
      <c r="I6218" s="7">
        <v>1621600</v>
      </c>
      <c r="J6218" s="8">
        <v>3.6600000000000001E-2</v>
      </c>
    </row>
    <row r="6219" spans="1:10" x14ac:dyDescent="0.25">
      <c r="A6219" s="5" t="s">
        <v>6253</v>
      </c>
      <c r="B6219" s="5" t="s">
        <v>8086</v>
      </c>
      <c r="C6219" s="6" t="str">
        <f>_xll.QS.CONTEXT.CREATE("market.6217",A6219,"USD","SOFR")</f>
        <v>QSObject:PricingContext:w1~market.6217:8359</v>
      </c>
      <c r="D6219" s="6" t="str">
        <f>_xll.QS.CONTEXT.ADD.CURVE(C6219,"SOFR",$K$2:$K$7,$L$2:$L$7,,,"Actual360","LogLinear",TRUE)</f>
        <v>QSObject:ContextInput:w1~input.qs_context_add_curve.2359132437744.6218.3.0:34285</v>
      </c>
      <c r="E6219" s="6" t="str">
        <f>_xll.QS.INSTRUMENT.SWAP("swap.6217",H6219,B6219,"USD","SOFR",I6219,J6219,0,"Actual360","Simple","Annual","Annual","Annual")</f>
        <v>QSObject:Swap:w1~swap.6217:8358</v>
      </c>
      <c r="F6219" s="6" t="str">
        <f>_xll.QS.TRADE.CREATE("trade.6217",E6219,A6219,"Receive")</f>
        <v>QSObject:SwapTrade:w1~trade.6217:25632</v>
      </c>
      <c r="G6219" s="3">
        <f>_xll.QS.EVALUATE(C6219,F6219)</f>
        <v>34903.288198058464</v>
      </c>
      <c r="H6219" s="5" t="s">
        <v>6260</v>
      </c>
      <c r="I6219" s="7">
        <v>1621700</v>
      </c>
      <c r="J6219" s="8">
        <v>3.6700000000000003E-2</v>
      </c>
    </row>
    <row r="6220" spans="1:10" x14ac:dyDescent="0.25">
      <c r="A6220" s="5" t="s">
        <v>6254</v>
      </c>
      <c r="B6220" s="5" t="s">
        <v>8087</v>
      </c>
      <c r="C6220" s="6" t="str">
        <f>_xll.QS.CONTEXT.CREATE("market.6218",A6220,"USD","SOFR")</f>
        <v>QSObject:PricingContext:w1~market.6218:8357</v>
      </c>
      <c r="D6220" s="6" t="str">
        <f>_xll.QS.CONTEXT.ADD.CURVE(C6220,"SOFR",$K$2:$K$7,$L$2:$L$7,,,"Actual360","LogLinear",TRUE)</f>
        <v>QSObject:ContextInput:w1~input.qs_context_add_curve.2359132437744.6219.3.0:34284</v>
      </c>
      <c r="E6220" s="6" t="str">
        <f>_xll.QS.INSTRUMENT.SWAP("swap.6218",H6220,B6220,"USD","SOFR",I6220,J6220,0,"Actual360","Simple","Annual","Annual","Annual")</f>
        <v>QSObject:Swap:w1~swap.6218:8356</v>
      </c>
      <c r="F6220" s="6" t="str">
        <f>_xll.QS.TRADE.CREATE("trade.6218",E6220,A6220,"Receive")</f>
        <v>QSObject:SwapTrade:w1~trade.6218:24942</v>
      </c>
      <c r="G6220" s="3">
        <f>_xll.QS.EVALUATE(C6220,F6220)</f>
        <v>35875.596380808842</v>
      </c>
      <c r="H6220" s="5" t="s">
        <v>6261</v>
      </c>
      <c r="I6220" s="7">
        <v>1621800</v>
      </c>
      <c r="J6220" s="8">
        <v>3.6800000000000013E-2</v>
      </c>
    </row>
    <row r="6221" spans="1:10" x14ac:dyDescent="0.25">
      <c r="A6221" s="5" t="s">
        <v>6255</v>
      </c>
      <c r="B6221" s="5" t="s">
        <v>8088</v>
      </c>
      <c r="C6221" s="6" t="str">
        <f>_xll.QS.CONTEXT.CREATE("market.6219",A6221,"USD","SOFR")</f>
        <v>QSObject:PricingContext:w1~market.6219:8355</v>
      </c>
      <c r="D6221" s="6" t="str">
        <f>_xll.QS.CONTEXT.ADD.CURVE(C6221,"SOFR",$K$2:$K$7,$L$2:$L$7,,,"Actual360","LogLinear",TRUE)</f>
        <v>QSObject:ContextInput:w1~input.qs_context_add_curve.2359132437744.6220.3.0:34283</v>
      </c>
      <c r="E6221" s="6" t="str">
        <f>_xll.QS.INSTRUMENT.SWAP("swap.6219",H6221,B6221,"USD","SOFR",I6221,J6221,0,"Actual360","Simple","Annual","Annual","Annual")</f>
        <v>QSObject:Swap:w1~swap.6219:8354</v>
      </c>
      <c r="F6221" s="6" t="str">
        <f>_xll.QS.TRADE.CREATE("trade.6219",E6221,A6221,"Receive")</f>
        <v>QSObject:SwapTrade:w1~trade.6219:25631</v>
      </c>
      <c r="G6221" s="3">
        <f>_xll.QS.EVALUATE(C6221,F6221)</f>
        <v>36641.234122378963</v>
      </c>
      <c r="H6221" s="5" t="s">
        <v>6262</v>
      </c>
      <c r="I6221" s="7">
        <v>1621900</v>
      </c>
      <c r="J6221" s="8">
        <v>3.6900000000000002E-2</v>
      </c>
    </row>
    <row r="6222" spans="1:10" x14ac:dyDescent="0.25">
      <c r="A6222" s="5" t="s">
        <v>6256</v>
      </c>
      <c r="B6222" s="5" t="s">
        <v>8089</v>
      </c>
      <c r="C6222" s="6" t="str">
        <f>_xll.QS.CONTEXT.CREATE("market.6220",A6222,"USD","SOFR")</f>
        <v>QSObject:PricingContext:w1~market.6220:8353</v>
      </c>
      <c r="D6222" s="6" t="str">
        <f>_xll.QS.CONTEXT.ADD.CURVE(C6222,"SOFR",$K$2:$K$7,$L$2:$L$7,,,"Actual360","LogLinear",TRUE)</f>
        <v>QSObject:ContextInput:w1~input.qs_context_add_curve.2359132437744.6221.3.0:34282</v>
      </c>
      <c r="E6222" s="6" t="str">
        <f>_xll.QS.INSTRUMENT.SWAP("swap.6220",H6222,B6222,"USD","SOFR",I6222,J6222,0,"Actual360","Simple","Annual","Annual","Annual")</f>
        <v>QSObject:Swap:w1~swap.6220:8352</v>
      </c>
      <c r="F6222" s="6" t="str">
        <f>_xll.QS.TRADE.CREATE("trade.6220",E6222,A6222,"Receive")</f>
        <v>QSObject:SwapTrade:w1~trade.6220:24941</v>
      </c>
      <c r="G6222" s="3">
        <f>_xll.QS.EVALUATE(C6222,F6222)</f>
        <v>37392.052494522475</v>
      </c>
      <c r="H6222" s="5" t="s">
        <v>6263</v>
      </c>
      <c r="I6222" s="7">
        <v>1622000</v>
      </c>
      <c r="J6222" s="8">
        <v>3.7000000000000012E-2</v>
      </c>
    </row>
    <row r="6223" spans="1:10" x14ac:dyDescent="0.25">
      <c r="A6223" s="5" t="s">
        <v>6257</v>
      </c>
      <c r="B6223" s="5" t="s">
        <v>8090</v>
      </c>
      <c r="C6223" s="6" t="str">
        <f>_xll.QS.CONTEXT.CREATE("market.6221",A6223,"USD","SOFR")</f>
        <v>QSObject:PricingContext:w1~market.6221:8351</v>
      </c>
      <c r="D6223" s="6" t="str">
        <f>_xll.QS.CONTEXT.ADD.CURVE(C6223,"SOFR",$K$2:$K$7,$L$2:$L$7,,,"Actual360","LogLinear",TRUE)</f>
        <v>QSObject:ContextInput:w1~input.qs_context_add_curve.2359132437744.6222.3.0:34281</v>
      </c>
      <c r="E6223" s="6" t="str">
        <f>_xll.QS.INSTRUMENT.SWAP("swap.6221",H6223,B6223,"USD","SOFR",I6223,J6223,0,"Actual360","Simple","Annual","Annual","Annual")</f>
        <v>QSObject:Swap:w1~swap.6221:8350</v>
      </c>
      <c r="F6223" s="6" t="str">
        <f>_xll.QS.TRADE.CREATE("trade.6221",E6223,A6223,"Receive")</f>
        <v>QSObject:SwapTrade:w1~trade.6221:25630</v>
      </c>
      <c r="G6223" s="3">
        <f>_xll.QS.EVALUATE(C6223,F6223)</f>
        <v>38029.21374682129</v>
      </c>
      <c r="H6223" s="5" t="s">
        <v>6264</v>
      </c>
      <c r="I6223" s="7">
        <v>1622100</v>
      </c>
      <c r="J6223" s="8">
        <v>3.7100000000000001E-2</v>
      </c>
    </row>
    <row r="6224" spans="1:10" x14ac:dyDescent="0.25">
      <c r="A6224" s="5" t="s">
        <v>6258</v>
      </c>
      <c r="B6224" s="5" t="s">
        <v>8091</v>
      </c>
      <c r="C6224" s="6" t="str">
        <f>_xll.QS.CONTEXT.CREATE("market.6222",A6224,"USD","SOFR")</f>
        <v>QSObject:PricingContext:w1~market.6222:8349</v>
      </c>
      <c r="D6224" s="6" t="str">
        <f>_xll.QS.CONTEXT.ADD.CURVE(C6224,"SOFR",$K$2:$K$7,$L$2:$L$7,,,"Actual360","LogLinear",TRUE)</f>
        <v>QSObject:ContextInput:w1~input.qs_context_add_curve.2359132437744.6223.3.0:34280</v>
      </c>
      <c r="E6224" s="6" t="str">
        <f>_xll.QS.INSTRUMENT.SWAP("swap.6222",H6224,B6224,"USD","SOFR",I6224,J6224,0,"Actual360","Simple","Annual","Annual","Annual")</f>
        <v>QSObject:Swap:w1~swap.6222:8348</v>
      </c>
      <c r="F6224" s="6" t="str">
        <f>_xll.QS.TRADE.CREATE("trade.6222",E6224,A6224,"Receive")</f>
        <v>QSObject:SwapTrade:w1~trade.6222:25629</v>
      </c>
      <c r="G6224" s="3">
        <f>_xll.QS.EVALUATE(C6224,F6224)</f>
        <v>38654.492955805261</v>
      </c>
      <c r="H6224" s="5" t="s">
        <v>6265</v>
      </c>
      <c r="I6224" s="7">
        <v>1622200</v>
      </c>
      <c r="J6224" s="8">
        <v>3.7199999999999997E-2</v>
      </c>
    </row>
    <row r="6225" spans="1:10" x14ac:dyDescent="0.25">
      <c r="A6225" s="5" t="s">
        <v>6259</v>
      </c>
      <c r="B6225" s="5" t="s">
        <v>8092</v>
      </c>
      <c r="C6225" s="6" t="str">
        <f>_xll.QS.CONTEXT.CREATE("market.6223",A6225,"USD","SOFR")</f>
        <v>QSObject:PricingContext:w1~market.6223:8347</v>
      </c>
      <c r="D6225" s="6" t="str">
        <f>_xll.QS.CONTEXT.ADD.CURVE(C6225,"SOFR",$K$2:$K$7,$L$2:$L$7,,,"Actual360","LogLinear",TRUE)</f>
        <v>QSObject:ContextInput:w1~input.qs_context_add_curve.2359132437744.6224.3.0:34279</v>
      </c>
      <c r="E6225" s="6" t="str">
        <f>_xll.QS.INSTRUMENT.SWAP("swap.6223",H6225,B6225,"USD","SOFR",I6225,J6225,0,"Actual360","Simple","Annual","Annual","Annual")</f>
        <v>QSObject:Swap:w1~swap.6223:8346</v>
      </c>
      <c r="F6225" s="6" t="str">
        <f>_xll.QS.TRADE.CREATE("trade.6223",E6225,A6225,"Receive")</f>
        <v>QSObject:SwapTrade:w1~trade.6223:24940</v>
      </c>
      <c r="G6225" s="3">
        <f>_xll.QS.EVALUATE(C6225,F6225)</f>
        <v>39408.132155307125</v>
      </c>
      <c r="H6225" s="5" t="s">
        <v>6266</v>
      </c>
      <c r="I6225" s="7">
        <v>1622300</v>
      </c>
      <c r="J6225" s="8">
        <v>3.73E-2</v>
      </c>
    </row>
    <row r="6226" spans="1:10" x14ac:dyDescent="0.25">
      <c r="A6226" s="5" t="s">
        <v>6260</v>
      </c>
      <c r="B6226" s="5" t="s">
        <v>8093</v>
      </c>
      <c r="C6226" s="6" t="str">
        <f>_xll.QS.CONTEXT.CREATE("market.6224",A6226,"USD","SOFR")</f>
        <v>QSObject:PricingContext:w1~market.6224:8345</v>
      </c>
      <c r="D6226" s="6" t="str">
        <f>_xll.QS.CONTEXT.ADD.CURVE(C6226,"SOFR",$K$2:$K$7,$L$2:$L$7,,,"Actual360","LogLinear",TRUE)</f>
        <v>QSObject:ContextInput:w1~input.qs_context_add_curve.2359132437744.6225.3.0:34278</v>
      </c>
      <c r="E6226" s="6" t="str">
        <f>_xll.QS.INSTRUMENT.SWAP("swap.6224",H6226,B6226,"USD","SOFR",I6226,J6226,0,"Actual360","Simple","Annual","Annual","Annual")</f>
        <v>QSObject:Swap:w1~swap.6224:8344</v>
      </c>
      <c r="F6226" s="6" t="str">
        <f>_xll.QS.TRADE.CREATE("trade.6224",E6226,A6226,"Receive")</f>
        <v>QSObject:SwapTrade:w1~trade.6224:25628</v>
      </c>
      <c r="G6226" s="3">
        <f>_xll.QS.EVALUATE(C6226,F6226)</f>
        <v>40200.348421405011</v>
      </c>
      <c r="H6226" s="5" t="s">
        <v>6267</v>
      </c>
      <c r="I6226" s="7">
        <v>1622400</v>
      </c>
      <c r="J6226" s="8">
        <v>3.7400000000000003E-2</v>
      </c>
    </row>
    <row r="6227" spans="1:10" x14ac:dyDescent="0.25">
      <c r="A6227" s="5" t="s">
        <v>6261</v>
      </c>
      <c r="B6227" s="5" t="s">
        <v>8094</v>
      </c>
      <c r="C6227" s="6" t="str">
        <f>_xll.QS.CONTEXT.CREATE("market.6225",A6227,"USD","SOFR")</f>
        <v>QSObject:PricingContext:w1~market.6225:8343</v>
      </c>
      <c r="D6227" s="6" t="str">
        <f>_xll.QS.CONTEXT.ADD.CURVE(C6227,"SOFR",$K$2:$K$7,$L$2:$L$7,,,"Actual360","LogLinear",TRUE)</f>
        <v>QSObject:ContextInput:w1~input.qs_context_add_curve.2359132437744.6226.3.0:34277</v>
      </c>
      <c r="E6227" s="6" t="str">
        <f>_xll.QS.INSTRUMENT.SWAP("swap.6225",H6227,B6227,"USD","SOFR",I6227,J6227,0,"Actual360","Simple","Annual","Annual","Annual")</f>
        <v>QSObject:Swap:w1~swap.6225:8342</v>
      </c>
      <c r="F6227" s="6" t="str">
        <f>_xll.QS.TRADE.CREATE("trade.6225",E6227,A6227,"Receive")</f>
        <v>QSObject:SwapTrade:w1~trade.6225:25627</v>
      </c>
      <c r="G6227" s="3">
        <f>_xll.QS.EVALUATE(C6227,F6227)</f>
        <v>41069.16382168141</v>
      </c>
      <c r="H6227" s="5" t="s">
        <v>6268</v>
      </c>
      <c r="I6227" s="7">
        <v>1622500</v>
      </c>
      <c r="J6227" s="8">
        <v>3.7500000000000012E-2</v>
      </c>
    </row>
    <row r="6228" spans="1:10" x14ac:dyDescent="0.25">
      <c r="A6228" s="5" t="s">
        <v>6262</v>
      </c>
      <c r="B6228" s="5" t="s">
        <v>8095</v>
      </c>
      <c r="C6228" s="6" t="str">
        <f>_xll.QS.CONTEXT.CREATE("market.6226",A6228,"USD","SOFR")</f>
        <v>QSObject:PricingContext:w1~market.6226:8341</v>
      </c>
      <c r="D6228" s="6" t="str">
        <f>_xll.QS.CONTEXT.ADD.CURVE(C6228,"SOFR",$K$2:$K$7,$L$2:$L$7,,,"Actual360","LogLinear",TRUE)</f>
        <v>QSObject:ContextInput:w1~input.qs_context_add_curve.2359132437744.6227.3.0:34276</v>
      </c>
      <c r="E6228" s="6" t="str">
        <f>_xll.QS.INSTRUMENT.SWAP("swap.6226",H6228,B6228,"USD","SOFR",I6228,J6228,0,"Actual360","Simple","Annual","Annual","Annual")</f>
        <v>QSObject:Swap:w1~swap.6226:8340</v>
      </c>
      <c r="F6228" s="6" t="str">
        <f>_xll.QS.TRADE.CREATE("trade.6226",E6228,A6228,"Receive")</f>
        <v>QSObject:SwapTrade:w1~trade.6226:25626</v>
      </c>
      <c r="G6228" s="3">
        <f>_xll.QS.EVALUATE(C6228,F6228)</f>
        <v>41890.316290565635</v>
      </c>
      <c r="H6228" s="5" t="s">
        <v>6269</v>
      </c>
      <c r="I6228" s="7">
        <v>1622600</v>
      </c>
      <c r="J6228" s="8">
        <v>3.7600000000000001E-2</v>
      </c>
    </row>
    <row r="6229" spans="1:10" x14ac:dyDescent="0.25">
      <c r="A6229" s="5" t="s">
        <v>6263</v>
      </c>
      <c r="B6229" s="5" t="s">
        <v>8096</v>
      </c>
      <c r="C6229" s="6" t="str">
        <f>_xll.QS.CONTEXT.CREATE("market.6227",A6229,"USD","SOFR")</f>
        <v>QSObject:PricingContext:w1~market.6227:8339</v>
      </c>
      <c r="D6229" s="6" t="str">
        <f>_xll.QS.CONTEXT.ADD.CURVE(C6229,"SOFR",$K$2:$K$7,$L$2:$L$7,,,"Actual360","LogLinear",TRUE)</f>
        <v>QSObject:ContextInput:w1~input.qs_context_add_curve.2359132437744.6228.3.0:34275</v>
      </c>
      <c r="E6229" s="6" t="str">
        <f>_xll.QS.INSTRUMENT.SWAP("swap.6227",H6229,B6229,"USD","SOFR",I6229,J6229,0,"Actual360","Simple","Annual","Annual","Annual")</f>
        <v>QSObject:Swap:w1~swap.6227:8338</v>
      </c>
      <c r="F6229" s="6" t="str">
        <f>_xll.QS.TRADE.CREATE("trade.6227",E6229,A6229,"Receive")</f>
        <v>QSObject:SwapTrade:w1~trade.6227:24939</v>
      </c>
      <c r="G6229" s="3">
        <f>_xll.QS.EVALUATE(C6229,F6229)</f>
        <v>42579.559020683642</v>
      </c>
      <c r="H6229" s="5" t="s">
        <v>6270</v>
      </c>
      <c r="I6229" s="7">
        <v>1622700</v>
      </c>
      <c r="J6229" s="8">
        <v>3.7699999999999997E-2</v>
      </c>
    </row>
    <row r="6230" spans="1:10" x14ac:dyDescent="0.25">
      <c r="A6230" s="5" t="s">
        <v>6264</v>
      </c>
      <c r="B6230" s="5" t="s">
        <v>8097</v>
      </c>
      <c r="C6230" s="6" t="str">
        <f>_xll.QS.CONTEXT.CREATE("market.6228",A6230,"USD","SOFR")</f>
        <v>QSObject:PricingContext:w1~market.6228:8337</v>
      </c>
      <c r="D6230" s="6" t="str">
        <f>_xll.QS.CONTEXT.ADD.CURVE(C6230,"SOFR",$K$2:$K$7,$L$2:$L$7,,,"Actual360","LogLinear",TRUE)</f>
        <v>QSObject:ContextInput:w1~input.qs_context_add_curve.2359132437744.6229.3.0:34274</v>
      </c>
      <c r="E6230" s="6" t="str">
        <f>_xll.QS.INSTRUMENT.SWAP("swap.6228",H6230,B6230,"USD","SOFR",I6230,J6230,0,"Actual360","Simple","Annual","Annual","Annual")</f>
        <v>QSObject:Swap:w1~swap.6228:8336</v>
      </c>
      <c r="F6230" s="6" t="str">
        <f>_xll.QS.TRADE.CREATE("trade.6228",E6230,A6230,"Receive")</f>
        <v>QSObject:SwapTrade:w1~trade.6228:25625</v>
      </c>
      <c r="G6230" s="3">
        <f>_xll.QS.EVALUATE(C6230,F6230)</f>
        <v>43210.856776925059</v>
      </c>
      <c r="H6230" s="5" t="s">
        <v>6271</v>
      </c>
      <c r="I6230" s="7">
        <v>1622800</v>
      </c>
      <c r="J6230" s="8">
        <v>3.78E-2</v>
      </c>
    </row>
    <row r="6231" spans="1:10" x14ac:dyDescent="0.25">
      <c r="A6231" s="5" t="s">
        <v>6265</v>
      </c>
      <c r="B6231" s="5" t="s">
        <v>8098</v>
      </c>
      <c r="C6231" s="6" t="str">
        <f>_xll.QS.CONTEXT.CREATE("market.6229",A6231,"USD","SOFR")</f>
        <v>QSObject:PricingContext:w1~market.6229:8335</v>
      </c>
      <c r="D6231" s="6" t="str">
        <f>_xll.QS.CONTEXT.ADD.CURVE(C6231,"SOFR",$K$2:$K$7,$L$2:$L$7,,,"Actual360","LogLinear",TRUE)</f>
        <v>QSObject:ContextInput:w1~input.qs_context_add_curve.2359132437744.6230.3.0:34273</v>
      </c>
      <c r="E6231" s="6" t="str">
        <f>_xll.QS.INSTRUMENT.SWAP("swap.6229",H6231,B6231,"USD","SOFR",I6231,J6231,0,"Actual360","Simple","Annual","Annual","Annual")</f>
        <v>QSObject:Swap:w1~swap.6229:8334</v>
      </c>
      <c r="F6231" s="6" t="str">
        <f>_xll.QS.TRADE.CREATE("trade.6229",E6231,A6231,"Receive")</f>
        <v>QSObject:SwapTrade:w1~trade.6229:24938</v>
      </c>
      <c r="G6231" s="3">
        <f>_xll.QS.EVALUATE(C6231,F6231)</f>
        <v>43844.985929310555</v>
      </c>
      <c r="H6231" s="5" t="s">
        <v>6272</v>
      </c>
      <c r="I6231" s="7">
        <v>1622900</v>
      </c>
      <c r="J6231" s="8">
        <v>3.7900000000000003E-2</v>
      </c>
    </row>
    <row r="6232" spans="1:10" x14ac:dyDescent="0.25">
      <c r="A6232" s="5" t="s">
        <v>6266</v>
      </c>
      <c r="B6232" s="5" t="s">
        <v>8099</v>
      </c>
      <c r="C6232" s="6" t="str">
        <f>_xll.QS.CONTEXT.CREATE("market.6230",A6232,"USD","SOFR")</f>
        <v>QSObject:PricingContext:w1~market.6230:8333</v>
      </c>
      <c r="D6232" s="6" t="str">
        <f>_xll.QS.CONTEXT.ADD.CURVE(C6232,"SOFR",$K$2:$K$7,$L$2:$L$7,,,"Actual360","LogLinear",TRUE)</f>
        <v>QSObject:ContextInput:w1~input.qs_context_add_curve.2359132437744.6231.3.0:34272</v>
      </c>
      <c r="E6232" s="6" t="str">
        <f>_xll.QS.INSTRUMENT.SWAP("swap.6230",H6232,B6232,"USD","SOFR",I6232,J6232,0,"Actual360","Simple","Annual","Annual","Annual")</f>
        <v>QSObject:Swap:w1~swap.6230:8332</v>
      </c>
      <c r="F6232" s="6" t="str">
        <f>_xll.QS.TRADE.CREATE("trade.6230",E6232,A6232,"Receive")</f>
        <v>QSObject:SwapTrade:w1~trade.6230:25624</v>
      </c>
      <c r="G6232" s="3">
        <f>_xll.QS.EVALUATE(C6232,F6232)</f>
        <v>44665.893769530056</v>
      </c>
      <c r="H6232" s="5" t="s">
        <v>6273</v>
      </c>
      <c r="I6232" s="7">
        <v>1623000</v>
      </c>
      <c r="J6232" s="8">
        <v>3.8000000000000013E-2</v>
      </c>
    </row>
    <row r="6233" spans="1:10" x14ac:dyDescent="0.25">
      <c r="A6233" s="5" t="s">
        <v>6267</v>
      </c>
      <c r="B6233" s="5" t="s">
        <v>8100</v>
      </c>
      <c r="C6233" s="6" t="str">
        <f>_xll.QS.CONTEXT.CREATE("market.6231",A6233,"USD","SOFR")</f>
        <v>QSObject:PricingContext:w1~market.6231:8331</v>
      </c>
      <c r="D6233" s="6" t="str">
        <f>_xll.QS.CONTEXT.ADD.CURVE(C6233,"SOFR",$K$2:$K$7,$L$2:$L$7,,,"Actual360","LogLinear",TRUE)</f>
        <v>QSObject:ContextInput:w1~input.qs_context_add_curve.2359132437744.6232.3.0:34271</v>
      </c>
      <c r="E6233" s="6" t="str">
        <f>_xll.QS.INSTRUMENT.SWAP("swap.6231",H6233,B6233,"USD","SOFR",I6233,J6233,0,"Actual360","Simple","Annual","Annual","Annual")</f>
        <v>QSObject:Swap:w1~swap.6231:8330</v>
      </c>
      <c r="F6233" s="6" t="str">
        <f>_xll.QS.TRADE.CREATE("trade.6231",E6233,A6233,"Receive")</f>
        <v>QSObject:SwapTrade:w1~trade.6231:25623</v>
      </c>
      <c r="G6233" s="3">
        <f>_xll.QS.EVALUATE(C6233,F6233)</f>
        <v>45456.514631886159</v>
      </c>
      <c r="H6233" s="5" t="s">
        <v>6274</v>
      </c>
      <c r="I6233" s="7">
        <v>1623100</v>
      </c>
      <c r="J6233" s="8">
        <v>3.8100000000000002E-2</v>
      </c>
    </row>
    <row r="6234" spans="1:10" x14ac:dyDescent="0.25">
      <c r="A6234" s="5" t="s">
        <v>6268</v>
      </c>
      <c r="B6234" s="5" t="s">
        <v>8101</v>
      </c>
      <c r="C6234" s="6" t="str">
        <f>_xll.QS.CONTEXT.CREATE("market.6232",A6234,"USD","SOFR")</f>
        <v>QSObject:PricingContext:w1~market.6232:8329</v>
      </c>
      <c r="D6234" s="6" t="str">
        <f>_xll.QS.CONTEXT.ADD.CURVE(C6234,"SOFR",$K$2:$K$7,$L$2:$L$7,,,"Actual360","LogLinear",TRUE)</f>
        <v>QSObject:ContextInput:w1~input.qs_context_add_curve.2359132437744.6233.3.0:34270</v>
      </c>
      <c r="E6234" s="6" t="str">
        <f>_xll.QS.INSTRUMENT.SWAP("swap.6232",H6234,B6234,"USD","SOFR",I6234,J6234,0,"Actual360","Simple","Annual","Annual","Annual")</f>
        <v>QSObject:Swap:w1~swap.6232:8328</v>
      </c>
      <c r="F6234" s="6" t="str">
        <f>_xll.QS.TRADE.CREATE("trade.6232",E6234,A6234,"Receive")</f>
        <v>QSObject:SwapTrade:w1~trade.6232:25622</v>
      </c>
      <c r="G6234" s="3">
        <f>_xll.QS.EVALUATE(C6234,F6234)</f>
        <v>46326.826839678637</v>
      </c>
      <c r="H6234" s="5" t="s">
        <v>6275</v>
      </c>
      <c r="I6234" s="7">
        <v>1623200</v>
      </c>
      <c r="J6234" s="8">
        <v>3.8199999999999998E-2</v>
      </c>
    </row>
    <row r="6235" spans="1:10" x14ac:dyDescent="0.25">
      <c r="A6235" s="5" t="s">
        <v>6269</v>
      </c>
      <c r="B6235" s="5" t="s">
        <v>8102</v>
      </c>
      <c r="C6235" s="6" t="str">
        <f>_xll.QS.CONTEXT.CREATE("market.6233",A6235,"USD","SOFR")</f>
        <v>QSObject:PricingContext:w1~market.6233:8327</v>
      </c>
      <c r="D6235" s="6" t="str">
        <f>_xll.QS.CONTEXT.ADD.CURVE(C6235,"SOFR",$K$2:$K$7,$L$2:$L$7,,,"Actual360","LogLinear",TRUE)</f>
        <v>QSObject:ContextInput:w1~input.qs_context_add_curve.2359132437744.6234.3.0:34269</v>
      </c>
      <c r="E6235" s="6" t="str">
        <f>_xll.QS.INSTRUMENT.SWAP("swap.6233",H6235,B6235,"USD","SOFR",I6235,J6235,0,"Actual360","Simple","Annual","Annual","Annual")</f>
        <v>QSObject:Swap:w1~swap.6233:8326</v>
      </c>
      <c r="F6235" s="6" t="str">
        <f>_xll.QS.TRADE.CREATE("trade.6233",E6235,A6235,"Receive")</f>
        <v>QSObject:SwapTrade:w1~trade.6233:25621</v>
      </c>
      <c r="G6235" s="3">
        <f>_xll.QS.EVALUATE(C6235,F6235)</f>
        <v>47148.406209292509</v>
      </c>
      <c r="H6235" s="5" t="s">
        <v>6276</v>
      </c>
      <c r="I6235" s="7">
        <v>1623300</v>
      </c>
      <c r="J6235" s="8">
        <v>3.8300000000000001E-2</v>
      </c>
    </row>
    <row r="6236" spans="1:10" x14ac:dyDescent="0.25">
      <c r="A6236" s="5" t="s">
        <v>6270</v>
      </c>
      <c r="B6236" s="5" t="s">
        <v>8103</v>
      </c>
      <c r="C6236" s="6" t="str">
        <f>_xll.QS.CONTEXT.CREATE("market.6234",A6236,"USD","SOFR")</f>
        <v>QSObject:PricingContext:w1~market.6234:8325</v>
      </c>
      <c r="D6236" s="6" t="str">
        <f>_xll.QS.CONTEXT.ADD.CURVE(C6236,"SOFR",$K$2:$K$7,$L$2:$L$7,,,"Actual360","LogLinear",TRUE)</f>
        <v>QSObject:ContextInput:w1~input.qs_context_add_curve.2359132437744.6235.3.0:34268</v>
      </c>
      <c r="E6236" s="6" t="str">
        <f>_xll.QS.INSTRUMENT.SWAP("swap.6234",H6236,B6236,"USD","SOFR",I6236,J6236,0,"Actual360","Simple","Annual","Annual","Annual")</f>
        <v>QSObject:Swap:w1~swap.6234:8324</v>
      </c>
      <c r="F6236" s="6" t="str">
        <f>_xll.QS.TRADE.CREATE("trade.6234",E6236,A6236,"Receive")</f>
        <v>QSObject:SwapTrade:w1~trade.6234:24937</v>
      </c>
      <c r="G6236" s="3">
        <f>_xll.QS.EVALUATE(C6236,F6236)</f>
        <v>47838.021732216162</v>
      </c>
      <c r="H6236" s="5" t="s">
        <v>6277</v>
      </c>
      <c r="I6236" s="7">
        <v>1623400</v>
      </c>
      <c r="J6236" s="8">
        <v>3.8399999999999997E-2</v>
      </c>
    </row>
    <row r="6237" spans="1:10" x14ac:dyDescent="0.25">
      <c r="A6237" s="5" t="s">
        <v>6271</v>
      </c>
      <c r="B6237" s="5" t="s">
        <v>8104</v>
      </c>
      <c r="C6237" s="6" t="str">
        <f>_xll.QS.CONTEXT.CREATE("market.6235",A6237,"USD","SOFR")</f>
        <v>QSObject:PricingContext:w1~market.6235:8323</v>
      </c>
      <c r="D6237" s="6" t="str">
        <f>_xll.QS.CONTEXT.ADD.CURVE(C6237,"SOFR",$K$2:$K$7,$L$2:$L$7,,,"Actual360","LogLinear",TRUE)</f>
        <v>QSObject:ContextInput:w1~input.qs_context_add_curve.2359132437744.6236.3.0:34267</v>
      </c>
      <c r="E6237" s="6" t="str">
        <f>_xll.QS.INSTRUMENT.SWAP("swap.6235",H6237,B6237,"USD","SOFR",I6237,J6237,0,"Actual360","Simple","Annual","Annual","Annual")</f>
        <v>QSObject:Swap:w1~swap.6235:8322</v>
      </c>
      <c r="F6237" s="6" t="str">
        <f>_xll.QS.TRADE.CREATE("trade.6235",E6237,A6237,"Receive")</f>
        <v>QSObject:SwapTrade:w1~trade.6235:24936</v>
      </c>
      <c r="G6237" s="3">
        <f>_xll.QS.EVALUATE(C6237,F6237)</f>
        <v>48463.736739395863</v>
      </c>
      <c r="H6237" s="5" t="s">
        <v>6278</v>
      </c>
      <c r="I6237" s="7">
        <v>1623500</v>
      </c>
      <c r="J6237" s="8">
        <v>3.8500000000000013E-2</v>
      </c>
    </row>
    <row r="6238" spans="1:10" x14ac:dyDescent="0.25">
      <c r="A6238" s="5" t="s">
        <v>6272</v>
      </c>
      <c r="B6238" s="5" t="s">
        <v>8105</v>
      </c>
      <c r="C6238" s="6" t="str">
        <f>_xll.QS.CONTEXT.CREATE("market.6236",A6238,"USD","SOFR")</f>
        <v>QSObject:PricingContext:w1~market.6236:8321</v>
      </c>
      <c r="D6238" s="6" t="str">
        <f>_xll.QS.CONTEXT.ADD.CURVE(C6238,"SOFR",$K$2:$K$7,$L$2:$L$7,,,"Actual360","LogLinear",TRUE)</f>
        <v>QSObject:ContextInput:w1~input.qs_context_add_curve.2359132437744.6237.3.0:34266</v>
      </c>
      <c r="E6238" s="6" t="str">
        <f>_xll.QS.INSTRUMENT.SWAP("swap.6236",H6238,B6238,"USD","SOFR",I6238,J6238,0,"Actual360","Simple","Annual","Annual","Annual")</f>
        <v>QSObject:Swap:w1~swap.6236:8320</v>
      </c>
      <c r="F6238" s="6" t="str">
        <f>_xll.QS.TRADE.CREATE("trade.6236",E6238,A6238,"Receive")</f>
        <v>QSObject:SwapTrade:w1~trade.6236:25620</v>
      </c>
      <c r="G6238" s="3">
        <f>_xll.QS.EVALUATE(C6238,F6238)</f>
        <v>49106.583228986994</v>
      </c>
      <c r="H6238" s="5" t="s">
        <v>6279</v>
      </c>
      <c r="I6238" s="7">
        <v>1623600</v>
      </c>
      <c r="J6238" s="8">
        <v>3.8600000000000002E-2</v>
      </c>
    </row>
    <row r="6239" spans="1:10" x14ac:dyDescent="0.25">
      <c r="A6239" s="5" t="s">
        <v>6273</v>
      </c>
      <c r="B6239" s="5" t="s">
        <v>8106</v>
      </c>
      <c r="C6239" s="6" t="str">
        <f>_xll.QS.CONTEXT.CREATE("market.6237",A6239,"USD","SOFR")</f>
        <v>QSObject:PricingContext:w1~market.6237:8319</v>
      </c>
      <c r="D6239" s="6" t="str">
        <f>_xll.QS.CONTEXT.ADD.CURVE(C6239,"SOFR",$K$2:$K$7,$L$2:$L$7,,,"Actual360","LogLinear",TRUE)</f>
        <v>QSObject:ContextInput:w1~input.qs_context_add_curve.2359132437744.6238.3.0:34265</v>
      </c>
      <c r="E6239" s="6" t="str">
        <f>_xll.QS.INSTRUMENT.SWAP("swap.6237",H6239,B6239,"USD","SOFR",I6239,J6239,0,"Actual360","Simple","Annual","Annual","Annual")</f>
        <v>QSObject:Swap:w1~swap.6237:8318</v>
      </c>
      <c r="F6239" s="6" t="str">
        <f>_xll.QS.TRADE.CREATE("trade.6237",E6239,A6239,"Receive")</f>
        <v>QSObject:SwapTrade:w1~trade.6237:24935</v>
      </c>
      <c r="G6239" s="3">
        <f>_xll.QS.EVALUATE(C6239,F6239)</f>
        <v>49927.707719486629</v>
      </c>
      <c r="H6239" s="5" t="s">
        <v>6280</v>
      </c>
      <c r="I6239" s="7">
        <v>1623700</v>
      </c>
      <c r="J6239" s="8">
        <v>3.8700000000000012E-2</v>
      </c>
    </row>
    <row r="6240" spans="1:10" x14ac:dyDescent="0.25">
      <c r="A6240" s="5" t="s">
        <v>6274</v>
      </c>
      <c r="B6240" s="5" t="s">
        <v>8107</v>
      </c>
      <c r="C6240" s="6" t="str">
        <f>_xll.QS.CONTEXT.CREATE("market.6238",A6240,"USD","SOFR")</f>
        <v>QSObject:PricingContext:w1~market.6238:8317</v>
      </c>
      <c r="D6240" s="6" t="str">
        <f>_xll.QS.CONTEXT.ADD.CURVE(C6240,"SOFR",$K$2:$K$7,$L$2:$L$7,,,"Actual360","LogLinear",TRUE)</f>
        <v>QSObject:ContextInput:w1~input.qs_context_add_curve.2359132437744.6239.3.0:34264</v>
      </c>
      <c r="E6240" s="6" t="str">
        <f>_xll.QS.INSTRUMENT.SWAP("swap.6238",H6240,B6240,"USD","SOFR",I6240,J6240,0,"Actual360","Simple","Annual","Annual","Annual")</f>
        <v>QSObject:Swap:w1~swap.6238:8316</v>
      </c>
      <c r="F6240" s="6" t="str">
        <f>_xll.QS.TRADE.CREATE("trade.6238",E6240,A6240,"Receive")</f>
        <v>QSObject:SwapTrade:w1~trade.6238:25619</v>
      </c>
      <c r="G6240" s="3">
        <f>_xll.QS.EVALUATE(C6240,F6240)</f>
        <v>50717.379603593472</v>
      </c>
      <c r="H6240" s="5" t="s">
        <v>6281</v>
      </c>
      <c r="I6240" s="7">
        <v>1623800</v>
      </c>
      <c r="J6240" s="8">
        <v>3.8800000000000001E-2</v>
      </c>
    </row>
    <row r="6241" spans="1:10" x14ac:dyDescent="0.25">
      <c r="A6241" s="5" t="s">
        <v>6275</v>
      </c>
      <c r="B6241" s="5" t="s">
        <v>8108</v>
      </c>
      <c r="C6241" s="6" t="str">
        <f>_xll.QS.CONTEXT.CREATE("market.6239",A6241,"USD","SOFR")</f>
        <v>QSObject:PricingContext:w1~market.6239:8315</v>
      </c>
      <c r="D6241" s="6" t="str">
        <f>_xll.QS.CONTEXT.ADD.CURVE(C6241,"SOFR",$K$2:$K$7,$L$2:$L$7,,,"Actual360","LogLinear",TRUE)</f>
        <v>QSObject:ContextInput:w1~input.qs_context_add_curve.2359132437744.6240.3.0:34263</v>
      </c>
      <c r="E6241" s="6" t="str">
        <f>_xll.QS.INSTRUMENT.SWAP("swap.6239",H6241,B6241,"USD","SOFR",I6241,J6241,0,"Actual360","Simple","Annual","Annual","Annual")</f>
        <v>QSObject:Swap:w1~swap.6239:8314</v>
      </c>
      <c r="F6241" s="6" t="str">
        <f>_xll.QS.TRADE.CREATE("trade.6239",E6241,A6241,"Receive")</f>
        <v>QSObject:SwapTrade:w1~trade.6239:25618</v>
      </c>
      <c r="G6241" s="3">
        <f>_xll.QS.EVALUATE(C6241,F6241)</f>
        <v>51588.179296508039</v>
      </c>
      <c r="H6241" s="5" t="s">
        <v>6282</v>
      </c>
      <c r="I6241" s="7">
        <v>1623900</v>
      </c>
      <c r="J6241" s="8">
        <v>3.8899999999999997E-2</v>
      </c>
    </row>
    <row r="6242" spans="1:10" x14ac:dyDescent="0.25">
      <c r="A6242" s="5" t="s">
        <v>6276</v>
      </c>
      <c r="B6242" s="5" t="s">
        <v>8109</v>
      </c>
      <c r="C6242" s="6" t="str">
        <f>_xll.QS.CONTEXT.CREATE("market.6240",A6242,"USD","SOFR")</f>
        <v>QSObject:PricingContext:w1~market.6240:8313</v>
      </c>
      <c r="D6242" s="6" t="str">
        <f>_xll.QS.CONTEXT.ADD.CURVE(C6242,"SOFR",$K$2:$K$7,$L$2:$L$7,,,"Actual360","LogLinear",TRUE)</f>
        <v>QSObject:ContextInput:w1~input.qs_context_add_curve.2359132437744.6241.3.0:34262</v>
      </c>
      <c r="E6242" s="6" t="str">
        <f>_xll.QS.INSTRUMENT.SWAP("swap.6240",H6242,B6242,"USD","SOFR",I6242,J6242,0,"Actual360","Simple","Annual","Annual","Annual")</f>
        <v>QSObject:Swap:w1~swap.6240:8312</v>
      </c>
      <c r="F6242" s="6" t="str">
        <f>_xll.QS.TRADE.CREATE("trade.6240",E6242,A6242,"Receive")</f>
        <v>QSObject:SwapTrade:w1~trade.6240:24934</v>
      </c>
      <c r="G6242" s="3">
        <f>_xll.QS.EVALUATE(C6242,F6242)</f>
        <v>52411.01533299467</v>
      </c>
      <c r="H6242" s="5" t="s">
        <v>6283</v>
      </c>
      <c r="I6242" s="7">
        <v>1624000</v>
      </c>
      <c r="J6242" s="8">
        <v>3.9000000000000007E-2</v>
      </c>
    </row>
    <row r="6243" spans="1:10" x14ac:dyDescent="0.25">
      <c r="A6243" s="5" t="s">
        <v>6277</v>
      </c>
      <c r="B6243" s="5" t="s">
        <v>8110</v>
      </c>
      <c r="C6243" s="6" t="str">
        <f>_xll.QS.CONTEXT.CREATE("market.6241",A6243,"USD","SOFR")</f>
        <v>QSObject:PricingContext:w1~market.6241:8311</v>
      </c>
      <c r="D6243" s="6" t="str">
        <f>_xll.QS.CONTEXT.ADD.CURVE(C6243,"SOFR",$K$2:$K$7,$L$2:$L$7,,,"Actual360","LogLinear",TRUE)</f>
        <v>QSObject:ContextInput:w1~input.qs_context_add_curve.2359132437744.6242.3.0:34261</v>
      </c>
      <c r="E6243" s="6" t="str">
        <f>_xll.QS.INSTRUMENT.SWAP("swap.6241",H6243,B6243,"USD","SOFR",I6243,J6243,0,"Actual360","Simple","Annual","Annual","Annual")</f>
        <v>QSObject:Swap:w1~swap.6241:8310</v>
      </c>
      <c r="F6243" s="6" t="str">
        <f>_xll.QS.TRADE.CREATE("trade.6241",E6243,A6243,"Receive")</f>
        <v>QSObject:SwapTrade:w1~trade.6241:25617</v>
      </c>
      <c r="G6243" s="3">
        <f>_xll.QS.EVALUATE(C6243,F6243)</f>
        <v>53101.411562486071</v>
      </c>
      <c r="H6243" s="5" t="s">
        <v>6284</v>
      </c>
      <c r="I6243" s="7">
        <v>1624100</v>
      </c>
      <c r="J6243" s="8">
        <v>3.9100000000000003E-2</v>
      </c>
    </row>
    <row r="6244" spans="1:10" x14ac:dyDescent="0.25">
      <c r="A6244" s="5" t="s">
        <v>6278</v>
      </c>
      <c r="B6244" s="5" t="s">
        <v>8111</v>
      </c>
      <c r="C6244" s="6" t="str">
        <f>_xll.QS.CONTEXT.CREATE("market.6242",A6244,"USD","SOFR")</f>
        <v>QSObject:PricingContext:w1~market.6242:8309</v>
      </c>
      <c r="D6244" s="6" t="str">
        <f>_xll.QS.CONTEXT.ADD.CURVE(C6244,"SOFR",$K$2:$K$7,$L$2:$L$7,,,"Actual360","LogLinear",TRUE)</f>
        <v>QSObject:ContextInput:w1~input.qs_context_add_curve.2359132437744.6243.3.0:34260</v>
      </c>
      <c r="E6244" s="6" t="str">
        <f>_xll.QS.INSTRUMENT.SWAP("swap.6242",H6244,B6244,"USD","SOFR",I6244,J6244,0,"Actual360","Simple","Annual","Annual","Annual")</f>
        <v>QSObject:Swap:w1~swap.6242:8308</v>
      </c>
      <c r="F6244" s="6" t="str">
        <f>_xll.QS.TRADE.CREATE("trade.6242",E6244,A6244,"Receive")</f>
        <v>QSObject:SwapTrade:w1~trade.6242:25616</v>
      </c>
      <c r="G6244" s="3">
        <f>_xll.QS.EVALUATE(C6244,F6244)</f>
        <v>53721.540147029336</v>
      </c>
      <c r="H6244" s="5" t="s">
        <v>6285</v>
      </c>
      <c r="I6244" s="7">
        <v>1624200</v>
      </c>
      <c r="J6244" s="8">
        <v>3.9200000000000013E-2</v>
      </c>
    </row>
    <row r="6245" spans="1:10" x14ac:dyDescent="0.25">
      <c r="A6245" s="5" t="s">
        <v>6279</v>
      </c>
      <c r="B6245" s="5" t="s">
        <v>8112</v>
      </c>
      <c r="C6245" s="6" t="str">
        <f>_xll.QS.CONTEXT.CREATE("market.6243",A6245,"USD","SOFR")</f>
        <v>QSObject:PricingContext:w1~market.6243:8307</v>
      </c>
      <c r="D6245" s="6" t="str">
        <f>_xll.QS.CONTEXT.ADD.CURVE(C6245,"SOFR",$K$2:$K$7,$L$2:$L$7,,,"Actual360","LogLinear",TRUE)</f>
        <v>QSObject:ContextInput:w1~input.qs_context_add_curve.2359132437744.6244.3.0:34259</v>
      </c>
      <c r="E6245" s="6" t="str">
        <f>_xll.QS.INSTRUMENT.SWAP("swap.6243",H6245,B6245,"USD","SOFR",I6245,J6245,0,"Actual360","Simple","Annual","Annual","Annual")</f>
        <v>QSObject:Swap:w1~swap.6243:8306</v>
      </c>
      <c r="F6245" s="6" t="str">
        <f>_xll.QS.TRADE.CREATE("trade.6243",E6245,A6245,"Receive")</f>
        <v>QSObject:SwapTrade:w1~trade.6243:25615</v>
      </c>
      <c r="G6245" s="3">
        <f>_xll.QS.EVALUATE(C6245,F6245)</f>
        <v>54373.115703080992</v>
      </c>
      <c r="H6245" s="5" t="s">
        <v>6286</v>
      </c>
      <c r="I6245" s="7">
        <v>1624300</v>
      </c>
      <c r="J6245" s="8">
        <v>3.9300000000000002E-2</v>
      </c>
    </row>
    <row r="6246" spans="1:10" x14ac:dyDescent="0.25">
      <c r="A6246" s="5" t="s">
        <v>6280</v>
      </c>
      <c r="B6246" s="5" t="s">
        <v>8113</v>
      </c>
      <c r="C6246" s="6" t="str">
        <f>_xll.QS.CONTEXT.CREATE("market.6244",A6246,"USD","SOFR")</f>
        <v>QSObject:PricingContext:w1~market.6244:8305</v>
      </c>
      <c r="D6246" s="6" t="str">
        <f>_xll.QS.CONTEXT.ADD.CURVE(C6246,"SOFR",$K$2:$K$7,$L$2:$L$7,,,"Actual360","LogLinear",TRUE)</f>
        <v>QSObject:ContextInput:w1~input.qs_context_add_curve.2359132437744.6245.3.0:34258</v>
      </c>
      <c r="E6246" s="6" t="str">
        <f>_xll.QS.INSTRUMENT.SWAP("swap.6244",H6246,B6246,"USD","SOFR",I6246,J6246,0,"Actual360","Simple","Annual","Annual","Annual")</f>
        <v>QSObject:Swap:w1~swap.6244:8304</v>
      </c>
      <c r="F6246" s="6" t="str">
        <f>_xll.QS.TRADE.CREATE("trade.6244",E6246,A6246,"Receive")</f>
        <v>QSObject:SwapTrade:w1~trade.6244:24933</v>
      </c>
      <c r="G6246" s="3">
        <f>_xll.QS.EVALUATE(C6246,F6246)</f>
        <v>55196.427913495339</v>
      </c>
      <c r="H6246" s="5" t="s">
        <v>6287</v>
      </c>
      <c r="I6246" s="7">
        <v>1624400</v>
      </c>
      <c r="J6246" s="8">
        <v>3.9399999999999998E-2</v>
      </c>
    </row>
    <row r="6247" spans="1:10" x14ac:dyDescent="0.25">
      <c r="A6247" s="5" t="s">
        <v>6281</v>
      </c>
      <c r="B6247" s="5" t="s">
        <v>8114</v>
      </c>
      <c r="C6247" s="6" t="str">
        <f>_xll.QS.CONTEXT.CREATE("market.6245",A6247,"USD","SOFR")</f>
        <v>QSObject:PricingContext:w1~market.6245:8303</v>
      </c>
      <c r="D6247" s="6" t="str">
        <f>_xll.QS.CONTEXT.ADD.CURVE(C6247,"SOFR",$K$2:$K$7,$L$2:$L$7,,,"Actual360","LogLinear",TRUE)</f>
        <v>QSObject:ContextInput:w1~input.qs_context_add_curve.2359132437744.6246.3.0:34257</v>
      </c>
      <c r="E6247" s="6" t="str">
        <f>_xll.QS.INSTRUMENT.SWAP("swap.6245",H6247,B6247,"USD","SOFR",I6247,J6247,0,"Actual360","Simple","Annual","Annual","Annual")</f>
        <v>QSObject:Swap:w1~swap.6245:8302</v>
      </c>
      <c r="F6247" s="6" t="str">
        <f>_xll.QS.TRADE.CREATE("trade.6245",E6247,A6247,"Receive")</f>
        <v>QSObject:SwapTrade:w1~trade.6245:25614</v>
      </c>
      <c r="G6247" s="3">
        <f>_xll.QS.EVALUATE(C6247,F6247)</f>
        <v>55982.862718742399</v>
      </c>
      <c r="H6247" s="5" t="s">
        <v>6288</v>
      </c>
      <c r="I6247" s="7">
        <v>1624500</v>
      </c>
      <c r="J6247" s="8">
        <v>3.9500000000000007E-2</v>
      </c>
    </row>
    <row r="6248" spans="1:10" x14ac:dyDescent="0.25">
      <c r="A6248" s="5" t="s">
        <v>6282</v>
      </c>
      <c r="B6248" s="5" t="s">
        <v>8115</v>
      </c>
      <c r="C6248" s="6" t="str">
        <f>_xll.QS.CONTEXT.CREATE("market.6246",A6248,"USD","SOFR")</f>
        <v>QSObject:PricingContext:w1~market.6246:8301</v>
      </c>
      <c r="D6248" s="6" t="str">
        <f>_xll.QS.CONTEXT.ADD.CURVE(C6248,"SOFR",$K$2:$K$7,$L$2:$L$7,,,"Actual360","LogLinear",TRUE)</f>
        <v>QSObject:ContextInput:w1~input.qs_context_add_curve.2359132437744.6247.3.0:34256</v>
      </c>
      <c r="E6248" s="6" t="str">
        <f>_xll.QS.INSTRUMENT.SWAP("swap.6246",H6248,B6248,"USD","SOFR",I6248,J6248,0,"Actual360","Simple","Annual","Annual","Annual")</f>
        <v>QSObject:Swap:w1~swap.6246:8300</v>
      </c>
      <c r="F6248" s="6" t="str">
        <f>_xll.QS.TRADE.CREATE("trade.6246",E6248,A6248,"Receive")</f>
        <v>QSObject:SwapTrade:w1~trade.6246:24932</v>
      </c>
      <c r="G6248" s="3">
        <f>_xll.QS.EVALUATE(C6248,F6248)</f>
        <v>56854.33728562513</v>
      </c>
      <c r="H6248" s="5" t="s">
        <v>6289</v>
      </c>
      <c r="I6248" s="7">
        <v>1624600</v>
      </c>
      <c r="J6248" s="8">
        <v>3.9600000000000003E-2</v>
      </c>
    </row>
    <row r="6249" spans="1:10" x14ac:dyDescent="0.25">
      <c r="A6249" s="5" t="s">
        <v>6283</v>
      </c>
      <c r="B6249" s="5" t="s">
        <v>8116</v>
      </c>
      <c r="C6249" s="6" t="str">
        <f>_xll.QS.CONTEXT.CREATE("market.6247",A6249,"USD","SOFR")</f>
        <v>QSObject:PricingContext:w1~market.6247:8299</v>
      </c>
      <c r="D6249" s="6" t="str">
        <f>_xll.QS.CONTEXT.ADD.CURVE(C6249,"SOFR",$K$2:$K$7,$L$2:$L$7,,,"Actual360","LogLinear",TRUE)</f>
        <v>QSObject:ContextInput:w1~input.qs_context_add_curve.2359132437744.6248.3.0:34255</v>
      </c>
      <c r="E6249" s="6" t="str">
        <f>_xll.QS.INSTRUMENT.SWAP("swap.6247",H6249,B6249,"USD","SOFR",I6249,J6249,0,"Actual360","Simple","Annual","Annual","Annual")</f>
        <v>QSObject:Swap:w1~swap.6247:8298</v>
      </c>
      <c r="F6249" s="6" t="str">
        <f>_xll.QS.TRADE.CREATE("trade.6247",E6249,A6249,"Receive")</f>
        <v>QSObject:SwapTrade:w1~trade.6247:25613</v>
      </c>
      <c r="G6249" s="3">
        <f>_xll.QS.EVALUATE(C6249,F6249)</f>
        <v>57677.588578088937</v>
      </c>
      <c r="H6249" s="5" t="s">
        <v>6290</v>
      </c>
      <c r="I6249" s="7">
        <v>1624700</v>
      </c>
      <c r="J6249" s="8">
        <v>3.9700000000000013E-2</v>
      </c>
    </row>
    <row r="6250" spans="1:10" x14ac:dyDescent="0.25">
      <c r="A6250" s="5" t="s">
        <v>6284</v>
      </c>
      <c r="B6250" s="5" t="s">
        <v>8117</v>
      </c>
      <c r="C6250" s="6" t="str">
        <f>_xll.QS.CONTEXT.CREATE("market.6248",A6250,"USD","SOFR")</f>
        <v>QSObject:PricingContext:w1~market.6248:8297</v>
      </c>
      <c r="D6250" s="6" t="str">
        <f>_xll.QS.CONTEXT.ADD.CURVE(C6250,"SOFR",$K$2:$K$7,$L$2:$L$7,,,"Actual360","LogLinear",TRUE)</f>
        <v>QSObject:ContextInput:w1~input.qs_context_add_curve.2359132437744.6249.3.0:34254</v>
      </c>
      <c r="E6250" s="6" t="str">
        <f>_xll.QS.INSTRUMENT.SWAP("swap.6248",H6250,B6250,"USD","SOFR",I6250,J6250,0,"Actual360","Simple","Annual","Annual","Annual")</f>
        <v>QSObject:Swap:w1~swap.6248:8296</v>
      </c>
      <c r="F6250" s="6" t="str">
        <f>_xll.QS.TRADE.CREATE("trade.6248",E6250,A6250,"Receive")</f>
        <v>QSObject:SwapTrade:w1~trade.6248:24931</v>
      </c>
      <c r="G6250" s="3">
        <f>_xll.QS.EVALUATE(C6250,F6250)</f>
        <v>58368.661648471905</v>
      </c>
      <c r="H6250" s="5" t="s">
        <v>6291</v>
      </c>
      <c r="I6250" s="7">
        <v>1624800</v>
      </c>
      <c r="J6250" s="8">
        <v>3.9800000000000002E-2</v>
      </c>
    </row>
    <row r="6251" spans="1:10" x14ac:dyDescent="0.25">
      <c r="A6251" s="5" t="s">
        <v>6285</v>
      </c>
      <c r="B6251" s="5" t="s">
        <v>8118</v>
      </c>
      <c r="C6251" s="6" t="str">
        <f>_xll.QS.CONTEXT.CREATE("market.6249",A6251,"USD","SOFR")</f>
        <v>QSObject:PricingContext:w1~market.6249:8295</v>
      </c>
      <c r="D6251" s="6" t="str">
        <f>_xll.QS.CONTEXT.ADD.CURVE(C6251,"SOFR",$K$2:$K$7,$L$2:$L$7,,,"Actual360","LogLinear",TRUE)</f>
        <v>QSObject:ContextInput:w1~input.qs_context_add_curve.2359132437744.6250.3.0:34253</v>
      </c>
      <c r="E6251" s="6" t="str">
        <f>_xll.QS.INSTRUMENT.SWAP("swap.6249",H6251,B6251,"USD","SOFR",I6251,J6251,0,"Actual360","Simple","Annual","Annual","Annual")</f>
        <v>QSObject:Swap:w1~swap.6249:8294</v>
      </c>
      <c r="F6251" s="6" t="str">
        <f>_xll.QS.TRADE.CREATE("trade.6249",E6251,A6251,"Receive")</f>
        <v>QSObject:SwapTrade:w1~trade.6249:24930</v>
      </c>
      <c r="G6251" s="3">
        <f>_xll.QS.EVALUATE(C6251,F6251)</f>
        <v>58946.688982709733</v>
      </c>
      <c r="H6251" s="5" t="s">
        <v>6292</v>
      </c>
      <c r="I6251" s="7">
        <v>1624900</v>
      </c>
      <c r="J6251" s="8">
        <v>3.9899999999999998E-2</v>
      </c>
    </row>
    <row r="6252" spans="1:10" x14ac:dyDescent="0.25">
      <c r="A6252" s="5" t="s">
        <v>6286</v>
      </c>
      <c r="B6252" s="5" t="s">
        <v>8119</v>
      </c>
      <c r="C6252" s="6" t="str">
        <f>_xll.QS.CONTEXT.CREATE("market.6250",A6252,"USD","SOFR")</f>
        <v>QSObject:PricingContext:w1~market.6250:3221</v>
      </c>
      <c r="D6252" s="6" t="str">
        <f>_xll.QS.CONTEXT.ADD.CURVE(C6252,"SOFR",$K$2:$K$7,$L$2:$L$7,,,"Actual360","LogLinear",TRUE)</f>
        <v>QSObject:ContextInput:w1~input.qs_context_add_curve.2359132437744.6251.3.0:4775</v>
      </c>
      <c r="E6252" s="6" t="str">
        <f>_xll.QS.INSTRUMENT.SWAP("swap.6250",H6252,B6252,"USD","SOFR",I6252,J6252,0,"Actual360","Simple","Annual","Annual","Annual")</f>
        <v>QSObject:Swap:w1~swap.6250:6343</v>
      </c>
      <c r="F6252" s="6" t="str">
        <f>_xll.QS.TRADE.CREATE("trade.6250",E6252,A6252,"Receive")</f>
        <v>QSObject:SwapTrade:w1~trade.6250:7928</v>
      </c>
      <c r="G6252" s="3">
        <f>_xll.QS.EVALUATE(C6252,F6252)</f>
        <v>22096.246445741883</v>
      </c>
      <c r="H6252" s="5" t="s">
        <v>6293</v>
      </c>
      <c r="I6252" s="7">
        <v>1625000</v>
      </c>
      <c r="J6252" s="8">
        <v>3.5000000000000003E-2</v>
      </c>
    </row>
    <row r="6253" spans="1:10" x14ac:dyDescent="0.25">
      <c r="A6253" s="5" t="s">
        <v>6287</v>
      </c>
      <c r="B6253" s="5" t="s">
        <v>8120</v>
      </c>
      <c r="C6253" s="6" t="str">
        <f>_xll.QS.CONTEXT.CREATE("market.6251",A6253,"USD","SOFR")</f>
        <v>QSObject:PricingContext:w1~market.6251:6342</v>
      </c>
      <c r="D6253" s="6" t="str">
        <f>_xll.QS.CONTEXT.ADD.CURVE(C6253,"SOFR",$K$2:$K$7,$L$2:$L$7,,,"Actual360","LogLinear",TRUE)</f>
        <v>QSObject:ContextInput:w1~input.qs_context_add_curve.2359132437744.6252.3.0:24929</v>
      </c>
      <c r="E6253" s="6" t="str">
        <f>_xll.QS.INSTRUMENT.SWAP("swap.6251",H6253,B6253,"USD","SOFR",I6253,J6253,0,"Actual360","Simple","Annual","Annual","Annual")</f>
        <v>QSObject:Swap:w1~swap.6251:4774</v>
      </c>
      <c r="F6253" s="6" t="str">
        <f>_xll.QS.TRADE.CREATE("trade.6251",E6253,A6253,"Receive")</f>
        <v>QSObject:SwapTrade:w1~trade.6251:7927</v>
      </c>
      <c r="G6253" s="3">
        <f>_xll.QS.EVALUATE(C6253,F6253)</f>
        <v>22915.484058585484</v>
      </c>
      <c r="H6253" s="5" t="s">
        <v>6294</v>
      </c>
      <c r="I6253" s="7">
        <v>1625100</v>
      </c>
      <c r="J6253" s="8">
        <v>3.5100000000000013E-2</v>
      </c>
    </row>
    <row r="6254" spans="1:10" x14ac:dyDescent="0.25">
      <c r="A6254" s="5" t="s">
        <v>6288</v>
      </c>
      <c r="B6254" s="5" t="s">
        <v>8121</v>
      </c>
      <c r="C6254" s="6" t="str">
        <f>_xll.QS.CONTEXT.CREATE("market.6252",A6254,"USD","SOFR")</f>
        <v>QSObject:PricingContext:w1~market.6252:4773</v>
      </c>
      <c r="D6254" s="6" t="str">
        <f>_xll.QS.CONTEXT.ADD.CURVE(C6254,"SOFR",$K$2:$K$7,$L$2:$L$7,,,"Actual360","LogLinear",TRUE)</f>
        <v>QSObject:ContextInput:w1~input.qs_context_add_curve.2359132437744.6253.3.0:34252</v>
      </c>
      <c r="E6254" s="6" t="str">
        <f>_xll.QS.INSTRUMENT.SWAP("swap.6252",H6254,B6254,"USD","SOFR",I6254,J6254,0,"Actual360","Simple","Annual","Annual","Annual")</f>
        <v>QSObject:Swap:w1~swap.6252:6341</v>
      </c>
      <c r="F6254" s="6" t="str">
        <f>_xll.QS.TRADE.CREATE("trade.6252",E6254,A6254,"Receive")</f>
        <v>QSObject:SwapTrade:w1~trade.6252:24928</v>
      </c>
      <c r="G6254" s="3">
        <f>_xll.QS.EVALUATE(C6254,F6254)</f>
        <v>23732.398930695832</v>
      </c>
      <c r="H6254" s="5" t="s">
        <v>6295</v>
      </c>
      <c r="I6254" s="7">
        <v>1625200</v>
      </c>
      <c r="J6254" s="8">
        <v>3.5200000000000002E-2</v>
      </c>
    </row>
    <row r="6255" spans="1:10" x14ac:dyDescent="0.25">
      <c r="A6255" s="5" t="s">
        <v>6289</v>
      </c>
      <c r="B6255" s="5" t="s">
        <v>8122</v>
      </c>
      <c r="C6255" s="6" t="str">
        <f>_xll.QS.CONTEXT.CREATE("market.6253",A6255,"USD","SOFR")</f>
        <v>QSObject:PricingContext:w1~market.6253:3220</v>
      </c>
      <c r="D6255" s="6" t="str">
        <f>_xll.QS.CONTEXT.ADD.CURVE(C6255,"SOFR",$K$2:$K$7,$L$2:$L$7,,,"Actual360","LogLinear",TRUE)</f>
        <v>QSObject:ContextInput:w1~input.qs_context_add_curve.2359132437744.6254.3.0:7926</v>
      </c>
      <c r="E6255" s="6" t="str">
        <f>_xll.QS.INSTRUMENT.SWAP("swap.6253",H6255,B6255,"USD","SOFR",I6255,J6255,0,"Actual360","Simple","Annual","Annual","Annual")</f>
        <v>QSObject:Swap:w1~swap.6253:6340</v>
      </c>
      <c r="F6255" s="6" t="str">
        <f>_xll.QS.TRADE.CREATE("trade.6253",E6255,A6255,"Receive")</f>
        <v>QSObject:SwapTrade:w1~trade.6253:24927</v>
      </c>
      <c r="G6255" s="3">
        <f>_xll.QS.EVALUATE(C6255,F6255)</f>
        <v>24711.005383901102</v>
      </c>
      <c r="H6255" s="5" t="s">
        <v>6296</v>
      </c>
      <c r="I6255" s="7">
        <v>1625300</v>
      </c>
      <c r="J6255" s="8">
        <v>3.5299999999999998E-2</v>
      </c>
    </row>
    <row r="6256" spans="1:10" x14ac:dyDescent="0.25">
      <c r="A6256" s="5" t="s">
        <v>6290</v>
      </c>
      <c r="B6256" s="5" t="s">
        <v>8123</v>
      </c>
      <c r="C6256" s="6" t="str">
        <f>_xll.QS.CONTEXT.CREATE("market.6254",A6256,"USD","SOFR")</f>
        <v>QSObject:PricingContext:w1~market.6254:7925</v>
      </c>
      <c r="D6256" s="6" t="str">
        <f>_xll.QS.CONTEXT.ADD.CURVE(C6256,"SOFR",$K$2:$K$7,$L$2:$L$7,,,"Actual360","LogLinear",TRUE)</f>
        <v>QSObject:ContextInput:w1~input.qs_context_add_curve.2359132437744.6255.3.0:34251</v>
      </c>
      <c r="E6256" s="6" t="str">
        <f>_xll.QS.INSTRUMENT.SWAP("swap.6254",H6256,B6256,"USD","SOFR",I6256,J6256,0,"Actual360","Simple","Annual","Annual","Annual")</f>
        <v>QSObject:Swap:w1~swap.6254:6339</v>
      </c>
      <c r="F6256" s="6" t="str">
        <f>_xll.QS.TRADE.CREATE("trade.6254",E6256,A6256,"Receive")</f>
        <v>QSObject:SwapTrade:w1~trade.6254:25612</v>
      </c>
      <c r="G6256" s="3">
        <f>_xll.QS.EVALUATE(C6256,F6256)</f>
        <v>25477.540780765157</v>
      </c>
      <c r="H6256" s="5" t="s">
        <v>6297</v>
      </c>
      <c r="I6256" s="7">
        <v>1625400</v>
      </c>
      <c r="J6256" s="8">
        <v>3.5400000000000001E-2</v>
      </c>
    </row>
    <row r="6257" spans="1:10" x14ac:dyDescent="0.25">
      <c r="A6257" s="5" t="s">
        <v>6291</v>
      </c>
      <c r="B6257" s="5" t="s">
        <v>8124</v>
      </c>
      <c r="C6257" s="6" t="str">
        <f>_xll.QS.CONTEXT.CREATE("market.6255",A6257,"USD","SOFR")</f>
        <v>QSObject:PricingContext:w1~market.6255:4772</v>
      </c>
      <c r="D6257" s="6" t="str">
        <f>_xll.QS.CONTEXT.ADD.CURVE(C6257,"SOFR",$K$2:$K$7,$L$2:$L$7,,,"Actual360","LogLinear",TRUE)</f>
        <v>QSObject:ContextInput:w1~input.qs_context_add_curve.2359132437744.6256.3.0:7924</v>
      </c>
      <c r="E6257" s="6" t="str">
        <f>_xll.QS.INSTRUMENT.SWAP("swap.6255",H6257,B6257,"USD","SOFR",I6257,J6257,0,"Actual360","Simple","Annual","Annual","Annual")</f>
        <v>QSObject:Swap:w1~swap.6255:6338</v>
      </c>
      <c r="F6257" s="6" t="str">
        <f>_xll.QS.TRADE.CREATE("trade.6255",E6257,A6257,"Receive")</f>
        <v>QSObject:SwapTrade:w1~trade.6255:25611</v>
      </c>
      <c r="G6257" s="3">
        <f>_xll.QS.EVALUATE(C6257,F6257)</f>
        <v>26228.34920165893</v>
      </c>
      <c r="H6257" s="5" t="s">
        <v>6298</v>
      </c>
      <c r="I6257" s="7">
        <v>1625500</v>
      </c>
      <c r="J6257" s="8">
        <v>3.5499999999999997E-2</v>
      </c>
    </row>
    <row r="6258" spans="1:10" x14ac:dyDescent="0.25">
      <c r="A6258" s="5" t="s">
        <v>6292</v>
      </c>
      <c r="B6258" s="5" t="s">
        <v>8125</v>
      </c>
      <c r="C6258" s="6" t="str">
        <f>_xll.QS.CONTEXT.CREATE("market.6256",A6258,"USD","SOFR")</f>
        <v>QSObject:PricingContext:w1~market.6256:7923</v>
      </c>
      <c r="D6258" s="6" t="str">
        <f>_xll.QS.CONTEXT.ADD.CURVE(C6258,"SOFR",$K$2:$K$7,$L$2:$L$7,,,"Actual360","LogLinear",TRUE)</f>
        <v>QSObject:ContextInput:w1~input.qs_context_add_curve.2359132437744.6257.3.0:34250</v>
      </c>
      <c r="E6258" s="6" t="str">
        <f>_xll.QS.INSTRUMENT.SWAP("swap.6256",H6258,B6258,"USD","SOFR",I6258,J6258,0,"Actual360","Simple","Annual","Annual","Annual")</f>
        <v>QSObject:Swap:w1~swap.6256:6337</v>
      </c>
      <c r="F6258" s="6" t="str">
        <f>_xll.QS.TRADE.CREATE("trade.6256",E6258,A6258,"Receive")</f>
        <v>QSObject:SwapTrade:w1~trade.6256:7922</v>
      </c>
      <c r="G6258" s="3">
        <f>_xll.QS.EVALUATE(C6258,F6258)</f>
        <v>26879.159858149913</v>
      </c>
      <c r="H6258" s="5" t="s">
        <v>6299</v>
      </c>
      <c r="I6258" s="7">
        <v>1625600</v>
      </c>
      <c r="J6258" s="8">
        <v>3.5600000000000007E-2</v>
      </c>
    </row>
    <row r="6259" spans="1:10" x14ac:dyDescent="0.25">
      <c r="A6259" s="5" t="s">
        <v>6293</v>
      </c>
      <c r="B6259" s="5" t="s">
        <v>8126</v>
      </c>
      <c r="C6259" s="6" t="str">
        <f>_xll.QS.CONTEXT.CREATE("market.6257",A6259,"USD","SOFR")</f>
        <v>QSObject:PricingContext:w1~market.6257:6336</v>
      </c>
      <c r="D6259" s="6" t="str">
        <f>_xll.QS.CONTEXT.ADD.CURVE(C6259,"SOFR",$K$2:$K$7,$L$2:$L$7,,,"Actual360","LogLinear",TRUE)</f>
        <v>QSObject:ContextInput:w1~input.qs_context_add_curve.2359132437744.6258.3.0:34249</v>
      </c>
      <c r="E6259" s="6" t="str">
        <f>_xll.QS.INSTRUMENT.SWAP("swap.6257",H6259,B6259,"USD","SOFR",I6259,J6259,0,"Actual360","Simple","Annual","Annual","Annual")</f>
        <v>QSObject:Swap:w1~swap.6257:3219</v>
      </c>
      <c r="F6259" s="6" t="str">
        <f>_xll.QS.TRADE.CREATE("trade.6257",E6259,A6259,"Receive")</f>
        <v>QSObject:SwapTrade:w1~trade.6257:6335</v>
      </c>
      <c r="G6259" s="3">
        <f>_xll.QS.EVALUATE(C6259,F6259)</f>
        <v>27487.652038712797</v>
      </c>
      <c r="H6259" s="5" t="s">
        <v>6300</v>
      </c>
      <c r="I6259" s="7">
        <v>1625700</v>
      </c>
      <c r="J6259" s="8">
        <v>3.5700000000000003E-2</v>
      </c>
    </row>
    <row r="6260" spans="1:10" x14ac:dyDescent="0.25">
      <c r="A6260" s="5" t="s">
        <v>6294</v>
      </c>
      <c r="B6260" s="5" t="s">
        <v>8127</v>
      </c>
      <c r="C6260" s="6" t="str">
        <f>_xll.QS.CONTEXT.CREATE("market.6258",A6260,"USD","SOFR")</f>
        <v>QSObject:PricingContext:w1~market.6258:4771</v>
      </c>
      <c r="D6260" s="6" t="str">
        <f>_xll.QS.CONTEXT.ADD.CURVE(C6260,"SOFR",$K$2:$K$7,$L$2:$L$7,,,"Actual360","LogLinear",TRUE)</f>
        <v>QSObject:ContextInput:w1~input.qs_context_add_curve.2359132437744.6259.3.0:7921</v>
      </c>
      <c r="E6260" s="6" t="str">
        <f>_xll.QS.INSTRUMENT.SWAP("swap.6258",H6260,B6260,"USD","SOFR",I6260,J6260,0,"Actual360","Simple","Annual","Annual","Annual")</f>
        <v>QSObject:Swap:w1~swap.6258:3218</v>
      </c>
      <c r="F6260" s="6" t="str">
        <f>_xll.QS.TRADE.CREATE("trade.6258",E6260,A6260,"Receive")</f>
        <v>QSObject:SwapTrade:w1~trade.6258:6334</v>
      </c>
      <c r="G6260" s="3">
        <f>_xll.QS.EVALUATE(C6260,F6260)</f>
        <v>28241.369173670595</v>
      </c>
      <c r="H6260" s="5" t="s">
        <v>6301</v>
      </c>
      <c r="I6260" s="7">
        <v>1625800</v>
      </c>
      <c r="J6260" s="8">
        <v>3.5800000000000012E-2</v>
      </c>
    </row>
    <row r="6261" spans="1:10" x14ac:dyDescent="0.25">
      <c r="A6261" s="5" t="s">
        <v>6295</v>
      </c>
      <c r="B6261" s="5" t="s">
        <v>8128</v>
      </c>
      <c r="C6261" s="6" t="str">
        <f>_xll.QS.CONTEXT.CREATE("market.6259",A6261,"USD","SOFR")</f>
        <v>QSObject:PricingContext:w1~market.6259:3217</v>
      </c>
      <c r="D6261" s="6" t="str">
        <f>_xll.QS.CONTEXT.ADD.CURVE(C6261,"SOFR",$K$2:$K$7,$L$2:$L$7,,,"Actual360","LogLinear",TRUE)</f>
        <v>QSObject:ContextInput:w1~input.qs_context_add_curve.2359132437744.6260.3.0:7920</v>
      </c>
      <c r="E6261" s="6" t="str">
        <f>_xll.QS.INSTRUMENT.SWAP("swap.6259",H6261,B6261,"USD","SOFR",I6261,J6261,0,"Actual360","Simple","Annual","Annual","Annual")</f>
        <v>QSObject:Swap:w1~swap.6259:4770</v>
      </c>
      <c r="F6261" s="6" t="str">
        <f>_xll.QS.TRADE.CREATE("trade.6259",E6261,A6261,"Receive")</f>
        <v>QSObject:SwapTrade:w1~trade.6259:6333</v>
      </c>
      <c r="G6261" s="3">
        <f>_xll.QS.EVALUATE(C6261,F6261)</f>
        <v>29040.335600726728</v>
      </c>
      <c r="H6261" s="5" t="s">
        <v>6302</v>
      </c>
      <c r="I6261" s="7">
        <v>1625900</v>
      </c>
      <c r="J6261" s="8">
        <v>3.5900000000000001E-2</v>
      </c>
    </row>
    <row r="6262" spans="1:10" x14ac:dyDescent="0.25">
      <c r="A6262" s="5" t="s">
        <v>6296</v>
      </c>
      <c r="B6262" s="5" t="s">
        <v>8129</v>
      </c>
      <c r="C6262" s="6" t="str">
        <f>_xll.QS.CONTEXT.CREATE("market.6260",A6262,"USD","SOFR")</f>
        <v>QSObject:PricingContext:w1~market.6260:4769</v>
      </c>
      <c r="D6262" s="6" t="str">
        <f>_xll.QS.CONTEXT.ADD.CURVE(C6262,"SOFR",$K$2:$K$7,$L$2:$L$7,,,"Actual360","LogLinear",TRUE)</f>
        <v>QSObject:ContextInput:w1~input.qs_context_add_curve.2359132437744.6261.3.0:24926</v>
      </c>
      <c r="E6262" s="6" t="str">
        <f>_xll.QS.INSTRUMENT.SWAP("swap.6260",H6262,B6262,"USD","SOFR",I6262,J6262,0,"Actual360","Simple","Annual","Annual","Annual")</f>
        <v>QSObject:Swap:w1~swap.6260:7919</v>
      </c>
      <c r="F6262" s="6" t="str">
        <f>_xll.QS.TRADE.CREATE("trade.6260",E6262,A6262,"Receive")</f>
        <v>QSObject:SwapTrade:w1~trade.6260:24925</v>
      </c>
      <c r="G6262" s="3">
        <f>_xll.QS.EVALUATE(C6262,F6262)</f>
        <v>29910.865668610357</v>
      </c>
      <c r="H6262" s="5" t="s">
        <v>6303</v>
      </c>
      <c r="I6262" s="7">
        <v>1626000</v>
      </c>
      <c r="J6262" s="8">
        <v>3.5999999999999997E-2</v>
      </c>
    </row>
    <row r="6263" spans="1:10" x14ac:dyDescent="0.25">
      <c r="A6263" s="5" t="s">
        <v>6297</v>
      </c>
      <c r="B6263" s="5" t="s">
        <v>8130</v>
      </c>
      <c r="C6263" s="6" t="str">
        <f>_xll.QS.CONTEXT.CREATE("market.6261",A6263,"USD","SOFR")</f>
        <v>QSObject:PricingContext:w1~market.6261:7918</v>
      </c>
      <c r="D6263" s="6" t="str">
        <f>_xll.QS.CONTEXT.ADD.CURVE(C6263,"SOFR",$K$2:$K$7,$L$2:$L$7,,,"Actual360","LogLinear",TRUE)</f>
        <v>QSObject:ContextInput:w1~input.qs_context_add_curve.2359132437744.6262.3.0:34248</v>
      </c>
      <c r="E6263" s="6" t="str">
        <f>_xll.QS.INSTRUMENT.SWAP("swap.6261",H6263,B6263,"USD","SOFR",I6263,J6263,0,"Actual360","Simple","Annual","Annual","Annual")</f>
        <v>QSObject:Swap:w1~swap.6261:4768</v>
      </c>
      <c r="F6263" s="6" t="str">
        <f>_xll.QS.TRADE.CREATE("trade.6261",E6263,A6263,"Receive")</f>
        <v>QSObject:SwapTrade:w1~trade.6261:6332</v>
      </c>
      <c r="G6263" s="3">
        <f>_xll.QS.EVALUATE(C6263,F6263)</f>
        <v>30685.855384308641</v>
      </c>
      <c r="H6263" s="5" t="s">
        <v>6304</v>
      </c>
      <c r="I6263" s="7">
        <v>1626100</v>
      </c>
      <c r="J6263" s="8">
        <v>3.61E-2</v>
      </c>
    </row>
    <row r="6264" spans="1:10" x14ac:dyDescent="0.25">
      <c r="A6264" s="5" t="s">
        <v>6298</v>
      </c>
      <c r="B6264" s="5" t="s">
        <v>8131</v>
      </c>
      <c r="C6264" s="6" t="str">
        <f>_xll.QS.CONTEXT.CREATE("market.6262",A6264,"USD","SOFR")</f>
        <v>QSObject:PricingContext:w1~market.6262:4767</v>
      </c>
      <c r="D6264" s="6" t="str">
        <f>_xll.QS.CONTEXT.ADD.CURVE(C6264,"SOFR",$K$2:$K$7,$L$2:$L$7,,,"Actual360","LogLinear",TRUE)</f>
        <v>QSObject:ContextInput:w1~input.qs_context_add_curve.2359132437744.6263.3.0:7917</v>
      </c>
      <c r="E6264" s="6" t="str">
        <f>_xll.QS.INSTRUMENT.SWAP("swap.6262",H6264,B6264,"USD","SOFR",I6264,J6264,0,"Actual360","Simple","Annual","Annual","Annual")</f>
        <v>QSObject:Swap:w1~swap.6262:3216</v>
      </c>
      <c r="F6264" s="6" t="str">
        <f>_xll.QS.TRADE.CREATE("trade.6262",E6264,A6264,"Receive")</f>
        <v>QSObject:SwapTrade:w1~trade.6262:6331</v>
      </c>
      <c r="G6264" s="3">
        <f>_xll.QS.EVALUATE(C6264,F6264)</f>
        <v>31376.460192228951</v>
      </c>
      <c r="H6264" s="5" t="s">
        <v>6305</v>
      </c>
      <c r="I6264" s="7">
        <v>1626200</v>
      </c>
      <c r="J6264" s="8">
        <v>3.6200000000000003E-2</v>
      </c>
    </row>
    <row r="6265" spans="1:10" x14ac:dyDescent="0.25">
      <c r="A6265" s="5" t="s">
        <v>6299</v>
      </c>
      <c r="B6265" s="5" t="s">
        <v>8132</v>
      </c>
      <c r="C6265" s="6" t="str">
        <f>_xll.QS.CONTEXT.CREATE("market.6263",A6265,"USD","SOFR")</f>
        <v>QSObject:PricingContext:w1~market.6263:4766</v>
      </c>
      <c r="D6265" s="6" t="str">
        <f>_xll.QS.CONTEXT.ADD.CURVE(C6265,"SOFR",$K$2:$K$7,$L$2:$L$7,,,"Actual360","LogLinear",TRUE)</f>
        <v>QSObject:ContextInput:w1~input.qs_context_add_curve.2359132437744.6264.3.0:7916</v>
      </c>
      <c r="E6265" s="6" t="str">
        <f>_xll.QS.INSTRUMENT.SWAP("swap.6263",H6265,B6265,"USD","SOFR",I6265,J6265,0,"Actual360","Simple","Annual","Annual","Annual")</f>
        <v>QSObject:Swap:w1~swap.6263:3215</v>
      </c>
      <c r="F6265" s="6" t="str">
        <f>_xll.QS.TRADE.CREATE("trade.6263",E6265,A6265,"Receive")</f>
        <v>QSObject:SwapTrade:w1~trade.6263:6330</v>
      </c>
      <c r="G6265" s="3">
        <f>_xll.QS.EVALUATE(C6265,F6265)</f>
        <v>31930.425866405334</v>
      </c>
      <c r="H6265" s="5" t="s">
        <v>6306</v>
      </c>
      <c r="I6265" s="7">
        <v>1626300</v>
      </c>
      <c r="J6265" s="8">
        <v>3.6300000000000013E-2</v>
      </c>
    </row>
    <row r="6266" spans="1:10" x14ac:dyDescent="0.25">
      <c r="A6266" s="5" t="s">
        <v>6300</v>
      </c>
      <c r="B6266" s="5" t="s">
        <v>8133</v>
      </c>
      <c r="C6266" s="6" t="str">
        <f>_xll.QS.CONTEXT.CREATE("market.6264",A6266,"USD","SOFR")</f>
        <v>QSObject:PricingContext:w1~market.6264:4765</v>
      </c>
      <c r="D6266" s="6" t="str">
        <f>_xll.QS.CONTEXT.ADD.CURVE(C6266,"SOFR",$K$2:$K$7,$L$2:$L$7,,,"Actual360","LogLinear",TRUE)</f>
        <v>QSObject:ContextInput:w1~input.qs_context_add_curve.2359132437744.6265.3.0:7915</v>
      </c>
      <c r="E6266" s="6" t="str">
        <f>_xll.QS.INSTRUMENT.SWAP("swap.6264",H6266,B6266,"USD","SOFR",I6266,J6266,0,"Actual360","Simple","Annual","Annual","Annual")</f>
        <v>QSObject:Swap:w1~swap.6264:7914</v>
      </c>
      <c r="F6266" s="6" t="str">
        <f>_xll.QS.TRADE.CREATE("trade.6264",E6266,A6266,"Receive")</f>
        <v>QSObject:SwapTrade:w1~trade.6264:25610</v>
      </c>
      <c r="G6266" s="3">
        <f>_xll.QS.EVALUATE(C6266,F6266)</f>
        <v>32685.128847385997</v>
      </c>
      <c r="H6266" s="5" t="s">
        <v>6307</v>
      </c>
      <c r="I6266" s="7">
        <v>1626400</v>
      </c>
      <c r="J6266" s="8">
        <v>3.6400000000000002E-2</v>
      </c>
    </row>
    <row r="6267" spans="1:10" x14ac:dyDescent="0.25">
      <c r="A6267" s="5" t="s">
        <v>6301</v>
      </c>
      <c r="B6267" s="5" t="s">
        <v>8134</v>
      </c>
      <c r="C6267" s="6" t="str">
        <f>_xll.QS.CONTEXT.CREATE("market.6265",A6267,"USD","SOFR")</f>
        <v>QSObject:PricingContext:w1~market.6265:7913</v>
      </c>
      <c r="D6267" s="6" t="str">
        <f>_xll.QS.CONTEXT.ADD.CURVE(C6267,"SOFR",$K$2:$K$7,$L$2:$L$7,,,"Actual360","LogLinear",TRUE)</f>
        <v>QSObject:ContextInput:w1~input.qs_context_add_curve.2359132437744.6266.3.0:34247</v>
      </c>
      <c r="E6267" s="6" t="str">
        <f>_xll.QS.INSTRUMENT.SWAP("swap.6265",H6267,B6267,"USD","SOFR",I6267,J6267,0,"Actual360","Simple","Annual","Annual","Annual")</f>
        <v>QSObject:Swap:w1~swap.6265:7912</v>
      </c>
      <c r="F6267" s="6" t="str">
        <f>_xll.QS.TRADE.CREATE("trade.6265",E6267,A6267,"Receive")</f>
        <v>QSObject:SwapTrade:w1~trade.6265:25609</v>
      </c>
      <c r="G6267" s="3">
        <f>_xll.QS.EVALUATE(C6267,F6267)</f>
        <v>33566.864629160431</v>
      </c>
      <c r="H6267" s="5" t="s">
        <v>6308</v>
      </c>
      <c r="I6267" s="7">
        <v>1626500</v>
      </c>
      <c r="J6267" s="8">
        <v>3.6499999999999998E-2</v>
      </c>
    </row>
    <row r="6268" spans="1:10" x14ac:dyDescent="0.25">
      <c r="A6268" s="5" t="s">
        <v>6302</v>
      </c>
      <c r="B6268" s="5" t="s">
        <v>8135</v>
      </c>
      <c r="C6268" s="6" t="str">
        <f>_xll.QS.CONTEXT.CREATE("market.6266",A6268,"USD","SOFR")</f>
        <v>QSObject:PricingContext:w1~market.6266:7911</v>
      </c>
      <c r="D6268" s="6" t="str">
        <f>_xll.QS.CONTEXT.ADD.CURVE(C6268,"SOFR",$K$2:$K$7,$L$2:$L$7,,,"Actual360","LogLinear",TRUE)</f>
        <v>QSObject:ContextInput:w1~input.qs_context_add_curve.2359132437744.6267.3.0:34246</v>
      </c>
      <c r="E6268" s="6" t="str">
        <f>_xll.QS.INSTRUMENT.SWAP("swap.6266",H6268,B6268,"USD","SOFR",I6268,J6268,0,"Actual360","Simple","Annual","Annual","Annual")</f>
        <v>QSObject:Swap:w1~swap.6266:7910</v>
      </c>
      <c r="F6268" s="6" t="str">
        <f>_xll.QS.TRADE.CREATE("trade.6266",E6268,A6268,"Receive")</f>
        <v>QSObject:SwapTrade:w1~trade.6266:25608</v>
      </c>
      <c r="G6268" s="3">
        <f>_xll.QS.EVALUATE(C6268,F6268)</f>
        <v>34439.231857344799</v>
      </c>
      <c r="H6268" s="5" t="s">
        <v>6309</v>
      </c>
      <c r="I6268" s="7">
        <v>1626600</v>
      </c>
      <c r="J6268" s="8">
        <v>3.6600000000000001E-2</v>
      </c>
    </row>
    <row r="6269" spans="1:10" x14ac:dyDescent="0.25">
      <c r="A6269" s="5" t="s">
        <v>6303</v>
      </c>
      <c r="B6269" s="5" t="s">
        <v>8136</v>
      </c>
      <c r="C6269" s="6" t="str">
        <f>_xll.QS.CONTEXT.CREATE("market.6267",A6269,"USD","SOFR")</f>
        <v>QSObject:PricingContext:w1~market.6267:7909</v>
      </c>
      <c r="D6269" s="6" t="str">
        <f>_xll.QS.CONTEXT.ADD.CURVE(C6269,"SOFR",$K$2:$K$7,$L$2:$L$7,,,"Actual360","LogLinear",TRUE)</f>
        <v>QSObject:ContextInput:w1~input.qs_context_add_curve.2359132437744.6268.3.0:34245</v>
      </c>
      <c r="E6269" s="6" t="str">
        <f>_xll.QS.INSTRUMENT.SWAP("swap.6267",H6269,B6269,"USD","SOFR",I6269,J6269,0,"Actual360","Simple","Annual","Annual","Annual")</f>
        <v>QSObject:Swap:w1~swap.6267:7908</v>
      </c>
      <c r="F6269" s="6" t="str">
        <f>_xll.QS.TRADE.CREATE("trade.6267",E6269,A6269,"Receive")</f>
        <v>QSObject:SwapTrade:w1~trade.6267:24924</v>
      </c>
      <c r="G6269" s="3">
        <f>_xll.QS.EVALUATE(C6269,F6269)</f>
        <v>35191.621944427621</v>
      </c>
      <c r="H6269" s="5" t="s">
        <v>6310</v>
      </c>
      <c r="I6269" s="7">
        <v>1626700</v>
      </c>
      <c r="J6269" s="8">
        <v>3.6700000000000003E-2</v>
      </c>
    </row>
    <row r="6270" spans="1:10" x14ac:dyDescent="0.25">
      <c r="A6270" s="5" t="s">
        <v>6304</v>
      </c>
      <c r="B6270" s="5" t="s">
        <v>8137</v>
      </c>
      <c r="C6270" s="6" t="str">
        <f>_xll.QS.CONTEXT.CREATE("market.6268",A6270,"USD","SOFR")</f>
        <v>QSObject:PricingContext:w1~market.6268:7907</v>
      </c>
      <c r="D6270" s="6" t="str">
        <f>_xll.QS.CONTEXT.ADD.CURVE(C6270,"SOFR",$K$2:$K$7,$L$2:$L$7,,,"Actual360","LogLinear",TRUE)</f>
        <v>QSObject:ContextInput:w1~input.qs_context_add_curve.2359132437744.6269.3.0:34244</v>
      </c>
      <c r="E6270" s="6" t="str">
        <f>_xll.QS.INSTRUMENT.SWAP("swap.6268",H6270,B6270,"USD","SOFR",I6270,J6270,0,"Actual360","Simple","Annual","Annual","Annual")</f>
        <v>QSObject:Swap:w1~swap.6268:7906</v>
      </c>
      <c r="F6270" s="6" t="str">
        <f>_xll.QS.TRADE.CREATE("trade.6268",E6270,A6270,"Receive")</f>
        <v>QSObject:SwapTrade:w1~trade.6268:24923</v>
      </c>
      <c r="G6270" s="3">
        <f>_xll.QS.EVALUATE(C6270,F6270)</f>
        <v>35953.045341378776</v>
      </c>
      <c r="H6270" s="5" t="s">
        <v>6311</v>
      </c>
      <c r="I6270" s="7">
        <v>1626800</v>
      </c>
      <c r="J6270" s="8">
        <v>3.6800000000000013E-2</v>
      </c>
    </row>
    <row r="6271" spans="1:10" x14ac:dyDescent="0.25">
      <c r="A6271" s="5" t="s">
        <v>6305</v>
      </c>
      <c r="B6271" s="5" t="s">
        <v>8138</v>
      </c>
      <c r="C6271" s="6" t="str">
        <f>_xll.QS.CONTEXT.CREATE("market.6269",A6271,"USD","SOFR")</f>
        <v>QSObject:PricingContext:w1~market.6269:7905</v>
      </c>
      <c r="D6271" s="6" t="str">
        <f>_xll.QS.CONTEXT.ADD.CURVE(C6271,"SOFR",$K$2:$K$7,$L$2:$L$7,,,"Actual360","LogLinear",TRUE)</f>
        <v>QSObject:ContextInput:w1~input.qs_context_add_curve.2359132437744.6270.3.0:34243</v>
      </c>
      <c r="E6271" s="6" t="str">
        <f>_xll.QS.INSTRUMENT.SWAP("swap.6269",H6271,B6271,"USD","SOFR",I6271,J6271,0,"Actual360","Simple","Annual","Annual","Annual")</f>
        <v>QSObject:Swap:w1~swap.6269:7904</v>
      </c>
      <c r="F6271" s="6" t="str">
        <f>_xll.QS.TRADE.CREATE("trade.6269",E6271,A6271,"Receive")</f>
        <v>QSObject:SwapTrade:w1~trade.6269:25607</v>
      </c>
      <c r="G6271" s="3">
        <f>_xll.QS.EVALUATE(C6271,F6271)</f>
        <v>36707.202829722024</v>
      </c>
      <c r="H6271" s="5" t="s">
        <v>6312</v>
      </c>
      <c r="I6271" s="7">
        <v>1626900</v>
      </c>
      <c r="J6271" s="8">
        <v>3.6900000000000002E-2</v>
      </c>
    </row>
    <row r="6272" spans="1:10" x14ac:dyDescent="0.25">
      <c r="A6272" s="5" t="s">
        <v>6306</v>
      </c>
      <c r="B6272" s="5" t="s">
        <v>8139</v>
      </c>
      <c r="C6272" s="6" t="str">
        <f>_xll.QS.CONTEXT.CREATE("market.6270",A6272,"USD","SOFR")</f>
        <v>QSObject:PricingContext:w1~market.6270:7903</v>
      </c>
      <c r="D6272" s="6" t="str">
        <f>_xll.QS.CONTEXT.ADD.CURVE(C6272,"SOFR",$K$2:$K$7,$L$2:$L$7,,,"Actual360","LogLinear",TRUE)</f>
        <v>QSObject:ContextInput:w1~input.qs_context_add_curve.2359132437744.6271.3.0:34242</v>
      </c>
      <c r="E6272" s="6" t="str">
        <f>_xll.QS.INSTRUMENT.SWAP("swap.6270",H6272,B6272,"USD","SOFR",I6272,J6272,0,"Actual360","Simple","Annual","Annual","Annual")</f>
        <v>QSObject:Swap:w1~swap.6270:7902</v>
      </c>
      <c r="F6272" s="6" t="str">
        <f>_xll.QS.TRADE.CREATE("trade.6270",E6272,A6272,"Receive")</f>
        <v>QSObject:SwapTrade:w1~trade.6270:24922</v>
      </c>
      <c r="G6272" s="3">
        <f>_xll.QS.EVALUATE(C6272,F6272)</f>
        <v>37260.535880029005</v>
      </c>
      <c r="H6272" s="5" t="s">
        <v>6313</v>
      </c>
      <c r="I6272" s="7">
        <v>1627000</v>
      </c>
      <c r="J6272" s="8">
        <v>3.7000000000000012E-2</v>
      </c>
    </row>
    <row r="6273" spans="1:10" x14ac:dyDescent="0.25">
      <c r="A6273" s="5" t="s">
        <v>6307</v>
      </c>
      <c r="B6273" s="5" t="s">
        <v>8140</v>
      </c>
      <c r="C6273" s="6" t="str">
        <f>_xll.QS.CONTEXT.CREATE("market.6271",A6273,"USD","SOFR")</f>
        <v>QSObject:PricingContext:w1~market.6271:7901</v>
      </c>
      <c r="D6273" s="6" t="str">
        <f>_xll.QS.CONTEXT.ADD.CURVE(C6273,"SOFR",$K$2:$K$7,$L$2:$L$7,,,"Actual360","LogLinear",TRUE)</f>
        <v>QSObject:ContextInput:w1~input.qs_context_add_curve.2359132437744.6272.3.0:34241</v>
      </c>
      <c r="E6273" s="6" t="str">
        <f>_xll.QS.INSTRUMENT.SWAP("swap.6271",H6273,B6273,"USD","SOFR",I6273,J6273,0,"Actual360","Simple","Annual","Annual","Annual")</f>
        <v>QSObject:Swap:w1~swap.6271:7900</v>
      </c>
      <c r="F6273" s="6" t="str">
        <f>_xll.QS.TRADE.CREATE("trade.6271",E6273,A6273,"Receive")</f>
        <v>QSObject:SwapTrade:w1~trade.6271:25606</v>
      </c>
      <c r="G6273" s="3">
        <f>_xll.QS.EVALUATE(C6273,F6273)</f>
        <v>38016.338620762108</v>
      </c>
      <c r="H6273" s="5" t="s">
        <v>6314</v>
      </c>
      <c r="I6273" s="7">
        <v>1627100</v>
      </c>
      <c r="J6273" s="8">
        <v>3.7100000000000001E-2</v>
      </c>
    </row>
    <row r="6274" spans="1:10" x14ac:dyDescent="0.25">
      <c r="A6274" s="5" t="s">
        <v>6308</v>
      </c>
      <c r="B6274" s="5" t="s">
        <v>8141</v>
      </c>
      <c r="C6274" s="6" t="str">
        <f>_xll.QS.CONTEXT.CREATE("market.6272",A6274,"USD","SOFR")</f>
        <v>QSObject:PricingContext:w1~market.6272:7899</v>
      </c>
      <c r="D6274" s="6" t="str">
        <f>_xll.QS.CONTEXT.ADD.CURVE(C6274,"SOFR",$K$2:$K$7,$L$2:$L$7,,,"Actual360","LogLinear",TRUE)</f>
        <v>QSObject:ContextInput:w1~input.qs_context_add_curve.2359132437744.6273.3.0:34240</v>
      </c>
      <c r="E6274" s="6" t="str">
        <f>_xll.QS.INSTRUMENT.SWAP("swap.6272",H6274,B6274,"USD","SOFR",I6274,J6274,0,"Actual360","Simple","Annual","Annual","Annual")</f>
        <v>QSObject:Swap:w1~swap.6272:7898</v>
      </c>
      <c r="F6274" s="6" t="str">
        <f>_xll.QS.TRADE.CREATE("trade.6272",E6274,A6274,"Receive")</f>
        <v>QSObject:SwapTrade:w1~trade.6272:25605</v>
      </c>
      <c r="G6274" s="3">
        <f>_xll.QS.EVALUATE(C6274,F6274)</f>
        <v>38837.491453863462</v>
      </c>
      <c r="H6274" s="5" t="s">
        <v>6315</v>
      </c>
      <c r="I6274" s="7">
        <v>1627200</v>
      </c>
      <c r="J6274" s="8">
        <v>3.7199999999999997E-2</v>
      </c>
    </row>
    <row r="6275" spans="1:10" x14ac:dyDescent="0.25">
      <c r="A6275" s="5" t="s">
        <v>6309</v>
      </c>
      <c r="B6275" s="5" t="s">
        <v>8142</v>
      </c>
      <c r="C6275" s="6" t="str">
        <f>_xll.QS.CONTEXT.CREATE("market.6273",A6275,"USD","SOFR")</f>
        <v>QSObject:PricingContext:w1~market.6273:7897</v>
      </c>
      <c r="D6275" s="6" t="str">
        <f>_xll.QS.CONTEXT.ADD.CURVE(C6275,"SOFR",$K$2:$K$7,$L$2:$L$7,,,"Actual360","LogLinear",TRUE)</f>
        <v>QSObject:ContextInput:w1~input.qs_context_add_curve.2359132437744.6274.3.0:34239</v>
      </c>
      <c r="E6275" s="6" t="str">
        <f>_xll.QS.INSTRUMENT.SWAP("swap.6273",H6275,B6275,"USD","SOFR",I6275,J6275,0,"Actual360","Simple","Annual","Annual","Annual")</f>
        <v>QSObject:Swap:w1~swap.6273:7896</v>
      </c>
      <c r="F6275" s="6" t="str">
        <f>_xll.QS.TRADE.CREATE("trade.6273",E6275,A6275,"Receive")</f>
        <v>QSObject:SwapTrade:w1~trade.6273:24921</v>
      </c>
      <c r="G6275" s="3">
        <f>_xll.QS.EVALUATE(C6275,F6275)</f>
        <v>39709.547489340162</v>
      </c>
      <c r="H6275" s="5" t="s">
        <v>6316</v>
      </c>
      <c r="I6275" s="7">
        <v>1627300</v>
      </c>
      <c r="J6275" s="8">
        <v>3.73E-2</v>
      </c>
    </row>
    <row r="6276" spans="1:10" x14ac:dyDescent="0.25">
      <c r="A6276" s="5" t="s">
        <v>6310</v>
      </c>
      <c r="B6276" s="5" t="s">
        <v>8143</v>
      </c>
      <c r="C6276" s="6" t="str">
        <f>_xll.QS.CONTEXT.CREATE("market.6274",A6276,"USD","SOFR")</f>
        <v>QSObject:PricingContext:w1~market.6274:7895</v>
      </c>
      <c r="D6276" s="6" t="str">
        <f>_xll.QS.CONTEXT.ADD.CURVE(C6276,"SOFR",$K$2:$K$7,$L$2:$L$7,,,"Actual360","LogLinear",TRUE)</f>
        <v>QSObject:ContextInput:w1~input.qs_context_add_curve.2359132437744.6275.3.0:34238</v>
      </c>
      <c r="E6276" s="6" t="str">
        <f>_xll.QS.INSTRUMENT.SWAP("swap.6274",H6276,B6276,"USD","SOFR",I6276,J6276,0,"Actual360","Simple","Annual","Annual","Annual")</f>
        <v>QSObject:Swap:w1~swap.6274:7894</v>
      </c>
      <c r="F6276" s="6" t="str">
        <f>_xll.QS.TRADE.CREATE("trade.6274",E6276,A6276,"Receive")</f>
        <v>QSObject:SwapTrade:w1~trade.6274:24920</v>
      </c>
      <c r="G6276" s="3">
        <f>_xll.QS.EVALUATE(C6276,F6276)</f>
        <v>40462.573034803405</v>
      </c>
      <c r="H6276" s="5" t="s">
        <v>6317</v>
      </c>
      <c r="I6276" s="7">
        <v>1627400</v>
      </c>
      <c r="J6276" s="8">
        <v>3.7400000000000003E-2</v>
      </c>
    </row>
    <row r="6277" spans="1:10" x14ac:dyDescent="0.25">
      <c r="A6277" s="5" t="s">
        <v>6311</v>
      </c>
      <c r="B6277" s="5" t="s">
        <v>8144</v>
      </c>
      <c r="C6277" s="6" t="str">
        <f>_xll.QS.CONTEXT.CREATE("market.6275",A6277,"USD","SOFR")</f>
        <v>QSObject:PricingContext:w1~market.6275:7893</v>
      </c>
      <c r="D6277" s="6" t="str">
        <f>_xll.QS.CONTEXT.ADD.CURVE(C6277,"SOFR",$K$2:$K$7,$L$2:$L$7,,,"Actual360","LogLinear",TRUE)</f>
        <v>QSObject:ContextInput:w1~input.qs_context_add_curve.2359132437744.6276.3.0:34237</v>
      </c>
      <c r="E6277" s="6" t="str">
        <f>_xll.QS.INSTRUMENT.SWAP("swap.6275",H6277,B6277,"USD","SOFR",I6277,J6277,0,"Actual360","Simple","Annual","Annual","Annual")</f>
        <v>QSObject:Swap:w1~swap.6275:7892</v>
      </c>
      <c r="F6277" s="6" t="str">
        <f>_xll.QS.TRADE.CREATE("trade.6275",E6277,A6277,"Receive")</f>
        <v>QSObject:SwapTrade:w1~trade.6275:25604</v>
      </c>
      <c r="G6277" s="3">
        <f>_xll.QS.EVALUATE(C6277,F6277)</f>
        <v>41224.660749571485</v>
      </c>
      <c r="H6277" s="5" t="s">
        <v>6318</v>
      </c>
      <c r="I6277" s="7">
        <v>1627500</v>
      </c>
      <c r="J6277" s="8">
        <v>3.7500000000000012E-2</v>
      </c>
    </row>
    <row r="6278" spans="1:10" x14ac:dyDescent="0.25">
      <c r="A6278" s="5" t="s">
        <v>6312</v>
      </c>
      <c r="B6278" s="5" t="s">
        <v>8145</v>
      </c>
      <c r="C6278" s="6" t="str">
        <f>_xll.QS.CONTEXT.CREATE("market.6276",A6278,"USD","SOFR")</f>
        <v>QSObject:PricingContext:w1~market.6276:7891</v>
      </c>
      <c r="D6278" s="6" t="str">
        <f>_xll.QS.CONTEXT.ADD.CURVE(C6278,"SOFR",$K$2:$K$7,$L$2:$L$7,,,"Actual360","LogLinear",TRUE)</f>
        <v>QSObject:ContextInput:w1~input.qs_context_add_curve.2359132437744.6277.3.0:34236</v>
      </c>
      <c r="E6278" s="6" t="str">
        <f>_xll.QS.INSTRUMENT.SWAP("swap.6276",H6278,B6278,"USD","SOFR",I6278,J6278,0,"Actual360","Simple","Annual","Annual","Annual")</f>
        <v>QSObject:Swap:w1~swap.6276:7890</v>
      </c>
      <c r="F6278" s="6" t="str">
        <f>_xll.QS.TRADE.CREATE("trade.6276",E6278,A6278,"Receive")</f>
        <v>QSObject:SwapTrade:w1~trade.6276:25603</v>
      </c>
      <c r="G6278" s="3">
        <f>_xll.QS.EVALUATE(C6278,F6278)</f>
        <v>41979.48474210639</v>
      </c>
      <c r="H6278" s="5" t="s">
        <v>6319</v>
      </c>
      <c r="I6278" s="7">
        <v>1627600</v>
      </c>
      <c r="J6278" s="8">
        <v>3.7600000000000001E-2</v>
      </c>
    </row>
    <row r="6279" spans="1:10" x14ac:dyDescent="0.25">
      <c r="A6279" s="5" t="s">
        <v>6313</v>
      </c>
      <c r="B6279" s="5" t="s">
        <v>8146</v>
      </c>
      <c r="C6279" s="6" t="str">
        <f>_xll.QS.CONTEXT.CREATE("market.6277",A6279,"USD","SOFR")</f>
        <v>QSObject:PricingContext:w1~market.6277:7889</v>
      </c>
      <c r="D6279" s="6" t="str">
        <f>_xll.QS.CONTEXT.ADD.CURVE(C6279,"SOFR",$K$2:$K$7,$L$2:$L$7,,,"Actual360","LogLinear",TRUE)</f>
        <v>QSObject:ContextInput:w1~input.qs_context_add_curve.2359132437744.6278.3.0:34235</v>
      </c>
      <c r="E6279" s="6" t="str">
        <f>_xll.QS.INSTRUMENT.SWAP("swap.6277",H6279,B6279,"USD","SOFR",I6279,J6279,0,"Actual360","Simple","Annual","Annual","Annual")</f>
        <v>QSObject:Swap:w1~swap.6277:7888</v>
      </c>
      <c r="F6279" s="6" t="str">
        <f>_xll.QS.TRADE.CREATE("trade.6277",E6279,A6279,"Receive")</f>
        <v>QSObject:SwapTrade:w1~trade.6277:24919</v>
      </c>
      <c r="G6279" s="3">
        <f>_xll.QS.EVALUATE(C6279,F6279)</f>
        <v>42532.320507783654</v>
      </c>
      <c r="H6279" s="5" t="s">
        <v>6320</v>
      </c>
      <c r="I6279" s="7">
        <v>1627700</v>
      </c>
      <c r="J6279" s="8">
        <v>3.7699999999999997E-2</v>
      </c>
    </row>
    <row r="6280" spans="1:10" x14ac:dyDescent="0.25">
      <c r="A6280" s="5" t="s">
        <v>6314</v>
      </c>
      <c r="B6280" s="5" t="s">
        <v>8147</v>
      </c>
      <c r="C6280" s="6" t="str">
        <f>_xll.QS.CONTEXT.CREATE("market.6278",A6280,"USD","SOFR")</f>
        <v>QSObject:PricingContext:w1~market.6278:7887</v>
      </c>
      <c r="D6280" s="6" t="str">
        <f>_xll.QS.CONTEXT.ADD.CURVE(C6280,"SOFR",$K$2:$K$7,$L$2:$L$7,,,"Actual360","LogLinear",TRUE)</f>
        <v>QSObject:ContextInput:w1~input.qs_context_add_curve.2359132437744.6279.3.0:34234</v>
      </c>
      <c r="E6280" s="6" t="str">
        <f>_xll.QS.INSTRUMENT.SWAP("swap.6278",H6280,B6280,"USD","SOFR",I6280,J6280,0,"Actual360","Simple","Annual","Annual","Annual")</f>
        <v>QSObject:Swap:w1~swap.6278:7886</v>
      </c>
      <c r="F6280" s="6" t="str">
        <f>_xll.QS.TRADE.CREATE("trade.6278",E6280,A6280,"Receive")</f>
        <v>QSObject:SwapTrade:w1~trade.6278:25602</v>
      </c>
      <c r="G6280" s="3">
        <f>_xll.QS.EVALUATE(C6280,F6280)</f>
        <v>43289.211129566742</v>
      </c>
      <c r="H6280" s="5" t="s">
        <v>6321</v>
      </c>
      <c r="I6280" s="7">
        <v>1627800</v>
      </c>
      <c r="J6280" s="8">
        <v>3.78E-2</v>
      </c>
    </row>
    <row r="6281" spans="1:10" x14ac:dyDescent="0.25">
      <c r="A6281" s="5" t="s">
        <v>6315</v>
      </c>
      <c r="B6281" s="5" t="s">
        <v>8148</v>
      </c>
      <c r="C6281" s="6" t="str">
        <f>_xll.QS.CONTEXT.CREATE("market.6279",A6281,"USD","SOFR")</f>
        <v>QSObject:PricingContext:w1~market.6279:7885</v>
      </c>
      <c r="D6281" s="6" t="str">
        <f>_xll.QS.CONTEXT.ADD.CURVE(C6281,"SOFR",$K$2:$K$7,$L$2:$L$7,,,"Actual360","LogLinear",TRUE)</f>
        <v>QSObject:ContextInput:w1~input.qs_context_add_curve.2359132437744.6280.3.0:34233</v>
      </c>
      <c r="E6281" s="6" t="str">
        <f>_xll.QS.INSTRUMENT.SWAP("swap.6279",H6281,B6281,"USD","SOFR",I6281,J6281,0,"Actual360","Simple","Annual","Annual","Annual")</f>
        <v>QSObject:Swap:w1~swap.6279:7884</v>
      </c>
      <c r="F6281" s="6" t="str">
        <f>_xll.QS.TRADE.CREATE("trade.6279",E6281,A6281,"Receive")</f>
        <v>QSObject:SwapTrade:w1~trade.6279:24918</v>
      </c>
      <c r="G6281" s="3">
        <f>_xll.QS.EVALUATE(C6281,F6281)</f>
        <v>44111.55339637796</v>
      </c>
      <c r="H6281" s="5" t="s">
        <v>6322</v>
      </c>
      <c r="I6281" s="7">
        <v>1627900</v>
      </c>
      <c r="J6281" s="8">
        <v>3.7900000000000003E-2</v>
      </c>
    </row>
    <row r="6282" spans="1:10" x14ac:dyDescent="0.25">
      <c r="A6282" s="5" t="s">
        <v>6316</v>
      </c>
      <c r="B6282" s="5" t="s">
        <v>8149</v>
      </c>
      <c r="C6282" s="6" t="str">
        <f>_xll.QS.CONTEXT.CREATE("market.6280",A6282,"USD","SOFR")</f>
        <v>QSObject:PricingContext:w1~market.6280:7883</v>
      </c>
      <c r="D6282" s="6" t="str">
        <f>_xll.QS.CONTEXT.ADD.CURVE(C6282,"SOFR",$K$2:$K$7,$L$2:$L$7,,,"Actual360","LogLinear",TRUE)</f>
        <v>QSObject:ContextInput:w1~input.qs_context_add_curve.2359132437744.6281.3.0:34232</v>
      </c>
      <c r="E6282" s="6" t="str">
        <f>_xll.QS.INSTRUMENT.SWAP("swap.6280",H6282,B6282,"USD","SOFR",I6282,J6282,0,"Actual360","Simple","Annual","Annual","Annual")</f>
        <v>QSObject:Swap:w1~swap.6280:7882</v>
      </c>
      <c r="F6282" s="6" t="str">
        <f>_xll.QS.TRADE.CREATE("trade.6280",E6282,A6282,"Receive")</f>
        <v>QSObject:SwapTrade:w1~trade.6280:25601</v>
      </c>
      <c r="G6282" s="3">
        <f>_xll.QS.EVALUATE(C6282,F6282)</f>
        <v>44984.384532758646</v>
      </c>
      <c r="H6282" s="5" t="s">
        <v>6323</v>
      </c>
      <c r="I6282" s="7">
        <v>1628000</v>
      </c>
      <c r="J6282" s="8">
        <v>3.8000000000000013E-2</v>
      </c>
    </row>
    <row r="6283" spans="1:10" x14ac:dyDescent="0.25">
      <c r="A6283" s="5" t="s">
        <v>6317</v>
      </c>
      <c r="B6283" s="5" t="s">
        <v>8150</v>
      </c>
      <c r="C6283" s="6" t="str">
        <f>_xll.QS.CONTEXT.CREATE("market.6281",A6283,"USD","SOFR")</f>
        <v>QSObject:PricingContext:w1~market.6281:7881</v>
      </c>
      <c r="D6283" s="6" t="str">
        <f>_xll.QS.CONTEXT.ADD.CURVE(C6283,"SOFR",$K$2:$K$7,$L$2:$L$7,,,"Actual360","LogLinear",TRUE)</f>
        <v>QSObject:ContextInput:w1~input.qs_context_add_curve.2359132437744.6282.3.0:34231</v>
      </c>
      <c r="E6283" s="6" t="str">
        <f>_xll.QS.INSTRUMENT.SWAP("swap.6281",H6283,B6283,"USD","SOFR",I6283,J6283,0,"Actual360","Simple","Annual","Annual","Annual")</f>
        <v>QSObject:Swap:w1~swap.6281:7880</v>
      </c>
      <c r="F6283" s="6" t="str">
        <f>_xll.QS.TRADE.CREATE("trade.6281",E6283,A6283,"Receive")</f>
        <v>QSObject:SwapTrade:w1~trade.6281:25600</v>
      </c>
      <c r="G6283" s="3">
        <f>_xll.QS.EVALUATE(C6283,F6283)</f>
        <v>45737.67834977142</v>
      </c>
      <c r="H6283" s="5" t="s">
        <v>6324</v>
      </c>
      <c r="I6283" s="7">
        <v>1628100</v>
      </c>
      <c r="J6283" s="8">
        <v>3.8100000000000002E-2</v>
      </c>
    </row>
    <row r="6284" spans="1:10" x14ac:dyDescent="0.25">
      <c r="A6284" s="5" t="s">
        <v>6318</v>
      </c>
      <c r="B6284" s="5" t="s">
        <v>8151</v>
      </c>
      <c r="C6284" s="6" t="str">
        <f>_xll.QS.CONTEXT.CREATE("market.6282",A6284,"USD","SOFR")</f>
        <v>QSObject:PricingContext:w1~market.6282:7879</v>
      </c>
      <c r="D6284" s="6" t="str">
        <f>_xll.QS.CONTEXT.ADD.CURVE(C6284,"SOFR",$K$2:$K$7,$L$2:$L$7,,,"Actual360","LogLinear",TRUE)</f>
        <v>QSObject:ContextInput:w1~input.qs_context_add_curve.2359132437744.6283.3.0:34230</v>
      </c>
      <c r="E6284" s="6" t="str">
        <f>_xll.QS.INSTRUMENT.SWAP("swap.6282",H6284,B6284,"USD","SOFR",I6284,J6284,0,"Actual360","Simple","Annual","Annual","Annual")</f>
        <v>QSObject:Swap:w1~swap.6282:7878</v>
      </c>
      <c r="F6284" s="6" t="str">
        <f>_xll.QS.TRADE.CREATE("trade.6282",E6284,A6284,"Receive")</f>
        <v>QSObject:SwapTrade:w1~trade.6282:24917</v>
      </c>
      <c r="G6284" s="3">
        <f>_xll.QS.EVALUATE(C6284,F6284)</f>
        <v>46502.223349561733</v>
      </c>
      <c r="H6284" s="5" t="s">
        <v>6325</v>
      </c>
      <c r="I6284" s="7">
        <v>1628200</v>
      </c>
      <c r="J6284" s="8">
        <v>3.8199999999999998E-2</v>
      </c>
    </row>
    <row r="6285" spans="1:10" x14ac:dyDescent="0.25">
      <c r="A6285" s="5" t="s">
        <v>6319</v>
      </c>
      <c r="B6285" s="5" t="s">
        <v>8152</v>
      </c>
      <c r="C6285" s="6" t="str">
        <f>_xll.QS.CONTEXT.CREATE("market.6283",A6285,"USD","SOFR")</f>
        <v>QSObject:PricingContext:w1~market.6283:7877</v>
      </c>
      <c r="D6285" s="6" t="str">
        <f>_xll.QS.CONTEXT.ADD.CURVE(C6285,"SOFR",$K$2:$K$7,$L$2:$L$7,,,"Actual360","LogLinear",TRUE)</f>
        <v>QSObject:ContextInput:w1~input.qs_context_add_curve.2359132437744.6284.3.0:34229</v>
      </c>
      <c r="E6285" s="6" t="str">
        <f>_xll.QS.INSTRUMENT.SWAP("swap.6283",H6285,B6285,"USD","SOFR",I6285,J6285,0,"Actual360","Simple","Annual","Annual","Annual")</f>
        <v>QSObject:Swap:w1~swap.6283:7876</v>
      </c>
      <c r="F6285" s="6" t="str">
        <f>_xll.QS.TRADE.CREATE("trade.6283",E6285,A6285,"Receive")</f>
        <v>QSObject:SwapTrade:w1~trade.6283:25599</v>
      </c>
      <c r="G6285" s="3">
        <f>_xll.QS.EVALUATE(C6285,F6285)</f>
        <v>47256.424731374012</v>
      </c>
      <c r="H6285" s="5" t="s">
        <v>6326</v>
      </c>
      <c r="I6285" s="7">
        <v>1628300</v>
      </c>
      <c r="J6285" s="8">
        <v>3.8300000000000001E-2</v>
      </c>
    </row>
    <row r="6286" spans="1:10" x14ac:dyDescent="0.25">
      <c r="A6286" s="5" t="s">
        <v>6320</v>
      </c>
      <c r="B6286" s="5" t="s">
        <v>8153</v>
      </c>
      <c r="C6286" s="6" t="str">
        <f>_xll.QS.CONTEXT.CREATE("market.6284",A6286,"USD","SOFR")</f>
        <v>QSObject:PricingContext:w1~market.6284:7875</v>
      </c>
      <c r="D6286" s="6" t="str">
        <f>_xll.QS.CONTEXT.ADD.CURVE(C6286,"SOFR",$K$2:$K$7,$L$2:$L$7,,,"Actual360","LogLinear",TRUE)</f>
        <v>QSObject:ContextInput:w1~input.qs_context_add_curve.2359132437744.6285.3.0:34228</v>
      </c>
      <c r="E6286" s="6" t="str">
        <f>_xll.QS.INSTRUMENT.SWAP("swap.6284",H6286,B6286,"USD","SOFR",I6286,J6286,0,"Actual360","Simple","Annual","Annual","Annual")</f>
        <v>QSObject:Swap:w1~swap.6284:7874</v>
      </c>
      <c r="F6286" s="6" t="str">
        <f>_xll.QS.TRADE.CREATE("trade.6284",E6286,A6286,"Receive")</f>
        <v>QSObject:SwapTrade:w1~trade.6284:24916</v>
      </c>
      <c r="G6286" s="3">
        <f>_xll.QS.EVALUATE(C6286,F6286)</f>
        <v>47808.763278738275</v>
      </c>
      <c r="H6286" s="5" t="s">
        <v>6327</v>
      </c>
      <c r="I6286" s="7">
        <v>1628400</v>
      </c>
      <c r="J6286" s="8">
        <v>3.8399999999999997E-2</v>
      </c>
    </row>
    <row r="6287" spans="1:10" x14ac:dyDescent="0.25">
      <c r="A6287" s="5" t="s">
        <v>6321</v>
      </c>
      <c r="B6287" s="5" t="s">
        <v>8154</v>
      </c>
      <c r="C6287" s="6" t="str">
        <f>_xll.QS.CONTEXT.CREATE("market.6285",A6287,"USD","SOFR")</f>
        <v>QSObject:PricingContext:w1~market.6285:7873</v>
      </c>
      <c r="D6287" s="6" t="str">
        <f>_xll.QS.CONTEXT.ADD.CURVE(C6287,"SOFR",$K$2:$K$7,$L$2:$L$7,,,"Actual360","LogLinear",TRUE)</f>
        <v>QSObject:ContextInput:w1~input.qs_context_add_curve.2359132437744.6286.3.0:34227</v>
      </c>
      <c r="E6287" s="6" t="str">
        <f>_xll.QS.INSTRUMENT.SWAP("swap.6285",H6287,B6287,"USD","SOFR",I6287,J6287,0,"Actual360","Simple","Annual","Annual","Annual")</f>
        <v>QSObject:Swap:w1~swap.6285:7872</v>
      </c>
      <c r="F6287" s="6" t="str">
        <f>_xll.QS.TRADE.CREATE("trade.6285",E6287,A6287,"Receive")</f>
        <v>QSObject:SwapTrade:w1~trade.6285:24915</v>
      </c>
      <c r="G6287" s="3">
        <f>_xll.QS.EVALUATE(C6287,F6287)</f>
        <v>48567.083597043049</v>
      </c>
      <c r="H6287" s="5" t="s">
        <v>6328</v>
      </c>
      <c r="I6287" s="7">
        <v>1628500</v>
      </c>
      <c r="J6287" s="8">
        <v>3.8500000000000013E-2</v>
      </c>
    </row>
    <row r="6288" spans="1:10" x14ac:dyDescent="0.25">
      <c r="A6288" s="5" t="s">
        <v>6322</v>
      </c>
      <c r="B6288" s="5" t="s">
        <v>8155</v>
      </c>
      <c r="C6288" s="6" t="str">
        <f>_xll.QS.CONTEXT.CREATE("market.6286",A6288,"USD","SOFR")</f>
        <v>QSObject:PricingContext:w1~market.6286:7871</v>
      </c>
      <c r="D6288" s="6" t="str">
        <f>_xll.QS.CONTEXT.ADD.CURVE(C6288,"SOFR",$K$2:$K$7,$L$2:$L$7,,,"Actual360","LogLinear",TRUE)</f>
        <v>QSObject:ContextInput:w1~input.qs_context_add_curve.2359132437744.6287.3.0:34226</v>
      </c>
      <c r="E6288" s="6" t="str">
        <f>_xll.QS.INSTRUMENT.SWAP("swap.6286",H6288,B6288,"USD","SOFR",I6288,J6288,0,"Actual360","Simple","Annual","Annual","Annual")</f>
        <v>QSObject:Swap:w1~swap.6286:7870</v>
      </c>
      <c r="F6288" s="6" t="str">
        <f>_xll.QS.TRADE.CREATE("trade.6286",E6288,A6288,"Receive")</f>
        <v>QSObject:SwapTrade:w1~trade.6286:25598</v>
      </c>
      <c r="G6288" s="3">
        <f>_xll.QS.EVALUATE(C6288,F6288)</f>
        <v>49389.583111941116</v>
      </c>
      <c r="H6288" s="5" t="s">
        <v>6329</v>
      </c>
      <c r="I6288" s="7">
        <v>1628600</v>
      </c>
      <c r="J6288" s="8">
        <v>3.8600000000000002E-2</v>
      </c>
    </row>
    <row r="6289" spans="1:10" x14ac:dyDescent="0.25">
      <c r="A6289" s="5" t="s">
        <v>6323</v>
      </c>
      <c r="B6289" s="5" t="s">
        <v>8156</v>
      </c>
      <c r="C6289" s="6" t="str">
        <f>_xll.QS.CONTEXT.CREATE("market.6287",A6289,"USD","SOFR")</f>
        <v>QSObject:PricingContext:w1~market.6287:7869</v>
      </c>
      <c r="D6289" s="6" t="str">
        <f>_xll.QS.CONTEXT.ADD.CURVE(C6289,"SOFR",$K$2:$K$7,$L$2:$L$7,,,"Actual360","LogLinear",TRUE)</f>
        <v>QSObject:ContextInput:w1~input.qs_context_add_curve.2359132437744.6288.3.0:34225</v>
      </c>
      <c r="E6289" s="6" t="str">
        <f>_xll.QS.INSTRUMENT.SWAP("swap.6287",H6289,B6289,"USD","SOFR",I6289,J6289,0,"Actual360","Simple","Annual","Annual","Annual")</f>
        <v>QSObject:Swap:w1~swap.6287:7868</v>
      </c>
      <c r="F6289" s="6" t="str">
        <f>_xll.QS.TRADE.CREATE("trade.6287",E6289,A6289,"Receive")</f>
        <v>QSObject:SwapTrade:w1~trade.6287:24914</v>
      </c>
      <c r="G6289" s="3">
        <f>_xll.QS.EVALUATE(C6289,F6289)</f>
        <v>50263.742987600199</v>
      </c>
      <c r="H6289" s="5" t="s">
        <v>6330</v>
      </c>
      <c r="I6289" s="7">
        <v>1628700</v>
      </c>
      <c r="J6289" s="8">
        <v>3.8700000000000012E-2</v>
      </c>
    </row>
    <row r="6290" spans="1:10" x14ac:dyDescent="0.25">
      <c r="A6290" s="5" t="s">
        <v>6324</v>
      </c>
      <c r="B6290" s="5" t="s">
        <v>8157</v>
      </c>
      <c r="C6290" s="6" t="str">
        <f>_xll.QS.CONTEXT.CREATE("market.6288",A6290,"USD","SOFR")</f>
        <v>QSObject:PricingContext:w1~market.6288:7867</v>
      </c>
      <c r="D6290" s="6" t="str">
        <f>_xll.QS.CONTEXT.ADD.CURVE(C6290,"SOFR",$K$2:$K$7,$L$2:$L$7,,,"Actual360","LogLinear",TRUE)</f>
        <v>QSObject:ContextInput:w1~input.qs_context_add_curve.2359132437744.6289.3.0:34224</v>
      </c>
      <c r="E6290" s="6" t="str">
        <f>_xll.QS.INSTRUMENT.SWAP("swap.6288",H6290,B6290,"USD","SOFR",I6290,J6290,0,"Actual360","Simple","Annual","Annual","Annual")</f>
        <v>QSObject:Swap:w1~swap.6288:7866</v>
      </c>
      <c r="F6290" s="6" t="str">
        <f>_xll.QS.TRADE.CREATE("trade.6288",E6290,A6290,"Receive")</f>
        <v>QSObject:SwapTrade:w1~trade.6288:24913</v>
      </c>
      <c r="G6290" s="3">
        <f>_xll.QS.EVALUATE(C6290,F6290)</f>
        <v>51018.036917331206</v>
      </c>
      <c r="H6290" s="5" t="s">
        <v>6331</v>
      </c>
      <c r="I6290" s="7">
        <v>1628800</v>
      </c>
      <c r="J6290" s="8">
        <v>3.8800000000000001E-2</v>
      </c>
    </row>
    <row r="6291" spans="1:10" x14ac:dyDescent="0.25">
      <c r="A6291" s="5" t="s">
        <v>6325</v>
      </c>
      <c r="B6291" s="5" t="s">
        <v>8158</v>
      </c>
      <c r="C6291" s="6" t="str">
        <f>_xll.QS.CONTEXT.CREATE("market.6289",A6291,"USD","SOFR")</f>
        <v>QSObject:PricingContext:w1~market.6289:7865</v>
      </c>
      <c r="D6291" s="6" t="str">
        <f>_xll.QS.CONTEXT.ADD.CURVE(C6291,"SOFR",$K$2:$K$7,$L$2:$L$7,,,"Actual360","LogLinear",TRUE)</f>
        <v>QSObject:ContextInput:w1~input.qs_context_add_curve.2359132437744.6290.3.0:34223</v>
      </c>
      <c r="E6291" s="6" t="str">
        <f>_xll.QS.INSTRUMENT.SWAP("swap.6289",H6291,B6291,"USD","SOFR",I6291,J6291,0,"Actual360","Simple","Annual","Annual","Annual")</f>
        <v>QSObject:Swap:w1~swap.6289:7864</v>
      </c>
      <c r="F6291" s="6" t="str">
        <f>_xll.QS.TRADE.CREATE("trade.6289",E6291,A6291,"Receive")</f>
        <v>QSObject:SwapTrade:w1~trade.6289:25597</v>
      </c>
      <c r="G6291" s="3">
        <f>_xll.QS.EVALUATE(C6291,F6291)</f>
        <v>51781.45581132159</v>
      </c>
      <c r="H6291" s="5" t="s">
        <v>6332</v>
      </c>
      <c r="I6291" s="7">
        <v>1628900</v>
      </c>
      <c r="J6291" s="8">
        <v>3.8899999999999997E-2</v>
      </c>
    </row>
    <row r="6292" spans="1:10" x14ac:dyDescent="0.25">
      <c r="A6292" s="5" t="s">
        <v>6326</v>
      </c>
      <c r="B6292" s="5" t="s">
        <v>8159</v>
      </c>
      <c r="C6292" s="6" t="str">
        <f>_xll.QS.CONTEXT.CREATE("market.6290",A6292,"USD","SOFR")</f>
        <v>QSObject:PricingContext:w1~market.6290:7863</v>
      </c>
      <c r="D6292" s="6" t="str">
        <f>_xll.QS.CONTEXT.ADD.CURVE(C6292,"SOFR",$K$2:$K$7,$L$2:$L$7,,,"Actual360","LogLinear",TRUE)</f>
        <v>QSObject:ContextInput:w1~input.qs_context_add_curve.2359132437744.6291.3.0:34222</v>
      </c>
      <c r="E6292" s="6" t="str">
        <f>_xll.QS.INSTRUMENT.SWAP("swap.6290",H6292,B6292,"USD","SOFR",I6292,J6292,0,"Actual360","Simple","Annual","Annual","Annual")</f>
        <v>QSObject:Swap:w1~swap.6290:7862</v>
      </c>
      <c r="F6292" s="6" t="str">
        <f>_xll.QS.TRADE.CREATE("trade.6290",E6292,A6292,"Receive")</f>
        <v>QSObject:SwapTrade:w1~trade.6290:24912</v>
      </c>
      <c r="G6292" s="3">
        <f>_xll.QS.EVALUATE(C6292,F6292)</f>
        <v>52537.610024212816</v>
      </c>
      <c r="H6292" s="5" t="s">
        <v>6333</v>
      </c>
      <c r="I6292" s="7">
        <v>1629000</v>
      </c>
      <c r="J6292" s="8">
        <v>3.9000000000000007E-2</v>
      </c>
    </row>
    <row r="6293" spans="1:10" x14ac:dyDescent="0.25">
      <c r="A6293" s="5" t="s">
        <v>6327</v>
      </c>
      <c r="B6293" s="5" t="s">
        <v>8160</v>
      </c>
      <c r="C6293" s="6" t="str">
        <f>_xll.QS.CONTEXT.CREATE("market.6291",A6293,"USD","SOFR")</f>
        <v>QSObject:PricingContext:w1~market.6291:7861</v>
      </c>
      <c r="D6293" s="6" t="str">
        <f>_xll.QS.CONTEXT.ADD.CURVE(C6293,"SOFR",$K$2:$K$7,$L$2:$L$7,,,"Actual360","LogLinear",TRUE)</f>
        <v>QSObject:ContextInput:w1~input.qs_context_add_curve.2359132437744.6292.3.0:34221</v>
      </c>
      <c r="E6293" s="6" t="str">
        <f>_xll.QS.INSTRUMENT.SWAP("swap.6291",H6293,B6293,"USD","SOFR",I6293,J6293,0,"Actual360","Simple","Annual","Annual","Annual")</f>
        <v>QSObject:Swap:w1~swap.6291:7860</v>
      </c>
      <c r="F6293" s="6" t="str">
        <f>_xll.QS.TRADE.CREATE("trade.6291",E6293,A6293,"Receive")</f>
        <v>QSObject:SwapTrade:w1~trade.6291:25596</v>
      </c>
      <c r="G6293" s="3">
        <f>_xll.QS.EVALUATE(C6293,F6293)</f>
        <v>53296.576859035202</v>
      </c>
      <c r="H6293" s="5" t="s">
        <v>6334</v>
      </c>
      <c r="I6293" s="7">
        <v>1629100</v>
      </c>
      <c r="J6293" s="8">
        <v>3.9100000000000003E-2</v>
      </c>
    </row>
    <row r="6294" spans="1:10" x14ac:dyDescent="0.25">
      <c r="A6294" s="5" t="s">
        <v>6328</v>
      </c>
      <c r="B6294" s="5" t="s">
        <v>8161</v>
      </c>
      <c r="C6294" s="6" t="str">
        <f>_xll.QS.CONTEXT.CREATE("market.6292",A6294,"USD","SOFR")</f>
        <v>QSObject:PricingContext:w1~market.6292:7859</v>
      </c>
      <c r="D6294" s="6" t="str">
        <f>_xll.QS.CONTEXT.ADD.CURVE(C6294,"SOFR",$K$2:$K$7,$L$2:$L$7,,,"Actual360","LogLinear",TRUE)</f>
        <v>QSObject:ContextInput:w1~input.qs_context_add_curve.2359132437744.6293.3.0:34220</v>
      </c>
      <c r="E6294" s="6" t="str">
        <f>_xll.QS.INSTRUMENT.SWAP("swap.6292",H6294,B6294,"USD","SOFR",I6294,J6294,0,"Actual360","Simple","Annual","Annual","Annual")</f>
        <v>QSObject:Swap:w1~swap.6292:7858</v>
      </c>
      <c r="F6294" s="6" t="str">
        <f>_xll.QS.TRADE.CREATE("trade.6292",E6294,A6294,"Receive")</f>
        <v>QSObject:SwapTrade:w1~trade.6292:25595</v>
      </c>
      <c r="G6294" s="3">
        <f>_xll.QS.EVALUATE(C6294,F6294)</f>
        <v>53848.507492305966</v>
      </c>
      <c r="H6294" s="5" t="s">
        <v>6335</v>
      </c>
      <c r="I6294" s="7">
        <v>1629200</v>
      </c>
      <c r="J6294" s="8">
        <v>3.9200000000000013E-2</v>
      </c>
    </row>
    <row r="6295" spans="1:10" x14ac:dyDescent="0.25">
      <c r="A6295" s="5" t="s">
        <v>6329</v>
      </c>
      <c r="B6295" s="5" t="s">
        <v>8162</v>
      </c>
      <c r="C6295" s="6" t="str">
        <f>_xll.QS.CONTEXT.CREATE("market.6293",A6295,"USD","SOFR")</f>
        <v>QSObject:PricingContext:w1~market.6293:7857</v>
      </c>
      <c r="D6295" s="6" t="str">
        <f>_xll.QS.CONTEXT.ADD.CURVE(C6295,"SOFR",$K$2:$K$7,$L$2:$L$7,,,"Actual360","LogLinear",TRUE)</f>
        <v>QSObject:ContextInput:w1~input.qs_context_add_curve.2359132437744.6294.3.0:34219</v>
      </c>
      <c r="E6295" s="6" t="str">
        <f>_xll.QS.INSTRUMENT.SWAP("swap.6293",H6295,B6295,"USD","SOFR",I6295,J6295,0,"Actual360","Simple","Annual","Annual","Annual")</f>
        <v>QSObject:Swap:w1~swap.6293:7856</v>
      </c>
      <c r="F6295" s="6" t="str">
        <f>_xll.QS.TRADE.CREATE("trade.6293",E6295,A6295,"Receive")</f>
        <v>QSObject:SwapTrade:w1~trade.6293:25594</v>
      </c>
      <c r="G6295" s="3">
        <f>_xll.QS.EVALUATE(C6295,F6295)</f>
        <v>54672.951128953297</v>
      </c>
      <c r="H6295" s="5" t="s">
        <v>6336</v>
      </c>
      <c r="I6295" s="7">
        <v>1629300</v>
      </c>
      <c r="J6295" s="8">
        <v>3.9300000000000002E-2</v>
      </c>
    </row>
    <row r="6296" spans="1:10" x14ac:dyDescent="0.25">
      <c r="A6296" s="5" t="s">
        <v>6330</v>
      </c>
      <c r="B6296" s="5" t="s">
        <v>8163</v>
      </c>
      <c r="C6296" s="6" t="str">
        <f>_xll.QS.CONTEXT.CREATE("market.6294",A6296,"USD","SOFR")</f>
        <v>QSObject:PricingContext:w1~market.6294:7855</v>
      </c>
      <c r="D6296" s="6" t="str">
        <f>_xll.QS.CONTEXT.ADD.CURVE(C6296,"SOFR",$K$2:$K$7,$L$2:$L$7,,,"Actual360","LogLinear",TRUE)</f>
        <v>QSObject:ContextInput:w1~input.qs_context_add_curve.2359132437744.6295.3.0:34218</v>
      </c>
      <c r="E6296" s="6" t="str">
        <f>_xll.QS.INSTRUMENT.SWAP("swap.6294",H6296,B6296,"USD","SOFR",I6296,J6296,0,"Actual360","Simple","Annual","Annual","Annual")</f>
        <v>QSObject:Swap:w1~swap.6294:7854</v>
      </c>
      <c r="F6296" s="6" t="str">
        <f>_xll.QS.TRADE.CREATE("trade.6294",E6296,A6296,"Receive")</f>
        <v>QSObject:SwapTrade:w1~trade.6294:24911</v>
      </c>
      <c r="G6296" s="3">
        <f>_xll.QS.EVALUATE(C6296,F6296)</f>
        <v>55547.621855147976</v>
      </c>
      <c r="H6296" s="5" t="s">
        <v>6337</v>
      </c>
      <c r="I6296" s="7">
        <v>1629400</v>
      </c>
      <c r="J6296" s="8">
        <v>3.9399999999999998E-2</v>
      </c>
    </row>
    <row r="6297" spans="1:10" x14ac:dyDescent="0.25">
      <c r="A6297" s="5" t="s">
        <v>6331</v>
      </c>
      <c r="B6297" s="5" t="s">
        <v>8164</v>
      </c>
      <c r="C6297" s="6" t="str">
        <f>_xll.QS.CONTEXT.CREATE("market.6295",A6297,"USD","SOFR")</f>
        <v>QSObject:PricingContext:w1~market.6295:7853</v>
      </c>
      <c r="D6297" s="6" t="str">
        <f>_xll.QS.CONTEXT.ADD.CURVE(C6297,"SOFR",$K$2:$K$7,$L$2:$L$7,,,"Actual360","LogLinear",TRUE)</f>
        <v>QSObject:ContextInput:w1~input.qs_context_add_curve.2359132437744.6296.3.0:34217</v>
      </c>
      <c r="E6297" s="6" t="str">
        <f>_xll.QS.INSTRUMENT.SWAP("swap.6295",H6297,B6297,"USD","SOFR",I6297,J6297,0,"Actual360","Simple","Annual","Annual","Annual")</f>
        <v>QSObject:Swap:w1~swap.6295:7852</v>
      </c>
      <c r="F6297" s="6" t="str">
        <f>_xll.QS.TRADE.CREATE("trade.6295",E6297,A6297,"Receive")</f>
        <v>QSObject:SwapTrade:w1~trade.6295:25593</v>
      </c>
      <c r="G6297" s="3">
        <f>_xll.QS.EVALUATE(C6297,F6297)</f>
        <v>56302.784705814673</v>
      </c>
      <c r="H6297" s="5" t="s">
        <v>6338</v>
      </c>
      <c r="I6297" s="7">
        <v>1629500</v>
      </c>
      <c r="J6297" s="8">
        <v>3.9500000000000007E-2</v>
      </c>
    </row>
    <row r="6298" spans="1:10" x14ac:dyDescent="0.25">
      <c r="A6298" s="5" t="s">
        <v>6332</v>
      </c>
      <c r="B6298" s="5" t="s">
        <v>8165</v>
      </c>
      <c r="C6298" s="6" t="str">
        <f>_xll.QS.CONTEXT.CREATE("market.6296",A6298,"USD","SOFR")</f>
        <v>QSObject:PricingContext:w1~market.6296:7851</v>
      </c>
      <c r="D6298" s="6" t="str">
        <f>_xll.QS.CONTEXT.ADD.CURVE(C6298,"SOFR",$K$2:$K$7,$L$2:$L$7,,,"Actual360","LogLinear",TRUE)</f>
        <v>QSObject:ContextInput:w1~input.qs_context_add_curve.2359132437744.6297.3.0:34216</v>
      </c>
      <c r="E6298" s="6" t="str">
        <f>_xll.QS.INSTRUMENT.SWAP("swap.6296",H6298,B6298,"USD","SOFR",I6298,J6298,0,"Actual360","Simple","Annual","Annual","Annual")</f>
        <v>QSObject:Swap:w1~swap.6296:7850</v>
      </c>
      <c r="F6298" s="6" t="str">
        <f>_xll.QS.TRADE.CREATE("trade.6296",E6298,A6298,"Receive")</f>
        <v>QSObject:SwapTrade:w1~trade.6296:24910</v>
      </c>
      <c r="G6298" s="3">
        <f>_xll.QS.EVALUATE(C6298,F6298)</f>
        <v>57066.873218104047</v>
      </c>
      <c r="H6298" s="5" t="s">
        <v>6339</v>
      </c>
      <c r="I6298" s="7">
        <v>1629600</v>
      </c>
      <c r="J6298" s="8">
        <v>3.9600000000000003E-2</v>
      </c>
    </row>
    <row r="6299" spans="1:10" x14ac:dyDescent="0.25">
      <c r="A6299" s="5" t="s">
        <v>6333</v>
      </c>
      <c r="B6299" s="5" t="s">
        <v>8166</v>
      </c>
      <c r="C6299" s="6" t="str">
        <f>_xll.QS.CONTEXT.CREATE("market.6297",A6299,"USD","SOFR")</f>
        <v>QSObject:PricingContext:w1~market.6297:7849</v>
      </c>
      <c r="D6299" s="6" t="str">
        <f>_xll.QS.CONTEXT.ADD.CURVE(C6299,"SOFR",$K$2:$K$7,$L$2:$L$7,,,"Actual360","LogLinear",TRUE)</f>
        <v>QSObject:ContextInput:w1~input.qs_context_add_curve.2359132437744.6298.3.0:34215</v>
      </c>
      <c r="E6299" s="6" t="str">
        <f>_xll.QS.INSTRUMENT.SWAP("swap.6297",H6299,B6299,"USD","SOFR",I6299,J6299,0,"Actual360","Simple","Annual","Annual","Annual")</f>
        <v>QSObject:Swap:w1~swap.6297:7848</v>
      </c>
      <c r="F6299" s="6" t="str">
        <f>_xll.QS.TRADE.CREATE("trade.6297",E6299,A6299,"Receive")</f>
        <v>QSObject:SwapTrade:w1~trade.6297:25592</v>
      </c>
      <c r="G6299" s="3">
        <f>_xll.QS.EVALUATE(C6299,F6299)</f>
        <v>57614.937163148192</v>
      </c>
      <c r="H6299" s="5" t="s">
        <v>6340</v>
      </c>
      <c r="I6299" s="7">
        <v>1629700</v>
      </c>
      <c r="J6299" s="8">
        <v>3.9700000000000013E-2</v>
      </c>
    </row>
    <row r="6300" spans="1:10" x14ac:dyDescent="0.25">
      <c r="A6300" s="5" t="s">
        <v>6334</v>
      </c>
      <c r="B6300" s="5" t="s">
        <v>8167</v>
      </c>
      <c r="C6300" s="6" t="str">
        <f>_xll.QS.CONTEXT.CREATE("market.6298",A6300,"USD","SOFR")</f>
        <v>QSObject:PricingContext:w1~market.6298:7847</v>
      </c>
      <c r="D6300" s="6" t="str">
        <f>_xll.QS.CONTEXT.ADD.CURVE(C6300,"SOFR",$K$2:$K$7,$L$2:$L$7,,,"Actual360","LogLinear",TRUE)</f>
        <v>QSObject:ContextInput:w1~input.qs_context_add_curve.2359132437744.6299.3.0:34214</v>
      </c>
      <c r="E6300" s="6" t="str">
        <f>_xll.QS.INSTRUMENT.SWAP("swap.6298",H6300,B6300,"USD","SOFR",I6300,J6300,0,"Actual360","Simple","Annual","Annual","Annual")</f>
        <v>QSObject:Swap:w1~swap.6298:7846</v>
      </c>
      <c r="F6300" s="6" t="str">
        <f>_xll.QS.TRADE.CREATE("trade.6298",E6300,A6300,"Receive")</f>
        <v>QSObject:SwapTrade:w1~trade.6298:24909</v>
      </c>
      <c r="G6300" s="3">
        <f>_xll.QS.EVALUATE(C6300,F6300)</f>
        <v>58374.805727869498</v>
      </c>
      <c r="H6300" s="5" t="s">
        <v>6341</v>
      </c>
      <c r="I6300" s="7">
        <v>1629800</v>
      </c>
      <c r="J6300" s="8">
        <v>3.9800000000000002E-2</v>
      </c>
    </row>
    <row r="6301" spans="1:10" x14ac:dyDescent="0.25">
      <c r="A6301" s="5" t="s">
        <v>6335</v>
      </c>
      <c r="B6301" s="5" t="s">
        <v>8168</v>
      </c>
      <c r="C6301" s="6" t="str">
        <f>_xll.QS.CONTEXT.CREATE("market.6299",A6301,"USD","SOFR")</f>
        <v>QSObject:PricingContext:w1~market.6299:7845</v>
      </c>
      <c r="D6301" s="6" t="str">
        <f>_xll.QS.CONTEXT.ADD.CURVE(C6301,"SOFR",$K$2:$K$7,$L$2:$L$7,,,"Actual360","LogLinear",TRUE)</f>
        <v>QSObject:ContextInput:w1~input.qs_context_add_curve.2359132437744.6300.3.0:34213</v>
      </c>
      <c r="E6301" s="6" t="str">
        <f>_xll.QS.INSTRUMENT.SWAP("swap.6299",H6301,B6301,"USD","SOFR",I6301,J6301,0,"Actual360","Simple","Annual","Annual","Annual")</f>
        <v>QSObject:Swap:w1~swap.6299:7844</v>
      </c>
      <c r="F6301" s="6" t="str">
        <f>_xll.QS.TRADE.CREATE("trade.6299",E6301,A6301,"Receive")</f>
        <v>QSObject:SwapTrade:w1~trade.6299:25591</v>
      </c>
      <c r="G6301" s="3">
        <f>_xll.QS.EVALUATE(C6301,F6301)</f>
        <v>59134.962268689851</v>
      </c>
      <c r="H6301" s="5" t="s">
        <v>6342</v>
      </c>
      <c r="I6301" s="7">
        <v>1629900</v>
      </c>
      <c r="J6301" s="8">
        <v>3.9899999999999998E-2</v>
      </c>
    </row>
    <row r="6302" spans="1:10" x14ac:dyDescent="0.25">
      <c r="A6302" s="5" t="s">
        <v>6336</v>
      </c>
      <c r="B6302" s="5" t="s">
        <v>8169</v>
      </c>
      <c r="C6302" s="6" t="str">
        <f>_xll.QS.CONTEXT.CREATE("market.6300",A6302,"USD","SOFR")</f>
        <v>QSObject:PricingContext:w1~market.6300:7843</v>
      </c>
      <c r="D6302" s="6" t="str">
        <f>_xll.QS.CONTEXT.ADD.CURVE(C6302,"SOFR",$K$2:$K$7,$L$2:$L$7,,,"Actual360","LogLinear",TRUE)</f>
        <v>QSObject:ContextInput:w1~input.qs_context_add_curve.2359132437744.6301.3.0:34212</v>
      </c>
      <c r="E6302" s="6" t="str">
        <f>_xll.QS.INSTRUMENT.SWAP("swap.6300",H6302,B6302,"USD","SOFR",I6302,J6302,0,"Actual360","Simple","Annual","Annual","Annual")</f>
        <v>QSObject:Swap:w1~swap.6300:7842</v>
      </c>
      <c r="F6302" s="6" t="str">
        <f>_xll.QS.TRADE.CREATE("trade.6300",E6302,A6302,"Receive")</f>
        <v>QSObject:SwapTrade:w1~trade.6300:24908</v>
      </c>
      <c r="G6302" s="3">
        <f>_xll.QS.EVALUATE(C6302,F6302)</f>
        <v>22539.658653813858</v>
      </c>
      <c r="H6302" s="5" t="s">
        <v>6343</v>
      </c>
      <c r="I6302" s="7">
        <v>1630000</v>
      </c>
      <c r="J6302" s="8">
        <v>3.5000000000000003E-2</v>
      </c>
    </row>
    <row r="6303" spans="1:10" x14ac:dyDescent="0.25">
      <c r="A6303" s="5" t="s">
        <v>6337</v>
      </c>
      <c r="B6303" s="5" t="s">
        <v>8170</v>
      </c>
      <c r="C6303" s="6" t="str">
        <f>_xll.QS.CONTEXT.CREATE("market.6301",A6303,"USD","SOFR")</f>
        <v>QSObject:PricingContext:w1~market.6301:7841</v>
      </c>
      <c r="D6303" s="6" t="str">
        <f>_xll.QS.CONTEXT.ADD.CURVE(C6303,"SOFR",$K$2:$K$7,$L$2:$L$7,,,"Actual360","LogLinear",TRUE)</f>
        <v>QSObject:ContextInput:w1~input.qs_context_add_curve.2359132437744.6302.3.0:34211</v>
      </c>
      <c r="E6303" s="6" t="str">
        <f>_xll.QS.INSTRUMENT.SWAP("swap.6301",H6303,B6303,"USD","SOFR",I6303,J6303,0,"Actual360","Simple","Annual","Annual","Annual")</f>
        <v>QSObject:Swap:w1~swap.6301:7840</v>
      </c>
      <c r="F6303" s="6" t="str">
        <f>_xll.QS.TRADE.CREATE("trade.6301",E6303,A6303,"Receive")</f>
        <v>QSObject:SwapTrade:w1~trade.6301:25590</v>
      </c>
      <c r="G6303" s="3">
        <f>_xll.QS.EVALUATE(C6303,F6303)</f>
        <v>23291.929708348565</v>
      </c>
      <c r="H6303" s="5" t="s">
        <v>6344</v>
      </c>
      <c r="I6303" s="7">
        <v>1630100</v>
      </c>
      <c r="J6303" s="8">
        <v>3.5100000000000013E-2</v>
      </c>
    </row>
    <row r="6304" spans="1:10" x14ac:dyDescent="0.25">
      <c r="A6304" s="5" t="s">
        <v>6338</v>
      </c>
      <c r="B6304" s="5" t="s">
        <v>8171</v>
      </c>
      <c r="C6304" s="6" t="str">
        <f>_xll.QS.CONTEXT.CREATE("market.6302",A6304,"USD","SOFR")</f>
        <v>QSObject:PricingContext:w1~market.6302:7839</v>
      </c>
      <c r="D6304" s="6" t="str">
        <f>_xll.QS.CONTEXT.ADD.CURVE(C6304,"SOFR",$K$2:$K$7,$L$2:$L$7,,,"Actual360","LogLinear",TRUE)</f>
        <v>QSObject:ContextInput:w1~input.qs_context_add_curve.2359132437744.6303.3.0:34210</v>
      </c>
      <c r="E6304" s="6" t="str">
        <f>_xll.QS.INSTRUMENT.SWAP("swap.6302",H6304,B6304,"USD","SOFR",I6304,J6304,0,"Actual360","Simple","Annual","Annual","Annual")</f>
        <v>QSObject:Swap:w1~swap.6302:7838</v>
      </c>
      <c r="F6304" s="6" t="str">
        <f>_xll.QS.TRADE.CREATE("trade.6302",E6304,A6304,"Receive")</f>
        <v>QSObject:SwapTrade:w1~trade.6302:24907</v>
      </c>
      <c r="G6304" s="3">
        <f>_xll.QS.EVALUATE(C6304,F6304)</f>
        <v>24058.648265209449</v>
      </c>
      <c r="H6304" s="5" t="s">
        <v>6345</v>
      </c>
      <c r="I6304" s="7">
        <v>1630200</v>
      </c>
      <c r="J6304" s="8">
        <v>3.5200000000000002E-2</v>
      </c>
    </row>
    <row r="6305" spans="1:10" x14ac:dyDescent="0.25">
      <c r="A6305" s="5" t="s">
        <v>6339</v>
      </c>
      <c r="B6305" s="5" t="s">
        <v>8172</v>
      </c>
      <c r="C6305" s="6" t="str">
        <f>_xll.QS.CONTEXT.CREATE("market.6303",A6305,"USD","SOFR")</f>
        <v>QSObject:PricingContext:w1~market.6303:7837</v>
      </c>
      <c r="D6305" s="6" t="str">
        <f>_xll.QS.CONTEXT.ADD.CURVE(C6305,"SOFR",$K$2:$K$7,$L$2:$L$7,,,"Actual360","LogLinear",TRUE)</f>
        <v>QSObject:ContextInput:w1~input.qs_context_add_curve.2359132437744.6304.3.0:34209</v>
      </c>
      <c r="E6305" s="6" t="str">
        <f>_xll.QS.INSTRUMENT.SWAP("swap.6303",H6305,B6305,"USD","SOFR",I6305,J6305,0,"Actual360","Simple","Annual","Annual","Annual")</f>
        <v>QSObject:Swap:w1~swap.6303:7836</v>
      </c>
      <c r="F6305" s="6" t="str">
        <f>_xll.QS.TRADE.CREATE("trade.6303",E6305,A6305,"Receive")</f>
        <v>QSObject:SwapTrade:w1~trade.6303:25589</v>
      </c>
      <c r="G6305" s="3">
        <f>_xll.QS.EVALUATE(C6305,F6305)</f>
        <v>24814.567951622666</v>
      </c>
      <c r="H6305" s="5" t="s">
        <v>6346</v>
      </c>
      <c r="I6305" s="7">
        <v>1630300</v>
      </c>
      <c r="J6305" s="8">
        <v>3.5299999999999998E-2</v>
      </c>
    </row>
    <row r="6306" spans="1:10" x14ac:dyDescent="0.25">
      <c r="A6306" s="5" t="s">
        <v>6340</v>
      </c>
      <c r="B6306" s="5" t="s">
        <v>8173</v>
      </c>
      <c r="C6306" s="6" t="str">
        <f>_xll.QS.CONTEXT.CREATE("market.6304",A6306,"USD","SOFR")</f>
        <v>QSObject:PricingContext:w1~market.6304:7835</v>
      </c>
      <c r="D6306" s="6" t="str">
        <f>_xll.QS.CONTEXT.ADD.CURVE(C6306,"SOFR",$K$2:$K$7,$L$2:$L$7,,,"Actual360","LogLinear",TRUE)</f>
        <v>QSObject:ContextInput:w1~input.qs_context_add_curve.2359132437744.6305.3.0:34208</v>
      </c>
      <c r="E6306" s="6" t="str">
        <f>_xll.QS.INSTRUMENT.SWAP("swap.6304",H6306,B6306,"USD","SOFR",I6306,J6306,0,"Actual360","Simple","Annual","Annual","Annual")</f>
        <v>QSObject:Swap:w1~swap.6304:7834</v>
      </c>
      <c r="F6306" s="6" t="str">
        <f>_xll.QS.TRADE.CREATE("trade.6304",E6306,A6306,"Receive")</f>
        <v>QSObject:SwapTrade:w1~trade.6304:25588</v>
      </c>
      <c r="G6306" s="3">
        <f>_xll.QS.EVALUATE(C6306,F6306)</f>
        <v>25503.930539323876</v>
      </c>
      <c r="H6306" s="5" t="s">
        <v>6347</v>
      </c>
      <c r="I6306" s="7">
        <v>1630400</v>
      </c>
      <c r="J6306" s="8">
        <v>3.5400000000000001E-2</v>
      </c>
    </row>
    <row r="6307" spans="1:10" x14ac:dyDescent="0.25">
      <c r="A6307" s="5" t="s">
        <v>6341</v>
      </c>
      <c r="B6307" s="5" t="s">
        <v>8174</v>
      </c>
      <c r="C6307" s="6" t="str">
        <f>_xll.QS.CONTEXT.CREATE("market.6305",A6307,"USD","SOFR")</f>
        <v>QSObject:PricingContext:w1~market.6305:7833</v>
      </c>
      <c r="D6307" s="6" t="str">
        <f>_xll.QS.CONTEXT.ADD.CURVE(C6307,"SOFR",$K$2:$K$7,$L$2:$L$7,,,"Actual360","LogLinear",TRUE)</f>
        <v>QSObject:ContextInput:w1~input.qs_context_add_curve.2359132437744.6306.3.0:34207</v>
      </c>
      <c r="E6307" s="6" t="str">
        <f>_xll.QS.INSTRUMENT.SWAP("swap.6305",H6307,B6307,"USD","SOFR",I6307,J6307,0,"Actual360","Simple","Annual","Annual","Annual")</f>
        <v>QSObject:Swap:w1~swap.6305:7832</v>
      </c>
      <c r="F6307" s="6" t="str">
        <f>_xll.QS.TRADE.CREATE("trade.6305",E6307,A6307,"Receive")</f>
        <v>QSObject:SwapTrade:w1~trade.6305:25587</v>
      </c>
      <c r="G6307" s="3">
        <f>_xll.QS.EVALUATE(C6307,F6307)</f>
        <v>26060.029183230923</v>
      </c>
      <c r="H6307" s="5" t="s">
        <v>6348</v>
      </c>
      <c r="I6307" s="7">
        <v>1630500</v>
      </c>
      <c r="J6307" s="8">
        <v>3.5499999999999997E-2</v>
      </c>
    </row>
    <row r="6308" spans="1:10" x14ac:dyDescent="0.25">
      <c r="A6308" s="5" t="s">
        <v>6342</v>
      </c>
      <c r="B6308" s="5" t="s">
        <v>8175</v>
      </c>
      <c r="C6308" s="6" t="str">
        <f>_xll.QS.CONTEXT.CREATE("market.6306",A6308,"USD","SOFR")</f>
        <v>QSObject:PricingContext:w1~market.6306:7831</v>
      </c>
      <c r="D6308" s="6" t="str">
        <f>_xll.QS.CONTEXT.ADD.CURVE(C6308,"SOFR",$K$2:$K$7,$L$2:$L$7,,,"Actual360","LogLinear",TRUE)</f>
        <v>QSObject:ContextInput:w1~input.qs_context_add_curve.2359132437744.6307.3.0:34206</v>
      </c>
      <c r="E6308" s="6" t="str">
        <f>_xll.QS.INSTRUMENT.SWAP("swap.6306",H6308,B6308,"USD","SOFR",I6308,J6308,0,"Actual360","Simple","Annual","Annual","Annual")</f>
        <v>QSObject:Swap:w1~swap.6306:7830</v>
      </c>
      <c r="F6308" s="6" t="str">
        <f>_xll.QS.TRADE.CREATE("trade.6306",E6308,A6308,"Receive")</f>
        <v>QSObject:SwapTrade:w1~trade.6306:25586</v>
      </c>
      <c r="G6308" s="3">
        <f>_xll.QS.EVALUATE(C6308,F6308)</f>
        <v>26815.66337145037</v>
      </c>
      <c r="H6308" s="5" t="s">
        <v>6349</v>
      </c>
      <c r="I6308" s="7">
        <v>1630600</v>
      </c>
      <c r="J6308" s="8">
        <v>3.5600000000000007E-2</v>
      </c>
    </row>
    <row r="6309" spans="1:10" x14ac:dyDescent="0.25">
      <c r="A6309" s="5" t="s">
        <v>6343</v>
      </c>
      <c r="B6309" s="5" t="s">
        <v>8176</v>
      </c>
      <c r="C6309" s="6" t="str">
        <f>_xll.QS.CONTEXT.CREATE("market.6307",A6309,"USD","SOFR")</f>
        <v>QSObject:PricingContext:w1~market.6307:7829</v>
      </c>
      <c r="D6309" s="6" t="str">
        <f>_xll.QS.CONTEXT.ADD.CURVE(C6309,"SOFR",$K$2:$K$7,$L$2:$L$7,,,"Actual360","LogLinear",TRUE)</f>
        <v>QSObject:ContextInput:w1~input.qs_context_add_curve.2359132437744.6308.3.0:34205</v>
      </c>
      <c r="E6309" s="6" t="str">
        <f>_xll.QS.INSTRUMENT.SWAP("swap.6307",H6309,B6309,"USD","SOFR",I6309,J6309,0,"Actual360","Simple","Annual","Annual","Annual")</f>
        <v>QSObject:Swap:w1~swap.6307:7828</v>
      </c>
      <c r="F6309" s="6" t="str">
        <f>_xll.QS.TRADE.CREATE("trade.6307",E6309,A6309,"Receive")</f>
        <v>QSObject:SwapTrade:w1~trade.6307:25585</v>
      </c>
      <c r="G6309" s="3">
        <f>_xll.QS.EVALUATE(C6309,F6309)</f>
        <v>27635.891366463082</v>
      </c>
      <c r="H6309" s="5" t="s">
        <v>6350</v>
      </c>
      <c r="I6309" s="7">
        <v>1630700</v>
      </c>
      <c r="J6309" s="8">
        <v>3.5700000000000003E-2</v>
      </c>
    </row>
    <row r="6310" spans="1:10" x14ac:dyDescent="0.25">
      <c r="A6310" s="5" t="s">
        <v>6344</v>
      </c>
      <c r="B6310" s="5" t="s">
        <v>8177</v>
      </c>
      <c r="C6310" s="6" t="str">
        <f>_xll.QS.CONTEXT.CREATE("market.6308",A6310,"USD","SOFR")</f>
        <v>QSObject:PricingContext:w1~market.6308:7827</v>
      </c>
      <c r="D6310" s="6" t="str">
        <f>_xll.QS.CONTEXT.ADD.CURVE(C6310,"SOFR",$K$2:$K$7,$L$2:$L$7,,,"Actual360","LogLinear",TRUE)</f>
        <v>QSObject:ContextInput:w1~input.qs_context_add_curve.2359132437744.6309.3.0:34204</v>
      </c>
      <c r="E6310" s="6" t="str">
        <f>_xll.QS.INSTRUMENT.SWAP("swap.6308",H6310,B6310,"USD","SOFR",I6310,J6310,0,"Actual360","Simple","Annual","Annual","Annual")</f>
        <v>QSObject:Swap:w1~swap.6308:7826</v>
      </c>
      <c r="F6310" s="6" t="str">
        <f>_xll.QS.TRADE.CREATE("trade.6308",E6310,A6310,"Receive")</f>
        <v>QSObject:SwapTrade:w1~trade.6308:25584</v>
      </c>
      <c r="G6310" s="3">
        <f>_xll.QS.EVALUATE(C6310,F6310)</f>
        <v>28508.955928440213</v>
      </c>
      <c r="H6310" s="5" t="s">
        <v>6351</v>
      </c>
      <c r="I6310" s="7">
        <v>1630800</v>
      </c>
      <c r="J6310" s="8">
        <v>3.5800000000000012E-2</v>
      </c>
    </row>
    <row r="6311" spans="1:10" x14ac:dyDescent="0.25">
      <c r="A6311" s="5" t="s">
        <v>6345</v>
      </c>
      <c r="B6311" s="5" t="s">
        <v>8178</v>
      </c>
      <c r="C6311" s="6" t="str">
        <f>_xll.QS.CONTEXT.CREATE("market.6309",A6311,"USD","SOFR")</f>
        <v>QSObject:PricingContext:w1~market.6309:7825</v>
      </c>
      <c r="D6311" s="6" t="str">
        <f>_xll.QS.CONTEXT.ADD.CURVE(C6311,"SOFR",$K$2:$K$7,$L$2:$L$7,,,"Actual360","LogLinear",TRUE)</f>
        <v>QSObject:ContextInput:w1~input.qs_context_add_curve.2359132437744.6310.3.0:34203</v>
      </c>
      <c r="E6311" s="6" t="str">
        <f>_xll.QS.INSTRUMENT.SWAP("swap.6309",H6311,B6311,"USD","SOFR",I6311,J6311,0,"Actual360","Simple","Annual","Annual","Annual")</f>
        <v>QSObject:Swap:w1~swap.6309:7824</v>
      </c>
      <c r="F6311" s="6" t="str">
        <f>_xll.QS.TRADE.CREATE("trade.6309",E6311,A6311,"Receive")</f>
        <v>QSObject:SwapTrade:w1~trade.6309:25583</v>
      </c>
      <c r="G6311" s="3">
        <f>_xll.QS.EVALUATE(C6311,F6311)</f>
        <v>29262.927507829649</v>
      </c>
      <c r="H6311" s="5" t="s">
        <v>6352</v>
      </c>
      <c r="I6311" s="7">
        <v>1630900</v>
      </c>
      <c r="J6311" s="8">
        <v>3.5900000000000001E-2</v>
      </c>
    </row>
    <row r="6312" spans="1:10" x14ac:dyDescent="0.25">
      <c r="A6312" s="5" t="s">
        <v>6346</v>
      </c>
      <c r="B6312" s="5" t="s">
        <v>8179</v>
      </c>
      <c r="C6312" s="6" t="str">
        <f>_xll.QS.CONTEXT.CREATE("market.6310",A6312,"USD","SOFR")</f>
        <v>QSObject:PricingContext:w1~market.6310:7823</v>
      </c>
      <c r="D6312" s="6" t="str">
        <f>_xll.QS.CONTEXT.ADD.CURVE(C6312,"SOFR",$K$2:$K$7,$L$2:$L$7,,,"Actual360","LogLinear",TRUE)</f>
        <v>QSObject:ContextInput:w1~input.qs_context_add_curve.2359132437744.6311.3.0:34202</v>
      </c>
      <c r="E6312" s="6" t="str">
        <f>_xll.QS.INSTRUMENT.SWAP("swap.6310",H6312,B6312,"USD","SOFR",I6312,J6312,0,"Actual360","Simple","Annual","Annual","Annual")</f>
        <v>QSObject:Swap:w1~swap.6310:7822</v>
      </c>
      <c r="F6312" s="6" t="str">
        <f>_xll.QS.TRADE.CREATE("trade.6310",E6312,A6312,"Receive")</f>
        <v>QSObject:SwapTrade:w1~trade.6310:25582</v>
      </c>
      <c r="G6312" s="3">
        <f>_xll.QS.EVALUATE(C6312,F6312)</f>
        <v>30025.9233130004</v>
      </c>
      <c r="H6312" s="5" t="s">
        <v>6353</v>
      </c>
      <c r="I6312" s="7">
        <v>1631000</v>
      </c>
      <c r="J6312" s="8">
        <v>3.5999999999999997E-2</v>
      </c>
    </row>
    <row r="6313" spans="1:10" x14ac:dyDescent="0.25">
      <c r="A6313" s="5" t="s">
        <v>6347</v>
      </c>
      <c r="B6313" s="5" t="s">
        <v>8180</v>
      </c>
      <c r="C6313" s="6" t="str">
        <f>_xll.QS.CONTEXT.CREATE("market.6311",A6313,"USD","SOFR")</f>
        <v>QSObject:PricingContext:w1~market.6311:7821</v>
      </c>
      <c r="D6313" s="6" t="str">
        <f>_xll.QS.CONTEXT.ADD.CURVE(C6313,"SOFR",$K$2:$K$7,$L$2:$L$7,,,"Actual360","LogLinear",TRUE)</f>
        <v>QSObject:ContextInput:w1~input.qs_context_add_curve.2359132437744.6312.3.0:34201</v>
      </c>
      <c r="E6313" s="6" t="str">
        <f>_xll.QS.INSTRUMENT.SWAP("swap.6311",H6313,B6313,"USD","SOFR",I6313,J6313,0,"Actual360","Simple","Annual","Annual","Annual")</f>
        <v>QSObject:Swap:w1~swap.6311:7820</v>
      </c>
      <c r="F6313" s="6" t="str">
        <f>_xll.QS.TRADE.CREATE("trade.6311",E6313,A6313,"Receive")</f>
        <v>QSObject:SwapTrade:w1~trade.6311:25581</v>
      </c>
      <c r="G6313" s="3">
        <f>_xll.QS.EVALUATE(C6313,F6313)</f>
        <v>30781.631833058644</v>
      </c>
      <c r="H6313" s="5" t="s">
        <v>6354</v>
      </c>
      <c r="I6313" s="7">
        <v>1631100</v>
      </c>
      <c r="J6313" s="8">
        <v>3.61E-2</v>
      </c>
    </row>
    <row r="6314" spans="1:10" x14ac:dyDescent="0.25">
      <c r="A6314" s="5" t="s">
        <v>6348</v>
      </c>
      <c r="B6314" s="5" t="s">
        <v>8181</v>
      </c>
      <c r="C6314" s="6" t="str">
        <f>_xll.QS.CONTEXT.CREATE("market.6312",A6314,"USD","SOFR")</f>
        <v>QSObject:PricingContext:w1~market.6312:7819</v>
      </c>
      <c r="D6314" s="6" t="str">
        <f>_xll.QS.CONTEXT.ADD.CURVE(C6314,"SOFR",$K$2:$K$7,$L$2:$L$7,,,"Actual360","LogLinear",TRUE)</f>
        <v>QSObject:ContextInput:w1~input.qs_context_add_curve.2359132437744.6313.3.0:34200</v>
      </c>
      <c r="E6314" s="6" t="str">
        <f>_xll.QS.INSTRUMENT.SWAP("swap.6312",H6314,B6314,"USD","SOFR",I6314,J6314,0,"Actual360","Simple","Annual","Annual","Annual")</f>
        <v>QSObject:Swap:w1~swap.6312:7818</v>
      </c>
      <c r="F6314" s="6" t="str">
        <f>_xll.QS.TRADE.CREATE("trade.6312",E6314,A6314,"Receive")</f>
        <v>QSObject:SwapTrade:w1~trade.6312:25580</v>
      </c>
      <c r="G6314" s="3">
        <f>_xll.QS.EVALUATE(C6314,F6314)</f>
        <v>31337.226611854298</v>
      </c>
      <c r="H6314" s="5" t="s">
        <v>6355</v>
      </c>
      <c r="I6314" s="7">
        <v>1631200</v>
      </c>
      <c r="J6314" s="8">
        <v>3.6200000000000003E-2</v>
      </c>
    </row>
    <row r="6315" spans="1:10" x14ac:dyDescent="0.25">
      <c r="A6315" s="5" t="s">
        <v>6349</v>
      </c>
      <c r="B6315" s="5" t="s">
        <v>8182</v>
      </c>
      <c r="C6315" s="6" t="str">
        <f>_xll.QS.CONTEXT.CREATE("market.6313",A6315,"USD","SOFR")</f>
        <v>QSObject:PricingContext:w1~market.6313:7817</v>
      </c>
      <c r="D6315" s="6" t="str">
        <f>_xll.QS.CONTEXT.ADD.CURVE(C6315,"SOFR",$K$2:$K$7,$L$2:$L$7,,,"Actual360","LogLinear",TRUE)</f>
        <v>QSObject:ContextInput:w1~input.qs_context_add_curve.2359132437744.6314.3.0:34199</v>
      </c>
      <c r="E6315" s="6" t="str">
        <f>_xll.QS.INSTRUMENT.SWAP("swap.6313",H6315,B6315,"USD","SOFR",I6315,J6315,0,"Actual360","Simple","Annual","Annual","Annual")</f>
        <v>QSObject:Swap:w1~swap.6313:7816</v>
      </c>
      <c r="F6315" s="6" t="str">
        <f>_xll.QS.TRADE.CREATE("trade.6313",E6315,A6315,"Receive")</f>
        <v>QSObject:SwapTrade:w1~trade.6313:25579</v>
      </c>
      <c r="G6315" s="3">
        <f>_xll.QS.EVALUATE(C6315,F6315)</f>
        <v>32093.913231912855</v>
      </c>
      <c r="H6315" s="5" t="s">
        <v>6356</v>
      </c>
      <c r="I6315" s="7">
        <v>1631300</v>
      </c>
      <c r="J6315" s="8">
        <v>3.6300000000000013E-2</v>
      </c>
    </row>
    <row r="6316" spans="1:10" x14ac:dyDescent="0.25">
      <c r="A6316" s="5" t="s">
        <v>6350</v>
      </c>
      <c r="B6316" s="5" t="s">
        <v>8183</v>
      </c>
      <c r="C6316" s="6" t="str">
        <f>_xll.QS.CONTEXT.CREATE("market.6314",A6316,"USD","SOFR")</f>
        <v>QSObject:PricingContext:w1~market.6314:7815</v>
      </c>
      <c r="D6316" s="6" t="str">
        <f>_xll.QS.CONTEXT.ADD.CURVE(C6316,"SOFR",$K$2:$K$7,$L$2:$L$7,,,"Actual360","LogLinear",TRUE)</f>
        <v>QSObject:ContextInput:w1~input.qs_context_add_curve.2359132437744.6315.3.0:34198</v>
      </c>
      <c r="E6316" s="6" t="str">
        <f>_xll.QS.INSTRUMENT.SWAP("swap.6314",H6316,B6316,"USD","SOFR",I6316,J6316,0,"Actual360","Simple","Annual","Annual","Annual")</f>
        <v>QSObject:Swap:w1~swap.6314:7814</v>
      </c>
      <c r="F6316" s="6" t="str">
        <f>_xll.QS.TRADE.CREATE("trade.6314",E6316,A6316,"Receive")</f>
        <v>QSObject:SwapTrade:w1~trade.6314:25578</v>
      </c>
      <c r="G6316" s="3">
        <f>_xll.QS.EVALUATE(C6316,F6316)</f>
        <v>32916.418802612017</v>
      </c>
      <c r="H6316" s="5" t="s">
        <v>6357</v>
      </c>
      <c r="I6316" s="7">
        <v>1631400</v>
      </c>
      <c r="J6316" s="8">
        <v>3.6400000000000002E-2</v>
      </c>
    </row>
    <row r="6317" spans="1:10" x14ac:dyDescent="0.25">
      <c r="A6317" s="5" t="s">
        <v>6351</v>
      </c>
      <c r="B6317" s="5" t="s">
        <v>8184</v>
      </c>
      <c r="C6317" s="6" t="str">
        <f>_xll.QS.CONTEXT.CREATE("market.6315",A6317,"USD","SOFR")</f>
        <v>QSObject:PricingContext:w1~market.6315:7813</v>
      </c>
      <c r="D6317" s="6" t="str">
        <f>_xll.QS.CONTEXT.ADD.CURVE(C6317,"SOFR",$K$2:$K$7,$L$2:$L$7,,,"Actual360","LogLinear",TRUE)</f>
        <v>QSObject:ContextInput:w1~input.qs_context_add_curve.2359132437744.6316.3.0:34197</v>
      </c>
      <c r="E6317" s="6" t="str">
        <f>_xll.QS.INSTRUMENT.SWAP("swap.6315",H6317,B6317,"USD","SOFR",I6317,J6317,0,"Actual360","Simple","Annual","Annual","Annual")</f>
        <v>QSObject:Swap:w1~swap.6315:7812</v>
      </c>
      <c r="F6317" s="6" t="str">
        <f>_xll.QS.TRADE.CREATE("trade.6315",E6317,A6317,"Receive")</f>
        <v>QSObject:SwapTrade:w1~trade.6315:25577</v>
      </c>
      <c r="G6317" s="3">
        <f>_xll.QS.EVALUATE(C6317,F6317)</f>
        <v>33790.254509725797</v>
      </c>
      <c r="H6317" s="5" t="s">
        <v>6358</v>
      </c>
      <c r="I6317" s="7">
        <v>1631500</v>
      </c>
      <c r="J6317" s="8">
        <v>3.6499999999999998E-2</v>
      </c>
    </row>
    <row r="6318" spans="1:10" x14ac:dyDescent="0.25">
      <c r="A6318" s="5" t="s">
        <v>6352</v>
      </c>
      <c r="B6318" s="5" t="s">
        <v>8185</v>
      </c>
      <c r="C6318" s="6" t="str">
        <f>_xll.QS.CONTEXT.CREATE("market.6316",A6318,"USD","SOFR")</f>
        <v>QSObject:PricingContext:w1~market.6316:7811</v>
      </c>
      <c r="D6318" s="6" t="str">
        <f>_xll.QS.CONTEXT.ADD.CURVE(C6318,"SOFR",$K$2:$K$7,$L$2:$L$7,,,"Actual360","LogLinear",TRUE)</f>
        <v>QSObject:ContextInput:w1~input.qs_context_add_curve.2359132437744.6317.3.0:34196</v>
      </c>
      <c r="E6318" s="6" t="str">
        <f>_xll.QS.INSTRUMENT.SWAP("swap.6316",H6318,B6318,"USD","SOFR",I6318,J6318,0,"Actual360","Simple","Annual","Annual","Annual")</f>
        <v>QSObject:Swap:w1~swap.6316:7810</v>
      </c>
      <c r="F6318" s="6" t="str">
        <f>_xll.QS.TRADE.CREATE("trade.6316",E6318,A6318,"Receive")</f>
        <v>QSObject:SwapTrade:w1~trade.6316:25576</v>
      </c>
      <c r="G6318" s="3">
        <f>_xll.QS.EVALUATE(C6318,F6318)</f>
        <v>34544.862595354352</v>
      </c>
      <c r="H6318" s="5" t="s">
        <v>6359</v>
      </c>
      <c r="I6318" s="7">
        <v>1631600</v>
      </c>
      <c r="J6318" s="8">
        <v>3.6600000000000001E-2</v>
      </c>
    </row>
    <row r="6319" spans="1:10" x14ac:dyDescent="0.25">
      <c r="A6319" s="5" t="s">
        <v>6353</v>
      </c>
      <c r="B6319" s="5" t="s">
        <v>8186</v>
      </c>
      <c r="C6319" s="6" t="str">
        <f>_xll.QS.CONTEXT.CREATE("market.6317",A6319,"USD","SOFR")</f>
        <v>QSObject:PricingContext:w1~market.6317:7809</v>
      </c>
      <c r="D6319" s="6" t="str">
        <f>_xll.QS.CONTEXT.ADD.CURVE(C6319,"SOFR",$K$2:$K$7,$L$2:$L$7,,,"Actual360","LogLinear",TRUE)</f>
        <v>QSObject:ContextInput:w1~input.qs_context_add_curve.2359132437744.6318.3.0:34195</v>
      </c>
      <c r="E6319" s="6" t="str">
        <f>_xll.QS.INSTRUMENT.SWAP("swap.6317",H6319,B6319,"USD","SOFR",I6319,J6319,0,"Actual360","Simple","Annual","Annual","Annual")</f>
        <v>QSObject:Swap:w1~swap.6317:7808</v>
      </c>
      <c r="F6319" s="6" t="str">
        <f>_xll.QS.TRADE.CREATE("trade.6317",E6319,A6319,"Receive")</f>
        <v>QSObject:SwapTrade:w1~trade.6317:25575</v>
      </c>
      <c r="G6319" s="3">
        <f>_xll.QS.EVALUATE(C6319,F6319)</f>
        <v>35308.522028875799</v>
      </c>
      <c r="H6319" s="5" t="s">
        <v>6360</v>
      </c>
      <c r="I6319" s="7">
        <v>1631700</v>
      </c>
      <c r="J6319" s="8">
        <v>3.6700000000000003E-2</v>
      </c>
    </row>
    <row r="6320" spans="1:10" x14ac:dyDescent="0.25">
      <c r="A6320" s="5" t="s">
        <v>6354</v>
      </c>
      <c r="B6320" s="5" t="s">
        <v>8187</v>
      </c>
      <c r="C6320" s="6" t="str">
        <f>_xll.QS.CONTEXT.CREATE("market.6318",A6320,"USD","SOFR")</f>
        <v>QSObject:PricingContext:w1~market.6318:7807</v>
      </c>
      <c r="D6320" s="6" t="str">
        <f>_xll.QS.CONTEXT.ADD.CURVE(C6320,"SOFR",$K$2:$K$7,$L$2:$L$7,,,"Actual360","LogLinear",TRUE)</f>
        <v>QSObject:ContextInput:w1~input.qs_context_add_curve.2359132437744.6319.3.0:34194</v>
      </c>
      <c r="E6320" s="6" t="str">
        <f>_xll.QS.INSTRUMENT.SWAP("swap.6318",H6320,B6320,"USD","SOFR",I6320,J6320,0,"Actual360","Simple","Annual","Annual","Annual")</f>
        <v>QSObject:Swap:w1~swap.6318:7806</v>
      </c>
      <c r="F6320" s="6" t="str">
        <f>_xll.QS.TRADE.CREATE("trade.6318",E6320,A6320,"Receive")</f>
        <v>QSObject:SwapTrade:w1~trade.6318:25574</v>
      </c>
      <c r="G6320" s="3">
        <f>_xll.QS.EVALUATE(C6320,F6320)</f>
        <v>36064.895277321819</v>
      </c>
      <c r="H6320" s="5" t="s">
        <v>6361</v>
      </c>
      <c r="I6320" s="7">
        <v>1631800</v>
      </c>
      <c r="J6320" s="8">
        <v>3.6800000000000013E-2</v>
      </c>
    </row>
    <row r="6321" spans="1:10" x14ac:dyDescent="0.25">
      <c r="A6321" s="5" t="s">
        <v>6355</v>
      </c>
      <c r="B6321" s="5" t="s">
        <v>8188</v>
      </c>
      <c r="C6321" s="6" t="str">
        <f>_xll.QS.CONTEXT.CREATE("market.6319",A6321,"USD","SOFR")</f>
        <v>QSObject:PricingContext:w1~market.6319:7805</v>
      </c>
      <c r="D6321" s="6" t="str">
        <f>_xll.QS.CONTEXT.ADD.CURVE(C6321,"SOFR",$K$2:$K$7,$L$2:$L$7,,,"Actual360","LogLinear",TRUE)</f>
        <v>QSObject:ContextInput:w1~input.qs_context_add_curve.2359132437744.6320.3.0:34193</v>
      </c>
      <c r="E6321" s="6" t="str">
        <f>_xll.QS.INSTRUMENT.SWAP("swap.6319",H6321,B6321,"USD","SOFR",I6321,J6321,0,"Actual360","Simple","Annual","Annual","Annual")</f>
        <v>QSObject:Swap:w1~swap.6319:7804</v>
      </c>
      <c r="F6321" s="6" t="str">
        <f>_xll.QS.TRADE.CREATE("trade.6319",E6321,A6321,"Receive")</f>
        <v>QSObject:SwapTrade:w1~trade.6319:25573</v>
      </c>
      <c r="G6321" s="3">
        <f>_xll.QS.EVALUATE(C6321,F6321)</f>
        <v>36619.99329456444</v>
      </c>
      <c r="H6321" s="5" t="s">
        <v>6362</v>
      </c>
      <c r="I6321" s="7">
        <v>1631900</v>
      </c>
      <c r="J6321" s="8">
        <v>3.6900000000000002E-2</v>
      </c>
    </row>
    <row r="6322" spans="1:10" x14ac:dyDescent="0.25">
      <c r="A6322" s="5" t="s">
        <v>6356</v>
      </c>
      <c r="B6322" s="5" t="s">
        <v>8189</v>
      </c>
      <c r="C6322" s="6" t="str">
        <f>_xll.QS.CONTEXT.CREATE("market.6320",A6322,"USD","SOFR")</f>
        <v>QSObject:PricingContext:w1~market.6320:7803</v>
      </c>
      <c r="D6322" s="6" t="str">
        <f>_xll.QS.CONTEXT.ADD.CURVE(C6322,"SOFR",$K$2:$K$7,$L$2:$L$7,,,"Actual360","LogLinear",TRUE)</f>
        <v>QSObject:ContextInput:w1~input.qs_context_add_curve.2359132437744.6321.3.0:34192</v>
      </c>
      <c r="E6322" s="6" t="str">
        <f>_xll.QS.INSTRUMENT.SWAP("swap.6320",H6322,B6322,"USD","SOFR",I6322,J6322,0,"Actual360","Simple","Annual","Annual","Annual")</f>
        <v>QSObject:Swap:w1~swap.6320:7802</v>
      </c>
      <c r="F6322" s="6" t="str">
        <f>_xll.QS.TRADE.CREATE("trade.6320",E6322,A6322,"Receive")</f>
        <v>QSObject:SwapTrade:w1~trade.6320:25572</v>
      </c>
      <c r="G6322" s="3">
        <f>_xll.QS.EVALUATE(C6322,F6322)</f>
        <v>37377.955969205716</v>
      </c>
      <c r="H6322" s="5" t="s">
        <v>6363</v>
      </c>
      <c r="I6322" s="7">
        <v>1632000</v>
      </c>
      <c r="J6322" s="8">
        <v>3.7000000000000012E-2</v>
      </c>
    </row>
    <row r="6323" spans="1:10" x14ac:dyDescent="0.25">
      <c r="A6323" s="5" t="s">
        <v>6357</v>
      </c>
      <c r="B6323" s="5" t="s">
        <v>8190</v>
      </c>
      <c r="C6323" s="6" t="str">
        <f>_xll.QS.CONTEXT.CREATE("market.6321",A6323,"USD","SOFR")</f>
        <v>QSObject:PricingContext:w1~market.6321:7801</v>
      </c>
      <c r="D6323" s="6" t="str">
        <f>_xll.QS.CONTEXT.ADD.CURVE(C6323,"SOFR",$K$2:$K$7,$L$2:$L$7,,,"Actual360","LogLinear",TRUE)</f>
        <v>QSObject:ContextInput:w1~input.qs_context_add_curve.2359132437744.6322.3.0:34191</v>
      </c>
      <c r="E6323" s="6" t="str">
        <f>_xll.QS.INSTRUMENT.SWAP("swap.6321",H6323,B6323,"USD","SOFR",I6323,J6323,0,"Actual360","Simple","Annual","Annual","Annual")</f>
        <v>QSObject:Swap:w1~swap.6321:7800</v>
      </c>
      <c r="F6323" s="6" t="str">
        <f>_xll.QS.TRADE.CREATE("trade.6321",E6323,A6323,"Receive")</f>
        <v>QSObject:SwapTrade:w1~trade.6321:25571</v>
      </c>
      <c r="G6323" s="3">
        <f>_xll.QS.EVALUATE(C6323,F6323)</f>
        <v>38201.625369249341</v>
      </c>
      <c r="H6323" s="5" t="s">
        <v>6364</v>
      </c>
      <c r="I6323" s="7">
        <v>1632100</v>
      </c>
      <c r="J6323" s="8">
        <v>3.7100000000000001E-2</v>
      </c>
    </row>
    <row r="6324" spans="1:10" x14ac:dyDescent="0.25">
      <c r="A6324" s="5" t="s">
        <v>6358</v>
      </c>
      <c r="B6324" s="5" t="s">
        <v>8191</v>
      </c>
      <c r="C6324" s="6" t="str">
        <f>_xll.QS.CONTEXT.CREATE("market.6322",A6324,"USD","SOFR")</f>
        <v>QSObject:PricingContext:w1~market.6322:7799</v>
      </c>
      <c r="D6324" s="6" t="str">
        <f>_xll.QS.CONTEXT.ADD.CURVE(C6324,"SOFR",$K$2:$K$7,$L$2:$L$7,,,"Actual360","LogLinear",TRUE)</f>
        <v>QSObject:ContextInput:w1~input.qs_context_add_curve.2359132437744.6323.3.0:34190</v>
      </c>
      <c r="E6324" s="6" t="str">
        <f>_xll.QS.INSTRUMENT.SWAP("swap.6322",H6324,B6324,"USD","SOFR",I6324,J6324,0,"Actual360","Simple","Annual","Annual","Annual")</f>
        <v>QSObject:Swap:w1~swap.6322:7798</v>
      </c>
      <c r="F6324" s="6" t="str">
        <f>_xll.QS.TRADE.CREATE("trade.6322",E6324,A6324,"Receive")</f>
        <v>QSObject:SwapTrade:w1~trade.6322:25570</v>
      </c>
      <c r="G6324" s="3">
        <f>_xll.QS.EVALUATE(C6324,F6324)</f>
        <v>39076.072123742815</v>
      </c>
      <c r="H6324" s="5" t="s">
        <v>6365</v>
      </c>
      <c r="I6324" s="7">
        <v>1632200</v>
      </c>
      <c r="J6324" s="8">
        <v>3.7199999999999997E-2</v>
      </c>
    </row>
    <row r="6325" spans="1:10" x14ac:dyDescent="0.25">
      <c r="A6325" s="5" t="s">
        <v>6359</v>
      </c>
      <c r="B6325" s="5" t="s">
        <v>8192</v>
      </c>
      <c r="C6325" s="6" t="str">
        <f>_xll.QS.CONTEXT.CREATE("market.6323",A6325,"USD","SOFR")</f>
        <v>QSObject:PricingContext:w1~market.6323:7797</v>
      </c>
      <c r="D6325" s="6" t="str">
        <f>_xll.QS.CONTEXT.ADD.CURVE(C6325,"SOFR",$K$2:$K$7,$L$2:$L$7,,,"Actual360","LogLinear",TRUE)</f>
        <v>QSObject:ContextInput:w1~input.qs_context_add_curve.2359132437744.6324.3.0:34189</v>
      </c>
      <c r="E6325" s="6" t="str">
        <f>_xll.QS.INSTRUMENT.SWAP("swap.6323",H6325,B6325,"USD","SOFR",I6325,J6325,0,"Actual360","Simple","Annual","Annual","Annual")</f>
        <v>QSObject:Swap:w1~swap.6323:7796</v>
      </c>
      <c r="F6325" s="6" t="str">
        <f>_xll.QS.TRADE.CREATE("trade.6323",E6325,A6325,"Receive")</f>
        <v>QSObject:SwapTrade:w1~trade.6323:25569</v>
      </c>
      <c r="G6325" s="3">
        <f>_xll.QS.EVALUATE(C6325,F6325)</f>
        <v>39831.312981952782</v>
      </c>
      <c r="H6325" s="5" t="s">
        <v>6366</v>
      </c>
      <c r="I6325" s="7">
        <v>1632300</v>
      </c>
      <c r="J6325" s="8">
        <v>3.73E-2</v>
      </c>
    </row>
    <row r="6326" spans="1:10" x14ac:dyDescent="0.25">
      <c r="A6326" s="5" t="s">
        <v>6360</v>
      </c>
      <c r="B6326" s="5" t="s">
        <v>8193</v>
      </c>
      <c r="C6326" s="6" t="str">
        <f>_xll.QS.CONTEXT.CREATE("market.6324",A6326,"USD","SOFR")</f>
        <v>QSObject:PricingContext:w1~market.6324:7795</v>
      </c>
      <c r="D6326" s="6" t="str">
        <f>_xll.QS.CONTEXT.ADD.CURVE(C6326,"SOFR",$K$2:$K$7,$L$2:$L$7,,,"Actual360","LogLinear",TRUE)</f>
        <v>QSObject:ContextInput:w1~input.qs_context_add_curve.2359132437744.6325.3.0:34188</v>
      </c>
      <c r="E6326" s="6" t="str">
        <f>_xll.QS.INSTRUMENT.SWAP("swap.6324",H6326,B6326,"USD","SOFR",I6326,J6326,0,"Actual360","Simple","Annual","Annual","Annual")</f>
        <v>QSObject:Swap:w1~swap.6324:7794</v>
      </c>
      <c r="F6326" s="6" t="str">
        <f>_xll.QS.TRADE.CREATE("trade.6324",E6326,A6326,"Receive")</f>
        <v>QSObject:SwapTrade:w1~trade.6324:25568</v>
      </c>
      <c r="G6326" s="3">
        <f>_xll.QS.EVALUATE(C6326,F6326)</f>
        <v>40595.387838332637</v>
      </c>
      <c r="H6326" s="5" t="s">
        <v>6367</v>
      </c>
      <c r="I6326" s="7">
        <v>1632400</v>
      </c>
      <c r="J6326" s="8">
        <v>3.7400000000000003E-2</v>
      </c>
    </row>
    <row r="6327" spans="1:10" x14ac:dyDescent="0.25">
      <c r="A6327" s="5" t="s">
        <v>6361</v>
      </c>
      <c r="B6327" s="5" t="s">
        <v>8194</v>
      </c>
      <c r="C6327" s="6" t="str">
        <f>_xll.QS.CONTEXT.CREATE("market.6325",A6327,"USD","SOFR")</f>
        <v>QSObject:PricingContext:w1~market.6325:7793</v>
      </c>
      <c r="D6327" s="6" t="str">
        <f>_xll.QS.CONTEXT.ADD.CURVE(C6327,"SOFR",$K$2:$K$7,$L$2:$L$7,,,"Actual360","LogLinear",TRUE)</f>
        <v>QSObject:ContextInput:w1~input.qs_context_add_curve.2359132437744.6326.3.0:34187</v>
      </c>
      <c r="E6327" s="6" t="str">
        <f>_xll.QS.INSTRUMENT.SWAP("swap.6325",H6327,B6327,"USD","SOFR",I6327,J6327,0,"Actual360","Simple","Annual","Annual","Annual")</f>
        <v>QSObject:Swap:w1~swap.6325:7792</v>
      </c>
      <c r="F6327" s="6" t="str">
        <f>_xll.QS.TRADE.CREATE("trade.6325",E6327,A6327,"Receive")</f>
        <v>QSObject:SwapTrade:w1~trade.6325:25567</v>
      </c>
      <c r="G6327" s="3">
        <f>_xll.QS.EVALUATE(C6327,F6327)</f>
        <v>41352.679243416118</v>
      </c>
      <c r="H6327" s="5" t="s">
        <v>6368</v>
      </c>
      <c r="I6327" s="7">
        <v>1632500</v>
      </c>
      <c r="J6327" s="8">
        <v>3.7500000000000012E-2</v>
      </c>
    </row>
    <row r="6328" spans="1:10" x14ac:dyDescent="0.25">
      <c r="A6328" s="5" t="s">
        <v>6362</v>
      </c>
      <c r="B6328" s="5" t="s">
        <v>8195</v>
      </c>
      <c r="C6328" s="6" t="str">
        <f>_xll.QS.CONTEXT.CREATE("market.6326",A6328,"USD","SOFR")</f>
        <v>QSObject:PricingContext:w1~market.6326:7791</v>
      </c>
      <c r="D6328" s="6" t="str">
        <f>_xll.QS.CONTEXT.ADD.CURVE(C6328,"SOFR",$K$2:$K$7,$L$2:$L$7,,,"Actual360","LogLinear",TRUE)</f>
        <v>QSObject:ContextInput:w1~input.qs_context_add_curve.2359132437744.6327.3.0:34186</v>
      </c>
      <c r="E6328" s="6" t="str">
        <f>_xll.QS.INSTRUMENT.SWAP("swap.6326",H6328,B6328,"USD","SOFR",I6328,J6328,0,"Actual360","Simple","Annual","Annual","Annual")</f>
        <v>QSObject:Swap:w1~swap.6326:7790</v>
      </c>
      <c r="F6328" s="6" t="str">
        <f>_xll.QS.TRADE.CREATE("trade.6326",E6328,A6328,"Receive")</f>
        <v>QSObject:SwapTrade:w1~trade.6326:25566</v>
      </c>
      <c r="G6328" s="3">
        <f>_xll.QS.EVALUATE(C6328,F6328)</f>
        <v>41907.276857992889</v>
      </c>
      <c r="H6328" s="5" t="s">
        <v>6369</v>
      </c>
      <c r="I6328" s="7">
        <v>1632600</v>
      </c>
      <c r="J6328" s="8">
        <v>3.7600000000000001E-2</v>
      </c>
    </row>
    <row r="6329" spans="1:10" x14ac:dyDescent="0.25">
      <c r="A6329" s="5" t="s">
        <v>6363</v>
      </c>
      <c r="B6329" s="5" t="s">
        <v>8196</v>
      </c>
      <c r="C6329" s="6" t="str">
        <f>_xll.QS.CONTEXT.CREATE("market.6327",A6329,"USD","SOFR")</f>
        <v>QSObject:PricingContext:w1~market.6327:7789</v>
      </c>
      <c r="D6329" s="6" t="str">
        <f>_xll.QS.CONTEXT.ADD.CURVE(C6329,"SOFR",$K$2:$K$7,$L$2:$L$7,,,"Actual360","LogLinear",TRUE)</f>
        <v>QSObject:ContextInput:w1~input.qs_context_add_curve.2359132437744.6328.3.0:34185</v>
      </c>
      <c r="E6329" s="6" t="str">
        <f>_xll.QS.INSTRUMENT.SWAP("swap.6327",H6329,B6329,"USD","SOFR",I6329,J6329,0,"Actual360","Simple","Annual","Annual","Annual")</f>
        <v>QSObject:Swap:w1~swap.6327:7788</v>
      </c>
      <c r="F6329" s="6" t="str">
        <f>_xll.QS.TRADE.CREATE("trade.6327",E6329,A6329,"Receive")</f>
        <v>QSObject:SwapTrade:w1~trade.6327:25565</v>
      </c>
      <c r="G6329" s="3">
        <f>_xll.QS.EVALUATE(C6329,F6329)</f>
        <v>42666.328713545088</v>
      </c>
      <c r="H6329" s="5" t="s">
        <v>6370</v>
      </c>
      <c r="I6329" s="7">
        <v>1632700</v>
      </c>
      <c r="J6329" s="8">
        <v>3.7699999999999997E-2</v>
      </c>
    </row>
    <row r="6330" spans="1:10" x14ac:dyDescent="0.25">
      <c r="A6330" s="5" t="s">
        <v>6364</v>
      </c>
      <c r="B6330" s="5" t="s">
        <v>8197</v>
      </c>
      <c r="C6330" s="6" t="str">
        <f>_xll.QS.CONTEXT.CREATE("market.6328",A6330,"USD","SOFR")</f>
        <v>QSObject:PricingContext:w1~market.6328:7787</v>
      </c>
      <c r="D6330" s="6" t="str">
        <f>_xll.QS.CONTEXT.ADD.CURVE(C6330,"SOFR",$K$2:$K$7,$L$2:$L$7,,,"Actual360","LogLinear",TRUE)</f>
        <v>QSObject:ContextInput:w1~input.qs_context_add_curve.2359132437744.6329.3.0:34184</v>
      </c>
      <c r="E6330" s="6" t="str">
        <f>_xll.QS.INSTRUMENT.SWAP("swap.6328",H6330,B6330,"USD","SOFR",I6330,J6330,0,"Actual360","Simple","Annual","Annual","Annual")</f>
        <v>QSObject:Swap:w1~swap.6328:7786</v>
      </c>
      <c r="F6330" s="6" t="str">
        <f>_xll.QS.TRADE.CREATE("trade.6328",E6330,A6330,"Receive")</f>
        <v>QSObject:SwapTrade:w1~trade.6328:25564</v>
      </c>
      <c r="G6330" s="3">
        <f>_xll.QS.EVALUATE(C6330,F6330)</f>
        <v>43491.018416788924</v>
      </c>
      <c r="H6330" s="5" t="s">
        <v>6371</v>
      </c>
      <c r="I6330" s="7">
        <v>1632800</v>
      </c>
      <c r="J6330" s="8">
        <v>3.78E-2</v>
      </c>
    </row>
    <row r="6331" spans="1:10" x14ac:dyDescent="0.25">
      <c r="A6331" s="5" t="s">
        <v>6365</v>
      </c>
      <c r="B6331" s="5" t="s">
        <v>8198</v>
      </c>
      <c r="C6331" s="6" t="str">
        <f>_xll.QS.CONTEXT.CREATE("market.6329",A6331,"USD","SOFR")</f>
        <v>QSObject:PricingContext:w1~market.6329:7785</v>
      </c>
      <c r="D6331" s="6" t="str">
        <f>_xll.QS.CONTEXT.ADD.CURVE(C6331,"SOFR",$K$2:$K$7,$L$2:$L$7,,,"Actual360","LogLinear",TRUE)</f>
        <v>QSObject:ContextInput:w1~input.qs_context_add_curve.2359132437744.6330.3.0:34183</v>
      </c>
      <c r="E6331" s="6" t="str">
        <f>_xll.QS.INSTRUMENT.SWAP("swap.6329",H6331,B6331,"USD","SOFR",I6331,J6331,0,"Actual360","Simple","Annual","Annual","Annual")</f>
        <v>QSObject:Swap:w1~swap.6329:7784</v>
      </c>
      <c r="F6331" s="6" t="str">
        <f>_xll.QS.TRADE.CREATE("trade.6329",E6331,A6331,"Receive")</f>
        <v>QSObject:SwapTrade:w1~trade.6329:25563</v>
      </c>
      <c r="G6331" s="3">
        <f>_xll.QS.EVALUATE(C6331,F6331)</f>
        <v>44366.411149183128</v>
      </c>
      <c r="H6331" s="5" t="s">
        <v>6372</v>
      </c>
      <c r="I6331" s="7">
        <v>1632900</v>
      </c>
      <c r="J6331" s="8">
        <v>3.7900000000000003E-2</v>
      </c>
    </row>
    <row r="6332" spans="1:10" x14ac:dyDescent="0.25">
      <c r="A6332" s="5" t="s">
        <v>6366</v>
      </c>
      <c r="B6332" s="5" t="s">
        <v>8199</v>
      </c>
      <c r="C6332" s="6" t="str">
        <f>_xll.QS.CONTEXT.CREATE("market.6330",A6332,"USD","SOFR")</f>
        <v>QSObject:PricingContext:w1~market.6330:7783</v>
      </c>
      <c r="D6332" s="6" t="str">
        <f>_xll.QS.CONTEXT.ADD.CURVE(C6332,"SOFR",$K$2:$K$7,$L$2:$L$7,,,"Actual360","LogLinear",TRUE)</f>
        <v>QSObject:ContextInput:w1~input.qs_context_add_curve.2359132437744.6331.3.0:34182</v>
      </c>
      <c r="E6332" s="6" t="str">
        <f>_xll.QS.INSTRUMENT.SWAP("swap.6330",H6332,B6332,"USD","SOFR",I6332,J6332,0,"Actual360","Simple","Annual","Annual","Annual")</f>
        <v>QSObject:Swap:w1~swap.6330:7782</v>
      </c>
      <c r="F6332" s="6" t="str">
        <f>_xll.QS.TRADE.CREATE("trade.6330",E6332,A6332,"Receive")</f>
        <v>QSObject:SwapTrade:w1~trade.6330:25562</v>
      </c>
      <c r="G6332" s="3">
        <f>_xll.QS.EVALUATE(C6332,F6332)</f>
        <v>45122.28742631874</v>
      </c>
      <c r="H6332" s="5" t="s">
        <v>6373</v>
      </c>
      <c r="I6332" s="7">
        <v>1633000</v>
      </c>
      <c r="J6332" s="8">
        <v>3.8000000000000013E-2</v>
      </c>
    </row>
    <row r="6333" spans="1:10" x14ac:dyDescent="0.25">
      <c r="A6333" s="5" t="s">
        <v>6367</v>
      </c>
      <c r="B6333" s="5" t="s">
        <v>8200</v>
      </c>
      <c r="C6333" s="6" t="str">
        <f>_xll.QS.CONTEXT.CREATE("market.6331",A6333,"USD","SOFR")</f>
        <v>QSObject:PricingContext:w1~market.6331:7781</v>
      </c>
      <c r="D6333" s="6" t="str">
        <f>_xll.QS.CONTEXT.ADD.CURVE(C6333,"SOFR",$K$2:$K$7,$L$2:$L$7,,,"Actual360","LogLinear",TRUE)</f>
        <v>QSObject:ContextInput:w1~input.qs_context_add_curve.2359132437744.6332.3.0:34181</v>
      </c>
      <c r="E6333" s="6" t="str">
        <f>_xll.QS.INSTRUMENT.SWAP("swap.6331",H6333,B6333,"USD","SOFR",I6333,J6333,0,"Actual360","Simple","Annual","Annual","Annual")</f>
        <v>QSObject:Swap:w1~swap.6331:7780</v>
      </c>
      <c r="F6333" s="6" t="str">
        <f>_xll.QS.TRADE.CREATE("trade.6331",E6333,A6333,"Receive")</f>
        <v>QSObject:SwapTrade:w1~trade.6331:25561</v>
      </c>
      <c r="G6333" s="3">
        <f>_xll.QS.EVALUATE(C6333,F6333)</f>
        <v>45887.278249788134</v>
      </c>
      <c r="H6333" s="5" t="s">
        <v>6374</v>
      </c>
      <c r="I6333" s="7">
        <v>1633100</v>
      </c>
      <c r="J6333" s="8">
        <v>3.8100000000000002E-2</v>
      </c>
    </row>
    <row r="6334" spans="1:10" x14ac:dyDescent="0.25">
      <c r="A6334" s="5" t="s">
        <v>6368</v>
      </c>
      <c r="B6334" s="5" t="s">
        <v>8201</v>
      </c>
      <c r="C6334" s="6" t="str">
        <f>_xll.QS.CONTEXT.CREATE("market.6332",A6334,"USD","SOFR")</f>
        <v>QSObject:PricingContext:w1~market.6332:7779</v>
      </c>
      <c r="D6334" s="6" t="str">
        <f>_xll.QS.CONTEXT.ADD.CURVE(C6334,"SOFR",$K$2:$K$7,$L$2:$L$7,,,"Actual360","LogLinear",TRUE)</f>
        <v>QSObject:ContextInput:w1~input.qs_context_add_curve.2359132437744.6333.3.0:34180</v>
      </c>
      <c r="E6334" s="6" t="str">
        <f>_xll.QS.INSTRUMENT.SWAP("swap.6332",H6334,B6334,"USD","SOFR",I6334,J6334,0,"Actual360","Simple","Annual","Annual","Annual")</f>
        <v>QSObject:Swap:w1~swap.6332:7778</v>
      </c>
      <c r="F6334" s="6" t="str">
        <f>_xll.QS.TRADE.CREATE("trade.6332",E6334,A6334,"Receive")</f>
        <v>QSObject:SwapTrade:w1~trade.6332:25560</v>
      </c>
      <c r="G6334" s="3">
        <f>_xll.QS.EVALUATE(C6334,F6334)</f>
        <v>46644.98464184261</v>
      </c>
      <c r="H6334" s="5" t="s">
        <v>6375</v>
      </c>
      <c r="I6334" s="7">
        <v>1633200</v>
      </c>
      <c r="J6334" s="8">
        <v>3.8199999999999998E-2</v>
      </c>
    </row>
    <row r="6335" spans="1:10" x14ac:dyDescent="0.25">
      <c r="A6335" s="5" t="s">
        <v>6369</v>
      </c>
      <c r="B6335" s="5" t="s">
        <v>8202</v>
      </c>
      <c r="C6335" s="6" t="str">
        <f>_xll.QS.CONTEXT.CREATE("market.6333",A6335,"USD","SOFR")</f>
        <v>QSObject:PricingContext:w1~market.6333:7777</v>
      </c>
      <c r="D6335" s="6" t="str">
        <f>_xll.QS.CONTEXT.ADD.CURVE(C6335,"SOFR",$K$2:$K$7,$L$2:$L$7,,,"Actual360","LogLinear",TRUE)</f>
        <v>QSObject:ContextInput:w1~input.qs_context_add_curve.2359132437744.6334.3.0:34179</v>
      </c>
      <c r="E6335" s="6" t="str">
        <f>_xll.QS.INSTRUMENT.SWAP("swap.6333",H6335,B6335,"USD","SOFR",I6335,J6335,0,"Actual360","Simple","Annual","Annual","Annual")</f>
        <v>QSObject:Swap:w1~swap.6333:7776</v>
      </c>
      <c r="F6335" s="6" t="str">
        <f>_xll.QS.TRADE.CREATE("trade.6333",E6335,A6335,"Receive")</f>
        <v>QSObject:SwapTrade:w1~trade.6333:25559</v>
      </c>
      <c r="G6335" s="3">
        <f>_xll.QS.EVALUATE(C6335,F6335)</f>
        <v>47199.080944325891</v>
      </c>
      <c r="H6335" s="5" t="s">
        <v>6376</v>
      </c>
      <c r="I6335" s="7">
        <v>1633300</v>
      </c>
      <c r="J6335" s="8">
        <v>3.8300000000000001E-2</v>
      </c>
    </row>
    <row r="6336" spans="1:10" x14ac:dyDescent="0.25">
      <c r="A6336" s="5" t="s">
        <v>6370</v>
      </c>
      <c r="B6336" s="5" t="s">
        <v>8203</v>
      </c>
      <c r="C6336" s="6" t="str">
        <f>_xll.QS.CONTEXT.CREATE("market.6334",A6336,"USD","SOFR")</f>
        <v>QSObject:PricingContext:w1~market.6334:7775</v>
      </c>
      <c r="D6336" s="6" t="str">
        <f>_xll.QS.CONTEXT.ADD.CURVE(C6336,"SOFR",$K$2:$K$7,$L$2:$L$7,,,"Actual360","LogLinear",TRUE)</f>
        <v>QSObject:ContextInput:w1~input.qs_context_add_curve.2359132437744.6335.3.0:34178</v>
      </c>
      <c r="E6336" s="6" t="str">
        <f>_xll.QS.INSTRUMENT.SWAP("swap.6334",H6336,B6336,"USD","SOFR",I6336,J6336,0,"Actual360","Simple","Annual","Annual","Annual")</f>
        <v>QSObject:Swap:w1~swap.6334:7774</v>
      </c>
      <c r="F6336" s="6" t="str">
        <f>_xll.QS.TRADE.CREATE("trade.6334",E6336,A6336,"Receive")</f>
        <v>QSObject:SwapTrade:w1~trade.6334:25558</v>
      </c>
      <c r="G6336" s="3">
        <f>_xll.QS.EVALUATE(C6336,F6336)</f>
        <v>47959.222359915279</v>
      </c>
      <c r="H6336" s="5" t="s">
        <v>6377</v>
      </c>
      <c r="I6336" s="7">
        <v>1633400</v>
      </c>
      <c r="J6336" s="8">
        <v>3.8399999999999997E-2</v>
      </c>
    </row>
    <row r="6337" spans="1:10" x14ac:dyDescent="0.25">
      <c r="A6337" s="5" t="s">
        <v>6371</v>
      </c>
      <c r="B6337" s="5" t="s">
        <v>8204</v>
      </c>
      <c r="C6337" s="6" t="str">
        <f>_xll.QS.CONTEXT.CREATE("market.6335",A6337,"USD","SOFR")</f>
        <v>QSObject:PricingContext:w1~market.6335:7773</v>
      </c>
      <c r="D6337" s="6" t="str">
        <f>_xll.QS.CONTEXT.ADD.CURVE(C6337,"SOFR",$K$2:$K$7,$L$2:$L$7,,,"Actual360","LogLinear",TRUE)</f>
        <v>QSObject:ContextInput:w1~input.qs_context_add_curve.2359132437744.6336.3.0:34177</v>
      </c>
      <c r="E6337" s="6" t="str">
        <f>_xll.QS.INSTRUMENT.SWAP("swap.6335",H6337,B6337,"USD","SOFR",I6337,J6337,0,"Actual360","Simple","Annual","Annual","Annual")</f>
        <v>QSObject:Swap:w1~swap.6335:7772</v>
      </c>
      <c r="F6337" s="6" t="str">
        <f>_xll.QS.TRADE.CREATE("trade.6335",E6337,A6337,"Receive")</f>
        <v>QSObject:SwapTrade:w1~trade.6335:25557</v>
      </c>
      <c r="G6337" s="3">
        <f>_xll.QS.EVALUATE(C6337,F6337)</f>
        <v>48785.103455504388</v>
      </c>
      <c r="H6337" s="5" t="s">
        <v>6378</v>
      </c>
      <c r="I6337" s="7">
        <v>1633500</v>
      </c>
      <c r="J6337" s="8">
        <v>3.8500000000000013E-2</v>
      </c>
    </row>
    <row r="6338" spans="1:10" x14ac:dyDescent="0.25">
      <c r="A6338" s="5" t="s">
        <v>6372</v>
      </c>
      <c r="B6338" s="5" t="s">
        <v>8205</v>
      </c>
      <c r="C6338" s="6" t="str">
        <f>_xll.QS.CONTEXT.CREATE("market.6336",A6338,"USD","SOFR")</f>
        <v>QSObject:PricingContext:w1~market.6336:7771</v>
      </c>
      <c r="D6338" s="6" t="str">
        <f>_xll.QS.CONTEXT.ADD.CURVE(C6338,"SOFR",$K$2:$K$7,$L$2:$L$7,,,"Actual360","LogLinear",TRUE)</f>
        <v>QSObject:ContextInput:w1~input.qs_context_add_curve.2359132437744.6337.3.0:34176</v>
      </c>
      <c r="E6338" s="6" t="str">
        <f>_xll.QS.INSTRUMENT.SWAP("swap.6336",H6338,B6338,"USD","SOFR",I6338,J6338,0,"Actual360","Simple","Annual","Annual","Annual")</f>
        <v>QSObject:Swap:w1~swap.6336:7770</v>
      </c>
      <c r="F6338" s="6" t="str">
        <f>_xll.QS.TRADE.CREATE("trade.6336",E6338,A6338,"Receive")</f>
        <v>QSObject:SwapTrade:w1~trade.6336:25556</v>
      </c>
      <c r="G6338" s="3">
        <f>_xll.QS.EVALUATE(C6338,F6338)</f>
        <v>49661.271586046299</v>
      </c>
      <c r="H6338" s="5" t="s">
        <v>6379</v>
      </c>
      <c r="I6338" s="7">
        <v>1633600</v>
      </c>
      <c r="J6338" s="8">
        <v>3.8600000000000002E-2</v>
      </c>
    </row>
    <row r="6339" spans="1:10" x14ac:dyDescent="0.25">
      <c r="A6339" s="5" t="s">
        <v>6373</v>
      </c>
      <c r="B6339" s="5" t="s">
        <v>8206</v>
      </c>
      <c r="C6339" s="6" t="str">
        <f>_xll.QS.CONTEXT.CREATE("market.6337",A6339,"USD","SOFR")</f>
        <v>QSObject:PricingContext:w1~market.6337:7769</v>
      </c>
      <c r="D6339" s="6" t="str">
        <f>_xll.QS.CONTEXT.ADD.CURVE(C6339,"SOFR",$K$2:$K$7,$L$2:$L$7,,,"Actual360","LogLinear",TRUE)</f>
        <v>QSObject:ContextInput:w1~input.qs_context_add_curve.2359132437744.6338.3.0:34175</v>
      </c>
      <c r="E6339" s="6" t="str">
        <f>_xll.QS.INSTRUMENT.SWAP("swap.6337",H6339,B6339,"USD","SOFR",I6339,J6339,0,"Actual360","Simple","Annual","Annual","Annual")</f>
        <v>QSObject:Swap:w1~swap.6337:7768</v>
      </c>
      <c r="F6339" s="6" t="str">
        <f>_xll.QS.TRADE.CREATE("trade.6337",E6339,A6339,"Receive")</f>
        <v>QSObject:SwapTrade:w1~trade.6337:25555</v>
      </c>
      <c r="G6339" s="3">
        <f>_xll.QS.EVALUATE(C6339,F6339)</f>
        <v>50417.783273198256</v>
      </c>
      <c r="H6339" s="5" t="s">
        <v>6380</v>
      </c>
      <c r="I6339" s="7">
        <v>1633700</v>
      </c>
      <c r="J6339" s="8">
        <v>3.8700000000000012E-2</v>
      </c>
    </row>
    <row r="6340" spans="1:10" x14ac:dyDescent="0.25">
      <c r="A6340" s="5" t="s">
        <v>6374</v>
      </c>
      <c r="B6340" s="5" t="s">
        <v>8207</v>
      </c>
      <c r="C6340" s="6" t="str">
        <f>_xll.QS.CONTEXT.CREATE("market.6338",A6340,"USD","SOFR")</f>
        <v>QSObject:PricingContext:w1~market.6338:7767</v>
      </c>
      <c r="D6340" s="6" t="str">
        <f>_xll.QS.CONTEXT.ADD.CURVE(C6340,"SOFR",$K$2:$K$7,$L$2:$L$7,,,"Actual360","LogLinear",TRUE)</f>
        <v>QSObject:ContextInput:w1~input.qs_context_add_curve.2359132437744.6339.3.0:34174</v>
      </c>
      <c r="E6340" s="6" t="str">
        <f>_xll.QS.INSTRUMENT.SWAP("swap.6338",H6340,B6340,"USD","SOFR",I6340,J6340,0,"Actual360","Simple","Annual","Annual","Annual")</f>
        <v>QSObject:Swap:w1~swap.6338:7766</v>
      </c>
      <c r="F6340" s="6" t="str">
        <f>_xll.QS.TRADE.CREATE("trade.6338",E6340,A6340,"Receive")</f>
        <v>QSObject:SwapTrade:w1~trade.6338:25554</v>
      </c>
      <c r="G6340" s="3">
        <f>_xll.QS.EVALUATE(C6340,F6340)</f>
        <v>51183.438482926613</v>
      </c>
      <c r="H6340" s="5" t="s">
        <v>6381</v>
      </c>
      <c r="I6340" s="7">
        <v>1633800</v>
      </c>
      <c r="J6340" s="8">
        <v>3.8800000000000001E-2</v>
      </c>
    </row>
    <row r="6341" spans="1:10" x14ac:dyDescent="0.25">
      <c r="A6341" s="5" t="s">
        <v>6375</v>
      </c>
      <c r="B6341" s="5" t="s">
        <v>8208</v>
      </c>
      <c r="C6341" s="6" t="str">
        <f>_xll.QS.CONTEXT.CREATE("market.6339",A6341,"USD","SOFR")</f>
        <v>QSObject:PricingContext:w1~market.6339:7765</v>
      </c>
      <c r="D6341" s="6" t="str">
        <f>_xll.QS.CONTEXT.ADD.CURVE(C6341,"SOFR",$K$2:$K$7,$L$2:$L$7,,,"Actual360","LogLinear",TRUE)</f>
        <v>QSObject:ContextInput:w1~input.qs_context_add_curve.2359132437744.6340.3.0:34173</v>
      </c>
      <c r="E6341" s="6" t="str">
        <f>_xll.QS.INSTRUMENT.SWAP("swap.6339",H6341,B6341,"USD","SOFR",I6341,J6341,0,"Actual360","Simple","Annual","Annual","Annual")</f>
        <v>QSObject:Swap:w1~swap.6339:7764</v>
      </c>
      <c r="F6341" s="6" t="str">
        <f>_xll.QS.TRADE.CREATE("trade.6339",E6341,A6341,"Receive")</f>
        <v>QSObject:SwapTrade:w1~trade.6339:25553</v>
      </c>
      <c r="G6341" s="3">
        <f>_xll.QS.EVALUATE(C6341,F6341)</f>
        <v>51941.811472601381</v>
      </c>
      <c r="H6341" s="5" t="s">
        <v>6382</v>
      </c>
      <c r="I6341" s="7">
        <v>1633900</v>
      </c>
      <c r="J6341" s="8">
        <v>3.8899999999999997E-2</v>
      </c>
    </row>
    <row r="6342" spans="1:10" x14ac:dyDescent="0.25">
      <c r="A6342" s="5" t="s">
        <v>6376</v>
      </c>
      <c r="B6342" s="5" t="s">
        <v>8209</v>
      </c>
      <c r="C6342" s="6" t="str">
        <f>_xll.QS.CONTEXT.CREATE("market.6340",A6342,"USD","SOFR")</f>
        <v>QSObject:PricingContext:w1~market.6340:7763</v>
      </c>
      <c r="D6342" s="6" t="str">
        <f>_xll.QS.CONTEXT.ADD.CURVE(C6342,"SOFR",$K$2:$K$7,$L$2:$L$7,,,"Actual360","LogLinear",TRUE)</f>
        <v>QSObject:ContextInput:w1~input.qs_context_add_curve.2359132437744.6341.3.0:34172</v>
      </c>
      <c r="E6342" s="6" t="str">
        <f>_xll.QS.INSTRUMENT.SWAP("swap.6340",H6342,B6342,"USD","SOFR",I6342,J6342,0,"Actual360","Simple","Annual","Annual","Annual")</f>
        <v>QSObject:Swap:w1~swap.6340:7762</v>
      </c>
      <c r="F6342" s="6" t="str">
        <f>_xll.QS.TRADE.CREATE("trade.6340",E6342,A6342,"Receive")</f>
        <v>QSObject:SwapTrade:w1~trade.6340:25552</v>
      </c>
      <c r="G6342" s="3">
        <f>_xll.QS.EVALUATE(C6342,F6342)</f>
        <v>52495.405553563745</v>
      </c>
      <c r="H6342" s="5" t="s">
        <v>6383</v>
      </c>
      <c r="I6342" s="7">
        <v>1634000</v>
      </c>
      <c r="J6342" s="8">
        <v>3.9000000000000007E-2</v>
      </c>
    </row>
    <row r="6343" spans="1:10" x14ac:dyDescent="0.25">
      <c r="A6343" s="5" t="s">
        <v>6377</v>
      </c>
      <c r="B6343" s="5" t="s">
        <v>8210</v>
      </c>
      <c r="C6343" s="6" t="str">
        <f>_xll.QS.CONTEXT.CREATE("market.6341",A6343,"USD","SOFR")</f>
        <v>QSObject:PricingContext:w1~market.6341:7761</v>
      </c>
      <c r="D6343" s="6" t="str">
        <f>_xll.QS.CONTEXT.ADD.CURVE(C6343,"SOFR",$K$2:$K$7,$L$2:$L$7,,,"Actual360","LogLinear",TRUE)</f>
        <v>QSObject:ContextInput:w1~input.qs_context_add_curve.2359132437744.6342.3.0:34171</v>
      </c>
      <c r="E6343" s="6" t="str">
        <f>_xll.QS.INSTRUMENT.SWAP("swap.6341",H6343,B6343,"USD","SOFR",I6343,J6343,0,"Actual360","Simple","Annual","Annual","Annual")</f>
        <v>QSObject:Swap:w1~swap.6341:7760</v>
      </c>
      <c r="F6343" s="6" t="str">
        <f>_xll.QS.TRADE.CREATE("trade.6341",E6343,A6343,"Receive")</f>
        <v>QSObject:SwapTrade:w1~trade.6341:25551</v>
      </c>
      <c r="G6343" s="3">
        <f>_xll.QS.EVALUATE(C6343,F6343)</f>
        <v>53256.636908316643</v>
      </c>
      <c r="H6343" s="5" t="s">
        <v>6384</v>
      </c>
      <c r="I6343" s="7">
        <v>1634100</v>
      </c>
      <c r="J6343" s="8">
        <v>3.9100000000000003E-2</v>
      </c>
    </row>
    <row r="6344" spans="1:10" x14ac:dyDescent="0.25">
      <c r="A6344" s="5" t="s">
        <v>6378</v>
      </c>
      <c r="B6344" s="5" t="s">
        <v>8211</v>
      </c>
      <c r="C6344" s="6" t="str">
        <f>_xll.QS.CONTEXT.CREATE("market.6342",A6344,"USD","SOFR")</f>
        <v>QSObject:PricingContext:w1~market.6342:7759</v>
      </c>
      <c r="D6344" s="6" t="str">
        <f>_xll.QS.CONTEXT.ADD.CURVE(C6344,"SOFR",$K$2:$K$7,$L$2:$L$7,,,"Actual360","LogLinear",TRUE)</f>
        <v>QSObject:ContextInput:w1~input.qs_context_add_curve.2359132437744.6343.3.0:34170</v>
      </c>
      <c r="E6344" s="6" t="str">
        <f>_xll.QS.INSTRUMENT.SWAP("swap.6342",H6344,B6344,"USD","SOFR",I6344,J6344,0,"Actual360","Simple","Annual","Annual","Annual")</f>
        <v>QSObject:Swap:w1~swap.6342:7758</v>
      </c>
      <c r="F6344" s="6" t="str">
        <f>_xll.QS.TRADE.CREATE("trade.6342",E6344,A6344,"Receive")</f>
        <v>QSObject:SwapTrade:w1~trade.6342:25550</v>
      </c>
      <c r="G6344" s="3">
        <f>_xll.QS.EVALUATE(C6344,F6344)</f>
        <v>54083.709838523289</v>
      </c>
      <c r="H6344" s="5" t="s">
        <v>6385</v>
      </c>
      <c r="I6344" s="7">
        <v>1634200</v>
      </c>
      <c r="J6344" s="8">
        <v>3.9200000000000013E-2</v>
      </c>
    </row>
    <row r="6345" spans="1:10" x14ac:dyDescent="0.25">
      <c r="A6345" s="5" t="s">
        <v>6379</v>
      </c>
      <c r="B6345" s="5" t="s">
        <v>8212</v>
      </c>
      <c r="C6345" s="6" t="str">
        <f>_xll.QS.CONTEXT.CREATE("market.6343",A6345,"USD","SOFR")</f>
        <v>QSObject:PricingContext:w1~market.6343:7757</v>
      </c>
      <c r="D6345" s="6" t="str">
        <f>_xll.QS.CONTEXT.ADD.CURVE(C6345,"SOFR",$K$2:$K$7,$L$2:$L$7,,,"Actual360","LogLinear",TRUE)</f>
        <v>QSObject:ContextInput:w1~input.qs_context_add_curve.2359132437744.6344.3.0:34169</v>
      </c>
      <c r="E6345" s="6" t="str">
        <f>_xll.QS.INSTRUMENT.SWAP("swap.6343",H6345,B6345,"USD","SOFR",I6345,J6345,0,"Actual360","Simple","Annual","Annual","Annual")</f>
        <v>QSObject:Swap:w1~swap.6343:7756</v>
      </c>
      <c r="F6345" s="6" t="str">
        <f>_xll.QS.TRADE.CREATE("trade.6343",E6345,A6345,"Receive")</f>
        <v>QSObject:SwapTrade:w1~trade.6343:25549</v>
      </c>
      <c r="G6345" s="3">
        <f>_xll.QS.EVALUATE(C6345,F6345)</f>
        <v>54960.653434332635</v>
      </c>
      <c r="H6345" s="5" t="s">
        <v>6386</v>
      </c>
      <c r="I6345" s="7">
        <v>1634300</v>
      </c>
      <c r="J6345" s="8">
        <v>3.9300000000000002E-2</v>
      </c>
    </row>
    <row r="6346" spans="1:10" x14ac:dyDescent="0.25">
      <c r="A6346" s="5" t="s">
        <v>6380</v>
      </c>
      <c r="B6346" s="5" t="s">
        <v>8213</v>
      </c>
      <c r="C6346" s="6" t="str">
        <f>_xll.QS.CONTEXT.CREATE("market.6344",A6346,"USD","SOFR")</f>
        <v>QSObject:PricingContext:w1~market.6344:7755</v>
      </c>
      <c r="D6346" s="6" t="str">
        <f>_xll.QS.CONTEXT.ADD.CURVE(C6346,"SOFR",$K$2:$K$7,$L$2:$L$7,,,"Actual360","LogLinear",TRUE)</f>
        <v>QSObject:ContextInput:w1~input.qs_context_add_curve.2359132437744.6345.3.0:34168</v>
      </c>
      <c r="E6346" s="6" t="str">
        <f>_xll.QS.INSTRUMENT.SWAP("swap.6344",H6346,B6346,"USD","SOFR",I6346,J6346,0,"Actual360","Simple","Annual","Annual","Annual")</f>
        <v>QSObject:Swap:w1~swap.6344:7754</v>
      </c>
      <c r="F6346" s="6" t="str">
        <f>_xll.QS.TRADE.CREATE("trade.6344",E6346,A6346,"Receive")</f>
        <v>QSObject:SwapTrade:w1~trade.6344:25548</v>
      </c>
      <c r="G6346" s="3">
        <f>_xll.QS.EVALUATE(C6346,F6346)</f>
        <v>55717.65801110836</v>
      </c>
      <c r="H6346" s="5" t="s">
        <v>6387</v>
      </c>
      <c r="I6346" s="7">
        <v>1634400</v>
      </c>
      <c r="J6346" s="8">
        <v>3.9399999999999998E-2</v>
      </c>
    </row>
    <row r="6347" spans="1:10" x14ac:dyDescent="0.25">
      <c r="A6347" s="5" t="s">
        <v>6381</v>
      </c>
      <c r="B6347" s="5" t="s">
        <v>8214</v>
      </c>
      <c r="C6347" s="6" t="str">
        <f>_xll.QS.CONTEXT.CREATE("market.6345",A6347,"USD","SOFR")</f>
        <v>QSObject:PricingContext:w1~market.6345:7753</v>
      </c>
      <c r="D6347" s="6" t="str">
        <f>_xll.QS.CONTEXT.ADD.CURVE(C6347,"SOFR",$K$2:$K$7,$L$2:$L$7,,,"Actual360","LogLinear",TRUE)</f>
        <v>QSObject:ContextInput:w1~input.qs_context_add_curve.2359132437744.6346.3.0:34167</v>
      </c>
      <c r="E6347" s="6" t="str">
        <f>_xll.QS.INSTRUMENT.SWAP("swap.6345",H6347,B6347,"USD","SOFR",I6347,J6347,0,"Actual360","Simple","Annual","Annual","Annual")</f>
        <v>QSObject:Swap:w1~swap.6345:7752</v>
      </c>
      <c r="F6347" s="6" t="str">
        <f>_xll.QS.TRADE.CREATE("trade.6345",E6347,A6347,"Receive")</f>
        <v>QSObject:SwapTrade:w1~trade.6345:25547</v>
      </c>
      <c r="G6347" s="3">
        <f>_xll.QS.EVALUATE(C6347,F6347)</f>
        <v>56483.521098026264</v>
      </c>
      <c r="H6347" s="5" t="s">
        <v>6388</v>
      </c>
      <c r="I6347" s="7">
        <v>1634500</v>
      </c>
      <c r="J6347" s="8">
        <v>3.9500000000000007E-2</v>
      </c>
    </row>
    <row r="6348" spans="1:10" x14ac:dyDescent="0.25">
      <c r="A6348" s="5" t="s">
        <v>6382</v>
      </c>
      <c r="B6348" s="5" t="s">
        <v>8215</v>
      </c>
      <c r="C6348" s="6" t="str">
        <f>_xll.QS.CONTEXT.CREATE("market.6346",A6348,"USD","SOFR")</f>
        <v>QSObject:PricingContext:w1~market.6346:7751</v>
      </c>
      <c r="D6348" s="6" t="str">
        <f>_xll.QS.CONTEXT.ADD.CURVE(C6348,"SOFR",$K$2:$K$7,$L$2:$L$7,,,"Actual360","LogLinear",TRUE)</f>
        <v>QSObject:ContextInput:w1~input.qs_context_add_curve.2359132437744.6347.3.0:34166</v>
      </c>
      <c r="E6348" s="6" t="str">
        <f>_xll.QS.INSTRUMENT.SWAP("swap.6346",H6348,B6348,"USD","SOFR",I6348,J6348,0,"Actual360","Simple","Annual","Annual","Annual")</f>
        <v>QSObject:Swap:w1~swap.6346:7750</v>
      </c>
      <c r="F6348" s="6" t="str">
        <f>_xll.QS.TRADE.CREATE("trade.6346",E6348,A6348,"Receive")</f>
        <v>QSObject:SwapTrade:w1~trade.6346:25546</v>
      </c>
      <c r="G6348" s="3">
        <f>_xll.QS.EVALUATE(C6348,F6348)</f>
        <v>57243.078596557432</v>
      </c>
      <c r="H6348" s="5" t="s">
        <v>6389</v>
      </c>
      <c r="I6348" s="7">
        <v>1634600</v>
      </c>
      <c r="J6348" s="8">
        <v>3.9600000000000003E-2</v>
      </c>
    </row>
    <row r="6349" spans="1:10" x14ac:dyDescent="0.25">
      <c r="A6349" s="5" t="s">
        <v>6383</v>
      </c>
      <c r="B6349" s="5" t="s">
        <v>8216</v>
      </c>
      <c r="C6349" s="6" t="str">
        <f>_xll.QS.CONTEXT.CREATE("market.6347",A6349,"USD","SOFR")</f>
        <v>QSObject:PricingContext:w1~market.6347:7749</v>
      </c>
      <c r="D6349" s="6" t="str">
        <f>_xll.QS.CONTEXT.ADD.CURVE(C6349,"SOFR",$K$2:$K$7,$L$2:$L$7,,,"Actual360","LogLinear",TRUE)</f>
        <v>QSObject:ContextInput:w1~input.qs_context_add_curve.2359132437744.6348.3.0:34165</v>
      </c>
      <c r="E6349" s="6" t="str">
        <f>_xll.QS.INSTRUMENT.SWAP("swap.6347",H6349,B6349,"USD","SOFR",I6349,J6349,0,"Actual360","Simple","Annual","Annual","Annual")</f>
        <v>QSObject:Swap:w1~swap.6347:7748</v>
      </c>
      <c r="F6349" s="6" t="str">
        <f>_xll.QS.TRADE.CREATE("trade.6347",E6349,A6349,"Receive")</f>
        <v>QSObject:SwapTrade:w1~trade.6347:25545</v>
      </c>
      <c r="G6349" s="3">
        <f>_xll.QS.EVALUATE(C6349,F6349)</f>
        <v>57726.723173409635</v>
      </c>
      <c r="H6349" s="5" t="s">
        <v>6390</v>
      </c>
      <c r="I6349" s="7">
        <v>1634700</v>
      </c>
      <c r="J6349" s="8">
        <v>3.9700000000000013E-2</v>
      </c>
    </row>
    <row r="6350" spans="1:10" x14ac:dyDescent="0.25">
      <c r="A6350" s="5" t="s">
        <v>6384</v>
      </c>
      <c r="B6350" s="5" t="s">
        <v>8217</v>
      </c>
      <c r="C6350" s="6" t="str">
        <f>_xll.QS.CONTEXT.CREATE("market.6348",A6350,"USD","SOFR")</f>
        <v>QSObject:PricingContext:w1~market.6348:7747</v>
      </c>
      <c r="D6350" s="6" t="str">
        <f>_xll.QS.CONTEXT.ADD.CURVE(C6350,"SOFR",$K$2:$K$7,$L$2:$L$7,,,"Actual360","LogLinear",TRUE)</f>
        <v>QSObject:ContextInput:w1~input.qs_context_add_curve.2359132437744.6349.3.0:34164</v>
      </c>
      <c r="E6350" s="6" t="str">
        <f>_xll.QS.INSTRUMENT.SWAP("swap.6348",H6350,B6350,"USD","SOFR",I6350,J6350,0,"Actual360","Simple","Annual","Annual","Annual")</f>
        <v>QSObject:Swap:w1~swap.6348:7746</v>
      </c>
      <c r="F6350" s="6" t="str">
        <f>_xll.QS.TRADE.CREATE("trade.6348",E6350,A6350,"Receive")</f>
        <v>QSObject:SwapTrade:w1~trade.6348:25544</v>
      </c>
      <c r="G6350" s="3">
        <f>_xll.QS.EVALUATE(C6350,F6350)</f>
        <v>58488.899484287445</v>
      </c>
      <c r="H6350" s="5" t="s">
        <v>6391</v>
      </c>
      <c r="I6350" s="7">
        <v>1634800</v>
      </c>
      <c r="J6350" s="8">
        <v>3.9800000000000002E-2</v>
      </c>
    </row>
    <row r="6351" spans="1:10" x14ac:dyDescent="0.25">
      <c r="A6351" s="5" t="s">
        <v>6385</v>
      </c>
      <c r="B6351" s="5" t="s">
        <v>8218</v>
      </c>
      <c r="C6351" s="6" t="str">
        <f>_xll.QS.CONTEXT.CREATE("market.6349",A6351,"USD","SOFR")</f>
        <v>QSObject:PricingContext:w1~market.6349:7745</v>
      </c>
      <c r="D6351" s="6" t="str">
        <f>_xll.QS.CONTEXT.ADD.CURVE(C6351,"SOFR",$K$2:$K$7,$L$2:$L$7,,,"Actual360","LogLinear",TRUE)</f>
        <v>QSObject:ContextInput:w1~input.qs_context_add_curve.2359132437744.6350.3.0:34163</v>
      </c>
      <c r="E6351" s="6" t="str">
        <f>_xll.QS.INSTRUMENT.SWAP("swap.6349",H6351,B6351,"USD","SOFR",I6351,J6351,0,"Actual360","Simple","Annual","Annual","Annual")</f>
        <v>QSObject:Swap:w1~swap.6349:7744</v>
      </c>
      <c r="F6351" s="6" t="str">
        <f>_xll.QS.TRADE.CREATE("trade.6349",E6351,A6351,"Receive")</f>
        <v>QSObject:SwapTrade:w1~trade.6349:25543</v>
      </c>
      <c r="G6351" s="3">
        <f>_xll.QS.EVALUATE(C6351,F6351)</f>
        <v>59317.554164024768</v>
      </c>
      <c r="H6351" s="5" t="s">
        <v>6392</v>
      </c>
      <c r="I6351" s="7">
        <v>1634900</v>
      </c>
      <c r="J6351" s="8">
        <v>3.9899999999999998E-2</v>
      </c>
    </row>
    <row r="6352" spans="1:10" x14ac:dyDescent="0.25">
      <c r="A6352" s="5" t="s">
        <v>6386</v>
      </c>
      <c r="B6352" s="5" t="s">
        <v>8219</v>
      </c>
      <c r="C6352" s="6" t="str">
        <f>_xll.QS.CONTEXT.CREATE("market.6350",A6352,"USD","SOFR")</f>
        <v>QSObject:PricingContext:w1~market.6350:7743</v>
      </c>
      <c r="D6352" s="6" t="str">
        <f>_xll.QS.CONTEXT.ADD.CURVE(C6352,"SOFR",$K$2:$K$7,$L$2:$L$7,,,"Actual360","LogLinear",TRUE)</f>
        <v>QSObject:ContextInput:w1~input.qs_context_add_curve.2359132437744.6351.3.0:34162</v>
      </c>
      <c r="E6352" s="6" t="str">
        <f>_xll.QS.INSTRUMENT.SWAP("swap.6350",H6352,B6352,"USD","SOFR",I6352,J6352,0,"Actual360","Simple","Annual","Annual","Annual")</f>
        <v>QSObject:Swap:w1~swap.6350:7742</v>
      </c>
      <c r="F6352" s="6" t="str">
        <f>_xll.QS.TRADE.CREATE("trade.6350",E6352,A6352,"Receive")</f>
        <v>QSObject:SwapTrade:w1~trade.6350:25542</v>
      </c>
      <c r="G6352" s="3">
        <f>_xll.QS.EVALUATE(C6352,F6352)</f>
        <v>22608.186774882604</v>
      </c>
      <c r="H6352" s="5" t="s">
        <v>6393</v>
      </c>
      <c r="I6352" s="7">
        <v>1635000</v>
      </c>
      <c r="J6352" s="8">
        <v>3.5000000000000003E-2</v>
      </c>
    </row>
    <row r="6353" spans="1:10" x14ac:dyDescent="0.25">
      <c r="A6353" s="5" t="s">
        <v>6387</v>
      </c>
      <c r="B6353" s="5" t="s">
        <v>8220</v>
      </c>
      <c r="C6353" s="6" t="str">
        <f>_xll.QS.CONTEXT.CREATE("market.6351",A6353,"USD","SOFR")</f>
        <v>QSObject:PricingContext:w1~market.6351:7741</v>
      </c>
      <c r="D6353" s="6" t="str">
        <f>_xll.QS.CONTEXT.ADD.CURVE(C6353,"SOFR",$K$2:$K$7,$L$2:$L$7,,,"Actual360","LogLinear",TRUE)</f>
        <v>QSObject:ContextInput:w1~input.qs_context_add_curve.2359132437744.6352.3.0:34161</v>
      </c>
      <c r="E6353" s="6" t="str">
        <f>_xll.QS.INSTRUMENT.SWAP("swap.6351",H6353,B6353,"USD","SOFR",I6353,J6353,0,"Actual360","Simple","Annual","Annual","Annual")</f>
        <v>QSObject:Swap:w1~swap.6351:7740</v>
      </c>
      <c r="F6353" s="6" t="str">
        <f>_xll.QS.TRADE.CREATE("trade.6351",E6353,A6353,"Receive")</f>
        <v>QSObject:SwapTrade:w1~trade.6351:25541</v>
      </c>
      <c r="G6353" s="3">
        <f>_xll.QS.EVALUATE(C6353,F6353)</f>
        <v>23363.969623217286</v>
      </c>
      <c r="H6353" s="5" t="s">
        <v>6394</v>
      </c>
      <c r="I6353" s="7">
        <v>1635100</v>
      </c>
      <c r="J6353" s="8">
        <v>3.5100000000000013E-2</v>
      </c>
    </row>
    <row r="6354" spans="1:10" x14ac:dyDescent="0.25">
      <c r="A6354" s="5" t="s">
        <v>6388</v>
      </c>
      <c r="B6354" s="5" t="s">
        <v>8221</v>
      </c>
      <c r="C6354" s="6" t="str">
        <f>_xll.QS.CONTEXT.CREATE("market.6352",A6354,"USD","SOFR")</f>
        <v>QSObject:PricingContext:w1~market.6352:7739</v>
      </c>
      <c r="D6354" s="6" t="str">
        <f>_xll.QS.CONTEXT.ADD.CURVE(C6354,"SOFR",$K$2:$K$7,$L$2:$L$7,,,"Actual360","LogLinear",TRUE)</f>
        <v>QSObject:ContextInput:w1~input.qs_context_add_curve.2359132437744.6353.3.0:34160</v>
      </c>
      <c r="E6354" s="6" t="str">
        <f>_xll.QS.INSTRUMENT.SWAP("swap.6352",H6354,B6354,"USD","SOFR",I6354,J6354,0,"Actual360","Simple","Annual","Annual","Annual")</f>
        <v>QSObject:Swap:w1~swap.6352:7738</v>
      </c>
      <c r="F6354" s="6" t="str">
        <f>_xll.QS.TRADE.CREATE("trade.6352",E6354,A6354,"Receive")</f>
        <v>QSObject:SwapTrade:w1~trade.6352:25540</v>
      </c>
      <c r="G6354" s="3">
        <f>_xll.QS.EVALUATE(C6354,F6354)</f>
        <v>24133.793564385305</v>
      </c>
      <c r="H6354" s="5" t="s">
        <v>6395</v>
      </c>
      <c r="I6354" s="7">
        <v>1635200</v>
      </c>
      <c r="J6354" s="8">
        <v>3.5200000000000002E-2</v>
      </c>
    </row>
    <row r="6355" spans="1:10" x14ac:dyDescent="0.25">
      <c r="A6355" s="5" t="s">
        <v>6389</v>
      </c>
      <c r="B6355" s="5" t="s">
        <v>8222</v>
      </c>
      <c r="C6355" s="6" t="str">
        <f>_xll.QS.CONTEXT.CREATE("market.6353",A6355,"USD","SOFR")</f>
        <v>QSObject:PricingContext:w1~market.6353:7737</v>
      </c>
      <c r="D6355" s="6" t="str">
        <f>_xll.QS.CONTEXT.ADD.CURVE(C6355,"SOFR",$K$2:$K$7,$L$2:$L$7,,,"Actual360","LogLinear",TRUE)</f>
        <v>QSObject:ContextInput:w1~input.qs_context_add_curve.2359132437744.6354.3.0:34159</v>
      </c>
      <c r="E6355" s="6" t="str">
        <f>_xll.QS.INSTRUMENT.SWAP("swap.6353",H6355,B6355,"USD","SOFR",I6355,J6355,0,"Actual360","Simple","Annual","Annual","Annual")</f>
        <v>QSObject:Swap:w1~swap.6353:7736</v>
      </c>
      <c r="F6355" s="6" t="str">
        <f>_xll.QS.TRADE.CREATE("trade.6353",E6355,A6355,"Receive")</f>
        <v>QSObject:SwapTrade:w1~trade.6353:25539</v>
      </c>
      <c r="G6355" s="3">
        <f>_xll.QS.EVALUATE(C6355,F6355)</f>
        <v>24889.201626816044</v>
      </c>
      <c r="H6355" s="5" t="s">
        <v>6396</v>
      </c>
      <c r="I6355" s="7">
        <v>1635300</v>
      </c>
      <c r="J6355" s="8">
        <v>3.5299999999999998E-2</v>
      </c>
    </row>
    <row r="6356" spans="1:10" x14ac:dyDescent="0.25">
      <c r="A6356" s="5" t="s">
        <v>6390</v>
      </c>
      <c r="B6356" s="5" t="s">
        <v>8223</v>
      </c>
      <c r="C6356" s="6" t="str">
        <f>_xll.QS.CONTEXT.CREATE("market.6354",A6356,"USD","SOFR")</f>
        <v>QSObject:PricingContext:w1~market.6354:7735</v>
      </c>
      <c r="D6356" s="6" t="str">
        <f>_xll.QS.CONTEXT.ADD.CURVE(C6356,"SOFR",$K$2:$K$7,$L$2:$L$7,,,"Actual360","LogLinear",TRUE)</f>
        <v>QSObject:ContextInput:w1~input.qs_context_add_curve.2359132437744.6355.3.0:34158</v>
      </c>
      <c r="E6356" s="6" t="str">
        <f>_xll.QS.INSTRUMENT.SWAP("swap.6354",H6356,B6356,"USD","SOFR",I6356,J6356,0,"Actual360","Simple","Annual","Annual","Annual")</f>
        <v>QSObject:Swap:w1~swap.6354:7734</v>
      </c>
      <c r="F6356" s="6" t="str">
        <f>_xll.QS.TRADE.CREATE("trade.6354",E6356,A6356,"Receive")</f>
        <v>QSObject:SwapTrade:w1~trade.6354:25538</v>
      </c>
      <c r="G6356" s="3">
        <f>_xll.QS.EVALUATE(C6356,F6356)</f>
        <v>25447.07259580378</v>
      </c>
      <c r="H6356" s="5" t="s">
        <v>6397</v>
      </c>
      <c r="I6356" s="7">
        <v>1635400</v>
      </c>
      <c r="J6356" s="8">
        <v>3.5400000000000001E-2</v>
      </c>
    </row>
    <row r="6357" spans="1:10" x14ac:dyDescent="0.25">
      <c r="A6357" s="5" t="s">
        <v>6391</v>
      </c>
      <c r="B6357" s="5" t="s">
        <v>8224</v>
      </c>
      <c r="C6357" s="6" t="str">
        <f>_xll.QS.CONTEXT.CREATE("market.6355",A6357,"USD","SOFR")</f>
        <v>QSObject:PricingContext:w1~market.6355:7733</v>
      </c>
      <c r="D6357" s="6" t="str">
        <f>_xll.QS.CONTEXT.ADD.CURVE(C6357,"SOFR",$K$2:$K$7,$L$2:$L$7,,,"Actual360","LogLinear",TRUE)</f>
        <v>QSObject:ContextInput:w1~input.qs_context_add_curve.2359132437744.6356.3.0:34157</v>
      </c>
      <c r="E6357" s="6" t="str">
        <f>_xll.QS.INSTRUMENT.SWAP("swap.6355",H6357,B6357,"USD","SOFR",I6357,J6357,0,"Actual360","Simple","Annual","Annual","Annual")</f>
        <v>QSObject:Swap:w1~swap.6355:7732</v>
      </c>
      <c r="F6357" s="6" t="str">
        <f>_xll.QS.TRADE.CREATE("trade.6355",E6357,A6357,"Receive")</f>
        <v>QSObject:SwapTrade:w1~trade.6355:25537</v>
      </c>
      <c r="G6357" s="3">
        <f>_xll.QS.EVALUATE(C6357,F6357)</f>
        <v>26205.341656601289</v>
      </c>
      <c r="H6357" s="5" t="s">
        <v>6398</v>
      </c>
      <c r="I6357" s="7">
        <v>1635500</v>
      </c>
      <c r="J6357" s="8">
        <v>3.5499999999999997E-2</v>
      </c>
    </row>
    <row r="6358" spans="1:10" x14ac:dyDescent="0.25">
      <c r="A6358" s="5" t="s">
        <v>6392</v>
      </c>
      <c r="B6358" s="5" t="s">
        <v>8225</v>
      </c>
      <c r="C6358" s="6" t="str">
        <f>_xll.QS.CONTEXT.CREATE("market.6356",A6358,"USD","SOFR")</f>
        <v>QSObject:PricingContext:w1~market.6356:7731</v>
      </c>
      <c r="D6358" s="6" t="str">
        <f>_xll.QS.CONTEXT.ADD.CURVE(C6358,"SOFR",$K$2:$K$7,$L$2:$L$7,,,"Actual360","LogLinear",TRUE)</f>
        <v>QSObject:ContextInput:w1~input.qs_context_add_curve.2359132437744.6357.3.0:34156</v>
      </c>
      <c r="E6358" s="6" t="str">
        <f>_xll.QS.INSTRUMENT.SWAP("swap.6356",H6358,B6358,"USD","SOFR",I6358,J6358,0,"Actual360","Simple","Annual","Annual","Annual")</f>
        <v>QSObject:Swap:w1~swap.6356:7730</v>
      </c>
      <c r="F6358" s="6" t="str">
        <f>_xll.QS.TRADE.CREATE("trade.6356",E6358,A6358,"Receive")</f>
        <v>QSObject:SwapTrade:w1~trade.6356:25536</v>
      </c>
      <c r="G6358" s="3">
        <f>_xll.QS.EVALUATE(C6358,F6358)</f>
        <v>26963.354389801418</v>
      </c>
      <c r="H6358" s="5" t="s">
        <v>6399</v>
      </c>
      <c r="I6358" s="7">
        <v>1635600</v>
      </c>
      <c r="J6358" s="8">
        <v>3.5600000000000007E-2</v>
      </c>
    </row>
    <row r="6359" spans="1:10" x14ac:dyDescent="0.25">
      <c r="A6359" s="5" t="s">
        <v>6393</v>
      </c>
      <c r="B6359" s="5" t="s">
        <v>8226</v>
      </c>
      <c r="C6359" s="6" t="str">
        <f>_xll.QS.CONTEXT.CREATE("market.6357",A6359,"USD","SOFR")</f>
        <v>QSObject:PricingContext:w1~market.6357:7729</v>
      </c>
      <c r="D6359" s="6" t="str">
        <f>_xll.QS.CONTEXT.ADD.CURVE(C6359,"SOFR",$K$2:$K$7,$L$2:$L$7,,,"Actual360","LogLinear",TRUE)</f>
        <v>QSObject:ContextInput:w1~input.qs_context_add_curve.2359132437744.6358.3.0:34155</v>
      </c>
      <c r="E6359" s="6" t="str">
        <f>_xll.QS.INSTRUMENT.SWAP("swap.6357",H6359,B6359,"USD","SOFR",I6359,J6359,0,"Actual360","Simple","Annual","Annual","Annual")</f>
        <v>QSObject:Swap:w1~swap.6357:7728</v>
      </c>
      <c r="F6359" s="6" t="str">
        <f>_xll.QS.TRADE.CREATE("trade.6357",E6359,A6359,"Receive")</f>
        <v>QSObject:SwapTrade:w1~trade.6357:25535</v>
      </c>
      <c r="G6359" s="3">
        <f>_xll.QS.EVALUATE(C6359,F6359)</f>
        <v>27839.571088069388</v>
      </c>
      <c r="H6359" s="5" t="s">
        <v>6400</v>
      </c>
      <c r="I6359" s="7">
        <v>1635700</v>
      </c>
      <c r="J6359" s="8">
        <v>3.5700000000000003E-2</v>
      </c>
    </row>
    <row r="6360" spans="1:10" x14ac:dyDescent="0.25">
      <c r="A6360" s="5" t="s">
        <v>6394</v>
      </c>
      <c r="B6360" s="5" t="s">
        <v>8227</v>
      </c>
      <c r="C6360" s="6" t="str">
        <f>_xll.QS.CONTEXT.CREATE("market.6358",A6360,"USD","SOFR")</f>
        <v>QSObject:PricingContext:w1~market.6358:7727</v>
      </c>
      <c r="D6360" s="6" t="str">
        <f>_xll.QS.CONTEXT.ADD.CURVE(C6360,"SOFR",$K$2:$K$7,$L$2:$L$7,,,"Actual360","LogLinear",TRUE)</f>
        <v>QSObject:ContextInput:w1~input.qs_context_add_curve.2359132437744.6359.3.0:33500</v>
      </c>
      <c r="E6360" s="6" t="str">
        <f>_xll.QS.INSTRUMENT.SWAP("swap.6358",H6360,B6360,"USD","SOFR",I6360,J6360,0,"Actual360","Simple","Annual","Annual","Annual")</f>
        <v>QSObject:Swap:w1~swap.6358:7726</v>
      </c>
      <c r="F6360" s="6" t="str">
        <f>_xll.QS.TRADE.CREATE("trade.6358",E6360,A6360,"Receive")</f>
        <v>QSObject:SwapTrade:w1~trade.6358:25534</v>
      </c>
      <c r="G6360" s="3">
        <f>_xll.QS.EVALUATE(C6360,F6360)</f>
        <v>28596.142942446248</v>
      </c>
      <c r="H6360" s="5" t="s">
        <v>6401</v>
      </c>
      <c r="I6360" s="7">
        <v>1635800</v>
      </c>
      <c r="J6360" s="8">
        <v>3.5800000000000012E-2</v>
      </c>
    </row>
    <row r="6361" spans="1:10" x14ac:dyDescent="0.25">
      <c r="A6361" s="5" t="s">
        <v>6395</v>
      </c>
      <c r="B6361" s="5" t="s">
        <v>8228</v>
      </c>
      <c r="C6361" s="6" t="str">
        <f>_xll.QS.CONTEXT.CREATE("market.6359",A6361,"USD","SOFR")</f>
        <v>QSObject:PricingContext:w1~market.6359:7725</v>
      </c>
      <c r="D6361" s="6" t="str">
        <f>_xll.QS.CONTEXT.ADD.CURVE(C6361,"SOFR",$K$2:$K$7,$L$2:$L$7,,,"Actual360","LogLinear",TRUE)</f>
        <v>QSObject:ContextInput:w1~input.qs_context_add_curve.2359132437744.6360.3.0:33499</v>
      </c>
      <c r="E6361" s="6" t="str">
        <f>_xll.QS.INSTRUMENT.SWAP("swap.6359",H6361,B6361,"USD","SOFR",I6361,J6361,0,"Actual360","Simple","Annual","Annual","Annual")</f>
        <v>QSObject:Swap:w1~swap.6359:7724</v>
      </c>
      <c r="F6361" s="6" t="str">
        <f>_xll.QS.TRADE.CREATE("trade.6359",E6361,A6361,"Receive")</f>
        <v>QSObject:SwapTrade:w1~trade.6359:25533</v>
      </c>
      <c r="G6361" s="3">
        <f>_xll.QS.EVALUATE(C6361,F6361)</f>
        <v>29361.379318774707</v>
      </c>
      <c r="H6361" s="5" t="s">
        <v>6402</v>
      </c>
      <c r="I6361" s="7">
        <v>1635900</v>
      </c>
      <c r="J6361" s="8">
        <v>3.5900000000000001E-2</v>
      </c>
    </row>
    <row r="6362" spans="1:10" x14ac:dyDescent="0.25">
      <c r="A6362" s="5" t="s">
        <v>6396</v>
      </c>
      <c r="B6362" s="5" t="s">
        <v>8229</v>
      </c>
      <c r="C6362" s="6" t="str">
        <f>_xll.QS.CONTEXT.CREATE("market.6360",A6362,"USD","SOFR")</f>
        <v>QSObject:PricingContext:w1~market.6360:7723</v>
      </c>
      <c r="D6362" s="6" t="str">
        <f>_xll.QS.CONTEXT.ADD.CURVE(C6362,"SOFR",$K$2:$K$7,$L$2:$L$7,,,"Actual360","LogLinear",TRUE)</f>
        <v>QSObject:ContextInput:w1~input.qs_context_add_curve.2359132437744.6361.3.0:34076</v>
      </c>
      <c r="E6362" s="6" t="str">
        <f>_xll.QS.INSTRUMENT.SWAP("swap.6360",H6362,B6362,"USD","SOFR",I6362,J6362,0,"Actual360","Simple","Annual","Annual","Annual")</f>
        <v>QSObject:Swap:w1~swap.6360:7722</v>
      </c>
      <c r="F6362" s="6" t="str">
        <f>_xll.QS.TRADE.CREATE("trade.6360",E6362,A6362,"Receive")</f>
        <v>QSObject:SwapTrade:w1~trade.6360:25532</v>
      </c>
      <c r="G6362" s="3">
        <f>_xll.QS.EVALUATE(C6362,F6362)</f>
        <v>30119.301705116894</v>
      </c>
      <c r="H6362" s="5" t="s">
        <v>6403</v>
      </c>
      <c r="I6362" s="7">
        <v>1636000</v>
      </c>
      <c r="J6362" s="8">
        <v>3.5999999999999997E-2</v>
      </c>
    </row>
    <row r="6363" spans="1:10" x14ac:dyDescent="0.25">
      <c r="A6363" s="5" t="s">
        <v>6397</v>
      </c>
      <c r="B6363" s="5" t="s">
        <v>8230</v>
      </c>
      <c r="C6363" s="6" t="str">
        <f>_xll.QS.CONTEXT.CREATE("market.6361",A6363,"USD","SOFR")</f>
        <v>QSObject:PricingContext:w1~market.6361:7721</v>
      </c>
      <c r="D6363" s="6" t="str">
        <f>_xll.QS.CONTEXT.ADD.CURVE(C6363,"SOFR",$K$2:$K$7,$L$2:$L$7,,,"Actual360","LogLinear",TRUE)</f>
        <v>QSObject:ContextInput:w1~input.qs_context_add_curve.2359132437744.6362.3.0:34075</v>
      </c>
      <c r="E6363" s="6" t="str">
        <f>_xll.QS.INSTRUMENT.SWAP("swap.6361",H6363,B6363,"USD","SOFR",I6363,J6363,0,"Actual360","Simple","Annual","Annual","Annual")</f>
        <v>QSObject:Swap:w1~swap.6361:7720</v>
      </c>
      <c r="F6363" s="6" t="str">
        <f>_xll.QS.TRADE.CREATE("trade.6361",E6363,A6363,"Receive")</f>
        <v>QSObject:SwapTrade:w1~trade.6361:25531</v>
      </c>
      <c r="G6363" s="3">
        <f>_xll.QS.EVALUATE(C6363,F6363)</f>
        <v>30676.668209998301</v>
      </c>
      <c r="H6363" s="5" t="s">
        <v>6404</v>
      </c>
      <c r="I6363" s="7">
        <v>1636100</v>
      </c>
      <c r="J6363" s="8">
        <v>3.61E-2</v>
      </c>
    </row>
    <row r="6364" spans="1:10" x14ac:dyDescent="0.25">
      <c r="A6364" s="5" t="s">
        <v>6398</v>
      </c>
      <c r="B6364" s="5" t="s">
        <v>8231</v>
      </c>
      <c r="C6364" s="6" t="str">
        <f>_xll.QS.CONTEXT.CREATE("market.6362",A6364,"USD","SOFR")</f>
        <v>QSObject:PricingContext:w1~market.6362:7719</v>
      </c>
      <c r="D6364" s="6" t="str">
        <f>_xll.QS.CONTEXT.ADD.CURVE(C6364,"SOFR",$K$2:$K$7,$L$2:$L$7,,,"Actual360","LogLinear",TRUE)</f>
        <v>QSObject:ContextInput:w1~input.qs_context_add_curve.2359132437744.6363.3.0:32960</v>
      </c>
      <c r="E6364" s="6" t="str">
        <f>_xll.QS.INSTRUMENT.SWAP("swap.6362",H6364,B6364,"USD","SOFR",I6364,J6364,0,"Actual360","Simple","Annual","Annual","Annual")</f>
        <v>QSObject:Swap:w1~swap.6362:7718</v>
      </c>
      <c r="F6364" s="6" t="str">
        <f>_xll.QS.TRADE.CREATE("trade.6362",E6364,A6364,"Receive")</f>
        <v>QSObject:SwapTrade:w1~trade.6362:25530</v>
      </c>
      <c r="G6364" s="3">
        <f>_xll.QS.EVALUATE(C6364,F6364)</f>
        <v>31435.700337775153</v>
      </c>
      <c r="H6364" s="5" t="s">
        <v>6405</v>
      </c>
      <c r="I6364" s="7">
        <v>1636200</v>
      </c>
      <c r="J6364" s="8">
        <v>3.6200000000000003E-2</v>
      </c>
    </row>
    <row r="6365" spans="1:10" x14ac:dyDescent="0.25">
      <c r="A6365" s="5" t="s">
        <v>6399</v>
      </c>
      <c r="B6365" s="5" t="s">
        <v>8232</v>
      </c>
      <c r="C6365" s="6" t="str">
        <f>_xll.QS.CONTEXT.CREATE("market.6363",A6365,"USD","SOFR")</f>
        <v>QSObject:PricingContext:w1~market.6363:7717</v>
      </c>
      <c r="D6365" s="6" t="str">
        <f>_xll.QS.CONTEXT.ADD.CURVE(C6365,"SOFR",$K$2:$K$7,$L$2:$L$7,,,"Actual360","LogLinear",TRUE)</f>
        <v>QSObject:ContextInput:w1~input.qs_context_add_curve.2359132437744.6364.3.0:32959</v>
      </c>
      <c r="E6365" s="6" t="str">
        <f>_xll.QS.INSTRUMENT.SWAP("swap.6363",H6365,B6365,"USD","SOFR",I6365,J6365,0,"Actual360","Simple","Annual","Annual","Annual")</f>
        <v>QSObject:Swap:w1~swap.6363:7716</v>
      </c>
      <c r="F6365" s="6" t="str">
        <f>_xll.QS.TRADE.CREATE("trade.6363",E6365,A6365,"Receive")</f>
        <v>QSObject:SwapTrade:w1~trade.6363:25529</v>
      </c>
      <c r="G6365" s="3">
        <f>_xll.QS.EVALUATE(C6365,F6365)</f>
        <v>32260.352544580528</v>
      </c>
      <c r="H6365" s="5" t="s">
        <v>6406</v>
      </c>
      <c r="I6365" s="7">
        <v>1636300</v>
      </c>
      <c r="J6365" s="8">
        <v>3.6300000000000013E-2</v>
      </c>
    </row>
    <row r="6366" spans="1:10" x14ac:dyDescent="0.25">
      <c r="A6366" s="5" t="s">
        <v>6400</v>
      </c>
      <c r="B6366" s="5" t="s">
        <v>8233</v>
      </c>
      <c r="C6366" s="6" t="str">
        <f>_xll.QS.CONTEXT.CREATE("market.6364",A6366,"USD","SOFR")</f>
        <v>QSObject:PricingContext:w1~market.6364:7715</v>
      </c>
      <c r="D6366" s="6" t="str">
        <f>_xll.QS.CONTEXT.ADD.CURVE(C6366,"SOFR",$K$2:$K$7,$L$2:$L$7,,,"Actual360","LogLinear",TRUE)</f>
        <v>QSObject:ContextInput:w1~input.qs_context_add_curve.2359132437744.6365.3.0:34074</v>
      </c>
      <c r="E6366" s="6" t="str">
        <f>_xll.QS.INSTRUMENT.SWAP("swap.6364",H6366,B6366,"USD","SOFR",I6366,J6366,0,"Actual360","Simple","Annual","Annual","Annual")</f>
        <v>QSObject:Swap:w1~swap.6364:7714</v>
      </c>
      <c r="F6366" s="6" t="str">
        <f>_xll.QS.TRADE.CREATE("trade.6364",E6366,A6366,"Receive")</f>
        <v>QSObject:SwapTrade:w1~trade.6364:25528</v>
      </c>
      <c r="G6366" s="3">
        <f>_xll.QS.EVALUATE(C6366,F6366)</f>
        <v>33136.755750683733</v>
      </c>
      <c r="H6366" s="5" t="s">
        <v>6407</v>
      </c>
      <c r="I6366" s="7">
        <v>1636400</v>
      </c>
      <c r="J6366" s="8">
        <v>3.6400000000000002E-2</v>
      </c>
    </row>
    <row r="6367" spans="1:10" x14ac:dyDescent="0.25">
      <c r="A6367" s="5" t="s">
        <v>6401</v>
      </c>
      <c r="B6367" s="5" t="s">
        <v>8234</v>
      </c>
      <c r="C6367" s="6" t="str">
        <f>_xll.QS.CONTEXT.CREATE("market.6365",A6367,"USD","SOFR")</f>
        <v>QSObject:PricingContext:w1~market.6365:7713</v>
      </c>
      <c r="D6367" s="6" t="str">
        <f>_xll.QS.CONTEXT.ADD.CURVE(C6367,"SOFR",$K$2:$K$7,$L$2:$L$7,,,"Actual360","LogLinear",TRUE)</f>
        <v>QSObject:ContextInput:w1~input.qs_context_add_curve.2359132437744.6366.3.0:33498</v>
      </c>
      <c r="E6367" s="6" t="str">
        <f>_xll.QS.INSTRUMENT.SWAP("swap.6365",H6367,B6367,"USD","SOFR",I6367,J6367,0,"Actual360","Simple","Annual","Annual","Annual")</f>
        <v>QSObject:Swap:w1~swap.6365:7712</v>
      </c>
      <c r="F6367" s="6" t="str">
        <f>_xll.QS.TRADE.CREATE("trade.6365",E6367,A6367,"Receive")</f>
        <v>QSObject:SwapTrade:w1~trade.6365:25527</v>
      </c>
      <c r="G6367" s="3">
        <f>_xll.QS.EVALUATE(C6367,F6367)</f>
        <v>33893.576533260377</v>
      </c>
      <c r="H6367" s="5" t="s">
        <v>6408</v>
      </c>
      <c r="I6367" s="7">
        <v>1636500</v>
      </c>
      <c r="J6367" s="8">
        <v>3.6499999999999998E-2</v>
      </c>
    </row>
    <row r="6368" spans="1:10" x14ac:dyDescent="0.25">
      <c r="A6368" s="5" t="s">
        <v>6402</v>
      </c>
      <c r="B6368" s="5" t="s">
        <v>8235</v>
      </c>
      <c r="C6368" s="6" t="str">
        <f>_xll.QS.CONTEXT.CREATE("market.6366",A6368,"USD","SOFR")</f>
        <v>QSObject:PricingContext:w1~market.6366:7711</v>
      </c>
      <c r="D6368" s="6" t="str">
        <f>_xll.QS.CONTEXT.ADD.CURVE(C6368,"SOFR",$K$2:$K$7,$L$2:$L$7,,,"Actual360","LogLinear",TRUE)</f>
        <v>QSObject:ContextInput:w1~input.qs_context_add_curve.2359132437744.6367.3.0:34073</v>
      </c>
      <c r="E6368" s="6" t="str">
        <f>_xll.QS.INSTRUMENT.SWAP("swap.6366",H6368,B6368,"USD","SOFR",I6368,J6368,0,"Actual360","Simple","Annual","Annual","Annual")</f>
        <v>QSObject:Swap:w1~swap.6366:7710</v>
      </c>
      <c r="F6368" s="6" t="str">
        <f>_xll.QS.TRADE.CREATE("trade.6366",E6368,A6368,"Receive")</f>
        <v>QSObject:SwapTrade:w1~trade.6366:25526</v>
      </c>
      <c r="G6368" s="3">
        <f>_xll.QS.EVALUATE(C6368,F6368)</f>
        <v>34659.47730125107</v>
      </c>
      <c r="H6368" s="5" t="s">
        <v>6409</v>
      </c>
      <c r="I6368" s="7">
        <v>1636600</v>
      </c>
      <c r="J6368" s="8">
        <v>3.6600000000000001E-2</v>
      </c>
    </row>
    <row r="6369" spans="1:10" x14ac:dyDescent="0.25">
      <c r="A6369" s="5" t="s">
        <v>6403</v>
      </c>
      <c r="B6369" s="5" t="s">
        <v>8236</v>
      </c>
      <c r="C6369" s="6" t="str">
        <f>_xll.QS.CONTEXT.CREATE("market.6367",A6369,"USD","SOFR")</f>
        <v>QSObject:PricingContext:w1~market.6367:7709</v>
      </c>
      <c r="D6369" s="6" t="str">
        <f>_xll.QS.CONTEXT.ADD.CURVE(C6369,"SOFR",$K$2:$K$7,$L$2:$L$7,,,"Actual360","LogLinear",TRUE)</f>
        <v>QSObject:ContextInput:w1~input.qs_context_add_curve.2359132437744.6368.3.0:34072</v>
      </c>
      <c r="E6369" s="6" t="str">
        <f>_xll.QS.INSTRUMENT.SWAP("swap.6367",H6369,B6369,"USD","SOFR",I6369,J6369,0,"Actual360","Simple","Annual","Annual","Annual")</f>
        <v>QSObject:Swap:w1~swap.6367:7708</v>
      </c>
      <c r="F6369" s="6" t="str">
        <f>_xll.QS.TRADE.CREATE("trade.6367",E6369,A6369,"Receive")</f>
        <v>QSObject:SwapTrade:w1~trade.6367:25525</v>
      </c>
      <c r="G6369" s="3">
        <f>_xll.QS.EVALUATE(C6369,F6369)</f>
        <v>35418.06629258913</v>
      </c>
      <c r="H6369" s="5" t="s">
        <v>6410</v>
      </c>
      <c r="I6369" s="7">
        <v>1636700</v>
      </c>
      <c r="J6369" s="8">
        <v>3.6700000000000003E-2</v>
      </c>
    </row>
    <row r="6370" spans="1:10" x14ac:dyDescent="0.25">
      <c r="A6370" s="5" t="s">
        <v>6404</v>
      </c>
      <c r="B6370" s="5" t="s">
        <v>8237</v>
      </c>
      <c r="C6370" s="6" t="str">
        <f>_xll.QS.CONTEXT.CREATE("market.6368",A6370,"USD","SOFR")</f>
        <v>QSObject:PricingContext:w1~market.6368:7707</v>
      </c>
      <c r="D6370" s="6" t="str">
        <f>_xll.QS.CONTEXT.ADD.CURVE(C6370,"SOFR",$K$2:$K$7,$L$2:$L$7,,,"Actual360","LogLinear",TRUE)</f>
        <v>QSObject:ContextInput:w1~input.qs_context_add_curve.2359132437744.6369.3.0:34071</v>
      </c>
      <c r="E6370" s="6" t="str">
        <f>_xll.QS.INSTRUMENT.SWAP("swap.6368",H6370,B6370,"USD","SOFR",I6370,J6370,0,"Actual360","Simple","Annual","Annual","Annual")</f>
        <v>QSObject:Swap:w1~swap.6368:7706</v>
      </c>
      <c r="F6370" s="6" t="str">
        <f>_xll.QS.TRADE.CREATE("trade.6368",E6370,A6370,"Receive")</f>
        <v>QSObject:SwapTrade:w1~trade.6368:25524</v>
      </c>
      <c r="G6370" s="3">
        <f>_xll.QS.EVALUATE(C6370,F6370)</f>
        <v>35974.930186195488</v>
      </c>
      <c r="H6370" s="5" t="s">
        <v>6411</v>
      </c>
      <c r="I6370" s="7">
        <v>1636800</v>
      </c>
      <c r="J6370" s="8">
        <v>3.6800000000000013E-2</v>
      </c>
    </row>
    <row r="6371" spans="1:10" x14ac:dyDescent="0.25">
      <c r="A6371" s="5" t="s">
        <v>6405</v>
      </c>
      <c r="B6371" s="5" t="s">
        <v>8238</v>
      </c>
      <c r="C6371" s="6" t="str">
        <f>_xll.QS.CONTEXT.CREATE("market.6369",A6371,"USD","SOFR")</f>
        <v>QSObject:PricingContext:w1~market.6369:7705</v>
      </c>
      <c r="D6371" s="6" t="str">
        <f>_xll.QS.CONTEXT.ADD.CURVE(C6371,"SOFR",$K$2:$K$7,$L$2:$L$7,,,"Actual360","LogLinear",TRUE)</f>
        <v>QSObject:ContextInput:w1~input.qs_context_add_curve.2359132437744.6370.3.0:34070</v>
      </c>
      <c r="E6371" s="6" t="str">
        <f>_xll.QS.INSTRUMENT.SWAP("swap.6369",H6371,B6371,"USD","SOFR",I6371,J6371,0,"Actual360","Simple","Annual","Annual","Annual")</f>
        <v>QSObject:Swap:w1~swap.6369:7704</v>
      </c>
      <c r="F6371" s="6" t="str">
        <f>_xll.QS.TRADE.CREATE("trade.6369",E6371,A6371,"Receive")</f>
        <v>QSObject:SwapTrade:w1~trade.6369:25523</v>
      </c>
      <c r="G6371" s="3">
        <f>_xll.QS.EVALUATE(C6371,F6371)</f>
        <v>36735.052415618193</v>
      </c>
      <c r="H6371" s="5" t="s">
        <v>6412</v>
      </c>
      <c r="I6371" s="7">
        <v>1636900</v>
      </c>
      <c r="J6371" s="8">
        <v>3.6900000000000002E-2</v>
      </c>
    </row>
    <row r="6372" spans="1:10" x14ac:dyDescent="0.25">
      <c r="A6372" s="5" t="s">
        <v>6406</v>
      </c>
      <c r="B6372" s="5" t="s">
        <v>8239</v>
      </c>
      <c r="C6372" s="6" t="str">
        <f>_xll.QS.CONTEXT.CREATE("market.6370",A6372,"USD","SOFR")</f>
        <v>QSObject:PricingContext:w1~market.6370:7703</v>
      </c>
      <c r="D6372" s="6" t="str">
        <f>_xll.QS.CONTEXT.ADD.CURVE(C6372,"SOFR",$K$2:$K$7,$L$2:$L$7,,,"Actual360","LogLinear",TRUE)</f>
        <v>QSObject:ContextInput:w1~input.qs_context_add_curve.2359132437744.6371.3.0:33497</v>
      </c>
      <c r="E6372" s="6" t="str">
        <f>_xll.QS.INSTRUMENT.SWAP("swap.6370",H6372,B6372,"USD","SOFR",I6372,J6372,0,"Actual360","Simple","Annual","Annual","Annual")</f>
        <v>QSObject:Swap:w1~swap.6370:7702</v>
      </c>
      <c r="F6372" s="6" t="str">
        <f>_xll.QS.TRADE.CREATE("trade.6370",E6372,A6372,"Receive")</f>
        <v>QSObject:SwapTrade:w1~trade.6370:25522</v>
      </c>
      <c r="G6372" s="3">
        <f>_xll.QS.EVALUATE(C6372,F6372)</f>
        <v>37560.896646586836</v>
      </c>
      <c r="H6372" s="5" t="s">
        <v>6413</v>
      </c>
      <c r="I6372" s="7">
        <v>1637000</v>
      </c>
      <c r="J6372" s="8">
        <v>3.7000000000000012E-2</v>
      </c>
    </row>
    <row r="6373" spans="1:10" x14ac:dyDescent="0.25">
      <c r="A6373" s="5" t="s">
        <v>6407</v>
      </c>
      <c r="B6373" s="5" t="s">
        <v>8240</v>
      </c>
      <c r="C6373" s="6" t="str">
        <f>_xll.QS.CONTEXT.CREATE("market.6371",A6373,"USD","SOFR")</f>
        <v>QSObject:PricingContext:w1~market.6371:7701</v>
      </c>
      <c r="D6373" s="6" t="str">
        <f>_xll.QS.CONTEXT.ADD.CURVE(C6373,"SOFR",$K$2:$K$7,$L$2:$L$7,,,"Actual360","LogLinear",TRUE)</f>
        <v>QSObject:ContextInput:w1~input.qs_context_add_curve.2359132437744.6372.3.0:34069</v>
      </c>
      <c r="E6373" s="6" t="str">
        <f>_xll.QS.INSTRUMENT.SWAP("swap.6371",H6373,B6373,"USD","SOFR",I6373,J6373,0,"Actual360","Simple","Annual","Annual","Annual")</f>
        <v>QSObject:Swap:w1~swap.6371:7700</v>
      </c>
      <c r="F6373" s="6" t="str">
        <f>_xll.QS.TRADE.CREATE("trade.6371",E6373,A6373,"Receive")</f>
        <v>QSObject:SwapTrade:w1~trade.6371:25521</v>
      </c>
      <c r="G6373" s="3">
        <f>_xll.QS.EVALUATE(C6373,F6373)</f>
        <v>38438.075346722791</v>
      </c>
      <c r="H6373" s="5" t="s">
        <v>6414</v>
      </c>
      <c r="I6373" s="7">
        <v>1637100</v>
      </c>
      <c r="J6373" s="8">
        <v>3.7100000000000001E-2</v>
      </c>
    </row>
    <row r="6374" spans="1:10" x14ac:dyDescent="0.25">
      <c r="A6374" s="5" t="s">
        <v>6408</v>
      </c>
      <c r="B6374" s="5" t="s">
        <v>8241</v>
      </c>
      <c r="C6374" s="6" t="str">
        <f>_xll.QS.CONTEXT.CREATE("market.6372",A6374,"USD","SOFR")</f>
        <v>QSObject:PricingContext:w1~market.6372:7699</v>
      </c>
      <c r="D6374" s="6" t="str">
        <f>_xll.QS.CONTEXT.ADD.CURVE(C6374,"SOFR",$K$2:$K$7,$L$2:$L$7,,,"Actual360","LogLinear",TRUE)</f>
        <v>QSObject:ContextInput:w1~input.qs_context_add_curve.2359132437744.6373.3.0:32958</v>
      </c>
      <c r="E6374" s="6" t="str">
        <f>_xll.QS.INSTRUMENT.SWAP("swap.6372",H6374,B6374,"USD","SOFR",I6374,J6374,0,"Actual360","Simple","Annual","Annual","Annual")</f>
        <v>QSObject:Swap:w1~swap.6372:7698</v>
      </c>
      <c r="F6374" s="6" t="str">
        <f>_xll.QS.TRADE.CREATE("trade.6372",E6374,A6374,"Receive")</f>
        <v>QSObject:SwapTrade:w1~trade.6372:25520</v>
      </c>
      <c r="G6374" s="3">
        <f>_xll.QS.EVALUATE(C6374,F6374)</f>
        <v>39195.531526588355</v>
      </c>
      <c r="H6374" s="5" t="s">
        <v>6415</v>
      </c>
      <c r="I6374" s="7">
        <v>1637200</v>
      </c>
      <c r="J6374" s="8">
        <v>3.7199999999999997E-2</v>
      </c>
    </row>
    <row r="6375" spans="1:10" x14ac:dyDescent="0.25">
      <c r="A6375" s="5" t="s">
        <v>6409</v>
      </c>
      <c r="B6375" s="5" t="s">
        <v>8242</v>
      </c>
      <c r="C6375" s="6" t="str">
        <f>_xll.QS.CONTEXT.CREATE("market.6373",A6375,"USD","SOFR")</f>
        <v>QSObject:PricingContext:w1~market.6373:7697</v>
      </c>
      <c r="D6375" s="6" t="str">
        <f>_xll.QS.CONTEXT.ADD.CURVE(C6375,"SOFR",$K$2:$K$7,$L$2:$L$7,,,"Actual360","LogLinear",TRUE)</f>
        <v>QSObject:ContextInput:w1~input.qs_context_add_curve.2359132437744.6374.3.0:32957</v>
      </c>
      <c r="E6375" s="6" t="str">
        <f>_xll.QS.INSTRUMENT.SWAP("swap.6373",H6375,B6375,"USD","SOFR",I6375,J6375,0,"Actual360","Simple","Annual","Annual","Annual")</f>
        <v>QSObject:Swap:w1~swap.6373:7696</v>
      </c>
      <c r="F6375" s="6" t="str">
        <f>_xll.QS.TRADE.CREATE("trade.6373",E6375,A6375,"Receive")</f>
        <v>QSObject:SwapTrade:w1~trade.6373:25519</v>
      </c>
      <c r="G6375" s="3">
        <f>_xll.QS.EVALUATE(C6375,F6375)</f>
        <v>39962.096698849236</v>
      </c>
      <c r="H6375" s="5" t="s">
        <v>6416</v>
      </c>
      <c r="I6375" s="7">
        <v>1637300</v>
      </c>
      <c r="J6375" s="8">
        <v>3.73E-2</v>
      </c>
    </row>
    <row r="6376" spans="1:10" x14ac:dyDescent="0.25">
      <c r="A6376" s="5" t="s">
        <v>6410</v>
      </c>
      <c r="B6376" s="5" t="s">
        <v>8243</v>
      </c>
      <c r="C6376" s="6" t="str">
        <f>_xll.QS.CONTEXT.CREATE("market.6374",A6376,"USD","SOFR")</f>
        <v>QSObject:PricingContext:w1~market.6374:7695</v>
      </c>
      <c r="D6376" s="6" t="str">
        <f>_xll.QS.CONTEXT.ADD.CURVE(C6376,"SOFR",$K$2:$K$7,$L$2:$L$7,,,"Actual360","LogLinear",TRUE)</f>
        <v>QSObject:ContextInput:w1~input.qs_context_add_curve.2359132437744.6375.3.0:32956</v>
      </c>
      <c r="E6376" s="6" t="str">
        <f>_xll.QS.INSTRUMENT.SWAP("swap.6374",H6376,B6376,"USD","SOFR",I6376,J6376,0,"Actual360","Simple","Annual","Annual","Annual")</f>
        <v>QSObject:Swap:w1~swap.6374:7694</v>
      </c>
      <c r="F6376" s="6" t="str">
        <f>_xll.QS.TRADE.CREATE("trade.6374",E6376,A6376,"Receive")</f>
        <v>QSObject:SwapTrade:w1~trade.6374:25518</v>
      </c>
      <c r="G6376" s="3">
        <f>_xll.QS.EVALUATE(C6376,F6376)</f>
        <v>40721.352312393814</v>
      </c>
      <c r="H6376" s="5" t="s">
        <v>6417</v>
      </c>
      <c r="I6376" s="7">
        <v>1637400</v>
      </c>
      <c r="J6376" s="8">
        <v>3.7400000000000003E-2</v>
      </c>
    </row>
    <row r="6377" spans="1:10" x14ac:dyDescent="0.25">
      <c r="A6377" s="5" t="s">
        <v>6411</v>
      </c>
      <c r="B6377" s="5" t="s">
        <v>8244</v>
      </c>
      <c r="C6377" s="6" t="str">
        <f>_xll.QS.CONTEXT.CREATE("market.6375",A6377,"USD","SOFR")</f>
        <v>QSObject:PricingContext:w1~market.6375:7693</v>
      </c>
      <c r="D6377" s="6" t="str">
        <f>_xll.QS.CONTEXT.ADD.CURVE(C6377,"SOFR",$K$2:$K$7,$L$2:$L$7,,,"Actual360","LogLinear",TRUE)</f>
        <v>QSObject:ContextInput:w1~input.qs_context_add_curve.2359132437744.6376.3.0:34068</v>
      </c>
      <c r="E6377" s="6" t="str">
        <f>_xll.QS.INSTRUMENT.SWAP("swap.6375",H6377,B6377,"USD","SOFR",I6377,J6377,0,"Actual360","Simple","Annual","Annual","Annual")</f>
        <v>QSObject:Swap:w1~swap.6375:7692</v>
      </c>
      <c r="F6377" s="6" t="str">
        <f>_xll.QS.TRADE.CREATE("trade.6375",E6377,A6377,"Receive")</f>
        <v>QSObject:SwapTrade:w1~trade.6375:25517</v>
      </c>
      <c r="G6377" s="3">
        <f>_xll.QS.EVALUATE(C6377,F6377)</f>
        <v>41277.712685297098</v>
      </c>
      <c r="H6377" s="5" t="s">
        <v>6418</v>
      </c>
      <c r="I6377" s="7">
        <v>1637500</v>
      </c>
      <c r="J6377" s="8">
        <v>3.7500000000000012E-2</v>
      </c>
    </row>
    <row r="6378" spans="1:10" x14ac:dyDescent="0.25">
      <c r="A6378" s="5" t="s">
        <v>6412</v>
      </c>
      <c r="B6378" s="5" t="s">
        <v>8245</v>
      </c>
      <c r="C6378" s="6" t="str">
        <f>_xll.QS.CONTEXT.CREATE("market.6376",A6378,"USD","SOFR")</f>
        <v>QSObject:PricingContext:w1~market.6376:7691</v>
      </c>
      <c r="D6378" s="6" t="str">
        <f>_xll.QS.CONTEXT.ADD.CURVE(C6378,"SOFR",$K$2:$K$7,$L$2:$L$7,,,"Actual360","LogLinear",TRUE)</f>
        <v>QSObject:ContextInput:w1~input.qs_context_add_curve.2359132437744.6377.3.0:32955</v>
      </c>
      <c r="E6378" s="6" t="str">
        <f>_xll.QS.INSTRUMENT.SWAP("swap.6376",H6378,B6378,"USD","SOFR",I6378,J6378,0,"Actual360","Simple","Annual","Annual","Annual")</f>
        <v>QSObject:Swap:w1~swap.6376:7690</v>
      </c>
      <c r="F6378" s="6" t="str">
        <f>_xll.QS.TRADE.CREATE("trade.6376",E6378,A6378,"Receive")</f>
        <v>QSObject:SwapTrade:w1~trade.6376:25516</v>
      </c>
      <c r="G6378" s="3">
        <f>_xll.QS.EVALUATE(C6378,F6378)</f>
        <v>42038.92539549229</v>
      </c>
      <c r="H6378" s="5" t="s">
        <v>6419</v>
      </c>
      <c r="I6378" s="7">
        <v>1637600</v>
      </c>
      <c r="J6378" s="8">
        <v>3.7600000000000001E-2</v>
      </c>
    </row>
    <row r="6379" spans="1:10" x14ac:dyDescent="0.25">
      <c r="A6379" s="5" t="s">
        <v>6413</v>
      </c>
      <c r="B6379" s="5" t="s">
        <v>8246</v>
      </c>
      <c r="C6379" s="6" t="str">
        <f>_xll.QS.CONTEXT.CREATE("market.6377",A6379,"USD","SOFR")</f>
        <v>QSObject:PricingContext:w1~market.6377:7689</v>
      </c>
      <c r="D6379" s="6" t="str">
        <f>_xll.QS.CONTEXT.ADD.CURVE(C6379,"SOFR",$K$2:$K$7,$L$2:$L$7,,,"Actual360","LogLinear",TRUE)</f>
        <v>QSObject:ContextInput:w1~input.qs_context_add_curve.2359132437744.6378.3.0:33496</v>
      </c>
      <c r="E6379" s="6" t="str">
        <f>_xll.QS.INSTRUMENT.SWAP("swap.6377",H6379,B6379,"USD","SOFR",I6379,J6379,0,"Actual360","Simple","Annual","Annual","Annual")</f>
        <v>QSObject:Swap:w1~swap.6377:7688</v>
      </c>
      <c r="F6379" s="6" t="str">
        <f>_xll.QS.TRADE.CREATE("trade.6377",E6379,A6379,"Receive")</f>
        <v>QSObject:SwapTrade:w1~trade.6377:25515</v>
      </c>
      <c r="G6379" s="3">
        <f>_xll.QS.EVALUATE(C6379,F6379)</f>
        <v>42865.962092896305</v>
      </c>
      <c r="H6379" s="5" t="s">
        <v>6420</v>
      </c>
      <c r="I6379" s="7">
        <v>1637700</v>
      </c>
      <c r="J6379" s="8">
        <v>3.7699999999999997E-2</v>
      </c>
    </row>
    <row r="6380" spans="1:10" x14ac:dyDescent="0.25">
      <c r="A6380" s="5" t="s">
        <v>6414</v>
      </c>
      <c r="B6380" s="5" t="s">
        <v>8247</v>
      </c>
      <c r="C6380" s="6" t="str">
        <f>_xll.QS.CONTEXT.CREATE("market.6378",A6380,"USD","SOFR")</f>
        <v>QSObject:PricingContext:w1~market.6378:7687</v>
      </c>
      <c r="D6380" s="6" t="str">
        <f>_xll.QS.CONTEXT.ADD.CURVE(C6380,"SOFR",$K$2:$K$7,$L$2:$L$7,,,"Actual360","LogLinear",TRUE)</f>
        <v>QSObject:ContextInput:w1~input.qs_context_add_curve.2359132437744.6379.3.0:34067</v>
      </c>
      <c r="E6380" s="6" t="str">
        <f>_xll.QS.INSTRUMENT.SWAP("swap.6378",H6380,B6380,"USD","SOFR",I6380,J6380,0,"Actual360","Simple","Annual","Annual","Annual")</f>
        <v>QSObject:Swap:w1~swap.6378:7686</v>
      </c>
      <c r="F6380" s="6" t="str">
        <f>_xll.QS.TRADE.CREATE("trade.6378",E6380,A6380,"Receive")</f>
        <v>QSObject:SwapTrade:w1~trade.6378:25514</v>
      </c>
      <c r="G6380" s="3">
        <f>_xll.QS.EVALUATE(C6380,F6380)</f>
        <v>43743.916354184723</v>
      </c>
      <c r="H6380" s="5" t="s">
        <v>6421</v>
      </c>
      <c r="I6380" s="7">
        <v>1637800</v>
      </c>
      <c r="J6380" s="8">
        <v>3.78E-2</v>
      </c>
    </row>
    <row r="6381" spans="1:10" x14ac:dyDescent="0.25">
      <c r="A6381" s="5" t="s">
        <v>6415</v>
      </c>
      <c r="B6381" s="5" t="s">
        <v>8248</v>
      </c>
      <c r="C6381" s="6" t="str">
        <f>_xll.QS.CONTEXT.CREATE("market.6379",A6381,"USD","SOFR")</f>
        <v>QSObject:PricingContext:w1~market.6379:7685</v>
      </c>
      <c r="D6381" s="6" t="str">
        <f>_xll.QS.CONTEXT.ADD.CURVE(C6381,"SOFR",$K$2:$K$7,$L$2:$L$7,,,"Actual360","LogLinear",TRUE)</f>
        <v>QSObject:ContextInput:w1~input.qs_context_add_curve.2359132437744.6380.3.0:32954</v>
      </c>
      <c r="E6381" s="6" t="str">
        <f>_xll.QS.INSTRUMENT.SWAP("swap.6379",H6381,B6381,"USD","SOFR",I6381,J6381,0,"Actual360","Simple","Annual","Annual","Annual")</f>
        <v>QSObject:Swap:w1~swap.6379:7684</v>
      </c>
      <c r="F6381" s="6" t="str">
        <f>_xll.QS.TRADE.CREATE("trade.6379",E6381,A6381,"Receive")</f>
        <v>QSObject:SwapTrade:w1~trade.6379:25513</v>
      </c>
      <c r="G6381" s="3">
        <f>_xll.QS.EVALUATE(C6381,F6381)</f>
        <v>44502.007922430137</v>
      </c>
      <c r="H6381" s="5" t="s">
        <v>6422</v>
      </c>
      <c r="I6381" s="7">
        <v>1637900</v>
      </c>
      <c r="J6381" s="8">
        <v>3.7900000000000003E-2</v>
      </c>
    </row>
    <row r="6382" spans="1:10" x14ac:dyDescent="0.25">
      <c r="A6382" s="5" t="s">
        <v>6416</v>
      </c>
      <c r="B6382" s="5" t="s">
        <v>8249</v>
      </c>
      <c r="C6382" s="6" t="str">
        <f>_xll.QS.CONTEXT.CREATE("market.6380",A6382,"USD","SOFR")</f>
        <v>QSObject:PricingContext:w1~market.6380:7683</v>
      </c>
      <c r="D6382" s="6" t="str">
        <f>_xll.QS.CONTEXT.ADD.CURVE(C6382,"SOFR",$K$2:$K$7,$L$2:$L$7,,,"Actual360","LogLinear",TRUE)</f>
        <v>QSObject:ContextInput:w1~input.qs_context_add_curve.2359132437744.6381.3.0:34066</v>
      </c>
      <c r="E6382" s="6" t="str">
        <f>_xll.QS.INSTRUMENT.SWAP("swap.6380",H6382,B6382,"USD","SOFR",I6382,J6382,0,"Actual360","Simple","Annual","Annual","Annual")</f>
        <v>QSObject:Swap:w1~swap.6380:7682</v>
      </c>
      <c r="F6382" s="6" t="str">
        <f>_xll.QS.TRADE.CREATE("trade.6380",E6382,A6382,"Receive")</f>
        <v>QSObject:SwapTrade:w1~trade.6380:25512</v>
      </c>
      <c r="G6382" s="3">
        <f>_xll.QS.EVALUATE(C6382,F6382)</f>
        <v>45269.237511568797</v>
      </c>
      <c r="H6382" s="5" t="s">
        <v>6423</v>
      </c>
      <c r="I6382" s="7">
        <v>1638000</v>
      </c>
      <c r="J6382" s="8">
        <v>3.8000000000000013E-2</v>
      </c>
    </row>
    <row r="6383" spans="1:10" x14ac:dyDescent="0.25">
      <c r="A6383" s="5" t="s">
        <v>6417</v>
      </c>
      <c r="B6383" s="5" t="s">
        <v>8250</v>
      </c>
      <c r="C6383" s="6" t="str">
        <f>_xll.QS.CONTEXT.CREATE("market.6381",A6383,"USD","SOFR")</f>
        <v>QSObject:PricingContext:w1~market.6381:7681</v>
      </c>
      <c r="D6383" s="6" t="str">
        <f>_xll.QS.CONTEXT.ADD.CURVE(C6383,"SOFR",$K$2:$K$7,$L$2:$L$7,,,"Actual360","LogLinear",TRUE)</f>
        <v>QSObject:ContextInput:w1~input.qs_context_add_curve.2359132437744.6382.3.0:34065</v>
      </c>
      <c r="E6383" s="6" t="str">
        <f>_xll.QS.INSTRUMENT.SWAP("swap.6381",H6383,B6383,"USD","SOFR",I6383,J6383,0,"Actual360","Simple","Annual","Annual","Annual")</f>
        <v>QSObject:Swap:w1~swap.6381:7680</v>
      </c>
      <c r="F6383" s="6" t="str">
        <f>_xll.QS.TRADE.CREATE("trade.6381",E6383,A6383,"Receive")</f>
        <v>QSObject:SwapTrade:w1~trade.6381:25511</v>
      </c>
      <c r="G6383" s="3">
        <f>_xll.QS.EVALUATE(C6383,F6383)</f>
        <v>46029.159764530297</v>
      </c>
      <c r="H6383" s="5" t="s">
        <v>6424</v>
      </c>
      <c r="I6383" s="7">
        <v>1638100</v>
      </c>
      <c r="J6383" s="8">
        <v>3.8100000000000002E-2</v>
      </c>
    </row>
    <row r="6384" spans="1:10" x14ac:dyDescent="0.25">
      <c r="A6384" s="5" t="s">
        <v>6418</v>
      </c>
      <c r="B6384" s="5" t="s">
        <v>8251</v>
      </c>
      <c r="C6384" s="6" t="str">
        <f>_xll.QS.CONTEXT.CREATE("market.6382",A6384,"USD","SOFR")</f>
        <v>QSObject:PricingContext:w1~market.6382:7679</v>
      </c>
      <c r="D6384" s="6" t="str">
        <f>_xll.QS.CONTEXT.ADD.CURVE(C6384,"SOFR",$K$2:$K$7,$L$2:$L$7,,,"Actual360","LogLinear",TRUE)</f>
        <v>QSObject:ContextInput:w1~input.qs_context_add_curve.2359132437744.6383.3.0:34064</v>
      </c>
      <c r="E6384" s="6" t="str">
        <f>_xll.QS.INSTRUMENT.SWAP("swap.6382",H6384,B6384,"USD","SOFR",I6384,J6384,0,"Actual360","Simple","Annual","Annual","Annual")</f>
        <v>QSObject:Swap:w1~swap.6382:7678</v>
      </c>
      <c r="F6384" s="6" t="str">
        <f>_xll.QS.TRADE.CREATE("trade.6382",E6384,A6384,"Receive")</f>
        <v>QSObject:SwapTrade:w1~trade.6382:25510</v>
      </c>
      <c r="G6384" s="3">
        <f>_xll.QS.EVALUATE(C6384,F6384)</f>
        <v>46791.365284814347</v>
      </c>
      <c r="H6384" s="5" t="s">
        <v>6425</v>
      </c>
      <c r="I6384" s="7">
        <v>1638200</v>
      </c>
      <c r="J6384" s="8">
        <v>3.8199999999999998E-2</v>
      </c>
    </row>
    <row r="6385" spans="1:10" x14ac:dyDescent="0.25">
      <c r="A6385" s="5" t="s">
        <v>6419</v>
      </c>
      <c r="B6385" s="5" t="s">
        <v>8252</v>
      </c>
      <c r="C6385" s="6" t="str">
        <f>_xll.QS.CONTEXT.CREATE("market.6383",A6385,"USD","SOFR")</f>
        <v>QSObject:PricingContext:w1~market.6383:7677</v>
      </c>
      <c r="D6385" s="6" t="str">
        <f>_xll.QS.CONTEXT.ADD.CURVE(C6385,"SOFR",$K$2:$K$7,$L$2:$L$7,,,"Actual360","LogLinear",TRUE)</f>
        <v>QSObject:ContextInput:w1~input.qs_context_add_curve.2359132437744.6384.3.0:34063</v>
      </c>
      <c r="E6385" s="6" t="str">
        <f>_xll.QS.INSTRUMENT.SWAP("swap.6383",H6385,B6385,"USD","SOFR",I6385,J6385,0,"Actual360","Simple","Annual","Annual","Annual")</f>
        <v>QSObject:Swap:w1~swap.6383:7676</v>
      </c>
      <c r="F6385" s="6" t="str">
        <f>_xll.QS.TRADE.CREATE("trade.6383",E6385,A6385,"Receive")</f>
        <v>QSObject:SwapTrade:w1~trade.6383:25509</v>
      </c>
      <c r="G6385" s="3">
        <f>_xll.QS.EVALUATE(C6385,F6385)</f>
        <v>47347.31927739727</v>
      </c>
      <c r="H6385" s="5" t="s">
        <v>6426</v>
      </c>
      <c r="I6385" s="7">
        <v>1638300</v>
      </c>
      <c r="J6385" s="8">
        <v>3.8300000000000001E-2</v>
      </c>
    </row>
    <row r="6386" spans="1:10" x14ac:dyDescent="0.25">
      <c r="A6386" s="5" t="s">
        <v>6420</v>
      </c>
      <c r="B6386" s="5" t="s">
        <v>8253</v>
      </c>
      <c r="C6386" s="6" t="str">
        <f>_xll.QS.CONTEXT.CREATE("market.6384",A6386,"USD","SOFR")</f>
        <v>QSObject:PricingContext:w1~market.6384:7675</v>
      </c>
      <c r="D6386" s="6" t="str">
        <f>_xll.QS.CONTEXT.ADD.CURVE(C6386,"SOFR",$K$2:$K$7,$L$2:$L$7,,,"Actual360","LogLinear",TRUE)</f>
        <v>QSObject:ContextInput:w1~input.qs_context_add_curve.2359132437744.6385.3.0:34062</v>
      </c>
      <c r="E6386" s="6" t="str">
        <f>_xll.QS.INSTRUMENT.SWAP("swap.6384",H6386,B6386,"USD","SOFR",I6386,J6386,0,"Actual360","Simple","Annual","Annual","Annual")</f>
        <v>QSObject:Swap:w1~swap.6384:7674</v>
      </c>
      <c r="F6386" s="6" t="str">
        <f>_xll.QS.TRADE.CREATE("trade.6384",E6386,A6386,"Receive")</f>
        <v>QSObject:SwapTrade:w1~trade.6384:25508</v>
      </c>
      <c r="G6386" s="3">
        <f>_xll.QS.EVALUATE(C6386,F6386)</f>
        <v>48175.436870799887</v>
      </c>
      <c r="H6386" s="5" t="s">
        <v>6427</v>
      </c>
      <c r="I6386" s="7">
        <v>1638400</v>
      </c>
      <c r="J6386" s="8">
        <v>3.8399999999999997E-2</v>
      </c>
    </row>
    <row r="6387" spans="1:10" x14ac:dyDescent="0.25">
      <c r="A6387" s="5" t="s">
        <v>6421</v>
      </c>
      <c r="B6387" s="5" t="s">
        <v>8254</v>
      </c>
      <c r="C6387" s="6" t="str">
        <f>_xll.QS.CONTEXT.CREATE("market.6385",A6387,"USD","SOFR")</f>
        <v>QSObject:PricingContext:w1~market.6385:7673</v>
      </c>
      <c r="D6387" s="6" t="str">
        <f>_xll.QS.CONTEXT.ADD.CURVE(C6387,"SOFR",$K$2:$K$7,$L$2:$L$7,,,"Actual360","LogLinear",TRUE)</f>
        <v>QSObject:ContextInput:w1~input.qs_context_add_curve.2359132437744.6386.3.0:34061</v>
      </c>
      <c r="E6387" s="6" t="str">
        <f>_xll.QS.INSTRUMENT.SWAP("swap.6385",H6387,B6387,"USD","SOFR",I6387,J6387,0,"Actual360","Simple","Annual","Annual","Annual")</f>
        <v>QSObject:Swap:w1~swap.6385:7672</v>
      </c>
      <c r="F6387" s="6" t="str">
        <f>_xll.QS.TRADE.CREATE("trade.6385",E6387,A6387,"Receive")</f>
        <v>QSObject:SwapTrade:w1~trade.6385:25507</v>
      </c>
      <c r="G6387" s="3">
        <f>_xll.QS.EVALUATE(C6387,F6387)</f>
        <v>49053.835246794966</v>
      </c>
      <c r="H6387" s="5" t="s">
        <v>6428</v>
      </c>
      <c r="I6387" s="7">
        <v>1638500</v>
      </c>
      <c r="J6387" s="8">
        <v>3.8500000000000013E-2</v>
      </c>
    </row>
    <row r="6388" spans="1:10" x14ac:dyDescent="0.25">
      <c r="A6388" s="5" t="s">
        <v>6422</v>
      </c>
      <c r="B6388" s="5" t="s">
        <v>8255</v>
      </c>
      <c r="C6388" s="6" t="str">
        <f>_xll.QS.CONTEXT.CREATE("market.6386",A6388,"USD","SOFR")</f>
        <v>QSObject:PricingContext:w1~market.6386:7671</v>
      </c>
      <c r="D6388" s="6" t="str">
        <f>_xll.QS.CONTEXT.ADD.CURVE(C6388,"SOFR",$K$2:$K$7,$L$2:$L$7,,,"Actual360","LogLinear",TRUE)</f>
        <v>QSObject:ContextInput:w1~input.qs_context_add_curve.2359132437744.6387.3.0:34060</v>
      </c>
      <c r="E6388" s="6" t="str">
        <f>_xll.QS.INSTRUMENT.SWAP("swap.6386",H6388,B6388,"USD","SOFR",I6388,J6388,0,"Actual360","Simple","Annual","Annual","Annual")</f>
        <v>QSObject:Swap:w1~swap.6386:7670</v>
      </c>
      <c r="F6388" s="6" t="str">
        <f>_xll.QS.TRADE.CREATE("trade.6386",E6388,A6388,"Receive")</f>
        <v>QSObject:SwapTrade:w1~trade.6386:25506</v>
      </c>
      <c r="G6388" s="3">
        <f>_xll.QS.EVALUATE(C6388,F6388)</f>
        <v>49743.638201227259</v>
      </c>
      <c r="H6388" s="5" t="s">
        <v>6429</v>
      </c>
      <c r="I6388" s="7">
        <v>1638600</v>
      </c>
      <c r="J6388" s="8">
        <v>3.8600000000000002E-2</v>
      </c>
    </row>
    <row r="6389" spans="1:10" x14ac:dyDescent="0.25">
      <c r="A6389" s="5" t="s">
        <v>6423</v>
      </c>
      <c r="B6389" s="5" t="s">
        <v>8256</v>
      </c>
      <c r="C6389" s="6" t="str">
        <f>_xll.QS.CONTEXT.CREATE("market.6387",A6389,"USD","SOFR")</f>
        <v>QSObject:PricingContext:w1~market.6387:7669</v>
      </c>
      <c r="D6389" s="6" t="str">
        <f>_xll.QS.CONTEXT.ADD.CURVE(C6389,"SOFR",$K$2:$K$7,$L$2:$L$7,,,"Actual360","LogLinear",TRUE)</f>
        <v>QSObject:ContextInput:w1~input.qs_context_add_curve.2359132437744.6388.3.0:34059</v>
      </c>
      <c r="E6389" s="6" t="str">
        <f>_xll.QS.INSTRUMENT.SWAP("swap.6387",H6389,B6389,"USD","SOFR",I6389,J6389,0,"Actual360","Simple","Annual","Annual","Annual")</f>
        <v>QSObject:Swap:w1~swap.6387:7668</v>
      </c>
      <c r="F6389" s="6" t="str">
        <f>_xll.QS.TRADE.CREATE("trade.6387",E6389,A6389,"Receive")</f>
        <v>QSObject:SwapTrade:w1~trade.6387:25505</v>
      </c>
      <c r="G6389" s="3">
        <f>_xll.QS.EVALUATE(C6389,F6389)</f>
        <v>50642.678108017535</v>
      </c>
      <c r="H6389" s="5" t="s">
        <v>6430</v>
      </c>
      <c r="I6389" s="7">
        <v>1638700</v>
      </c>
      <c r="J6389" s="8">
        <v>3.8700000000000012E-2</v>
      </c>
    </row>
    <row r="6390" spans="1:10" x14ac:dyDescent="0.25">
      <c r="A6390" s="5" t="s">
        <v>6424</v>
      </c>
      <c r="B6390" s="5" t="s">
        <v>8257</v>
      </c>
      <c r="C6390" s="6" t="str">
        <f>_xll.QS.CONTEXT.CREATE("market.6388",A6390,"USD","SOFR")</f>
        <v>QSObject:PricingContext:w1~market.6388:7667</v>
      </c>
      <c r="D6390" s="6" t="str">
        <f>_xll.QS.CONTEXT.ADD.CURVE(C6390,"SOFR",$K$2:$K$7,$L$2:$L$7,,,"Actual360","LogLinear",TRUE)</f>
        <v>QSObject:ContextInput:w1~input.qs_context_add_curve.2359132437744.6389.3.0:34058</v>
      </c>
      <c r="E6390" s="6" t="str">
        <f>_xll.QS.INSTRUMENT.SWAP("swap.6388",H6390,B6390,"USD","SOFR",I6390,J6390,0,"Actual360","Simple","Annual","Annual","Annual")</f>
        <v>QSObject:Swap:w1~swap.6388:7666</v>
      </c>
      <c r="F6390" s="6" t="str">
        <f>_xll.QS.TRADE.CREATE("trade.6388",E6390,A6390,"Receive")</f>
        <v>QSObject:SwapTrade:w1~trade.6388:25504</v>
      </c>
      <c r="G6390" s="3">
        <f>_xll.QS.EVALUATE(C6390,F6390)</f>
        <v>51403.407535310558</v>
      </c>
      <c r="H6390" s="5" t="s">
        <v>6431</v>
      </c>
      <c r="I6390" s="7">
        <v>1638800</v>
      </c>
      <c r="J6390" s="8">
        <v>3.8800000000000001E-2</v>
      </c>
    </row>
    <row r="6391" spans="1:10" x14ac:dyDescent="0.25">
      <c r="A6391" s="5" t="s">
        <v>6425</v>
      </c>
      <c r="B6391" s="5" t="s">
        <v>8258</v>
      </c>
      <c r="C6391" s="6" t="str">
        <f>_xll.QS.CONTEXT.CREATE("market.6389",A6391,"USD","SOFR")</f>
        <v>QSObject:PricingContext:w1~market.6389:7665</v>
      </c>
      <c r="D6391" s="6" t="str">
        <f>_xll.QS.CONTEXT.ADD.CURVE(C6391,"SOFR",$K$2:$K$7,$L$2:$L$7,,,"Actual360","LogLinear",TRUE)</f>
        <v>QSObject:ContextInput:w1~input.qs_context_add_curve.2359132437744.6390.3.0:34057</v>
      </c>
      <c r="E6391" s="6" t="str">
        <f>_xll.QS.INSTRUMENT.SWAP("swap.6389",H6391,B6391,"USD","SOFR",I6391,J6391,0,"Actual360","Simple","Annual","Annual","Annual")</f>
        <v>QSObject:Swap:w1~swap.6389:7664</v>
      </c>
      <c r="F6391" s="6" t="str">
        <f>_xll.QS.TRADE.CREATE("trade.6389",E6391,A6391,"Receive")</f>
        <v>QSObject:SwapTrade:w1~trade.6389:25503</v>
      </c>
      <c r="G6391" s="3">
        <f>_xll.QS.EVALUATE(C6391,F6391)</f>
        <v>51958.652761547542</v>
      </c>
      <c r="H6391" s="5" t="s">
        <v>6432</v>
      </c>
      <c r="I6391" s="7">
        <v>1638900</v>
      </c>
      <c r="J6391" s="8">
        <v>3.8899999999999997E-2</v>
      </c>
    </row>
    <row r="6392" spans="1:10" x14ac:dyDescent="0.25">
      <c r="A6392" s="5" t="s">
        <v>6426</v>
      </c>
      <c r="B6392" s="5" t="s">
        <v>8259</v>
      </c>
      <c r="C6392" s="6" t="str">
        <f>_xll.QS.CONTEXT.CREATE("market.6390",A6392,"USD","SOFR")</f>
        <v>QSObject:PricingContext:w1~market.6390:7663</v>
      </c>
      <c r="D6392" s="6" t="str">
        <f>_xll.QS.CONTEXT.ADD.CURVE(C6392,"SOFR",$K$2:$K$7,$L$2:$L$7,,,"Actual360","LogLinear",TRUE)</f>
        <v>QSObject:ContextInput:w1~input.qs_context_add_curve.2359132437744.6391.3.0:34056</v>
      </c>
      <c r="E6392" s="6" t="str">
        <f>_xll.QS.INSTRUMENT.SWAP("swap.6390",H6392,B6392,"USD","SOFR",I6392,J6392,0,"Actual360","Simple","Annual","Annual","Annual")</f>
        <v>QSObject:Swap:w1~swap.6390:7662</v>
      </c>
      <c r="F6392" s="6" t="str">
        <f>_xll.QS.TRADE.CREATE("trade.6390",E6392,A6392,"Receive")</f>
        <v>QSObject:SwapTrade:w1~trade.6390:25502</v>
      </c>
      <c r="G6392" s="3">
        <f>_xll.QS.EVALUATE(C6392,F6392)</f>
        <v>52722.234137615545</v>
      </c>
      <c r="H6392" s="5" t="s">
        <v>6433</v>
      </c>
      <c r="I6392" s="7">
        <v>1639000</v>
      </c>
      <c r="J6392" s="8">
        <v>3.9000000000000007E-2</v>
      </c>
    </row>
    <row r="6393" spans="1:10" x14ac:dyDescent="0.25">
      <c r="A6393" s="5" t="s">
        <v>6427</v>
      </c>
      <c r="B6393" s="5" t="s">
        <v>8260</v>
      </c>
      <c r="C6393" s="6" t="str">
        <f>_xll.QS.CONTEXT.CREATE("market.6391",A6393,"USD","SOFR")</f>
        <v>QSObject:PricingContext:w1~market.6391:7661</v>
      </c>
      <c r="D6393" s="6" t="str">
        <f>_xll.QS.CONTEXT.ADD.CURVE(C6393,"SOFR",$K$2:$K$7,$L$2:$L$7,,,"Actual360","LogLinear",TRUE)</f>
        <v>QSObject:ContextInput:w1~input.qs_context_add_curve.2359132437744.6392.3.0:34055</v>
      </c>
      <c r="E6393" s="6" t="str">
        <f>_xll.QS.INSTRUMENT.SWAP("swap.6391",H6393,B6393,"USD","SOFR",I6393,J6393,0,"Actual360","Simple","Annual","Annual","Annual")</f>
        <v>QSObject:Swap:w1~swap.6391:7660</v>
      </c>
      <c r="F6393" s="6" t="str">
        <f>_xll.QS.TRADE.CREATE("trade.6391",E6393,A6393,"Receive")</f>
        <v>QSObject:SwapTrade:w1~trade.6391:25501</v>
      </c>
      <c r="G6393" s="3">
        <f>_xll.QS.EVALUATE(C6393,F6393)</f>
        <v>53675.091371488692</v>
      </c>
      <c r="H6393" s="5" t="s">
        <v>6434</v>
      </c>
      <c r="I6393" s="7">
        <v>1639100</v>
      </c>
      <c r="J6393" s="8">
        <v>3.9100000000000003E-2</v>
      </c>
    </row>
    <row r="6394" spans="1:10" x14ac:dyDescent="0.25">
      <c r="A6394" s="5" t="s">
        <v>6428</v>
      </c>
      <c r="B6394" s="5" t="s">
        <v>8261</v>
      </c>
      <c r="C6394" s="6" t="str">
        <f>_xll.QS.CONTEXT.CREATE("market.6392",A6394,"USD","SOFR")</f>
        <v>QSObject:PricingContext:w1~market.6392:7659</v>
      </c>
      <c r="D6394" s="6" t="str">
        <f>_xll.QS.CONTEXT.ADD.CURVE(C6394,"SOFR",$K$2:$K$7,$L$2:$L$7,,,"Actual360","LogLinear",TRUE)</f>
        <v>QSObject:ContextInput:w1~input.qs_context_add_curve.2359132437744.6393.3.0:34054</v>
      </c>
      <c r="E6394" s="6" t="str">
        <f>_xll.QS.INSTRUMENT.SWAP("swap.6392",H6394,B6394,"USD","SOFR",I6394,J6394,0,"Actual360","Simple","Annual","Annual","Annual")</f>
        <v>QSObject:Swap:w1~swap.6392:7658</v>
      </c>
      <c r="F6394" s="6" t="str">
        <f>_xll.QS.TRADE.CREATE("trade.6392",E6394,A6394,"Receive")</f>
        <v>QSObject:SwapTrade:w1~trade.6392:25500</v>
      </c>
      <c r="G6394" s="3">
        <f>_xll.QS.EVALUATE(C6394,F6394)</f>
        <v>54434.244213193604</v>
      </c>
      <c r="H6394" s="5" t="s">
        <v>6435</v>
      </c>
      <c r="I6394" s="7">
        <v>1639200</v>
      </c>
      <c r="J6394" s="8">
        <v>3.9200000000000013E-2</v>
      </c>
    </row>
    <row r="6395" spans="1:10" x14ac:dyDescent="0.25">
      <c r="A6395" s="5" t="s">
        <v>6429</v>
      </c>
      <c r="B6395" s="5" t="s">
        <v>8262</v>
      </c>
      <c r="C6395" s="6" t="str">
        <f>_xll.QS.CONTEXT.CREATE("market.6393",A6395,"USD","SOFR")</f>
        <v>QSObject:PricingContext:w1~market.6393:7657</v>
      </c>
      <c r="D6395" s="6" t="str">
        <f>_xll.QS.CONTEXT.ADD.CURVE(C6395,"SOFR",$K$2:$K$7,$L$2:$L$7,,,"Actual360","LogLinear",TRUE)</f>
        <v>QSObject:ContextInput:w1~input.qs_context_add_curve.2359132437744.6394.3.0:34053</v>
      </c>
      <c r="E6395" s="6" t="str">
        <f>_xll.QS.INSTRUMENT.SWAP("swap.6393",H6395,B6395,"USD","SOFR",I6395,J6395,0,"Actual360","Simple","Annual","Annual","Annual")</f>
        <v>QSObject:Swap:w1~swap.6393:7656</v>
      </c>
      <c r="F6395" s="6" t="str">
        <f>_xll.QS.TRADE.CREATE("trade.6393",E6395,A6395,"Receive")</f>
        <v>QSObject:SwapTrade:w1~trade.6393:25499</v>
      </c>
      <c r="G6395" s="3">
        <f>_xll.QS.EVALUATE(C6395,F6395)</f>
        <v>55128.524921655291</v>
      </c>
      <c r="H6395" s="5" t="s">
        <v>6436</v>
      </c>
      <c r="I6395" s="7">
        <v>1639300</v>
      </c>
      <c r="J6395" s="8">
        <v>3.9300000000000002E-2</v>
      </c>
    </row>
    <row r="6396" spans="1:10" x14ac:dyDescent="0.25">
      <c r="A6396" s="5" t="s">
        <v>6430</v>
      </c>
      <c r="B6396" s="5" t="s">
        <v>8263</v>
      </c>
      <c r="C6396" s="6" t="str">
        <f>_xll.QS.CONTEXT.CREATE("market.6394",A6396,"USD","SOFR")</f>
        <v>QSObject:PricingContext:w1~market.6394:7655</v>
      </c>
      <c r="D6396" s="6" t="str">
        <f>_xll.QS.CONTEXT.ADD.CURVE(C6396,"SOFR",$K$2:$K$7,$L$2:$L$7,,,"Actual360","LogLinear",TRUE)</f>
        <v>QSObject:ContextInput:w1~input.qs_context_add_curve.2359132437744.6395.3.0:34052</v>
      </c>
      <c r="E6396" s="6" t="str">
        <f>_xll.QS.INSTRUMENT.SWAP("swap.6394",H6396,B6396,"USD","SOFR",I6396,J6396,0,"Actual360","Simple","Annual","Annual","Annual")</f>
        <v>QSObject:Swap:w1~swap.6394:7654</v>
      </c>
      <c r="F6396" s="6" t="str">
        <f>_xll.QS.TRADE.CREATE("trade.6394",E6396,A6396,"Receive")</f>
        <v>QSObject:SwapTrade:w1~trade.6394:25498</v>
      </c>
      <c r="G6396" s="3">
        <f>_xll.QS.EVALUATE(C6396,F6396)</f>
        <v>55897.083382372854</v>
      </c>
      <c r="H6396" s="5" t="s">
        <v>6437</v>
      </c>
      <c r="I6396" s="7">
        <v>1639400</v>
      </c>
      <c r="J6396" s="8">
        <v>3.9399999999999998E-2</v>
      </c>
    </row>
    <row r="6397" spans="1:10" x14ac:dyDescent="0.25">
      <c r="A6397" s="5" t="s">
        <v>6431</v>
      </c>
      <c r="B6397" s="5" t="s">
        <v>8264</v>
      </c>
      <c r="C6397" s="6" t="str">
        <f>_xll.QS.CONTEXT.CREATE("market.6395",A6397,"USD","SOFR")</f>
        <v>QSObject:PricingContext:w1~market.6395:7653</v>
      </c>
      <c r="D6397" s="6" t="str">
        <f>_xll.QS.CONTEXT.ADD.CURVE(C6397,"SOFR",$K$2:$K$7,$L$2:$L$7,,,"Actual360","LogLinear",TRUE)</f>
        <v>QSObject:ContextInput:w1~input.qs_context_add_curve.2359132437744.6396.3.0:34051</v>
      </c>
      <c r="E6397" s="6" t="str">
        <f>_xll.QS.INSTRUMENT.SWAP("swap.6395",H6397,B6397,"USD","SOFR",I6397,J6397,0,"Actual360","Simple","Annual","Annual","Annual")</f>
        <v>QSObject:Swap:w1~swap.6395:7652</v>
      </c>
      <c r="F6397" s="6" t="str">
        <f>_xll.QS.TRADE.CREATE("trade.6395",E6397,A6397,"Receive")</f>
        <v>QSObject:SwapTrade:w1~trade.6395:25497</v>
      </c>
      <c r="G6397" s="3">
        <f>_xll.QS.EVALUATE(C6397,F6397)</f>
        <v>56658.338965800125</v>
      </c>
      <c r="H6397" s="5" t="s">
        <v>6438</v>
      </c>
      <c r="I6397" s="7">
        <v>1639500</v>
      </c>
      <c r="J6397" s="8">
        <v>3.9500000000000007E-2</v>
      </c>
    </row>
    <row r="6398" spans="1:10" x14ac:dyDescent="0.25">
      <c r="A6398" s="5" t="s">
        <v>6432</v>
      </c>
      <c r="B6398" s="5" t="s">
        <v>8265</v>
      </c>
      <c r="C6398" s="6" t="str">
        <f>_xll.QS.CONTEXT.CREATE("market.6396",A6398,"USD","SOFR")</f>
        <v>QSObject:PricingContext:w1~market.6396:7651</v>
      </c>
      <c r="D6398" s="6" t="str">
        <f>_xll.QS.CONTEXT.ADD.CURVE(C6398,"SOFR",$K$2:$K$7,$L$2:$L$7,,,"Actual360","LogLinear",TRUE)</f>
        <v>QSObject:ContextInput:w1~input.qs_context_add_curve.2359132437744.6397.3.0:34050</v>
      </c>
      <c r="E6398" s="6" t="str">
        <f>_xll.QS.INSTRUMENT.SWAP("swap.6396",H6398,B6398,"USD","SOFR",I6398,J6398,0,"Actual360","Simple","Annual","Annual","Annual")</f>
        <v>QSObject:Swap:w1~swap.6396:7650</v>
      </c>
      <c r="F6398" s="6" t="str">
        <f>_xll.QS.TRADE.CREATE("trade.6396",E6398,A6398,"Receive")</f>
        <v>QSObject:SwapTrade:w1~trade.6396:25496</v>
      </c>
      <c r="G6398" s="3">
        <f>_xll.QS.EVALUATE(C6398,F6398)</f>
        <v>57213.183320031218</v>
      </c>
      <c r="H6398" s="5" t="s">
        <v>6439</v>
      </c>
      <c r="I6398" s="7">
        <v>1639600</v>
      </c>
      <c r="J6398" s="8">
        <v>3.9600000000000003E-2</v>
      </c>
    </row>
    <row r="6399" spans="1:10" x14ac:dyDescent="0.25">
      <c r="A6399" s="5" t="s">
        <v>6433</v>
      </c>
      <c r="B6399" s="5" t="s">
        <v>8266</v>
      </c>
      <c r="C6399" s="6" t="str">
        <f>_xll.QS.CONTEXT.CREATE("market.6397",A6399,"USD","SOFR")</f>
        <v>QSObject:PricingContext:w1~market.6397:7649</v>
      </c>
      <c r="D6399" s="6" t="str">
        <f>_xll.QS.CONTEXT.ADD.CURVE(C6399,"SOFR",$K$2:$K$7,$L$2:$L$7,,,"Actual360","LogLinear",TRUE)</f>
        <v>QSObject:ContextInput:w1~input.qs_context_add_curve.2359132437744.6398.3.0:34049</v>
      </c>
      <c r="E6399" s="6" t="str">
        <f>_xll.QS.INSTRUMENT.SWAP("swap.6397",H6399,B6399,"USD","SOFR",I6399,J6399,0,"Actual360","Simple","Annual","Annual","Annual")</f>
        <v>QSObject:Swap:w1~swap.6397:7648</v>
      </c>
      <c r="F6399" s="6" t="str">
        <f>_xll.QS.TRADE.CREATE("trade.6397",E6399,A6399,"Receive")</f>
        <v>QSObject:SwapTrade:w1~trade.6397:25495</v>
      </c>
      <c r="G6399" s="3">
        <f>_xll.QS.EVALUATE(C6399,F6399)</f>
        <v>57977.669747300497</v>
      </c>
      <c r="H6399" s="5" t="s">
        <v>6440</v>
      </c>
      <c r="I6399" s="7">
        <v>1639700</v>
      </c>
      <c r="J6399" s="8">
        <v>3.9700000000000013E-2</v>
      </c>
    </row>
    <row r="6400" spans="1:10" x14ac:dyDescent="0.25">
      <c r="A6400" s="5" t="s">
        <v>6434</v>
      </c>
      <c r="B6400" s="5" t="s">
        <v>8267</v>
      </c>
      <c r="C6400" s="6" t="str">
        <f>_xll.QS.CONTEXT.CREATE("market.6398",A6400,"USD","SOFR")</f>
        <v>QSObject:PricingContext:w1~market.6398:7647</v>
      </c>
      <c r="D6400" s="6" t="str">
        <f>_xll.QS.CONTEXT.ADD.CURVE(C6400,"SOFR",$K$2:$K$7,$L$2:$L$7,,,"Actual360","LogLinear",TRUE)</f>
        <v>QSObject:ContextInput:w1~input.qs_context_add_curve.2359132437744.6399.3.0:34048</v>
      </c>
      <c r="E6400" s="6" t="str">
        <f>_xll.QS.INSTRUMENT.SWAP("swap.6398",H6400,B6400,"USD","SOFR",I6400,J6400,0,"Actual360","Simple","Annual","Annual","Annual")</f>
        <v>QSObject:Swap:w1~swap.6398:7646</v>
      </c>
      <c r="F6400" s="6" t="str">
        <f>_xll.QS.TRADE.CREATE("trade.6398",E6400,A6400,"Receive")</f>
        <v>QSObject:SwapTrade:w1~trade.6398:25494</v>
      </c>
      <c r="G6400" s="3">
        <f>_xll.QS.EVALUATE(C6400,F6400)</f>
        <v>58808.286497645771</v>
      </c>
      <c r="H6400" s="5" t="s">
        <v>6441</v>
      </c>
      <c r="I6400" s="7">
        <v>1639800</v>
      </c>
      <c r="J6400" s="8">
        <v>3.9800000000000002E-2</v>
      </c>
    </row>
    <row r="6401" spans="1:10" x14ac:dyDescent="0.25">
      <c r="A6401" s="5" t="s">
        <v>6435</v>
      </c>
      <c r="B6401" s="5" t="s">
        <v>8268</v>
      </c>
      <c r="C6401" s="6" t="str">
        <f>_xll.QS.CONTEXT.CREATE("market.6399",A6401,"USD","SOFR")</f>
        <v>QSObject:PricingContext:w1~market.6399:7645</v>
      </c>
      <c r="D6401" s="6" t="str">
        <f>_xll.QS.CONTEXT.ADD.CURVE(C6401,"SOFR",$K$2:$K$7,$L$2:$L$7,,,"Actual360","LogLinear",TRUE)</f>
        <v>QSObject:ContextInput:w1~input.qs_context_add_curve.2359132437744.6400.3.0:34047</v>
      </c>
      <c r="E6401" s="6" t="str">
        <f>_xll.QS.INSTRUMENT.SWAP("swap.6399",H6401,B6401,"USD","SOFR",I6401,J6401,0,"Actual360","Simple","Annual","Annual","Annual")</f>
        <v>QSObject:Swap:w1~swap.6399:7644</v>
      </c>
      <c r="F6401" s="6" t="str">
        <f>_xll.QS.TRADE.CREATE("trade.6399",E6401,A6401,"Receive")</f>
        <v>QSObject:SwapTrade:w1~trade.6399:25493</v>
      </c>
      <c r="G6401" s="3">
        <f>_xll.QS.EVALUATE(C6401,F6401)</f>
        <v>59688.567845108693</v>
      </c>
      <c r="H6401" s="5" t="s">
        <v>6442</v>
      </c>
      <c r="I6401" s="7">
        <v>1639900</v>
      </c>
      <c r="J6401" s="8">
        <v>3.9899999999999998E-2</v>
      </c>
    </row>
    <row r="6402" spans="1:10" x14ac:dyDescent="0.25">
      <c r="A6402" s="5" t="s">
        <v>6436</v>
      </c>
      <c r="B6402" s="5" t="s">
        <v>8269</v>
      </c>
      <c r="C6402" s="6" t="str">
        <f>_xll.QS.CONTEXT.CREATE("market.6400",A6402,"USD","SOFR")</f>
        <v>QSObject:PricingContext:w1~market.6400:7643</v>
      </c>
      <c r="D6402" s="6" t="str">
        <f>_xll.QS.CONTEXT.ADD.CURVE(C6402,"SOFR",$K$2:$K$7,$L$2:$L$7,,,"Actual360","LogLinear",TRUE)</f>
        <v>QSObject:ContextInput:w1~input.qs_context_add_curve.2359132437744.6401.3.0:34046</v>
      </c>
      <c r="E6402" s="6" t="str">
        <f>_xll.QS.INSTRUMENT.SWAP("swap.6400",H6402,B6402,"USD","SOFR",I6402,J6402,0,"Actual360","Simple","Annual","Annual","Annual")</f>
        <v>QSObject:Swap:w1~swap.6400:7642</v>
      </c>
      <c r="F6402" s="6" t="str">
        <f>_xll.QS.TRADE.CREATE("trade.6400",E6402,A6402,"Receive")</f>
        <v>QSObject:SwapTrade:w1~trade.6400:25492</v>
      </c>
      <c r="G6402" s="3">
        <f>_xll.QS.EVALUATE(C6402,F6402)</f>
        <v>22616.422041839432</v>
      </c>
      <c r="H6402" s="5" t="s">
        <v>6443</v>
      </c>
      <c r="I6402" s="7">
        <v>1640000</v>
      </c>
      <c r="J6402" s="8">
        <v>3.5000000000000003E-2</v>
      </c>
    </row>
    <row r="6403" spans="1:10" x14ac:dyDescent="0.25">
      <c r="A6403" s="5" t="s">
        <v>6437</v>
      </c>
      <c r="B6403" s="5" t="s">
        <v>8270</v>
      </c>
      <c r="C6403" s="6" t="str">
        <f>_xll.QS.CONTEXT.CREATE("market.6401",A6403,"USD","SOFR")</f>
        <v>QSObject:PricingContext:w1~market.6401:7641</v>
      </c>
      <c r="D6403" s="6" t="str">
        <f>_xll.QS.CONTEXT.ADD.CURVE(C6403,"SOFR",$K$2:$K$7,$L$2:$L$7,,,"Actual360","LogLinear",TRUE)</f>
        <v>QSObject:ContextInput:w1~input.qs_context_add_curve.2359132437744.6402.3.0:34045</v>
      </c>
      <c r="E6403" s="6" t="str">
        <f>_xll.QS.INSTRUMENT.SWAP("swap.6401",H6403,B6403,"USD","SOFR",I6403,J6403,0,"Actual360","Simple","Annual","Annual","Annual")</f>
        <v>QSObject:Swap:w1~swap.6401:7640</v>
      </c>
      <c r="F6403" s="6" t="str">
        <f>_xll.QS.TRADE.CREATE("trade.6401",E6403,A6403,"Receive")</f>
        <v>QSObject:SwapTrade:w1~trade.6401:25491</v>
      </c>
      <c r="G6403" s="3">
        <f>_xll.QS.EVALUATE(C6403,F6403)</f>
        <v>23383.23261926831</v>
      </c>
      <c r="H6403" s="5" t="s">
        <v>6444</v>
      </c>
      <c r="I6403" s="7">
        <v>1640100</v>
      </c>
      <c r="J6403" s="8">
        <v>3.5100000000000013E-2</v>
      </c>
    </row>
    <row r="6404" spans="1:10" x14ac:dyDescent="0.25">
      <c r="A6404" s="5" t="s">
        <v>6438</v>
      </c>
      <c r="B6404" s="5" t="s">
        <v>8271</v>
      </c>
      <c r="C6404" s="6" t="str">
        <f>_xll.QS.CONTEXT.CREATE("market.6402",A6404,"USD","SOFR")</f>
        <v>QSObject:PricingContext:w1~market.6402:7639</v>
      </c>
      <c r="D6404" s="6" t="str">
        <f>_xll.QS.CONTEXT.ADD.CURVE(C6404,"SOFR",$K$2:$K$7,$L$2:$L$7,,,"Actual360","LogLinear",TRUE)</f>
        <v>QSObject:ContextInput:w1~input.qs_context_add_curve.2359132437744.6403.3.0:34044</v>
      </c>
      <c r="E6404" s="6" t="str">
        <f>_xll.QS.INSTRUMENT.SWAP("swap.6402",H6404,B6404,"USD","SOFR",I6404,J6404,0,"Actual360","Simple","Annual","Annual","Annual")</f>
        <v>QSObject:Swap:w1~swap.6402:7638</v>
      </c>
      <c r="F6404" s="6" t="str">
        <f>_xll.QS.TRADE.CREATE("trade.6402",E6404,A6404,"Receive")</f>
        <v>QSObject:SwapTrade:w1~trade.6402:25490</v>
      </c>
      <c r="G6404" s="3">
        <f>_xll.QS.EVALUATE(C6404,F6404)</f>
        <v>24142.704025491636</v>
      </c>
      <c r="H6404" s="5" t="s">
        <v>6445</v>
      </c>
      <c r="I6404" s="7">
        <v>1640200</v>
      </c>
      <c r="J6404" s="8">
        <v>3.5200000000000002E-2</v>
      </c>
    </row>
    <row r="6405" spans="1:10" x14ac:dyDescent="0.25">
      <c r="A6405" s="5" t="s">
        <v>6439</v>
      </c>
      <c r="B6405" s="5" t="s">
        <v>8272</v>
      </c>
      <c r="C6405" s="6" t="str">
        <f>_xll.QS.CONTEXT.CREATE("market.6403",A6405,"USD","SOFR")</f>
        <v>QSObject:PricingContext:w1~market.6403:7637</v>
      </c>
      <c r="D6405" s="6" t="str">
        <f>_xll.QS.CONTEXT.ADD.CURVE(C6405,"SOFR",$K$2:$K$7,$L$2:$L$7,,,"Actual360","LogLinear",TRUE)</f>
        <v>QSObject:ContextInput:w1~input.qs_context_add_curve.2359132437744.6404.3.0:34043</v>
      </c>
      <c r="E6405" s="6" t="str">
        <f>_xll.QS.INSTRUMENT.SWAP("swap.6403",H6405,B6405,"USD","SOFR",I6405,J6405,0,"Actual360","Simple","Annual","Annual","Annual")</f>
        <v>QSObject:Swap:w1~swap.6403:7636</v>
      </c>
      <c r="F6405" s="6" t="str">
        <f>_xll.QS.TRADE.CREATE("trade.6403",E6405,A6405,"Receive")</f>
        <v>QSObject:SwapTrade:w1~trade.6403:25489</v>
      </c>
      <c r="G6405" s="3">
        <f>_xll.QS.EVALUATE(C6405,F6405)</f>
        <v>24702.345254084867</v>
      </c>
      <c r="H6405" s="5" t="s">
        <v>6446</v>
      </c>
      <c r="I6405" s="7">
        <v>1640300</v>
      </c>
      <c r="J6405" s="8">
        <v>3.5299999999999998E-2</v>
      </c>
    </row>
    <row r="6406" spans="1:10" x14ac:dyDescent="0.25">
      <c r="A6406" s="5" t="s">
        <v>6440</v>
      </c>
      <c r="B6406" s="5" t="s">
        <v>8273</v>
      </c>
      <c r="C6406" s="6" t="str">
        <f>_xll.QS.CONTEXT.CREATE("market.6404",A6406,"USD","SOFR")</f>
        <v>QSObject:PricingContext:w1~market.6404:7635</v>
      </c>
      <c r="D6406" s="6" t="str">
        <f>_xll.QS.CONTEXT.ADD.CURVE(C6406,"SOFR",$K$2:$K$7,$L$2:$L$7,,,"Actual360","LogLinear",TRUE)</f>
        <v>QSObject:ContextInput:w1~input.qs_context_add_curve.2359132437744.6405.3.0:34042</v>
      </c>
      <c r="E6406" s="6" t="str">
        <f>_xll.QS.INSTRUMENT.SWAP("swap.6404",H6406,B6406,"USD","SOFR",I6406,J6406,0,"Actual360","Simple","Annual","Annual","Annual")</f>
        <v>QSObject:Swap:w1~swap.6404:7634</v>
      </c>
      <c r="F6406" s="6" t="str">
        <f>_xll.QS.TRADE.CREATE("trade.6404",E6406,A6406,"Receive")</f>
        <v>QSObject:SwapTrade:w1~trade.6404:25488</v>
      </c>
      <c r="G6406" s="3">
        <f>_xll.QS.EVALUATE(C6406,F6406)</f>
        <v>25462.444235274932</v>
      </c>
      <c r="H6406" s="5" t="s">
        <v>6447</v>
      </c>
      <c r="I6406" s="7">
        <v>1640400</v>
      </c>
      <c r="J6406" s="8">
        <v>3.5400000000000001E-2</v>
      </c>
    </row>
    <row r="6407" spans="1:10" x14ac:dyDescent="0.25">
      <c r="A6407" s="5" t="s">
        <v>6441</v>
      </c>
      <c r="B6407" s="5" t="s">
        <v>8274</v>
      </c>
      <c r="C6407" s="6" t="str">
        <f>_xll.QS.CONTEXT.CREATE("market.6405",A6407,"USD","SOFR")</f>
        <v>QSObject:PricingContext:w1~market.6405:7633</v>
      </c>
      <c r="D6407" s="6" t="str">
        <f>_xll.QS.CONTEXT.ADD.CURVE(C6407,"SOFR",$K$2:$K$7,$L$2:$L$7,,,"Actual360","LogLinear",TRUE)</f>
        <v>QSObject:ContextInput:w1~input.qs_context_add_curve.2359132437744.6406.3.0:34041</v>
      </c>
      <c r="E6407" s="6" t="str">
        <f>_xll.QS.INSTRUMENT.SWAP("swap.6405",H6407,B6407,"USD","SOFR",I6407,J6407,0,"Actual360","Simple","Annual","Annual","Annual")</f>
        <v>QSObject:Swap:w1~swap.6405:7632</v>
      </c>
      <c r="F6407" s="6" t="str">
        <f>_xll.QS.TRADE.CREATE("trade.6405",E6407,A6407,"Receive")</f>
        <v>QSObject:SwapTrade:w1~trade.6405:25487</v>
      </c>
      <c r="G6407" s="3">
        <f>_xll.QS.EVALUATE(C6407,F6407)</f>
        <v>26288.246862989094</v>
      </c>
      <c r="H6407" s="5" t="s">
        <v>6448</v>
      </c>
      <c r="I6407" s="7">
        <v>1640500</v>
      </c>
      <c r="J6407" s="8">
        <v>3.5499999999999997E-2</v>
      </c>
    </row>
    <row r="6408" spans="1:10" x14ac:dyDescent="0.25">
      <c r="A6408" s="5" t="s">
        <v>6442</v>
      </c>
      <c r="B6408" s="5" t="s">
        <v>8275</v>
      </c>
      <c r="C6408" s="6" t="str">
        <f>_xll.QS.CONTEXT.CREATE("market.6406",A6408,"USD","SOFR")</f>
        <v>QSObject:PricingContext:w1~market.6406:7631</v>
      </c>
      <c r="D6408" s="6" t="str">
        <f>_xll.QS.CONTEXT.ADD.CURVE(C6408,"SOFR",$K$2:$K$7,$L$2:$L$7,,,"Actual360","LogLinear",TRUE)</f>
        <v>QSObject:ContextInput:w1~input.qs_context_add_curve.2359132437744.6407.3.0:34040</v>
      </c>
      <c r="E6408" s="6" t="str">
        <f>_xll.QS.INSTRUMENT.SWAP("swap.6406",H6408,B6408,"USD","SOFR",I6408,J6408,0,"Actual360","Simple","Annual","Annual","Annual")</f>
        <v>QSObject:Swap:w1~swap.6406:7630</v>
      </c>
      <c r="F6408" s="6" t="str">
        <f>_xll.QS.TRADE.CREATE("trade.6406",E6408,A6408,"Receive")</f>
        <v>QSObject:SwapTrade:w1~trade.6406:25486</v>
      </c>
      <c r="G6408" s="3">
        <f>_xll.QS.EVALUATE(C6408,F6408)</f>
        <v>27166.435413581261</v>
      </c>
      <c r="H6408" s="5" t="s">
        <v>6449</v>
      </c>
      <c r="I6408" s="7">
        <v>1640600</v>
      </c>
      <c r="J6408" s="8">
        <v>3.5600000000000007E-2</v>
      </c>
    </row>
    <row r="6409" spans="1:10" x14ac:dyDescent="0.25">
      <c r="A6409" s="5" t="s">
        <v>6443</v>
      </c>
      <c r="B6409" s="5" t="s">
        <v>8276</v>
      </c>
      <c r="C6409" s="6" t="str">
        <f>_xll.QS.CONTEXT.CREATE("market.6407",A6409,"USD","SOFR")</f>
        <v>QSObject:PricingContext:w1~market.6407:7629</v>
      </c>
      <c r="D6409" s="6" t="str">
        <f>_xll.QS.CONTEXT.ADD.CURVE(C6409,"SOFR",$K$2:$K$7,$L$2:$L$7,,,"Actual360","LogLinear",TRUE)</f>
        <v>QSObject:ContextInput:w1~input.qs_context_add_curve.2359132437744.6408.3.0:34039</v>
      </c>
      <c r="E6409" s="6" t="str">
        <f>_xll.QS.INSTRUMENT.SWAP("swap.6407",H6409,B6409,"USD","SOFR",I6409,J6409,0,"Actual360","Simple","Annual","Annual","Annual")</f>
        <v>QSObject:Swap:w1~swap.6407:7628</v>
      </c>
      <c r="F6409" s="6" t="str">
        <f>_xll.QS.TRADE.CREATE("trade.6407",E6409,A6409,"Receive")</f>
        <v>QSObject:SwapTrade:w1~trade.6407:25485</v>
      </c>
      <c r="G6409" s="3">
        <f>_xll.QS.EVALUATE(C6409,F6409)</f>
        <v>27924.836181615785</v>
      </c>
      <c r="H6409" s="5" t="s">
        <v>6450</v>
      </c>
      <c r="I6409" s="7">
        <v>1640700</v>
      </c>
      <c r="J6409" s="8">
        <v>3.5700000000000003E-2</v>
      </c>
    </row>
    <row r="6410" spans="1:10" x14ac:dyDescent="0.25">
      <c r="A6410" s="5" t="s">
        <v>6444</v>
      </c>
      <c r="B6410" s="5" t="s">
        <v>8277</v>
      </c>
      <c r="C6410" s="6" t="str">
        <f>_xll.QS.CONTEXT.CREATE("market.6408",A6410,"USD","SOFR")</f>
        <v>QSObject:PricingContext:w1~market.6408:7627</v>
      </c>
      <c r="D6410" s="6" t="str">
        <f>_xll.QS.CONTEXT.ADD.CURVE(C6410,"SOFR",$K$2:$K$7,$L$2:$L$7,,,"Actual360","LogLinear",TRUE)</f>
        <v>QSObject:ContextInput:w1~input.qs_context_add_curve.2359132437744.6409.3.0:34038</v>
      </c>
      <c r="E6410" s="6" t="str">
        <f>_xll.QS.INSTRUMENT.SWAP("swap.6408",H6410,B6410,"USD","SOFR",I6410,J6410,0,"Actual360","Simple","Annual","Annual","Annual")</f>
        <v>QSObject:Swap:w1~swap.6408:7626</v>
      </c>
      <c r="F6410" s="6" t="str">
        <f>_xll.QS.TRADE.CREATE("trade.6408",E6410,A6410,"Receive")</f>
        <v>QSObject:SwapTrade:w1~trade.6408:25484</v>
      </c>
      <c r="G6410" s="3">
        <f>_xll.QS.EVALUATE(C6410,F6410)</f>
        <v>28692.3111813258</v>
      </c>
      <c r="H6410" s="5" t="s">
        <v>6451</v>
      </c>
      <c r="I6410" s="7">
        <v>1640800</v>
      </c>
      <c r="J6410" s="8">
        <v>3.5800000000000012E-2</v>
      </c>
    </row>
    <row r="6411" spans="1:10" x14ac:dyDescent="0.25">
      <c r="A6411" s="5" t="s">
        <v>6445</v>
      </c>
      <c r="B6411" s="5" t="s">
        <v>8278</v>
      </c>
      <c r="C6411" s="6" t="str">
        <f>_xll.QS.CONTEXT.CREATE("market.6409",A6411,"USD","SOFR")</f>
        <v>QSObject:PricingContext:w1~market.6409:7625</v>
      </c>
      <c r="D6411" s="6" t="str">
        <f>_xll.QS.CONTEXT.ADD.CURVE(C6411,"SOFR",$K$2:$K$7,$L$2:$L$7,,,"Actual360","LogLinear",TRUE)</f>
        <v>QSObject:ContextInput:w1~input.qs_context_add_curve.2359132437744.6410.3.0:34037</v>
      </c>
      <c r="E6411" s="6" t="str">
        <f>_xll.QS.INSTRUMENT.SWAP("swap.6409",H6411,B6411,"USD","SOFR",I6411,J6411,0,"Actual360","Simple","Annual","Annual","Annual")</f>
        <v>QSObject:Swap:w1~swap.6409:7624</v>
      </c>
      <c r="F6411" s="6" t="str">
        <f>_xll.QS.TRADE.CREATE("trade.6409",E6411,A6411,"Receive")</f>
        <v>QSObject:SwapTrade:w1~trade.6409:25483</v>
      </c>
      <c r="G6411" s="3">
        <f>_xll.QS.EVALUATE(C6411,F6411)</f>
        <v>29452.44923434205</v>
      </c>
      <c r="H6411" s="5" t="s">
        <v>6452</v>
      </c>
      <c r="I6411" s="7">
        <v>1640900</v>
      </c>
      <c r="J6411" s="8">
        <v>3.5900000000000001E-2</v>
      </c>
    </row>
    <row r="6412" spans="1:10" x14ac:dyDescent="0.25">
      <c r="A6412" s="5" t="s">
        <v>6446</v>
      </c>
      <c r="B6412" s="5" t="s">
        <v>8279</v>
      </c>
      <c r="C6412" s="6" t="str">
        <f>_xll.QS.CONTEXT.CREATE("market.6410",A6412,"USD","SOFR")</f>
        <v>QSObject:PricingContext:w1~market.6410:7623</v>
      </c>
      <c r="D6412" s="6" t="str">
        <f>_xll.QS.CONTEXT.ADD.CURVE(C6412,"SOFR",$K$2:$K$7,$L$2:$L$7,,,"Actual360","LogLinear",TRUE)</f>
        <v>QSObject:ContextInput:w1~input.qs_context_add_curve.2359132437744.6411.3.0:34036</v>
      </c>
      <c r="E6412" s="6" t="str">
        <f>_xll.QS.INSTRUMENT.SWAP("swap.6410",H6412,B6412,"USD","SOFR",I6412,J6412,0,"Actual360","Simple","Annual","Annual","Annual")</f>
        <v>QSObject:Swap:w1~swap.6410:7622</v>
      </c>
      <c r="F6412" s="6" t="str">
        <f>_xll.QS.TRADE.CREATE("trade.6410",E6412,A6412,"Receive")</f>
        <v>QSObject:SwapTrade:w1~trade.6410:25482</v>
      </c>
      <c r="G6412" s="3">
        <f>_xll.QS.EVALUATE(C6412,F6412)</f>
        <v>30011.585643050697</v>
      </c>
      <c r="H6412" s="5" t="s">
        <v>6453</v>
      </c>
      <c r="I6412" s="7">
        <v>1641000</v>
      </c>
      <c r="J6412" s="8">
        <v>3.5999999999999997E-2</v>
      </c>
    </row>
    <row r="6413" spans="1:10" x14ac:dyDescent="0.25">
      <c r="A6413" s="5" t="s">
        <v>6447</v>
      </c>
      <c r="B6413" s="5" t="s">
        <v>8280</v>
      </c>
      <c r="C6413" s="6" t="str">
        <f>_xll.QS.CONTEXT.CREATE("market.6411",A6413,"USD","SOFR")</f>
        <v>QSObject:PricingContext:w1~market.6411:7621</v>
      </c>
      <c r="D6413" s="6" t="str">
        <f>_xll.QS.CONTEXT.ADD.CURVE(C6413,"SOFR",$K$2:$K$7,$L$2:$L$7,,,"Actual360","LogLinear",TRUE)</f>
        <v>QSObject:ContextInput:w1~input.qs_context_add_curve.2359132437744.6412.3.0:34035</v>
      </c>
      <c r="E6413" s="6" t="str">
        <f>_xll.QS.INSTRUMENT.SWAP("swap.6411",H6413,B6413,"USD","SOFR",I6413,J6413,0,"Actual360","Simple","Annual","Annual","Annual")</f>
        <v>QSObject:Swap:w1~swap.6411:7620</v>
      </c>
      <c r="F6413" s="6" t="str">
        <f>_xll.QS.TRADE.CREATE("trade.6411",E6413,A6413,"Receive")</f>
        <v>QSObject:SwapTrade:w1~trade.6411:25481</v>
      </c>
      <c r="G6413" s="3">
        <f>_xll.QS.EVALUATE(C6413,F6413)</f>
        <v>30772.775646621834</v>
      </c>
      <c r="H6413" s="5" t="s">
        <v>6454</v>
      </c>
      <c r="I6413" s="7">
        <v>1641100</v>
      </c>
      <c r="J6413" s="8">
        <v>3.61E-2</v>
      </c>
    </row>
    <row r="6414" spans="1:10" x14ac:dyDescent="0.25">
      <c r="A6414" s="5" t="s">
        <v>6448</v>
      </c>
      <c r="B6414" s="5" t="s">
        <v>8281</v>
      </c>
      <c r="C6414" s="6" t="str">
        <f>_xll.QS.CONTEXT.CREATE("market.6412",A6414,"USD","SOFR")</f>
        <v>QSObject:PricingContext:w1~market.6412:7619</v>
      </c>
      <c r="D6414" s="6" t="str">
        <f>_xll.QS.CONTEXT.ADD.CURVE(C6414,"SOFR",$K$2:$K$7,$L$2:$L$7,,,"Actual360","LogLinear",TRUE)</f>
        <v>QSObject:ContextInput:w1~input.qs_context_add_curve.2359132437744.6413.3.0:34034</v>
      </c>
      <c r="E6414" s="6" t="str">
        <f>_xll.QS.INSTRUMENT.SWAP("swap.6412",H6414,B6414,"USD","SOFR",I6414,J6414,0,"Actual360","Simple","Annual","Annual","Annual")</f>
        <v>QSObject:Swap:w1~swap.6412:7618</v>
      </c>
      <c r="F6414" s="6" t="str">
        <f>_xll.QS.TRADE.CREATE("trade.6412",E6414,A6414,"Receive")</f>
        <v>QSObject:SwapTrade:w1~trade.6412:25480</v>
      </c>
      <c r="G6414" s="3">
        <f>_xll.QS.EVALUATE(C6414,F6414)</f>
        <v>31599.938808164166</v>
      </c>
      <c r="H6414" s="5" t="s">
        <v>6455</v>
      </c>
      <c r="I6414" s="7">
        <v>1641200</v>
      </c>
      <c r="J6414" s="8">
        <v>3.6200000000000003E-2</v>
      </c>
    </row>
    <row r="6415" spans="1:10" x14ac:dyDescent="0.25">
      <c r="A6415" s="5" t="s">
        <v>6449</v>
      </c>
      <c r="B6415" s="5" t="s">
        <v>8282</v>
      </c>
      <c r="C6415" s="6" t="str">
        <f>_xll.QS.CONTEXT.CREATE("market.6413",A6415,"USD","SOFR")</f>
        <v>QSObject:PricingContext:w1~market.6413:7617</v>
      </c>
      <c r="D6415" s="6" t="str">
        <f>_xll.QS.CONTEXT.ADD.CURVE(C6415,"SOFR",$K$2:$K$7,$L$2:$L$7,,,"Actual360","LogLinear",TRUE)</f>
        <v>QSObject:ContextInput:w1~input.qs_context_add_curve.2359132437744.6414.3.0:34033</v>
      </c>
      <c r="E6415" s="6" t="str">
        <f>_xll.QS.INSTRUMENT.SWAP("swap.6413",H6415,B6415,"USD","SOFR",I6415,J6415,0,"Actual360","Simple","Annual","Annual","Annual")</f>
        <v>QSObject:Swap:w1~swap.6413:7616</v>
      </c>
      <c r="F6415" s="6" t="str">
        <f>_xll.QS.TRADE.CREATE("trade.6413",E6415,A6415,"Receive")</f>
        <v>QSObject:SwapTrade:w1~trade.6413:25479</v>
      </c>
      <c r="G6415" s="3">
        <f>_xll.QS.EVALUATE(C6415,F6415)</f>
        <v>32479.129692816772</v>
      </c>
      <c r="H6415" s="5" t="s">
        <v>6456</v>
      </c>
      <c r="I6415" s="7">
        <v>1641300</v>
      </c>
      <c r="J6415" s="8">
        <v>3.6300000000000013E-2</v>
      </c>
    </row>
    <row r="6416" spans="1:10" x14ac:dyDescent="0.25">
      <c r="A6416" s="5" t="s">
        <v>6450</v>
      </c>
      <c r="B6416" s="5" t="s">
        <v>8283</v>
      </c>
      <c r="C6416" s="6" t="str">
        <f>_xll.QS.CONTEXT.CREATE("market.6414",A6416,"USD","SOFR")</f>
        <v>QSObject:PricingContext:w1~market.6414:7615</v>
      </c>
      <c r="D6416" s="6" t="str">
        <f>_xll.QS.CONTEXT.ADD.CURVE(C6416,"SOFR",$K$2:$K$7,$L$2:$L$7,,,"Actual360","LogLinear",TRUE)</f>
        <v>QSObject:ContextInput:w1~input.qs_context_add_curve.2359132437744.6415.3.0:34032</v>
      </c>
      <c r="E6416" s="6" t="str">
        <f>_xll.QS.INSTRUMENT.SWAP("swap.6414",H6416,B6416,"USD","SOFR",I6416,J6416,0,"Actual360","Simple","Annual","Annual","Annual")</f>
        <v>QSObject:Swap:w1~swap.6414:7614</v>
      </c>
      <c r="F6416" s="6" t="str">
        <f>_xll.QS.TRADE.CREATE("trade.6414",E6416,A6416,"Receive")</f>
        <v>QSObject:SwapTrade:w1~trade.6414:25478</v>
      </c>
      <c r="G6416" s="3">
        <f>_xll.QS.EVALUATE(C6416,F6416)</f>
        <v>33237.771723905986</v>
      </c>
      <c r="H6416" s="5" t="s">
        <v>6457</v>
      </c>
      <c r="I6416" s="7">
        <v>1641400</v>
      </c>
      <c r="J6416" s="8">
        <v>3.6400000000000002E-2</v>
      </c>
    </row>
    <row r="6417" spans="1:10" x14ac:dyDescent="0.25">
      <c r="A6417" s="5" t="s">
        <v>6451</v>
      </c>
      <c r="B6417" s="5" t="s">
        <v>8284</v>
      </c>
      <c r="C6417" s="6" t="str">
        <f>_xll.QS.CONTEXT.CREATE("market.6415",A6417,"USD","SOFR")</f>
        <v>QSObject:PricingContext:w1~market.6415:7613</v>
      </c>
      <c r="D6417" s="6" t="str">
        <f>_xll.QS.CONTEXT.ADD.CURVE(C6417,"SOFR",$K$2:$K$7,$L$2:$L$7,,,"Actual360","LogLinear",TRUE)</f>
        <v>QSObject:ContextInput:w1~input.qs_context_add_curve.2359132437744.6416.3.0:34031</v>
      </c>
      <c r="E6417" s="6" t="str">
        <f>_xll.QS.INSTRUMENT.SWAP("swap.6415",H6417,B6417,"USD","SOFR",I6417,J6417,0,"Actual360","Simple","Annual","Annual","Annual")</f>
        <v>QSObject:Swap:w1~swap.6415:7612</v>
      </c>
      <c r="F6417" s="6" t="str">
        <f>_xll.QS.TRADE.CREATE("trade.6415",E6417,A6417,"Receive")</f>
        <v>QSObject:SwapTrade:w1~trade.6415:25477</v>
      </c>
      <c r="G6417" s="3">
        <f>_xll.QS.EVALUATE(C6417,F6417)</f>
        <v>34005.715098538138</v>
      </c>
      <c r="H6417" s="5" t="s">
        <v>6458</v>
      </c>
      <c r="I6417" s="7">
        <v>1641500</v>
      </c>
      <c r="J6417" s="8">
        <v>3.6499999999999998E-2</v>
      </c>
    </row>
    <row r="6418" spans="1:10" x14ac:dyDescent="0.25">
      <c r="A6418" s="5" t="s">
        <v>6452</v>
      </c>
      <c r="B6418" s="5" t="s">
        <v>8285</v>
      </c>
      <c r="C6418" s="6" t="str">
        <f>_xll.QS.CONTEXT.CREATE("market.6416",A6418,"USD","SOFR")</f>
        <v>QSObject:PricingContext:w1~market.6416:7611</v>
      </c>
      <c r="D6418" s="6" t="str">
        <f>_xll.QS.CONTEXT.ADD.CURVE(C6418,"SOFR",$K$2:$K$7,$L$2:$L$7,,,"Actual360","LogLinear",TRUE)</f>
        <v>QSObject:ContextInput:w1~input.qs_context_add_curve.2359132437744.6417.3.0:34030</v>
      </c>
      <c r="E6418" s="6" t="str">
        <f>_xll.QS.INSTRUMENT.SWAP("swap.6416",H6418,B6418,"USD","SOFR",I6418,J6418,0,"Actual360","Simple","Annual","Annual","Annual")</f>
        <v>QSObject:Swap:w1~swap.6416:7610</v>
      </c>
      <c r="F6418" s="6" t="str">
        <f>_xll.QS.TRADE.CREATE("trade.6416",E6418,A6418,"Receive")</f>
        <v>QSObject:SwapTrade:w1~trade.6416:25476</v>
      </c>
      <c r="G6418" s="3">
        <f>_xll.QS.EVALUATE(C6418,F6418)</f>
        <v>34766.349220608419</v>
      </c>
      <c r="H6418" s="5" t="s">
        <v>6459</v>
      </c>
      <c r="I6418" s="7">
        <v>1641600</v>
      </c>
      <c r="J6418" s="8">
        <v>3.6600000000000001E-2</v>
      </c>
    </row>
    <row r="6419" spans="1:10" x14ac:dyDescent="0.25">
      <c r="A6419" s="5" t="s">
        <v>6453</v>
      </c>
      <c r="B6419" s="5" t="s">
        <v>8286</v>
      </c>
      <c r="C6419" s="6" t="str">
        <f>_xll.QS.CONTEXT.CREATE("market.6417",A6419,"USD","SOFR")</f>
        <v>QSObject:PricingContext:w1~market.6417:7609</v>
      </c>
      <c r="D6419" s="6" t="str">
        <f>_xll.QS.CONTEXT.ADD.CURVE(C6419,"SOFR",$K$2:$K$7,$L$2:$L$7,,,"Actual360","LogLinear",TRUE)</f>
        <v>QSObject:ContextInput:w1~input.qs_context_add_curve.2359132437744.6418.3.0:34029</v>
      </c>
      <c r="E6419" s="6" t="str">
        <f>_xll.QS.INSTRUMENT.SWAP("swap.6417",H6419,B6419,"USD","SOFR",I6419,J6419,0,"Actual360","Simple","Annual","Annual","Annual")</f>
        <v>QSObject:Swap:w1~swap.6417:7608</v>
      </c>
      <c r="F6419" s="6" t="str">
        <f>_xll.QS.TRADE.CREATE("trade.6417",E6419,A6419,"Receive")</f>
        <v>QSObject:SwapTrade:w1~trade.6417:25475</v>
      </c>
      <c r="G6419" s="3">
        <f>_xll.QS.EVALUATE(C6419,F6419)</f>
        <v>35324.980836797411</v>
      </c>
      <c r="H6419" s="5" t="s">
        <v>6460</v>
      </c>
      <c r="I6419" s="7">
        <v>1641700</v>
      </c>
      <c r="J6419" s="8">
        <v>3.6700000000000003E-2</v>
      </c>
    </row>
    <row r="6420" spans="1:10" x14ac:dyDescent="0.25">
      <c r="A6420" s="5" t="s">
        <v>6454</v>
      </c>
      <c r="B6420" s="5" t="s">
        <v>8287</v>
      </c>
      <c r="C6420" s="6" t="str">
        <f>_xll.QS.CONTEXT.CREATE("market.6418",A6420,"USD","SOFR")</f>
        <v>QSObject:PricingContext:w1~market.6418:7607</v>
      </c>
      <c r="D6420" s="6" t="str">
        <f>_xll.QS.CONTEXT.ADD.CURVE(C6420,"SOFR",$K$2:$K$7,$L$2:$L$7,,,"Actual360","LogLinear",TRUE)</f>
        <v>QSObject:ContextInput:w1~input.qs_context_add_curve.2359132437744.6419.3.0:34028</v>
      </c>
      <c r="E6420" s="6" t="str">
        <f>_xll.QS.INSTRUMENT.SWAP("swap.6418",H6420,B6420,"USD","SOFR",I6420,J6420,0,"Actual360","Simple","Annual","Annual","Annual")</f>
        <v>QSObject:Swap:w1~swap.6418:7606</v>
      </c>
      <c r="F6420" s="6" t="str">
        <f>_xll.QS.TRADE.CREATE("trade.6418",E6420,A6420,"Receive")</f>
        <v>QSObject:SwapTrade:w1~trade.6418:25474</v>
      </c>
      <c r="G6420" s="3">
        <f>_xll.QS.EVALUATE(C6420,F6420)</f>
        <v>36087.262116393133</v>
      </c>
      <c r="H6420" s="5" t="s">
        <v>6461</v>
      </c>
      <c r="I6420" s="7">
        <v>1641800</v>
      </c>
      <c r="J6420" s="8">
        <v>3.6800000000000013E-2</v>
      </c>
    </row>
    <row r="6421" spans="1:10" x14ac:dyDescent="0.25">
      <c r="A6421" s="5" t="s">
        <v>6455</v>
      </c>
      <c r="B6421" s="5" t="s">
        <v>8288</v>
      </c>
      <c r="C6421" s="6" t="str">
        <f>_xll.QS.CONTEXT.CREATE("market.6419",A6421,"USD","SOFR")</f>
        <v>QSObject:PricingContext:w1~market.6419:7605</v>
      </c>
      <c r="D6421" s="6" t="str">
        <f>_xll.QS.CONTEXT.ADD.CURVE(C6421,"SOFR",$K$2:$K$7,$L$2:$L$7,,,"Actual360","LogLinear",TRUE)</f>
        <v>QSObject:ContextInput:w1~input.qs_context_add_curve.2359132437744.6420.3.0:34027</v>
      </c>
      <c r="E6421" s="6" t="str">
        <f>_xll.QS.INSTRUMENT.SWAP("swap.6419",H6421,B6421,"USD","SOFR",I6421,J6421,0,"Actual360","Simple","Annual","Annual","Annual")</f>
        <v>QSObject:Swap:w1~swap.6419:7604</v>
      </c>
      <c r="F6421" s="6" t="str">
        <f>_xll.QS.TRADE.CREATE("trade.6419",E6421,A6421,"Receive")</f>
        <v>QSObject:SwapTrade:w1~trade.6419:25473</v>
      </c>
      <c r="G6421" s="3">
        <f>_xll.QS.EVALUATE(C6421,F6421)</f>
        <v>36915.817226493178</v>
      </c>
      <c r="H6421" s="5" t="s">
        <v>6462</v>
      </c>
      <c r="I6421" s="7">
        <v>1641900</v>
      </c>
      <c r="J6421" s="8">
        <v>3.6900000000000002E-2</v>
      </c>
    </row>
    <row r="6422" spans="1:10" x14ac:dyDescent="0.25">
      <c r="A6422" s="5" t="s">
        <v>6456</v>
      </c>
      <c r="B6422" s="5" t="s">
        <v>8289</v>
      </c>
      <c r="C6422" s="6" t="str">
        <f>_xll.QS.CONTEXT.CREATE("market.6420",A6422,"USD","SOFR")</f>
        <v>QSObject:PricingContext:w1~market.6420:7603</v>
      </c>
      <c r="D6422" s="6" t="str">
        <f>_xll.QS.CONTEXT.ADD.CURVE(C6422,"SOFR",$K$2:$K$7,$L$2:$L$7,,,"Actual360","LogLinear",TRUE)</f>
        <v>QSObject:ContextInput:w1~input.qs_context_add_curve.2359132437744.6421.3.0:34026</v>
      </c>
      <c r="E6422" s="6" t="str">
        <f>_xll.QS.INSTRUMENT.SWAP("swap.6420",H6422,B6422,"USD","SOFR",I6422,J6422,0,"Actual360","Simple","Annual","Annual","Annual")</f>
        <v>QSObject:Swap:w1~swap.6420:7602</v>
      </c>
      <c r="F6422" s="6" t="str">
        <f>_xll.QS.TRADE.CREATE("trade.6420",E6422,A6422,"Receive")</f>
        <v>QSObject:SwapTrade:w1~trade.6420:25472</v>
      </c>
      <c r="G6422" s="3">
        <f>_xll.QS.EVALUATE(C6422,F6422)</f>
        <v>37795.557158279713</v>
      </c>
      <c r="H6422" s="5" t="s">
        <v>6463</v>
      </c>
      <c r="I6422" s="7">
        <v>1642000</v>
      </c>
      <c r="J6422" s="8">
        <v>3.7000000000000012E-2</v>
      </c>
    </row>
    <row r="6423" spans="1:10" x14ac:dyDescent="0.25">
      <c r="A6423" s="5" t="s">
        <v>6457</v>
      </c>
      <c r="B6423" s="5" t="s">
        <v>8290</v>
      </c>
      <c r="C6423" s="6" t="str">
        <f>_xll.QS.CONTEXT.CREATE("market.6421",A6423,"USD","SOFR")</f>
        <v>QSObject:PricingContext:w1~market.6421:7601</v>
      </c>
      <c r="D6423" s="6" t="str">
        <f>_xll.QS.CONTEXT.ADD.CURVE(C6423,"SOFR",$K$2:$K$7,$L$2:$L$7,,,"Actual360","LogLinear",TRUE)</f>
        <v>QSObject:ContextInput:w1~input.qs_context_add_curve.2359132437744.6422.3.0:34025</v>
      </c>
      <c r="E6423" s="6" t="str">
        <f>_xll.QS.INSTRUMENT.SWAP("swap.6421",H6423,B6423,"USD","SOFR",I6423,J6423,0,"Actual360","Simple","Annual","Annual","Annual")</f>
        <v>QSObject:Swap:w1~swap.6421:7600</v>
      </c>
      <c r="F6423" s="6" t="str">
        <f>_xll.QS.TRADE.CREATE("trade.6421",E6423,A6423,"Receive")</f>
        <v>QSObject:SwapTrade:w1~trade.6421:25471</v>
      </c>
      <c r="G6423" s="3">
        <f>_xll.QS.EVALUATE(C6423,F6423)</f>
        <v>38555.228668710035</v>
      </c>
      <c r="H6423" s="5" t="s">
        <v>6464</v>
      </c>
      <c r="I6423" s="7">
        <v>1642100</v>
      </c>
      <c r="J6423" s="8">
        <v>3.7100000000000001E-2</v>
      </c>
    </row>
    <row r="6424" spans="1:10" x14ac:dyDescent="0.25">
      <c r="A6424" s="5" t="s">
        <v>6458</v>
      </c>
      <c r="B6424" s="5" t="s">
        <v>8291</v>
      </c>
      <c r="C6424" s="6" t="str">
        <f>_xll.QS.CONTEXT.CREATE("market.6422",A6424,"USD","SOFR")</f>
        <v>QSObject:PricingContext:w1~market.6422:7599</v>
      </c>
      <c r="D6424" s="6" t="str">
        <f>_xll.QS.CONTEXT.ADD.CURVE(C6424,"SOFR",$K$2:$K$7,$L$2:$L$7,,,"Actual360","LogLinear",TRUE)</f>
        <v>QSObject:ContextInput:w1~input.qs_context_add_curve.2359132437744.6423.3.0:34024</v>
      </c>
      <c r="E6424" s="6" t="str">
        <f>_xll.QS.INSTRUMENT.SWAP("swap.6422",H6424,B6424,"USD","SOFR",I6424,J6424,0,"Actual360","Simple","Annual","Annual","Annual")</f>
        <v>QSObject:Swap:w1~swap.6422:7598</v>
      </c>
      <c r="F6424" s="6" t="str">
        <f>_xll.QS.TRADE.CREATE("trade.6422",E6424,A6424,"Receive")</f>
        <v>QSObject:SwapTrade:w1~trade.6422:25470</v>
      </c>
      <c r="G6424" s="3">
        <f>_xll.QS.EVALUATE(C6424,F6424)</f>
        <v>39324.03255080559</v>
      </c>
      <c r="H6424" s="5" t="s">
        <v>6465</v>
      </c>
      <c r="I6424" s="7">
        <v>1642200</v>
      </c>
      <c r="J6424" s="8">
        <v>3.7199999999999997E-2</v>
      </c>
    </row>
    <row r="6425" spans="1:10" x14ac:dyDescent="0.25">
      <c r="A6425" s="5" t="s">
        <v>6459</v>
      </c>
      <c r="B6425" s="5" t="s">
        <v>8292</v>
      </c>
      <c r="C6425" s="6" t="str">
        <f>_xll.QS.CONTEXT.CREATE("market.6423",A6425,"USD","SOFR")</f>
        <v>QSObject:PricingContext:w1~market.6423:7597</v>
      </c>
      <c r="D6425" s="6" t="str">
        <f>_xll.QS.CONTEXT.ADD.CURVE(C6425,"SOFR",$K$2:$K$7,$L$2:$L$7,,,"Actual360","LogLinear",TRUE)</f>
        <v>QSObject:ContextInput:w1~input.qs_context_add_curve.2359132437744.6424.3.0:34023</v>
      </c>
      <c r="E6425" s="6" t="str">
        <f>_xll.QS.INSTRUMENT.SWAP("swap.6423",H6425,B6425,"USD","SOFR",I6425,J6425,0,"Actual360","Simple","Annual","Annual","Annual")</f>
        <v>QSObject:Swap:w1~swap.6423:7596</v>
      </c>
      <c r="F6425" s="6" t="str">
        <f>_xll.QS.TRADE.CREATE("trade.6423",E6425,A6425,"Receive")</f>
        <v>QSObject:SwapTrade:w1~trade.6423:25469</v>
      </c>
      <c r="G6425" s="3">
        <f>_xll.QS.EVALUATE(C6425,F6425)</f>
        <v>40085.50394903931</v>
      </c>
      <c r="H6425" s="5" t="s">
        <v>6466</v>
      </c>
      <c r="I6425" s="7">
        <v>1642300</v>
      </c>
      <c r="J6425" s="8">
        <v>3.73E-2</v>
      </c>
    </row>
    <row r="6426" spans="1:10" x14ac:dyDescent="0.25">
      <c r="A6426" s="5" t="s">
        <v>6460</v>
      </c>
      <c r="B6426" s="5" t="s">
        <v>8293</v>
      </c>
      <c r="C6426" s="6" t="str">
        <f>_xll.QS.CONTEXT.CREATE("market.6424",A6426,"USD","SOFR")</f>
        <v>QSObject:PricingContext:w1~market.6424:7595</v>
      </c>
      <c r="D6426" s="6" t="str">
        <f>_xll.QS.CONTEXT.ADD.CURVE(C6426,"SOFR",$K$2:$K$7,$L$2:$L$7,,,"Actual360","LogLinear",TRUE)</f>
        <v>QSObject:ContextInput:w1~input.qs_context_add_curve.2359132437744.6425.3.0:34022</v>
      </c>
      <c r="E6426" s="6" t="str">
        <f>_xll.QS.INSTRUMENT.SWAP("swap.6424",H6426,B6426,"USD","SOFR",I6426,J6426,0,"Actual360","Simple","Annual","Annual","Annual")</f>
        <v>QSObject:Swap:w1~swap.6424:7594</v>
      </c>
      <c r="F6426" s="6" t="str">
        <f>_xll.QS.TRADE.CREATE("trade.6424",E6426,A6426,"Receive")</f>
        <v>QSObject:SwapTrade:w1~trade.6424:25468</v>
      </c>
      <c r="G6426" s="3">
        <f>_xll.QS.EVALUATE(C6426,F6426)</f>
        <v>40643.627989696746</v>
      </c>
      <c r="H6426" s="5" t="s">
        <v>6467</v>
      </c>
      <c r="I6426" s="7">
        <v>1642400</v>
      </c>
      <c r="J6426" s="8">
        <v>3.7400000000000003E-2</v>
      </c>
    </row>
    <row r="6427" spans="1:10" x14ac:dyDescent="0.25">
      <c r="A6427" s="5" t="s">
        <v>6461</v>
      </c>
      <c r="B6427" s="5" t="s">
        <v>8294</v>
      </c>
      <c r="C6427" s="6" t="str">
        <f>_xll.QS.CONTEXT.CREATE("market.6425",A6427,"USD","SOFR")</f>
        <v>QSObject:PricingContext:w1~market.6425:7593</v>
      </c>
      <c r="D6427" s="6" t="str">
        <f>_xll.QS.CONTEXT.ADD.CURVE(C6427,"SOFR",$K$2:$K$7,$L$2:$L$7,,,"Actual360","LogLinear",TRUE)</f>
        <v>QSObject:ContextInput:w1~input.qs_context_add_curve.2359132437744.6426.3.0:34021</v>
      </c>
      <c r="E6427" s="6" t="str">
        <f>_xll.QS.INSTRUMENT.SWAP("swap.6425",H6427,B6427,"USD","SOFR",I6427,J6427,0,"Actual360","Simple","Annual","Annual","Annual")</f>
        <v>QSObject:Swap:w1~swap.6425:7592</v>
      </c>
      <c r="F6427" s="6" t="str">
        <f>_xll.QS.TRADE.CREATE("trade.6425",E6427,A6427,"Receive")</f>
        <v>QSObject:SwapTrade:w1~trade.6425:25467</v>
      </c>
      <c r="G6427" s="3">
        <f>_xll.QS.EVALUATE(C6427,F6427)</f>
        <v>41407.00117540887</v>
      </c>
      <c r="H6427" s="5" t="s">
        <v>6468</v>
      </c>
      <c r="I6427" s="7">
        <v>1642500</v>
      </c>
      <c r="J6427" s="8">
        <v>3.7500000000000012E-2</v>
      </c>
    </row>
    <row r="6428" spans="1:10" x14ac:dyDescent="0.25">
      <c r="A6428" s="5" t="s">
        <v>6462</v>
      </c>
      <c r="B6428" s="5" t="s">
        <v>8295</v>
      </c>
      <c r="C6428" s="6" t="str">
        <f>_xll.QS.CONTEXT.CREATE("market.6426",A6428,"USD","SOFR")</f>
        <v>QSObject:PricingContext:w1~market.6426:7591</v>
      </c>
      <c r="D6428" s="6" t="str">
        <f>_xll.QS.CONTEXT.ADD.CURVE(C6428,"SOFR",$K$2:$K$7,$L$2:$L$7,,,"Actual360","LogLinear",TRUE)</f>
        <v>QSObject:ContextInput:w1~input.qs_context_add_curve.2359132437744.6427.3.0:34020</v>
      </c>
      <c r="E6428" s="6" t="str">
        <f>_xll.QS.INSTRUMENT.SWAP("swap.6426",H6428,B6428,"USD","SOFR",I6428,J6428,0,"Actual360","Simple","Annual","Annual","Annual")</f>
        <v>QSObject:Swap:w1~swap.6426:7590</v>
      </c>
      <c r="F6428" s="6" t="str">
        <f>_xll.QS.TRADE.CREATE("trade.6426",E6428,A6428,"Receive")</f>
        <v>QSObject:SwapTrade:w1~trade.6426:25466</v>
      </c>
      <c r="G6428" s="3">
        <f>_xll.QS.EVALUATE(C6428,F6428)</f>
        <v>42236.384424700293</v>
      </c>
      <c r="H6428" s="5" t="s">
        <v>6469</v>
      </c>
      <c r="I6428" s="7">
        <v>1642600</v>
      </c>
      <c r="J6428" s="8">
        <v>3.7600000000000001E-2</v>
      </c>
    </row>
    <row r="6429" spans="1:10" x14ac:dyDescent="0.25">
      <c r="A6429" s="5" t="s">
        <v>6463</v>
      </c>
      <c r="B6429" s="5" t="s">
        <v>8296</v>
      </c>
      <c r="C6429" s="6" t="str">
        <f>_xll.QS.CONTEXT.CREATE("market.6427",A6429,"USD","SOFR")</f>
        <v>QSObject:PricingContext:w1~market.6427:7589</v>
      </c>
      <c r="D6429" s="6" t="str">
        <f>_xll.QS.CONTEXT.ADD.CURVE(C6429,"SOFR",$K$2:$K$7,$L$2:$L$7,,,"Actual360","LogLinear",TRUE)</f>
        <v>QSObject:ContextInput:w1~input.qs_context_add_curve.2359132437744.6428.3.0:34019</v>
      </c>
      <c r="E6429" s="6" t="str">
        <f>_xll.QS.INSTRUMENT.SWAP("swap.6427",H6429,B6429,"USD","SOFR",I6429,J6429,0,"Actual360","Simple","Annual","Annual","Annual")</f>
        <v>QSObject:Swap:w1~swap.6427:7588</v>
      </c>
      <c r="F6429" s="6" t="str">
        <f>_xll.QS.TRADE.CREATE("trade.6427",E6429,A6429,"Receive")</f>
        <v>QSObject:SwapTrade:w1~trade.6427:25465</v>
      </c>
      <c r="G6429" s="3">
        <f>_xll.QS.EVALUATE(C6429,F6429)</f>
        <v>43116.900147763241</v>
      </c>
      <c r="H6429" s="5" t="s">
        <v>6470</v>
      </c>
      <c r="I6429" s="7">
        <v>1642700</v>
      </c>
      <c r="J6429" s="8">
        <v>3.7699999999999997E-2</v>
      </c>
    </row>
    <row r="6430" spans="1:10" x14ac:dyDescent="0.25">
      <c r="A6430" s="5" t="s">
        <v>6464</v>
      </c>
      <c r="B6430" s="5" t="s">
        <v>8297</v>
      </c>
      <c r="C6430" s="6" t="str">
        <f>_xll.QS.CONTEXT.CREATE("market.6428",A6430,"USD","SOFR")</f>
        <v>QSObject:PricingContext:w1~market.6428:7587</v>
      </c>
      <c r="D6430" s="6" t="str">
        <f>_xll.QS.CONTEXT.ADD.CURVE(C6430,"SOFR",$K$2:$K$7,$L$2:$L$7,,,"Actual360","LogLinear",TRUE)</f>
        <v>QSObject:ContextInput:w1~input.qs_context_add_curve.2359132437744.6429.3.0:34018</v>
      </c>
      <c r="E6430" s="6" t="str">
        <f>_xll.QS.INSTRUMENT.SWAP("swap.6428",H6430,B6430,"USD","SOFR",I6430,J6430,0,"Actual360","Simple","Annual","Annual","Annual")</f>
        <v>QSObject:Swap:w1~swap.6428:7586</v>
      </c>
      <c r="F6430" s="6" t="str">
        <f>_xll.QS.TRADE.CREATE("trade.6428",E6430,A6430,"Receive")</f>
        <v>QSObject:SwapTrade:w1~trade.6428:25464</v>
      </c>
      <c r="G6430" s="3">
        <f>_xll.QS.EVALUATE(C6430,F6430)</f>
        <v>43877.207016027955</v>
      </c>
      <c r="H6430" s="5" t="s">
        <v>6471</v>
      </c>
      <c r="I6430" s="7">
        <v>1642800</v>
      </c>
      <c r="J6430" s="8">
        <v>3.78E-2</v>
      </c>
    </row>
    <row r="6431" spans="1:10" x14ac:dyDescent="0.25">
      <c r="A6431" s="5" t="s">
        <v>6465</v>
      </c>
      <c r="B6431" s="5" t="s">
        <v>8298</v>
      </c>
      <c r="C6431" s="6" t="str">
        <f>_xll.QS.CONTEXT.CREATE("market.6429",A6431,"USD","SOFR")</f>
        <v>QSObject:PricingContext:w1~market.6429:7585</v>
      </c>
      <c r="D6431" s="6" t="str">
        <f>_xll.QS.CONTEXT.ADD.CURVE(C6431,"SOFR",$K$2:$K$7,$L$2:$L$7,,,"Actual360","LogLinear",TRUE)</f>
        <v>QSObject:ContextInput:w1~input.qs_context_add_curve.2359132437744.6430.3.0:34017</v>
      </c>
      <c r="E6431" s="6" t="str">
        <f>_xll.QS.INSTRUMENT.SWAP("swap.6429",H6431,B6431,"USD","SOFR",I6431,J6431,0,"Actual360","Simple","Annual","Annual","Annual")</f>
        <v>QSObject:Swap:w1~swap.6429:7584</v>
      </c>
      <c r="F6431" s="6" t="str">
        <f>_xll.QS.TRADE.CREATE("trade.6429",E6431,A6431,"Receive")</f>
        <v>QSObject:SwapTrade:w1~trade.6429:25463</v>
      </c>
      <c r="G6431" s="3">
        <f>_xll.QS.EVALUATE(C6431,F6431)</f>
        <v>44646.675358227883</v>
      </c>
      <c r="H6431" s="5" t="s">
        <v>6472</v>
      </c>
      <c r="I6431" s="7">
        <v>1642900</v>
      </c>
      <c r="J6431" s="8">
        <v>3.7900000000000003E-2</v>
      </c>
    </row>
    <row r="6432" spans="1:10" x14ac:dyDescent="0.25">
      <c r="A6432" s="5" t="s">
        <v>6466</v>
      </c>
      <c r="B6432" s="5" t="s">
        <v>8299</v>
      </c>
      <c r="C6432" s="6" t="str">
        <f>_xll.QS.CONTEXT.CREATE("market.6430",A6432,"USD","SOFR")</f>
        <v>QSObject:PricingContext:w1~market.6430:7583</v>
      </c>
      <c r="D6432" s="6" t="str">
        <f>_xll.QS.CONTEXT.ADD.CURVE(C6432,"SOFR",$K$2:$K$7,$L$2:$L$7,,,"Actual360","LogLinear",TRUE)</f>
        <v>QSObject:ContextInput:w1~input.qs_context_add_curve.2359132437744.6431.3.0:34016</v>
      </c>
      <c r="E6432" s="6" t="str">
        <f>_xll.QS.INSTRUMENT.SWAP("swap.6430",H6432,B6432,"USD","SOFR",I6432,J6432,0,"Actual360","Simple","Annual","Annual","Annual")</f>
        <v>QSObject:Swap:w1~swap.6430:7582</v>
      </c>
      <c r="F6432" s="6" t="str">
        <f>_xll.QS.TRADE.CREATE("trade.6430",E6432,A6432,"Receive")</f>
        <v>QSObject:SwapTrade:w1~trade.6430:25462</v>
      </c>
      <c r="G6432" s="3">
        <f>_xll.QS.EVALUATE(C6432,F6432)</f>
        <v>45408.813454885982</v>
      </c>
      <c r="H6432" s="5" t="s">
        <v>6473</v>
      </c>
      <c r="I6432" s="7">
        <v>1643000</v>
      </c>
      <c r="J6432" s="8">
        <v>3.8000000000000013E-2</v>
      </c>
    </row>
    <row r="6433" spans="1:10" x14ac:dyDescent="0.25">
      <c r="A6433" s="5" t="s">
        <v>6467</v>
      </c>
      <c r="B6433" s="5" t="s">
        <v>8300</v>
      </c>
      <c r="C6433" s="6" t="str">
        <f>_xll.QS.CONTEXT.CREATE("market.6431",A6433,"USD","SOFR")</f>
        <v>QSObject:PricingContext:w1~market.6431:7581</v>
      </c>
      <c r="D6433" s="6" t="str">
        <f>_xll.QS.CONTEXT.ADD.CURVE(C6433,"SOFR",$K$2:$K$7,$L$2:$L$7,,,"Actual360","LogLinear",TRUE)</f>
        <v>QSObject:ContextInput:w1~input.qs_context_add_curve.2359132437744.6432.3.0:34015</v>
      </c>
      <c r="E6433" s="6" t="str">
        <f>_xll.QS.INSTRUMENT.SWAP("swap.6431",H6433,B6433,"USD","SOFR",I6433,J6433,0,"Actual360","Simple","Annual","Annual","Annual")</f>
        <v>QSObject:Swap:w1~swap.6431:7580</v>
      </c>
      <c r="F6433" s="6" t="str">
        <f>_xll.QS.TRADE.CREATE("trade.6431",E6433,A6433,"Receive")</f>
        <v>QSObject:SwapTrade:w1~trade.6431:25461</v>
      </c>
      <c r="G6433" s="3">
        <f>_xll.QS.EVALUATE(C6433,F6433)</f>
        <v>45966.429947376753</v>
      </c>
      <c r="H6433" s="5" t="s">
        <v>6474</v>
      </c>
      <c r="I6433" s="7">
        <v>1643100</v>
      </c>
      <c r="J6433" s="8">
        <v>3.8100000000000002E-2</v>
      </c>
    </row>
    <row r="6434" spans="1:10" x14ac:dyDescent="0.25">
      <c r="A6434" s="5" t="s">
        <v>6468</v>
      </c>
      <c r="B6434" s="5" t="s">
        <v>8301</v>
      </c>
      <c r="C6434" s="6" t="str">
        <f>_xll.QS.CONTEXT.CREATE("market.6432",A6434,"USD","SOFR")</f>
        <v>QSObject:PricingContext:w1~market.6432:7579</v>
      </c>
      <c r="D6434" s="6" t="str">
        <f>_xll.QS.CONTEXT.ADD.CURVE(C6434,"SOFR",$K$2:$K$7,$L$2:$L$7,,,"Actual360","LogLinear",TRUE)</f>
        <v>QSObject:ContextInput:w1~input.qs_context_add_curve.2359132437744.6433.3.0:34014</v>
      </c>
      <c r="E6434" s="6" t="str">
        <f>_xll.QS.INSTRUMENT.SWAP("swap.6432",H6434,B6434,"USD","SOFR",I6434,J6434,0,"Actual360","Simple","Annual","Annual","Annual")</f>
        <v>QSObject:Swap:w1~swap.6432:7578</v>
      </c>
      <c r="F6434" s="6" t="str">
        <f>_xll.QS.TRADE.CREATE("trade.6432",E6434,A6434,"Receive")</f>
        <v>QSObject:SwapTrade:w1~trade.6432:25460</v>
      </c>
      <c r="G6434" s="3">
        <f>_xll.QS.EVALUATE(C6434,F6434)</f>
        <v>46730.895292848574</v>
      </c>
      <c r="H6434" s="5" t="s">
        <v>6475</v>
      </c>
      <c r="I6434" s="7">
        <v>1643200</v>
      </c>
      <c r="J6434" s="8">
        <v>3.8199999999999998E-2</v>
      </c>
    </row>
    <row r="6435" spans="1:10" x14ac:dyDescent="0.25">
      <c r="A6435" s="5" t="s">
        <v>6469</v>
      </c>
      <c r="B6435" s="5" t="s">
        <v>8302</v>
      </c>
      <c r="C6435" s="6" t="str">
        <f>_xll.QS.CONTEXT.CREATE("market.6433",A6435,"USD","SOFR")</f>
        <v>QSObject:PricingContext:w1~market.6433:7577</v>
      </c>
      <c r="D6435" s="6" t="str">
        <f>_xll.QS.CONTEXT.ADD.CURVE(C6435,"SOFR",$K$2:$K$7,$L$2:$L$7,,,"Actual360","LogLinear",TRUE)</f>
        <v>QSObject:ContextInput:w1~input.qs_context_add_curve.2359132437744.6434.3.0:34013</v>
      </c>
      <c r="E6435" s="6" t="str">
        <f>_xll.QS.INSTRUMENT.SWAP("swap.6433",H6435,B6435,"USD","SOFR",I6435,J6435,0,"Actual360","Simple","Annual","Annual","Annual")</f>
        <v>QSObject:Swap:w1~swap.6433:7576</v>
      </c>
      <c r="F6435" s="6" t="str">
        <f>_xll.QS.TRADE.CREATE("trade.6433",E6435,A6435,"Receive")</f>
        <v>QSObject:SwapTrade:w1~trade.6433:25459</v>
      </c>
      <c r="G6435" s="3">
        <f>_xll.QS.EVALUATE(C6435,F6435)</f>
        <v>47561.472967210764</v>
      </c>
      <c r="H6435" s="5" t="s">
        <v>6476</v>
      </c>
      <c r="I6435" s="7">
        <v>1643300</v>
      </c>
      <c r="J6435" s="8">
        <v>3.8300000000000001E-2</v>
      </c>
    </row>
    <row r="6436" spans="1:10" x14ac:dyDescent="0.25">
      <c r="A6436" s="5" t="s">
        <v>6470</v>
      </c>
      <c r="B6436" s="5" t="s">
        <v>8303</v>
      </c>
      <c r="C6436" s="6" t="str">
        <f>_xll.QS.CONTEXT.CREATE("market.6434",A6436,"USD","SOFR")</f>
        <v>QSObject:PricingContext:w1~market.6434:7575</v>
      </c>
      <c r="D6436" s="6" t="str">
        <f>_xll.QS.CONTEXT.ADD.CURVE(C6436,"SOFR",$K$2:$K$7,$L$2:$L$7,,,"Actual360","LogLinear",TRUE)</f>
        <v>QSObject:ContextInput:w1~input.qs_context_add_curve.2359132437744.6435.3.0:34012</v>
      </c>
      <c r="E6436" s="6" t="str">
        <f>_xll.QS.INSTRUMENT.SWAP("swap.6434",H6436,B6436,"USD","SOFR",I6436,J6436,0,"Actual360","Simple","Annual","Annual","Annual")</f>
        <v>QSObject:Swap:w1~swap.6434:7574</v>
      </c>
      <c r="F6436" s="6" t="str">
        <f>_xll.QS.TRADE.CREATE("trade.6434",E6436,A6436,"Receive")</f>
        <v>QSObject:SwapTrade:w1~trade.6434:25458</v>
      </c>
      <c r="G6436" s="3">
        <f>_xll.QS.EVALUATE(C6436,F6436)</f>
        <v>48442.764548670122</v>
      </c>
      <c r="H6436" s="5" t="s">
        <v>6477</v>
      </c>
      <c r="I6436" s="7">
        <v>1643400</v>
      </c>
      <c r="J6436" s="8">
        <v>3.8399999999999997E-2</v>
      </c>
    </row>
    <row r="6437" spans="1:10" x14ac:dyDescent="0.25">
      <c r="A6437" s="5" t="s">
        <v>6471</v>
      </c>
      <c r="B6437" s="5" t="s">
        <v>8304</v>
      </c>
      <c r="C6437" s="6" t="str">
        <f>_xll.QS.CONTEXT.CREATE("market.6435",A6437,"USD","SOFR")</f>
        <v>QSObject:PricingContext:w1~market.6435:7573</v>
      </c>
      <c r="D6437" s="6" t="str">
        <f>_xll.QS.CONTEXT.ADD.CURVE(C6437,"SOFR",$K$2:$K$7,$L$2:$L$7,,,"Actual360","LogLinear",TRUE)</f>
        <v>QSObject:ContextInput:w1~input.qs_context_add_curve.2359132437744.6436.3.0:34011</v>
      </c>
      <c r="E6437" s="6" t="str">
        <f>_xll.QS.INSTRUMENT.SWAP("swap.6435",H6437,B6437,"USD","SOFR",I6437,J6437,0,"Actual360","Simple","Annual","Annual","Annual")</f>
        <v>QSObject:Swap:w1~swap.6435:7572</v>
      </c>
      <c r="F6437" s="6" t="str">
        <f>_xll.QS.TRADE.CREATE("trade.6435",E6437,A6437,"Receive")</f>
        <v>QSObject:SwapTrade:w1~trade.6435:25457</v>
      </c>
      <c r="G6437" s="3">
        <f>_xll.QS.EVALUATE(C6437,F6437)</f>
        <v>49203.706765859693</v>
      </c>
      <c r="H6437" s="5" t="s">
        <v>6478</v>
      </c>
      <c r="I6437" s="7">
        <v>1643500</v>
      </c>
      <c r="J6437" s="8">
        <v>3.8500000000000013E-2</v>
      </c>
    </row>
    <row r="6438" spans="1:10" x14ac:dyDescent="0.25">
      <c r="A6438" s="5" t="s">
        <v>6472</v>
      </c>
      <c r="B6438" s="5" t="s">
        <v>8305</v>
      </c>
      <c r="C6438" s="6" t="str">
        <f>_xll.QS.CONTEXT.CREATE("market.6436",A6438,"USD","SOFR")</f>
        <v>QSObject:PricingContext:w1~market.6436:7571</v>
      </c>
      <c r="D6438" s="6" t="str">
        <f>_xll.QS.CONTEXT.ADD.CURVE(C6438,"SOFR",$K$2:$K$7,$L$2:$L$7,,,"Actual360","LogLinear",TRUE)</f>
        <v>QSObject:ContextInput:w1~input.qs_context_add_curve.2359132437744.6437.3.0:34010</v>
      </c>
      <c r="E6438" s="6" t="str">
        <f>_xll.QS.INSTRUMENT.SWAP("swap.6436",H6438,B6438,"USD","SOFR",I6438,J6438,0,"Actual360","Simple","Annual","Annual","Annual")</f>
        <v>QSObject:Swap:w1~swap.6436:7570</v>
      </c>
      <c r="F6438" s="6" t="str">
        <f>_xll.QS.TRADE.CREATE("trade.6436",E6438,A6438,"Receive")</f>
        <v>QSObject:SwapTrade:w1~trade.6436:25456</v>
      </c>
      <c r="G6438" s="3">
        <f>_xll.QS.EVALUATE(C6438,F6438)</f>
        <v>49973.83958077179</v>
      </c>
      <c r="H6438" s="5" t="s">
        <v>6479</v>
      </c>
      <c r="I6438" s="7">
        <v>1643600</v>
      </c>
      <c r="J6438" s="8">
        <v>3.8600000000000002E-2</v>
      </c>
    </row>
    <row r="6439" spans="1:10" x14ac:dyDescent="0.25">
      <c r="A6439" s="5" t="s">
        <v>6473</v>
      </c>
      <c r="B6439" s="5" t="s">
        <v>8306</v>
      </c>
      <c r="C6439" s="6" t="str">
        <f>_xll.QS.CONTEXT.CREATE("market.6437",A6439,"USD","SOFR")</f>
        <v>QSObject:PricingContext:w1~market.6437:7569</v>
      </c>
      <c r="D6439" s="6" t="str">
        <f>_xll.QS.CONTEXT.ADD.CURVE(C6439,"SOFR",$K$2:$K$7,$L$2:$L$7,,,"Actual360","LogLinear",TRUE)</f>
        <v>QSObject:ContextInput:w1~input.qs_context_add_curve.2359132437744.6438.3.0:34009</v>
      </c>
      <c r="E6439" s="6" t="str">
        <f>_xll.QS.INSTRUMENT.SWAP("swap.6437",H6439,B6439,"USD","SOFR",I6439,J6439,0,"Actual360","Simple","Annual","Annual","Annual")</f>
        <v>QSObject:Swap:w1~swap.6437:7568</v>
      </c>
      <c r="F6439" s="6" t="str">
        <f>_xll.QS.TRADE.CREATE("trade.6437",E6439,A6439,"Receive")</f>
        <v>QSObject:SwapTrade:w1~trade.6437:25455</v>
      </c>
      <c r="G6439" s="3">
        <f>_xll.QS.EVALUATE(C6439,F6439)</f>
        <v>50736.64439306478</v>
      </c>
      <c r="H6439" s="5" t="s">
        <v>6480</v>
      </c>
      <c r="I6439" s="7">
        <v>1643700</v>
      </c>
      <c r="J6439" s="8">
        <v>3.8700000000000012E-2</v>
      </c>
    </row>
    <row r="6440" spans="1:10" x14ac:dyDescent="0.25">
      <c r="A6440" s="5" t="s">
        <v>6474</v>
      </c>
      <c r="B6440" s="5" t="s">
        <v>8307</v>
      </c>
      <c r="C6440" s="6" t="str">
        <f>_xll.QS.CONTEXT.CREATE("market.6438",A6440,"USD","SOFR")</f>
        <v>QSObject:PricingContext:w1~market.6438:7567</v>
      </c>
      <c r="D6440" s="6" t="str">
        <f>_xll.QS.CONTEXT.ADD.CURVE(C6440,"SOFR",$K$2:$K$7,$L$2:$L$7,,,"Actual360","LogLinear",TRUE)</f>
        <v>QSObject:ContextInput:w1~input.qs_context_add_curve.2359132437744.6439.3.0:34008</v>
      </c>
      <c r="E6440" s="6" t="str">
        <f>_xll.QS.INSTRUMENT.SWAP("swap.6438",H6440,B6440,"USD","SOFR",I6440,J6440,0,"Actual360","Simple","Annual","Annual","Annual")</f>
        <v>QSObject:Swap:w1~swap.6438:7566</v>
      </c>
      <c r="F6440" s="6" t="str">
        <f>_xll.QS.TRADE.CREATE("trade.6438",E6440,A6440,"Receive")</f>
        <v>QSObject:SwapTrade:w1~trade.6438:25454</v>
      </c>
      <c r="G6440" s="3">
        <f>_xll.QS.EVALUATE(C6440,F6440)</f>
        <v>51293.752427961808</v>
      </c>
      <c r="H6440" s="5" t="s">
        <v>6481</v>
      </c>
      <c r="I6440" s="7">
        <v>1643800</v>
      </c>
      <c r="J6440" s="8">
        <v>3.8800000000000001E-2</v>
      </c>
    </row>
    <row r="6441" spans="1:10" x14ac:dyDescent="0.25">
      <c r="A6441" s="5" t="s">
        <v>6475</v>
      </c>
      <c r="B6441" s="5" t="s">
        <v>8308</v>
      </c>
      <c r="C6441" s="6" t="str">
        <f>_xll.QS.CONTEXT.CREATE("market.6439",A6441,"USD","SOFR")</f>
        <v>QSObject:PricingContext:w1~market.6439:7565</v>
      </c>
      <c r="D6441" s="6" t="str">
        <f>_xll.QS.CONTEXT.ADD.CURVE(C6441,"SOFR",$K$2:$K$7,$L$2:$L$7,,,"Actual360","LogLinear",TRUE)</f>
        <v>QSObject:ContextInput:w1~input.qs_context_add_curve.2359132437744.6440.3.0:34007</v>
      </c>
      <c r="E6441" s="6" t="str">
        <f>_xll.QS.INSTRUMENT.SWAP("swap.6439",H6441,B6441,"USD","SOFR",I6441,J6441,0,"Actual360","Simple","Annual","Annual","Annual")</f>
        <v>QSObject:Swap:w1~swap.6439:7564</v>
      </c>
      <c r="F6441" s="6" t="str">
        <f>_xll.QS.TRADE.CREATE("trade.6439",E6441,A6441,"Receive")</f>
        <v>QSObject:SwapTrade:w1~trade.6439:25453</v>
      </c>
      <c r="G6441" s="3">
        <f>_xll.QS.EVALUATE(C6441,F6441)</f>
        <v>52059.310312319169</v>
      </c>
      <c r="H6441" s="5" t="s">
        <v>6482</v>
      </c>
      <c r="I6441" s="7">
        <v>1643900</v>
      </c>
      <c r="J6441" s="8">
        <v>3.8899999999999997E-2</v>
      </c>
    </row>
    <row r="6442" spans="1:10" x14ac:dyDescent="0.25">
      <c r="A6442" s="5" t="s">
        <v>6476</v>
      </c>
      <c r="B6442" s="5" t="s">
        <v>8309</v>
      </c>
      <c r="C6442" s="6" t="str">
        <f>_xll.QS.CONTEXT.CREATE("market.6440",A6442,"USD","SOFR")</f>
        <v>QSObject:PricingContext:w1~market.6440:7563</v>
      </c>
      <c r="D6442" s="6" t="str">
        <f>_xll.QS.CONTEXT.ADD.CURVE(C6442,"SOFR",$K$2:$K$7,$L$2:$L$7,,,"Actual360","LogLinear",TRUE)</f>
        <v>QSObject:ContextInput:w1~input.qs_context_add_curve.2359132437744.6441.3.0:34006</v>
      </c>
      <c r="E6442" s="6" t="str">
        <f>_xll.QS.INSTRUMENT.SWAP("swap.6440",H6442,B6442,"USD","SOFR",I6442,J6442,0,"Actual360","Simple","Annual","Annual","Annual")</f>
        <v>QSObject:Swap:w1~swap.6440:7562</v>
      </c>
      <c r="F6442" s="6" t="str">
        <f>_xll.QS.TRADE.CREATE("trade.6440",E6442,A6442,"Receive")</f>
        <v>QSObject:SwapTrade:w1~trade.6440:25452</v>
      </c>
      <c r="G6442" s="3">
        <f>_xll.QS.EVALUATE(C6442,F6442)</f>
        <v>52891.082854024877</v>
      </c>
      <c r="H6442" s="5" t="s">
        <v>6483</v>
      </c>
      <c r="I6442" s="7">
        <v>1644000</v>
      </c>
      <c r="J6442" s="8">
        <v>3.9000000000000007E-2</v>
      </c>
    </row>
    <row r="6443" spans="1:10" x14ac:dyDescent="0.25">
      <c r="A6443" s="5" t="s">
        <v>6477</v>
      </c>
      <c r="B6443" s="5" t="s">
        <v>8310</v>
      </c>
      <c r="C6443" s="6" t="str">
        <f>_xll.QS.CONTEXT.CREATE("market.6441",A6443,"USD","SOFR")</f>
        <v>QSObject:PricingContext:w1~market.6441:7561</v>
      </c>
      <c r="D6443" s="6" t="str">
        <f>_xll.QS.CONTEXT.ADD.CURVE(C6443,"SOFR",$K$2:$K$7,$L$2:$L$7,,,"Actual360","LogLinear",TRUE)</f>
        <v>QSObject:ContextInput:w1~input.qs_context_add_curve.2359132437744.6442.3.0:34005</v>
      </c>
      <c r="E6443" s="6" t="str">
        <f>_xll.QS.INSTRUMENT.SWAP("swap.6441",H6443,B6443,"USD","SOFR",I6443,J6443,0,"Actual360","Simple","Annual","Annual","Annual")</f>
        <v>QSObject:Swap:w1~swap.6441:7560</v>
      </c>
      <c r="F6443" s="6" t="str">
        <f>_xll.QS.TRADE.CREATE("trade.6441",E6443,A6443,"Receive")</f>
        <v>QSObject:SwapTrade:w1~trade.6441:25451</v>
      </c>
      <c r="G6443" s="3">
        <f>_xll.QS.EVALUATE(C6443,F6443)</f>
        <v>53773.150360999862</v>
      </c>
      <c r="H6443" s="5" t="s">
        <v>6484</v>
      </c>
      <c r="I6443" s="7">
        <v>1644100</v>
      </c>
      <c r="J6443" s="8">
        <v>3.9100000000000003E-2</v>
      </c>
    </row>
    <row r="6444" spans="1:10" x14ac:dyDescent="0.25">
      <c r="A6444" s="5" t="s">
        <v>6478</v>
      </c>
      <c r="B6444" s="5" t="s">
        <v>8311</v>
      </c>
      <c r="C6444" s="6" t="str">
        <f>_xll.QS.CONTEXT.CREATE("market.6442",A6444,"USD","SOFR")</f>
        <v>QSObject:PricingContext:w1~market.6442:7559</v>
      </c>
      <c r="D6444" s="6" t="str">
        <f>_xll.QS.CONTEXT.ADD.CURVE(C6444,"SOFR",$K$2:$K$7,$L$2:$L$7,,,"Actual360","LogLinear",TRUE)</f>
        <v>QSObject:ContextInput:w1~input.qs_context_add_curve.2359132437744.6443.3.0:34004</v>
      </c>
      <c r="E6444" s="6" t="str">
        <f>_xll.QS.INSTRUMENT.SWAP("swap.6442",H6444,B6444,"USD","SOFR",I6444,J6444,0,"Actual360","Simple","Annual","Annual","Annual")</f>
        <v>QSObject:Swap:w1~swap.6442:7558</v>
      </c>
      <c r="F6444" s="6" t="str">
        <f>_xll.QS.TRADE.CREATE("trade.6442",E6444,A6444,"Receive")</f>
        <v>QSObject:SwapTrade:w1~trade.6442:25450</v>
      </c>
      <c r="G6444" s="3">
        <f>_xll.QS.EVALUATE(C6444,F6444)</f>
        <v>54534.72791820523</v>
      </c>
      <c r="H6444" s="5" t="s">
        <v>6485</v>
      </c>
      <c r="I6444" s="7">
        <v>1644200</v>
      </c>
      <c r="J6444" s="8">
        <v>3.9200000000000013E-2</v>
      </c>
    </row>
    <row r="6445" spans="1:10" x14ac:dyDescent="0.25">
      <c r="A6445" s="5" t="s">
        <v>6479</v>
      </c>
      <c r="B6445" s="5" t="s">
        <v>8312</v>
      </c>
      <c r="C6445" s="6" t="str">
        <f>_xll.QS.CONTEXT.CREATE("market.6443",A6445,"USD","SOFR")</f>
        <v>QSObject:PricingContext:w1~market.6443:7557</v>
      </c>
      <c r="D6445" s="6" t="str">
        <f>_xll.QS.CONTEXT.ADD.CURVE(C6445,"SOFR",$K$2:$K$7,$L$2:$L$7,,,"Actual360","LogLinear",TRUE)</f>
        <v>QSObject:ContextInput:w1~input.qs_context_add_curve.2359132437744.6444.3.0:34003</v>
      </c>
      <c r="E6445" s="6" t="str">
        <f>_xll.QS.INSTRUMENT.SWAP("swap.6443",H6445,B6445,"USD","SOFR",I6445,J6445,0,"Actual360","Simple","Annual","Annual","Annual")</f>
        <v>QSObject:Swap:w1~swap.6443:7556</v>
      </c>
      <c r="F6445" s="6" t="str">
        <f>_xll.QS.TRADE.CREATE("trade.6443",E6445,A6445,"Receive")</f>
        <v>QSObject:SwapTrade:w1~trade.6443:25449</v>
      </c>
      <c r="G6445" s="3">
        <f>_xll.QS.EVALUATE(C6445,F6445)</f>
        <v>55305.853346098011</v>
      </c>
      <c r="H6445" s="5" t="s">
        <v>6486</v>
      </c>
      <c r="I6445" s="7">
        <v>1644300</v>
      </c>
      <c r="J6445" s="8">
        <v>3.9300000000000002E-2</v>
      </c>
    </row>
    <row r="6446" spans="1:10" x14ac:dyDescent="0.25">
      <c r="A6446" s="5" t="s">
        <v>6480</v>
      </c>
      <c r="B6446" s="5" t="s">
        <v>8313</v>
      </c>
      <c r="C6446" s="6" t="str">
        <f>_xll.QS.CONTEXT.CREATE("market.6444",A6446,"USD","SOFR")</f>
        <v>QSObject:PricingContext:w1~market.6444:7555</v>
      </c>
      <c r="D6446" s="6" t="str">
        <f>_xll.QS.CONTEXT.ADD.CURVE(C6446,"SOFR",$K$2:$K$7,$L$2:$L$7,,,"Actual360","LogLinear",TRUE)</f>
        <v>QSObject:ContextInput:w1~input.qs_context_add_curve.2359132437744.6445.3.0:34002</v>
      </c>
      <c r="E6446" s="6" t="str">
        <f>_xll.QS.INSTRUMENT.SWAP("swap.6444",H6446,B6446,"USD","SOFR",I6446,J6446,0,"Actual360","Simple","Annual","Annual","Annual")</f>
        <v>QSObject:Swap:w1~swap.6444:7554</v>
      </c>
      <c r="F6446" s="6" t="str">
        <f>_xll.QS.TRADE.CREATE("trade.6444",E6446,A6446,"Receive")</f>
        <v>QSObject:SwapTrade:w1~trade.6444:25448</v>
      </c>
      <c r="G6446" s="3">
        <f>_xll.QS.EVALUATE(C6446,F6446)</f>
        <v>56068.360593951118</v>
      </c>
      <c r="H6446" s="5" t="s">
        <v>6487</v>
      </c>
      <c r="I6446" s="7">
        <v>1644400</v>
      </c>
      <c r="J6446" s="8">
        <v>3.9399999999999998E-2</v>
      </c>
    </row>
    <row r="6447" spans="1:10" x14ac:dyDescent="0.25">
      <c r="A6447" s="5" t="s">
        <v>6481</v>
      </c>
      <c r="B6447" s="5" t="s">
        <v>8314</v>
      </c>
      <c r="C6447" s="6" t="str">
        <f>_xll.QS.CONTEXT.CREATE("market.6445",A6447,"USD","SOFR")</f>
        <v>QSObject:PricingContext:w1~market.6445:7553</v>
      </c>
      <c r="D6447" s="6" t="str">
        <f>_xll.QS.CONTEXT.ADD.CURVE(C6447,"SOFR",$K$2:$K$7,$L$2:$L$7,,,"Actual360","LogLinear",TRUE)</f>
        <v>QSObject:ContextInput:w1~input.qs_context_add_curve.2359132437744.6446.3.0:34001</v>
      </c>
      <c r="E6447" s="6" t="str">
        <f>_xll.QS.INSTRUMENT.SWAP("swap.6445",H6447,B6447,"USD","SOFR",I6447,J6447,0,"Actual360","Simple","Annual","Annual","Annual")</f>
        <v>QSObject:Swap:w1~swap.6445:7552</v>
      </c>
      <c r="F6447" s="6" t="str">
        <f>_xll.QS.TRADE.CREATE("trade.6445",E6447,A6447,"Receive")</f>
        <v>QSObject:SwapTrade:w1~trade.6445:25447</v>
      </c>
      <c r="G6447" s="3">
        <f>_xll.QS.EVALUATE(C6447,F6447)</f>
        <v>56555.967819727543</v>
      </c>
      <c r="H6447" s="5" t="s">
        <v>6488</v>
      </c>
      <c r="I6447" s="7">
        <v>1644500</v>
      </c>
      <c r="J6447" s="8">
        <v>3.9500000000000007E-2</v>
      </c>
    </row>
    <row r="6448" spans="1:10" x14ac:dyDescent="0.25">
      <c r="A6448" s="5" t="s">
        <v>6482</v>
      </c>
      <c r="B6448" s="5" t="s">
        <v>8315</v>
      </c>
      <c r="C6448" s="6" t="str">
        <f>_xll.QS.CONTEXT.CREATE("market.6446",A6448,"USD","SOFR")</f>
        <v>QSObject:PricingContext:w1~market.6446:7551</v>
      </c>
      <c r="D6448" s="6" t="str">
        <f>_xll.QS.CONTEXT.ADD.CURVE(C6448,"SOFR",$K$2:$K$7,$L$2:$L$7,,,"Actual360","LogLinear",TRUE)</f>
        <v>QSObject:ContextInput:w1~input.qs_context_add_curve.2359132437744.6447.3.0:34000</v>
      </c>
      <c r="E6448" s="6" t="str">
        <f>_xll.QS.INSTRUMENT.SWAP("swap.6446",H6448,B6448,"USD","SOFR",I6448,J6448,0,"Actual360","Simple","Annual","Annual","Annual")</f>
        <v>QSObject:Swap:w1~swap.6446:7550</v>
      </c>
      <c r="F6448" s="6" t="str">
        <f>_xll.QS.TRADE.CREATE("trade.6446",E6448,A6448,"Receive")</f>
        <v>QSObject:SwapTrade:w1~trade.6446:25446</v>
      </c>
      <c r="G6448" s="3">
        <f>_xll.QS.EVALUATE(C6448,F6448)</f>
        <v>57322.650895674786</v>
      </c>
      <c r="H6448" s="5" t="s">
        <v>6489</v>
      </c>
      <c r="I6448" s="7">
        <v>1644600</v>
      </c>
      <c r="J6448" s="8">
        <v>3.9600000000000003E-2</v>
      </c>
    </row>
    <row r="6449" spans="1:10" x14ac:dyDescent="0.25">
      <c r="A6449" s="5" t="s">
        <v>6483</v>
      </c>
      <c r="B6449" s="5" t="s">
        <v>8316</v>
      </c>
      <c r="C6449" s="6" t="str">
        <f>_xll.QS.CONTEXT.CREATE("market.6447",A6449,"USD","SOFR")</f>
        <v>QSObject:PricingContext:w1~market.6447:7549</v>
      </c>
      <c r="D6449" s="6" t="str">
        <f>_xll.QS.CONTEXT.ADD.CURVE(C6449,"SOFR",$K$2:$K$7,$L$2:$L$7,,,"Actual360","LogLinear",TRUE)</f>
        <v>QSObject:ContextInput:w1~input.qs_context_add_curve.2359132437744.6448.3.0:33999</v>
      </c>
      <c r="E6449" s="6" t="str">
        <f>_xll.QS.INSTRUMENT.SWAP("swap.6447",H6449,B6449,"USD","SOFR",I6449,J6449,0,"Actual360","Simple","Annual","Annual","Annual")</f>
        <v>QSObject:Swap:w1~swap.6447:7548</v>
      </c>
      <c r="F6449" s="6" t="str">
        <f>_xll.QS.TRADE.CREATE("trade.6447",E6449,A6449,"Receive")</f>
        <v>QSObject:SwapTrade:w1~trade.6447:25445</v>
      </c>
      <c r="G6449" s="3">
        <f>_xll.QS.EVALUATE(C6449,F6449)</f>
        <v>58155.511038504999</v>
      </c>
      <c r="H6449" s="5" t="s">
        <v>6490</v>
      </c>
      <c r="I6449" s="7">
        <v>1644700</v>
      </c>
      <c r="J6449" s="8">
        <v>3.9700000000000013E-2</v>
      </c>
    </row>
    <row r="6450" spans="1:10" x14ac:dyDescent="0.25">
      <c r="A6450" s="5" t="s">
        <v>6484</v>
      </c>
      <c r="B6450" s="5" t="s">
        <v>8317</v>
      </c>
      <c r="C6450" s="6" t="str">
        <f>_xll.QS.CONTEXT.CREATE("market.6448",A6450,"USD","SOFR")</f>
        <v>QSObject:PricingContext:w1~market.6448:7547</v>
      </c>
      <c r="D6450" s="6" t="str">
        <f>_xll.QS.CONTEXT.ADD.CURVE(C6450,"SOFR",$K$2:$K$7,$L$2:$L$7,,,"Actual360","LogLinear",TRUE)</f>
        <v>QSObject:ContextInput:w1~input.qs_context_add_curve.2359132437744.6449.3.0:33998</v>
      </c>
      <c r="E6450" s="6" t="str">
        <f>_xll.QS.INSTRUMENT.SWAP("swap.6448",H6450,B6450,"USD","SOFR",I6450,J6450,0,"Actual360","Simple","Annual","Annual","Annual")</f>
        <v>QSObject:Swap:w1~swap.6448:7546</v>
      </c>
      <c r="F6450" s="6" t="str">
        <f>_xll.QS.TRADE.CREATE("trade.6448",E6450,A6450,"Receive")</f>
        <v>QSObject:SwapTrade:w1~trade.6448:25444</v>
      </c>
      <c r="G6450" s="3">
        <f>_xll.QS.EVALUATE(C6450,F6450)</f>
        <v>59169.752943583648</v>
      </c>
      <c r="H6450" s="5" t="s">
        <v>6491</v>
      </c>
      <c r="I6450" s="7">
        <v>1644800</v>
      </c>
      <c r="J6450" s="8">
        <v>3.9800000000000002E-2</v>
      </c>
    </row>
    <row r="6451" spans="1:10" x14ac:dyDescent="0.25">
      <c r="A6451" s="5" t="s">
        <v>6485</v>
      </c>
      <c r="B6451" s="5" t="s">
        <v>8318</v>
      </c>
      <c r="C6451" s="6" t="str">
        <f>_xll.QS.CONTEXT.CREATE("market.6449",A6451,"USD","SOFR")</f>
        <v>QSObject:PricingContext:w1~market.6449:7545</v>
      </c>
      <c r="D6451" s="6" t="str">
        <f>_xll.QS.CONTEXT.ADD.CURVE(C6451,"SOFR",$K$2:$K$7,$L$2:$L$7,,,"Actual360","LogLinear",TRUE)</f>
        <v>QSObject:ContextInput:w1~input.qs_context_add_curve.2359132437744.6450.3.0:33997</v>
      </c>
      <c r="E6451" s="6" t="str">
        <f>_xll.QS.INSTRUMENT.SWAP("swap.6449",H6451,B6451,"USD","SOFR",I6451,J6451,0,"Actual360","Simple","Annual","Annual","Annual")</f>
        <v>QSObject:Swap:w1~swap.6449:7544</v>
      </c>
      <c r="F6451" s="6" t="str">
        <f>_xll.QS.TRADE.CREATE("trade.6449",E6451,A6451,"Receive")</f>
        <v>QSObject:SwapTrade:w1~trade.6449:25443</v>
      </c>
      <c r="G6451" s="3">
        <f>_xll.QS.EVALUATE(C6451,F6451)</f>
        <v>59931.943703577963</v>
      </c>
      <c r="H6451" s="5" t="s">
        <v>6492</v>
      </c>
      <c r="I6451" s="7">
        <v>1644900</v>
      </c>
      <c r="J6451" s="8">
        <v>3.9899999999999998E-2</v>
      </c>
    </row>
    <row r="6452" spans="1:10" x14ac:dyDescent="0.25">
      <c r="A6452" s="5" t="s">
        <v>6486</v>
      </c>
      <c r="B6452" s="5" t="s">
        <v>8319</v>
      </c>
      <c r="C6452" s="6" t="str">
        <f>_xll.QS.CONTEXT.CREATE("market.6450",A6452,"USD","SOFR")</f>
        <v>QSObject:PricingContext:w1~market.6450:7543</v>
      </c>
      <c r="D6452" s="6" t="str">
        <f>_xll.QS.CONTEXT.ADD.CURVE(C6452,"SOFR",$K$2:$K$7,$L$2:$L$7,,,"Actual360","LogLinear",TRUE)</f>
        <v>QSObject:ContextInput:w1~input.qs_context_add_curve.2359132437744.6451.3.0:33996</v>
      </c>
      <c r="E6452" s="6" t="str">
        <f>_xll.QS.INSTRUMENT.SWAP("swap.6450",H6452,B6452,"USD","SOFR",I6452,J6452,0,"Actual360","Simple","Annual","Annual","Annual")</f>
        <v>QSObject:Swap:w1~swap.6450:7542</v>
      </c>
      <c r="F6452" s="6" t="str">
        <f>_xll.QS.TRADE.CREATE("trade.6450",E6452,A6452,"Receive")</f>
        <v>QSObject:SwapTrade:w1~trade.6450:25442</v>
      </c>
      <c r="G6452" s="3">
        <f>_xll.QS.EVALUATE(C6452,F6452)</f>
        <v>22760.09272225629</v>
      </c>
      <c r="H6452" s="5" t="s">
        <v>6493</v>
      </c>
      <c r="I6452" s="7">
        <v>1645000</v>
      </c>
      <c r="J6452" s="8">
        <v>3.5000000000000003E-2</v>
      </c>
    </row>
    <row r="6453" spans="1:10" x14ac:dyDescent="0.25">
      <c r="A6453" s="5" t="s">
        <v>6487</v>
      </c>
      <c r="B6453" s="5" t="s">
        <v>8320</v>
      </c>
      <c r="C6453" s="6" t="str">
        <f>_xll.QS.CONTEXT.CREATE("market.6451",A6453,"USD","SOFR")</f>
        <v>QSObject:PricingContext:w1~market.6451:7541</v>
      </c>
      <c r="D6453" s="6" t="str">
        <f>_xll.QS.CONTEXT.ADD.CURVE(C6453,"SOFR",$K$2:$K$7,$L$2:$L$7,,,"Actual360","LogLinear",TRUE)</f>
        <v>QSObject:ContextInput:w1~input.qs_context_add_curve.2359132437744.6452.3.0:33995</v>
      </c>
      <c r="E6453" s="6" t="str">
        <f>_xll.QS.INSTRUMENT.SWAP("swap.6451",H6453,B6453,"USD","SOFR",I6453,J6453,0,"Actual360","Simple","Annual","Annual","Annual")</f>
        <v>QSObject:Swap:w1~swap.6451:7540</v>
      </c>
      <c r="F6453" s="6" t="str">
        <f>_xll.QS.TRADE.CREATE("trade.6451",E6453,A6453,"Receive")</f>
        <v>QSObject:SwapTrade:w1~trade.6451:25441</v>
      </c>
      <c r="G6453" s="3">
        <f>_xll.QS.EVALUATE(C6453,F6453)</f>
        <v>23521.623490330669</v>
      </c>
      <c r="H6453" s="5" t="s">
        <v>6494</v>
      </c>
      <c r="I6453" s="7">
        <v>1645100</v>
      </c>
      <c r="J6453" s="8">
        <v>3.5100000000000013E-2</v>
      </c>
    </row>
    <row r="6454" spans="1:10" x14ac:dyDescent="0.25">
      <c r="A6454" s="5" t="s">
        <v>6488</v>
      </c>
      <c r="B6454" s="5" t="s">
        <v>8321</v>
      </c>
      <c r="C6454" s="6" t="str">
        <f>_xll.QS.CONTEXT.CREATE("market.6452",A6454,"USD","SOFR")</f>
        <v>QSObject:PricingContext:w1~market.6452:7539</v>
      </c>
      <c r="D6454" s="6" t="str">
        <f>_xll.QS.CONTEXT.ADD.CURVE(C6454,"SOFR",$K$2:$K$7,$L$2:$L$7,,,"Actual360","LogLinear",TRUE)</f>
        <v>QSObject:ContextInput:w1~input.qs_context_add_curve.2359132437744.6453.3.0:33994</v>
      </c>
      <c r="E6454" s="6" t="str">
        <f>_xll.QS.INSTRUMENT.SWAP("swap.6452",H6454,B6454,"USD","SOFR",I6454,J6454,0,"Actual360","Simple","Annual","Annual","Annual")</f>
        <v>QSObject:Swap:w1~swap.6452:7538</v>
      </c>
      <c r="F6454" s="6" t="str">
        <f>_xll.QS.TRADE.CREATE("trade.6452",E6454,A6454,"Receive")</f>
        <v>QSObject:SwapTrade:w1~trade.6452:25440</v>
      </c>
      <c r="G6454" s="3">
        <f>_xll.QS.EVALUATE(C6454,F6454)</f>
        <v>24083.275964704357</v>
      </c>
      <c r="H6454" s="5" t="s">
        <v>6495</v>
      </c>
      <c r="I6454" s="7">
        <v>1645200</v>
      </c>
      <c r="J6454" s="8">
        <v>3.5200000000000002E-2</v>
      </c>
    </row>
    <row r="6455" spans="1:10" x14ac:dyDescent="0.25">
      <c r="A6455" s="5" t="s">
        <v>6489</v>
      </c>
      <c r="B6455" s="5" t="s">
        <v>8322</v>
      </c>
      <c r="C6455" s="6" t="str">
        <f>_xll.QS.CONTEXT.CREATE("market.6453",A6455,"USD","SOFR")</f>
        <v>QSObject:PricingContext:w1~market.6453:7537</v>
      </c>
      <c r="D6455" s="6" t="str">
        <f>_xll.QS.CONTEXT.ADD.CURVE(C6455,"SOFR",$K$2:$K$7,$L$2:$L$7,,,"Actual360","LogLinear",TRUE)</f>
        <v>QSObject:ContextInput:w1~input.qs_context_add_curve.2359132437744.6454.3.0:33993</v>
      </c>
      <c r="E6455" s="6" t="str">
        <f>_xll.QS.INSTRUMENT.SWAP("swap.6453",H6455,B6455,"USD","SOFR",I6455,J6455,0,"Actual360","Simple","Annual","Annual","Annual")</f>
        <v>QSObject:Swap:w1~swap.6453:7536</v>
      </c>
      <c r="F6455" s="6" t="str">
        <f>_xll.QS.TRADE.CREATE("trade.6453",E6455,A6455,"Receive")</f>
        <v>QSObject:SwapTrade:w1~trade.6453:25439</v>
      </c>
      <c r="G6455" s="3">
        <f>_xll.QS.EVALUATE(C6455,F6455)</f>
        <v>24845.705382440879</v>
      </c>
      <c r="H6455" s="5" t="s">
        <v>6496</v>
      </c>
      <c r="I6455" s="7">
        <v>1645300</v>
      </c>
      <c r="J6455" s="8">
        <v>3.5299999999999998E-2</v>
      </c>
    </row>
    <row r="6456" spans="1:10" x14ac:dyDescent="0.25">
      <c r="A6456" s="5" t="s">
        <v>6490</v>
      </c>
      <c r="B6456" s="5" t="s">
        <v>8323</v>
      </c>
      <c r="C6456" s="6" t="str">
        <f>_xll.QS.CONTEXT.CREATE("market.6454",A6456,"USD","SOFR")</f>
        <v>QSObject:PricingContext:w1~market.6454:7535</v>
      </c>
      <c r="D6456" s="6" t="str">
        <f>_xll.QS.CONTEXT.ADD.CURVE(C6456,"SOFR",$K$2:$K$7,$L$2:$L$7,,,"Actual360","LogLinear",TRUE)</f>
        <v>QSObject:ContextInput:w1~input.qs_context_add_curve.2359132437744.6455.3.0:33992</v>
      </c>
      <c r="E6456" s="6" t="str">
        <f>_xll.QS.INSTRUMENT.SWAP("swap.6454",H6456,B6456,"USD","SOFR",I6456,J6456,0,"Actual360","Simple","Annual","Annual","Annual")</f>
        <v>QSObject:Swap:w1~swap.6454:7534</v>
      </c>
      <c r="F6456" s="6" t="str">
        <f>_xll.QS.TRADE.CREATE("trade.6454",E6456,A6456,"Receive")</f>
        <v>QSObject:SwapTrade:w1~trade.6454:25438</v>
      </c>
      <c r="G6456" s="3">
        <f>_xll.QS.EVALUATE(C6456,F6456)</f>
        <v>25607.88080751276</v>
      </c>
      <c r="H6456" s="5" t="s">
        <v>6497</v>
      </c>
      <c r="I6456" s="7">
        <v>1645400</v>
      </c>
      <c r="J6456" s="8">
        <v>3.5400000000000001E-2</v>
      </c>
    </row>
    <row r="6457" spans="1:10" x14ac:dyDescent="0.25">
      <c r="A6457" s="5" t="s">
        <v>6491</v>
      </c>
      <c r="B6457" s="5" t="s">
        <v>8324</v>
      </c>
      <c r="C6457" s="6" t="str">
        <f>_xll.QS.CONTEXT.CREATE("market.6455",A6457,"USD","SOFR")</f>
        <v>QSObject:PricingContext:w1~market.6455:7533</v>
      </c>
      <c r="D6457" s="6" t="str">
        <f>_xll.QS.CONTEXT.ADD.CURVE(C6457,"SOFR",$K$2:$K$7,$L$2:$L$7,,,"Actual360","LogLinear",TRUE)</f>
        <v>QSObject:ContextInput:w1~input.qs_context_add_curve.2359132437744.6456.3.0:33991</v>
      </c>
      <c r="E6457" s="6" t="str">
        <f>_xll.QS.INSTRUMENT.SWAP("swap.6455",H6457,B6457,"USD","SOFR",I6457,J6457,0,"Actual360","Simple","Annual","Annual","Annual")</f>
        <v>QSObject:Swap:w1~swap.6455:7532</v>
      </c>
      <c r="F6457" s="6" t="str">
        <f>_xll.QS.TRADE.CREATE("trade.6455",E6457,A6457,"Receive")</f>
        <v>QSObject:SwapTrade:w1~trade.6455:25437</v>
      </c>
      <c r="G6457" s="3">
        <f>_xll.QS.EVALUATE(C6457,F6457)</f>
        <v>26488.535755242585</v>
      </c>
      <c r="H6457" s="5" t="s">
        <v>6498</v>
      </c>
      <c r="I6457" s="7">
        <v>1645500</v>
      </c>
      <c r="J6457" s="8">
        <v>3.5499999999999997E-2</v>
      </c>
    </row>
    <row r="6458" spans="1:10" x14ac:dyDescent="0.25">
      <c r="A6458" s="5" t="s">
        <v>6492</v>
      </c>
      <c r="B6458" s="5" t="s">
        <v>8325</v>
      </c>
      <c r="C6458" s="6" t="str">
        <f>_xll.QS.CONTEXT.CREATE("market.6456",A6458,"USD","SOFR")</f>
        <v>QSObject:PricingContext:w1~market.6456:7531</v>
      </c>
      <c r="D6458" s="6" t="str">
        <f>_xll.QS.CONTEXT.ADD.CURVE(C6458,"SOFR",$K$2:$K$7,$L$2:$L$7,,,"Actual360","LogLinear",TRUE)</f>
        <v>QSObject:ContextInput:w1~input.qs_context_add_curve.2359132437744.6457.3.0:33990</v>
      </c>
      <c r="E6458" s="6" t="str">
        <f>_xll.QS.INSTRUMENT.SWAP("swap.6456",H6458,B6458,"USD","SOFR",I6458,J6458,0,"Actual360","Simple","Annual","Annual","Annual")</f>
        <v>QSObject:Swap:w1~swap.6456:7530</v>
      </c>
      <c r="F6458" s="6" t="str">
        <f>_xll.QS.TRADE.CREATE("trade.6456",E6458,A6458,"Receive")</f>
        <v>QSObject:SwapTrade:w1~trade.6456:25436</v>
      </c>
      <c r="G6458" s="3">
        <f>_xll.QS.EVALUATE(C6458,F6458)</f>
        <v>27249.085274587691</v>
      </c>
      <c r="H6458" s="5" t="s">
        <v>6499</v>
      </c>
      <c r="I6458" s="7">
        <v>1645600</v>
      </c>
      <c r="J6458" s="8">
        <v>3.5600000000000007E-2</v>
      </c>
    </row>
    <row r="6459" spans="1:10" x14ac:dyDescent="0.25">
      <c r="A6459" s="5" t="s">
        <v>6493</v>
      </c>
      <c r="B6459" s="5" t="s">
        <v>8326</v>
      </c>
      <c r="C6459" s="6" t="str">
        <f>_xll.QS.CONTEXT.CREATE("market.6457",A6459,"USD","SOFR")</f>
        <v>QSObject:PricingContext:w1~market.6457:7529</v>
      </c>
      <c r="D6459" s="6" t="str">
        <f>_xll.QS.CONTEXT.ADD.CURVE(C6459,"SOFR",$K$2:$K$7,$L$2:$L$7,,,"Actual360","LogLinear",TRUE)</f>
        <v>QSObject:ContextInput:w1~input.qs_context_add_curve.2359132437744.6458.3.0:33989</v>
      </c>
      <c r="E6459" s="6" t="str">
        <f>_xll.QS.INSTRUMENT.SWAP("swap.6457",H6459,B6459,"USD","SOFR",I6459,J6459,0,"Actual360","Simple","Annual","Annual","Annual")</f>
        <v>QSObject:Swap:w1~swap.6457:7528</v>
      </c>
      <c r="F6459" s="6" t="str">
        <f>_xll.QS.TRADE.CREATE("trade.6457",E6459,A6459,"Receive")</f>
        <v>QSObject:SwapTrade:w1~trade.6457:25435</v>
      </c>
      <c r="G6459" s="3">
        <f>_xll.QS.EVALUATE(C6459,F6459)</f>
        <v>28018.721628755273</v>
      </c>
      <c r="H6459" s="5" t="s">
        <v>6500</v>
      </c>
      <c r="I6459" s="7">
        <v>1645700</v>
      </c>
      <c r="J6459" s="8">
        <v>3.5700000000000003E-2</v>
      </c>
    </row>
    <row r="6460" spans="1:10" x14ac:dyDescent="0.25">
      <c r="A6460" s="5" t="s">
        <v>6494</v>
      </c>
      <c r="B6460" s="5" t="s">
        <v>8327</v>
      </c>
      <c r="C6460" s="6" t="str">
        <f>_xll.QS.CONTEXT.CREATE("market.6458",A6460,"USD","SOFR")</f>
        <v>QSObject:PricingContext:w1~market.6458:7527</v>
      </c>
      <c r="D6460" s="6" t="str">
        <f>_xll.QS.CONTEXT.ADD.CURVE(C6460,"SOFR",$K$2:$K$7,$L$2:$L$7,,,"Actual360","LogLinear",TRUE)</f>
        <v>QSObject:ContextInput:w1~input.qs_context_add_curve.2359132437744.6459.3.0:33988</v>
      </c>
      <c r="E6460" s="6" t="str">
        <f>_xll.QS.INSTRUMENT.SWAP("swap.6458",H6460,B6460,"USD","SOFR",I6460,J6460,0,"Actual360","Simple","Annual","Annual","Annual")</f>
        <v>QSObject:Swap:w1~swap.6458:7526</v>
      </c>
      <c r="F6460" s="6" t="str">
        <f>_xll.QS.TRADE.CREATE("trade.6458",E6460,A6460,"Receive")</f>
        <v>QSObject:SwapTrade:w1~trade.6458:25434</v>
      </c>
      <c r="G6460" s="3">
        <f>_xll.QS.EVALUATE(C6460,F6460)</f>
        <v>28781.075331235443</v>
      </c>
      <c r="H6460" s="5" t="s">
        <v>6501</v>
      </c>
      <c r="I6460" s="7">
        <v>1645800</v>
      </c>
      <c r="J6460" s="8">
        <v>3.5800000000000012E-2</v>
      </c>
    </row>
    <row r="6461" spans="1:10" x14ac:dyDescent="0.25">
      <c r="A6461" s="5" t="s">
        <v>6495</v>
      </c>
      <c r="B6461" s="5" t="s">
        <v>8328</v>
      </c>
      <c r="C6461" s="6" t="str">
        <f>_xll.QS.CONTEXT.CREATE("market.6459",A6461,"USD","SOFR")</f>
        <v>QSObject:PricingContext:w1~market.6459:7525</v>
      </c>
      <c r="D6461" s="6" t="str">
        <f>_xll.QS.CONTEXT.ADD.CURVE(C6461,"SOFR",$K$2:$K$7,$L$2:$L$7,,,"Actual360","LogLinear",TRUE)</f>
        <v>QSObject:ContextInput:w1~input.qs_context_add_curve.2359132437744.6460.3.0:33987</v>
      </c>
      <c r="E6461" s="6" t="str">
        <f>_xll.QS.INSTRUMENT.SWAP("swap.6459",H6461,B6461,"USD","SOFR",I6461,J6461,0,"Actual360","Simple","Annual","Annual","Annual")</f>
        <v>QSObject:Swap:w1~swap.6459:7524</v>
      </c>
      <c r="F6461" s="6" t="str">
        <f>_xll.QS.TRADE.CREATE("trade.6459",E6461,A6461,"Receive")</f>
        <v>QSObject:SwapTrade:w1~trade.6459:25433</v>
      </c>
      <c r="G6461" s="3">
        <f>_xll.QS.EVALUATE(C6461,F6461)</f>
        <v>29341.982553198468</v>
      </c>
      <c r="H6461" s="5" t="s">
        <v>6502</v>
      </c>
      <c r="I6461" s="7">
        <v>1645900</v>
      </c>
      <c r="J6461" s="8">
        <v>3.5900000000000001E-2</v>
      </c>
    </row>
    <row r="6462" spans="1:10" x14ac:dyDescent="0.25">
      <c r="A6462" s="5" t="s">
        <v>6496</v>
      </c>
      <c r="B6462" s="5" t="s">
        <v>8329</v>
      </c>
      <c r="C6462" s="6" t="str">
        <f>_xll.QS.CONTEXT.CREATE("market.6460",A6462,"USD","SOFR")</f>
        <v>QSObject:PricingContext:w1~market.6460:7523</v>
      </c>
      <c r="D6462" s="6" t="str">
        <f>_xll.QS.CONTEXT.ADD.CURVE(C6462,"SOFR",$K$2:$K$7,$L$2:$L$7,,,"Actual360","LogLinear",TRUE)</f>
        <v>QSObject:ContextInput:w1~input.qs_context_add_curve.2359132437744.6461.3.0:33986</v>
      </c>
      <c r="E6462" s="6" t="str">
        <f>_xll.QS.INSTRUMENT.SWAP("swap.6460",H6462,B6462,"USD","SOFR",I6462,J6462,0,"Actual360","Simple","Annual","Annual","Annual")</f>
        <v>QSObject:Swap:w1~swap.6460:7522</v>
      </c>
      <c r="F6462" s="6" t="str">
        <f>_xll.QS.TRADE.CREATE("trade.6460",E6462,A6462,"Receive")</f>
        <v>QSObject:SwapTrade:w1~trade.6460:25432</v>
      </c>
      <c r="G6462" s="3">
        <f>_xll.QS.EVALUATE(C6462,F6462)</f>
        <v>30105.330053437581</v>
      </c>
      <c r="H6462" s="5" t="s">
        <v>6503</v>
      </c>
      <c r="I6462" s="7">
        <v>1646000</v>
      </c>
      <c r="J6462" s="8">
        <v>3.5999999999999997E-2</v>
      </c>
    </row>
    <row r="6463" spans="1:10" x14ac:dyDescent="0.25">
      <c r="A6463" s="5" t="s">
        <v>6497</v>
      </c>
      <c r="B6463" s="5" t="s">
        <v>8330</v>
      </c>
      <c r="C6463" s="6" t="str">
        <f>_xll.QS.CONTEXT.CREATE("market.6461",A6463,"USD","SOFR")</f>
        <v>QSObject:PricingContext:w1~market.6461:7521</v>
      </c>
      <c r="D6463" s="6" t="str">
        <f>_xll.QS.CONTEXT.ADD.CURVE(C6463,"SOFR",$K$2:$K$7,$L$2:$L$7,,,"Actual360","LogLinear",TRUE)</f>
        <v>QSObject:ContextInput:w1~input.qs_context_add_curve.2359132437744.6462.3.0:33985</v>
      </c>
      <c r="E6463" s="6" t="str">
        <f>_xll.QS.INSTRUMENT.SWAP("swap.6461",H6463,B6463,"USD","SOFR",I6463,J6463,0,"Actual360","Simple","Annual","Annual","Annual")</f>
        <v>QSObject:Swap:w1~swap.6461:7520</v>
      </c>
      <c r="F6463" s="6" t="str">
        <f>_xll.QS.TRADE.CREATE("trade.6461",E6463,A6463,"Receive")</f>
        <v>QSObject:SwapTrade:w1~trade.6461:25431</v>
      </c>
      <c r="G6463" s="3">
        <f>_xll.QS.EVALUATE(C6463,F6463)</f>
        <v>30934.668856294767</v>
      </c>
      <c r="H6463" s="5" t="s">
        <v>6504</v>
      </c>
      <c r="I6463" s="7">
        <v>1646100</v>
      </c>
      <c r="J6463" s="8">
        <v>3.61E-2</v>
      </c>
    </row>
    <row r="6464" spans="1:10" x14ac:dyDescent="0.25">
      <c r="A6464" s="5" t="s">
        <v>6498</v>
      </c>
      <c r="B6464" s="5" t="s">
        <v>8331</v>
      </c>
      <c r="C6464" s="6" t="str">
        <f>_xll.QS.CONTEXT.CREATE("market.6462",A6464,"USD","SOFR")</f>
        <v>QSObject:PricingContext:w1~market.6462:7519</v>
      </c>
      <c r="D6464" s="6" t="str">
        <f>_xll.QS.CONTEXT.ADD.CURVE(C6464,"SOFR",$K$2:$K$7,$L$2:$L$7,,,"Actual360","LogLinear",TRUE)</f>
        <v>QSObject:ContextInput:w1~input.qs_context_add_curve.2359132437744.6463.3.0:33984</v>
      </c>
      <c r="E6464" s="6" t="str">
        <f>_xll.QS.INSTRUMENT.SWAP("swap.6462",H6464,B6464,"USD","SOFR",I6464,J6464,0,"Actual360","Simple","Annual","Annual","Annual")</f>
        <v>QSObject:Swap:w1~swap.6462:7518</v>
      </c>
      <c r="F6464" s="6" t="str">
        <f>_xll.QS.TRADE.CREATE("trade.6462",E6464,A6464,"Receive")</f>
        <v>QSObject:SwapTrade:w1~trade.6462:25430</v>
      </c>
      <c r="G6464" s="3">
        <f>_xll.QS.EVALUATE(C6464,F6464)</f>
        <v>31816.193998330782</v>
      </c>
      <c r="H6464" s="5" t="s">
        <v>6505</v>
      </c>
      <c r="I6464" s="7">
        <v>1646200</v>
      </c>
      <c r="J6464" s="8">
        <v>3.6200000000000003E-2</v>
      </c>
    </row>
    <row r="6465" spans="1:10" x14ac:dyDescent="0.25">
      <c r="A6465" s="5" t="s">
        <v>6499</v>
      </c>
      <c r="B6465" s="5" t="s">
        <v>8332</v>
      </c>
      <c r="C6465" s="6" t="str">
        <f>_xll.QS.CONTEXT.CREATE("market.6463",A6465,"USD","SOFR")</f>
        <v>QSObject:PricingContext:w1~market.6463:7517</v>
      </c>
      <c r="D6465" s="6" t="str">
        <f>_xll.QS.CONTEXT.ADD.CURVE(C6465,"SOFR",$K$2:$K$7,$L$2:$L$7,,,"Actual360","LogLinear",TRUE)</f>
        <v>QSObject:ContextInput:w1~input.qs_context_add_curve.2359132437744.6464.3.0:33983</v>
      </c>
      <c r="E6465" s="6" t="str">
        <f>_xll.QS.INSTRUMENT.SWAP("swap.6463",H6465,B6465,"USD","SOFR",I6465,J6465,0,"Actual360","Simple","Annual","Annual","Annual")</f>
        <v>QSObject:Swap:w1~swap.6463:7516</v>
      </c>
      <c r="F6465" s="6" t="str">
        <f>_xll.QS.TRADE.CREATE("trade.6463",E6465,A6465,"Receive")</f>
        <v>QSObject:SwapTrade:w1~trade.6463:25429</v>
      </c>
      <c r="G6465" s="3">
        <f>_xll.QS.EVALUATE(C6465,F6465)</f>
        <v>32577.445512037979</v>
      </c>
      <c r="H6465" s="5" t="s">
        <v>6506</v>
      </c>
      <c r="I6465" s="7">
        <v>1646300</v>
      </c>
      <c r="J6465" s="8">
        <v>3.6300000000000013E-2</v>
      </c>
    </row>
    <row r="6466" spans="1:10" x14ac:dyDescent="0.25">
      <c r="A6466" s="5" t="s">
        <v>6500</v>
      </c>
      <c r="B6466" s="5" t="s">
        <v>8333</v>
      </c>
      <c r="C6466" s="6" t="str">
        <f>_xll.QS.CONTEXT.CREATE("market.6464",A6466,"USD","SOFR")</f>
        <v>QSObject:PricingContext:w1~market.6464:7515</v>
      </c>
      <c r="D6466" s="6" t="str">
        <f>_xll.QS.CONTEXT.ADD.CURVE(C6466,"SOFR",$K$2:$K$7,$L$2:$L$7,,,"Actual360","LogLinear",TRUE)</f>
        <v>QSObject:ContextInput:w1~input.qs_context_add_curve.2359132437744.6465.3.0:33982</v>
      </c>
      <c r="E6466" s="6" t="str">
        <f>_xll.QS.INSTRUMENT.SWAP("swap.6464",H6466,B6466,"USD","SOFR",I6466,J6466,0,"Actual360","Simple","Annual","Annual","Annual")</f>
        <v>QSObject:Swap:w1~swap.6464:7514</v>
      </c>
      <c r="F6466" s="6" t="str">
        <f>_xll.QS.TRADE.CREATE("trade.6464",E6466,A6466,"Receive")</f>
        <v>QSObject:SwapTrade:w1~trade.6464:25428</v>
      </c>
      <c r="G6466" s="3">
        <f>_xll.QS.EVALUATE(C6466,F6466)</f>
        <v>33347.82360063705</v>
      </c>
      <c r="H6466" s="5" t="s">
        <v>6507</v>
      </c>
      <c r="I6466" s="7">
        <v>1646400</v>
      </c>
      <c r="J6466" s="8">
        <v>3.6400000000000002E-2</v>
      </c>
    </row>
    <row r="6467" spans="1:10" x14ac:dyDescent="0.25">
      <c r="A6467" s="5" t="s">
        <v>6501</v>
      </c>
      <c r="B6467" s="5" t="s">
        <v>8334</v>
      </c>
      <c r="C6467" s="6" t="str">
        <f>_xll.QS.CONTEXT.CREATE("market.6465",A6467,"USD","SOFR")</f>
        <v>QSObject:PricingContext:w1~market.6465:7513</v>
      </c>
      <c r="D6467" s="6" t="str">
        <f>_xll.QS.CONTEXT.ADD.CURVE(C6467,"SOFR",$K$2:$K$7,$L$2:$L$7,,,"Actual360","LogLinear",TRUE)</f>
        <v>QSObject:ContextInput:w1~input.qs_context_add_curve.2359132437744.6466.3.0:33981</v>
      </c>
      <c r="E6467" s="6" t="str">
        <f>_xll.QS.INSTRUMENT.SWAP("swap.6465",H6467,B6467,"USD","SOFR",I6467,J6467,0,"Actual360","Simple","Annual","Annual","Annual")</f>
        <v>QSObject:Swap:w1~swap.6465:7512</v>
      </c>
      <c r="F6467" s="6" t="str">
        <f>_xll.QS.TRADE.CREATE("trade.6465",E6467,A6467,"Receive")</f>
        <v>QSObject:SwapTrade:w1~trade.6465:25427</v>
      </c>
      <c r="G6467" s="3">
        <f>_xll.QS.EVALUATE(C6467,F6467)</f>
        <v>34110.844026128027</v>
      </c>
      <c r="H6467" s="5" t="s">
        <v>6508</v>
      </c>
      <c r="I6467" s="7">
        <v>1646500</v>
      </c>
      <c r="J6467" s="8">
        <v>3.6499999999999998E-2</v>
      </c>
    </row>
    <row r="6468" spans="1:10" x14ac:dyDescent="0.25">
      <c r="A6468" s="5" t="s">
        <v>6502</v>
      </c>
      <c r="B6468" s="5" t="s">
        <v>8335</v>
      </c>
      <c r="C6468" s="6" t="str">
        <f>_xll.QS.CONTEXT.CREATE("market.6466",A6468,"USD","SOFR")</f>
        <v>QSObject:PricingContext:w1~market.6466:7511</v>
      </c>
      <c r="D6468" s="6" t="str">
        <f>_xll.QS.CONTEXT.ADD.CURVE(C6468,"SOFR",$K$2:$K$7,$L$2:$L$7,,,"Actual360","LogLinear",TRUE)</f>
        <v>QSObject:ContextInput:w1~input.qs_context_add_curve.2359132437744.6467.3.0:33980</v>
      </c>
      <c r="E6468" s="6" t="str">
        <f>_xll.QS.INSTRUMENT.SWAP("swap.6466",H6468,B6468,"USD","SOFR",I6468,J6468,0,"Actual360","Simple","Annual","Annual","Annual")</f>
        <v>QSObject:Swap:w1~swap.6466:7510</v>
      </c>
      <c r="F6468" s="6" t="str">
        <f>_xll.QS.TRADE.CREATE("trade.6466",E6468,A6468,"Receive")</f>
        <v>QSObject:SwapTrade:w1~trade.6466:25426</v>
      </c>
      <c r="G6468" s="3">
        <f>_xll.QS.EVALUATE(C6468,F6468)</f>
        <v>34671.242400742551</v>
      </c>
      <c r="H6468" s="5" t="s">
        <v>6509</v>
      </c>
      <c r="I6468" s="7">
        <v>1646600</v>
      </c>
      <c r="J6468" s="8">
        <v>3.6600000000000001E-2</v>
      </c>
    </row>
    <row r="6469" spans="1:10" x14ac:dyDescent="0.25">
      <c r="A6469" s="5" t="s">
        <v>6503</v>
      </c>
      <c r="B6469" s="5" t="s">
        <v>8336</v>
      </c>
      <c r="C6469" s="6" t="str">
        <f>_xll.QS.CONTEXT.CREATE("market.6467",A6469,"USD","SOFR")</f>
        <v>QSObject:PricingContext:w1~market.6467:7509</v>
      </c>
      <c r="D6469" s="6" t="str">
        <f>_xll.QS.CONTEXT.ADD.CURVE(C6469,"SOFR",$K$2:$K$7,$L$2:$L$7,,,"Actual360","LogLinear",TRUE)</f>
        <v>QSObject:ContextInput:w1~input.qs_context_add_curve.2359132437744.6468.3.0:33979</v>
      </c>
      <c r="E6469" s="6" t="str">
        <f>_xll.QS.INSTRUMENT.SWAP("swap.6467",H6469,B6469,"USD","SOFR",I6469,J6469,0,"Actual360","Simple","Annual","Annual","Annual")</f>
        <v>QSObject:Swap:w1~swap.6467:7508</v>
      </c>
      <c r="F6469" s="6" t="str">
        <f>_xll.QS.TRADE.CREATE("trade.6467",E6469,A6469,"Receive")</f>
        <v>QSObject:SwapTrade:w1~trade.6467:25425</v>
      </c>
      <c r="G6469" s="3">
        <f>_xll.QS.EVALUATE(C6469,F6469)</f>
        <v>35435.682602350309</v>
      </c>
      <c r="H6469" s="5" t="s">
        <v>6510</v>
      </c>
      <c r="I6469" s="7">
        <v>1646700</v>
      </c>
      <c r="J6469" s="8">
        <v>3.6700000000000003E-2</v>
      </c>
    </row>
    <row r="6470" spans="1:10" x14ac:dyDescent="0.25">
      <c r="A6470" s="5" t="s">
        <v>6504</v>
      </c>
      <c r="B6470" s="5" t="s">
        <v>8337</v>
      </c>
      <c r="C6470" s="6" t="str">
        <f>_xll.QS.CONTEXT.CREATE("market.6468",A6470,"USD","SOFR")</f>
        <v>QSObject:PricingContext:w1~market.6468:7507</v>
      </c>
      <c r="D6470" s="6" t="str">
        <f>_xll.QS.CONTEXT.ADD.CURVE(C6470,"SOFR",$K$2:$K$7,$L$2:$L$7,,,"Actual360","LogLinear",TRUE)</f>
        <v>QSObject:ContextInput:w1~input.qs_context_add_curve.2359132437744.6469.3.0:33978</v>
      </c>
      <c r="E6470" s="6" t="str">
        <f>_xll.QS.INSTRUMENT.SWAP("swap.6468",H6470,B6470,"USD","SOFR",I6470,J6470,0,"Actual360","Simple","Annual","Annual","Annual")</f>
        <v>QSObject:Swap:w1~swap.6468:7506</v>
      </c>
      <c r="F6470" s="6" t="str">
        <f>_xll.QS.TRADE.CREATE("trade.6468",E6470,A6470,"Receive")</f>
        <v>QSObject:SwapTrade:w1~trade.6468:25424</v>
      </c>
      <c r="G6470" s="3">
        <f>_xll.QS.EVALUATE(C6470,F6470)</f>
        <v>36266.216462096112</v>
      </c>
      <c r="H6470" s="5" t="s">
        <v>6511</v>
      </c>
      <c r="I6470" s="7">
        <v>1646800</v>
      </c>
      <c r="J6470" s="8">
        <v>3.6800000000000013E-2</v>
      </c>
    </row>
    <row r="6471" spans="1:10" x14ac:dyDescent="0.25">
      <c r="A6471" s="5" t="s">
        <v>6505</v>
      </c>
      <c r="B6471" s="5" t="s">
        <v>8338</v>
      </c>
      <c r="C6471" s="6" t="str">
        <f>_xll.QS.CONTEXT.CREATE("market.6469",A6471,"USD","SOFR")</f>
        <v>QSObject:PricingContext:w1~market.6469:7505</v>
      </c>
      <c r="D6471" s="6" t="str">
        <f>_xll.QS.CONTEXT.ADD.CURVE(C6471,"SOFR",$K$2:$K$7,$L$2:$L$7,,,"Actual360","LogLinear",TRUE)</f>
        <v>QSObject:ContextInput:w1~input.qs_context_add_curve.2359132437744.6470.3.0:33977</v>
      </c>
      <c r="E6471" s="6" t="str">
        <f>_xll.QS.INSTRUMENT.SWAP("swap.6469",H6471,B6471,"USD","SOFR",I6471,J6471,0,"Actual360","Simple","Annual","Annual","Annual")</f>
        <v>QSObject:Swap:w1~swap.6469:7504</v>
      </c>
      <c r="F6471" s="6" t="str">
        <f>_xll.QS.TRADE.CREATE("trade.6469",E6471,A6471,"Receive")</f>
        <v>QSObject:SwapTrade:w1~trade.6469:25423</v>
      </c>
      <c r="G6471" s="3">
        <f>_xll.QS.EVALUATE(C6471,F6471)</f>
        <v>37148.517558413296</v>
      </c>
      <c r="H6471" s="5" t="s">
        <v>6512</v>
      </c>
      <c r="I6471" s="7">
        <v>1646900</v>
      </c>
      <c r="J6471" s="8">
        <v>3.6900000000000002E-2</v>
      </c>
    </row>
    <row r="6472" spans="1:10" x14ac:dyDescent="0.25">
      <c r="A6472" s="5" t="s">
        <v>6506</v>
      </c>
      <c r="B6472" s="5" t="s">
        <v>8339</v>
      </c>
      <c r="C6472" s="6" t="str">
        <f>_xll.QS.CONTEXT.CREATE("market.6470",A6472,"USD","SOFR")</f>
        <v>QSObject:PricingContext:w1~market.6470:7503</v>
      </c>
      <c r="D6472" s="6" t="str">
        <f>_xll.QS.CONTEXT.ADD.CURVE(C6472,"SOFR",$K$2:$K$7,$L$2:$L$7,,,"Actual360","LogLinear",TRUE)</f>
        <v>QSObject:ContextInput:w1~input.qs_context_add_curve.2359132437744.6471.3.0:33976</v>
      </c>
      <c r="E6472" s="6" t="str">
        <f>_xll.QS.INSTRUMENT.SWAP("swap.6470",H6472,B6472,"USD","SOFR",I6472,J6472,0,"Actual360","Simple","Annual","Annual","Annual")</f>
        <v>QSObject:Swap:w1~swap.6470:7502</v>
      </c>
      <c r="F6472" s="6" t="str">
        <f>_xll.QS.TRADE.CREATE("trade.6470",E6472,A6472,"Receive")</f>
        <v>QSObject:SwapTrade:w1~trade.6470:25422</v>
      </c>
      <c r="G6472" s="3">
        <f>_xll.QS.EVALUATE(C6472,F6472)</f>
        <v>37910.404408317889</v>
      </c>
      <c r="H6472" s="5" t="s">
        <v>6513</v>
      </c>
      <c r="I6472" s="7">
        <v>1647000</v>
      </c>
      <c r="J6472" s="8">
        <v>3.7000000000000012E-2</v>
      </c>
    </row>
    <row r="6473" spans="1:10" x14ac:dyDescent="0.25">
      <c r="A6473" s="5" t="s">
        <v>6507</v>
      </c>
      <c r="B6473" s="5" t="s">
        <v>8340</v>
      </c>
      <c r="C6473" s="6" t="str">
        <f>_xll.QS.CONTEXT.CREATE("market.6471",A6473,"USD","SOFR")</f>
        <v>QSObject:PricingContext:w1~market.6471:7501</v>
      </c>
      <c r="D6473" s="6" t="str">
        <f>_xll.QS.CONTEXT.ADD.CURVE(C6473,"SOFR",$K$2:$K$7,$L$2:$L$7,,,"Actual360","LogLinear",TRUE)</f>
        <v>QSObject:ContextInput:w1~input.qs_context_add_curve.2359132437744.6472.3.0:33975</v>
      </c>
      <c r="E6473" s="6" t="str">
        <f>_xll.QS.INSTRUMENT.SWAP("swap.6471",H6473,B6473,"USD","SOFR",I6473,J6473,0,"Actual360","Simple","Annual","Annual","Annual")</f>
        <v>QSObject:Swap:w1~swap.6471:7500</v>
      </c>
      <c r="F6473" s="6" t="str">
        <f>_xll.QS.TRADE.CREATE("trade.6471",E6473,A6473,"Receive")</f>
        <v>QSObject:SwapTrade:w1~trade.6471:25421</v>
      </c>
      <c r="G6473" s="3">
        <f>_xll.QS.EVALUATE(C6473,F6473)</f>
        <v>38681.446987640476</v>
      </c>
      <c r="H6473" s="5" t="s">
        <v>6514</v>
      </c>
      <c r="I6473" s="7">
        <v>1647100</v>
      </c>
      <c r="J6473" s="8">
        <v>3.7100000000000001E-2</v>
      </c>
    </row>
    <row r="6474" spans="1:10" x14ac:dyDescent="0.25">
      <c r="A6474" s="5" t="s">
        <v>6508</v>
      </c>
      <c r="B6474" s="5" t="s">
        <v>8341</v>
      </c>
      <c r="C6474" s="6" t="str">
        <f>_xll.QS.CONTEXT.CREATE("market.6472",A6474,"USD","SOFR")</f>
        <v>QSObject:PricingContext:w1~market.6472:7499</v>
      </c>
      <c r="D6474" s="6" t="str">
        <f>_xll.QS.CONTEXT.ADD.CURVE(C6474,"SOFR",$K$2:$K$7,$L$2:$L$7,,,"Actual360","LogLinear",TRUE)</f>
        <v>QSObject:ContextInput:w1~input.qs_context_add_curve.2359132437744.6473.3.0:33974</v>
      </c>
      <c r="E6474" s="6" t="str">
        <f>_xll.QS.INSTRUMENT.SWAP("swap.6472",H6474,B6474,"USD","SOFR",I6474,J6474,0,"Actual360","Simple","Annual","Annual","Annual")</f>
        <v>QSObject:Swap:w1~swap.6472:7498</v>
      </c>
      <c r="F6474" s="6" t="str">
        <f>_xll.QS.TRADE.CREATE("trade.6472",E6474,A6474,"Receive")</f>
        <v>QSObject:SwapTrade:w1~trade.6472:25420</v>
      </c>
      <c r="G6474" s="3">
        <f>_xll.QS.EVALUATE(C6474,F6474)</f>
        <v>39445.134153352563</v>
      </c>
      <c r="H6474" s="5" t="s">
        <v>6515</v>
      </c>
      <c r="I6474" s="7">
        <v>1647200</v>
      </c>
      <c r="J6474" s="8">
        <v>3.7199999999999997E-2</v>
      </c>
    </row>
    <row r="6475" spans="1:10" x14ac:dyDescent="0.25">
      <c r="A6475" s="5" t="s">
        <v>6509</v>
      </c>
      <c r="B6475" s="5" t="s">
        <v>8342</v>
      </c>
      <c r="C6475" s="6" t="str">
        <f>_xll.QS.CONTEXT.CREATE("market.6473",A6475,"USD","SOFR")</f>
        <v>QSObject:PricingContext:w1~market.6473:7497</v>
      </c>
      <c r="D6475" s="6" t="str">
        <f>_xll.QS.CONTEXT.ADD.CURVE(C6475,"SOFR",$K$2:$K$7,$L$2:$L$7,,,"Actual360","LogLinear",TRUE)</f>
        <v>QSObject:ContextInput:w1~input.qs_context_add_curve.2359132437744.6474.3.0:33973</v>
      </c>
      <c r="E6475" s="6" t="str">
        <f>_xll.QS.INSTRUMENT.SWAP("swap.6473",H6475,B6475,"USD","SOFR",I6475,J6475,0,"Actual360","Simple","Annual","Annual","Annual")</f>
        <v>QSObject:Swap:w1~swap.6473:7496</v>
      </c>
      <c r="F6475" s="6" t="str">
        <f>_xll.QS.TRADE.CREATE("trade.6473",E6475,A6475,"Receive")</f>
        <v>QSObject:SwapTrade:w1~trade.6473:25419</v>
      </c>
      <c r="G6475" s="3">
        <f>_xll.QS.EVALUATE(C6475,F6475)</f>
        <v>40210.572052987714</v>
      </c>
      <c r="H6475" s="5" t="s">
        <v>6516</v>
      </c>
      <c r="I6475" s="7">
        <v>1647300</v>
      </c>
      <c r="J6475" s="8">
        <v>3.73E-2</v>
      </c>
    </row>
    <row r="6476" spans="1:10" x14ac:dyDescent="0.25">
      <c r="A6476" s="5" t="s">
        <v>6510</v>
      </c>
      <c r="B6476" s="5" t="s">
        <v>8343</v>
      </c>
      <c r="C6476" s="6" t="str">
        <f>_xll.QS.CONTEXT.CREATE("market.6474",A6476,"USD","SOFR")</f>
        <v>QSObject:PricingContext:w1~market.6474:7495</v>
      </c>
      <c r="D6476" s="6" t="str">
        <f>_xll.QS.CONTEXT.ADD.CURVE(C6476,"SOFR",$K$2:$K$7,$L$2:$L$7,,,"Actual360","LogLinear",TRUE)</f>
        <v>QSObject:ContextInput:w1~input.qs_context_add_curve.2359132437744.6475.3.0:33972</v>
      </c>
      <c r="E6476" s="6" t="str">
        <f>_xll.QS.INSTRUMENT.SWAP("swap.6474",H6476,B6476,"USD","SOFR",I6476,J6476,0,"Actual360","Simple","Annual","Annual","Annual")</f>
        <v>QSObject:Swap:w1~swap.6474:7494</v>
      </c>
      <c r="F6476" s="6" t="str">
        <f>_xll.QS.TRADE.CREATE("trade.6474",E6476,A6476,"Receive")</f>
        <v>QSObject:SwapTrade:w1~trade.6474:25418</v>
      </c>
      <c r="G6476" s="3">
        <f>_xll.QS.EVALUATE(C6476,F6476)</f>
        <v>40976.25013953141</v>
      </c>
      <c r="H6476" s="5" t="s">
        <v>6517</v>
      </c>
      <c r="I6476" s="7">
        <v>1647400</v>
      </c>
      <c r="J6476" s="8">
        <v>3.7400000000000003E-2</v>
      </c>
    </row>
    <row r="6477" spans="1:10" x14ac:dyDescent="0.25">
      <c r="A6477" s="5" t="s">
        <v>6511</v>
      </c>
      <c r="B6477" s="5" t="s">
        <v>8344</v>
      </c>
      <c r="C6477" s="6" t="str">
        <f>_xll.QS.CONTEXT.CREATE("market.6475",A6477,"USD","SOFR")</f>
        <v>QSObject:PricingContext:w1~market.6475:7493</v>
      </c>
      <c r="D6477" s="6" t="str">
        <f>_xll.QS.CONTEXT.ADD.CURVE(C6477,"SOFR",$K$2:$K$7,$L$2:$L$7,,,"Actual360","LogLinear",TRUE)</f>
        <v>QSObject:ContextInput:w1~input.qs_context_add_curve.2359132437744.6476.3.0:33971</v>
      </c>
      <c r="E6477" s="6" t="str">
        <f>_xll.QS.INSTRUMENT.SWAP("swap.6475",H6477,B6477,"USD","SOFR",I6477,J6477,0,"Actual360","Simple","Annual","Annual","Annual")</f>
        <v>QSObject:Swap:w1~swap.6475:7492</v>
      </c>
      <c r="F6477" s="6" t="str">
        <f>_xll.QS.TRADE.CREATE("trade.6475",E6477,A6477,"Receive")</f>
        <v>QSObject:SwapTrade:w1~trade.6475:25417</v>
      </c>
      <c r="G6477" s="3">
        <f>_xll.QS.EVALUATE(C6477,F6477)</f>
        <v>41602.285412200668</v>
      </c>
      <c r="H6477" s="5" t="s">
        <v>6518</v>
      </c>
      <c r="I6477" s="7">
        <v>1647500</v>
      </c>
      <c r="J6477" s="8">
        <v>3.7500000000000012E-2</v>
      </c>
    </row>
    <row r="6478" spans="1:10" x14ac:dyDescent="0.25">
      <c r="A6478" s="5" t="s">
        <v>6512</v>
      </c>
      <c r="B6478" s="5" t="s">
        <v>8345</v>
      </c>
      <c r="C6478" s="6" t="str">
        <f>_xll.QS.CONTEXT.CREATE("market.6476",A6478,"USD","SOFR")</f>
        <v>QSObject:PricingContext:w1~market.6476:7491</v>
      </c>
      <c r="D6478" s="6" t="str">
        <f>_xll.QS.CONTEXT.ADD.CURVE(C6478,"SOFR",$K$2:$K$7,$L$2:$L$7,,,"Actual360","LogLinear",TRUE)</f>
        <v>QSObject:ContextInput:w1~input.qs_context_add_curve.2359132437744.6477.3.0:33970</v>
      </c>
      <c r="E6478" s="6" t="str">
        <f>_xll.QS.INSTRUMENT.SWAP("swap.6476",H6478,B6478,"USD","SOFR",I6478,J6478,0,"Actual360","Simple","Annual","Annual","Annual")</f>
        <v>QSObject:Swap:w1~swap.6476:7490</v>
      </c>
      <c r="F6478" s="6" t="str">
        <f>_xll.QS.TRADE.CREATE("trade.6476",E6478,A6478,"Receive")</f>
        <v>QSObject:SwapTrade:w1~trade.6476:25416</v>
      </c>
      <c r="G6478" s="3">
        <f>_xll.QS.EVALUATE(C6478,F6478)</f>
        <v>42485.362529918901</v>
      </c>
      <c r="H6478" s="5" t="s">
        <v>6519</v>
      </c>
      <c r="I6478" s="7">
        <v>1647600</v>
      </c>
      <c r="J6478" s="8">
        <v>3.7600000000000001E-2</v>
      </c>
    </row>
    <row r="6479" spans="1:10" x14ac:dyDescent="0.25">
      <c r="A6479" s="5" t="s">
        <v>6513</v>
      </c>
      <c r="B6479" s="5" t="s">
        <v>8346</v>
      </c>
      <c r="C6479" s="6" t="str">
        <f>_xll.QS.CONTEXT.CREATE("market.6477",A6479,"USD","SOFR")</f>
        <v>QSObject:PricingContext:w1~market.6477:7489</v>
      </c>
      <c r="D6479" s="6" t="str">
        <f>_xll.QS.CONTEXT.ADD.CURVE(C6479,"SOFR",$K$2:$K$7,$L$2:$L$7,,,"Actual360","LogLinear",TRUE)</f>
        <v>QSObject:ContextInput:w1~input.qs_context_add_curve.2359132437744.6478.3.0:33969</v>
      </c>
      <c r="E6479" s="6" t="str">
        <f>_xll.QS.INSTRUMENT.SWAP("swap.6477",H6479,B6479,"USD","SOFR",I6479,J6479,0,"Actual360","Simple","Annual","Annual","Annual")</f>
        <v>QSObject:Swap:w1~swap.6477:7488</v>
      </c>
      <c r="F6479" s="6" t="str">
        <f>_xll.QS.TRADE.CREATE("trade.6477",E6479,A6479,"Receive")</f>
        <v>QSObject:SwapTrade:w1~trade.6477:25415</v>
      </c>
      <c r="G6479" s="3">
        <f>_xll.QS.EVALUATE(C6479,F6479)</f>
        <v>43248.471737371518</v>
      </c>
      <c r="H6479" s="5" t="s">
        <v>6520</v>
      </c>
      <c r="I6479" s="7">
        <v>1647700</v>
      </c>
      <c r="J6479" s="8">
        <v>3.7699999999999997E-2</v>
      </c>
    </row>
    <row r="6480" spans="1:10" x14ac:dyDescent="0.25">
      <c r="A6480" s="5" t="s">
        <v>6514</v>
      </c>
      <c r="B6480" s="5" t="s">
        <v>8347</v>
      </c>
      <c r="C6480" s="6" t="str">
        <f>_xll.QS.CONTEXT.CREATE("market.6478",A6480,"USD","SOFR")</f>
        <v>QSObject:PricingContext:w1~market.6478:7487</v>
      </c>
      <c r="D6480" s="6" t="str">
        <f>_xll.QS.CONTEXT.ADD.CURVE(C6480,"SOFR",$K$2:$K$7,$L$2:$L$7,,,"Actual360","LogLinear",TRUE)</f>
        <v>QSObject:ContextInput:w1~input.qs_context_add_curve.2359132437744.6479.3.0:33968</v>
      </c>
      <c r="E6480" s="6" t="str">
        <f>_xll.QS.INSTRUMENT.SWAP("swap.6478",H6480,B6480,"USD","SOFR",I6480,J6480,0,"Actual360","Simple","Annual","Annual","Annual")</f>
        <v>QSObject:Swap:w1~swap.6478:7486</v>
      </c>
      <c r="F6480" s="6" t="str">
        <f>_xll.QS.TRADE.CREATE("trade.6478",E6480,A6480,"Receive")</f>
        <v>QSObject:SwapTrade:w1~trade.6478:25414</v>
      </c>
      <c r="G6480" s="3">
        <f>_xll.QS.EVALUATE(C6480,F6480)</f>
        <v>44019.591789765298</v>
      </c>
      <c r="H6480" s="5" t="s">
        <v>6521</v>
      </c>
      <c r="I6480" s="7">
        <v>1647800</v>
      </c>
      <c r="J6480" s="8">
        <v>3.78E-2</v>
      </c>
    </row>
    <row r="6481" spans="1:10" x14ac:dyDescent="0.25">
      <c r="A6481" s="5" t="s">
        <v>6515</v>
      </c>
      <c r="B6481" s="5" t="s">
        <v>8348</v>
      </c>
      <c r="C6481" s="6" t="str">
        <f>_xll.QS.CONTEXT.CREATE("market.6479",A6481,"USD","SOFR")</f>
        <v>QSObject:PricingContext:w1~market.6479:7485</v>
      </c>
      <c r="D6481" s="6" t="str">
        <f>_xll.QS.CONTEXT.ADD.CURVE(C6481,"SOFR",$K$2:$K$7,$L$2:$L$7,,,"Actual360","LogLinear",TRUE)</f>
        <v>QSObject:ContextInput:w1~input.qs_context_add_curve.2359132437744.6480.3.0:33967</v>
      </c>
      <c r="E6481" s="6" t="str">
        <f>_xll.QS.INSTRUMENT.SWAP("swap.6479",H6481,B6481,"USD","SOFR",I6481,J6481,0,"Actual360","Simple","Annual","Annual","Annual")</f>
        <v>QSObject:Swap:w1~swap.6479:7484</v>
      </c>
      <c r="F6481" s="6" t="str">
        <f>_xll.QS.TRADE.CREATE("trade.6479",E6481,A6481,"Receive")</f>
        <v>QSObject:SwapTrade:w1~trade.6479:25413</v>
      </c>
      <c r="G6481" s="3">
        <f>_xll.QS.EVALUATE(C6481,F6481)</f>
        <v>44783.945712909575</v>
      </c>
      <c r="H6481" s="5" t="s">
        <v>6522</v>
      </c>
      <c r="I6481" s="7">
        <v>1647900</v>
      </c>
      <c r="J6481" s="8">
        <v>3.7900000000000003E-2</v>
      </c>
    </row>
    <row r="6482" spans="1:10" x14ac:dyDescent="0.25">
      <c r="A6482" s="5" t="s">
        <v>6516</v>
      </c>
      <c r="B6482" s="5" t="s">
        <v>8349</v>
      </c>
      <c r="C6482" s="6" t="str">
        <f>_xll.QS.CONTEXT.CREATE("market.6480",A6482,"USD","SOFR")</f>
        <v>QSObject:PricingContext:w1~market.6480:7483</v>
      </c>
      <c r="D6482" s="6" t="str">
        <f>_xll.QS.CONTEXT.ADD.CURVE(C6482,"SOFR",$K$2:$K$7,$L$2:$L$7,,,"Actual360","LogLinear",TRUE)</f>
        <v>QSObject:ContextInput:w1~input.qs_context_add_curve.2359132437744.6481.3.0:33966</v>
      </c>
      <c r="E6482" s="6" t="str">
        <f>_xll.QS.INSTRUMENT.SWAP("swap.6480",H6482,B6482,"USD","SOFR",I6482,J6482,0,"Actual360","Simple","Annual","Annual","Annual")</f>
        <v>QSObject:Swap:w1~swap.6480:7482</v>
      </c>
      <c r="F6482" s="6" t="str">
        <f>_xll.QS.TRADE.CREATE("trade.6480",E6482,A6482,"Receive")</f>
        <v>QSObject:SwapTrade:w1~trade.6480:25412</v>
      </c>
      <c r="G6482" s="3">
        <f>_xll.QS.EVALUATE(C6482,F6482)</f>
        <v>45274.221681055795</v>
      </c>
      <c r="H6482" s="5" t="s">
        <v>6523</v>
      </c>
      <c r="I6482" s="7">
        <v>1648000</v>
      </c>
      <c r="J6482" s="8">
        <v>3.8000000000000013E-2</v>
      </c>
    </row>
    <row r="6483" spans="1:10" x14ac:dyDescent="0.25">
      <c r="A6483" s="5" t="s">
        <v>6517</v>
      </c>
      <c r="B6483" s="5" t="s">
        <v>8350</v>
      </c>
      <c r="C6483" s="6" t="str">
        <f>_xll.QS.CONTEXT.CREATE("market.6481",A6483,"USD","SOFR")</f>
        <v>QSObject:PricingContext:w1~market.6481:7481</v>
      </c>
      <c r="D6483" s="6" t="str">
        <f>_xll.QS.CONTEXT.ADD.CURVE(C6483,"SOFR",$K$2:$K$7,$L$2:$L$7,,,"Actual360","LogLinear",TRUE)</f>
        <v>QSObject:ContextInput:w1~input.qs_context_add_curve.2359132437744.6482.3.0:33965</v>
      </c>
      <c r="E6483" s="6" t="str">
        <f>_xll.QS.INSTRUMENT.SWAP("swap.6481",H6483,B6483,"USD","SOFR",I6483,J6483,0,"Actual360","Simple","Annual","Annual","Annual")</f>
        <v>QSObject:Swap:w1~swap.6481:7480</v>
      </c>
      <c r="F6483" s="6" t="str">
        <f>_xll.QS.TRADE.CREATE("trade.6481",E6483,A6483,"Receive")</f>
        <v>QSObject:SwapTrade:w1~trade.6481:25411</v>
      </c>
      <c r="G6483" s="3">
        <f>_xll.QS.EVALUATE(C6483,F6483)</f>
        <v>46040.800486331711</v>
      </c>
      <c r="H6483" s="5" t="s">
        <v>6524</v>
      </c>
      <c r="I6483" s="7">
        <v>1648100</v>
      </c>
      <c r="J6483" s="8">
        <v>3.8100000000000002E-2</v>
      </c>
    </row>
    <row r="6484" spans="1:10" x14ac:dyDescent="0.25">
      <c r="A6484" s="5" t="s">
        <v>6518</v>
      </c>
      <c r="B6484" s="5" t="s">
        <v>8351</v>
      </c>
      <c r="C6484" s="6" t="str">
        <f>_xll.QS.CONTEXT.CREATE("market.6482",A6484,"USD","SOFR")</f>
        <v>QSObject:PricingContext:w1~market.6482:7479</v>
      </c>
      <c r="D6484" s="6" t="str">
        <f>_xll.QS.CONTEXT.ADD.CURVE(C6484,"SOFR",$K$2:$K$7,$L$2:$L$7,,,"Actual360","LogLinear",TRUE)</f>
        <v>QSObject:ContextInput:w1~input.qs_context_add_curve.2359132437744.6483.3.0:33964</v>
      </c>
      <c r="E6484" s="6" t="str">
        <f>_xll.QS.INSTRUMENT.SWAP("swap.6482",H6484,B6484,"USD","SOFR",I6484,J6484,0,"Actual360","Simple","Annual","Annual","Annual")</f>
        <v>QSObject:Swap:w1~swap.6482:7478</v>
      </c>
      <c r="F6484" s="6" t="str">
        <f>_xll.QS.TRADE.CREATE("trade.6482",E6484,A6484,"Receive")</f>
        <v>QSObject:SwapTrade:w1~trade.6482:25410</v>
      </c>
      <c r="G6484" s="3">
        <f>_xll.QS.EVALUATE(C6484,F6484)</f>
        <v>46873.619557014295</v>
      </c>
      <c r="H6484" s="5" t="s">
        <v>6525</v>
      </c>
      <c r="I6484" s="7">
        <v>1648200</v>
      </c>
      <c r="J6484" s="8">
        <v>3.8199999999999998E-2</v>
      </c>
    </row>
    <row r="6485" spans="1:10" x14ac:dyDescent="0.25">
      <c r="A6485" s="5" t="s">
        <v>6519</v>
      </c>
      <c r="B6485" s="5" t="s">
        <v>8352</v>
      </c>
      <c r="C6485" s="6" t="str">
        <f>_xll.QS.CONTEXT.CREATE("market.6483",A6485,"USD","SOFR")</f>
        <v>QSObject:PricingContext:w1~market.6483:7477</v>
      </c>
      <c r="D6485" s="6" t="str">
        <f>_xll.QS.CONTEXT.ADD.CURVE(C6485,"SOFR",$K$2:$K$7,$L$2:$L$7,,,"Actual360","LogLinear",TRUE)</f>
        <v>QSObject:ContextInput:w1~input.qs_context_add_curve.2359132437744.6484.3.0:33963</v>
      </c>
      <c r="E6485" s="6" t="str">
        <f>_xll.QS.INSTRUMENT.SWAP("swap.6483",H6485,B6485,"USD","SOFR",I6485,J6485,0,"Actual360","Simple","Annual","Annual","Annual")</f>
        <v>QSObject:Swap:w1~swap.6483:7476</v>
      </c>
      <c r="F6485" s="6" t="str">
        <f>_xll.QS.TRADE.CREATE("trade.6483",E6485,A6485,"Receive")</f>
        <v>QSObject:SwapTrade:w1~trade.6483:25409</v>
      </c>
      <c r="G6485" s="3">
        <f>_xll.QS.EVALUATE(C6485,F6485)</f>
        <v>47887.400938124083</v>
      </c>
      <c r="H6485" s="5" t="s">
        <v>6526</v>
      </c>
      <c r="I6485" s="7">
        <v>1648300</v>
      </c>
      <c r="J6485" s="8">
        <v>3.8300000000000001E-2</v>
      </c>
    </row>
    <row r="6486" spans="1:10" x14ac:dyDescent="0.25">
      <c r="A6486" s="5" t="s">
        <v>6520</v>
      </c>
      <c r="B6486" s="5" t="s">
        <v>8353</v>
      </c>
      <c r="C6486" s="6" t="str">
        <f>_xll.QS.CONTEXT.CREATE("market.6484",A6486,"USD","SOFR")</f>
        <v>QSObject:PricingContext:w1~market.6484:7475</v>
      </c>
      <c r="D6486" s="6" t="str">
        <f>_xll.QS.CONTEXT.ADD.CURVE(C6486,"SOFR",$K$2:$K$7,$L$2:$L$7,,,"Actual360","LogLinear",TRUE)</f>
        <v>QSObject:ContextInput:w1~input.qs_context_add_curve.2359132437744.6485.3.0:33962</v>
      </c>
      <c r="E6486" s="6" t="str">
        <f>_xll.QS.INSTRUMENT.SWAP("swap.6484",H6486,B6486,"USD","SOFR",I6486,J6486,0,"Actual360","Simple","Annual","Annual","Annual")</f>
        <v>QSObject:Swap:w1~swap.6484:7474</v>
      </c>
      <c r="F6486" s="6" t="str">
        <f>_xll.QS.TRADE.CREATE("trade.6484",E6486,A6486,"Receive")</f>
        <v>QSObject:SwapTrade:w1~trade.6484:25408</v>
      </c>
      <c r="G6486" s="3">
        <f>_xll.QS.EVALUATE(C6486,F6486)</f>
        <v>48650.504221950701</v>
      </c>
      <c r="H6486" s="5" t="s">
        <v>6527</v>
      </c>
      <c r="I6486" s="7">
        <v>1648400</v>
      </c>
      <c r="J6486" s="8">
        <v>3.8399999999999997E-2</v>
      </c>
    </row>
    <row r="6487" spans="1:10" x14ac:dyDescent="0.25">
      <c r="A6487" s="5" t="s">
        <v>6521</v>
      </c>
      <c r="B6487" s="5" t="s">
        <v>8354</v>
      </c>
      <c r="C6487" s="6" t="str">
        <f>_xll.QS.CONTEXT.CREATE("market.6485",A6487,"USD","SOFR")</f>
        <v>QSObject:PricingContext:w1~market.6485:7473</v>
      </c>
      <c r="D6487" s="6" t="str">
        <f>_xll.QS.CONTEXT.ADD.CURVE(C6487,"SOFR",$K$2:$K$7,$L$2:$L$7,,,"Actual360","LogLinear",TRUE)</f>
        <v>QSObject:ContextInput:w1~input.qs_context_add_curve.2359132437744.6486.3.0:33961</v>
      </c>
      <c r="E6487" s="6" t="str">
        <f>_xll.QS.INSTRUMENT.SWAP("swap.6485",H6487,B6487,"USD","SOFR",I6487,J6487,0,"Actual360","Simple","Annual","Annual","Annual")</f>
        <v>QSObject:Swap:w1~swap.6485:7472</v>
      </c>
      <c r="F6487" s="6" t="str">
        <f>_xll.QS.TRADE.CREATE("trade.6485",E6487,A6487,"Receive")</f>
        <v>QSObject:SwapTrade:w1~trade.6485:25407</v>
      </c>
      <c r="G6487" s="3">
        <f>_xll.QS.EVALUATE(C6487,F6487)</f>
        <v>49429.014765663167</v>
      </c>
      <c r="H6487" s="5" t="s">
        <v>6528</v>
      </c>
      <c r="I6487" s="7">
        <v>1648500</v>
      </c>
      <c r="J6487" s="8">
        <v>3.8500000000000013E-2</v>
      </c>
    </row>
    <row r="6488" spans="1:10" x14ac:dyDescent="0.25">
      <c r="A6488" s="5" t="s">
        <v>6522</v>
      </c>
      <c r="B6488" s="5" t="s">
        <v>8355</v>
      </c>
      <c r="C6488" s="6" t="str">
        <f>_xll.QS.CONTEXT.CREATE("market.6486",A6488,"USD","SOFR")</f>
        <v>QSObject:PricingContext:w1~market.6486:7471</v>
      </c>
      <c r="D6488" s="6" t="str">
        <f>_xll.QS.CONTEXT.ADD.CURVE(C6488,"SOFR",$K$2:$K$7,$L$2:$L$7,,,"Actual360","LogLinear",TRUE)</f>
        <v>QSObject:ContextInput:w1~input.qs_context_add_curve.2359132437744.6487.3.0:33960</v>
      </c>
      <c r="E6488" s="6" t="str">
        <f>_xll.QS.INSTRUMENT.SWAP("swap.6486",H6488,B6488,"USD","SOFR",I6488,J6488,0,"Actual360","Simple","Annual","Annual","Annual")</f>
        <v>QSObject:Swap:w1~swap.6486:7470</v>
      </c>
      <c r="F6488" s="6" t="str">
        <f>_xll.QS.TRADE.CREATE("trade.6486",E6488,A6488,"Receive")</f>
        <v>QSObject:SwapTrade:w1~trade.6486:25406</v>
      </c>
      <c r="G6488" s="3">
        <f>_xll.QS.EVALUATE(C6488,F6488)</f>
        <v>50193.942567402111</v>
      </c>
      <c r="H6488" s="5" t="s">
        <v>6529</v>
      </c>
      <c r="I6488" s="7">
        <v>1648600</v>
      </c>
      <c r="J6488" s="8">
        <v>3.8600000000000002E-2</v>
      </c>
    </row>
    <row r="6489" spans="1:10" x14ac:dyDescent="0.25">
      <c r="A6489" s="5" t="s">
        <v>6523</v>
      </c>
      <c r="B6489" s="5" t="s">
        <v>8356</v>
      </c>
      <c r="C6489" s="6" t="str">
        <f>_xll.QS.CONTEXT.CREATE("market.6487",A6489,"USD","SOFR")</f>
        <v>QSObject:PricingContext:w1~market.6487:7469</v>
      </c>
      <c r="D6489" s="6" t="str">
        <f>_xll.QS.CONTEXT.ADD.CURVE(C6489,"SOFR",$K$2:$K$7,$L$2:$L$7,,,"Actual360","LogLinear",TRUE)</f>
        <v>QSObject:ContextInput:w1~input.qs_context_add_curve.2359132437744.6488.3.0:33959</v>
      </c>
      <c r="E6489" s="6" t="str">
        <f>_xll.QS.INSTRUMENT.SWAP("swap.6487",H6489,B6489,"USD","SOFR",I6489,J6489,0,"Actual360","Simple","Annual","Annual","Annual")</f>
        <v>QSObject:Swap:w1~swap.6487:7468</v>
      </c>
      <c r="F6489" s="6" t="str">
        <f>_xll.QS.TRADE.CREATE("trade.6487",E6489,A6489,"Receive")</f>
        <v>QSObject:SwapTrade:w1~trade.6487:25405</v>
      </c>
      <c r="G6489" s="3">
        <f>_xll.QS.EVALUATE(C6489,F6489)</f>
        <v>50753.111665626289</v>
      </c>
      <c r="H6489" s="5" t="s">
        <v>6530</v>
      </c>
      <c r="I6489" s="7">
        <v>1648700</v>
      </c>
      <c r="J6489" s="8">
        <v>3.8700000000000012E-2</v>
      </c>
    </row>
    <row r="6490" spans="1:10" x14ac:dyDescent="0.25">
      <c r="A6490" s="5" t="s">
        <v>6524</v>
      </c>
      <c r="B6490" s="5" t="s">
        <v>8357</v>
      </c>
      <c r="C6490" s="6" t="str">
        <f>_xll.QS.CONTEXT.CREATE("market.6488",A6490,"USD","SOFR")</f>
        <v>QSObject:PricingContext:w1~market.6488:7467</v>
      </c>
      <c r="D6490" s="6" t="str">
        <f>_xll.QS.CONTEXT.ADD.CURVE(C6490,"SOFR",$K$2:$K$7,$L$2:$L$7,,,"Actual360","LogLinear",TRUE)</f>
        <v>QSObject:ContextInput:w1~input.qs_context_add_curve.2359132437744.6489.3.0:33958</v>
      </c>
      <c r="E6490" s="6" t="str">
        <f>_xll.QS.INSTRUMENT.SWAP("swap.6488",H6490,B6490,"USD","SOFR",I6490,J6490,0,"Actual360","Simple","Annual","Annual","Annual")</f>
        <v>QSObject:Swap:w1~swap.6488:7466</v>
      </c>
      <c r="F6490" s="6" t="str">
        <f>_xll.QS.TRADE.CREATE("trade.6488",E6490,A6490,"Receive")</f>
        <v>QSObject:SwapTrade:w1~trade.6488:25404</v>
      </c>
      <c r="G6490" s="3">
        <f>_xll.QS.EVALUATE(C6490,F6490)</f>
        <v>51520.769009697397</v>
      </c>
      <c r="H6490" s="5" t="s">
        <v>6531</v>
      </c>
      <c r="I6490" s="7">
        <v>1648800</v>
      </c>
      <c r="J6490" s="8">
        <v>3.8800000000000001E-2</v>
      </c>
    </row>
    <row r="6491" spans="1:10" x14ac:dyDescent="0.25">
      <c r="A6491" s="5" t="s">
        <v>6525</v>
      </c>
      <c r="B6491" s="5" t="s">
        <v>8358</v>
      </c>
      <c r="C6491" s="6" t="str">
        <f>_xll.QS.CONTEXT.CREATE("market.6489",A6491,"USD","SOFR")</f>
        <v>QSObject:PricingContext:w1~market.6489:7465</v>
      </c>
      <c r="D6491" s="6" t="str">
        <f>_xll.QS.CONTEXT.ADD.CURVE(C6491,"SOFR",$K$2:$K$7,$L$2:$L$7,,,"Actual360","LogLinear",TRUE)</f>
        <v>QSObject:ContextInput:w1~input.qs_context_add_curve.2359132437744.6490.3.0:33957</v>
      </c>
      <c r="E6491" s="6" t="str">
        <f>_xll.QS.INSTRUMENT.SWAP("swap.6489",H6491,B6491,"USD","SOFR",I6491,J6491,0,"Actual360","Simple","Annual","Annual","Annual")</f>
        <v>QSObject:Swap:w1~swap.6489:7464</v>
      </c>
      <c r="F6491" s="6" t="str">
        <f>_xll.QS.TRADE.CREATE("trade.6489",E6491,A6491,"Receive")</f>
        <v>QSObject:SwapTrade:w1~trade.6489:25403</v>
      </c>
      <c r="G6491" s="3">
        <f>_xll.QS.EVALUATE(C6491,F6491)</f>
        <v>52288.725264609799</v>
      </c>
      <c r="H6491" s="5" t="s">
        <v>6532</v>
      </c>
      <c r="I6491" s="7">
        <v>1648900</v>
      </c>
      <c r="J6491" s="8">
        <v>3.8899999999999997E-2</v>
      </c>
    </row>
    <row r="6492" spans="1:10" x14ac:dyDescent="0.25">
      <c r="A6492" s="5" t="s">
        <v>6526</v>
      </c>
      <c r="B6492" s="5" t="s">
        <v>8359</v>
      </c>
      <c r="C6492" s="6" t="str">
        <f>_xll.QS.CONTEXT.CREATE("market.6490",A6492,"USD","SOFR")</f>
        <v>QSObject:PricingContext:w1~market.6490:7463</v>
      </c>
      <c r="D6492" s="6" t="str">
        <f>_xll.QS.CONTEXT.ADD.CURVE(C6492,"SOFR",$K$2:$K$7,$L$2:$L$7,,,"Actual360","LogLinear",TRUE)</f>
        <v>QSObject:ContextInput:w1~input.qs_context_add_curve.2359132437744.6491.3.0:33956</v>
      </c>
      <c r="E6492" s="6" t="str">
        <f>_xll.QS.INSTRUMENT.SWAP("swap.6490",H6492,B6492,"USD","SOFR",I6492,J6492,0,"Actual360","Simple","Annual","Annual","Annual")</f>
        <v>QSObject:Swap:w1~swap.6490:7462</v>
      </c>
      <c r="F6492" s="6" t="str">
        <f>_xll.QS.TRADE.CREATE("trade.6490",E6492,A6492,"Receive")</f>
        <v>QSObject:SwapTrade:w1~trade.6490:25402</v>
      </c>
      <c r="G6492" s="3">
        <f>_xll.QS.EVALUATE(C6492,F6492)</f>
        <v>53172.941602580904</v>
      </c>
      <c r="H6492" s="5" t="s">
        <v>6533</v>
      </c>
      <c r="I6492" s="7">
        <v>1649000</v>
      </c>
      <c r="J6492" s="8">
        <v>3.9000000000000007E-2</v>
      </c>
    </row>
    <row r="6493" spans="1:10" x14ac:dyDescent="0.25">
      <c r="A6493" s="5" t="s">
        <v>6527</v>
      </c>
      <c r="B6493" s="5" t="s">
        <v>8360</v>
      </c>
      <c r="C6493" s="6" t="str">
        <f>_xll.QS.CONTEXT.CREATE("market.6491",A6493,"USD","SOFR")</f>
        <v>QSObject:PricingContext:w1~market.6491:7461</v>
      </c>
      <c r="D6493" s="6" t="str">
        <f>_xll.QS.CONTEXT.ADD.CURVE(C6493,"SOFR",$K$2:$K$7,$L$2:$L$7,,,"Actual360","LogLinear",TRUE)</f>
        <v>QSObject:ContextInput:w1~input.qs_context_add_curve.2359132437744.6492.3.0:33955</v>
      </c>
      <c r="E6493" s="6" t="str">
        <f>_xll.QS.INSTRUMENT.SWAP("swap.6491",H6493,B6493,"USD","SOFR",I6493,J6493,0,"Actual360","Simple","Annual","Annual","Annual")</f>
        <v>QSObject:Swap:w1~swap.6491:7460</v>
      </c>
      <c r="F6493" s="6" t="str">
        <f>_xll.QS.TRADE.CREATE("trade.6491",E6493,A6493,"Receive")</f>
        <v>QSObject:SwapTrade:w1~trade.6491:25401</v>
      </c>
      <c r="G6493" s="3">
        <f>_xll.QS.EVALUATE(C6493,F6493)</f>
        <v>53936.655723077063</v>
      </c>
      <c r="H6493" s="5" t="s">
        <v>6534</v>
      </c>
      <c r="I6493" s="7">
        <v>1649100</v>
      </c>
      <c r="J6493" s="8">
        <v>3.9100000000000003E-2</v>
      </c>
    </row>
    <row r="6494" spans="1:10" x14ac:dyDescent="0.25">
      <c r="A6494" s="5" t="s">
        <v>6528</v>
      </c>
      <c r="B6494" s="5" t="s">
        <v>8361</v>
      </c>
      <c r="C6494" s="6" t="str">
        <f>_xll.QS.CONTEXT.CREATE("market.6492",A6494,"USD","SOFR")</f>
        <v>QSObject:PricingContext:w1~market.6492:7459</v>
      </c>
      <c r="D6494" s="6" t="str">
        <f>_xll.QS.CONTEXT.ADD.CURVE(C6494,"SOFR",$K$2:$K$7,$L$2:$L$7,,,"Actual360","LogLinear",TRUE)</f>
        <v>QSObject:ContextInput:w1~input.qs_context_add_curve.2359132437744.6493.3.0:33954</v>
      </c>
      <c r="E6494" s="6" t="str">
        <f>_xll.QS.INSTRUMENT.SWAP("swap.6492",H6494,B6494,"USD","SOFR",I6494,J6494,0,"Actual360","Simple","Annual","Annual","Annual")</f>
        <v>QSObject:Swap:w1~swap.6492:7458</v>
      </c>
      <c r="F6494" s="6" t="str">
        <f>_xll.QS.TRADE.CREATE("trade.6492",E6494,A6494,"Receive")</f>
        <v>QSObject:SwapTrade:w1~trade.6492:25400</v>
      </c>
      <c r="G6494" s="3">
        <f>_xll.QS.EVALUATE(C6494,F6494)</f>
        <v>54709.445639380298</v>
      </c>
      <c r="H6494" s="5" t="s">
        <v>6535</v>
      </c>
      <c r="I6494" s="7">
        <v>1649200</v>
      </c>
      <c r="J6494" s="8">
        <v>3.9200000000000013E-2</v>
      </c>
    </row>
    <row r="6495" spans="1:10" x14ac:dyDescent="0.25">
      <c r="A6495" s="5" t="s">
        <v>6529</v>
      </c>
      <c r="B6495" s="5" t="s">
        <v>8362</v>
      </c>
      <c r="C6495" s="6" t="str">
        <f>_xll.QS.CONTEXT.CREATE("market.6493",A6495,"USD","SOFR")</f>
        <v>QSObject:PricingContext:w1~market.6493:7457</v>
      </c>
      <c r="D6495" s="6" t="str">
        <f>_xll.QS.CONTEXT.ADD.CURVE(C6495,"SOFR",$K$2:$K$7,$L$2:$L$7,,,"Actual360","LogLinear",TRUE)</f>
        <v>QSObject:ContextInput:w1~input.qs_context_add_curve.2359132437744.6494.3.0:33953</v>
      </c>
      <c r="E6495" s="6" t="str">
        <f>_xll.QS.INSTRUMENT.SWAP("swap.6493",H6495,B6495,"USD","SOFR",I6495,J6495,0,"Actual360","Simple","Annual","Annual","Annual")</f>
        <v>QSObject:Swap:w1~swap.6493:7456</v>
      </c>
      <c r="F6495" s="6" t="str">
        <f>_xll.QS.TRADE.CREATE("trade.6493",E6495,A6495,"Receive")</f>
        <v>QSObject:SwapTrade:w1~trade.6493:25399</v>
      </c>
      <c r="G6495" s="3">
        <f>_xll.QS.EVALUATE(C6495,F6495)</f>
        <v>55475.133129019414</v>
      </c>
      <c r="H6495" s="5" t="s">
        <v>6536</v>
      </c>
      <c r="I6495" s="7">
        <v>1649300</v>
      </c>
      <c r="J6495" s="8">
        <v>3.9300000000000002E-2</v>
      </c>
    </row>
    <row r="6496" spans="1:10" x14ac:dyDescent="0.25">
      <c r="A6496" s="5" t="s">
        <v>6530</v>
      </c>
      <c r="B6496" s="5" t="s">
        <v>8363</v>
      </c>
      <c r="C6496" s="6" t="str">
        <f>_xll.QS.CONTEXT.CREATE("market.6494",A6496,"USD","SOFR")</f>
        <v>QSObject:PricingContext:w1~market.6494:7455</v>
      </c>
      <c r="D6496" s="6" t="str">
        <f>_xll.QS.CONTEXT.ADD.CURVE(C6496,"SOFR",$K$2:$K$7,$L$2:$L$7,,,"Actual360","LogLinear",TRUE)</f>
        <v>QSObject:ContextInput:w1~input.qs_context_add_curve.2359132437744.6495.3.0:33952</v>
      </c>
      <c r="E6496" s="6" t="str">
        <f>_xll.QS.INSTRUMENT.SWAP("swap.6494",H6496,B6496,"USD","SOFR",I6496,J6496,0,"Actual360","Simple","Annual","Annual","Annual")</f>
        <v>QSObject:Swap:w1~swap.6494:7454</v>
      </c>
      <c r="F6496" s="6" t="str">
        <f>_xll.QS.TRADE.CREATE("trade.6494",E6496,A6496,"Receive")</f>
        <v>QSObject:SwapTrade:w1~trade.6494:25398</v>
      </c>
      <c r="G6496" s="3">
        <f>_xll.QS.EVALUATE(C6496,F6496)</f>
        <v>56033.487019966735</v>
      </c>
      <c r="H6496" s="5" t="s">
        <v>6537</v>
      </c>
      <c r="I6496" s="7">
        <v>1649400</v>
      </c>
      <c r="J6496" s="8">
        <v>3.9399999999999998E-2</v>
      </c>
    </row>
    <row r="6497" spans="1:10" x14ac:dyDescent="0.25">
      <c r="A6497" s="5" t="s">
        <v>6531</v>
      </c>
      <c r="B6497" s="5" t="s">
        <v>8364</v>
      </c>
      <c r="C6497" s="6" t="str">
        <f>_xll.QS.CONTEXT.CREATE("market.6495",A6497,"USD","SOFR")</f>
        <v>QSObject:PricingContext:w1~market.6495:7453</v>
      </c>
      <c r="D6497" s="6" t="str">
        <f>_xll.QS.CONTEXT.ADD.CURVE(C6497,"SOFR",$K$2:$K$7,$L$2:$L$7,,,"Actual360","LogLinear",TRUE)</f>
        <v>QSObject:ContextInput:w1~input.qs_context_add_curve.2359132437744.6496.3.0:33951</v>
      </c>
      <c r="E6497" s="6" t="str">
        <f>_xll.QS.INSTRUMENT.SWAP("swap.6495",H6497,B6497,"USD","SOFR",I6497,J6497,0,"Actual360","Simple","Annual","Annual","Annual")</f>
        <v>QSObject:Swap:w1~swap.6495:7452</v>
      </c>
      <c r="F6497" s="6" t="str">
        <f>_xll.QS.TRADE.CREATE("trade.6495",E6497,A6497,"Receive")</f>
        <v>QSObject:SwapTrade:w1~trade.6495:25397</v>
      </c>
      <c r="G6497" s="3">
        <f>_xll.QS.EVALUATE(C6497,F6497)</f>
        <v>56802.301818310749</v>
      </c>
      <c r="H6497" s="5" t="s">
        <v>6538</v>
      </c>
      <c r="I6497" s="7">
        <v>1649500</v>
      </c>
      <c r="J6497" s="8">
        <v>3.9500000000000007E-2</v>
      </c>
    </row>
    <row r="6498" spans="1:10" x14ac:dyDescent="0.25">
      <c r="A6498" s="5" t="s">
        <v>6532</v>
      </c>
      <c r="B6498" s="5" t="s">
        <v>8365</v>
      </c>
      <c r="C6498" s="6" t="str">
        <f>_xll.QS.CONTEXT.CREATE("market.6496",A6498,"USD","SOFR")</f>
        <v>QSObject:PricingContext:w1~market.6496:7451</v>
      </c>
      <c r="D6498" s="6" t="str">
        <f>_xll.QS.CONTEXT.ADD.CURVE(C6498,"SOFR",$K$2:$K$7,$L$2:$L$7,,,"Actual360","LogLinear",TRUE)</f>
        <v>QSObject:ContextInput:w1~input.qs_context_add_curve.2359132437744.6497.3.0:33950</v>
      </c>
      <c r="E6498" s="6" t="str">
        <f>_xll.QS.INSTRUMENT.SWAP("swap.6496",H6498,B6498,"USD","SOFR",I6498,J6498,0,"Actual360","Simple","Annual","Annual","Annual")</f>
        <v>QSObject:Swap:w1~swap.6496:7450</v>
      </c>
      <c r="F6498" s="6" t="str">
        <f>_xll.QS.TRADE.CREATE("trade.6496",E6498,A6498,"Receive")</f>
        <v>QSObject:SwapTrade:w1~trade.6496:25396</v>
      </c>
      <c r="G6498" s="3">
        <f>_xll.QS.EVALUATE(C6498,F6498)</f>
        <v>57637.620328335368</v>
      </c>
      <c r="H6498" s="5" t="s">
        <v>6539</v>
      </c>
      <c r="I6498" s="7">
        <v>1649600</v>
      </c>
      <c r="J6498" s="8">
        <v>3.9600000000000003E-2</v>
      </c>
    </row>
    <row r="6499" spans="1:10" x14ac:dyDescent="0.25">
      <c r="A6499" s="5" t="s">
        <v>6533</v>
      </c>
      <c r="B6499" s="5" t="s">
        <v>8366</v>
      </c>
      <c r="C6499" s="6" t="str">
        <f>_xll.QS.CONTEXT.CREATE("market.6497",A6499,"USD","SOFR")</f>
        <v>QSObject:PricingContext:w1~market.6497:7449</v>
      </c>
      <c r="D6499" s="6" t="str">
        <f>_xll.QS.CONTEXT.ADD.CURVE(C6499,"SOFR",$K$2:$K$7,$L$2:$L$7,,,"Actual360","LogLinear",TRUE)</f>
        <v>QSObject:ContextInput:w1~input.qs_context_add_curve.2359132437744.6498.3.0:33949</v>
      </c>
      <c r="E6499" s="6" t="str">
        <f>_xll.QS.INSTRUMENT.SWAP("swap.6497",H6499,B6499,"USD","SOFR",I6499,J6499,0,"Actual360","Simple","Annual","Annual","Annual")</f>
        <v>QSObject:Swap:w1~swap.6497:7448</v>
      </c>
      <c r="F6499" s="6" t="str">
        <f>_xll.QS.TRADE.CREATE("trade.6497",E6499,A6499,"Receive")</f>
        <v>QSObject:SwapTrade:w1~trade.6497:25395</v>
      </c>
      <c r="G6499" s="3">
        <f>_xll.QS.EVALUATE(C6499,F6499)</f>
        <v>58523.025912973695</v>
      </c>
      <c r="H6499" s="5" t="s">
        <v>6540</v>
      </c>
      <c r="I6499" s="7">
        <v>1649700</v>
      </c>
      <c r="J6499" s="8">
        <v>3.9700000000000013E-2</v>
      </c>
    </row>
    <row r="6500" spans="1:10" x14ac:dyDescent="0.25">
      <c r="A6500" s="5" t="s">
        <v>6534</v>
      </c>
      <c r="B6500" s="5" t="s">
        <v>8367</v>
      </c>
      <c r="C6500" s="6" t="str">
        <f>_xll.QS.CONTEXT.CREATE("market.6498",A6500,"USD","SOFR")</f>
        <v>QSObject:PricingContext:w1~market.6498:7447</v>
      </c>
      <c r="D6500" s="6" t="str">
        <f>_xll.QS.CONTEXT.ADD.CURVE(C6500,"SOFR",$K$2:$K$7,$L$2:$L$7,,,"Actual360","LogLinear",TRUE)</f>
        <v>QSObject:ContextInput:w1~input.qs_context_add_curve.2359132437744.6499.3.0:33948</v>
      </c>
      <c r="E6500" s="6" t="str">
        <f>_xll.QS.INSTRUMENT.SWAP("swap.6498",H6500,B6500,"USD","SOFR",I6500,J6500,0,"Actual360","Simple","Annual","Annual","Annual")</f>
        <v>QSObject:Swap:w1~swap.6498:7446</v>
      </c>
      <c r="F6500" s="6" t="str">
        <f>_xll.QS.TRADE.CREATE("trade.6498",E6500,A6500,"Receive")</f>
        <v>QSObject:SwapTrade:w1~trade.6498:25394</v>
      </c>
      <c r="G6500" s="3">
        <f>_xll.QS.EVALUATE(C6500,F6500)</f>
        <v>59287.454018576682</v>
      </c>
      <c r="H6500" s="5" t="s">
        <v>6541</v>
      </c>
      <c r="I6500" s="7">
        <v>1649800</v>
      </c>
      <c r="J6500" s="8">
        <v>3.9800000000000002E-2</v>
      </c>
    </row>
    <row r="6501" spans="1:10" x14ac:dyDescent="0.25">
      <c r="A6501" s="5" t="s">
        <v>6535</v>
      </c>
      <c r="B6501" s="5" t="s">
        <v>8368</v>
      </c>
      <c r="C6501" s="6" t="str">
        <f>_xll.QS.CONTEXT.CREATE("market.6499",A6501,"USD","SOFR")</f>
        <v>QSObject:PricingContext:w1~market.6499:7445</v>
      </c>
      <c r="D6501" s="6" t="str">
        <f>_xll.QS.CONTEXT.ADD.CURVE(C6501,"SOFR",$K$2:$K$7,$L$2:$L$7,,,"Actual360","LogLinear",TRUE)</f>
        <v>QSObject:ContextInput:w1~input.qs_context_add_curve.2359132437744.6500.3.0:33947</v>
      </c>
      <c r="E6501" s="6" t="str">
        <f>_xll.QS.INSTRUMENT.SWAP("swap.6499",H6501,B6501,"USD","SOFR",I6501,J6501,0,"Actual360","Simple","Annual","Annual","Annual")</f>
        <v>QSObject:Swap:w1~swap.6499:7444</v>
      </c>
      <c r="F6501" s="6" t="str">
        <f>_xll.QS.TRADE.CREATE("trade.6499",E6501,A6501,"Receive")</f>
        <v>QSObject:SwapTrade:w1~trade.6499:25393</v>
      </c>
      <c r="G6501" s="3">
        <f>_xll.QS.EVALUATE(C6501,F6501)</f>
        <v>60061.154686869952</v>
      </c>
      <c r="H6501" s="5" t="s">
        <v>6542</v>
      </c>
      <c r="I6501" s="7">
        <v>1649900</v>
      </c>
      <c r="J6501" s="8">
        <v>3.9899999999999998E-2</v>
      </c>
    </row>
    <row r="6502" spans="1:10" x14ac:dyDescent="0.25">
      <c r="A6502" s="5" t="s">
        <v>6536</v>
      </c>
      <c r="B6502" s="5" t="s">
        <v>8369</v>
      </c>
      <c r="C6502" s="6" t="str">
        <f>_xll.QS.CONTEXT.CREATE("market.6500",A6502,"USD","SOFR")</f>
        <v>QSObject:PricingContext:w1~market.6500:7443</v>
      </c>
      <c r="D6502" s="6" t="str">
        <f>_xll.QS.CONTEXT.ADD.CURVE(C6502,"SOFR",$K$2:$K$7,$L$2:$L$7,,,"Actual360","LogLinear",TRUE)</f>
        <v>QSObject:ContextInput:w1~input.qs_context_add_curve.2359132437744.6501.3.0:33946</v>
      </c>
      <c r="E6502" s="6" t="str">
        <f>_xll.QS.INSTRUMENT.SWAP("swap.6500",H6502,B6502,"USD","SOFR",I6502,J6502,0,"Actual360","Simple","Annual","Annual","Annual")</f>
        <v>QSObject:Swap:w1~swap.6500:7442</v>
      </c>
      <c r="F6502" s="6" t="str">
        <f>_xll.QS.TRADE.CREATE("trade.6500",E6502,A6502,"Receive")</f>
        <v>QSObject:SwapTrade:w1~trade.6500:25392</v>
      </c>
      <c r="G6502" s="3">
        <f>_xll.QS.EVALUATE(C6502,F6502)</f>
        <v>22764.430679525874</v>
      </c>
      <c r="H6502" s="5" t="s">
        <v>6543</v>
      </c>
      <c r="I6502" s="7">
        <v>1650000</v>
      </c>
      <c r="J6502" s="8">
        <v>3.5000000000000003E-2</v>
      </c>
    </row>
    <row r="6503" spans="1:10" x14ac:dyDescent="0.25">
      <c r="A6503" s="5" t="s">
        <v>6537</v>
      </c>
      <c r="B6503" s="5" t="s">
        <v>8370</v>
      </c>
      <c r="C6503" s="6" t="str">
        <f>_xll.QS.CONTEXT.CREATE("market.6501",A6503,"USD","SOFR")</f>
        <v>QSObject:PricingContext:w1~market.6501:7441</v>
      </c>
      <c r="D6503" s="6" t="str">
        <f>_xll.QS.CONTEXT.ADD.CURVE(C6503,"SOFR",$K$2:$K$7,$L$2:$L$7,,,"Actual360","LogLinear",TRUE)</f>
        <v>QSObject:ContextInput:w1~input.qs_context_add_curve.2359132437744.6502.3.0:33945</v>
      </c>
      <c r="E6503" s="6" t="str">
        <f>_xll.QS.INSTRUMENT.SWAP("swap.6501",H6503,B6503,"USD","SOFR",I6503,J6503,0,"Actual360","Simple","Annual","Annual","Annual")</f>
        <v>QSObject:Swap:w1~swap.6501:7440</v>
      </c>
      <c r="F6503" s="6" t="str">
        <f>_xll.QS.TRADE.CREATE("trade.6501",E6503,A6503,"Receive")</f>
        <v>QSObject:SwapTrade:w1~trade.6501:25391</v>
      </c>
      <c r="G6503" s="3">
        <f>_xll.QS.EVALUATE(C6503,F6503)</f>
        <v>23327.620680128697</v>
      </c>
      <c r="H6503" s="5" t="s">
        <v>6544</v>
      </c>
      <c r="I6503" s="7">
        <v>1650100</v>
      </c>
      <c r="J6503" s="8">
        <v>3.5100000000000013E-2</v>
      </c>
    </row>
    <row r="6504" spans="1:10" x14ac:dyDescent="0.25">
      <c r="A6504" s="5" t="s">
        <v>6538</v>
      </c>
      <c r="B6504" s="5" t="s">
        <v>8371</v>
      </c>
      <c r="C6504" s="6" t="str">
        <f>_xll.QS.CONTEXT.CREATE("market.6502",A6504,"USD","SOFR")</f>
        <v>QSObject:PricingContext:w1~market.6502:7439</v>
      </c>
      <c r="D6504" s="6" t="str">
        <f>_xll.QS.CONTEXT.ADD.CURVE(C6504,"SOFR",$K$2:$K$7,$L$2:$L$7,,,"Actual360","LogLinear",TRUE)</f>
        <v>QSObject:ContextInput:w1~input.qs_context_add_curve.2359132437744.6503.3.0:33944</v>
      </c>
      <c r="E6504" s="6" t="str">
        <f>_xll.QS.INSTRUMENT.SWAP("swap.6502",H6504,B6504,"USD","SOFR",I6504,J6504,0,"Actual360","Simple","Annual","Annual","Annual")</f>
        <v>QSObject:Swap:w1~swap.6502:7438</v>
      </c>
      <c r="F6504" s="6" t="str">
        <f>_xll.QS.TRADE.CREATE("trade.6502",E6504,A6504,"Receive")</f>
        <v>QSObject:SwapTrade:w1~trade.6502:25390</v>
      </c>
      <c r="G6504" s="3">
        <f>_xll.QS.EVALUATE(C6504,F6504)</f>
        <v>24092.031675806153</v>
      </c>
      <c r="H6504" s="5" t="s">
        <v>6545</v>
      </c>
      <c r="I6504" s="7">
        <v>1650200</v>
      </c>
      <c r="J6504" s="8">
        <v>3.5200000000000002E-2</v>
      </c>
    </row>
    <row r="6505" spans="1:10" x14ac:dyDescent="0.25">
      <c r="A6505" s="5" t="s">
        <v>6539</v>
      </c>
      <c r="B6505" s="5" t="s">
        <v>8372</v>
      </c>
      <c r="C6505" s="6" t="str">
        <f>_xll.QS.CONTEXT.CREATE("market.6503",A6505,"USD","SOFR")</f>
        <v>QSObject:PricingContext:w1~market.6503:7437</v>
      </c>
      <c r="D6505" s="6" t="str">
        <f>_xll.QS.CONTEXT.ADD.CURVE(C6505,"SOFR",$K$2:$K$7,$L$2:$L$7,,,"Actual360","LogLinear",TRUE)</f>
        <v>QSObject:ContextInput:w1~input.qs_context_add_curve.2359132437744.6504.3.0:33943</v>
      </c>
      <c r="E6505" s="6" t="str">
        <f>_xll.QS.INSTRUMENT.SWAP("swap.6503",H6505,B6505,"USD","SOFR",I6505,J6505,0,"Actual360","Simple","Annual","Annual","Annual")</f>
        <v>QSObject:Swap:w1~swap.6503:7436</v>
      </c>
      <c r="F6505" s="6" t="str">
        <f>_xll.QS.TRADE.CREATE("trade.6503",E6505,A6505,"Receive")</f>
        <v>QSObject:SwapTrade:w1~trade.6503:25389</v>
      </c>
      <c r="G6505" s="3">
        <f>_xll.QS.EVALUATE(C6505,F6505)</f>
        <v>24922.516982301386</v>
      </c>
      <c r="H6505" s="5" t="s">
        <v>6546</v>
      </c>
      <c r="I6505" s="7">
        <v>1650300</v>
      </c>
      <c r="J6505" s="8">
        <v>3.5299999999999998E-2</v>
      </c>
    </row>
    <row r="6506" spans="1:10" x14ac:dyDescent="0.25">
      <c r="A6506" s="5" t="s">
        <v>6540</v>
      </c>
      <c r="B6506" s="5" t="s">
        <v>8373</v>
      </c>
      <c r="C6506" s="6" t="str">
        <f>_xll.QS.CONTEXT.CREATE("market.6504",A6506,"USD","SOFR")</f>
        <v>QSObject:PricingContext:w1~market.6504:7435</v>
      </c>
      <c r="D6506" s="6" t="str">
        <f>_xll.QS.CONTEXT.ADD.CURVE(C6506,"SOFR",$K$2:$K$7,$L$2:$L$7,,,"Actual360","LogLinear",TRUE)</f>
        <v>QSObject:ContextInput:w1~input.qs_context_add_curve.2359132437744.6505.3.0:33942</v>
      </c>
      <c r="E6506" s="6" t="str">
        <f>_xll.QS.INSTRUMENT.SWAP("swap.6504",H6506,B6506,"USD","SOFR",I6506,J6506,0,"Actual360","Simple","Annual","Annual","Annual")</f>
        <v>QSObject:Swap:w1~swap.6504:7434</v>
      </c>
      <c r="F6506" s="6" t="str">
        <f>_xll.QS.TRADE.CREATE("trade.6504",E6506,A6506,"Receive")</f>
        <v>QSObject:SwapTrade:w1~trade.6504:25388</v>
      </c>
      <c r="G6506" s="3">
        <f>_xll.QS.EVALUATE(C6506,F6506)</f>
        <v>25756.123861702545</v>
      </c>
      <c r="H6506" s="5" t="s">
        <v>6547</v>
      </c>
      <c r="I6506" s="7">
        <v>1650400</v>
      </c>
      <c r="J6506" s="8">
        <v>3.5400000000000001E-2</v>
      </c>
    </row>
    <row r="6507" spans="1:10" x14ac:dyDescent="0.25">
      <c r="A6507" s="5" t="s">
        <v>6541</v>
      </c>
      <c r="B6507" s="5" t="s">
        <v>8374</v>
      </c>
      <c r="C6507" s="6" t="str">
        <f>_xll.QS.CONTEXT.CREATE("market.6505",A6507,"USD","SOFR")</f>
        <v>QSObject:PricingContext:w1~market.6505:7433</v>
      </c>
      <c r="D6507" s="6" t="str">
        <f>_xll.QS.CONTEXT.ADD.CURVE(C6507,"SOFR",$K$2:$K$7,$L$2:$L$7,,,"Actual360","LogLinear",TRUE)</f>
        <v>QSObject:ContextInput:w1~input.qs_context_add_curve.2359132437744.6506.3.0:33941</v>
      </c>
      <c r="E6507" s="6" t="str">
        <f>_xll.QS.INSTRUMENT.SWAP("swap.6505",H6507,B6507,"USD","SOFR",I6507,J6507,0,"Actual360","Simple","Annual","Annual","Annual")</f>
        <v>QSObject:Swap:w1~swap.6505:7432</v>
      </c>
      <c r="F6507" s="6" t="str">
        <f>_xll.QS.TRADE.CREATE("trade.6505",E6507,A6507,"Receive")</f>
        <v>QSObject:SwapTrade:w1~trade.6505:25387</v>
      </c>
      <c r="G6507" s="3">
        <f>_xll.QS.EVALUATE(C6507,F6507)</f>
        <v>26629.907533296806</v>
      </c>
      <c r="H6507" s="5" t="s">
        <v>6548</v>
      </c>
      <c r="I6507" s="7">
        <v>1650500</v>
      </c>
      <c r="J6507" s="8">
        <v>3.5499999999999997E-2</v>
      </c>
    </row>
    <row r="6508" spans="1:10" x14ac:dyDescent="0.25">
      <c r="A6508" s="5" t="s">
        <v>6542</v>
      </c>
      <c r="B6508" s="5" t="s">
        <v>8375</v>
      </c>
      <c r="C6508" s="6" t="str">
        <f>_xll.QS.CONTEXT.CREATE("market.6506",A6508,"USD","SOFR")</f>
        <v>QSObject:PricingContext:w1~market.6506:7431</v>
      </c>
      <c r="D6508" s="6" t="str">
        <f>_xll.QS.CONTEXT.ADD.CURVE(C6508,"SOFR",$K$2:$K$7,$L$2:$L$7,,,"Actual360","LogLinear",TRUE)</f>
        <v>QSObject:ContextInput:w1~input.qs_context_add_curve.2359132437744.6507.3.0:33940</v>
      </c>
      <c r="E6508" s="6" t="str">
        <f>_xll.QS.INSTRUMENT.SWAP("swap.6506",H6508,B6508,"USD","SOFR",I6508,J6508,0,"Actual360","Simple","Annual","Annual","Annual")</f>
        <v>QSObject:Swap:w1~swap.6506:7430</v>
      </c>
      <c r="F6508" s="6" t="str">
        <f>_xll.QS.TRADE.CREATE("trade.6506",E6508,A6508,"Receive")</f>
        <v>QSObject:SwapTrade:w1~trade.6506:25386</v>
      </c>
      <c r="G6508" s="3">
        <f>_xll.QS.EVALUATE(C6508,F6508)</f>
        <v>27401.330952638178</v>
      </c>
      <c r="H6508" s="5" t="s">
        <v>6549</v>
      </c>
      <c r="I6508" s="7">
        <v>1650600</v>
      </c>
      <c r="J6508" s="8">
        <v>3.5600000000000007E-2</v>
      </c>
    </row>
    <row r="6509" spans="1:10" x14ac:dyDescent="0.25">
      <c r="A6509" s="5" t="s">
        <v>6543</v>
      </c>
      <c r="B6509" s="5" t="s">
        <v>8376</v>
      </c>
      <c r="C6509" s="6" t="str">
        <f>_xll.QS.CONTEXT.CREATE("market.6507",A6509,"USD","SOFR")</f>
        <v>QSObject:PricingContext:w1~market.6507:7429</v>
      </c>
      <c r="D6509" s="6" t="str">
        <f>_xll.QS.CONTEXT.ADD.CURVE(C6509,"SOFR",$K$2:$K$7,$L$2:$L$7,,,"Actual360","LogLinear",TRUE)</f>
        <v>QSObject:ContextInput:w1~input.qs_context_add_curve.2359132437744.6508.3.0:33939</v>
      </c>
      <c r="E6509" s="6" t="str">
        <f>_xll.QS.INSTRUMENT.SWAP("swap.6507",H6509,B6509,"USD","SOFR",I6509,J6509,0,"Actual360","Simple","Annual","Annual","Annual")</f>
        <v>QSObject:Swap:w1~swap.6507:7428</v>
      </c>
      <c r="F6509" s="6" t="str">
        <f>_xll.QS.TRADE.CREATE("trade.6507",E6509,A6509,"Receive")</f>
        <v>QSObject:SwapTrade:w1~trade.6507:25385</v>
      </c>
      <c r="G6509" s="3">
        <f>_xll.QS.EVALUATE(C6509,F6509)</f>
        <v>28167.736217135673</v>
      </c>
      <c r="H6509" s="5" t="s">
        <v>6550</v>
      </c>
      <c r="I6509" s="7">
        <v>1650700</v>
      </c>
      <c r="J6509" s="8">
        <v>3.5700000000000003E-2</v>
      </c>
    </row>
    <row r="6510" spans="1:10" x14ac:dyDescent="0.25">
      <c r="A6510" s="5" t="s">
        <v>6544</v>
      </c>
      <c r="B6510" s="5" t="s">
        <v>8377</v>
      </c>
      <c r="C6510" s="6" t="str">
        <f>_xll.QS.CONTEXT.CREATE("market.6508",A6510,"USD","SOFR")</f>
        <v>QSObject:PricingContext:w1~market.6508:7427</v>
      </c>
      <c r="D6510" s="6" t="str">
        <f>_xll.QS.CONTEXT.ADD.CURVE(C6510,"SOFR",$K$2:$K$7,$L$2:$L$7,,,"Actual360","LogLinear",TRUE)</f>
        <v>QSObject:ContextInput:w1~input.qs_context_add_curve.2359132437744.6509.3.0:33938</v>
      </c>
      <c r="E6510" s="6" t="str">
        <f>_xll.QS.INSTRUMENT.SWAP("swap.6508",H6510,B6510,"USD","SOFR",I6510,J6510,0,"Actual360","Simple","Annual","Annual","Annual")</f>
        <v>QSObject:Swap:w1~swap.6508:7426</v>
      </c>
      <c r="F6510" s="6" t="str">
        <f>_xll.QS.TRADE.CREATE("trade.6508",E6510,A6510,"Receive")</f>
        <v>QSObject:SwapTrade:w1~trade.6508:25384</v>
      </c>
      <c r="G6510" s="3">
        <f>_xll.QS.EVALUATE(C6510,F6510)</f>
        <v>28730.305990656489</v>
      </c>
      <c r="H6510" s="5" t="s">
        <v>6551</v>
      </c>
      <c r="I6510" s="7">
        <v>1650800</v>
      </c>
      <c r="J6510" s="8">
        <v>3.5800000000000012E-2</v>
      </c>
    </row>
    <row r="6511" spans="1:10" x14ac:dyDescent="0.25">
      <c r="A6511" s="5" t="s">
        <v>6545</v>
      </c>
      <c r="B6511" s="5" t="s">
        <v>8378</v>
      </c>
      <c r="C6511" s="6" t="str">
        <f>_xll.QS.CONTEXT.CREATE("market.6509",A6511,"USD","SOFR")</f>
        <v>QSObject:PricingContext:w1~market.6509:7425</v>
      </c>
      <c r="D6511" s="6" t="str">
        <f>_xll.QS.CONTEXT.ADD.CURVE(C6511,"SOFR",$K$2:$K$7,$L$2:$L$7,,,"Actual360","LogLinear",TRUE)</f>
        <v>QSObject:ContextInput:w1~input.qs_context_add_curve.2359132437744.6510.3.0:33937</v>
      </c>
      <c r="E6511" s="6" t="str">
        <f>_xll.QS.INSTRUMENT.SWAP("swap.6509",H6511,B6511,"USD","SOFR",I6511,J6511,0,"Actual360","Simple","Annual","Annual","Annual")</f>
        <v>QSObject:Swap:w1~swap.6509:7424</v>
      </c>
      <c r="F6511" s="6" t="str">
        <f>_xll.QS.TRADE.CREATE("trade.6509",E6511,A6511,"Receive")</f>
        <v>QSObject:SwapTrade:w1~trade.6509:25383</v>
      </c>
      <c r="G6511" s="3">
        <f>_xll.QS.EVALUATE(C6511,F6511)</f>
        <v>29495.820188008198</v>
      </c>
      <c r="H6511" s="5" t="s">
        <v>6552</v>
      </c>
      <c r="I6511" s="7">
        <v>1650900</v>
      </c>
      <c r="J6511" s="8">
        <v>3.5900000000000001E-2</v>
      </c>
    </row>
    <row r="6512" spans="1:10" x14ac:dyDescent="0.25">
      <c r="A6512" s="5" t="s">
        <v>6546</v>
      </c>
      <c r="B6512" s="5" t="s">
        <v>8379</v>
      </c>
      <c r="C6512" s="6" t="str">
        <f>_xll.QS.CONTEXT.CREATE("market.6510",A6512,"USD","SOFR")</f>
        <v>QSObject:PricingContext:w1~market.6510:7423</v>
      </c>
      <c r="D6512" s="6" t="str">
        <f>_xll.QS.CONTEXT.ADD.CURVE(C6512,"SOFR",$K$2:$K$7,$L$2:$L$7,,,"Actual360","LogLinear",TRUE)</f>
        <v>QSObject:ContextInput:w1~input.qs_context_add_curve.2359132437744.6511.3.0:33936</v>
      </c>
      <c r="E6512" s="6" t="str">
        <f>_xll.QS.INSTRUMENT.SWAP("swap.6510",H6512,B6512,"USD","SOFR",I6512,J6512,0,"Actual360","Simple","Annual","Annual","Annual")</f>
        <v>QSObject:Swap:w1~swap.6510:7422</v>
      </c>
      <c r="F6512" s="6" t="str">
        <f>_xll.QS.TRADE.CREATE("trade.6510",E6512,A6512,"Receive")</f>
        <v>QSObject:SwapTrade:w1~trade.6510:25382</v>
      </c>
      <c r="G6512" s="3">
        <f>_xll.QS.EVALUATE(C6512,F6512)</f>
        <v>30263.957923161841</v>
      </c>
      <c r="H6512" s="5" t="s">
        <v>6553</v>
      </c>
      <c r="I6512" s="7">
        <v>1651000</v>
      </c>
      <c r="J6512" s="8">
        <v>3.5999999999999997E-2</v>
      </c>
    </row>
    <row r="6513" spans="1:10" x14ac:dyDescent="0.25">
      <c r="A6513" s="5" t="s">
        <v>6547</v>
      </c>
      <c r="B6513" s="5" t="s">
        <v>8380</v>
      </c>
      <c r="C6513" s="6" t="str">
        <f>_xll.QS.CONTEXT.CREATE("market.6511",A6513,"USD","SOFR")</f>
        <v>QSObject:PricingContext:w1~market.6511:7421</v>
      </c>
      <c r="D6513" s="6" t="str">
        <f>_xll.QS.CONTEXT.ADD.CURVE(C6513,"SOFR",$K$2:$K$7,$L$2:$L$7,,,"Actual360","LogLinear",TRUE)</f>
        <v>QSObject:ContextInput:w1~input.qs_context_add_curve.2359132437744.6512.3.0:33935</v>
      </c>
      <c r="E6513" s="6" t="str">
        <f>_xll.QS.INSTRUMENT.SWAP("swap.6511",H6513,B6513,"USD","SOFR",I6513,J6513,0,"Actual360","Simple","Annual","Annual","Annual")</f>
        <v>QSObject:Swap:w1~swap.6511:7420</v>
      </c>
      <c r="F6513" s="6" t="str">
        <f>_xll.QS.TRADE.CREATE("trade.6511",E6513,A6513,"Receive")</f>
        <v>QSObject:SwapTrade:w1~trade.6511:25381</v>
      </c>
      <c r="G6513" s="3">
        <f>_xll.QS.EVALUATE(C6513,F6513)</f>
        <v>31149.131005019895</v>
      </c>
      <c r="H6513" s="5" t="s">
        <v>6554</v>
      </c>
      <c r="I6513" s="7">
        <v>1651100</v>
      </c>
      <c r="J6513" s="8">
        <v>3.61E-2</v>
      </c>
    </row>
    <row r="6514" spans="1:10" x14ac:dyDescent="0.25">
      <c r="A6514" s="5" t="s">
        <v>6548</v>
      </c>
      <c r="B6514" s="5" t="s">
        <v>8381</v>
      </c>
      <c r="C6514" s="6" t="str">
        <f>_xll.QS.CONTEXT.CREATE("market.6512",A6514,"USD","SOFR")</f>
        <v>QSObject:PricingContext:w1~market.6512:7419</v>
      </c>
      <c r="D6514" s="6" t="str">
        <f>_xll.QS.CONTEXT.ADD.CURVE(C6514,"SOFR",$K$2:$K$7,$L$2:$L$7,,,"Actual360","LogLinear",TRUE)</f>
        <v>QSObject:ContextInput:w1~input.qs_context_add_curve.2359132437744.6513.3.0:33934</v>
      </c>
      <c r="E6514" s="6" t="str">
        <f>_xll.QS.INSTRUMENT.SWAP("swap.6512",H6514,B6514,"USD","SOFR",I6514,J6514,0,"Actual360","Simple","Annual","Annual","Annual")</f>
        <v>QSObject:Swap:w1~swap.6512:7418</v>
      </c>
      <c r="F6514" s="6" t="str">
        <f>_xll.QS.TRADE.CREATE("trade.6512",E6514,A6514,"Receive")</f>
        <v>QSObject:SwapTrade:w1~trade.6512:25380</v>
      </c>
      <c r="G6514" s="3">
        <f>_xll.QS.EVALUATE(C6514,F6514)</f>
        <v>31912.597897655702</v>
      </c>
      <c r="H6514" s="5" t="s">
        <v>6555</v>
      </c>
      <c r="I6514" s="7">
        <v>1651200</v>
      </c>
      <c r="J6514" s="8">
        <v>3.6200000000000003E-2</v>
      </c>
    </row>
    <row r="6515" spans="1:10" x14ac:dyDescent="0.25">
      <c r="A6515" s="5" t="s">
        <v>6549</v>
      </c>
      <c r="B6515" s="5" t="s">
        <v>8382</v>
      </c>
      <c r="C6515" s="6" t="str">
        <f>_xll.QS.CONTEXT.CREATE("market.6513",A6515,"USD","SOFR")</f>
        <v>QSObject:PricingContext:w1~market.6513:7417</v>
      </c>
      <c r="D6515" s="6" t="str">
        <f>_xll.QS.CONTEXT.ADD.CURVE(C6515,"SOFR",$K$2:$K$7,$L$2:$L$7,,,"Actual360","LogLinear",TRUE)</f>
        <v>QSObject:ContextInput:w1~input.qs_context_add_curve.2359132437744.6514.3.0:33933</v>
      </c>
      <c r="E6515" s="6" t="str">
        <f>_xll.QS.INSTRUMENT.SWAP("swap.6513",H6515,B6515,"USD","SOFR",I6515,J6515,0,"Actual360","Simple","Annual","Annual","Annual")</f>
        <v>QSObject:Swap:w1~swap.6513:7416</v>
      </c>
      <c r="F6515" s="6" t="str">
        <f>_xll.QS.TRADE.CREATE("trade.6513",E6515,A6515,"Receive")</f>
        <v>QSObject:SwapTrade:w1~trade.6513:25379</v>
      </c>
      <c r="G6515" s="3">
        <f>_xll.QS.EVALUATE(C6515,F6515)</f>
        <v>32685.214627647649</v>
      </c>
      <c r="H6515" s="5" t="s">
        <v>6556</v>
      </c>
      <c r="I6515" s="7">
        <v>1651300</v>
      </c>
      <c r="J6515" s="8">
        <v>3.6300000000000013E-2</v>
      </c>
    </row>
    <row r="6516" spans="1:10" x14ac:dyDescent="0.25">
      <c r="A6516" s="5" t="s">
        <v>6550</v>
      </c>
      <c r="B6516" s="5" t="s">
        <v>8383</v>
      </c>
      <c r="C6516" s="6" t="str">
        <f>_xll.QS.CONTEXT.CREATE("market.6514",A6516,"USD","SOFR")</f>
        <v>QSObject:PricingContext:w1~market.6514:7415</v>
      </c>
      <c r="D6516" s="6" t="str">
        <f>_xll.QS.CONTEXT.ADD.CURVE(C6516,"SOFR",$K$2:$K$7,$L$2:$L$7,,,"Actual360","LogLinear",TRUE)</f>
        <v>QSObject:ContextInput:w1~input.qs_context_add_curve.2359132437744.6515.3.0:33932</v>
      </c>
      <c r="E6516" s="6" t="str">
        <f>_xll.QS.INSTRUMENT.SWAP("swap.6514",H6516,B6516,"USD","SOFR",I6516,J6516,0,"Actual360","Simple","Annual","Annual","Annual")</f>
        <v>QSObject:Swap:w1~swap.6514:7414</v>
      </c>
      <c r="F6516" s="6" t="str">
        <f>_xll.QS.TRADE.CREATE("trade.6514",E6516,A6516,"Receive")</f>
        <v>QSObject:SwapTrade:w1~trade.6514:25378</v>
      </c>
      <c r="G6516" s="3">
        <f>_xll.QS.EVALUATE(C6516,F6516)</f>
        <v>33450.450744399095</v>
      </c>
      <c r="H6516" s="5" t="s">
        <v>6557</v>
      </c>
      <c r="I6516" s="7">
        <v>1651400</v>
      </c>
      <c r="J6516" s="8">
        <v>3.6400000000000002E-2</v>
      </c>
    </row>
    <row r="6517" spans="1:10" x14ac:dyDescent="0.25">
      <c r="A6517" s="5" t="s">
        <v>6551</v>
      </c>
      <c r="B6517" s="5" t="s">
        <v>8384</v>
      </c>
      <c r="C6517" s="6" t="str">
        <f>_xll.QS.CONTEXT.CREATE("market.6515",A6517,"USD","SOFR")</f>
        <v>QSObject:PricingContext:w1~market.6515:7413</v>
      </c>
      <c r="D6517" s="6" t="str">
        <f>_xll.QS.CONTEXT.ADD.CURVE(C6517,"SOFR",$K$2:$K$7,$L$2:$L$7,,,"Actual360","LogLinear",TRUE)</f>
        <v>QSObject:ContextInput:w1~input.qs_context_add_curve.2359132437744.6516.3.0:33931</v>
      </c>
      <c r="E6517" s="6" t="str">
        <f>_xll.QS.INSTRUMENT.SWAP("swap.6515",H6517,B6517,"USD","SOFR",I6517,J6517,0,"Actual360","Simple","Annual","Annual","Annual")</f>
        <v>QSObject:Swap:w1~swap.6515:7412</v>
      </c>
      <c r="F6517" s="6" t="str">
        <f>_xll.QS.TRADE.CREATE("trade.6515",E6517,A6517,"Receive")</f>
        <v>QSObject:SwapTrade:w1~trade.6515:25377</v>
      </c>
      <c r="G6517" s="3">
        <f>_xll.QS.EVALUATE(C6517,F6517)</f>
        <v>33944.45610742626</v>
      </c>
      <c r="H6517" s="5" t="s">
        <v>6558</v>
      </c>
      <c r="I6517" s="7">
        <v>1651500</v>
      </c>
      <c r="J6517" s="8">
        <v>3.6499999999999998E-2</v>
      </c>
    </row>
    <row r="6518" spans="1:10" x14ac:dyDescent="0.25">
      <c r="A6518" s="5" t="s">
        <v>6552</v>
      </c>
      <c r="B6518" s="5" t="s">
        <v>8385</v>
      </c>
      <c r="C6518" s="6" t="str">
        <f>_xll.QS.CONTEXT.CREATE("market.6516",A6518,"USD","SOFR")</f>
        <v>QSObject:PricingContext:w1~market.6516:7411</v>
      </c>
      <c r="D6518" s="6" t="str">
        <f>_xll.QS.CONTEXT.ADD.CURVE(C6518,"SOFR",$K$2:$K$7,$L$2:$L$7,,,"Actual360","LogLinear",TRUE)</f>
        <v>QSObject:ContextInput:w1~input.qs_context_add_curve.2359132437744.6517.3.0:33930</v>
      </c>
      <c r="E6518" s="6" t="str">
        <f>_xll.QS.INSTRUMENT.SWAP("swap.6516",H6518,B6518,"USD","SOFR",I6518,J6518,0,"Actual360","Simple","Annual","Annual","Annual")</f>
        <v>QSObject:Swap:w1~swap.6516:7410</v>
      </c>
      <c r="F6518" s="6" t="str">
        <f>_xll.QS.TRADE.CREATE("trade.6516",E6518,A6518,"Receive")</f>
        <v>QSObject:SwapTrade:w1~trade.6516:25376</v>
      </c>
      <c r="G6518" s="3">
        <f>_xll.QS.EVALUATE(C6518,F6518)</f>
        <v>34710.665021233741</v>
      </c>
      <c r="H6518" s="5" t="s">
        <v>6559</v>
      </c>
      <c r="I6518" s="7">
        <v>1651600</v>
      </c>
      <c r="J6518" s="8">
        <v>3.6600000000000001E-2</v>
      </c>
    </row>
    <row r="6519" spans="1:10" x14ac:dyDescent="0.25">
      <c r="A6519" s="5" t="s">
        <v>6553</v>
      </c>
      <c r="B6519" s="5" t="s">
        <v>8386</v>
      </c>
      <c r="C6519" s="6" t="str">
        <f>_xll.QS.CONTEXT.CREATE("market.6517",A6519,"USD","SOFR")</f>
        <v>QSObject:PricingContext:w1~market.6517:7409</v>
      </c>
      <c r="D6519" s="6" t="str">
        <f>_xll.QS.CONTEXT.ADD.CURVE(C6519,"SOFR",$K$2:$K$7,$L$2:$L$7,,,"Actual360","LogLinear",TRUE)</f>
        <v>QSObject:ContextInput:w1~input.qs_context_add_curve.2359132437744.6518.3.0:33929</v>
      </c>
      <c r="E6519" s="6" t="str">
        <f>_xll.QS.INSTRUMENT.SWAP("swap.6517",H6519,B6519,"USD","SOFR",I6519,J6519,0,"Actual360","Simple","Annual","Annual","Annual")</f>
        <v>QSObject:Swap:w1~swap.6517:7408</v>
      </c>
      <c r="F6519" s="6" t="str">
        <f>_xll.QS.TRADE.CREATE("trade.6517",E6519,A6519,"Receive")</f>
        <v>QSObject:SwapTrade:w1~trade.6517:25375</v>
      </c>
      <c r="G6519" s="3">
        <f>_xll.QS.EVALUATE(C6519,F6519)</f>
        <v>35544.004830189464</v>
      </c>
      <c r="H6519" s="5" t="s">
        <v>6560</v>
      </c>
      <c r="I6519" s="7">
        <v>1651700</v>
      </c>
      <c r="J6519" s="8">
        <v>3.6700000000000003E-2</v>
      </c>
    </row>
    <row r="6520" spans="1:10" x14ac:dyDescent="0.25">
      <c r="A6520" s="5" t="s">
        <v>6554</v>
      </c>
      <c r="B6520" s="5" t="s">
        <v>8387</v>
      </c>
      <c r="C6520" s="6" t="str">
        <f>_xll.QS.CONTEXT.CREATE("market.6518",A6520,"USD","SOFR")</f>
        <v>QSObject:PricingContext:w1~market.6518:7407</v>
      </c>
      <c r="D6520" s="6" t="str">
        <f>_xll.QS.CONTEXT.ADD.CURVE(C6520,"SOFR",$K$2:$K$7,$L$2:$L$7,,,"Actual360","LogLinear",TRUE)</f>
        <v>QSObject:ContextInput:w1~input.qs_context_add_curve.2359132437744.6519.3.0:33928</v>
      </c>
      <c r="E6520" s="6" t="str">
        <f>_xll.QS.INSTRUMENT.SWAP("swap.6518",H6520,B6520,"USD","SOFR",I6520,J6520,0,"Actual360","Simple","Annual","Annual","Annual")</f>
        <v>QSObject:Swap:w1~swap.6518:7406</v>
      </c>
      <c r="F6520" s="6" t="str">
        <f>_xll.QS.TRADE.CREATE("trade.6518",E6520,A6520,"Receive")</f>
        <v>QSObject:SwapTrade:w1~trade.6518:25374</v>
      </c>
      <c r="G6520" s="3">
        <f>_xll.QS.EVALUATE(C6520,F6520)</f>
        <v>36558.025490756867</v>
      </c>
      <c r="H6520" s="5" t="s">
        <v>6561</v>
      </c>
      <c r="I6520" s="7">
        <v>1651800</v>
      </c>
      <c r="J6520" s="8">
        <v>3.6800000000000013E-2</v>
      </c>
    </row>
    <row r="6521" spans="1:10" x14ac:dyDescent="0.25">
      <c r="A6521" s="5" t="s">
        <v>6555</v>
      </c>
      <c r="B6521" s="5" t="s">
        <v>8388</v>
      </c>
      <c r="C6521" s="6" t="str">
        <f>_xll.QS.CONTEXT.CREATE("market.6519",A6521,"USD","SOFR")</f>
        <v>QSObject:PricingContext:w1~market.6519:7405</v>
      </c>
      <c r="D6521" s="6" t="str">
        <f>_xll.QS.CONTEXT.ADD.CURVE(C6521,"SOFR",$K$2:$K$7,$L$2:$L$7,,,"Actual360","LogLinear",TRUE)</f>
        <v>QSObject:ContextInput:w1~input.qs_context_add_curve.2359132437744.6520.3.0:33927</v>
      </c>
      <c r="E6521" s="6" t="str">
        <f>_xll.QS.INSTRUMENT.SWAP("swap.6519",H6521,B6521,"USD","SOFR",I6521,J6521,0,"Actual360","Simple","Annual","Annual","Annual")</f>
        <v>QSObject:Swap:w1~swap.6519:7404</v>
      </c>
      <c r="F6521" s="6" t="str">
        <f>_xll.QS.TRADE.CREATE("trade.6519",E6521,A6521,"Receive")</f>
        <v>QSObject:SwapTrade:w1~trade.6519:25373</v>
      </c>
      <c r="G6521" s="3">
        <f>_xll.QS.EVALUATE(C6521,F6521)</f>
        <v>37322.144857195904</v>
      </c>
      <c r="H6521" s="5" t="s">
        <v>6562</v>
      </c>
      <c r="I6521" s="7">
        <v>1651900</v>
      </c>
      <c r="J6521" s="8">
        <v>3.6900000000000002E-2</v>
      </c>
    </row>
    <row r="6522" spans="1:10" x14ac:dyDescent="0.25">
      <c r="A6522" s="5" t="s">
        <v>6556</v>
      </c>
      <c r="B6522" s="5" t="s">
        <v>8389</v>
      </c>
      <c r="C6522" s="6" t="str">
        <f>_xll.QS.CONTEXT.CREATE("market.6520",A6522,"USD","SOFR")</f>
        <v>QSObject:PricingContext:w1~market.6520:7403</v>
      </c>
      <c r="D6522" s="6" t="str">
        <f>_xll.QS.CONTEXT.ADD.CURVE(C6522,"SOFR",$K$2:$K$7,$L$2:$L$7,,,"Actual360","LogLinear",TRUE)</f>
        <v>QSObject:ContextInput:w1~input.qs_context_add_curve.2359132437744.6521.3.0:33926</v>
      </c>
      <c r="E6522" s="6" t="str">
        <f>_xll.QS.INSTRUMENT.SWAP("swap.6520",H6522,B6522,"USD","SOFR",I6522,J6522,0,"Actual360","Simple","Annual","Annual","Annual")</f>
        <v>QSObject:Swap:w1~swap.6520:7402</v>
      </c>
      <c r="F6522" s="6" t="str">
        <f>_xll.QS.TRADE.CREATE("trade.6520",E6522,A6522,"Receive")</f>
        <v>QSObject:SwapTrade:w1~trade.6520:25372</v>
      </c>
      <c r="G6522" s="3">
        <f>_xll.QS.EVALUATE(C6522,F6522)</f>
        <v>38101.077772780307</v>
      </c>
      <c r="H6522" s="5" t="s">
        <v>6563</v>
      </c>
      <c r="I6522" s="7">
        <v>1652000</v>
      </c>
      <c r="J6522" s="8">
        <v>3.7000000000000012E-2</v>
      </c>
    </row>
    <row r="6523" spans="1:10" x14ac:dyDescent="0.25">
      <c r="A6523" s="5" t="s">
        <v>6557</v>
      </c>
      <c r="B6523" s="5" t="s">
        <v>8390</v>
      </c>
      <c r="C6523" s="6" t="str">
        <f>_xll.QS.CONTEXT.CREATE("market.6521",A6523,"USD","SOFR")</f>
        <v>QSObject:PricingContext:w1~market.6521:7401</v>
      </c>
      <c r="D6523" s="6" t="str">
        <f>_xll.QS.CONTEXT.ADD.CURVE(C6523,"SOFR",$K$2:$K$7,$L$2:$L$7,,,"Actual360","LogLinear",TRUE)</f>
        <v>QSObject:ContextInput:w1~input.qs_context_add_curve.2359132437744.6522.3.0:33925</v>
      </c>
      <c r="E6523" s="6" t="str">
        <f>_xll.QS.INSTRUMENT.SWAP("swap.6521",H6523,B6523,"USD","SOFR",I6523,J6523,0,"Actual360","Simple","Annual","Annual","Annual")</f>
        <v>QSObject:Swap:w1~swap.6521:7400</v>
      </c>
      <c r="F6523" s="6" t="str">
        <f>_xll.QS.TRADE.CREATE("trade.6521",E6523,A6523,"Receive")</f>
        <v>QSObject:SwapTrade:w1~trade.6521:25371</v>
      </c>
      <c r="G6523" s="3">
        <f>_xll.QS.EVALUATE(C6523,F6523)</f>
        <v>38866.370665250957</v>
      </c>
      <c r="H6523" s="5" t="s">
        <v>6564</v>
      </c>
      <c r="I6523" s="7">
        <v>1652100</v>
      </c>
      <c r="J6523" s="8">
        <v>3.7100000000000001E-2</v>
      </c>
    </row>
    <row r="6524" spans="1:10" x14ac:dyDescent="0.25">
      <c r="A6524" s="5" t="s">
        <v>6558</v>
      </c>
      <c r="B6524" s="5" t="s">
        <v>8391</v>
      </c>
      <c r="C6524" s="6" t="str">
        <f>_xll.QS.CONTEXT.CREATE("market.6522",A6524,"USD","SOFR")</f>
        <v>QSObject:PricingContext:w1~market.6522:7399</v>
      </c>
      <c r="D6524" s="6" t="str">
        <f>_xll.QS.CONTEXT.ADD.CURVE(C6524,"SOFR",$K$2:$K$7,$L$2:$L$7,,,"Actual360","LogLinear",TRUE)</f>
        <v>QSObject:ContextInput:w1~input.qs_context_add_curve.2359132437744.6523.3.0:33924</v>
      </c>
      <c r="E6524" s="6" t="str">
        <f>_xll.QS.INSTRUMENT.SWAP("swap.6522",H6524,B6524,"USD","SOFR",I6524,J6524,0,"Actual360","Simple","Annual","Annual","Annual")</f>
        <v>QSObject:Swap:w1~swap.6522:7398</v>
      </c>
      <c r="F6524" s="6" t="str">
        <f>_xll.QS.TRADE.CREATE("trade.6522",E6524,A6524,"Receive")</f>
        <v>QSObject:SwapTrade:w1~trade.6522:25370</v>
      </c>
      <c r="G6524" s="3">
        <f>_xll.QS.EVALUATE(C6524,F6524)</f>
        <v>39428.031297488669</v>
      </c>
      <c r="H6524" s="5" t="s">
        <v>6565</v>
      </c>
      <c r="I6524" s="7">
        <v>1652200</v>
      </c>
      <c r="J6524" s="8">
        <v>3.7199999999999997E-2</v>
      </c>
    </row>
    <row r="6525" spans="1:10" x14ac:dyDescent="0.25">
      <c r="A6525" s="5" t="s">
        <v>6559</v>
      </c>
      <c r="B6525" s="5" t="s">
        <v>8392</v>
      </c>
      <c r="C6525" s="6" t="str">
        <f>_xll.QS.CONTEXT.CREATE("market.6523",A6525,"USD","SOFR")</f>
        <v>QSObject:PricingContext:w1~market.6523:7397</v>
      </c>
      <c r="D6525" s="6" t="str">
        <f>_xll.QS.CONTEXT.ADD.CURVE(C6525,"SOFR",$K$2:$K$7,$L$2:$L$7,,,"Actual360","LogLinear",TRUE)</f>
        <v>QSObject:ContextInput:w1~input.qs_context_add_curve.2359132437744.6524.3.0:33923</v>
      </c>
      <c r="E6525" s="6" t="str">
        <f>_xll.QS.INSTRUMENT.SWAP("swap.6523",H6525,B6525,"USD","SOFR",I6525,J6525,0,"Actual360","Simple","Annual","Annual","Annual")</f>
        <v>QSObject:Swap:w1~swap.6523:7396</v>
      </c>
      <c r="F6525" s="6" t="str">
        <f>_xll.QS.TRADE.CREATE("trade.6523",E6525,A6525,"Receive")</f>
        <v>QSObject:SwapTrade:w1~trade.6523:25369</v>
      </c>
      <c r="G6525" s="3">
        <f>_xll.QS.EVALUATE(C6525,F6525)</f>
        <v>40195.906549809792</v>
      </c>
      <c r="H6525" s="5" t="s">
        <v>6566</v>
      </c>
      <c r="I6525" s="7">
        <v>1652300</v>
      </c>
      <c r="J6525" s="8">
        <v>3.73E-2</v>
      </c>
    </row>
    <row r="6526" spans="1:10" x14ac:dyDescent="0.25">
      <c r="A6526" s="5" t="s">
        <v>6560</v>
      </c>
      <c r="B6526" s="5" t="s">
        <v>8393</v>
      </c>
      <c r="C6526" s="6" t="str">
        <f>_xll.QS.CONTEXT.CREATE("market.6524",A6526,"USD","SOFR")</f>
        <v>QSObject:PricingContext:w1~market.6524:7395</v>
      </c>
      <c r="D6526" s="6" t="str">
        <f>_xll.QS.CONTEXT.ADD.CURVE(C6526,"SOFR",$K$2:$K$7,$L$2:$L$7,,,"Actual360","LogLinear",TRUE)</f>
        <v>QSObject:ContextInput:w1~input.qs_context_add_curve.2359132437744.6525.3.0:33922</v>
      </c>
      <c r="E6526" s="6" t="str">
        <f>_xll.QS.INSTRUMENT.SWAP("swap.6524",H6526,B6526,"USD","SOFR",I6526,J6526,0,"Actual360","Simple","Annual","Annual","Annual")</f>
        <v>QSObject:Swap:w1~swap.6524:7394</v>
      </c>
      <c r="F6526" s="6" t="str">
        <f>_xll.QS.TRADE.CREATE("trade.6524",E6526,A6526,"Receive")</f>
        <v>QSObject:SwapTrade:w1~trade.6524:25368</v>
      </c>
      <c r="G6526" s="3">
        <f>_xll.QS.EVALUATE(C6526,F6526)</f>
        <v>40963.665055397825</v>
      </c>
      <c r="H6526" s="5" t="s">
        <v>6567</v>
      </c>
      <c r="I6526" s="7">
        <v>1652400</v>
      </c>
      <c r="J6526" s="8">
        <v>3.7400000000000003E-2</v>
      </c>
    </row>
    <row r="6527" spans="1:10" x14ac:dyDescent="0.25">
      <c r="A6527" s="5" t="s">
        <v>6561</v>
      </c>
      <c r="B6527" s="5" t="s">
        <v>8394</v>
      </c>
      <c r="C6527" s="6" t="str">
        <f>_xll.QS.CONTEXT.CREATE("market.6525",A6527,"USD","SOFR")</f>
        <v>QSObject:PricingContext:w1~market.6525:7393</v>
      </c>
      <c r="D6527" s="6" t="str">
        <f>_xll.QS.CONTEXT.ADD.CURVE(C6527,"SOFR",$K$2:$K$7,$L$2:$L$7,,,"Actual360","LogLinear",TRUE)</f>
        <v>QSObject:ContextInput:w1~input.qs_context_add_curve.2359132437744.6526.3.0:33921</v>
      </c>
      <c r="E6527" s="6" t="str">
        <f>_xll.QS.INSTRUMENT.SWAP("swap.6525",H6527,B6527,"USD","SOFR",I6527,J6527,0,"Actual360","Simple","Annual","Annual","Annual")</f>
        <v>QSObject:Swap:w1~swap.6525:7392</v>
      </c>
      <c r="F6527" s="6" t="str">
        <f>_xll.QS.TRADE.CREATE("trade.6525",E6527,A6527,"Receive")</f>
        <v>QSObject:SwapTrade:w1~trade.6525:25367</v>
      </c>
      <c r="G6527" s="3">
        <f>_xll.QS.EVALUATE(C6527,F6527)</f>
        <v>41849.303500651455</v>
      </c>
      <c r="H6527" s="5" t="s">
        <v>6568</v>
      </c>
      <c r="I6527" s="7">
        <v>1652500</v>
      </c>
      <c r="J6527" s="8">
        <v>3.7500000000000012E-2</v>
      </c>
    </row>
    <row r="6528" spans="1:10" x14ac:dyDescent="0.25">
      <c r="A6528" s="5" t="s">
        <v>6562</v>
      </c>
      <c r="B6528" s="5" t="s">
        <v>8395</v>
      </c>
      <c r="C6528" s="6" t="str">
        <f>_xll.QS.CONTEXT.CREATE("market.6526",A6528,"USD","SOFR")</f>
        <v>QSObject:PricingContext:w1~market.6526:7391</v>
      </c>
      <c r="D6528" s="6" t="str">
        <f>_xll.QS.CONTEXT.ADD.CURVE(C6528,"SOFR",$K$2:$K$7,$L$2:$L$7,,,"Actual360","LogLinear",TRUE)</f>
        <v>QSObject:ContextInput:w1~input.qs_context_add_curve.2359132437744.6527.3.0:33920</v>
      </c>
      <c r="E6528" s="6" t="str">
        <f>_xll.QS.INSTRUMENT.SWAP("swap.6526",H6528,B6528,"USD","SOFR",I6528,J6528,0,"Actual360","Simple","Annual","Annual","Annual")</f>
        <v>QSObject:Swap:w1~swap.6526:7390</v>
      </c>
      <c r="F6528" s="6" t="str">
        <f>_xll.QS.TRADE.CREATE("trade.6526",E6528,A6528,"Receive")</f>
        <v>QSObject:SwapTrade:w1~trade.6526:25366</v>
      </c>
      <c r="G6528" s="3">
        <f>_xll.QS.EVALUATE(C6528,F6528)</f>
        <v>42614.040995681775</v>
      </c>
      <c r="H6528" s="5" t="s">
        <v>6569</v>
      </c>
      <c r="I6528" s="7">
        <v>1652600</v>
      </c>
      <c r="J6528" s="8">
        <v>3.7600000000000001E-2</v>
      </c>
    </row>
    <row r="6529" spans="1:10" x14ac:dyDescent="0.25">
      <c r="A6529" s="5" t="s">
        <v>6563</v>
      </c>
      <c r="B6529" s="5" t="s">
        <v>8396</v>
      </c>
      <c r="C6529" s="6" t="str">
        <f>_xll.QS.CONTEXT.CREATE("market.6527",A6529,"USD","SOFR")</f>
        <v>QSObject:PricingContext:w1~market.6527:7389</v>
      </c>
      <c r="D6529" s="6" t="str">
        <f>_xll.QS.CONTEXT.ADD.CURVE(C6529,"SOFR",$K$2:$K$7,$L$2:$L$7,,,"Actual360","LogLinear",TRUE)</f>
        <v>QSObject:ContextInput:w1~input.qs_context_add_curve.2359132437744.6528.3.0:33919</v>
      </c>
      <c r="E6529" s="6" t="str">
        <f>_xll.QS.INSTRUMENT.SWAP("swap.6527",H6529,B6529,"USD","SOFR",I6529,J6529,0,"Actual360","Simple","Annual","Annual","Annual")</f>
        <v>QSObject:Swap:w1~swap.6527:7388</v>
      </c>
      <c r="F6529" s="6" t="str">
        <f>_xll.QS.TRADE.CREATE("trade.6527",E6529,A6529,"Receive")</f>
        <v>QSObject:SwapTrade:w1~trade.6527:25365</v>
      </c>
      <c r="G6529" s="3">
        <f>_xll.QS.EVALUATE(C6529,F6529)</f>
        <v>43319.006171206012</v>
      </c>
      <c r="H6529" s="5" t="s">
        <v>6570</v>
      </c>
      <c r="I6529" s="7">
        <v>1652700</v>
      </c>
      <c r="J6529" s="8">
        <v>3.7699999999999997E-2</v>
      </c>
    </row>
    <row r="6530" spans="1:10" x14ac:dyDescent="0.25">
      <c r="A6530" s="5" t="s">
        <v>6564</v>
      </c>
      <c r="B6530" s="5" t="s">
        <v>8397</v>
      </c>
      <c r="C6530" s="6" t="str">
        <f>_xll.QS.CONTEXT.CREATE("market.6528",A6530,"USD","SOFR")</f>
        <v>QSObject:PricingContext:w1~market.6528:7387</v>
      </c>
      <c r="D6530" s="6" t="str">
        <f>_xll.QS.CONTEXT.ADD.CURVE(C6530,"SOFR",$K$2:$K$7,$L$2:$L$7,,,"Actual360","LogLinear",TRUE)</f>
        <v>QSObject:ContextInput:w1~input.qs_context_add_curve.2359132437744.6529.3.0:33918</v>
      </c>
      <c r="E6530" s="6" t="str">
        <f>_xll.QS.INSTRUMENT.SWAP("swap.6528",H6530,B6530,"USD","SOFR",I6530,J6530,0,"Actual360","Simple","Annual","Annual","Annual")</f>
        <v>QSObject:Swap:w1~swap.6528:7386</v>
      </c>
      <c r="F6530" s="6" t="str">
        <f>_xll.QS.TRADE.CREATE("trade.6528",E6530,A6530,"Receive")</f>
        <v>QSObject:SwapTrade:w1~trade.6528:25364</v>
      </c>
      <c r="G6530" s="3">
        <f>_xll.QS.EVALUATE(C6530,F6530)</f>
        <v>44215.509426490018</v>
      </c>
      <c r="H6530" s="5" t="s">
        <v>6571</v>
      </c>
      <c r="I6530" s="7">
        <v>1652800</v>
      </c>
      <c r="J6530" s="8">
        <v>3.78E-2</v>
      </c>
    </row>
    <row r="6531" spans="1:10" x14ac:dyDescent="0.25">
      <c r="A6531" s="5" t="s">
        <v>6565</v>
      </c>
      <c r="B6531" s="5" t="s">
        <v>8398</v>
      </c>
      <c r="C6531" s="6" t="str">
        <f>_xll.QS.CONTEXT.CREATE("market.6529",A6531,"USD","SOFR")</f>
        <v>QSObject:PricingContext:w1~market.6529:7385</v>
      </c>
      <c r="D6531" s="6" t="str">
        <f>_xll.QS.CONTEXT.ADD.CURVE(C6531,"SOFR",$K$2:$K$7,$L$2:$L$7,,,"Actual360","LogLinear",TRUE)</f>
        <v>QSObject:ContextInput:w1~input.qs_context_add_curve.2359132437744.6530.3.0:33917</v>
      </c>
      <c r="E6531" s="6" t="str">
        <f>_xll.QS.INSTRUMENT.SWAP("swap.6529",H6531,B6531,"USD","SOFR",I6531,J6531,0,"Actual360","Simple","Annual","Annual","Annual")</f>
        <v>QSObject:Swap:w1~swap.6529:7384</v>
      </c>
      <c r="F6531" s="6" t="str">
        <f>_xll.QS.TRADE.CREATE("trade.6529",E6531,A6531,"Receive")</f>
        <v>QSObject:SwapTrade:w1~trade.6529:25363</v>
      </c>
      <c r="G6531" s="3">
        <f>_xll.QS.EVALUATE(C6531,F6531)</f>
        <v>44776.513614304102</v>
      </c>
      <c r="H6531" s="5" t="s">
        <v>6572</v>
      </c>
      <c r="I6531" s="7">
        <v>1652900</v>
      </c>
      <c r="J6531" s="8">
        <v>3.7900000000000003E-2</v>
      </c>
    </row>
    <row r="6532" spans="1:10" x14ac:dyDescent="0.25">
      <c r="A6532" s="5" t="s">
        <v>6566</v>
      </c>
      <c r="B6532" s="5" t="s">
        <v>8399</v>
      </c>
      <c r="C6532" s="6" t="str">
        <f>_xll.QS.CONTEXT.CREATE("market.6530",A6532,"USD","SOFR")</f>
        <v>QSObject:PricingContext:w1~market.6530:7383</v>
      </c>
      <c r="D6532" s="6" t="str">
        <f>_xll.QS.CONTEXT.ADD.CURVE(C6532,"SOFR",$K$2:$K$7,$L$2:$L$7,,,"Actual360","LogLinear",TRUE)</f>
        <v>QSObject:ContextInput:w1~input.qs_context_add_curve.2359132437744.6531.3.0:33916</v>
      </c>
      <c r="E6532" s="6" t="str">
        <f>_xll.QS.INSTRUMENT.SWAP("swap.6530",H6532,B6532,"USD","SOFR",I6532,J6532,0,"Actual360","Simple","Annual","Annual","Annual")</f>
        <v>QSObject:Swap:w1~swap.6530:7382</v>
      </c>
      <c r="F6532" s="6" t="str">
        <f>_xll.QS.TRADE.CREATE("trade.6530",E6532,A6532,"Receive")</f>
        <v>QSObject:SwapTrade:w1~trade.6530:25362</v>
      </c>
      <c r="G6532" s="3">
        <f>_xll.QS.EVALUATE(C6532,F6532)</f>
        <v>45545.249400752022</v>
      </c>
      <c r="H6532" s="5" t="s">
        <v>6573</v>
      </c>
      <c r="I6532" s="7">
        <v>1653000</v>
      </c>
      <c r="J6532" s="8">
        <v>3.8000000000000013E-2</v>
      </c>
    </row>
    <row r="6533" spans="1:10" x14ac:dyDescent="0.25">
      <c r="A6533" s="5" t="s">
        <v>6567</v>
      </c>
      <c r="B6533" s="5" t="s">
        <v>8400</v>
      </c>
      <c r="C6533" s="6" t="str">
        <f>_xll.QS.CONTEXT.CREATE("market.6531",A6533,"USD","SOFR")</f>
        <v>QSObject:PricingContext:w1~market.6531:7381</v>
      </c>
      <c r="D6533" s="6" t="str">
        <f>_xll.QS.CONTEXT.ADD.CURVE(C6533,"SOFR",$K$2:$K$7,$L$2:$L$7,,,"Actual360","LogLinear",TRUE)</f>
        <v>QSObject:ContextInput:w1~input.qs_context_add_curve.2359132437744.6532.3.0:33915</v>
      </c>
      <c r="E6533" s="6" t="str">
        <f>_xll.QS.INSTRUMENT.SWAP("swap.6531",H6533,B6533,"USD","SOFR",I6533,J6533,0,"Actual360","Simple","Annual","Annual","Annual")</f>
        <v>QSObject:Swap:w1~swap.6531:7380</v>
      </c>
      <c r="F6533" s="6" t="str">
        <f>_xll.QS.TRADE.CREATE("trade.6531",E6533,A6533,"Receive")</f>
        <v>QSObject:SwapTrade:w1~trade.6531:25361</v>
      </c>
      <c r="G6533" s="3">
        <f>_xll.QS.EVALUATE(C6533,F6533)</f>
        <v>46502.52676192431</v>
      </c>
      <c r="H6533" s="5" t="s">
        <v>6574</v>
      </c>
      <c r="I6533" s="7">
        <v>1653100</v>
      </c>
      <c r="J6533" s="8">
        <v>3.8100000000000002E-2</v>
      </c>
    </row>
    <row r="6534" spans="1:10" x14ac:dyDescent="0.25">
      <c r="A6534" s="5" t="s">
        <v>6568</v>
      </c>
      <c r="B6534" s="5" t="s">
        <v>8401</v>
      </c>
      <c r="C6534" s="6" t="str">
        <f>_xll.QS.CONTEXT.CREATE("market.6532",A6534,"USD","SOFR")</f>
        <v>QSObject:PricingContext:w1~market.6532:7379</v>
      </c>
      <c r="D6534" s="6" t="str">
        <f>_xll.QS.CONTEXT.ADD.CURVE(C6534,"SOFR",$K$2:$K$7,$L$2:$L$7,,,"Actual360","LogLinear",TRUE)</f>
        <v>QSObject:ContextInput:w1~input.qs_context_add_curve.2359132437744.6533.3.0:33914</v>
      </c>
      <c r="E6534" s="6" t="str">
        <f>_xll.QS.INSTRUMENT.SWAP("swap.6532",H6534,B6534,"USD","SOFR",I6534,J6534,0,"Actual360","Simple","Annual","Annual","Annual")</f>
        <v>QSObject:Swap:w1~swap.6532:7378</v>
      </c>
      <c r="F6534" s="6" t="str">
        <f>_xll.QS.TRADE.CREATE("trade.6532",E6534,A6534,"Receive")</f>
        <v>QSObject:SwapTrade:w1~trade.6532:25360</v>
      </c>
      <c r="G6534" s="3">
        <f>_xll.QS.EVALUATE(C6534,F6534)</f>
        <v>47271.616644332622</v>
      </c>
      <c r="H6534" s="5" t="s">
        <v>6575</v>
      </c>
      <c r="I6534" s="7">
        <v>1653200</v>
      </c>
      <c r="J6534" s="8">
        <v>3.8199999999999998E-2</v>
      </c>
    </row>
    <row r="6535" spans="1:10" x14ac:dyDescent="0.25">
      <c r="A6535" s="5" t="s">
        <v>6569</v>
      </c>
      <c r="B6535" s="5" t="s">
        <v>8402</v>
      </c>
      <c r="C6535" s="6" t="str">
        <f>_xll.QS.CONTEXT.CREATE("market.6533",A6535,"USD","SOFR")</f>
        <v>QSObject:PricingContext:w1~market.6533:7377</v>
      </c>
      <c r="D6535" s="6" t="str">
        <f>_xll.QS.CONTEXT.ADD.CURVE(C6535,"SOFR",$K$2:$K$7,$L$2:$L$7,,,"Actual360","LogLinear",TRUE)</f>
        <v>QSObject:ContextInput:w1~input.qs_context_add_curve.2359132437744.6534.3.0:33913</v>
      </c>
      <c r="E6535" s="6" t="str">
        <f>_xll.QS.INSTRUMENT.SWAP("swap.6533",H6535,B6535,"USD","SOFR",I6535,J6535,0,"Actual360","Simple","Annual","Annual","Annual")</f>
        <v>QSObject:Swap:w1~swap.6533:7376</v>
      </c>
      <c r="F6535" s="6" t="str">
        <f>_xll.QS.TRADE.CREATE("trade.6533",E6535,A6535,"Receive")</f>
        <v>QSObject:SwapTrade:w1~trade.6533:25359</v>
      </c>
      <c r="G6535" s="3">
        <f>_xll.QS.EVALUATE(C6535,F6535)</f>
        <v>48046.887587508951</v>
      </c>
      <c r="H6535" s="5" t="s">
        <v>6576</v>
      </c>
      <c r="I6535" s="7">
        <v>1653300</v>
      </c>
      <c r="J6535" s="8">
        <v>3.8300000000000001E-2</v>
      </c>
    </row>
    <row r="6536" spans="1:10" x14ac:dyDescent="0.25">
      <c r="A6536" s="5" t="s">
        <v>6570</v>
      </c>
      <c r="B6536" s="5" t="s">
        <v>8403</v>
      </c>
      <c r="C6536" s="6" t="str">
        <f>_xll.QS.CONTEXT.CREATE("market.6534",A6536,"USD","SOFR")</f>
        <v>QSObject:PricingContext:w1~market.6534:7375</v>
      </c>
      <c r="D6536" s="6" t="str">
        <f>_xll.QS.CONTEXT.ADD.CURVE(C6536,"SOFR",$K$2:$K$7,$L$2:$L$7,,,"Actual360","LogLinear",TRUE)</f>
        <v>QSObject:ContextInput:w1~input.qs_context_add_curve.2359132437744.6535.3.0:33912</v>
      </c>
      <c r="E6536" s="6" t="str">
        <f>_xll.QS.INSTRUMENT.SWAP("swap.6534",H6536,B6536,"USD","SOFR",I6536,J6536,0,"Actual360","Simple","Annual","Annual","Annual")</f>
        <v>QSObject:Swap:w1~swap.6534:7374</v>
      </c>
      <c r="F6536" s="6" t="str">
        <f>_xll.QS.TRADE.CREATE("trade.6534",E6536,A6536,"Receive")</f>
        <v>QSObject:SwapTrade:w1~trade.6534:25358</v>
      </c>
      <c r="G6536" s="3">
        <f>_xll.QS.EVALUATE(C6536,F6536)</f>
        <v>48747.166868652224</v>
      </c>
      <c r="H6536" s="5" t="s">
        <v>6577</v>
      </c>
      <c r="I6536" s="7">
        <v>1653400</v>
      </c>
      <c r="J6536" s="8">
        <v>3.8399999999999997E-2</v>
      </c>
    </row>
    <row r="6537" spans="1:10" x14ac:dyDescent="0.25">
      <c r="A6537" s="5" t="s">
        <v>6571</v>
      </c>
      <c r="B6537" s="5" t="s">
        <v>8404</v>
      </c>
      <c r="C6537" s="6" t="str">
        <f>_xll.QS.CONTEXT.CREATE("market.6535",A6537,"USD","SOFR")</f>
        <v>QSObject:PricingContext:w1~market.6535:7373</v>
      </c>
      <c r="D6537" s="6" t="str">
        <f>_xll.QS.CONTEXT.ADD.CURVE(C6537,"SOFR",$K$2:$K$7,$L$2:$L$7,,,"Actual360","LogLinear",TRUE)</f>
        <v>QSObject:ContextInput:w1~input.qs_context_add_curve.2359132437744.6536.3.0:33911</v>
      </c>
      <c r="E6537" s="6" t="str">
        <f>_xll.QS.INSTRUMENT.SWAP("swap.6535",H6537,B6537,"USD","SOFR",I6537,J6537,0,"Actual360","Simple","Annual","Annual","Annual")</f>
        <v>QSObject:Swap:w1~swap.6535:7372</v>
      </c>
      <c r="F6537" s="6" t="str">
        <f>_xll.QS.TRADE.CREATE("trade.6535",E6537,A6537,"Receive")</f>
        <v>QSObject:SwapTrade:w1~trade.6535:25357</v>
      </c>
      <c r="G6537" s="3">
        <f>_xll.QS.EVALUATE(C6537,F6537)</f>
        <v>49512.429646291799</v>
      </c>
      <c r="H6537" s="5" t="s">
        <v>6578</v>
      </c>
      <c r="I6537" s="7">
        <v>1653500</v>
      </c>
      <c r="J6537" s="8">
        <v>3.8500000000000013E-2</v>
      </c>
    </row>
    <row r="6538" spans="1:10" x14ac:dyDescent="0.25">
      <c r="A6538" s="5" t="s">
        <v>6572</v>
      </c>
      <c r="B6538" s="5" t="s">
        <v>8405</v>
      </c>
      <c r="C6538" s="6" t="str">
        <f>_xll.QS.CONTEXT.CREATE("market.6536",A6538,"USD","SOFR")</f>
        <v>QSObject:PricingContext:w1~market.6536:7371</v>
      </c>
      <c r="D6538" s="6" t="str">
        <f>_xll.QS.CONTEXT.ADD.CURVE(C6538,"SOFR",$K$2:$K$7,$L$2:$L$7,,,"Actual360","LogLinear",TRUE)</f>
        <v>QSObject:ContextInput:w1~input.qs_context_add_curve.2359132437744.6537.3.0:33910</v>
      </c>
      <c r="E6538" s="6" t="str">
        <f>_xll.QS.INSTRUMENT.SWAP("swap.6536",H6538,B6538,"USD","SOFR",I6538,J6538,0,"Actual360","Simple","Annual","Annual","Annual")</f>
        <v>QSObject:Swap:w1~swap.6536:7370</v>
      </c>
      <c r="F6538" s="6" t="str">
        <f>_xll.QS.TRADE.CREATE("trade.6536",E6538,A6538,"Receive")</f>
        <v>QSObject:SwapTrade:w1~trade.6536:25356</v>
      </c>
      <c r="G6538" s="3">
        <f>_xll.QS.EVALUATE(C6538,F6538)</f>
        <v>50073.788873637714</v>
      </c>
      <c r="H6538" s="5" t="s">
        <v>6579</v>
      </c>
      <c r="I6538" s="7">
        <v>1653600</v>
      </c>
      <c r="J6538" s="8">
        <v>3.8600000000000002E-2</v>
      </c>
    </row>
    <row r="6539" spans="1:10" x14ac:dyDescent="0.25">
      <c r="A6539" s="5" t="s">
        <v>6573</v>
      </c>
      <c r="B6539" s="5" t="s">
        <v>8406</v>
      </c>
      <c r="C6539" s="6" t="str">
        <f>_xll.QS.CONTEXT.CREATE("market.6537",A6539,"USD","SOFR")</f>
        <v>QSObject:PricingContext:w1~market.6537:7369</v>
      </c>
      <c r="D6539" s="6" t="str">
        <f>_xll.QS.CONTEXT.ADD.CURVE(C6539,"SOFR",$K$2:$K$7,$L$2:$L$7,,,"Actual360","LogLinear",TRUE)</f>
        <v>QSObject:ContextInput:w1~input.qs_context_add_curve.2359132437744.6538.3.0:33909</v>
      </c>
      <c r="E6539" s="6" t="str">
        <f>_xll.QS.INSTRUMENT.SWAP("swap.6537",H6539,B6539,"USD","SOFR",I6539,J6539,0,"Actual360","Simple","Annual","Annual","Annual")</f>
        <v>QSObject:Swap:w1~swap.6537:7368</v>
      </c>
      <c r="F6539" s="6" t="str">
        <f>_xll.QS.TRADE.CREATE("trade.6537",E6539,A6539,"Receive")</f>
        <v>QSObject:SwapTrade:w1~trade.6537:25355</v>
      </c>
      <c r="G6539" s="3">
        <f>_xll.QS.EVALUATE(C6539,F6539)</f>
        <v>50844.020611153377</v>
      </c>
      <c r="H6539" s="5" t="s">
        <v>6580</v>
      </c>
      <c r="I6539" s="7">
        <v>1653700</v>
      </c>
      <c r="J6539" s="8">
        <v>3.8700000000000012E-2</v>
      </c>
    </row>
    <row r="6540" spans="1:10" x14ac:dyDescent="0.25">
      <c r="A6540" s="5" t="s">
        <v>6574</v>
      </c>
      <c r="B6540" s="5" t="s">
        <v>8407</v>
      </c>
      <c r="C6540" s="6" t="str">
        <f>_xll.QS.CONTEXT.CREATE("market.6538",A6540,"USD","SOFR")</f>
        <v>QSObject:PricingContext:w1~market.6538:7367</v>
      </c>
      <c r="D6540" s="6" t="str">
        <f>_xll.QS.CONTEXT.ADD.CURVE(C6540,"SOFR",$K$2:$K$7,$L$2:$L$7,,,"Actual360","LogLinear",TRUE)</f>
        <v>QSObject:ContextInput:w1~input.qs_context_add_curve.2359132437744.6539.3.0:33908</v>
      </c>
      <c r="E6540" s="6" t="str">
        <f>_xll.QS.INSTRUMENT.SWAP("swap.6538",H6540,B6540,"USD","SOFR",I6540,J6540,0,"Actual360","Simple","Annual","Annual","Annual")</f>
        <v>QSObject:Swap:w1~swap.6538:7366</v>
      </c>
      <c r="F6540" s="6" t="str">
        <f>_xll.QS.TRADE.CREATE("trade.6538",E6540,A6540,"Receive")</f>
        <v>QSObject:SwapTrade:w1~trade.6538:25354</v>
      </c>
      <c r="G6540" s="3">
        <f>_xll.QS.EVALUATE(C6540,F6540)</f>
        <v>51680.370833424291</v>
      </c>
      <c r="H6540" s="5" t="s">
        <v>6581</v>
      </c>
      <c r="I6540" s="7">
        <v>1653800</v>
      </c>
      <c r="J6540" s="8">
        <v>3.8800000000000001E-2</v>
      </c>
    </row>
    <row r="6541" spans="1:10" x14ac:dyDescent="0.25">
      <c r="A6541" s="5" t="s">
        <v>6575</v>
      </c>
      <c r="B6541" s="5" t="s">
        <v>8408</v>
      </c>
      <c r="C6541" s="6" t="str">
        <f>_xll.QS.CONTEXT.CREATE("market.6539",A6541,"USD","SOFR")</f>
        <v>QSObject:PricingContext:w1~market.6539:7365</v>
      </c>
      <c r="D6541" s="6" t="str">
        <f>_xll.QS.CONTEXT.ADD.CURVE(C6541,"SOFR",$K$2:$K$7,$L$2:$L$7,,,"Actual360","LogLinear",TRUE)</f>
        <v>QSObject:ContextInput:w1~input.qs_context_add_curve.2359132437744.6540.3.0:33907</v>
      </c>
      <c r="E6541" s="6" t="str">
        <f>_xll.QS.INSTRUMENT.SWAP("swap.6539",H6541,B6541,"USD","SOFR",I6541,J6541,0,"Actual360","Simple","Annual","Annual","Annual")</f>
        <v>QSObject:Swap:w1~swap.6539:7364</v>
      </c>
      <c r="F6541" s="6" t="str">
        <f>_xll.QS.TRADE.CREATE("trade.6539",E6541,A6541,"Receive")</f>
        <v>QSObject:SwapTrade:w1~trade.6539:25353</v>
      </c>
      <c r="G6541" s="3">
        <f>_xll.QS.EVALUATE(C6541,F6541)</f>
        <v>52568.152112237622</v>
      </c>
      <c r="H6541" s="5" t="s">
        <v>6582</v>
      </c>
      <c r="I6541" s="7">
        <v>1653900</v>
      </c>
      <c r="J6541" s="8">
        <v>3.8899999999999997E-2</v>
      </c>
    </row>
    <row r="6542" spans="1:10" x14ac:dyDescent="0.25">
      <c r="A6542" s="5" t="s">
        <v>6576</v>
      </c>
      <c r="B6542" s="5" t="s">
        <v>8409</v>
      </c>
      <c r="C6542" s="6" t="str">
        <f>_xll.QS.CONTEXT.CREATE("market.6540",A6542,"USD","SOFR")</f>
        <v>QSObject:PricingContext:w1~market.6540:7363</v>
      </c>
      <c r="D6542" s="6" t="str">
        <f>_xll.QS.CONTEXT.ADD.CURVE(C6542,"SOFR",$K$2:$K$7,$L$2:$L$7,,,"Actual360","LogLinear",TRUE)</f>
        <v>QSObject:ContextInput:w1~input.qs_context_add_curve.2359132437744.6541.3.0:33906</v>
      </c>
      <c r="E6542" s="6" t="str">
        <f>_xll.QS.INSTRUMENT.SWAP("swap.6540",H6542,B6542,"USD","SOFR",I6542,J6542,0,"Actual360","Simple","Annual","Annual","Annual")</f>
        <v>QSObject:Swap:w1~swap.6540:7362</v>
      </c>
      <c r="F6542" s="6" t="str">
        <f>_xll.QS.TRADE.CREATE("trade.6540",E6542,A6542,"Receive")</f>
        <v>QSObject:SwapTrade:w1~trade.6540:25352</v>
      </c>
      <c r="G6542" s="3">
        <f>_xll.QS.EVALUATE(C6542,F6542)</f>
        <v>53334.193563373141</v>
      </c>
      <c r="H6542" s="5" t="s">
        <v>6583</v>
      </c>
      <c r="I6542" s="7">
        <v>1654000</v>
      </c>
      <c r="J6542" s="8">
        <v>3.9000000000000007E-2</v>
      </c>
    </row>
    <row r="6543" spans="1:10" x14ac:dyDescent="0.25">
      <c r="A6543" s="5" t="s">
        <v>6577</v>
      </c>
      <c r="B6543" s="5" t="s">
        <v>8410</v>
      </c>
      <c r="C6543" s="6" t="str">
        <f>_xll.QS.CONTEXT.CREATE("market.6541",A6543,"USD","SOFR")</f>
        <v>QSObject:PricingContext:w1~market.6541:7361</v>
      </c>
      <c r="D6543" s="6" t="str">
        <f>_xll.QS.CONTEXT.ADD.CURVE(C6543,"SOFR",$K$2:$K$7,$L$2:$L$7,,,"Actual360","LogLinear",TRUE)</f>
        <v>QSObject:ContextInput:w1~input.qs_context_add_curve.2359132437744.6542.3.0:33905</v>
      </c>
      <c r="E6543" s="6" t="str">
        <f>_xll.QS.INSTRUMENT.SWAP("swap.6541",H6543,B6543,"USD","SOFR",I6543,J6543,0,"Actual360","Simple","Annual","Annual","Annual")</f>
        <v>QSObject:Swap:w1~swap.6541:7360</v>
      </c>
      <c r="F6543" s="6" t="str">
        <f>_xll.QS.TRADE.CREATE("trade.6541",E6543,A6543,"Receive")</f>
        <v>QSObject:SwapTrade:w1~trade.6541:25351</v>
      </c>
      <c r="G6543" s="3">
        <f>_xll.QS.EVALUATE(C6543,F6543)</f>
        <v>54108.844645201338</v>
      </c>
      <c r="H6543" s="5" t="s">
        <v>6584</v>
      </c>
      <c r="I6543" s="7">
        <v>1654100</v>
      </c>
      <c r="J6543" s="8">
        <v>3.9100000000000003E-2</v>
      </c>
    </row>
    <row r="6544" spans="1:10" x14ac:dyDescent="0.25">
      <c r="A6544" s="5" t="s">
        <v>6578</v>
      </c>
      <c r="B6544" s="5" t="s">
        <v>8411</v>
      </c>
      <c r="C6544" s="6" t="str">
        <f>_xll.QS.CONTEXT.CREATE("market.6542",A6544,"USD","SOFR")</f>
        <v>QSObject:PricingContext:w1~market.6542:7359</v>
      </c>
      <c r="D6544" s="6" t="str">
        <f>_xll.QS.CONTEXT.ADD.CURVE(C6544,"SOFR",$K$2:$K$7,$L$2:$L$7,,,"Actual360","LogLinear",TRUE)</f>
        <v>QSObject:ContextInput:w1~input.qs_context_add_curve.2359132437744.6543.3.0:33904</v>
      </c>
      <c r="E6544" s="6" t="str">
        <f>_xll.QS.INSTRUMENT.SWAP("swap.6542",H6544,B6544,"USD","SOFR",I6544,J6544,0,"Actual360","Simple","Annual","Annual","Annual")</f>
        <v>QSObject:Swap:w1~swap.6542:7358</v>
      </c>
      <c r="F6544" s="6" t="str">
        <f>_xll.QS.TRADE.CREATE("trade.6542",E6544,A6544,"Receive")</f>
        <v>QSObject:SwapTrade:w1~trade.6542:25350</v>
      </c>
      <c r="G6544" s="3">
        <f>_xll.QS.EVALUATE(C6544,F6544)</f>
        <v>54876.74806213117</v>
      </c>
      <c r="H6544" s="5" t="s">
        <v>6585</v>
      </c>
      <c r="I6544" s="7">
        <v>1654200</v>
      </c>
      <c r="J6544" s="8">
        <v>3.9200000000000013E-2</v>
      </c>
    </row>
    <row r="6545" spans="1:10" x14ac:dyDescent="0.25">
      <c r="A6545" s="5" t="s">
        <v>6579</v>
      </c>
      <c r="B6545" s="5" t="s">
        <v>8412</v>
      </c>
      <c r="C6545" s="6" t="str">
        <f>_xll.QS.CONTEXT.CREATE("market.6543",A6545,"USD","SOFR")</f>
        <v>QSObject:PricingContext:w1~market.6543:7357</v>
      </c>
      <c r="D6545" s="6" t="str">
        <f>_xll.QS.CONTEXT.ADD.CURVE(C6545,"SOFR",$K$2:$K$7,$L$2:$L$7,,,"Actual360","LogLinear",TRUE)</f>
        <v>QSObject:ContextInput:w1~input.qs_context_add_curve.2359132437744.6544.3.0:33903</v>
      </c>
      <c r="E6545" s="6" t="str">
        <f>_xll.QS.INSTRUMENT.SWAP("swap.6543",H6545,B6545,"USD","SOFR",I6545,J6545,0,"Actual360","Simple","Annual","Annual","Annual")</f>
        <v>QSObject:Swap:w1~swap.6543:7356</v>
      </c>
      <c r="F6545" s="6" t="str">
        <f>_xll.QS.TRADE.CREATE("trade.6543",E6545,A6545,"Receive")</f>
        <v>QSObject:SwapTrade:w1~trade.6543:25349</v>
      </c>
      <c r="G6545" s="3">
        <f>_xll.QS.EVALUATE(C6545,F6545)</f>
        <v>55436.858085577325</v>
      </c>
      <c r="H6545" s="5" t="s">
        <v>6586</v>
      </c>
      <c r="I6545" s="7">
        <v>1654300</v>
      </c>
      <c r="J6545" s="8">
        <v>3.9300000000000002E-2</v>
      </c>
    </row>
    <row r="6546" spans="1:10" x14ac:dyDescent="0.25">
      <c r="A6546" s="5" t="s">
        <v>6580</v>
      </c>
      <c r="B6546" s="5" t="s">
        <v>8413</v>
      </c>
      <c r="C6546" s="6" t="str">
        <f>_xll.QS.CONTEXT.CREATE("market.6544",A6546,"USD","SOFR")</f>
        <v>QSObject:PricingContext:w1~market.6544:7355</v>
      </c>
      <c r="D6546" s="6" t="str">
        <f>_xll.QS.CONTEXT.ADD.CURVE(C6546,"SOFR",$K$2:$K$7,$L$2:$L$7,,,"Actual360","LogLinear",TRUE)</f>
        <v>QSObject:ContextInput:w1~input.qs_context_add_curve.2359132437744.6545.3.0:33902</v>
      </c>
      <c r="E6546" s="6" t="str">
        <f>_xll.QS.INSTRUMENT.SWAP("swap.6544",H6546,B6546,"USD","SOFR",I6546,J6546,0,"Actual360","Simple","Annual","Annual","Annual")</f>
        <v>QSObject:Swap:w1~swap.6544:7354</v>
      </c>
      <c r="F6546" s="6" t="str">
        <f>_xll.QS.TRADE.CREATE("trade.6544",E6546,A6546,"Receive")</f>
        <v>QSObject:SwapTrade:w1~trade.6544:25348</v>
      </c>
      <c r="G6546" s="3">
        <f>_xll.QS.EVALUATE(C6546,F6546)</f>
        <v>56207.836500769343</v>
      </c>
      <c r="H6546" s="5" t="s">
        <v>6587</v>
      </c>
      <c r="I6546" s="7">
        <v>1654400</v>
      </c>
      <c r="J6546" s="8">
        <v>3.9399999999999998E-2</v>
      </c>
    </row>
    <row r="6547" spans="1:10" x14ac:dyDescent="0.25">
      <c r="A6547" s="5" t="s">
        <v>6581</v>
      </c>
      <c r="B6547" s="5" t="s">
        <v>8414</v>
      </c>
      <c r="C6547" s="6" t="str">
        <f>_xll.QS.CONTEXT.CREATE("market.6545",A6547,"USD","SOFR")</f>
        <v>QSObject:PricingContext:w1~market.6545:7353</v>
      </c>
      <c r="D6547" s="6" t="str">
        <f>_xll.QS.CONTEXT.ADD.CURVE(C6547,"SOFR",$K$2:$K$7,$L$2:$L$7,,,"Actual360","LogLinear",TRUE)</f>
        <v>QSObject:ContextInput:w1~input.qs_context_add_curve.2359132437744.6546.3.0:33901</v>
      </c>
      <c r="E6547" s="6" t="str">
        <f>_xll.QS.INSTRUMENT.SWAP("swap.6545",H6547,B6547,"USD","SOFR",I6547,J6547,0,"Actual360","Simple","Annual","Annual","Annual")</f>
        <v>QSObject:Swap:w1~swap.6545:7352</v>
      </c>
      <c r="F6547" s="6" t="str">
        <f>_xll.QS.TRADE.CREATE("trade.6545",E6547,A6547,"Receive")</f>
        <v>QSObject:SwapTrade:w1~trade.6545:25347</v>
      </c>
      <c r="G6547" s="3">
        <f>_xll.QS.EVALUATE(C6547,F6547)</f>
        <v>57045.505227225018</v>
      </c>
      <c r="H6547" s="5" t="s">
        <v>6588</v>
      </c>
      <c r="I6547" s="7">
        <v>1654500</v>
      </c>
      <c r="J6547" s="8">
        <v>3.9500000000000007E-2</v>
      </c>
    </row>
    <row r="6548" spans="1:10" x14ac:dyDescent="0.25">
      <c r="A6548" s="5" t="s">
        <v>6582</v>
      </c>
      <c r="B6548" s="5" t="s">
        <v>8415</v>
      </c>
      <c r="C6548" s="6" t="str">
        <f>_xll.QS.CONTEXT.CREATE("market.6546",A6548,"USD","SOFR")</f>
        <v>QSObject:PricingContext:w1~market.6546:7351</v>
      </c>
      <c r="D6548" s="6" t="str">
        <f>_xll.QS.CONTEXT.ADD.CURVE(C6548,"SOFR",$K$2:$K$7,$L$2:$L$7,,,"Actual360","LogLinear",TRUE)</f>
        <v>QSObject:ContextInput:w1~input.qs_context_add_curve.2359132437744.6547.3.0:33900</v>
      </c>
      <c r="E6548" s="6" t="str">
        <f>_xll.QS.INSTRUMENT.SWAP("swap.6546",H6548,B6548,"USD","SOFR",I6548,J6548,0,"Actual360","Simple","Annual","Annual","Annual")</f>
        <v>QSObject:Swap:w1~swap.6546:7350</v>
      </c>
      <c r="F6548" s="6" t="str">
        <f>_xll.QS.TRADE.CREATE("trade.6546",E6548,A6548,"Receive")</f>
        <v>QSObject:SwapTrade:w1~trade.6546:25346</v>
      </c>
      <c r="G6548" s="3">
        <f>_xll.QS.EVALUATE(C6548,F6548)</f>
        <v>57933.472829771286</v>
      </c>
      <c r="H6548" s="5" t="s">
        <v>6589</v>
      </c>
      <c r="I6548" s="7">
        <v>1654600</v>
      </c>
      <c r="J6548" s="8">
        <v>3.9600000000000003E-2</v>
      </c>
    </row>
    <row r="6549" spans="1:10" x14ac:dyDescent="0.25">
      <c r="A6549" s="5" t="s">
        <v>6583</v>
      </c>
      <c r="B6549" s="5" t="s">
        <v>8416</v>
      </c>
      <c r="C6549" s="6" t="str">
        <f>_xll.QS.CONTEXT.CREATE("market.6547",A6549,"USD","SOFR")</f>
        <v>QSObject:PricingContext:w1~market.6547:7349</v>
      </c>
      <c r="D6549" s="6" t="str">
        <f>_xll.QS.CONTEXT.ADD.CURVE(C6549,"SOFR",$K$2:$K$7,$L$2:$L$7,,,"Actual360","LogLinear",TRUE)</f>
        <v>QSObject:ContextInput:w1~input.qs_context_add_curve.2359132437744.6548.3.0:33899</v>
      </c>
      <c r="E6549" s="6" t="str">
        <f>_xll.QS.INSTRUMENT.SWAP("swap.6547",H6549,B6549,"USD","SOFR",I6549,J6549,0,"Actual360","Simple","Annual","Annual","Annual")</f>
        <v>QSObject:Swap:w1~swap.6547:7348</v>
      </c>
      <c r="F6549" s="6" t="str">
        <f>_xll.QS.TRADE.CREATE("trade.6547",E6549,A6549,"Receive")</f>
        <v>QSObject:SwapTrade:w1~trade.6547:25345</v>
      </c>
      <c r="G6549" s="3">
        <f>_xll.QS.EVALUATE(C6549,F6549)</f>
        <v>58700.116161574864</v>
      </c>
      <c r="H6549" s="5" t="s">
        <v>6590</v>
      </c>
      <c r="I6549" s="7">
        <v>1654700</v>
      </c>
      <c r="J6549" s="8">
        <v>3.9700000000000013E-2</v>
      </c>
    </row>
    <row r="6550" spans="1:10" x14ac:dyDescent="0.25">
      <c r="A6550" s="5" t="s">
        <v>6584</v>
      </c>
      <c r="B6550" s="5" t="s">
        <v>8417</v>
      </c>
      <c r="C6550" s="6" t="str">
        <f>_xll.QS.CONTEXT.CREATE("market.6548",A6550,"USD","SOFR")</f>
        <v>QSObject:PricingContext:w1~market.6548:7347</v>
      </c>
      <c r="D6550" s="6" t="str">
        <f>_xll.QS.CONTEXT.ADD.CURVE(C6550,"SOFR",$K$2:$K$7,$L$2:$L$7,,,"Actual360","LogLinear",TRUE)</f>
        <v>QSObject:ContextInput:w1~input.qs_context_add_curve.2359132437744.6549.3.0:33898</v>
      </c>
      <c r="E6550" s="6" t="str">
        <f>_xll.QS.INSTRUMENT.SWAP("swap.6548",H6550,B6550,"USD","SOFR",I6550,J6550,0,"Actual360","Simple","Annual","Annual","Annual")</f>
        <v>QSObject:Swap:w1~swap.6548:7346</v>
      </c>
      <c r="F6550" s="6" t="str">
        <f>_xll.QS.TRADE.CREATE("trade.6548",E6550,A6550,"Receive")</f>
        <v>QSObject:SwapTrade:w1~trade.6548:25344</v>
      </c>
      <c r="G6550" s="3">
        <f>_xll.QS.EVALUATE(C6550,F6550)</f>
        <v>59476.055687393724</v>
      </c>
      <c r="H6550" s="5" t="s">
        <v>6591</v>
      </c>
      <c r="I6550" s="7">
        <v>1654800</v>
      </c>
      <c r="J6550" s="8">
        <v>3.9800000000000002E-2</v>
      </c>
    </row>
    <row r="6551" spans="1:10" x14ac:dyDescent="0.25">
      <c r="A6551" s="5" t="s">
        <v>6585</v>
      </c>
      <c r="B6551" s="5" t="s">
        <v>8418</v>
      </c>
      <c r="C6551" s="6" t="str">
        <f>_xll.QS.CONTEXT.CREATE("market.6549",A6551,"USD","SOFR")</f>
        <v>QSObject:PricingContext:w1~market.6549:7345</v>
      </c>
      <c r="D6551" s="6" t="str">
        <f>_xll.QS.CONTEXT.ADD.CURVE(C6551,"SOFR",$K$2:$K$7,$L$2:$L$7,,,"Actual360","LogLinear",TRUE)</f>
        <v>QSObject:ContextInput:w1~input.qs_context_add_curve.2359132437744.6550.3.0:33897</v>
      </c>
      <c r="E6551" s="6" t="str">
        <f>_xll.QS.INSTRUMENT.SWAP("swap.6549",H6551,B6551,"USD","SOFR",I6551,J6551,0,"Actual360","Simple","Annual","Annual","Annual")</f>
        <v>QSObject:Swap:w1~swap.6549:7344</v>
      </c>
      <c r="F6551" s="6" t="str">
        <f>_xll.QS.TRADE.CREATE("trade.6549",E6551,A6551,"Receive")</f>
        <v>QSObject:SwapTrade:w1~trade.6549:25343</v>
      </c>
      <c r="G6551" s="3">
        <f>_xll.QS.EVALUATE(C6551,F6551)</f>
        <v>60244.625972394373</v>
      </c>
      <c r="H6551" s="5" t="s">
        <v>6592</v>
      </c>
      <c r="I6551" s="7">
        <v>1654900</v>
      </c>
      <c r="J6551" s="8">
        <v>3.9899999999999998E-2</v>
      </c>
    </row>
    <row r="6552" spans="1:10" x14ac:dyDescent="0.25">
      <c r="A6552" s="5" t="s">
        <v>6586</v>
      </c>
      <c r="B6552" s="5" t="s">
        <v>8419</v>
      </c>
      <c r="C6552" s="6" t="str">
        <f>_xll.QS.CONTEXT.CREATE("market.6550",A6552,"USD","SOFR")</f>
        <v>QSObject:PricingContext:w1~market.6550:7343</v>
      </c>
      <c r="D6552" s="6" t="str">
        <f>_xll.QS.CONTEXT.ADD.CURVE(C6552,"SOFR",$K$2:$K$7,$L$2:$L$7,,,"Actual360","LogLinear",TRUE)</f>
        <v>QSObject:ContextInput:w1~input.qs_context_add_curve.2359132437744.6551.3.0:33896</v>
      </c>
      <c r="E6552" s="6" t="str">
        <f>_xll.QS.INSTRUMENT.SWAP("swap.6550",H6552,B6552,"USD","SOFR",I6552,J6552,0,"Actual360","Simple","Annual","Annual","Annual")</f>
        <v>QSObject:Swap:w1~swap.6550:7342</v>
      </c>
      <c r="F6552" s="6" t="str">
        <f>_xll.QS.TRADE.CREATE("trade.6550",E6552,A6552,"Receive")</f>
        <v>QSObject:SwapTrade:w1~trade.6550:25342</v>
      </c>
      <c r="G6552" s="3">
        <f>_xll.QS.EVALUATE(C6552,F6552)</f>
        <v>22633.477608793248</v>
      </c>
      <c r="H6552" s="5" t="s">
        <v>6593</v>
      </c>
      <c r="I6552" s="7">
        <v>1655000</v>
      </c>
      <c r="J6552" s="8">
        <v>3.5000000000000003E-2</v>
      </c>
    </row>
    <row r="6553" spans="1:10" x14ac:dyDescent="0.25">
      <c r="A6553" s="5" t="s">
        <v>6587</v>
      </c>
      <c r="B6553" s="5" t="s">
        <v>8420</v>
      </c>
      <c r="C6553" s="6" t="str">
        <f>_xll.QS.CONTEXT.CREATE("market.6551",A6553,"USD","SOFR")</f>
        <v>QSObject:PricingContext:w1~market.6551:7341</v>
      </c>
      <c r="D6553" s="6" t="str">
        <f>_xll.QS.CONTEXT.ADD.CURVE(C6553,"SOFR",$K$2:$K$7,$L$2:$L$7,,,"Actual360","LogLinear",TRUE)</f>
        <v>QSObject:ContextInput:w1~input.qs_context_add_curve.2359132437744.6552.3.0:33895</v>
      </c>
      <c r="E6553" s="6" t="str">
        <f>_xll.QS.INSTRUMENT.SWAP("swap.6551",H6553,B6553,"USD","SOFR",I6553,J6553,0,"Actual360","Simple","Annual","Annual","Annual")</f>
        <v>QSObject:Swap:w1~swap.6551:7340</v>
      </c>
      <c r="F6553" s="6" t="str">
        <f>_xll.QS.TRADE.CREATE("trade.6551",E6553,A6553,"Receive")</f>
        <v>QSObject:SwapTrade:w1~trade.6551:25341</v>
      </c>
      <c r="G6553" s="3">
        <f>_xll.QS.EVALUATE(C6553,F6553)</f>
        <v>23400.044043025417</v>
      </c>
      <c r="H6553" s="5" t="s">
        <v>6594</v>
      </c>
      <c r="I6553" s="7">
        <v>1655100</v>
      </c>
      <c r="J6553" s="8">
        <v>3.5100000000000013E-2</v>
      </c>
    </row>
    <row r="6554" spans="1:10" x14ac:dyDescent="0.25">
      <c r="A6554" s="5" t="s">
        <v>6588</v>
      </c>
      <c r="B6554" s="5" t="s">
        <v>8421</v>
      </c>
      <c r="C6554" s="6" t="str">
        <f>_xll.QS.CONTEXT.CREATE("market.6552",A6554,"USD","SOFR")</f>
        <v>QSObject:PricingContext:w1~market.6552:7339</v>
      </c>
      <c r="D6554" s="6" t="str">
        <f>_xll.QS.CONTEXT.ADD.CURVE(C6554,"SOFR",$K$2:$K$7,$L$2:$L$7,,,"Actual360","LogLinear",TRUE)</f>
        <v>QSObject:ContextInput:w1~input.qs_context_add_curve.2359132437744.6553.3.0:33894</v>
      </c>
      <c r="E6554" s="6" t="str">
        <f>_xll.QS.INSTRUMENT.SWAP("swap.6552",H6554,B6554,"USD","SOFR",I6554,J6554,0,"Actual360","Simple","Annual","Annual","Annual")</f>
        <v>QSObject:Swap:w1~swap.6552:7338</v>
      </c>
      <c r="F6554" s="6" t="str">
        <f>_xll.QS.TRADE.CREATE("trade.6552",E6554,A6554,"Receive")</f>
        <v>QSObject:SwapTrade:w1~trade.6552:25340</v>
      </c>
      <c r="G6554" s="3">
        <f>_xll.QS.EVALUATE(C6554,F6554)</f>
        <v>24232.870025502576</v>
      </c>
      <c r="H6554" s="5" t="s">
        <v>6595</v>
      </c>
      <c r="I6554" s="7">
        <v>1655200</v>
      </c>
      <c r="J6554" s="8">
        <v>3.5200000000000002E-2</v>
      </c>
    </row>
    <row r="6555" spans="1:10" x14ac:dyDescent="0.25">
      <c r="A6555" s="5" t="s">
        <v>6589</v>
      </c>
      <c r="B6555" s="5" t="s">
        <v>8422</v>
      </c>
      <c r="C6555" s="6" t="str">
        <f>_xll.QS.CONTEXT.CREATE("market.6553",A6555,"USD","SOFR")</f>
        <v>QSObject:PricingContext:w1~market.6553:7337</v>
      </c>
      <c r="D6555" s="6" t="str">
        <f>_xll.QS.CONTEXT.ADD.CURVE(C6555,"SOFR",$K$2:$K$7,$L$2:$L$7,,,"Actual360","LogLinear",TRUE)</f>
        <v>QSObject:ContextInput:w1~input.qs_context_add_curve.2359132437744.6554.3.0:33893</v>
      </c>
      <c r="E6555" s="6" t="str">
        <f>_xll.QS.INSTRUMENT.SWAP("swap.6553",H6555,B6555,"USD","SOFR",I6555,J6555,0,"Actual360","Simple","Annual","Annual","Annual")</f>
        <v>QSObject:Swap:w1~swap.6553:7336</v>
      </c>
      <c r="F6555" s="6" t="str">
        <f>_xll.QS.TRADE.CREATE("trade.6553",E6555,A6555,"Receive")</f>
        <v>QSObject:SwapTrade:w1~trade.6553:25339</v>
      </c>
      <c r="G6555" s="3">
        <f>_xll.QS.EVALUATE(C6555,F6555)</f>
        <v>25118.740487582734</v>
      </c>
      <c r="H6555" s="5" t="s">
        <v>6596</v>
      </c>
      <c r="I6555" s="7">
        <v>1655300</v>
      </c>
      <c r="J6555" s="8">
        <v>3.5299999999999998E-2</v>
      </c>
    </row>
    <row r="6556" spans="1:10" x14ac:dyDescent="0.25">
      <c r="A6556" s="5" t="s">
        <v>6590</v>
      </c>
      <c r="B6556" s="5" t="s">
        <v>8423</v>
      </c>
      <c r="C6556" s="6" t="str">
        <f>_xll.QS.CONTEXT.CREATE("market.6554",A6556,"USD","SOFR")</f>
        <v>QSObject:PricingContext:w1~market.6554:7335</v>
      </c>
      <c r="D6556" s="6" t="str">
        <f>_xll.QS.CONTEXT.ADD.CURVE(C6556,"SOFR",$K$2:$K$7,$L$2:$L$7,,,"Actual360","LogLinear",TRUE)</f>
        <v>QSObject:ContextInput:w1~input.qs_context_add_curve.2359132437744.6555.3.0:33892</v>
      </c>
      <c r="E6556" s="6" t="str">
        <f>_xll.QS.INSTRUMENT.SWAP("swap.6554",H6556,B6556,"USD","SOFR",I6556,J6556,0,"Actual360","Simple","Annual","Annual","Annual")</f>
        <v>QSObject:Swap:w1~swap.6554:7334</v>
      </c>
      <c r="F6556" s="6" t="str">
        <f>_xll.QS.TRADE.CREATE("trade.6554",E6556,A6556,"Receive")</f>
        <v>QSObject:SwapTrade:w1~trade.6554:25338</v>
      </c>
      <c r="G6556" s="3">
        <f>_xll.QS.EVALUATE(C6556,F6556)</f>
        <v>25883.787484041517</v>
      </c>
      <c r="H6556" s="5" t="s">
        <v>6597</v>
      </c>
      <c r="I6556" s="7">
        <v>1655400</v>
      </c>
      <c r="J6556" s="8">
        <v>3.5400000000000001E-2</v>
      </c>
    </row>
    <row r="6557" spans="1:10" x14ac:dyDescent="0.25">
      <c r="A6557" s="5" t="s">
        <v>6591</v>
      </c>
      <c r="B6557" s="5" t="s">
        <v>8424</v>
      </c>
      <c r="C6557" s="6" t="str">
        <f>_xll.QS.CONTEXT.CREATE("market.6555",A6557,"USD","SOFR")</f>
        <v>QSObject:PricingContext:w1~market.6555:7333</v>
      </c>
      <c r="D6557" s="6" t="str">
        <f>_xll.QS.CONTEXT.ADD.CURVE(C6557,"SOFR",$K$2:$K$7,$L$2:$L$7,,,"Actual360","LogLinear",TRUE)</f>
        <v>QSObject:ContextInput:w1~input.qs_context_add_curve.2359132437744.6556.3.0:33891</v>
      </c>
      <c r="E6557" s="6" t="str">
        <f>_xll.QS.INSTRUMENT.SWAP("swap.6555",H6557,B6557,"USD","SOFR",I6557,J6557,0,"Actual360","Simple","Annual","Annual","Annual")</f>
        <v>QSObject:Swap:w1~swap.6555:7332</v>
      </c>
      <c r="F6557" s="6" t="str">
        <f>_xll.QS.TRADE.CREATE("trade.6555",E6557,A6557,"Receive")</f>
        <v>QSObject:SwapTrade:w1~trade.6555:25337</v>
      </c>
      <c r="G6557" s="3">
        <f>_xll.QS.EVALUATE(C6557,F6557)</f>
        <v>26657.978278249553</v>
      </c>
      <c r="H6557" s="5" t="s">
        <v>6598</v>
      </c>
      <c r="I6557" s="7">
        <v>1655500</v>
      </c>
      <c r="J6557" s="8">
        <v>3.5499999999999997E-2</v>
      </c>
    </row>
    <row r="6558" spans="1:10" x14ac:dyDescent="0.25">
      <c r="A6558" s="5" t="s">
        <v>6592</v>
      </c>
      <c r="B6558" s="5" t="s">
        <v>8425</v>
      </c>
      <c r="C6558" s="6" t="str">
        <f>_xll.QS.CONTEXT.CREATE("market.6556",A6558,"USD","SOFR")</f>
        <v>QSObject:PricingContext:w1~market.6556:7331</v>
      </c>
      <c r="D6558" s="6" t="str">
        <f>_xll.QS.CONTEXT.ADD.CURVE(C6558,"SOFR",$K$2:$K$7,$L$2:$L$7,,,"Actual360","LogLinear",TRUE)</f>
        <v>QSObject:ContextInput:w1~input.qs_context_add_curve.2359132437744.6557.3.0:33890</v>
      </c>
      <c r="E6558" s="6" t="str">
        <f>_xll.QS.INSTRUMENT.SWAP("swap.6556",H6558,B6558,"USD","SOFR",I6558,J6558,0,"Actual360","Simple","Annual","Annual","Annual")</f>
        <v>QSObject:Swap:w1~swap.6556:7330</v>
      </c>
      <c r="F6558" s="6" t="str">
        <f>_xll.QS.TRADE.CREATE("trade.6556",E6558,A6558,"Receive")</f>
        <v>QSObject:SwapTrade:w1~trade.6556:25336</v>
      </c>
      <c r="G6558" s="3">
        <f>_xll.QS.EVALUATE(C6558,F6558)</f>
        <v>27424.763228025316</v>
      </c>
      <c r="H6558" s="5" t="s">
        <v>6599</v>
      </c>
      <c r="I6558" s="7">
        <v>1655600</v>
      </c>
      <c r="J6558" s="8">
        <v>3.5600000000000007E-2</v>
      </c>
    </row>
    <row r="6559" spans="1:10" x14ac:dyDescent="0.25">
      <c r="A6559" s="5" t="s">
        <v>6593</v>
      </c>
      <c r="B6559" s="5" t="s">
        <v>8426</v>
      </c>
      <c r="C6559" s="6" t="str">
        <f>_xll.QS.CONTEXT.CREATE("market.6557",A6559,"USD","SOFR")</f>
        <v>QSObject:PricingContext:w1~market.6557:7329</v>
      </c>
      <c r="D6559" s="6" t="str">
        <f>_xll.QS.CONTEXT.ADD.CURVE(C6559,"SOFR",$K$2:$K$7,$L$2:$L$7,,,"Actual360","LogLinear",TRUE)</f>
        <v>QSObject:ContextInput:w1~input.qs_context_add_curve.2359132437744.6558.3.0:33889</v>
      </c>
      <c r="E6559" s="6" t="str">
        <f>_xll.QS.INSTRUMENT.SWAP("swap.6557",H6559,B6559,"USD","SOFR",I6559,J6559,0,"Actual360","Simple","Annual","Annual","Annual")</f>
        <v>QSObject:Swap:w1~swap.6557:7328</v>
      </c>
      <c r="F6559" s="6" t="str">
        <f>_xll.QS.TRADE.CREATE("trade.6557",E6559,A6559,"Receive")</f>
        <v>QSObject:SwapTrade:w1~trade.6557:25335</v>
      </c>
      <c r="G6559" s="3">
        <f>_xll.QS.EVALUATE(C6559,F6559)</f>
        <v>27989.214804779673</v>
      </c>
      <c r="H6559" s="5" t="s">
        <v>6600</v>
      </c>
      <c r="I6559" s="7">
        <v>1655700</v>
      </c>
      <c r="J6559" s="8">
        <v>3.5700000000000003E-2</v>
      </c>
    </row>
    <row r="6560" spans="1:10" x14ac:dyDescent="0.25">
      <c r="A6560" s="5" t="s">
        <v>6594</v>
      </c>
      <c r="B6560" s="5" t="s">
        <v>8427</v>
      </c>
      <c r="C6560" s="6" t="str">
        <f>_xll.QS.CONTEXT.CREATE("market.6558",A6560,"USD","SOFR")</f>
        <v>QSObject:PricingContext:w1~market.6558:7327</v>
      </c>
      <c r="D6560" s="6" t="str">
        <f>_xll.QS.CONTEXT.ADD.CURVE(C6560,"SOFR",$K$2:$K$7,$L$2:$L$7,,,"Actual360","LogLinear",TRUE)</f>
        <v>QSObject:ContextInput:w1~input.qs_context_add_curve.2359132437744.6559.3.0:33888</v>
      </c>
      <c r="E6560" s="6" t="str">
        <f>_xll.QS.INSTRUMENT.SWAP("swap.6558",H6560,B6560,"USD","SOFR",I6560,J6560,0,"Actual360","Simple","Annual","Annual","Annual")</f>
        <v>QSObject:Swap:w1~swap.6558:7326</v>
      </c>
      <c r="F6560" s="6" t="str">
        <f>_xll.QS.TRADE.CREATE("trade.6558",E6560,A6560,"Receive")</f>
        <v>QSObject:SwapTrade:w1~trade.6558:25334</v>
      </c>
      <c r="G6560" s="3">
        <f>_xll.QS.EVALUATE(C6560,F6560)</f>
        <v>28756.876160976484</v>
      </c>
      <c r="H6560" s="5" t="s">
        <v>6601</v>
      </c>
      <c r="I6560" s="7">
        <v>1655800</v>
      </c>
      <c r="J6560" s="8">
        <v>3.5800000000000012E-2</v>
      </c>
    </row>
    <row r="6561" spans="1:10" x14ac:dyDescent="0.25">
      <c r="A6561" s="5" t="s">
        <v>6595</v>
      </c>
      <c r="B6561" s="5" t="s">
        <v>8428</v>
      </c>
      <c r="C6561" s="6" t="str">
        <f>_xll.QS.CONTEXT.CREATE("market.6559",A6561,"USD","SOFR")</f>
        <v>QSObject:PricingContext:w1~market.6559:7325</v>
      </c>
      <c r="D6561" s="6" t="str">
        <f>_xll.QS.CONTEXT.ADD.CURVE(C6561,"SOFR",$K$2:$K$7,$L$2:$L$7,,,"Actual360","LogLinear",TRUE)</f>
        <v>QSObject:ContextInput:w1~input.qs_context_add_curve.2359132437744.6560.3.0:33887</v>
      </c>
      <c r="E6561" s="6" t="str">
        <f>_xll.QS.INSTRUMENT.SWAP("swap.6559",H6561,B6561,"USD","SOFR",I6561,J6561,0,"Actual360","Simple","Annual","Annual","Annual")</f>
        <v>QSObject:Swap:w1~swap.6559:7324</v>
      </c>
      <c r="F6561" s="6" t="str">
        <f>_xll.QS.TRADE.CREATE("trade.6559",E6561,A6561,"Receive")</f>
        <v>QSObject:SwapTrade:w1~trade.6559:25333</v>
      </c>
      <c r="G6561" s="3">
        <f>_xll.QS.EVALUATE(C6561,F6561)</f>
        <v>29590.565282407202</v>
      </c>
      <c r="H6561" s="5" t="s">
        <v>6602</v>
      </c>
      <c r="I6561" s="7">
        <v>1655900</v>
      </c>
      <c r="J6561" s="8">
        <v>3.5900000000000001E-2</v>
      </c>
    </row>
    <row r="6562" spans="1:10" x14ac:dyDescent="0.25">
      <c r="A6562" s="5" t="s">
        <v>6596</v>
      </c>
      <c r="B6562" s="5" t="s">
        <v>8429</v>
      </c>
      <c r="C6562" s="6" t="str">
        <f>_xll.QS.CONTEXT.CREATE("market.6560",A6562,"USD","SOFR")</f>
        <v>QSObject:PricingContext:w1~market.6560:7323</v>
      </c>
      <c r="D6562" s="6" t="str">
        <f>_xll.QS.CONTEXT.ADD.CURVE(C6562,"SOFR",$K$2:$K$7,$L$2:$L$7,,,"Actual360","LogLinear",TRUE)</f>
        <v>QSObject:ContextInput:w1~input.qs_context_add_curve.2359132437744.6561.3.0:33886</v>
      </c>
      <c r="E6562" s="6" t="str">
        <f>_xll.QS.INSTRUMENT.SWAP("swap.6560",H6562,B6562,"USD","SOFR",I6562,J6562,0,"Actual360","Simple","Annual","Annual","Annual")</f>
        <v>QSObject:Swap:w1~swap.6560:7322</v>
      </c>
      <c r="F6562" s="6" t="str">
        <f>_xll.QS.TRADE.CREATE("trade.6560",E6562,A6562,"Receive")</f>
        <v>QSObject:SwapTrade:w1~trade.6560:25332</v>
      </c>
      <c r="G6562" s="3">
        <f>_xll.QS.EVALUATE(C6562,F6562)</f>
        <v>30409.157645615371</v>
      </c>
      <c r="H6562" s="5" t="s">
        <v>6603</v>
      </c>
      <c r="I6562" s="7">
        <v>1656000</v>
      </c>
      <c r="J6562" s="8">
        <v>3.5999999999999997E-2</v>
      </c>
    </row>
    <row r="6563" spans="1:10" x14ac:dyDescent="0.25">
      <c r="A6563" s="5" t="s">
        <v>6597</v>
      </c>
      <c r="B6563" s="5" t="s">
        <v>8430</v>
      </c>
      <c r="C6563" s="6" t="str">
        <f>_xll.QS.CONTEXT.CREATE("market.6561",A6563,"USD","SOFR")</f>
        <v>QSObject:PricingContext:w1~market.6561:7321</v>
      </c>
      <c r="D6563" s="6" t="str">
        <f>_xll.QS.CONTEXT.ADD.CURVE(C6563,"SOFR",$K$2:$K$7,$L$2:$L$7,,,"Actual360","LogLinear",TRUE)</f>
        <v>QSObject:ContextInput:w1~input.qs_context_add_curve.2359132437744.6562.3.0:33885</v>
      </c>
      <c r="E6563" s="6" t="str">
        <f>_xll.QS.INSTRUMENT.SWAP("swap.6561",H6563,B6563,"USD","SOFR",I6563,J6563,0,"Actual360","Simple","Annual","Annual","Annual")</f>
        <v>QSObject:Swap:w1~swap.6561:7320</v>
      </c>
      <c r="F6563" s="6" t="str">
        <f>_xll.QS.TRADE.CREATE("trade.6561",E6563,A6563,"Receive")</f>
        <v>QSObject:SwapTrade:w1~trade.6561:25331</v>
      </c>
      <c r="G6563" s="3">
        <f>_xll.QS.EVALUATE(C6563,F6563)</f>
        <v>31304.203438686811</v>
      </c>
      <c r="H6563" s="5" t="s">
        <v>6604</v>
      </c>
      <c r="I6563" s="7">
        <v>1656100</v>
      </c>
      <c r="J6563" s="8">
        <v>3.61E-2</v>
      </c>
    </row>
    <row r="6564" spans="1:10" x14ac:dyDescent="0.25">
      <c r="A6564" s="5" t="s">
        <v>6598</v>
      </c>
      <c r="B6564" s="5" t="s">
        <v>8431</v>
      </c>
      <c r="C6564" s="6" t="str">
        <f>_xll.QS.CONTEXT.CREATE("market.6562",A6564,"USD","SOFR")</f>
        <v>QSObject:PricingContext:w1~market.6562:7319</v>
      </c>
      <c r="D6564" s="6" t="str">
        <f>_xll.QS.CONTEXT.ADD.CURVE(C6564,"SOFR",$K$2:$K$7,$L$2:$L$7,,,"Actual360","LogLinear",TRUE)</f>
        <v>QSObject:ContextInput:w1~input.qs_context_add_curve.2359132437744.6563.3.0:33884</v>
      </c>
      <c r="E6564" s="6" t="str">
        <f>_xll.QS.INSTRUMENT.SWAP("swap.6562",H6564,B6564,"USD","SOFR",I6564,J6564,0,"Actual360","Simple","Annual","Annual","Annual")</f>
        <v>QSObject:Swap:w1~swap.6562:7318</v>
      </c>
      <c r="F6564" s="6" t="str">
        <f>_xll.QS.TRADE.CREATE("trade.6562",E6564,A6564,"Receive")</f>
        <v>QSObject:SwapTrade:w1~trade.6562:25330</v>
      </c>
      <c r="G6564" s="3">
        <f>_xll.QS.EVALUATE(C6564,F6564)</f>
        <v>32080.604555847895</v>
      </c>
      <c r="H6564" s="5" t="s">
        <v>6605</v>
      </c>
      <c r="I6564" s="7">
        <v>1656200</v>
      </c>
      <c r="J6564" s="8">
        <v>3.6200000000000003E-2</v>
      </c>
    </row>
    <row r="6565" spans="1:10" x14ac:dyDescent="0.25">
      <c r="A6565" s="5" t="s">
        <v>6599</v>
      </c>
      <c r="B6565" s="5" t="s">
        <v>8432</v>
      </c>
      <c r="C6565" s="6" t="str">
        <f>_xll.QS.CONTEXT.CREATE("market.6563",A6565,"USD","SOFR")</f>
        <v>QSObject:PricingContext:w1~market.6563:7317</v>
      </c>
      <c r="D6565" s="6" t="str">
        <f>_xll.QS.CONTEXT.ADD.CURVE(C6565,"SOFR",$K$2:$K$7,$L$2:$L$7,,,"Actual360","LogLinear",TRUE)</f>
        <v>QSObject:ContextInput:w1~input.qs_context_add_curve.2359132437744.6564.3.0:33883</v>
      </c>
      <c r="E6565" s="6" t="str">
        <f>_xll.QS.INSTRUMENT.SWAP("swap.6563",H6565,B6565,"USD","SOFR",I6565,J6565,0,"Actual360","Simple","Annual","Annual","Annual")</f>
        <v>QSObject:Swap:w1~swap.6563:7316</v>
      </c>
      <c r="F6565" s="6" t="str">
        <f>_xll.QS.TRADE.CREATE("trade.6563",E6565,A6565,"Receive")</f>
        <v>QSObject:SwapTrade:w1~trade.6563:25329</v>
      </c>
      <c r="G6565" s="3">
        <f>_xll.QS.EVALUATE(C6565,F6565)</f>
        <v>32851.80129419428</v>
      </c>
      <c r="H6565" s="5" t="s">
        <v>6606</v>
      </c>
      <c r="I6565" s="7">
        <v>1656300</v>
      </c>
      <c r="J6565" s="8">
        <v>3.6300000000000013E-2</v>
      </c>
    </row>
    <row r="6566" spans="1:10" x14ac:dyDescent="0.25">
      <c r="A6566" s="5" t="s">
        <v>6600</v>
      </c>
      <c r="B6566" s="5" t="s">
        <v>8433</v>
      </c>
      <c r="C6566" s="6" t="str">
        <f>_xll.QS.CONTEXT.CREATE("market.6564",A6566,"USD","SOFR")</f>
        <v>QSObject:PricingContext:w1~market.6564:7315</v>
      </c>
      <c r="D6566" s="6" t="str">
        <f>_xll.QS.CONTEXT.ADD.CURVE(C6566,"SOFR",$K$2:$K$7,$L$2:$L$7,,,"Actual360","LogLinear",TRUE)</f>
        <v>QSObject:ContextInput:w1~input.qs_context_add_curve.2359132437744.6565.3.0:33882</v>
      </c>
      <c r="E6566" s="6" t="str">
        <f>_xll.QS.INSTRUMENT.SWAP("swap.6564",H6566,B6566,"USD","SOFR",I6566,J6566,0,"Actual360","Simple","Annual","Annual","Annual")</f>
        <v>QSObject:Swap:w1~swap.6564:7314</v>
      </c>
      <c r="F6566" s="6" t="str">
        <f>_xll.QS.TRADE.CREATE("trade.6564",E6566,A6566,"Receive")</f>
        <v>QSObject:SwapTrade:w1~trade.6564:25328</v>
      </c>
      <c r="G6566" s="3">
        <f>_xll.QS.EVALUATE(C6566,F6566)</f>
        <v>33415.744300101578</v>
      </c>
      <c r="H6566" s="5" t="s">
        <v>6607</v>
      </c>
      <c r="I6566" s="7">
        <v>1656400</v>
      </c>
      <c r="J6566" s="8">
        <v>3.6400000000000002E-2</v>
      </c>
    </row>
    <row r="6567" spans="1:10" x14ac:dyDescent="0.25">
      <c r="A6567" s="5" t="s">
        <v>6601</v>
      </c>
      <c r="B6567" s="5" t="s">
        <v>8434</v>
      </c>
      <c r="C6567" s="6" t="str">
        <f>_xll.QS.CONTEXT.CREATE("market.6565",A6567,"USD","SOFR")</f>
        <v>QSObject:PricingContext:w1~market.6565:7313</v>
      </c>
      <c r="D6567" s="6" t="str">
        <f>_xll.QS.CONTEXT.ADD.CURVE(C6567,"SOFR",$K$2:$K$7,$L$2:$L$7,,,"Actual360","LogLinear",TRUE)</f>
        <v>QSObject:ContextInput:w1~input.qs_context_add_curve.2359132437744.6566.3.0:33881</v>
      </c>
      <c r="E6567" s="6" t="str">
        <f>_xll.QS.INSTRUMENT.SWAP("swap.6565",H6567,B6567,"USD","SOFR",I6567,J6567,0,"Actual360","Simple","Annual","Annual","Annual")</f>
        <v>QSObject:Swap:w1~swap.6565:7312</v>
      </c>
      <c r="F6567" s="6" t="str">
        <f>_xll.QS.TRADE.CREATE("trade.6565",E6567,A6567,"Receive")</f>
        <v>QSObject:SwapTrade:w1~trade.6565:25327</v>
      </c>
      <c r="G6567" s="3">
        <f>_xll.QS.EVALUATE(C6567,F6567)</f>
        <v>34184.680185227648</v>
      </c>
      <c r="H6567" s="5" t="s">
        <v>6608</v>
      </c>
      <c r="I6567" s="7">
        <v>1656500</v>
      </c>
      <c r="J6567" s="8">
        <v>3.6499999999999998E-2</v>
      </c>
    </row>
    <row r="6568" spans="1:10" x14ac:dyDescent="0.25">
      <c r="A6568" s="5" t="s">
        <v>6602</v>
      </c>
      <c r="B6568" s="5" t="s">
        <v>8435</v>
      </c>
      <c r="C6568" s="6" t="str">
        <f>_xll.QS.CONTEXT.CREATE("market.6566",A6568,"USD","SOFR")</f>
        <v>QSObject:PricingContext:w1~market.6566:7311</v>
      </c>
      <c r="D6568" s="6" t="str">
        <f>_xll.QS.CONTEXT.ADD.CURVE(C6568,"SOFR",$K$2:$K$7,$L$2:$L$7,,,"Actual360","LogLinear",TRUE)</f>
        <v>QSObject:ContextInput:w1~input.qs_context_add_curve.2359132437744.6567.3.0:33880</v>
      </c>
      <c r="E6568" s="6" t="str">
        <f>_xll.QS.INSTRUMENT.SWAP("swap.6566",H6568,B6568,"USD","SOFR",I6568,J6568,0,"Actual360","Simple","Annual","Annual","Annual")</f>
        <v>QSObject:Swap:w1~swap.6566:7310</v>
      </c>
      <c r="F6568" s="6" t="str">
        <f>_xll.QS.TRADE.CREATE("trade.6566",E6568,A6568,"Receive")</f>
        <v>QSObject:SwapTrade:w1~trade.6566:25326</v>
      </c>
      <c r="G6568" s="3">
        <f>_xll.QS.EVALUATE(C6568,F6568)</f>
        <v>35140.519725621161</v>
      </c>
      <c r="H6568" s="5" t="s">
        <v>6609</v>
      </c>
      <c r="I6568" s="7">
        <v>1656600</v>
      </c>
      <c r="J6568" s="8">
        <v>3.6600000000000001E-2</v>
      </c>
    </row>
    <row r="6569" spans="1:10" x14ac:dyDescent="0.25">
      <c r="A6569" s="5" t="s">
        <v>6603</v>
      </c>
      <c r="B6569" s="5" t="s">
        <v>8436</v>
      </c>
      <c r="C6569" s="6" t="str">
        <f>_xll.QS.CONTEXT.CREATE("market.6567",A6569,"USD","SOFR")</f>
        <v>QSObject:PricingContext:w1~market.6567:7309</v>
      </c>
      <c r="D6569" s="6" t="str">
        <f>_xll.QS.CONTEXT.ADD.CURVE(C6569,"SOFR",$K$2:$K$7,$L$2:$L$7,,,"Actual360","LogLinear",TRUE)</f>
        <v>QSObject:ContextInput:w1~input.qs_context_add_curve.2359132437744.6568.3.0:33879</v>
      </c>
      <c r="E6569" s="6" t="str">
        <f>_xll.QS.INSTRUMENT.SWAP("swap.6567",H6569,B6569,"USD","SOFR",I6569,J6569,0,"Actual360","Simple","Annual","Annual","Annual")</f>
        <v>QSObject:Swap:w1~swap.6567:7308</v>
      </c>
      <c r="F6569" s="6" t="str">
        <f>_xll.QS.TRADE.CREATE("trade.6567",E6569,A6569,"Receive")</f>
        <v>QSObject:SwapTrade:w1~trade.6567:25325</v>
      </c>
      <c r="G6569" s="3">
        <f>_xll.QS.EVALUATE(C6569,F6569)</f>
        <v>35771.941628316956</v>
      </c>
      <c r="H6569" s="5" t="s">
        <v>6610</v>
      </c>
      <c r="I6569" s="7">
        <v>1656700</v>
      </c>
      <c r="J6569" s="8">
        <v>3.6700000000000003E-2</v>
      </c>
    </row>
    <row r="6570" spans="1:10" x14ac:dyDescent="0.25">
      <c r="A6570" s="5" t="s">
        <v>6604</v>
      </c>
      <c r="B6570" s="5" t="s">
        <v>8437</v>
      </c>
      <c r="C6570" s="6" t="str">
        <f>_xll.QS.CONTEXT.CREATE("market.6568",A6570,"USD","SOFR")</f>
        <v>QSObject:PricingContext:w1~market.6568:7307</v>
      </c>
      <c r="D6570" s="6" t="str">
        <f>_xll.QS.CONTEXT.ADD.CURVE(C6570,"SOFR",$K$2:$K$7,$L$2:$L$7,,,"Actual360","LogLinear",TRUE)</f>
        <v>QSObject:ContextInput:w1~input.qs_context_add_curve.2359132437744.6569.3.0:33878</v>
      </c>
      <c r="E6570" s="6" t="str">
        <f>_xll.QS.INSTRUMENT.SWAP("swap.6568",H6570,B6570,"USD","SOFR",I6570,J6570,0,"Actual360","Simple","Annual","Annual","Annual")</f>
        <v>QSObject:Swap:w1~swap.6568:7306</v>
      </c>
      <c r="F6570" s="6" t="str">
        <f>_xll.QS.TRADE.CREATE("trade.6568",E6570,A6570,"Receive")</f>
        <v>QSObject:SwapTrade:w1~trade.6568:25324</v>
      </c>
      <c r="G6570" s="3">
        <f>_xll.QS.EVALUATE(C6570,F6570)</f>
        <v>36668.23274291875</v>
      </c>
      <c r="H6570" s="5" t="s">
        <v>6611</v>
      </c>
      <c r="I6570" s="7">
        <v>1656800</v>
      </c>
      <c r="J6570" s="8">
        <v>3.6800000000000013E-2</v>
      </c>
    </row>
    <row r="6571" spans="1:10" x14ac:dyDescent="0.25">
      <c r="A6571" s="5" t="s">
        <v>6605</v>
      </c>
      <c r="B6571" s="5" t="s">
        <v>8438</v>
      </c>
      <c r="C6571" s="6" t="str">
        <f>_xll.QS.CONTEXT.CREATE("market.6569",A6571,"USD","SOFR")</f>
        <v>QSObject:PricingContext:w1~market.6569:7305</v>
      </c>
      <c r="D6571" s="6" t="str">
        <f>_xll.QS.CONTEXT.ADD.CURVE(C6571,"SOFR",$K$2:$K$7,$L$2:$L$7,,,"Actual360","LogLinear",TRUE)</f>
        <v>QSObject:ContextInput:w1~input.qs_context_add_curve.2359132437744.6570.3.0:33877</v>
      </c>
      <c r="E6571" s="6" t="str">
        <f>_xll.QS.INSTRUMENT.SWAP("swap.6569",H6571,B6571,"USD","SOFR",I6571,J6571,0,"Actual360","Simple","Annual","Annual","Annual")</f>
        <v>QSObject:Swap:w1~swap.6569:7304</v>
      </c>
      <c r="F6571" s="6" t="str">
        <f>_xll.QS.TRADE.CREATE("trade.6569",E6571,A6571,"Receive")</f>
        <v>QSObject:SwapTrade:w1~trade.6569:25323</v>
      </c>
      <c r="G6571" s="3">
        <f>_xll.QS.EVALUATE(C6571,F6571)</f>
        <v>37444.799923903563</v>
      </c>
      <c r="H6571" s="5" t="s">
        <v>6612</v>
      </c>
      <c r="I6571" s="7">
        <v>1656900</v>
      </c>
      <c r="J6571" s="8">
        <v>3.6900000000000002E-2</v>
      </c>
    </row>
    <row r="6572" spans="1:10" x14ac:dyDescent="0.25">
      <c r="A6572" s="5" t="s">
        <v>6606</v>
      </c>
      <c r="B6572" s="5" t="s">
        <v>8439</v>
      </c>
      <c r="C6572" s="6" t="str">
        <f>_xll.QS.CONTEXT.CREATE("market.6570",A6572,"USD","SOFR")</f>
        <v>QSObject:PricingContext:w1~market.6570:7303</v>
      </c>
      <c r="D6572" s="6" t="str">
        <f>_xll.QS.CONTEXT.ADD.CURVE(C6572,"SOFR",$K$2:$K$7,$L$2:$L$7,,,"Actual360","LogLinear",TRUE)</f>
        <v>QSObject:ContextInput:w1~input.qs_context_add_curve.2359132437744.6571.3.0:33876</v>
      </c>
      <c r="E6572" s="6" t="str">
        <f>_xll.QS.INSTRUMENT.SWAP("swap.6570",H6572,B6572,"USD","SOFR",I6572,J6572,0,"Actual360","Simple","Annual","Annual","Annual")</f>
        <v>QSObject:Swap:w1~swap.6570:7302</v>
      </c>
      <c r="F6572" s="6" t="str">
        <f>_xll.QS.TRADE.CREATE("trade.6570",E6572,A6572,"Receive")</f>
        <v>QSObject:SwapTrade:w1~trade.6570:25322</v>
      </c>
      <c r="G6572" s="3">
        <f>_xll.QS.EVALUATE(C6572,F6572)</f>
        <v>38217.198272365698</v>
      </c>
      <c r="H6572" s="5" t="s">
        <v>6613</v>
      </c>
      <c r="I6572" s="7">
        <v>1657000</v>
      </c>
      <c r="J6572" s="8">
        <v>3.7000000000000012E-2</v>
      </c>
    </row>
    <row r="6573" spans="1:10" x14ac:dyDescent="0.25">
      <c r="A6573" s="5" t="s">
        <v>6607</v>
      </c>
      <c r="B6573" s="5" t="s">
        <v>8440</v>
      </c>
      <c r="C6573" s="6" t="str">
        <f>_xll.QS.CONTEXT.CREATE("market.6571",A6573,"USD","SOFR")</f>
        <v>QSObject:PricingContext:w1~market.6571:7301</v>
      </c>
      <c r="D6573" s="6" t="str">
        <f>_xll.QS.CONTEXT.ADD.CURVE(C6573,"SOFR",$K$2:$K$7,$L$2:$L$7,,,"Actual360","LogLinear",TRUE)</f>
        <v>QSObject:ContextInput:w1~input.qs_context_add_curve.2359132437744.6572.3.0:33875</v>
      </c>
      <c r="E6573" s="6" t="str">
        <f>_xll.QS.INSTRUMENT.SWAP("swap.6571",H6573,B6573,"USD","SOFR",I6573,J6573,0,"Actual360","Simple","Annual","Annual","Annual")</f>
        <v>QSObject:Swap:w1~swap.6571:7300</v>
      </c>
      <c r="F6573" s="6" t="str">
        <f>_xll.QS.TRADE.CREATE("trade.6571",E6573,A6573,"Receive")</f>
        <v>QSObject:SwapTrade:w1~trade.6571:25321</v>
      </c>
      <c r="G6573" s="3">
        <f>_xll.QS.EVALUATE(C6573,F6573)</f>
        <v>38780.625569580494</v>
      </c>
      <c r="H6573" s="5" t="s">
        <v>6614</v>
      </c>
      <c r="I6573" s="7">
        <v>1657100</v>
      </c>
      <c r="J6573" s="8">
        <v>3.7100000000000001E-2</v>
      </c>
    </row>
    <row r="6574" spans="1:10" x14ac:dyDescent="0.25">
      <c r="A6574" s="5" t="s">
        <v>6608</v>
      </c>
      <c r="B6574" s="5" t="s">
        <v>8441</v>
      </c>
      <c r="C6574" s="6" t="str">
        <f>_xll.QS.CONTEXT.CREATE("market.6572",A6574,"USD","SOFR")</f>
        <v>QSObject:PricingContext:w1~market.6572:7299</v>
      </c>
      <c r="D6574" s="6" t="str">
        <f>_xll.QS.CONTEXT.ADD.CURVE(C6574,"SOFR",$K$2:$K$7,$L$2:$L$7,,,"Actual360","LogLinear",TRUE)</f>
        <v>QSObject:ContextInput:w1~input.qs_context_add_curve.2359132437744.6573.3.0:33874</v>
      </c>
      <c r="E6574" s="6" t="str">
        <f>_xll.QS.INSTRUMENT.SWAP("swap.6572",H6574,B6574,"USD","SOFR",I6574,J6574,0,"Actual360","Simple","Annual","Annual","Annual")</f>
        <v>QSObject:Swap:w1~swap.6572:7298</v>
      </c>
      <c r="F6574" s="6" t="str">
        <f>_xll.QS.TRADE.CREATE("trade.6572",E6574,A6574,"Receive")</f>
        <v>QSObject:SwapTrade:w1~trade.6572:25320</v>
      </c>
      <c r="G6574" s="3">
        <f>_xll.QS.EVALUATE(C6574,F6574)</f>
        <v>39550.660268416272</v>
      </c>
      <c r="H6574" s="5" t="s">
        <v>6615</v>
      </c>
      <c r="I6574" s="7">
        <v>1657200</v>
      </c>
      <c r="J6574" s="8">
        <v>3.7199999999999997E-2</v>
      </c>
    </row>
    <row r="6575" spans="1:10" x14ac:dyDescent="0.25">
      <c r="A6575" s="5" t="s">
        <v>6609</v>
      </c>
      <c r="B6575" s="5" t="s">
        <v>8442</v>
      </c>
      <c r="C6575" s="6" t="str">
        <f>_xll.QS.CONTEXT.CREATE("market.6573",A6575,"USD","SOFR")</f>
        <v>QSObject:PricingContext:w1~market.6573:7297</v>
      </c>
      <c r="D6575" s="6" t="str">
        <f>_xll.QS.CONTEXT.ADD.CURVE(C6575,"SOFR",$K$2:$K$7,$L$2:$L$7,,,"Actual360","LogLinear",TRUE)</f>
        <v>QSObject:ContextInput:w1~input.qs_context_add_curve.2359132437744.6574.3.0:33873</v>
      </c>
      <c r="E6575" s="6" t="str">
        <f>_xll.QS.INSTRUMENT.SWAP("swap.6573",H6575,B6575,"USD","SOFR",I6575,J6575,0,"Actual360","Simple","Annual","Annual","Annual")</f>
        <v>QSObject:Swap:w1~swap.6573:7296</v>
      </c>
      <c r="F6575" s="6" t="str">
        <f>_xll.QS.TRADE.CREATE("trade.6573",E6575,A6575,"Receive")</f>
        <v>QSObject:SwapTrade:w1~trade.6573:25319</v>
      </c>
      <c r="G6575" s="3">
        <f>_xll.QS.EVALUATE(C6575,F6575)</f>
        <v>40507.586947392687</v>
      </c>
      <c r="H6575" s="5" t="s">
        <v>6616</v>
      </c>
      <c r="I6575" s="7">
        <v>1657300</v>
      </c>
      <c r="J6575" s="8">
        <v>3.73E-2</v>
      </c>
    </row>
    <row r="6576" spans="1:10" x14ac:dyDescent="0.25">
      <c r="A6576" s="5" t="s">
        <v>6610</v>
      </c>
      <c r="B6576" s="5" t="s">
        <v>8443</v>
      </c>
      <c r="C6576" s="6" t="str">
        <f>_xll.QS.CONTEXT.CREATE("market.6574",A6576,"USD","SOFR")</f>
        <v>QSObject:PricingContext:w1~market.6574:7295</v>
      </c>
      <c r="D6576" s="6" t="str">
        <f>_xll.QS.CONTEXT.ADD.CURVE(C6576,"SOFR",$K$2:$K$7,$L$2:$L$7,,,"Actual360","LogLinear",TRUE)</f>
        <v>QSObject:ContextInput:w1~input.qs_context_add_curve.2359132437744.6575.3.0:33872</v>
      </c>
      <c r="E6576" s="6" t="str">
        <f>_xll.QS.INSTRUMENT.SWAP("swap.6574",H6576,B6576,"USD","SOFR",I6576,J6576,0,"Actual360","Simple","Annual","Annual","Annual")</f>
        <v>QSObject:Swap:w1~swap.6574:7294</v>
      </c>
      <c r="F6576" s="6" t="str">
        <f>_xll.QS.TRADE.CREATE("trade.6574",E6576,A6576,"Receive")</f>
        <v>QSObject:SwapTrade:w1~trade.6574:25318</v>
      </c>
      <c r="G6576" s="3">
        <f>_xll.QS.EVALUATE(C6576,F6576)</f>
        <v>41208.723059960888</v>
      </c>
      <c r="H6576" s="5" t="s">
        <v>6617</v>
      </c>
      <c r="I6576" s="7">
        <v>1657400</v>
      </c>
      <c r="J6576" s="8">
        <v>3.7400000000000003E-2</v>
      </c>
    </row>
    <row r="6577" spans="1:10" x14ac:dyDescent="0.25">
      <c r="A6577" s="5" t="s">
        <v>6611</v>
      </c>
      <c r="B6577" s="5" t="s">
        <v>8444</v>
      </c>
      <c r="C6577" s="6" t="str">
        <f>_xll.QS.CONTEXT.CREATE("market.6575",A6577,"USD","SOFR")</f>
        <v>QSObject:PricingContext:w1~market.6575:7293</v>
      </c>
      <c r="D6577" s="6" t="str">
        <f>_xll.QS.CONTEXT.ADD.CURVE(C6577,"SOFR",$K$2:$K$7,$L$2:$L$7,,,"Actual360","LogLinear",TRUE)</f>
        <v>QSObject:ContextInput:w1~input.qs_context_add_curve.2359132437744.6576.3.0:33871</v>
      </c>
      <c r="E6577" s="6" t="str">
        <f>_xll.QS.INSTRUMENT.SWAP("swap.6575",H6577,B6577,"USD","SOFR",I6577,J6577,0,"Actual360","Simple","Annual","Annual","Annual")</f>
        <v>QSObject:Swap:w1~swap.6575:7292</v>
      </c>
      <c r="F6577" s="6" t="str">
        <f>_xll.QS.TRADE.CREATE("trade.6575",E6577,A6577,"Receive")</f>
        <v>QSObject:SwapTrade:w1~trade.6575:25317</v>
      </c>
      <c r="G6577" s="3">
        <f>_xll.QS.EVALUATE(C6577,F6577)</f>
        <v>41975.675881738091</v>
      </c>
      <c r="H6577" s="5" t="s">
        <v>6618</v>
      </c>
      <c r="I6577" s="7">
        <v>1657500</v>
      </c>
      <c r="J6577" s="8">
        <v>3.7500000000000012E-2</v>
      </c>
    </row>
    <row r="6578" spans="1:10" x14ac:dyDescent="0.25">
      <c r="A6578" s="5" t="s">
        <v>6612</v>
      </c>
      <c r="B6578" s="5" t="s">
        <v>8445</v>
      </c>
      <c r="C6578" s="6" t="str">
        <f>_xll.QS.CONTEXT.CREATE("market.6576",A6578,"USD","SOFR")</f>
        <v>QSObject:PricingContext:w1~market.6576:7291</v>
      </c>
      <c r="D6578" s="6" t="str">
        <f>_xll.QS.CONTEXT.ADD.CURVE(C6578,"SOFR",$K$2:$K$7,$L$2:$L$7,,,"Actual360","LogLinear",TRUE)</f>
        <v>QSObject:ContextInput:w1~input.qs_context_add_curve.2359132437744.6577.3.0:33870</v>
      </c>
      <c r="E6578" s="6" t="str">
        <f>_xll.QS.INSTRUMENT.SWAP("swap.6576",H6578,B6578,"USD","SOFR",I6578,J6578,0,"Actual360","Simple","Annual","Annual","Annual")</f>
        <v>QSObject:Swap:w1~swap.6576:7290</v>
      </c>
      <c r="F6578" s="6" t="str">
        <f>_xll.QS.TRADE.CREATE("trade.6576",E6578,A6578,"Receive")</f>
        <v>QSObject:SwapTrade:w1~trade.6576:25316</v>
      </c>
      <c r="G6578" s="3">
        <f>_xll.QS.EVALUATE(C6578,F6578)</f>
        <v>42751.860407475579</v>
      </c>
      <c r="H6578" s="5" t="s">
        <v>6619</v>
      </c>
      <c r="I6578" s="7">
        <v>1657600</v>
      </c>
      <c r="J6578" s="8">
        <v>3.7600000000000001E-2</v>
      </c>
    </row>
    <row r="6579" spans="1:10" x14ac:dyDescent="0.25">
      <c r="A6579" s="5" t="s">
        <v>6613</v>
      </c>
      <c r="B6579" s="5" t="s">
        <v>8446</v>
      </c>
      <c r="C6579" s="6" t="str">
        <f>_xll.QS.CONTEXT.CREATE("market.6577",A6579,"USD","SOFR")</f>
        <v>QSObject:PricingContext:w1~market.6577:7289</v>
      </c>
      <c r="D6579" s="6" t="str">
        <f>_xll.QS.CONTEXT.ADD.CURVE(C6579,"SOFR",$K$2:$K$7,$L$2:$L$7,,,"Actual360","LogLinear",TRUE)</f>
        <v>QSObject:ContextInput:w1~input.qs_context_add_curve.2359132437744.6578.3.0:33869</v>
      </c>
      <c r="E6579" s="6" t="str">
        <f>_xll.QS.INSTRUMENT.SWAP("swap.6577",H6579,B6579,"USD","SOFR",I6579,J6579,0,"Actual360","Simple","Annual","Annual","Annual")</f>
        <v>QSObject:Swap:w1~swap.6577:7288</v>
      </c>
      <c r="F6579" s="6" t="str">
        <f>_xll.QS.TRADE.CREATE("trade.6577",E6579,A6579,"Receive")</f>
        <v>QSObject:SwapTrade:w1~trade.6577:25315</v>
      </c>
      <c r="G6579" s="3">
        <f>_xll.QS.EVALUATE(C6579,F6579)</f>
        <v>43520.645931960033</v>
      </c>
      <c r="H6579" s="5" t="s">
        <v>6620</v>
      </c>
      <c r="I6579" s="7">
        <v>1657700</v>
      </c>
      <c r="J6579" s="8">
        <v>3.7699999999999997E-2</v>
      </c>
    </row>
    <row r="6580" spans="1:10" x14ac:dyDescent="0.25">
      <c r="A6580" s="5" t="s">
        <v>6614</v>
      </c>
      <c r="B6580" s="5" t="s">
        <v>8447</v>
      </c>
      <c r="C6580" s="6" t="str">
        <f>_xll.QS.CONTEXT.CREATE("market.6578",A6580,"USD","SOFR")</f>
        <v>QSObject:PricingContext:w1~market.6578:7287</v>
      </c>
      <c r="D6580" s="6" t="str">
        <f>_xll.QS.CONTEXT.ADD.CURVE(C6580,"SOFR",$K$2:$K$7,$L$2:$L$7,,,"Actual360","LogLinear",TRUE)</f>
        <v>QSObject:ContextInput:w1~input.qs_context_add_curve.2359132437744.6579.3.0:33868</v>
      </c>
      <c r="E6580" s="6" t="str">
        <f>_xll.QS.INSTRUMENT.SWAP("swap.6578",H6580,B6580,"USD","SOFR",I6580,J6580,0,"Actual360","Simple","Annual","Annual","Annual")</f>
        <v>QSObject:Swap:w1~swap.6578:7286</v>
      </c>
      <c r="F6580" s="6" t="str">
        <f>_xll.QS.TRADE.CREATE("trade.6578",E6580,A6580,"Receive")</f>
        <v>QSObject:SwapTrade:w1~trade.6578:25314</v>
      </c>
      <c r="G6580" s="3">
        <f>_xll.QS.EVALUATE(C6580,F6580)</f>
        <v>44083.549530167387</v>
      </c>
      <c r="H6580" s="5" t="s">
        <v>6621</v>
      </c>
      <c r="I6580" s="7">
        <v>1657800</v>
      </c>
      <c r="J6580" s="8">
        <v>3.78E-2</v>
      </c>
    </row>
    <row r="6581" spans="1:10" x14ac:dyDescent="0.25">
      <c r="A6581" s="5" t="s">
        <v>6615</v>
      </c>
      <c r="B6581" s="5" t="s">
        <v>8448</v>
      </c>
      <c r="C6581" s="6" t="str">
        <f>_xll.QS.CONTEXT.CREATE("market.6579",A6581,"USD","SOFR")</f>
        <v>QSObject:PricingContext:w1~market.6579:7285</v>
      </c>
      <c r="D6581" s="6" t="str">
        <f>_xll.QS.CONTEXT.ADD.CURVE(C6581,"SOFR",$K$2:$K$7,$L$2:$L$7,,,"Actual360","LogLinear",TRUE)</f>
        <v>QSObject:ContextInput:w1~input.qs_context_add_curve.2359132437744.6580.3.0:33867</v>
      </c>
      <c r="E6581" s="6" t="str">
        <f>_xll.QS.INSTRUMENT.SWAP("swap.6579",H6581,B6581,"USD","SOFR",I6581,J6581,0,"Actual360","Simple","Annual","Annual","Annual")</f>
        <v>QSObject:Swap:w1~swap.6579:7284</v>
      </c>
      <c r="F6581" s="6" t="str">
        <f>_xll.QS.TRADE.CREATE("trade.6579",E6581,A6581,"Receive")</f>
        <v>QSObject:SwapTrade:w1~trade.6579:25313</v>
      </c>
      <c r="G6581" s="3">
        <f>_xll.QS.EVALUATE(C6581,F6581)</f>
        <v>44854.497927015938</v>
      </c>
      <c r="H6581" s="5" t="s">
        <v>6622</v>
      </c>
      <c r="I6581" s="7">
        <v>1657900</v>
      </c>
      <c r="J6581" s="8">
        <v>3.7900000000000003E-2</v>
      </c>
    </row>
    <row r="6582" spans="1:10" x14ac:dyDescent="0.25">
      <c r="A6582" s="5" t="s">
        <v>6616</v>
      </c>
      <c r="B6582" s="5" t="s">
        <v>8449</v>
      </c>
      <c r="C6582" s="6" t="str">
        <f>_xll.QS.CONTEXT.CREATE("market.6580",A6582,"USD","SOFR")</f>
        <v>QSObject:PricingContext:w1~market.6580:7283</v>
      </c>
      <c r="D6582" s="6" t="str">
        <f>_xll.QS.CONTEXT.ADD.CURVE(C6582,"SOFR",$K$2:$K$7,$L$2:$L$7,,,"Actual360","LogLinear",TRUE)</f>
        <v>QSObject:ContextInput:w1~input.qs_context_add_curve.2359132437744.6581.3.0:33866</v>
      </c>
      <c r="E6582" s="6" t="str">
        <f>_xll.QS.INSTRUMENT.SWAP("swap.6580",H6582,B6582,"USD","SOFR",I6582,J6582,0,"Actual360","Simple","Annual","Annual","Annual")</f>
        <v>QSObject:Swap:w1~swap.6580:7282</v>
      </c>
      <c r="F6582" s="6" t="str">
        <f>_xll.QS.TRADE.CREATE("trade.6580",E6582,A6582,"Receive")</f>
        <v>QSObject:SwapTrade:w1~trade.6580:25312</v>
      </c>
      <c r="G6582" s="3">
        <f>_xll.QS.EVALUATE(C6582,F6582)</f>
        <v>45692.004980546786</v>
      </c>
      <c r="H6582" s="5" t="s">
        <v>6623</v>
      </c>
      <c r="I6582" s="7">
        <v>1658000</v>
      </c>
      <c r="J6582" s="8">
        <v>3.8000000000000013E-2</v>
      </c>
    </row>
    <row r="6583" spans="1:10" x14ac:dyDescent="0.25">
      <c r="A6583" s="5" t="s">
        <v>6617</v>
      </c>
      <c r="B6583" s="5" t="s">
        <v>8450</v>
      </c>
      <c r="C6583" s="6" t="str">
        <f>_xll.QS.CONTEXT.CREATE("market.6581",A6583,"USD","SOFR")</f>
        <v>QSObject:PricingContext:w1~market.6581:7281</v>
      </c>
      <c r="D6583" s="6" t="str">
        <f>_xll.QS.CONTEXT.ADD.CURVE(C6583,"SOFR",$K$2:$K$7,$L$2:$L$7,,,"Actual360","LogLinear",TRUE)</f>
        <v>QSObject:ContextInput:w1~input.qs_context_add_curve.2359132437744.6582.3.0:33865</v>
      </c>
      <c r="E6583" s="6" t="str">
        <f>_xll.QS.INSTRUMENT.SWAP("swap.6581",H6583,B6583,"USD","SOFR",I6583,J6583,0,"Actual360","Simple","Annual","Annual","Annual")</f>
        <v>QSObject:Swap:w1~swap.6581:7280</v>
      </c>
      <c r="F6583" s="6" t="str">
        <f>_xll.QS.TRADE.CREATE("trade.6581",E6583,A6583,"Receive")</f>
        <v>QSObject:SwapTrade:w1~trade.6581:25311</v>
      </c>
      <c r="G6583" s="3">
        <f>_xll.QS.EVALUATE(C6583,F6583)</f>
        <v>46580.900119493272</v>
      </c>
      <c r="H6583" s="5" t="s">
        <v>6624</v>
      </c>
      <c r="I6583" s="7">
        <v>1658100</v>
      </c>
      <c r="J6583" s="8">
        <v>3.8100000000000002E-2</v>
      </c>
    </row>
    <row r="6584" spans="1:10" x14ac:dyDescent="0.25">
      <c r="A6584" s="5" t="s">
        <v>6618</v>
      </c>
      <c r="B6584" s="5" t="s">
        <v>8451</v>
      </c>
      <c r="C6584" s="6" t="str">
        <f>_xll.QS.CONTEXT.CREATE("market.6582",A6584,"USD","SOFR")</f>
        <v>QSObject:PricingContext:w1~market.6582:7279</v>
      </c>
      <c r="D6584" s="6" t="str">
        <f>_xll.QS.CONTEXT.ADD.CURVE(C6584,"SOFR",$K$2:$K$7,$L$2:$L$7,,,"Actual360","LogLinear",TRUE)</f>
        <v>QSObject:ContextInput:w1~input.qs_context_add_curve.2359132437744.6583.3.0:33864</v>
      </c>
      <c r="E6584" s="6" t="str">
        <f>_xll.QS.INSTRUMENT.SWAP("swap.6582",H6584,B6584,"USD","SOFR",I6584,J6584,0,"Actual360","Simple","Annual","Annual","Annual")</f>
        <v>QSObject:Swap:w1~swap.6582:7278</v>
      </c>
      <c r="F6584" s="6" t="str">
        <f>_xll.QS.TRADE.CREATE("trade.6582",E6584,A6584,"Receive")</f>
        <v>QSObject:SwapTrade:w1~trade.6582:25310</v>
      </c>
      <c r="G6584" s="3">
        <f>_xll.QS.EVALUATE(C6584,F6584)</f>
        <v>47348.415677977719</v>
      </c>
      <c r="H6584" s="5" t="s">
        <v>6625</v>
      </c>
      <c r="I6584" s="7">
        <v>1658200</v>
      </c>
      <c r="J6584" s="8">
        <v>3.8199999999999998E-2</v>
      </c>
    </row>
    <row r="6585" spans="1:10" x14ac:dyDescent="0.25">
      <c r="A6585" s="5" t="s">
        <v>6619</v>
      </c>
      <c r="B6585" s="5" t="s">
        <v>8452</v>
      </c>
      <c r="C6585" s="6" t="str">
        <f>_xll.QS.CONTEXT.CREATE("market.6583",A6585,"USD","SOFR")</f>
        <v>QSObject:PricingContext:w1~market.6583:7277</v>
      </c>
      <c r="D6585" s="6" t="str">
        <f>_xll.QS.CONTEXT.ADD.CURVE(C6585,"SOFR",$K$2:$K$7,$L$2:$L$7,,,"Actual360","LogLinear",TRUE)</f>
        <v>QSObject:ContextInput:w1~input.qs_context_add_curve.2359132437744.6584.3.0:33863</v>
      </c>
      <c r="E6585" s="6" t="str">
        <f>_xll.QS.INSTRUMENT.SWAP("swap.6583",H6585,B6585,"USD","SOFR",I6585,J6585,0,"Actual360","Simple","Annual","Annual","Annual")</f>
        <v>QSObject:Swap:w1~swap.6583:7276</v>
      </c>
      <c r="F6585" s="6" t="str">
        <f>_xll.QS.TRADE.CREATE("trade.6583",E6585,A6585,"Receive")</f>
        <v>QSObject:SwapTrade:w1~trade.6583:25309</v>
      </c>
      <c r="G6585" s="3">
        <f>_xll.QS.EVALUATE(C6585,F6585)</f>
        <v>48125.00471108115</v>
      </c>
      <c r="H6585" s="5" t="s">
        <v>6626</v>
      </c>
      <c r="I6585" s="7">
        <v>1658300</v>
      </c>
      <c r="J6585" s="8">
        <v>3.8300000000000001E-2</v>
      </c>
    </row>
    <row r="6586" spans="1:10" x14ac:dyDescent="0.25">
      <c r="A6586" s="5" t="s">
        <v>6620</v>
      </c>
      <c r="B6586" s="5" t="s">
        <v>8453</v>
      </c>
      <c r="C6586" s="6" t="str">
        <f>_xll.QS.CONTEXT.CREATE("market.6584",A6586,"USD","SOFR")</f>
        <v>QSObject:PricingContext:w1~market.6584:7275</v>
      </c>
      <c r="D6586" s="6" t="str">
        <f>_xll.QS.CONTEXT.ADD.CURVE(C6586,"SOFR",$K$2:$K$7,$L$2:$L$7,,,"Actual360","LogLinear",TRUE)</f>
        <v>QSObject:ContextInput:w1~input.qs_context_add_curve.2359132437744.6585.3.0:33862</v>
      </c>
      <c r="E6586" s="6" t="str">
        <f>_xll.QS.INSTRUMENT.SWAP("swap.6584",H6586,B6586,"USD","SOFR",I6586,J6586,0,"Actual360","Simple","Annual","Annual","Annual")</f>
        <v>QSObject:Swap:w1~swap.6584:7274</v>
      </c>
      <c r="F6586" s="6" t="str">
        <f>_xll.QS.TRADE.CREATE("trade.6584",E6586,A6586,"Receive")</f>
        <v>QSObject:SwapTrade:w1~trade.6584:25308</v>
      </c>
      <c r="G6586" s="3">
        <f>_xll.QS.EVALUATE(C6586,F6586)</f>
        <v>48895.095878576598</v>
      </c>
      <c r="H6586" s="5" t="s">
        <v>6627</v>
      </c>
      <c r="I6586" s="7">
        <v>1658400</v>
      </c>
      <c r="J6586" s="8">
        <v>3.8399999999999997E-2</v>
      </c>
    </row>
    <row r="6587" spans="1:10" x14ac:dyDescent="0.25">
      <c r="A6587" s="5" t="s">
        <v>6621</v>
      </c>
      <c r="B6587" s="5" t="s">
        <v>8454</v>
      </c>
      <c r="C6587" s="6" t="str">
        <f>_xll.QS.CONTEXT.CREATE("market.6585",A6587,"USD","SOFR")</f>
        <v>QSObject:PricingContext:w1~market.6585:7273</v>
      </c>
      <c r="D6587" s="6" t="str">
        <f>_xll.QS.CONTEXT.ADD.CURVE(C6587,"SOFR",$K$2:$K$7,$L$2:$L$7,,,"Actual360","LogLinear",TRUE)</f>
        <v>QSObject:ContextInput:w1~input.qs_context_add_curve.2359132437744.6586.3.0:33861</v>
      </c>
      <c r="E6587" s="6" t="str">
        <f>_xll.QS.INSTRUMENT.SWAP("swap.6585",H6587,B6587,"USD","SOFR",I6587,J6587,0,"Actual360","Simple","Annual","Annual","Annual")</f>
        <v>QSObject:Swap:w1~swap.6585:7272</v>
      </c>
      <c r="F6587" s="6" t="str">
        <f>_xll.QS.TRADE.CREATE("trade.6585",E6587,A6587,"Receive")</f>
        <v>QSObject:SwapTrade:w1~trade.6585:25307</v>
      </c>
      <c r="G6587" s="3">
        <f>_xll.QS.EVALUATE(C6587,F6587)</f>
        <v>49387.962453441316</v>
      </c>
      <c r="H6587" s="5" t="s">
        <v>6628</v>
      </c>
      <c r="I6587" s="7">
        <v>1658500</v>
      </c>
      <c r="J6587" s="8">
        <v>3.8500000000000013E-2</v>
      </c>
    </row>
    <row r="6588" spans="1:10" x14ac:dyDescent="0.25">
      <c r="A6588" s="5" t="s">
        <v>6622</v>
      </c>
      <c r="B6588" s="5" t="s">
        <v>8455</v>
      </c>
      <c r="C6588" s="6" t="str">
        <f>_xll.QS.CONTEXT.CREATE("market.6586",A6588,"USD","SOFR")</f>
        <v>QSObject:PricingContext:w1~market.6586:7271</v>
      </c>
      <c r="D6588" s="6" t="str">
        <f>_xll.QS.CONTEXT.ADD.CURVE(C6588,"SOFR",$K$2:$K$7,$L$2:$L$7,,,"Actual360","LogLinear",TRUE)</f>
        <v>QSObject:ContextInput:w1~input.qs_context_add_curve.2359132437744.6587.3.0:33860</v>
      </c>
      <c r="E6588" s="6" t="str">
        <f>_xll.QS.INSTRUMENT.SWAP("swap.6586",H6588,B6588,"USD","SOFR",I6588,J6588,0,"Actual360","Simple","Annual","Annual","Annual")</f>
        <v>QSObject:Swap:w1~swap.6586:7270</v>
      </c>
      <c r="F6588" s="6" t="str">
        <f>_xll.QS.TRADE.CREATE("trade.6586",E6588,A6588,"Receive")</f>
        <v>QSObject:SwapTrade:w1~trade.6586:25306</v>
      </c>
      <c r="G6588" s="3">
        <f>_xll.QS.EVALUATE(C6588,F6588)</f>
        <v>50159.862013141916</v>
      </c>
      <c r="H6588" s="5" t="s">
        <v>6629</v>
      </c>
      <c r="I6588" s="7">
        <v>1658600</v>
      </c>
      <c r="J6588" s="8">
        <v>3.8600000000000002E-2</v>
      </c>
    </row>
    <row r="6589" spans="1:10" x14ac:dyDescent="0.25">
      <c r="A6589" s="5" t="s">
        <v>6623</v>
      </c>
      <c r="B6589" s="5" t="s">
        <v>8456</v>
      </c>
      <c r="C6589" s="6" t="str">
        <f>_xll.QS.CONTEXT.CREATE("market.6587",A6589,"USD","SOFR")</f>
        <v>QSObject:PricingContext:w1~market.6587:7269</v>
      </c>
      <c r="D6589" s="6" t="str">
        <f>_xll.QS.CONTEXT.ADD.CURVE(C6589,"SOFR",$K$2:$K$7,$L$2:$L$7,,,"Actual360","LogLinear",TRUE)</f>
        <v>QSObject:ContextInput:w1~input.qs_context_add_curve.2359132437744.6588.3.0:33859</v>
      </c>
      <c r="E6589" s="6" t="str">
        <f>_xll.QS.INSTRUMENT.SWAP("swap.6587",H6589,B6589,"USD","SOFR",I6589,J6589,0,"Actual360","Simple","Annual","Annual","Annual")</f>
        <v>QSObject:Swap:w1~swap.6587:7268</v>
      </c>
      <c r="F6589" s="6" t="str">
        <f>_xll.QS.TRADE.CREATE("trade.6587",E6589,A6589,"Receive")</f>
        <v>QSObject:SwapTrade:w1~trade.6587:25305</v>
      </c>
      <c r="G6589" s="3">
        <f>_xll.QS.EVALUATE(C6589,F6589)</f>
        <v>50999.00337289241</v>
      </c>
      <c r="H6589" s="5" t="s">
        <v>6630</v>
      </c>
      <c r="I6589" s="7">
        <v>1658700</v>
      </c>
      <c r="J6589" s="8">
        <v>3.8700000000000012E-2</v>
      </c>
    </row>
    <row r="6590" spans="1:10" x14ac:dyDescent="0.25">
      <c r="A6590" s="5" t="s">
        <v>6624</v>
      </c>
      <c r="B6590" s="5" t="s">
        <v>8457</v>
      </c>
      <c r="C6590" s="6" t="str">
        <f>_xll.QS.CONTEXT.CREATE("market.6588",A6590,"USD","SOFR")</f>
        <v>QSObject:PricingContext:w1~market.6588:7267</v>
      </c>
      <c r="D6590" s="6" t="str">
        <f>_xll.QS.CONTEXT.ADD.CURVE(C6590,"SOFR",$K$2:$K$7,$L$2:$L$7,,,"Actual360","LogLinear",TRUE)</f>
        <v>QSObject:ContextInput:w1~input.qs_context_add_curve.2359132437744.6589.3.0:33858</v>
      </c>
      <c r="E6590" s="6" t="str">
        <f>_xll.QS.INSTRUMENT.SWAP("swap.6588",H6590,B6590,"USD","SOFR",I6590,J6590,0,"Actual360","Simple","Annual","Annual","Annual")</f>
        <v>QSObject:Swap:w1~swap.6588:7266</v>
      </c>
      <c r="F6590" s="6" t="str">
        <f>_xll.QS.TRADE.CREATE("trade.6588",E6590,A6590,"Receive")</f>
        <v>QSObject:SwapTrade:w1~trade.6588:25304</v>
      </c>
      <c r="G6590" s="3">
        <f>_xll.QS.EVALUATE(C6590,F6590)</f>
        <v>52019.597019944878</v>
      </c>
      <c r="H6590" s="5" t="s">
        <v>6631</v>
      </c>
      <c r="I6590" s="7">
        <v>1658800</v>
      </c>
      <c r="J6590" s="8">
        <v>3.8800000000000001E-2</v>
      </c>
    </row>
    <row r="6591" spans="1:10" x14ac:dyDescent="0.25">
      <c r="A6591" s="5" t="s">
        <v>6625</v>
      </c>
      <c r="B6591" s="5" t="s">
        <v>8458</v>
      </c>
      <c r="C6591" s="6" t="str">
        <f>_xll.QS.CONTEXT.CREATE("market.6589",A6591,"USD","SOFR")</f>
        <v>QSObject:PricingContext:w1~market.6589:7265</v>
      </c>
      <c r="D6591" s="6" t="str">
        <f>_xll.QS.CONTEXT.ADD.CURVE(C6591,"SOFR",$K$2:$K$7,$L$2:$L$7,,,"Actual360","LogLinear",TRUE)</f>
        <v>QSObject:ContextInput:w1~input.qs_context_add_curve.2359132437744.6590.3.0:33857</v>
      </c>
      <c r="E6591" s="6" t="str">
        <f>_xll.QS.INSTRUMENT.SWAP("swap.6589",H6591,B6591,"USD","SOFR",I6591,J6591,0,"Actual360","Simple","Annual","Annual","Annual")</f>
        <v>QSObject:Swap:w1~swap.6589:7264</v>
      </c>
      <c r="F6591" s="6" t="str">
        <f>_xll.QS.TRADE.CREATE("trade.6589",E6591,A6591,"Receive")</f>
        <v>QSObject:SwapTrade:w1~trade.6589:25303</v>
      </c>
      <c r="G6591" s="3">
        <f>_xll.QS.EVALUATE(C6591,F6591)</f>
        <v>52787.757774195532</v>
      </c>
      <c r="H6591" s="5" t="s">
        <v>6632</v>
      </c>
      <c r="I6591" s="7">
        <v>1658900</v>
      </c>
      <c r="J6591" s="8">
        <v>3.8899999999999997E-2</v>
      </c>
    </row>
    <row r="6592" spans="1:10" x14ac:dyDescent="0.25">
      <c r="A6592" s="5" t="s">
        <v>6626</v>
      </c>
      <c r="B6592" s="5" t="s">
        <v>8459</v>
      </c>
      <c r="C6592" s="6" t="str">
        <f>_xll.QS.CONTEXT.CREATE("market.6590",A6592,"USD","SOFR")</f>
        <v>QSObject:PricingContext:w1~market.6590:7263</v>
      </c>
      <c r="D6592" s="6" t="str">
        <f>_xll.QS.CONTEXT.ADD.CURVE(C6592,"SOFR",$K$2:$K$7,$L$2:$L$7,,,"Actual360","LogLinear",TRUE)</f>
        <v>QSObject:ContextInput:w1~input.qs_context_add_curve.2359132437744.6591.3.0:33856</v>
      </c>
      <c r="E6592" s="6" t="str">
        <f>_xll.QS.INSTRUMENT.SWAP("swap.6590",H6592,B6592,"USD","SOFR",I6592,J6592,0,"Actual360","Simple","Annual","Annual","Annual")</f>
        <v>QSObject:Swap:w1~swap.6590:7262</v>
      </c>
      <c r="F6592" s="6" t="str">
        <f>_xll.QS.TRADE.CREATE("trade.6590",E6592,A6592,"Receive")</f>
        <v>QSObject:SwapTrade:w1~trade.6590:25302</v>
      </c>
      <c r="G6592" s="3">
        <f>_xll.QS.EVALUATE(C6592,F6592)</f>
        <v>53570.959774664261</v>
      </c>
      <c r="H6592" s="5" t="s">
        <v>6633</v>
      </c>
      <c r="I6592" s="7">
        <v>1659000</v>
      </c>
      <c r="J6592" s="8">
        <v>3.9000000000000007E-2</v>
      </c>
    </row>
    <row r="6593" spans="1:10" x14ac:dyDescent="0.25">
      <c r="A6593" s="5" t="s">
        <v>6627</v>
      </c>
      <c r="B6593" s="5" t="s">
        <v>8460</v>
      </c>
      <c r="C6593" s="6" t="str">
        <f>_xll.QS.CONTEXT.CREATE("market.6591",A6593,"USD","SOFR")</f>
        <v>QSObject:PricingContext:w1~market.6591:7261</v>
      </c>
      <c r="D6593" s="6" t="str">
        <f>_xll.QS.CONTEXT.ADD.CURVE(C6593,"SOFR",$K$2:$K$7,$L$2:$L$7,,,"Actual360","LogLinear",TRUE)</f>
        <v>QSObject:ContextInput:w1~input.qs_context_add_curve.2359132437744.6592.3.0:33855</v>
      </c>
      <c r="E6593" s="6" t="str">
        <f>_xll.QS.INSTRUMENT.SWAP("swap.6591",H6593,B6593,"USD","SOFR",I6593,J6593,0,"Actual360","Simple","Annual","Annual","Annual")</f>
        <v>QSObject:Swap:w1~swap.6591:7260</v>
      </c>
      <c r="F6593" s="6" t="str">
        <f>_xll.QS.TRADE.CREATE("trade.6591",E6593,A6593,"Receive")</f>
        <v>QSObject:SwapTrade:w1~trade.6591:25301</v>
      </c>
      <c r="G6593" s="3">
        <f>_xll.QS.EVALUATE(C6593,F6593)</f>
        <v>54340.463084499796</v>
      </c>
      <c r="H6593" s="5" t="s">
        <v>6634</v>
      </c>
      <c r="I6593" s="7">
        <v>1659100</v>
      </c>
      <c r="J6593" s="8">
        <v>3.9100000000000003E-2</v>
      </c>
    </row>
    <row r="6594" spans="1:10" x14ac:dyDescent="0.25">
      <c r="A6594" s="5" t="s">
        <v>6628</v>
      </c>
      <c r="B6594" s="5" t="s">
        <v>8461</v>
      </c>
      <c r="C6594" s="6" t="str">
        <f>_xll.QS.CONTEXT.CREATE("market.6592",A6594,"USD","SOFR")</f>
        <v>QSObject:PricingContext:w1~market.6592:7259</v>
      </c>
      <c r="D6594" s="6" t="str">
        <f>_xll.QS.CONTEXT.ADD.CURVE(C6594,"SOFR",$K$2:$K$7,$L$2:$L$7,,,"Actual360","LogLinear",TRUE)</f>
        <v>QSObject:ContextInput:w1~input.qs_context_add_curve.2359132437744.6593.3.0:33854</v>
      </c>
      <c r="E6594" s="6" t="str">
        <f>_xll.QS.INSTRUMENT.SWAP("swap.6592",H6594,B6594,"USD","SOFR",I6594,J6594,0,"Actual360","Simple","Annual","Annual","Annual")</f>
        <v>QSObject:Swap:w1~swap.6592:7258</v>
      </c>
      <c r="F6594" s="6" t="str">
        <f>_xll.QS.TRADE.CREATE("trade.6592",E6594,A6594,"Receive")</f>
        <v>QSObject:SwapTrade:w1~trade.6592:25300</v>
      </c>
      <c r="G6594" s="3">
        <f>_xll.QS.EVALUATE(C6594,F6594)</f>
        <v>54902.337496895263</v>
      </c>
      <c r="H6594" s="5" t="s">
        <v>6635</v>
      </c>
      <c r="I6594" s="7">
        <v>1659200</v>
      </c>
      <c r="J6594" s="8">
        <v>3.9200000000000013E-2</v>
      </c>
    </row>
    <row r="6595" spans="1:10" x14ac:dyDescent="0.25">
      <c r="A6595" s="5" t="s">
        <v>6629</v>
      </c>
      <c r="B6595" s="5" t="s">
        <v>8462</v>
      </c>
      <c r="C6595" s="6" t="str">
        <f>_xll.QS.CONTEXT.CREATE("market.6593",A6595,"USD","SOFR")</f>
        <v>QSObject:PricingContext:w1~market.6593:7257</v>
      </c>
      <c r="D6595" s="6" t="str">
        <f>_xll.QS.CONTEXT.ADD.CURVE(C6595,"SOFR",$K$2:$K$7,$L$2:$L$7,,,"Actual360","LogLinear",TRUE)</f>
        <v>QSObject:ContextInput:w1~input.qs_context_add_curve.2359132437744.6594.3.0:33853</v>
      </c>
      <c r="E6595" s="6" t="str">
        <f>_xll.QS.INSTRUMENT.SWAP("swap.6593",H6595,B6595,"USD","SOFR",I6595,J6595,0,"Actual360","Simple","Annual","Annual","Annual")</f>
        <v>QSObject:Swap:w1~swap.6593:7256</v>
      </c>
      <c r="F6595" s="6" t="str">
        <f>_xll.QS.TRADE.CREATE("trade.6593",E6595,A6595,"Receive")</f>
        <v>QSObject:SwapTrade:w1~trade.6593:25299</v>
      </c>
      <c r="G6595" s="3">
        <f>_xll.QS.EVALUATE(C6595,F6595)</f>
        <v>55675.670910321824</v>
      </c>
      <c r="H6595" s="5" t="s">
        <v>6636</v>
      </c>
      <c r="I6595" s="7">
        <v>1659300</v>
      </c>
      <c r="J6595" s="8">
        <v>3.9300000000000002E-2</v>
      </c>
    </row>
    <row r="6596" spans="1:10" x14ac:dyDescent="0.25">
      <c r="A6596" s="5" t="s">
        <v>6630</v>
      </c>
      <c r="B6596" s="5" t="s">
        <v>8463</v>
      </c>
      <c r="C6596" s="6" t="str">
        <f>_xll.QS.CONTEXT.CREATE("market.6594",A6596,"USD","SOFR")</f>
        <v>QSObject:PricingContext:w1~market.6594:7255</v>
      </c>
      <c r="D6596" s="6" t="str">
        <f>_xll.QS.CONTEXT.ADD.CURVE(C6596,"SOFR",$K$2:$K$7,$L$2:$L$7,,,"Actual360","LogLinear",TRUE)</f>
        <v>QSObject:ContextInput:w1~input.qs_context_add_curve.2359132437744.6595.3.0:33852</v>
      </c>
      <c r="E6596" s="6" t="str">
        <f>_xll.QS.INSTRUMENT.SWAP("swap.6594",H6596,B6596,"USD","SOFR",I6596,J6596,0,"Actual360","Simple","Annual","Annual","Annual")</f>
        <v>QSObject:Swap:w1~swap.6594:7254</v>
      </c>
      <c r="F6596" s="6" t="str">
        <f>_xll.QS.TRADE.CREATE("trade.6594",E6596,A6596,"Receive")</f>
        <v>QSObject:SwapTrade:w1~trade.6594:25298</v>
      </c>
      <c r="G6596" s="3">
        <f>_xll.QS.EVALUATE(C6596,F6596)</f>
        <v>56448.868781810961</v>
      </c>
      <c r="H6596" s="5" t="s">
        <v>6637</v>
      </c>
      <c r="I6596" s="7">
        <v>1659400</v>
      </c>
      <c r="J6596" s="8">
        <v>3.9399999999999998E-2</v>
      </c>
    </row>
    <row r="6597" spans="1:10" x14ac:dyDescent="0.25">
      <c r="A6597" s="5" t="s">
        <v>6631</v>
      </c>
      <c r="B6597" s="5" t="s">
        <v>8464</v>
      </c>
      <c r="C6597" s="6" t="str">
        <f>_xll.QS.CONTEXT.CREATE("market.6595",A6597,"USD","SOFR")</f>
        <v>QSObject:PricingContext:w1~market.6595:7253</v>
      </c>
      <c r="D6597" s="6" t="str">
        <f>_xll.QS.CONTEXT.ADD.CURVE(C6597,"SOFR",$K$2:$K$7,$L$2:$L$7,,,"Actual360","LogLinear",TRUE)</f>
        <v>QSObject:ContextInput:w1~input.qs_context_add_curve.2359132437744.6596.3.0:33851</v>
      </c>
      <c r="E6597" s="6" t="str">
        <f>_xll.QS.INSTRUMENT.SWAP("swap.6595",H6597,B6597,"USD","SOFR",I6597,J6597,0,"Actual360","Simple","Annual","Annual","Annual")</f>
        <v>QSObject:Swap:w1~swap.6595:7252</v>
      </c>
      <c r="F6597" s="6" t="str">
        <f>_xll.QS.TRADE.CREATE("trade.6595",E6597,A6597,"Receive")</f>
        <v>QSObject:SwapTrade:w1~trade.6595:25297</v>
      </c>
      <c r="G6597" s="3">
        <f>_xll.QS.EVALUATE(C6597,F6597)</f>
        <v>57339.398335146238</v>
      </c>
      <c r="H6597" s="5" t="s">
        <v>6638</v>
      </c>
      <c r="I6597" s="7">
        <v>1659500</v>
      </c>
      <c r="J6597" s="8">
        <v>3.9500000000000007E-2</v>
      </c>
    </row>
    <row r="6598" spans="1:10" x14ac:dyDescent="0.25">
      <c r="A6598" s="5" t="s">
        <v>6632</v>
      </c>
      <c r="B6598" s="5" t="s">
        <v>8465</v>
      </c>
      <c r="C6598" s="6" t="str">
        <f>_xll.QS.CONTEXT.CREATE("market.6596",A6598,"USD","SOFR")</f>
        <v>QSObject:PricingContext:w1~market.6596:7251</v>
      </c>
      <c r="D6598" s="6" t="str">
        <f>_xll.QS.CONTEXT.ADD.CURVE(C6598,"SOFR",$K$2:$K$7,$L$2:$L$7,,,"Actual360","LogLinear",TRUE)</f>
        <v>QSObject:ContextInput:w1~input.qs_context_add_curve.2359132437744.6597.3.0:33850</v>
      </c>
      <c r="E6598" s="6" t="str">
        <f>_xll.QS.INSTRUMENT.SWAP("swap.6596",H6598,B6598,"USD","SOFR",I6598,J6598,0,"Actual360","Simple","Annual","Annual","Annual")</f>
        <v>QSObject:Swap:w1~swap.6596:7250</v>
      </c>
      <c r="F6598" s="6" t="str">
        <f>_xll.QS.TRADE.CREATE("trade.6596",E6598,A6598,"Receive")</f>
        <v>QSObject:SwapTrade:w1~trade.6596:25296</v>
      </c>
      <c r="G6598" s="3">
        <f>_xll.QS.EVALUATE(C6598,F6598)</f>
        <v>58108.516496372344</v>
      </c>
      <c r="H6598" s="5" t="s">
        <v>6639</v>
      </c>
      <c r="I6598" s="7">
        <v>1659600</v>
      </c>
      <c r="J6598" s="8">
        <v>3.9600000000000003E-2</v>
      </c>
    </row>
    <row r="6599" spans="1:10" x14ac:dyDescent="0.25">
      <c r="A6599" s="5" t="s">
        <v>6633</v>
      </c>
      <c r="B6599" s="5" t="s">
        <v>8466</v>
      </c>
      <c r="C6599" s="6" t="str">
        <f>_xll.QS.CONTEXT.CREATE("market.6597",A6599,"USD","SOFR")</f>
        <v>QSObject:PricingContext:w1~market.6597:7249</v>
      </c>
      <c r="D6599" s="6" t="str">
        <f>_xll.QS.CONTEXT.ADD.CURVE(C6599,"SOFR",$K$2:$K$7,$L$2:$L$7,,,"Actual360","LogLinear",TRUE)</f>
        <v>QSObject:ContextInput:w1~input.qs_context_add_curve.2359132437744.6598.3.0:33849</v>
      </c>
      <c r="E6599" s="6" t="str">
        <f>_xll.QS.INSTRUMENT.SWAP("swap.6597",H6599,B6599,"USD","SOFR",I6599,J6599,0,"Actual360","Simple","Annual","Annual","Annual")</f>
        <v>QSObject:Swap:w1~swap.6597:7248</v>
      </c>
      <c r="F6599" s="6" t="str">
        <f>_xll.QS.TRADE.CREATE("trade.6597",E6599,A6599,"Receive")</f>
        <v>QSObject:SwapTrade:w1~trade.6597:25295</v>
      </c>
      <c r="G6599" s="3">
        <f>_xll.QS.EVALUATE(C6599,F6599)</f>
        <v>58887.560350202293</v>
      </c>
      <c r="H6599" s="5" t="s">
        <v>6640</v>
      </c>
      <c r="I6599" s="7">
        <v>1659700</v>
      </c>
      <c r="J6599" s="8">
        <v>3.9700000000000013E-2</v>
      </c>
    </row>
    <row r="6600" spans="1:10" x14ac:dyDescent="0.25">
      <c r="A6600" s="5" t="s">
        <v>6634</v>
      </c>
      <c r="B6600" s="5" t="s">
        <v>8467</v>
      </c>
      <c r="C6600" s="6" t="str">
        <f>_xll.QS.CONTEXT.CREATE("market.6598",A6600,"USD","SOFR")</f>
        <v>QSObject:PricingContext:w1~market.6598:7247</v>
      </c>
      <c r="D6600" s="6" t="str">
        <f>_xll.QS.CONTEXT.ADD.CURVE(C6600,"SOFR",$K$2:$K$7,$L$2:$L$7,,,"Actual360","LogLinear",TRUE)</f>
        <v>QSObject:ContextInput:w1~input.qs_context_add_curve.2359132437744.6599.3.0:33848</v>
      </c>
      <c r="E6600" s="6" t="str">
        <f>_xll.QS.INSTRUMENT.SWAP("swap.6598",H6600,B6600,"USD","SOFR",I6600,J6600,0,"Actual360","Simple","Annual","Annual","Annual")</f>
        <v>QSObject:Swap:w1~swap.6598:7246</v>
      </c>
      <c r="F6600" s="6" t="str">
        <f>_xll.QS.TRADE.CREATE("trade.6598",E6600,A6600,"Receive")</f>
        <v>QSObject:SwapTrade:w1~trade.6598:25294</v>
      </c>
      <c r="G6600" s="3">
        <f>_xll.QS.EVALUATE(C6600,F6600)</f>
        <v>59657.221526883826</v>
      </c>
      <c r="H6600" s="5" t="s">
        <v>6641</v>
      </c>
      <c r="I6600" s="7">
        <v>1659800</v>
      </c>
      <c r="J6600" s="8">
        <v>3.9800000000000002E-2</v>
      </c>
    </row>
    <row r="6601" spans="1:10" x14ac:dyDescent="0.25">
      <c r="A6601" s="5" t="s">
        <v>6635</v>
      </c>
      <c r="B6601" s="5" t="s">
        <v>8468</v>
      </c>
      <c r="C6601" s="6" t="str">
        <f>_xll.QS.CONTEXT.CREATE("market.6599",A6601,"USD","SOFR")</f>
        <v>QSObject:PricingContext:w1~market.6599:7245</v>
      </c>
      <c r="D6601" s="6" t="str">
        <f>_xll.QS.CONTEXT.ADD.CURVE(C6601,"SOFR",$K$2:$K$7,$L$2:$L$7,,,"Actual360","LogLinear",TRUE)</f>
        <v>QSObject:ContextInput:w1~input.qs_context_add_curve.2359132437744.6600.3.0:33847</v>
      </c>
      <c r="E6601" s="6" t="str">
        <f>_xll.QS.INSTRUMENT.SWAP("swap.6599",H6601,B6601,"USD","SOFR",I6601,J6601,0,"Actual360","Simple","Annual","Annual","Annual")</f>
        <v>QSObject:Swap:w1~swap.6599:7244</v>
      </c>
      <c r="F6601" s="6" t="str">
        <f>_xll.QS.TRADE.CREATE("trade.6599",E6601,A6601,"Receive")</f>
        <v>QSObject:SwapTrade:w1~trade.6599:25293</v>
      </c>
      <c r="G6601" s="3">
        <f>_xll.QS.EVALUATE(C6601,F6601)</f>
        <v>60218.568961698264</v>
      </c>
      <c r="H6601" s="5" t="s">
        <v>6642</v>
      </c>
      <c r="I6601" s="7">
        <v>1659900</v>
      </c>
      <c r="J6601" s="8">
        <v>3.9899999999999998E-2</v>
      </c>
    </row>
    <row r="6602" spans="1:10" x14ac:dyDescent="0.25">
      <c r="A6602" s="5" t="s">
        <v>6636</v>
      </c>
      <c r="B6602" s="5" t="s">
        <v>8469</v>
      </c>
      <c r="C6602" s="6" t="str">
        <f>_xll.QS.CONTEXT.CREATE("market.6600",A6602,"USD","SOFR")</f>
        <v>QSObject:PricingContext:w1~market.6600:7243</v>
      </c>
      <c r="D6602" s="6" t="str">
        <f>_xll.QS.CONTEXT.ADD.CURVE(C6602,"SOFR",$K$2:$K$7,$L$2:$L$7,,,"Actual360","LogLinear",TRUE)</f>
        <v>QSObject:ContextInput:w1~input.qs_context_add_curve.2359132437744.6601.3.0:33846</v>
      </c>
      <c r="E6602" s="6" t="str">
        <f>_xll.QS.INSTRUMENT.SWAP("swap.6600",H6602,B6602,"USD","SOFR",I6602,J6602,0,"Actual360","Simple","Annual","Annual","Annual")</f>
        <v>QSObject:Swap:w1~swap.6600:7242</v>
      </c>
      <c r="F6602" s="6" t="str">
        <f>_xll.QS.TRADE.CREATE("trade.6600",E6602,A6602,"Receive")</f>
        <v>QSObject:SwapTrade:w1~trade.6600:25292</v>
      </c>
      <c r="G6602" s="3">
        <f>_xll.QS.EVALUATE(C6602,F6602)</f>
        <v>22703.535508213383</v>
      </c>
      <c r="H6602" s="5" t="s">
        <v>6643</v>
      </c>
      <c r="I6602" s="7">
        <v>1660000</v>
      </c>
      <c r="J6602" s="8">
        <v>3.5000000000000003E-2</v>
      </c>
    </row>
    <row r="6603" spans="1:10" x14ac:dyDescent="0.25">
      <c r="A6603" s="5" t="s">
        <v>6637</v>
      </c>
      <c r="B6603" s="5" t="s">
        <v>8470</v>
      </c>
      <c r="C6603" s="6" t="str">
        <f>_xll.QS.CONTEXT.CREATE("market.6601",A6603,"USD","SOFR")</f>
        <v>QSObject:PricingContext:w1~market.6601:7241</v>
      </c>
      <c r="D6603" s="6" t="str">
        <f>_xll.QS.CONTEXT.ADD.CURVE(C6603,"SOFR",$K$2:$K$7,$L$2:$L$7,,,"Actual360","LogLinear",TRUE)</f>
        <v>QSObject:ContextInput:w1~input.qs_context_add_curve.2359132437744.6602.3.0:33845</v>
      </c>
      <c r="E6603" s="6" t="str">
        <f>_xll.QS.INSTRUMENT.SWAP("swap.6601",H6603,B6603,"USD","SOFR",I6603,J6603,0,"Actual360","Simple","Annual","Annual","Annual")</f>
        <v>QSObject:Swap:w1~swap.6601:7240</v>
      </c>
      <c r="F6603" s="6" t="str">
        <f>_xll.QS.TRADE.CREATE("trade.6601",E6603,A6603,"Receive")</f>
        <v>QSObject:SwapTrade:w1~trade.6601:25291</v>
      </c>
      <c r="G6603" s="3">
        <f>_xll.QS.EVALUATE(C6603,F6603)</f>
        <v>23537.839574388709</v>
      </c>
      <c r="H6603" s="5" t="s">
        <v>6644</v>
      </c>
      <c r="I6603" s="7">
        <v>1660100</v>
      </c>
      <c r="J6603" s="8">
        <v>3.5100000000000013E-2</v>
      </c>
    </row>
    <row r="6604" spans="1:10" x14ac:dyDescent="0.25">
      <c r="A6604" s="5" t="s">
        <v>6638</v>
      </c>
      <c r="B6604" s="5" t="s">
        <v>8471</v>
      </c>
      <c r="C6604" s="6" t="str">
        <f>_xll.QS.CONTEXT.CREATE("market.6602",A6604,"USD","SOFR")</f>
        <v>QSObject:PricingContext:w1~market.6602:7239</v>
      </c>
      <c r="D6604" s="6" t="str">
        <f>_xll.QS.CONTEXT.ADD.CURVE(C6604,"SOFR",$K$2:$K$7,$L$2:$L$7,,,"Actual360","LogLinear",TRUE)</f>
        <v>QSObject:ContextInput:w1~input.qs_context_add_curve.2359132437744.6603.3.0:33844</v>
      </c>
      <c r="E6604" s="6" t="str">
        <f>_xll.QS.INSTRUMENT.SWAP("swap.6602",H6604,B6604,"USD","SOFR",I6604,J6604,0,"Actual360","Simple","Annual","Annual","Annual")</f>
        <v>QSObject:Swap:w1~swap.6602:7238</v>
      </c>
      <c r="F6604" s="6" t="str">
        <f>_xll.QS.TRADE.CREATE("trade.6602",E6604,A6604,"Receive")</f>
        <v>QSObject:SwapTrade:w1~trade.6602:25290</v>
      </c>
      <c r="G6604" s="3">
        <f>_xll.QS.EVALUATE(C6604,F6604)</f>
        <v>24426.932753269211</v>
      </c>
      <c r="H6604" s="5" t="s">
        <v>6645</v>
      </c>
      <c r="I6604" s="7">
        <v>1660200</v>
      </c>
      <c r="J6604" s="8">
        <v>3.5200000000000002E-2</v>
      </c>
    </row>
    <row r="6605" spans="1:10" x14ac:dyDescent="0.25">
      <c r="A6605" s="5" t="s">
        <v>6639</v>
      </c>
      <c r="B6605" s="5" t="s">
        <v>8472</v>
      </c>
      <c r="C6605" s="6" t="str">
        <f>_xll.QS.CONTEXT.CREATE("market.6603",A6605,"USD","SOFR")</f>
        <v>QSObject:PricingContext:w1~market.6603:7237</v>
      </c>
      <c r="D6605" s="6" t="str">
        <f>_xll.QS.CONTEXT.ADD.CURVE(C6605,"SOFR",$K$2:$K$7,$L$2:$L$7,,,"Actual360","LogLinear",TRUE)</f>
        <v>QSObject:ContextInput:w1~input.qs_context_add_curve.2359132437744.6604.3.0:33843</v>
      </c>
      <c r="E6605" s="6" t="str">
        <f>_xll.QS.INSTRUMENT.SWAP("swap.6603",H6605,B6605,"USD","SOFR",I6605,J6605,0,"Actual360","Simple","Annual","Annual","Annual")</f>
        <v>QSObject:Swap:w1~swap.6603:7236</v>
      </c>
      <c r="F6605" s="6" t="str">
        <f>_xll.QS.TRADE.CREATE("trade.6603",E6605,A6605,"Receive")</f>
        <v>QSObject:SwapTrade:w1~trade.6603:25289</v>
      </c>
      <c r="G6605" s="3">
        <f>_xll.QS.EVALUATE(C6605,F6605)</f>
        <v>25194.395113155675</v>
      </c>
      <c r="H6605" s="5" t="s">
        <v>6646</v>
      </c>
      <c r="I6605" s="7">
        <v>1660300</v>
      </c>
      <c r="J6605" s="8">
        <v>3.5299999999999998E-2</v>
      </c>
    </row>
    <row r="6606" spans="1:10" x14ac:dyDescent="0.25">
      <c r="A6606" s="5" t="s">
        <v>6640</v>
      </c>
      <c r="B6606" s="5" t="s">
        <v>8473</v>
      </c>
      <c r="C6606" s="6" t="str">
        <f>_xll.QS.CONTEXT.CREATE("market.6604",A6606,"USD","SOFR")</f>
        <v>QSObject:PricingContext:w1~market.6604:7235</v>
      </c>
      <c r="D6606" s="6" t="str">
        <f>_xll.QS.CONTEXT.ADD.CURVE(C6606,"SOFR",$K$2:$K$7,$L$2:$L$7,,,"Actual360","LogLinear",TRUE)</f>
        <v>QSObject:ContextInput:w1~input.qs_context_add_curve.2359132437744.6605.3.0:33842</v>
      </c>
      <c r="E6606" s="6" t="str">
        <f>_xll.QS.INSTRUMENT.SWAP("swap.6604",H6606,B6606,"USD","SOFR",I6606,J6606,0,"Actual360","Simple","Annual","Annual","Annual")</f>
        <v>QSObject:Swap:w1~swap.6604:7234</v>
      </c>
      <c r="F6606" s="6" t="str">
        <f>_xll.QS.TRADE.CREATE("trade.6604",E6606,A6606,"Receive")</f>
        <v>QSObject:SwapTrade:w1~trade.6604:25288</v>
      </c>
      <c r="G6606" s="3">
        <f>_xll.QS.EVALUATE(C6606,F6606)</f>
        <v>25970.824480314222</v>
      </c>
      <c r="H6606" s="5" t="s">
        <v>6647</v>
      </c>
      <c r="I6606" s="7">
        <v>1660400</v>
      </c>
      <c r="J6606" s="8">
        <v>3.5400000000000001E-2</v>
      </c>
    </row>
    <row r="6607" spans="1:10" x14ac:dyDescent="0.25">
      <c r="A6607" s="5" t="s">
        <v>6641</v>
      </c>
      <c r="B6607" s="5" t="s">
        <v>8474</v>
      </c>
      <c r="C6607" s="6" t="str">
        <f>_xll.QS.CONTEXT.CREATE("market.6605",A6607,"USD","SOFR")</f>
        <v>QSObject:PricingContext:w1~market.6605:7233</v>
      </c>
      <c r="D6607" s="6" t="str">
        <f>_xll.QS.CONTEXT.ADD.CURVE(C6607,"SOFR",$K$2:$K$7,$L$2:$L$7,,,"Actual360","LogLinear",TRUE)</f>
        <v>QSObject:ContextInput:w1~input.qs_context_add_curve.2359132437744.6606.3.0:33841</v>
      </c>
      <c r="E6607" s="6" t="str">
        <f>_xll.QS.INSTRUMENT.SWAP("swap.6605",H6607,B6607,"USD","SOFR",I6607,J6607,0,"Actual360","Simple","Annual","Annual","Annual")</f>
        <v>QSObject:Swap:w1~swap.6605:7232</v>
      </c>
      <c r="F6607" s="6" t="str">
        <f>_xll.QS.TRADE.CREATE("trade.6605",E6607,A6607,"Receive")</f>
        <v>QSObject:SwapTrade:w1~trade.6605:25287</v>
      </c>
      <c r="G6607" s="3">
        <f>_xll.QS.EVALUATE(C6607,F6607)</f>
        <v>26739.825027922256</v>
      </c>
      <c r="H6607" s="5" t="s">
        <v>6648</v>
      </c>
      <c r="I6607" s="7">
        <v>1660500</v>
      </c>
      <c r="J6607" s="8">
        <v>3.5499999999999997E-2</v>
      </c>
    </row>
    <row r="6608" spans="1:10" x14ac:dyDescent="0.25">
      <c r="A6608" s="5" t="s">
        <v>6642</v>
      </c>
      <c r="B6608" s="5" t="s">
        <v>8475</v>
      </c>
      <c r="C6608" s="6" t="str">
        <f>_xll.QS.CONTEXT.CREATE("market.6606",A6608,"USD","SOFR")</f>
        <v>QSObject:PricingContext:w1~market.6606:7231</v>
      </c>
      <c r="D6608" s="6" t="str">
        <f>_xll.QS.CONTEXT.ADD.CURVE(C6608,"SOFR",$K$2:$K$7,$L$2:$L$7,,,"Actual360","LogLinear",TRUE)</f>
        <v>QSObject:ContextInput:w1~input.qs_context_add_curve.2359132437744.6607.3.0:33840</v>
      </c>
      <c r="E6608" s="6" t="str">
        <f>_xll.QS.INSTRUMENT.SWAP("swap.6606",H6608,B6608,"USD","SOFR",I6608,J6608,0,"Actual360","Simple","Annual","Annual","Annual")</f>
        <v>QSObject:Swap:w1~swap.6606:7230</v>
      </c>
      <c r="F6608" s="6" t="str">
        <f>_xll.QS.TRADE.CREATE("trade.6606",E6608,A6608,"Receive")</f>
        <v>QSObject:SwapTrade:w1~trade.6606:25286</v>
      </c>
      <c r="G6608" s="3">
        <f>_xll.QS.EVALUATE(C6608,F6608)</f>
        <v>27306.050146213063</v>
      </c>
      <c r="H6608" s="5" t="s">
        <v>6649</v>
      </c>
      <c r="I6608" s="7">
        <v>1660600</v>
      </c>
      <c r="J6608" s="8">
        <v>3.5600000000000007E-2</v>
      </c>
    </row>
    <row r="6609" spans="1:10" x14ac:dyDescent="0.25">
      <c r="A6609" s="5" t="s">
        <v>6643</v>
      </c>
      <c r="B6609" s="5" t="s">
        <v>8476</v>
      </c>
      <c r="C6609" s="6" t="str">
        <f>_xll.QS.CONTEXT.CREATE("market.6607",A6609,"USD","SOFR")</f>
        <v>QSObject:PricingContext:w1~market.6607:7229</v>
      </c>
      <c r="D6609" s="6" t="str">
        <f>_xll.QS.CONTEXT.ADD.CURVE(C6609,"SOFR",$K$2:$K$7,$L$2:$L$7,,,"Actual360","LogLinear",TRUE)</f>
        <v>QSObject:ContextInput:w1~input.qs_context_add_curve.2359132437744.6608.3.0:33839</v>
      </c>
      <c r="E6609" s="6" t="str">
        <f>_xll.QS.INSTRUMENT.SWAP("swap.6607",H6609,B6609,"USD","SOFR",I6609,J6609,0,"Actual360","Simple","Annual","Annual","Annual")</f>
        <v>QSObject:Swap:w1~swap.6607:7228</v>
      </c>
      <c r="F6609" s="6" t="str">
        <f>_xll.QS.TRADE.CREATE("trade.6607",E6609,A6609,"Receive")</f>
        <v>QSObject:SwapTrade:w1~trade.6607:25285</v>
      </c>
      <c r="G6609" s="3">
        <f>_xll.QS.EVALUATE(C6609,F6609)</f>
        <v>28075.867861699473</v>
      </c>
      <c r="H6609" s="5" t="s">
        <v>6650</v>
      </c>
      <c r="I6609" s="7">
        <v>1660700</v>
      </c>
      <c r="J6609" s="8">
        <v>3.5700000000000003E-2</v>
      </c>
    </row>
    <row r="6610" spans="1:10" x14ac:dyDescent="0.25">
      <c r="A6610" s="5" t="s">
        <v>6644</v>
      </c>
      <c r="B6610" s="5" t="s">
        <v>8477</v>
      </c>
      <c r="C6610" s="6" t="str">
        <f>_xll.QS.CONTEXT.CREATE("market.6608",A6610,"USD","SOFR")</f>
        <v>QSObject:PricingContext:w1~market.6608:7227</v>
      </c>
      <c r="D6610" s="6" t="str">
        <f>_xll.QS.CONTEXT.ADD.CURVE(C6610,"SOFR",$K$2:$K$7,$L$2:$L$7,,,"Actual360","LogLinear",TRUE)</f>
        <v>QSObject:ContextInput:w1~input.qs_context_add_curve.2359132437744.6609.3.0:33838</v>
      </c>
      <c r="E6610" s="6" t="str">
        <f>_xll.QS.INSTRUMENT.SWAP("swap.6608",H6610,B6610,"USD","SOFR",I6610,J6610,0,"Actual360","Simple","Annual","Annual","Annual")</f>
        <v>QSObject:Swap:w1~swap.6608:7226</v>
      </c>
      <c r="F6610" s="6" t="str">
        <f>_xll.QS.TRADE.CREATE("trade.6608",E6610,A6610,"Receive")</f>
        <v>QSObject:SwapTrade:w1~trade.6608:25284</v>
      </c>
      <c r="G6610" s="3">
        <f>_xll.QS.EVALUATE(C6610,F6610)</f>
        <v>28912.233241590518</v>
      </c>
      <c r="H6610" s="5" t="s">
        <v>6651</v>
      </c>
      <c r="I6610" s="7">
        <v>1660800</v>
      </c>
      <c r="J6610" s="8">
        <v>3.5800000000000012E-2</v>
      </c>
    </row>
    <row r="6611" spans="1:10" x14ac:dyDescent="0.25">
      <c r="A6611" s="5" t="s">
        <v>6645</v>
      </c>
      <c r="B6611" s="5" t="s">
        <v>8478</v>
      </c>
      <c r="C6611" s="6" t="str">
        <f>_xll.QS.CONTEXT.CREATE("market.6609",A6611,"USD","SOFR")</f>
        <v>QSObject:PricingContext:w1~market.6609:7225</v>
      </c>
      <c r="D6611" s="6" t="str">
        <f>_xll.QS.CONTEXT.ADD.CURVE(C6611,"SOFR",$K$2:$K$7,$L$2:$L$7,,,"Actual360","LogLinear",TRUE)</f>
        <v>QSObject:ContextInput:w1~input.qs_context_add_curve.2359132437744.6610.3.0:33837</v>
      </c>
      <c r="E6611" s="6" t="str">
        <f>_xll.QS.INSTRUMENT.SWAP("swap.6609",H6611,B6611,"USD","SOFR",I6611,J6611,0,"Actual360","Simple","Annual","Annual","Annual")</f>
        <v>QSObject:Swap:w1~swap.6609:7224</v>
      </c>
      <c r="F6611" s="6" t="str">
        <f>_xll.QS.TRADE.CREATE("trade.6609",E6611,A6611,"Receive")</f>
        <v>QSObject:SwapTrade:w1~trade.6609:25283</v>
      </c>
      <c r="G6611" s="3">
        <f>_xll.QS.EVALUATE(C6611,F6611)</f>
        <v>29801.440784128907</v>
      </c>
      <c r="H6611" s="5" t="s">
        <v>6652</v>
      </c>
      <c r="I6611" s="7">
        <v>1660900</v>
      </c>
      <c r="J6611" s="8">
        <v>3.5900000000000001E-2</v>
      </c>
    </row>
    <row r="6612" spans="1:10" x14ac:dyDescent="0.25">
      <c r="A6612" s="5" t="s">
        <v>6646</v>
      </c>
      <c r="B6612" s="5" t="s">
        <v>8479</v>
      </c>
      <c r="C6612" s="6" t="str">
        <f>_xll.QS.CONTEXT.CREATE("market.6610",A6612,"USD","SOFR")</f>
        <v>QSObject:PricingContext:w1~market.6610:7223</v>
      </c>
      <c r="D6612" s="6" t="str">
        <f>_xll.QS.CONTEXT.ADD.CURVE(C6612,"SOFR",$K$2:$K$7,$L$2:$L$7,,,"Actual360","LogLinear",TRUE)</f>
        <v>QSObject:ContextInput:w1~input.qs_context_add_curve.2359132437744.6611.3.0:33836</v>
      </c>
      <c r="E6612" s="6" t="str">
        <f>_xll.QS.INSTRUMENT.SWAP("swap.6610",H6612,B6612,"USD","SOFR",I6612,J6612,0,"Actual360","Simple","Annual","Annual","Annual")</f>
        <v>QSObject:Swap:w1~swap.6610:7222</v>
      </c>
      <c r="F6612" s="6" t="str">
        <f>_xll.QS.TRADE.CREATE("trade.6610",E6612,A6612,"Receive")</f>
        <v>QSObject:SwapTrade:w1~trade.6610:25282</v>
      </c>
      <c r="G6612" s="3">
        <f>_xll.QS.EVALUATE(C6612,F6612)</f>
        <v>30569.206128575432</v>
      </c>
      <c r="H6612" s="5" t="s">
        <v>6653</v>
      </c>
      <c r="I6612" s="7">
        <v>1661000</v>
      </c>
      <c r="J6612" s="8">
        <v>3.5999999999999997E-2</v>
      </c>
    </row>
    <row r="6613" spans="1:10" x14ac:dyDescent="0.25">
      <c r="A6613" s="5" t="s">
        <v>6647</v>
      </c>
      <c r="B6613" s="5" t="s">
        <v>8480</v>
      </c>
      <c r="C6613" s="6" t="str">
        <f>_xll.QS.CONTEXT.CREATE("market.6611",A6613,"USD","SOFR")</f>
        <v>QSObject:PricingContext:w1~market.6611:7221</v>
      </c>
      <c r="D6613" s="6" t="str">
        <f>_xll.QS.CONTEXT.ADD.CURVE(C6613,"SOFR",$K$2:$K$7,$L$2:$L$7,,,"Actual360","LogLinear",TRUE)</f>
        <v>QSObject:ContextInput:w1~input.qs_context_add_curve.2359132437744.6612.3.0:33835</v>
      </c>
      <c r="E6613" s="6" t="str">
        <f>_xll.QS.INSTRUMENT.SWAP("swap.6611",H6613,B6613,"USD","SOFR",I6613,J6613,0,"Actual360","Simple","Annual","Annual","Annual")</f>
        <v>QSObject:Swap:w1~swap.6611:7220</v>
      </c>
      <c r="F6613" s="6" t="str">
        <f>_xll.QS.TRADE.CREATE("trade.6611",E6613,A6613,"Receive")</f>
        <v>QSObject:SwapTrade:w1~trade.6611:25281</v>
      </c>
      <c r="G6613" s="3">
        <f>_xll.QS.EVALUATE(C6613,F6613)</f>
        <v>31345.876580091921</v>
      </c>
      <c r="H6613" s="5" t="s">
        <v>6654</v>
      </c>
      <c r="I6613" s="7">
        <v>1661100</v>
      </c>
      <c r="J6613" s="8">
        <v>3.61E-2</v>
      </c>
    </row>
    <row r="6614" spans="1:10" x14ac:dyDescent="0.25">
      <c r="A6614" s="5" t="s">
        <v>6648</v>
      </c>
      <c r="B6614" s="5" t="s">
        <v>8481</v>
      </c>
      <c r="C6614" s="6" t="str">
        <f>_xll.QS.CONTEXT.CREATE("market.6612",A6614,"USD","SOFR")</f>
        <v>QSObject:PricingContext:w1~market.6612:7219</v>
      </c>
      <c r="D6614" s="6" t="str">
        <f>_xll.QS.CONTEXT.ADD.CURVE(C6614,"SOFR",$K$2:$K$7,$L$2:$L$7,,,"Actual360","LogLinear",TRUE)</f>
        <v>QSObject:ContextInput:w1~input.qs_context_add_curve.2359132437744.6613.3.0:33834</v>
      </c>
      <c r="E6614" s="6" t="str">
        <f>_xll.QS.INSTRUMENT.SWAP("swap.6612",H6614,B6614,"USD","SOFR",I6614,J6614,0,"Actual360","Simple","Annual","Annual","Annual")</f>
        <v>QSObject:Swap:w1~swap.6612:7218</v>
      </c>
      <c r="F6614" s="6" t="str">
        <f>_xll.QS.TRADE.CREATE("trade.6612",E6614,A6614,"Receive")</f>
        <v>QSObject:SwapTrade:w1~trade.6612:25280</v>
      </c>
      <c r="G6614" s="3">
        <f>_xll.QS.EVALUATE(C6614,F6614)</f>
        <v>32116.035953687118</v>
      </c>
      <c r="H6614" s="5" t="s">
        <v>6655</v>
      </c>
      <c r="I6614" s="7">
        <v>1661200</v>
      </c>
      <c r="J6614" s="8">
        <v>3.6200000000000003E-2</v>
      </c>
    </row>
    <row r="6615" spans="1:10" x14ac:dyDescent="0.25">
      <c r="A6615" s="5" t="s">
        <v>6649</v>
      </c>
      <c r="B6615" s="5" t="s">
        <v>8482</v>
      </c>
      <c r="C6615" s="6" t="str">
        <f>_xll.QS.CONTEXT.CREATE("market.6613",A6615,"USD","SOFR")</f>
        <v>QSObject:PricingContext:w1~market.6613:7217</v>
      </c>
      <c r="D6615" s="6" t="str">
        <f>_xll.QS.CONTEXT.ADD.CURVE(C6615,"SOFR",$K$2:$K$7,$L$2:$L$7,,,"Actual360","LogLinear",TRUE)</f>
        <v>QSObject:ContextInput:w1~input.qs_context_add_curve.2359132437744.6614.3.0:33833</v>
      </c>
      <c r="E6615" s="6" t="str">
        <f>_xll.QS.INSTRUMENT.SWAP("swap.6613",H6615,B6615,"USD","SOFR",I6615,J6615,0,"Actual360","Simple","Annual","Annual","Annual")</f>
        <v>QSObject:Swap:w1~swap.6613:7216</v>
      </c>
      <c r="F6615" s="6" t="str">
        <f>_xll.QS.TRADE.CREATE("trade.6613",E6615,A6615,"Receive")</f>
        <v>QSObject:SwapTrade:w1~trade.6613:25279</v>
      </c>
      <c r="G6615" s="3">
        <f>_xll.QS.EVALUATE(C6615,F6615)</f>
        <v>32613.617372080356</v>
      </c>
      <c r="H6615" s="5" t="s">
        <v>6656</v>
      </c>
      <c r="I6615" s="7">
        <v>1661300</v>
      </c>
      <c r="J6615" s="8">
        <v>3.6300000000000013E-2</v>
      </c>
    </row>
    <row r="6616" spans="1:10" x14ac:dyDescent="0.25">
      <c r="A6616" s="5" t="s">
        <v>6650</v>
      </c>
      <c r="B6616" s="5" t="s">
        <v>8483</v>
      </c>
      <c r="C6616" s="6" t="str">
        <f>_xll.QS.CONTEXT.CREATE("market.6614",A6616,"USD","SOFR")</f>
        <v>QSObject:PricingContext:w1~market.6614:7215</v>
      </c>
      <c r="D6616" s="6" t="str">
        <f>_xll.QS.CONTEXT.ADD.CURVE(C6616,"SOFR",$K$2:$K$7,$L$2:$L$7,,,"Actual360","LogLinear",TRUE)</f>
        <v>QSObject:ContextInput:w1~input.qs_context_add_curve.2359132437744.6615.3.0:33832</v>
      </c>
      <c r="E6616" s="6" t="str">
        <f>_xll.QS.INSTRUMENT.SWAP("swap.6614",H6616,B6616,"USD","SOFR",I6616,J6616,0,"Actual360","Simple","Annual","Annual","Annual")</f>
        <v>QSObject:Swap:w1~swap.6614:7214</v>
      </c>
      <c r="F6616" s="6" t="str">
        <f>_xll.QS.TRADE.CREATE("trade.6614",E6616,A6616,"Receive")</f>
        <v>QSObject:SwapTrade:w1~trade.6614:25278</v>
      </c>
      <c r="G6616" s="3">
        <f>_xll.QS.EVALUATE(C6616,F6616)</f>
        <v>33384.389921719478</v>
      </c>
      <c r="H6616" s="5" t="s">
        <v>6657</v>
      </c>
      <c r="I6616" s="7">
        <v>1661400</v>
      </c>
      <c r="J6616" s="8">
        <v>3.6400000000000002E-2</v>
      </c>
    </row>
    <row r="6617" spans="1:10" x14ac:dyDescent="0.25">
      <c r="A6617" s="5" t="s">
        <v>6651</v>
      </c>
      <c r="B6617" s="5" t="s">
        <v>8484</v>
      </c>
      <c r="C6617" s="6" t="str">
        <f>_xll.QS.CONTEXT.CREATE("market.6615",A6617,"USD","SOFR")</f>
        <v>QSObject:PricingContext:w1~market.6615:7213</v>
      </c>
      <c r="D6617" s="6" t="str">
        <f>_xll.QS.CONTEXT.ADD.CURVE(C6617,"SOFR",$K$2:$K$7,$L$2:$L$7,,,"Actual360","LogLinear",TRUE)</f>
        <v>QSObject:ContextInput:w1~input.qs_context_add_curve.2359132437744.6616.3.0:33831</v>
      </c>
      <c r="E6617" s="6" t="str">
        <f>_xll.QS.INSTRUMENT.SWAP("swap.6615",H6617,B6617,"USD","SOFR",I6617,J6617,0,"Actual360","Simple","Annual","Annual","Annual")</f>
        <v>QSObject:Swap:w1~swap.6615:7212</v>
      </c>
      <c r="F6617" s="6" t="str">
        <f>_xll.QS.TRADE.CREATE("trade.6615",E6617,A6617,"Receive")</f>
        <v>QSObject:SwapTrade:w1~trade.6615:25277</v>
      </c>
      <c r="G6617" s="3">
        <f>_xll.QS.EVALUATE(C6617,F6617)</f>
        <v>34222.306340044888</v>
      </c>
      <c r="H6617" s="5" t="s">
        <v>6658</v>
      </c>
      <c r="I6617" s="7">
        <v>1661500</v>
      </c>
      <c r="J6617" s="8">
        <v>3.6499999999999998E-2</v>
      </c>
    </row>
    <row r="6618" spans="1:10" x14ac:dyDescent="0.25">
      <c r="A6618" s="5" t="s">
        <v>6652</v>
      </c>
      <c r="B6618" s="5" t="s">
        <v>8485</v>
      </c>
      <c r="C6618" s="6" t="str">
        <f>_xll.QS.CONTEXT.CREATE("market.6616",A6618,"USD","SOFR")</f>
        <v>QSObject:PricingContext:w1~market.6616:7211</v>
      </c>
      <c r="D6618" s="6" t="str">
        <f>_xll.QS.CONTEXT.ADD.CURVE(C6618,"SOFR",$K$2:$K$7,$L$2:$L$7,,,"Actual360","LogLinear",TRUE)</f>
        <v>QSObject:ContextInput:w1~input.qs_context_add_curve.2359132437744.6617.3.0:33830</v>
      </c>
      <c r="E6618" s="6" t="str">
        <f>_xll.QS.INSTRUMENT.SWAP("swap.6616",H6618,B6618,"USD","SOFR",I6618,J6618,0,"Actual360","Simple","Annual","Annual","Annual")</f>
        <v>QSObject:Swap:w1~swap.6616:7210</v>
      </c>
      <c r="F6618" s="6" t="str">
        <f>_xll.QS.TRADE.CREATE("trade.6616",E6618,A6618,"Receive")</f>
        <v>QSObject:SwapTrade:w1~trade.6616:25276</v>
      </c>
      <c r="G6618" s="3">
        <f>_xll.QS.EVALUATE(C6618,F6618)</f>
        <v>35241.573751291326</v>
      </c>
      <c r="H6618" s="5" t="s">
        <v>6659</v>
      </c>
      <c r="I6618" s="7">
        <v>1661600</v>
      </c>
      <c r="J6618" s="8">
        <v>3.6600000000000001E-2</v>
      </c>
    </row>
    <row r="6619" spans="1:10" x14ac:dyDescent="0.25">
      <c r="A6619" s="5" t="s">
        <v>6653</v>
      </c>
      <c r="B6619" s="5" t="s">
        <v>8486</v>
      </c>
      <c r="C6619" s="6" t="str">
        <f>_xll.QS.CONTEXT.CREATE("market.6617",A6619,"USD","SOFR")</f>
        <v>QSObject:PricingContext:w1~market.6617:7209</v>
      </c>
      <c r="D6619" s="6" t="str">
        <f>_xll.QS.CONTEXT.ADD.CURVE(C6619,"SOFR",$K$2:$K$7,$L$2:$L$7,,,"Actual360","LogLinear",TRUE)</f>
        <v>QSObject:ContextInput:w1~input.qs_context_add_curve.2359132437744.6618.3.0:33829</v>
      </c>
      <c r="E6619" s="6" t="str">
        <f>_xll.QS.INSTRUMENT.SWAP("swap.6617",H6619,B6619,"USD","SOFR",I6619,J6619,0,"Actual360","Simple","Annual","Annual","Annual")</f>
        <v>QSObject:Swap:w1~swap.6617:7208</v>
      </c>
      <c r="F6619" s="6" t="str">
        <f>_xll.QS.TRADE.CREATE("trade.6617",E6619,A6619,"Receive")</f>
        <v>QSObject:SwapTrade:w1~trade.6617:25275</v>
      </c>
      <c r="G6619" s="3">
        <f>_xll.QS.EVALUATE(C6619,F6619)</f>
        <v>36010.153015313088</v>
      </c>
      <c r="H6619" s="5" t="s">
        <v>6660</v>
      </c>
      <c r="I6619" s="7">
        <v>1661700</v>
      </c>
      <c r="J6619" s="8">
        <v>3.6700000000000003E-2</v>
      </c>
    </row>
    <row r="6620" spans="1:10" x14ac:dyDescent="0.25">
      <c r="A6620" s="5" t="s">
        <v>6654</v>
      </c>
      <c r="B6620" s="5" t="s">
        <v>8487</v>
      </c>
      <c r="C6620" s="6" t="str">
        <f>_xll.QS.CONTEXT.CREATE("market.6618",A6620,"USD","SOFR")</f>
        <v>QSObject:PricingContext:w1~market.6618:7207</v>
      </c>
      <c r="D6620" s="6" t="str">
        <f>_xll.QS.CONTEXT.ADD.CURVE(C6620,"SOFR",$K$2:$K$7,$L$2:$L$7,,,"Actual360","LogLinear",TRUE)</f>
        <v>QSObject:ContextInput:w1~input.qs_context_add_curve.2359132437744.6619.3.0:33828</v>
      </c>
      <c r="E6620" s="6" t="str">
        <f>_xll.QS.INSTRUMENT.SWAP("swap.6618",H6620,B6620,"USD","SOFR",I6620,J6620,0,"Actual360","Simple","Annual","Annual","Annual")</f>
        <v>QSObject:Swap:w1~swap.6618:7206</v>
      </c>
      <c r="F6620" s="6" t="str">
        <f>_xll.QS.TRADE.CREATE("trade.6618",E6620,A6620,"Receive")</f>
        <v>QSObject:SwapTrade:w1~trade.6618:25274</v>
      </c>
      <c r="G6620" s="3">
        <f>_xll.QS.EVALUATE(C6620,F6620)</f>
        <v>36793.765992463479</v>
      </c>
      <c r="H6620" s="5" t="s">
        <v>6661</v>
      </c>
      <c r="I6620" s="7">
        <v>1661800</v>
      </c>
      <c r="J6620" s="8">
        <v>3.6800000000000013E-2</v>
      </c>
    </row>
    <row r="6621" spans="1:10" x14ac:dyDescent="0.25">
      <c r="A6621" s="5" t="s">
        <v>6655</v>
      </c>
      <c r="B6621" s="5" t="s">
        <v>8488</v>
      </c>
      <c r="C6621" s="6" t="str">
        <f>_xll.QS.CONTEXT.CREATE("market.6619",A6621,"USD","SOFR")</f>
        <v>QSObject:PricingContext:w1~market.6619:7205</v>
      </c>
      <c r="D6621" s="6" t="str">
        <f>_xll.QS.CONTEXT.ADD.CURVE(C6621,"SOFR",$K$2:$K$7,$L$2:$L$7,,,"Actual360","LogLinear",TRUE)</f>
        <v>QSObject:ContextInput:w1~input.qs_context_add_curve.2359132437744.6620.3.0:33827</v>
      </c>
      <c r="E6621" s="6" t="str">
        <f>_xll.QS.INSTRUMENT.SWAP("swap.6619",H6621,B6621,"USD","SOFR",I6621,J6621,0,"Actual360","Simple","Annual","Annual","Annual")</f>
        <v>QSObject:Swap:w1~swap.6619:7204</v>
      </c>
      <c r="F6621" s="6" t="str">
        <f>_xll.QS.TRADE.CREATE("trade.6619",E6621,A6621,"Receive")</f>
        <v>QSObject:SwapTrade:w1~trade.6619:25273</v>
      </c>
      <c r="G6621" s="3">
        <f>_xll.QS.EVALUATE(C6621,F6621)</f>
        <v>37563.517958418597</v>
      </c>
      <c r="H6621" s="5" t="s">
        <v>6662</v>
      </c>
      <c r="I6621" s="7">
        <v>1661900</v>
      </c>
      <c r="J6621" s="8">
        <v>3.6900000000000002E-2</v>
      </c>
    </row>
    <row r="6622" spans="1:10" x14ac:dyDescent="0.25">
      <c r="A6622" s="5" t="s">
        <v>6656</v>
      </c>
      <c r="B6622" s="5" t="s">
        <v>8489</v>
      </c>
      <c r="C6622" s="6" t="str">
        <f>_xll.QS.CONTEXT.CREATE("market.6620",A6622,"USD","SOFR")</f>
        <v>QSObject:PricingContext:w1~market.6620:7203</v>
      </c>
      <c r="D6622" s="6" t="str">
        <f>_xll.QS.CONTEXT.ADD.CURVE(C6622,"SOFR",$K$2:$K$7,$L$2:$L$7,,,"Actual360","LogLinear",TRUE)</f>
        <v>QSObject:ContextInput:w1~input.qs_context_add_curve.2359132437744.6621.3.0:33826</v>
      </c>
      <c r="E6622" s="6" t="str">
        <f>_xll.QS.INSTRUMENT.SWAP("swap.6620",H6622,B6622,"USD","SOFR",I6622,J6622,0,"Actual360","Simple","Annual","Annual","Annual")</f>
        <v>QSObject:Swap:w1~swap.6620:7202</v>
      </c>
      <c r="F6622" s="6" t="str">
        <f>_xll.QS.TRADE.CREATE("trade.6620",E6622,A6622,"Receive")</f>
        <v>QSObject:SwapTrade:w1~trade.6620:25272</v>
      </c>
      <c r="G6622" s="3">
        <f>_xll.QS.EVALUATE(C6622,F6622)</f>
        <v>38128.712574630881</v>
      </c>
      <c r="H6622" s="5" t="s">
        <v>6663</v>
      </c>
      <c r="I6622" s="7">
        <v>1662000</v>
      </c>
      <c r="J6622" s="8">
        <v>3.7000000000000012E-2</v>
      </c>
    </row>
    <row r="6623" spans="1:10" x14ac:dyDescent="0.25">
      <c r="A6623" s="5" t="s">
        <v>6657</v>
      </c>
      <c r="B6623" s="5" t="s">
        <v>8490</v>
      </c>
      <c r="C6623" s="6" t="str">
        <f>_xll.QS.CONTEXT.CREATE("market.6621",A6623,"USD","SOFR")</f>
        <v>QSObject:PricingContext:w1~market.6621:7201</v>
      </c>
      <c r="D6623" s="6" t="str">
        <f>_xll.QS.CONTEXT.ADD.CURVE(C6623,"SOFR",$K$2:$K$7,$L$2:$L$7,,,"Actual360","LogLinear",TRUE)</f>
        <v>QSObject:ContextInput:w1~input.qs_context_add_curve.2359132437744.6622.3.0:33825</v>
      </c>
      <c r="E6623" s="6" t="str">
        <f>_xll.QS.INSTRUMENT.SWAP("swap.6621",H6623,B6623,"USD","SOFR",I6623,J6623,0,"Actual360","Simple","Annual","Annual","Annual")</f>
        <v>QSObject:Swap:w1~swap.6621:7200</v>
      </c>
      <c r="F6623" s="6" t="str">
        <f>_xll.QS.TRADE.CREATE("trade.6621",E6623,A6623,"Receive")</f>
        <v>QSObject:SwapTrade:w1~trade.6621:25271</v>
      </c>
      <c r="G6623" s="3">
        <f>_xll.QS.EVALUATE(C6623,F6623)</f>
        <v>38900.906342388538</v>
      </c>
      <c r="H6623" s="5" t="s">
        <v>6664</v>
      </c>
      <c r="I6623" s="7">
        <v>1662100</v>
      </c>
      <c r="J6623" s="8">
        <v>3.7100000000000001E-2</v>
      </c>
    </row>
    <row r="6624" spans="1:10" x14ac:dyDescent="0.25">
      <c r="A6624" s="5" t="s">
        <v>6658</v>
      </c>
      <c r="B6624" s="5" t="s">
        <v>8491</v>
      </c>
      <c r="C6624" s="6" t="str">
        <f>_xll.QS.CONTEXT.CREATE("market.6622",A6624,"USD","SOFR")</f>
        <v>QSObject:PricingContext:w1~market.6622:7199</v>
      </c>
      <c r="D6624" s="6" t="str">
        <f>_xll.QS.CONTEXT.ADD.CURVE(C6624,"SOFR",$K$2:$K$7,$L$2:$L$7,,,"Actual360","LogLinear",TRUE)</f>
        <v>QSObject:ContextInput:w1~input.qs_context_add_curve.2359132437744.6623.3.0:33824</v>
      </c>
      <c r="E6624" s="6" t="str">
        <f>_xll.QS.INSTRUMENT.SWAP("swap.6622",H6624,B6624,"USD","SOFR",I6624,J6624,0,"Actual360","Simple","Annual","Annual","Annual")</f>
        <v>QSObject:Swap:w1~swap.6622:7198</v>
      </c>
      <c r="F6624" s="6" t="str">
        <f>_xll.QS.TRADE.CREATE("trade.6622",E6624,A6624,"Receive")</f>
        <v>QSObject:SwapTrade:w1~trade.6622:25270</v>
      </c>
      <c r="G6624" s="3">
        <f>_xll.QS.EVALUATE(C6624,F6624)</f>
        <v>39672.983919946746</v>
      </c>
      <c r="H6624" s="5" t="s">
        <v>6665</v>
      </c>
      <c r="I6624" s="7">
        <v>1662200</v>
      </c>
      <c r="J6624" s="8">
        <v>3.7199999999999997E-2</v>
      </c>
    </row>
    <row r="6625" spans="1:10" x14ac:dyDescent="0.25">
      <c r="A6625" s="5" t="s">
        <v>6659</v>
      </c>
      <c r="B6625" s="5" t="s">
        <v>8492</v>
      </c>
      <c r="C6625" s="6" t="str">
        <f>_xll.QS.CONTEXT.CREATE("market.6623",A6625,"USD","SOFR")</f>
        <v>QSObject:PricingContext:w1~market.6623:7197</v>
      </c>
      <c r="D6625" s="6" t="str">
        <f>_xll.QS.CONTEXT.ADD.CURVE(C6625,"SOFR",$K$2:$K$7,$L$2:$L$7,,,"Actual360","LogLinear",TRUE)</f>
        <v>QSObject:ContextInput:w1~input.qs_context_add_curve.2359132437744.6624.3.0:33823</v>
      </c>
      <c r="E6625" s="6" t="str">
        <f>_xll.QS.INSTRUMENT.SWAP("swap.6623",H6625,B6625,"USD","SOFR",I6625,J6625,0,"Actual360","Simple","Annual","Annual","Annual")</f>
        <v>QSObject:Swap:w1~swap.6623:7196</v>
      </c>
      <c r="F6625" s="6" t="str">
        <f>_xll.QS.TRADE.CREATE("trade.6623",E6625,A6625,"Receive")</f>
        <v>QSObject:SwapTrade:w1~trade.6623:25269</v>
      </c>
      <c r="G6625" s="3">
        <f>_xll.QS.EVALUATE(C6625,F6625)</f>
        <v>40563.689655774244</v>
      </c>
      <c r="H6625" s="5" t="s">
        <v>6666</v>
      </c>
      <c r="I6625" s="7">
        <v>1662300</v>
      </c>
      <c r="J6625" s="8">
        <v>3.73E-2</v>
      </c>
    </row>
    <row r="6626" spans="1:10" x14ac:dyDescent="0.25">
      <c r="A6626" s="5" t="s">
        <v>6660</v>
      </c>
      <c r="B6626" s="5" t="s">
        <v>8493</v>
      </c>
      <c r="C6626" s="6" t="str">
        <f>_xll.QS.CONTEXT.CREATE("market.6624",A6626,"USD","SOFR")</f>
        <v>QSObject:PricingContext:w1~market.6624:7195</v>
      </c>
      <c r="D6626" s="6" t="str">
        <f>_xll.QS.CONTEXT.ADD.CURVE(C6626,"SOFR",$K$2:$K$7,$L$2:$L$7,,,"Actual360","LogLinear",TRUE)</f>
        <v>QSObject:ContextInput:w1~input.qs_context_add_curve.2359132437744.6625.3.0:33822</v>
      </c>
      <c r="E6626" s="6" t="str">
        <f>_xll.QS.INSTRUMENT.SWAP("swap.6624",H6626,B6626,"USD","SOFR",I6626,J6626,0,"Actual360","Simple","Annual","Annual","Annual")</f>
        <v>QSObject:Swap:w1~swap.6624:7194</v>
      </c>
      <c r="F6626" s="6" t="str">
        <f>_xll.QS.TRADE.CREATE("trade.6624",E6626,A6626,"Receive")</f>
        <v>QSObject:SwapTrade:w1~trade.6624:25268</v>
      </c>
      <c r="G6626" s="3">
        <f>_xll.QS.EVALUATE(C6626,F6626)</f>
        <v>41333.034951330766</v>
      </c>
      <c r="H6626" s="5" t="s">
        <v>6667</v>
      </c>
      <c r="I6626" s="7">
        <v>1662400</v>
      </c>
      <c r="J6626" s="8">
        <v>3.7400000000000003E-2</v>
      </c>
    </row>
    <row r="6627" spans="1:10" x14ac:dyDescent="0.25">
      <c r="A6627" s="5" t="s">
        <v>6661</v>
      </c>
      <c r="B6627" s="5" t="s">
        <v>8494</v>
      </c>
      <c r="C6627" s="6" t="str">
        <f>_xll.QS.CONTEXT.CREATE("market.6625",A6627,"USD","SOFR")</f>
        <v>QSObject:PricingContext:w1~market.6625:7193</v>
      </c>
      <c r="D6627" s="6" t="str">
        <f>_xll.QS.CONTEXT.ADD.CURVE(C6627,"SOFR",$K$2:$K$7,$L$2:$L$7,,,"Actual360","LogLinear",TRUE)</f>
        <v>QSObject:ContextInput:w1~input.qs_context_add_curve.2359132437744.6626.3.0:33821</v>
      </c>
      <c r="E6627" s="6" t="str">
        <f>_xll.QS.INSTRUMENT.SWAP("swap.6625",H6627,B6627,"USD","SOFR",I6627,J6627,0,"Actual360","Simple","Annual","Annual","Annual")</f>
        <v>QSObject:Swap:w1~swap.6625:7192</v>
      </c>
      <c r="F6627" s="6" t="str">
        <f>_xll.QS.TRADE.CREATE("trade.6625",E6627,A6627,"Receive")</f>
        <v>QSObject:SwapTrade:w1~trade.6625:25267</v>
      </c>
      <c r="G6627" s="3">
        <f>_xll.QS.EVALUATE(C6627,F6627)</f>
        <v>42112.277117077261</v>
      </c>
      <c r="H6627" s="5" t="s">
        <v>6668</v>
      </c>
      <c r="I6627" s="7">
        <v>1662500</v>
      </c>
      <c r="J6627" s="8">
        <v>3.7500000000000012E-2</v>
      </c>
    </row>
    <row r="6628" spans="1:10" x14ac:dyDescent="0.25">
      <c r="A6628" s="5" t="s">
        <v>6662</v>
      </c>
      <c r="B6628" s="5" t="s">
        <v>8494</v>
      </c>
      <c r="C6628" s="6" t="str">
        <f>_xll.QS.CONTEXT.CREATE("market.6626",A6628,"USD","SOFR")</f>
        <v>QSObject:PricingContext:w1~market.6626:7191</v>
      </c>
      <c r="D6628" s="6" t="str">
        <f>_xll.QS.CONTEXT.ADD.CURVE(C6628,"SOFR",$K$2:$K$7,$L$2:$L$7,,,"Actual360","LogLinear",TRUE)</f>
        <v>QSObject:ContextInput:w1~input.qs_context_add_curve.2359132437744.6627.3.0:33820</v>
      </c>
      <c r="E6628" s="6" t="str">
        <f>_xll.QS.INSTRUMENT.SWAP("swap.6626",H6628,B6628,"USD","SOFR",I6628,J6628,0,"Actual360","Simple","Annual","Annual","Annual")</f>
        <v>QSObject:Swap:w1~swap.6626:7190</v>
      </c>
      <c r="F6628" s="6" t="str">
        <f>_xll.QS.TRADE.CREATE("trade.6626",E6628,A6628,"Receive")</f>
        <v>QSObject:SwapTrade:w1~trade.6626:25266</v>
      </c>
      <c r="G6628" s="3">
        <f>_xll.QS.EVALUATE(C6628,F6628)</f>
        <v>42924.271825542972</v>
      </c>
      <c r="H6628" s="5" t="s">
        <v>8495</v>
      </c>
      <c r="I6628" s="7">
        <v>1662600</v>
      </c>
      <c r="J6628" s="8">
        <v>3.7600000000000001E-2</v>
      </c>
    </row>
    <row r="6629" spans="1:10" x14ac:dyDescent="0.25">
      <c r="A6629" s="5" t="s">
        <v>6663</v>
      </c>
      <c r="B6629" s="5" t="s">
        <v>8496</v>
      </c>
      <c r="C6629" s="6" t="str">
        <f>_xll.QS.CONTEXT.CREATE("market.6627",A6629,"USD","SOFR")</f>
        <v>QSObject:PricingContext:w1~market.6627:7189</v>
      </c>
      <c r="D6629" s="6" t="str">
        <f>_xll.QS.CONTEXT.ADD.CURVE(C6629,"SOFR",$K$2:$K$7,$L$2:$L$7,,,"Actual360","LogLinear",TRUE)</f>
        <v>QSObject:ContextInput:w1~input.qs_context_add_curve.2359132437744.6628.3.0:33819</v>
      </c>
      <c r="E6629" s="6" t="str">
        <f>_xll.QS.INSTRUMENT.SWAP("swap.6627",H6629,B6629,"USD","SOFR",I6629,J6629,0,"Actual360","Simple","Annual","Annual","Annual")</f>
        <v>QSObject:Swap:w1~swap.6627:7188</v>
      </c>
      <c r="F6629" s="6" t="str">
        <f>_xll.QS.TRADE.CREATE("trade.6627",E6629,A6629,"Receive")</f>
        <v>QSObject:SwapTrade:w1~trade.6627:25265</v>
      </c>
      <c r="G6629" s="3">
        <f>_xll.QS.EVALUATE(C6629,F6629)</f>
        <v>43572.07187998783</v>
      </c>
      <c r="H6629" s="5" t="s">
        <v>6669</v>
      </c>
      <c r="I6629" s="7">
        <v>1662700</v>
      </c>
      <c r="J6629" s="8">
        <v>3.7699999999999997E-2</v>
      </c>
    </row>
    <row r="6630" spans="1:10" x14ac:dyDescent="0.25">
      <c r="A6630" s="5" t="s">
        <v>6664</v>
      </c>
      <c r="B6630" s="5" t="s">
        <v>8497</v>
      </c>
      <c r="C6630" s="6" t="str">
        <f>_xll.QS.CONTEXT.CREATE("market.6628",A6630,"USD","SOFR")</f>
        <v>QSObject:PricingContext:w1~market.6628:7187</v>
      </c>
      <c r="D6630" s="6" t="str">
        <f>_xll.QS.CONTEXT.ADD.CURVE(C6630,"SOFR",$K$2:$K$7,$L$2:$L$7,,,"Actual360","LogLinear",TRUE)</f>
        <v>QSObject:ContextInput:w1~input.qs_context_add_curve.2359132437744.6629.3.0:33818</v>
      </c>
      <c r="E6630" s="6" t="str">
        <f>_xll.QS.INSTRUMENT.SWAP("swap.6628",H6630,B6630,"USD","SOFR",I6630,J6630,0,"Actual360","Simple","Annual","Annual","Annual")</f>
        <v>QSObject:Swap:w1~swap.6628:7186</v>
      </c>
      <c r="F6630" s="6" t="str">
        <f>_xll.QS.TRADE.CREATE("trade.6628",E6630,A6630,"Receive")</f>
        <v>QSObject:SwapTrade:w1~trade.6628:25264</v>
      </c>
      <c r="G6630" s="3">
        <f>_xll.QS.EVALUATE(C6630,F6630)</f>
        <v>44220.229613699121</v>
      </c>
      <c r="H6630" s="5" t="s">
        <v>6670</v>
      </c>
      <c r="I6630" s="7">
        <v>1662800</v>
      </c>
      <c r="J6630" s="8">
        <v>3.78E-2</v>
      </c>
    </row>
    <row r="6631" spans="1:10" x14ac:dyDescent="0.25">
      <c r="A6631" s="5" t="s">
        <v>6665</v>
      </c>
      <c r="B6631" s="5" t="s">
        <v>8498</v>
      </c>
      <c r="C6631" s="6" t="str">
        <f>_xll.QS.CONTEXT.CREATE("market.6629",A6631,"USD","SOFR")</f>
        <v>QSObject:PricingContext:w1~market.6629:7185</v>
      </c>
      <c r="D6631" s="6" t="str">
        <f>_xll.QS.CONTEXT.ADD.CURVE(C6631,"SOFR",$K$2:$K$7,$L$2:$L$7,,,"Actual360","LogLinear",TRUE)</f>
        <v>QSObject:ContextInput:w1~input.qs_context_add_curve.2359132437744.6630.3.0:33817</v>
      </c>
      <c r="E6631" s="6" t="str">
        <f>_xll.QS.INSTRUMENT.SWAP("swap.6629",H6631,B6631,"USD","SOFR",I6631,J6631,0,"Actual360","Simple","Annual","Annual","Annual")</f>
        <v>QSObject:Swap:w1~swap.6629:7184</v>
      </c>
      <c r="F6631" s="6" t="str">
        <f>_xll.QS.TRADE.CREATE("trade.6629",E6631,A6631,"Receive")</f>
        <v>QSObject:SwapTrade:w1~trade.6629:25263</v>
      </c>
      <c r="G6631" s="3">
        <f>_xll.QS.EVALUATE(C6631,F6631)</f>
        <v>45059.240810435411</v>
      </c>
      <c r="H6631" s="5" t="s">
        <v>6671</v>
      </c>
      <c r="I6631" s="7">
        <v>1662900</v>
      </c>
      <c r="J6631" s="8">
        <v>3.7900000000000003E-2</v>
      </c>
    </row>
    <row r="6632" spans="1:10" x14ac:dyDescent="0.25">
      <c r="A6632" s="5" t="s">
        <v>6666</v>
      </c>
      <c r="B6632" s="5" t="s">
        <v>8499</v>
      </c>
      <c r="C6632" s="6" t="str">
        <f>_xll.QS.CONTEXT.CREATE("market.6630",A6632,"USD","SOFR")</f>
        <v>QSObject:PricingContext:w1~market.6630:7183</v>
      </c>
      <c r="D6632" s="6" t="str">
        <f>_xll.QS.CONTEXT.ADD.CURVE(C6632,"SOFR",$K$2:$K$7,$L$2:$L$7,,,"Actual360","LogLinear",TRUE)</f>
        <v>QSObject:ContextInput:w1~input.qs_context_add_curve.2359132437744.6631.3.0:33816</v>
      </c>
      <c r="E6632" s="6" t="str">
        <f>_xll.QS.INSTRUMENT.SWAP("swap.6630",H6632,B6632,"USD","SOFR",I6632,J6632,0,"Actual360","Simple","Annual","Annual","Annual")</f>
        <v>QSObject:Swap:w1~swap.6630:7182</v>
      </c>
      <c r="F6632" s="6" t="str">
        <f>_xll.QS.TRADE.CREATE("trade.6630",E6632,A6632,"Receive")</f>
        <v>QSObject:SwapTrade:w1~trade.6630:25262</v>
      </c>
      <c r="G6632" s="3">
        <f>_xll.QS.EVALUATE(C6632,F6632)</f>
        <v>45992.156550784421</v>
      </c>
      <c r="H6632" s="5" t="s">
        <v>6672</v>
      </c>
      <c r="I6632" s="7">
        <v>1663000</v>
      </c>
      <c r="J6632" s="8">
        <v>3.8000000000000013E-2</v>
      </c>
    </row>
    <row r="6633" spans="1:10" x14ac:dyDescent="0.25">
      <c r="A6633" s="5" t="s">
        <v>6667</v>
      </c>
      <c r="B6633" s="5" t="s">
        <v>8500</v>
      </c>
      <c r="C6633" s="6" t="str">
        <f>_xll.QS.CONTEXT.CREATE("market.6631",A6633,"USD","SOFR")</f>
        <v>QSObject:PricingContext:w1~market.6631:7181</v>
      </c>
      <c r="D6633" s="6" t="str">
        <f>_xll.QS.CONTEXT.ADD.CURVE(C6633,"SOFR",$K$2:$K$7,$L$2:$L$7,,,"Actual360","LogLinear",TRUE)</f>
        <v>QSObject:ContextInput:w1~input.qs_context_add_curve.2359132437744.6632.3.0:33815</v>
      </c>
      <c r="E6633" s="6" t="str">
        <f>_xll.QS.INSTRUMENT.SWAP("swap.6631",H6633,B6633,"USD","SOFR",I6633,J6633,0,"Actual360","Simple","Annual","Annual","Annual")</f>
        <v>QSObject:Swap:w1~swap.6631:7180</v>
      </c>
      <c r="F6633" s="6" t="str">
        <f>_xll.QS.TRADE.CREATE("trade.6631",E6633,A6633,"Receive")</f>
        <v>QSObject:SwapTrade:w1~trade.6631:25261</v>
      </c>
      <c r="G6633" s="3">
        <f>_xll.QS.EVALUATE(C6633,F6633)</f>
        <v>46698.068461936688</v>
      </c>
      <c r="H6633" s="5" t="s">
        <v>6673</v>
      </c>
      <c r="I6633" s="7">
        <v>1663100</v>
      </c>
      <c r="J6633" s="8">
        <v>3.8100000000000002E-2</v>
      </c>
    </row>
    <row r="6634" spans="1:10" x14ac:dyDescent="0.25">
      <c r="A6634" s="5" t="s">
        <v>6668</v>
      </c>
      <c r="B6634" s="5" t="s">
        <v>8501</v>
      </c>
      <c r="C6634" s="6" t="str">
        <f>_xll.QS.CONTEXT.CREATE("market.6632",A6634,"USD","SOFR")</f>
        <v>QSObject:PricingContext:w1~market.6632:7179</v>
      </c>
      <c r="D6634" s="6" t="str">
        <f>_xll.QS.CONTEXT.ADD.CURVE(C6634,"SOFR",$K$2:$K$7,$L$2:$L$7,,,"Actual360","LogLinear",TRUE)</f>
        <v>QSObject:ContextInput:w1~input.qs_context_add_curve.2359132437744.6633.3.0:33814</v>
      </c>
      <c r="E6634" s="6" t="str">
        <f>_xll.QS.INSTRUMENT.SWAP("swap.6632",H6634,B6634,"USD","SOFR",I6634,J6634,0,"Actual360","Simple","Annual","Annual","Annual")</f>
        <v>QSObject:Swap:w1~swap.6632:7178</v>
      </c>
      <c r="F6634" s="6" t="str">
        <f>_xll.QS.TRADE.CREATE("trade.6632",E6634,A6634,"Receive")</f>
        <v>QSObject:SwapTrade:w1~trade.6632:25260</v>
      </c>
      <c r="G6634" s="3">
        <f>_xll.QS.EVALUATE(C6634,F6634)</f>
        <v>47540.856300638494</v>
      </c>
      <c r="H6634" s="5" t="s">
        <v>6674</v>
      </c>
      <c r="I6634" s="7">
        <v>1663200</v>
      </c>
      <c r="J6634" s="8">
        <v>3.8199999999999998E-2</v>
      </c>
    </row>
    <row r="6635" spans="1:10" x14ac:dyDescent="0.25">
      <c r="A6635" s="5" t="s">
        <v>8495</v>
      </c>
      <c r="B6635" s="5" t="s">
        <v>8502</v>
      </c>
      <c r="C6635" s="6" t="str">
        <f>_xll.QS.CONTEXT.CREATE("market.6633",A6635,"USD","SOFR")</f>
        <v>QSObject:PricingContext:w1~market.6633:7177</v>
      </c>
      <c r="D6635" s="6" t="str">
        <f>_xll.QS.CONTEXT.ADD.CURVE(C6635,"SOFR",$K$2:$K$7,$L$2:$L$7,,,"Actual360","LogLinear",TRUE)</f>
        <v>QSObject:ContextInput:w1~input.qs_context_add_curve.2359132437744.6634.3.0:33813</v>
      </c>
      <c r="E6635" s="6" t="str">
        <f>_xll.QS.INSTRUMENT.SWAP("swap.6633",H6635,B6635,"USD","SOFR",I6635,J6635,0,"Actual360","Simple","Annual","Annual","Annual")</f>
        <v>QSObject:Swap:w1~swap.6633:7176</v>
      </c>
      <c r="F6635" s="6" t="str">
        <f>_xll.QS.TRADE.CREATE("trade.6633",E6635,A6635,"Receive")</f>
        <v>QSObject:SwapTrade:w1~trade.6633:25259</v>
      </c>
      <c r="G6635" s="3">
        <f>_xll.QS.EVALUATE(C6635,F6635)</f>
        <v>48246.567046753516</v>
      </c>
      <c r="H6635" s="5" t="s">
        <v>6675</v>
      </c>
      <c r="I6635" s="7">
        <v>1663300</v>
      </c>
      <c r="J6635" s="8">
        <v>3.8300000000000001E-2</v>
      </c>
    </row>
    <row r="6636" spans="1:10" x14ac:dyDescent="0.25">
      <c r="A6636" s="5" t="s">
        <v>6669</v>
      </c>
      <c r="B6636" s="5" t="s">
        <v>8503</v>
      </c>
      <c r="C6636" s="6" t="str">
        <f>_xll.QS.CONTEXT.CREATE("market.6634",A6636,"USD","SOFR")</f>
        <v>QSObject:PricingContext:w1~market.6634:7175</v>
      </c>
      <c r="D6636" s="6" t="str">
        <f>_xll.QS.CONTEXT.ADD.CURVE(C6636,"SOFR",$K$2:$K$7,$L$2:$L$7,,,"Actual360","LogLinear",TRUE)</f>
        <v>QSObject:ContextInput:w1~input.qs_context_add_curve.2359132437744.6635.3.0:33812</v>
      </c>
      <c r="E6636" s="6" t="str">
        <f>_xll.QS.INSTRUMENT.SWAP("swap.6634",H6636,B6636,"USD","SOFR",I6636,J6636,0,"Actual360","Simple","Annual","Annual","Annual")</f>
        <v>QSObject:Swap:w1~swap.6634:7174</v>
      </c>
      <c r="F6636" s="6" t="str">
        <f>_xll.QS.TRADE.CREATE("trade.6634",E6636,A6636,"Receive")</f>
        <v>QSObject:SwapTrade:w1~trade.6634:25258</v>
      </c>
      <c r="G6636" s="3">
        <f>_xll.QS.EVALUATE(C6636,F6636)</f>
        <v>48888.702001210928</v>
      </c>
      <c r="H6636" s="5" t="s">
        <v>6676</v>
      </c>
      <c r="I6636" s="7">
        <v>1663400</v>
      </c>
      <c r="J6636" s="8">
        <v>3.8399999999999997E-2</v>
      </c>
    </row>
    <row r="6637" spans="1:10" x14ac:dyDescent="0.25">
      <c r="A6637" s="5" t="s">
        <v>6670</v>
      </c>
      <c r="B6637" s="5" t="s">
        <v>8504</v>
      </c>
      <c r="C6637" s="6" t="str">
        <f>_xll.QS.CONTEXT.CREATE("market.6635",A6637,"USD","SOFR")</f>
        <v>QSObject:PricingContext:w1~market.6635:7173</v>
      </c>
      <c r="D6637" s="6" t="str">
        <f>_xll.QS.CONTEXT.ADD.CURVE(C6637,"SOFR",$K$2:$K$7,$L$2:$L$7,,,"Actual360","LogLinear",TRUE)</f>
        <v>QSObject:ContextInput:w1~input.qs_context_add_curve.2359132437744.6636.3.0:33811</v>
      </c>
      <c r="E6637" s="6" t="str">
        <f>_xll.QS.INSTRUMENT.SWAP("swap.6635",H6637,B6637,"USD","SOFR",I6637,J6637,0,"Actual360","Simple","Annual","Annual","Annual")</f>
        <v>QSObject:Swap:w1~swap.6635:7172</v>
      </c>
      <c r="F6637" s="6" t="str">
        <f>_xll.QS.TRADE.CREATE("trade.6635",E6637,A6637,"Receive")</f>
        <v>QSObject:SwapTrade:w1~trade.6635:25257</v>
      </c>
      <c r="G6637" s="3">
        <f>_xll.QS.EVALUATE(C6637,F6637)</f>
        <v>49546.063189441185</v>
      </c>
      <c r="H6637" s="5" t="s">
        <v>6677</v>
      </c>
      <c r="I6637" s="7">
        <v>1663500</v>
      </c>
      <c r="J6637" s="8">
        <v>3.8500000000000013E-2</v>
      </c>
    </row>
    <row r="6638" spans="1:10" x14ac:dyDescent="0.25">
      <c r="A6638" s="5" t="s">
        <v>6671</v>
      </c>
      <c r="B6638" s="5" t="s">
        <v>8505</v>
      </c>
      <c r="C6638" s="6" t="str">
        <f>_xll.QS.CONTEXT.CREATE("market.6636",A6638,"USD","SOFR")</f>
        <v>QSObject:PricingContext:w1~market.6636:7171</v>
      </c>
      <c r="D6638" s="6" t="str">
        <f>_xll.QS.CONTEXT.ADD.CURVE(C6638,"SOFR",$K$2:$K$7,$L$2:$L$7,,,"Actual360","LogLinear",TRUE)</f>
        <v>QSObject:ContextInput:w1~input.qs_context_add_curve.2359132437744.6637.3.0:33810</v>
      </c>
      <c r="E6638" s="6" t="str">
        <f>_xll.QS.INSTRUMENT.SWAP("swap.6636",H6638,B6638,"USD","SOFR",I6638,J6638,0,"Actual360","Simple","Annual","Annual","Annual")</f>
        <v>QSObject:Swap:w1~swap.6636:7170</v>
      </c>
      <c r="F6638" s="6" t="str">
        <f>_xll.QS.TRADE.CREATE("trade.6636",E6638,A6638,"Receive")</f>
        <v>QSObject:SwapTrade:w1~trade.6636:25256</v>
      </c>
      <c r="G6638" s="3">
        <f>_xll.QS.EVALUATE(C6638,F6638)</f>
        <v>50387.386739561574</v>
      </c>
      <c r="H6638" s="5" t="s">
        <v>6678</v>
      </c>
      <c r="I6638" s="7">
        <v>1663600</v>
      </c>
      <c r="J6638" s="8">
        <v>3.8600000000000002E-2</v>
      </c>
    </row>
    <row r="6639" spans="1:10" x14ac:dyDescent="0.25">
      <c r="A6639" s="5" t="s">
        <v>6672</v>
      </c>
      <c r="B6639" s="5" t="s">
        <v>8506</v>
      </c>
      <c r="C6639" s="6" t="str">
        <f>_xll.QS.CONTEXT.CREATE("market.6637",A6639,"USD","SOFR")</f>
        <v>QSObject:PricingContext:w1~market.6637:7169</v>
      </c>
      <c r="D6639" s="6" t="str">
        <f>_xll.QS.CONTEXT.ADD.CURVE(C6639,"SOFR",$K$2:$K$7,$L$2:$L$7,,,"Actual360","LogLinear",TRUE)</f>
        <v>QSObject:ContextInput:w1~input.qs_context_add_curve.2359132437744.6638.3.0:33809</v>
      </c>
      <c r="E6639" s="6" t="str">
        <f>_xll.QS.INSTRUMENT.SWAP("swap.6637",H6639,B6639,"USD","SOFR",I6639,J6639,0,"Actual360","Simple","Annual","Annual","Annual")</f>
        <v>QSObject:Swap:w1~swap.6637:7168</v>
      </c>
      <c r="F6639" s="6" t="str">
        <f>_xll.QS.TRADE.CREATE("trade.6637",E6639,A6639,"Receive")</f>
        <v>QSObject:SwapTrade:w1~trade.6637:25255</v>
      </c>
      <c r="G6639" s="3">
        <f>_xll.QS.EVALUATE(C6639,F6639)</f>
        <v>51196.704962086034</v>
      </c>
      <c r="H6639" s="5" t="s">
        <v>6679</v>
      </c>
      <c r="I6639" s="7">
        <v>1663700</v>
      </c>
      <c r="J6639" s="8">
        <v>3.8700000000000012E-2</v>
      </c>
    </row>
    <row r="6640" spans="1:10" x14ac:dyDescent="0.25">
      <c r="A6640" s="5" t="s">
        <v>6673</v>
      </c>
      <c r="B6640" s="5" t="s">
        <v>8507</v>
      </c>
      <c r="C6640" s="6" t="str">
        <f>_xll.QS.CONTEXT.CREATE("market.6638",A6640,"USD","SOFR")</f>
        <v>QSObject:PricingContext:w1~market.6638:7167</v>
      </c>
      <c r="D6640" s="6" t="str">
        <f>_xll.QS.CONTEXT.ADD.CURVE(C6640,"SOFR",$K$2:$K$7,$L$2:$L$7,,,"Actual360","LogLinear",TRUE)</f>
        <v>QSObject:ContextInput:w1~input.qs_context_add_curve.2359132437744.6639.3.0:33808</v>
      </c>
      <c r="E6640" s="6" t="str">
        <f>_xll.QS.INSTRUMENT.SWAP("swap.6638",H6640,B6640,"USD","SOFR",I6640,J6640,0,"Actual360","Simple","Annual","Annual","Annual")</f>
        <v>QSObject:Swap:w1~swap.6638:7166</v>
      </c>
      <c r="F6640" s="6" t="str">
        <f>_xll.QS.TRADE.CREATE("trade.6638",E6640,A6640,"Receive")</f>
        <v>QSObject:SwapTrade:w1~trade.6638:25254</v>
      </c>
      <c r="G6640" s="3">
        <f>_xll.QS.EVALUATE(C6640,F6640)</f>
        <v>52088.706116705267</v>
      </c>
      <c r="H6640" s="5" t="s">
        <v>6680</v>
      </c>
      <c r="I6640" s="7">
        <v>1663800</v>
      </c>
      <c r="J6640" s="8">
        <v>3.8800000000000001E-2</v>
      </c>
    </row>
    <row r="6641" spans="1:10" x14ac:dyDescent="0.25">
      <c r="A6641" s="5" t="s">
        <v>6674</v>
      </c>
      <c r="B6641" s="5" t="s">
        <v>8508</v>
      </c>
      <c r="C6641" s="6" t="str">
        <f>_xll.QS.CONTEXT.CREATE("market.6639",A6641,"USD","SOFR")</f>
        <v>QSObject:PricingContext:w1~market.6639:7165</v>
      </c>
      <c r="D6641" s="6" t="str">
        <f>_xll.QS.CONTEXT.ADD.CURVE(C6641,"SOFR",$K$2:$K$7,$L$2:$L$7,,,"Actual360","LogLinear",TRUE)</f>
        <v>QSObject:ContextInput:w1~input.qs_context_add_curve.2359132437744.6640.3.0:33807</v>
      </c>
      <c r="E6641" s="6" t="str">
        <f>_xll.QS.INSTRUMENT.SWAP("swap.6639",H6641,B6641,"USD","SOFR",I6641,J6641,0,"Actual360","Simple","Annual","Annual","Annual")</f>
        <v>QSObject:Swap:w1~swap.6639:7164</v>
      </c>
      <c r="F6641" s="6" t="str">
        <f>_xll.QS.TRADE.CREATE("trade.6639",E6641,A6641,"Receive")</f>
        <v>QSObject:SwapTrade:w1~trade.6639:25253</v>
      </c>
      <c r="G6641" s="3">
        <f>_xll.QS.EVALUATE(C6641,F6641)</f>
        <v>52931.949753722656</v>
      </c>
      <c r="H6641" s="5" t="s">
        <v>6681</v>
      </c>
      <c r="I6641" s="7">
        <v>1663900</v>
      </c>
      <c r="J6641" s="8">
        <v>3.8899999999999997E-2</v>
      </c>
    </row>
    <row r="6642" spans="1:10" x14ac:dyDescent="0.25">
      <c r="A6642" s="5" t="s">
        <v>6675</v>
      </c>
      <c r="B6642" s="5" t="s">
        <v>8509</v>
      </c>
      <c r="C6642" s="6" t="str">
        <f>_xll.QS.CONTEXT.CREATE("market.6640",A6642,"USD","SOFR")</f>
        <v>QSObject:PricingContext:w1~market.6640:7163</v>
      </c>
      <c r="D6642" s="6" t="str">
        <f>_xll.QS.CONTEXT.ADD.CURVE(C6642,"SOFR",$K$2:$K$7,$L$2:$L$7,,,"Actual360","LogLinear",TRUE)</f>
        <v>QSObject:ContextInput:w1~input.qs_context_add_curve.2359132437744.6641.3.0:33806</v>
      </c>
      <c r="E6642" s="6" t="str">
        <f>_xll.QS.INSTRUMENT.SWAP("swap.6640",H6642,B6642,"USD","SOFR",I6642,J6642,0,"Actual360","Simple","Annual","Annual","Annual")</f>
        <v>QSObject:Swap:w1~swap.6640:7162</v>
      </c>
      <c r="F6642" s="6" t="str">
        <f>_xll.QS.TRADE.CREATE("trade.6640",E6642,A6642,"Receive")</f>
        <v>QSObject:SwapTrade:w1~trade.6640:25252</v>
      </c>
      <c r="G6642" s="3">
        <f>_xll.QS.EVALUATE(C6642,F6642)</f>
        <v>53638.221051636683</v>
      </c>
      <c r="H6642" s="5" t="s">
        <v>6682</v>
      </c>
      <c r="I6642" s="7">
        <v>1664000</v>
      </c>
      <c r="J6642" s="8">
        <v>3.9000000000000007E-2</v>
      </c>
    </row>
    <row r="6643" spans="1:10" x14ac:dyDescent="0.25">
      <c r="A6643" s="5" t="s">
        <v>6676</v>
      </c>
      <c r="B6643" s="5" t="s">
        <v>8510</v>
      </c>
      <c r="C6643" s="6" t="str">
        <f>_xll.QS.CONTEXT.CREATE("market.6641",A6643,"USD","SOFR")</f>
        <v>QSObject:PricingContext:w1~market.6641:7161</v>
      </c>
      <c r="D6643" s="6" t="str">
        <f>_xll.QS.CONTEXT.ADD.CURVE(C6643,"SOFR",$K$2:$K$7,$L$2:$L$7,,,"Actual360","LogLinear",TRUE)</f>
        <v>QSObject:ContextInput:w1~input.qs_context_add_curve.2359132437744.6642.3.0:33805</v>
      </c>
      <c r="E6643" s="6" t="str">
        <f>_xll.QS.INSTRUMENT.SWAP("swap.6641",H6643,B6643,"USD","SOFR",I6643,J6643,0,"Actual360","Simple","Annual","Annual","Annual")</f>
        <v>QSObject:Swap:w1~swap.6641:7160</v>
      </c>
      <c r="F6643" s="6" t="str">
        <f>_xll.QS.TRADE.CREATE("trade.6641",E6643,A6643,"Receive")</f>
        <v>QSObject:SwapTrade:w1~trade.6641:25251</v>
      </c>
      <c r="G6643" s="3">
        <f>_xll.QS.EVALUATE(C6643,F6643)</f>
        <v>54274.622091752855</v>
      </c>
      <c r="H6643" s="5" t="s">
        <v>6683</v>
      </c>
      <c r="I6643" s="7">
        <v>1664100</v>
      </c>
      <c r="J6643" s="8">
        <v>3.9100000000000003E-2</v>
      </c>
    </row>
    <row r="6644" spans="1:10" x14ac:dyDescent="0.25">
      <c r="A6644" s="5" t="s">
        <v>6677</v>
      </c>
      <c r="B6644" s="5" t="s">
        <v>8511</v>
      </c>
      <c r="C6644" s="6" t="str">
        <f>_xll.QS.CONTEXT.CREATE("market.6642",A6644,"USD","SOFR")</f>
        <v>QSObject:PricingContext:w1~market.6642:7159</v>
      </c>
      <c r="D6644" s="6" t="str">
        <f>_xll.QS.CONTEXT.ADD.CURVE(C6644,"SOFR",$K$2:$K$7,$L$2:$L$7,,,"Actual360","LogLinear",TRUE)</f>
        <v>QSObject:ContextInput:w1~input.qs_context_add_curve.2359132437744.6643.3.0:33804</v>
      </c>
      <c r="E6644" s="6" t="str">
        <f>_xll.QS.INSTRUMENT.SWAP("swap.6642",H6644,B6644,"USD","SOFR",I6644,J6644,0,"Actual360","Simple","Annual","Annual","Annual")</f>
        <v>QSObject:Swap:w1~swap.6642:7158</v>
      </c>
      <c r="F6644" s="6" t="str">
        <f>_xll.QS.TRADE.CREATE("trade.6642",E6644,A6644,"Receive")</f>
        <v>QSObject:SwapTrade:w1~trade.6642:25250</v>
      </c>
      <c r="G6644" s="3">
        <f>_xll.QS.EVALUATE(C6644,F6644)</f>
        <v>54940.909434176312</v>
      </c>
      <c r="H6644" s="5" t="s">
        <v>6684</v>
      </c>
      <c r="I6644" s="7">
        <v>1664200</v>
      </c>
      <c r="J6644" s="8">
        <v>3.9200000000000013E-2</v>
      </c>
    </row>
    <row r="6645" spans="1:10" x14ac:dyDescent="0.25">
      <c r="A6645" s="5" t="s">
        <v>6678</v>
      </c>
      <c r="B6645" s="5" t="s">
        <v>8512</v>
      </c>
      <c r="C6645" s="6" t="str">
        <f>_xll.QS.CONTEXT.CREATE("market.6643",A6645,"USD","SOFR")</f>
        <v>QSObject:PricingContext:w1~market.6643:7157</v>
      </c>
      <c r="D6645" s="6" t="str">
        <f>_xll.QS.CONTEXT.ADD.CURVE(C6645,"SOFR",$K$2:$K$7,$L$2:$L$7,,,"Actual360","LogLinear",TRUE)</f>
        <v>QSObject:ContextInput:w1~input.qs_context_add_curve.2359132437744.6644.3.0:33803</v>
      </c>
      <c r="E6645" s="6" t="str">
        <f>_xll.QS.INSTRUMENT.SWAP("swap.6643",H6645,B6645,"USD","SOFR",I6645,J6645,0,"Actual360","Simple","Annual","Annual","Annual")</f>
        <v>QSObject:Swap:w1~swap.6643:7156</v>
      </c>
      <c r="F6645" s="6" t="str">
        <f>_xll.QS.TRADE.CREATE("trade.6643",E6645,A6645,"Receive")</f>
        <v>QSObject:SwapTrade:w1~trade.6643:25249</v>
      </c>
      <c r="G6645" s="3">
        <f>_xll.QS.EVALUATE(C6645,F6645)</f>
        <v>55783.429072516956</v>
      </c>
      <c r="H6645" s="5" t="s">
        <v>6685</v>
      </c>
      <c r="I6645" s="7">
        <v>1664300</v>
      </c>
      <c r="J6645" s="8">
        <v>3.9300000000000002E-2</v>
      </c>
    </row>
    <row r="6646" spans="1:10" x14ac:dyDescent="0.25">
      <c r="A6646" s="5" t="s">
        <v>6679</v>
      </c>
      <c r="B6646" s="5" t="s">
        <v>8513</v>
      </c>
      <c r="C6646" s="6" t="str">
        <f>_xll.QS.CONTEXT.CREATE("market.6644",A6646,"USD","SOFR")</f>
        <v>QSObject:PricingContext:w1~market.6644:7155</v>
      </c>
      <c r="D6646" s="6" t="str">
        <f>_xll.QS.CONTEXT.ADD.CURVE(C6646,"SOFR",$K$2:$K$7,$L$2:$L$7,,,"Actual360","LogLinear",TRUE)</f>
        <v>QSObject:ContextInput:w1~input.qs_context_add_curve.2359132437744.6645.3.0:33802</v>
      </c>
      <c r="E6646" s="6" t="str">
        <f>_xll.QS.INSTRUMENT.SWAP("swap.6644",H6646,B6646,"USD","SOFR",I6646,J6646,0,"Actual360","Simple","Annual","Annual","Annual")</f>
        <v>QSObject:Swap:w1~swap.6644:7154</v>
      </c>
      <c r="F6646" s="6" t="str">
        <f>_xll.QS.TRADE.CREATE("trade.6644",E6646,A6646,"Receive")</f>
        <v>QSObject:SwapTrade:w1~trade.6644:25248</v>
      </c>
      <c r="G6646" s="3">
        <f>_xll.QS.EVALUATE(C6646,F6646)</f>
        <v>56590.803195088942</v>
      </c>
      <c r="H6646" s="5" t="s">
        <v>6686</v>
      </c>
      <c r="I6646" s="7">
        <v>1664400</v>
      </c>
      <c r="J6646" s="8">
        <v>3.9399999999999998E-2</v>
      </c>
    </row>
    <row r="6647" spans="1:10" x14ac:dyDescent="0.25">
      <c r="A6647" s="5" t="s">
        <v>6680</v>
      </c>
      <c r="B6647" s="5" t="s">
        <v>8514</v>
      </c>
      <c r="C6647" s="6" t="str">
        <f>_xll.QS.CONTEXT.CREATE("market.6645",A6647,"USD","SOFR")</f>
        <v>QSObject:PricingContext:w1~market.6645:7153</v>
      </c>
      <c r="D6647" s="6" t="str">
        <f>_xll.QS.CONTEXT.ADD.CURVE(C6647,"SOFR",$K$2:$K$7,$L$2:$L$7,,,"Actual360","LogLinear",TRUE)</f>
        <v>QSObject:ContextInput:w1~input.qs_context_add_curve.2359132437744.6646.3.0:33801</v>
      </c>
      <c r="E6647" s="6" t="str">
        <f>_xll.QS.INSTRUMENT.SWAP("swap.6645",H6647,B6647,"USD","SOFR",I6647,J6647,0,"Actual360","Simple","Annual","Annual","Annual")</f>
        <v>QSObject:Swap:w1~swap.6645:7152</v>
      </c>
      <c r="F6647" s="6" t="str">
        <f>_xll.QS.TRADE.CREATE("trade.6645",E6647,A6647,"Receive")</f>
        <v>QSObject:SwapTrade:w1~trade.6645:25247</v>
      </c>
      <c r="G6647" s="3">
        <f>_xll.QS.EVALUATE(C6647,F6647)</f>
        <v>57483.580856604749</v>
      </c>
      <c r="H6647" s="5" t="s">
        <v>6687</v>
      </c>
      <c r="I6647" s="7">
        <v>1664500</v>
      </c>
      <c r="J6647" s="8">
        <v>3.9500000000000007E-2</v>
      </c>
    </row>
    <row r="6648" spans="1:10" x14ac:dyDescent="0.25">
      <c r="A6648" s="5" t="s">
        <v>6681</v>
      </c>
      <c r="B6648" s="5" t="s">
        <v>8515</v>
      </c>
      <c r="C6648" s="6" t="str">
        <f>_xll.QS.CONTEXT.CREATE("market.6646",A6648,"USD","SOFR")</f>
        <v>QSObject:PricingContext:w1~market.6646:7151</v>
      </c>
      <c r="D6648" s="6" t="str">
        <f>_xll.QS.CONTEXT.ADD.CURVE(C6648,"SOFR",$K$2:$K$7,$L$2:$L$7,,,"Actual360","LogLinear",TRUE)</f>
        <v>QSObject:ContextInput:w1~input.qs_context_add_curve.2359132437744.6647.3.0:33800</v>
      </c>
      <c r="E6648" s="6" t="str">
        <f>_xll.QS.INSTRUMENT.SWAP("swap.6646",H6648,B6648,"USD","SOFR",I6648,J6648,0,"Actual360","Simple","Annual","Annual","Annual")</f>
        <v>QSObject:Swap:w1~swap.6646:7150</v>
      </c>
      <c r="F6648" s="6" t="str">
        <f>_xll.QS.TRADE.CREATE("trade.6646",E6648,A6648,"Receive")</f>
        <v>QSObject:SwapTrade:w1~trade.6646:25246</v>
      </c>
      <c r="G6648" s="3">
        <f>_xll.QS.EVALUATE(C6648,F6648)</f>
        <v>58327.562419827686</v>
      </c>
      <c r="H6648" s="5" t="s">
        <v>6688</v>
      </c>
      <c r="I6648" s="7">
        <v>1664600</v>
      </c>
      <c r="J6648" s="8">
        <v>3.9600000000000003E-2</v>
      </c>
    </row>
    <row r="6649" spans="1:10" x14ac:dyDescent="0.25">
      <c r="A6649" s="5" t="s">
        <v>6682</v>
      </c>
      <c r="B6649" s="5" t="s">
        <v>8516</v>
      </c>
      <c r="C6649" s="6" t="str">
        <f>_xll.QS.CONTEXT.CREATE("market.6647",A6649,"USD","SOFR")</f>
        <v>QSObject:PricingContext:w1~market.6647:7149</v>
      </c>
      <c r="D6649" s="6" t="str">
        <f>_xll.QS.CONTEXT.ADD.CURVE(C6649,"SOFR",$K$2:$K$7,$L$2:$L$7,,,"Actual360","LogLinear",TRUE)</f>
        <v>QSObject:ContextInput:w1~input.qs_context_add_curve.2359132437744.6648.3.0:33799</v>
      </c>
      <c r="E6649" s="6" t="str">
        <f>_xll.QS.INSTRUMENT.SWAP("swap.6647",H6649,B6649,"USD","SOFR",I6649,J6649,0,"Actual360","Simple","Annual","Annual","Annual")</f>
        <v>QSObject:Swap:w1~swap.6647:7148</v>
      </c>
      <c r="F6649" s="6" t="str">
        <f>_xll.QS.TRADE.CREATE("trade.6647",E6649,A6649,"Receive")</f>
        <v>QSObject:SwapTrade:w1~trade.6647:25245</v>
      </c>
      <c r="G6649" s="3">
        <f>_xll.QS.EVALUATE(C6649,F6649)</f>
        <v>58923.977080641111</v>
      </c>
      <c r="H6649" s="5" t="s">
        <v>6689</v>
      </c>
      <c r="I6649" s="7">
        <v>1664700</v>
      </c>
      <c r="J6649" s="8">
        <v>3.9700000000000013E-2</v>
      </c>
    </row>
    <row r="6650" spans="1:10" x14ac:dyDescent="0.25">
      <c r="A6650" s="5" t="s">
        <v>6683</v>
      </c>
      <c r="B6650" s="5" t="s">
        <v>8517</v>
      </c>
      <c r="C6650" s="6" t="str">
        <f>_xll.QS.CONTEXT.CREATE("market.6648",A6650,"USD","SOFR")</f>
        <v>QSObject:PricingContext:w1~market.6648:7147</v>
      </c>
      <c r="D6650" s="6" t="str">
        <f>_xll.QS.CONTEXT.ADD.CURVE(C6650,"SOFR",$K$2:$K$7,$L$2:$L$7,,,"Actual360","LogLinear",TRUE)</f>
        <v>QSObject:ContextInput:w1~input.qs_context_add_curve.2359132437744.6649.3.0:33798</v>
      </c>
      <c r="E6650" s="6" t="str">
        <f>_xll.QS.INSTRUMENT.SWAP("swap.6648",H6650,B6650,"USD","SOFR",I6650,J6650,0,"Actual360","Simple","Annual","Annual","Annual")</f>
        <v>QSObject:Swap:w1~swap.6648:7146</v>
      </c>
      <c r="F6650" s="6" t="str">
        <f>_xll.QS.TRADE.CREATE("trade.6648",E6650,A6650,"Receive")</f>
        <v>QSObject:SwapTrade:w1~trade.6648:25244</v>
      </c>
      <c r="G6650" s="3">
        <f>_xll.QS.EVALUATE(C6650,F6650)</f>
        <v>59665.0560246819</v>
      </c>
      <c r="H6650" s="5" t="s">
        <v>6690</v>
      </c>
      <c r="I6650" s="7">
        <v>1664800</v>
      </c>
      <c r="J6650" s="8">
        <v>3.9800000000000002E-2</v>
      </c>
    </row>
    <row r="6651" spans="1:10" x14ac:dyDescent="0.25">
      <c r="A6651" s="5" t="s">
        <v>6684</v>
      </c>
      <c r="B6651" s="5" t="s">
        <v>8518</v>
      </c>
      <c r="C6651" s="6" t="str">
        <f>_xll.QS.CONTEXT.CREATE("market.6649",A6651,"USD","SOFR")</f>
        <v>QSObject:PricingContext:w1~market.6649:7145</v>
      </c>
      <c r="D6651" s="6" t="str">
        <f>_xll.QS.CONTEXT.ADD.CURVE(C6651,"SOFR",$K$2:$K$7,$L$2:$L$7,,,"Actual360","LogLinear",TRUE)</f>
        <v>QSObject:ContextInput:w1~input.qs_context_add_curve.2359132437744.6650.3.0:33797</v>
      </c>
      <c r="E6651" s="6" t="str">
        <f>_xll.QS.INSTRUMENT.SWAP("swap.6649",H6651,B6651,"USD","SOFR",I6651,J6651,0,"Actual360","Simple","Annual","Annual","Annual")</f>
        <v>QSObject:Swap:w1~swap.6649:7144</v>
      </c>
      <c r="F6651" s="6" t="str">
        <f>_xll.QS.TRADE.CREATE("trade.6649",E6651,A6651,"Receive")</f>
        <v>QSObject:SwapTrade:w1~trade.6649:25243</v>
      </c>
      <c r="G6651" s="3">
        <f>_xll.QS.EVALUATE(C6651,F6651)</f>
        <v>60340.276527486902</v>
      </c>
      <c r="H6651" s="5" t="s">
        <v>6691</v>
      </c>
      <c r="I6651" s="7">
        <v>1664900</v>
      </c>
      <c r="J6651" s="8">
        <v>3.9899999999999998E-2</v>
      </c>
    </row>
    <row r="6652" spans="1:10" x14ac:dyDescent="0.25">
      <c r="A6652" s="5" t="s">
        <v>6685</v>
      </c>
      <c r="B6652" s="5" t="s">
        <v>8519</v>
      </c>
      <c r="C6652" s="6" t="str">
        <f>_xll.QS.CONTEXT.CREATE("market.6650",A6652,"USD","SOFR")</f>
        <v>QSObject:PricingContext:w1~market.6650:7143</v>
      </c>
      <c r="D6652" s="6" t="str">
        <f>_xll.QS.CONTEXT.ADD.CURVE(C6652,"SOFR",$K$2:$K$7,$L$2:$L$7,,,"Actual360","LogLinear",TRUE)</f>
        <v>QSObject:ContextInput:w1~input.qs_context_add_curve.2359132437744.6651.3.0:33796</v>
      </c>
      <c r="E6652" s="6" t="str">
        <f>_xll.QS.INSTRUMENT.SWAP("swap.6650",H6652,B6652,"USD","SOFR",I6652,J6652,0,"Actual360","Simple","Annual","Annual","Annual")</f>
        <v>QSObject:Swap:w1~swap.6650:7142</v>
      </c>
      <c r="F6652" s="6" t="str">
        <f>_xll.QS.TRADE.CREATE("trade.6650",E6652,A6652,"Receive")</f>
        <v>QSObject:SwapTrade:w1~trade.6650:25242</v>
      </c>
      <c r="G6652" s="3">
        <f>_xll.QS.EVALUATE(C6652,F6652)</f>
        <v>22776.126530782676</v>
      </c>
      <c r="H6652" s="5" t="s">
        <v>6692</v>
      </c>
      <c r="I6652" s="7">
        <v>1665000</v>
      </c>
      <c r="J6652" s="8">
        <v>3.5000000000000003E-2</v>
      </c>
    </row>
    <row r="6653" spans="1:10" x14ac:dyDescent="0.25">
      <c r="A6653" s="5" t="s">
        <v>6686</v>
      </c>
      <c r="B6653" s="5" t="s">
        <v>8520</v>
      </c>
      <c r="C6653" s="6" t="str">
        <f>_xll.QS.CONTEXT.CREATE("market.6651",A6653,"USD","SOFR")</f>
        <v>QSObject:PricingContext:w1~market.6651:7141</v>
      </c>
      <c r="D6653" s="6" t="str">
        <f>_xll.QS.CONTEXT.ADD.CURVE(C6653,"SOFR",$K$2:$K$7,$L$2:$L$7,,,"Actual360","LogLinear",TRUE)</f>
        <v>QSObject:ContextInput:w1~input.qs_context_add_curve.2359132437744.6652.3.0:33795</v>
      </c>
      <c r="E6653" s="6" t="str">
        <f>_xll.QS.INSTRUMENT.SWAP("swap.6651",H6653,B6653,"USD","SOFR",I6653,J6653,0,"Actual360","Simple","Annual","Annual","Annual")</f>
        <v>QSObject:Swap:w1~swap.6651:7140</v>
      </c>
      <c r="F6653" s="6" t="str">
        <f>_xll.QS.TRADE.CREATE("trade.6651",E6653,A6653,"Receive")</f>
        <v>QSObject:SwapTrade:w1~trade.6651:25241</v>
      </c>
      <c r="G6653" s="3">
        <f>_xll.QS.EVALUATE(C6653,F6653)</f>
        <v>23597.871800377601</v>
      </c>
      <c r="H6653" s="5" t="s">
        <v>6693</v>
      </c>
      <c r="I6653" s="7">
        <v>1665100</v>
      </c>
      <c r="J6653" s="8">
        <v>3.5100000000000013E-2</v>
      </c>
    </row>
    <row r="6654" spans="1:10" x14ac:dyDescent="0.25">
      <c r="A6654" s="5" t="s">
        <v>6687</v>
      </c>
      <c r="B6654" s="5" t="s">
        <v>8521</v>
      </c>
      <c r="C6654" s="6" t="str">
        <f>_xll.QS.CONTEXT.CREATE("market.6652",A6654,"USD","SOFR")</f>
        <v>QSObject:PricingContext:w1~market.6652:7139</v>
      </c>
      <c r="D6654" s="6" t="str">
        <f>_xll.QS.CONTEXT.ADD.CURVE(C6654,"SOFR",$K$2:$K$7,$L$2:$L$7,,,"Actual360","LogLinear",TRUE)</f>
        <v>QSObject:ContextInput:w1~input.qs_context_add_curve.2359132437744.6653.3.0:33794</v>
      </c>
      <c r="E6654" s="6" t="str">
        <f>_xll.QS.INSTRUMENT.SWAP("swap.6652",H6654,B6654,"USD","SOFR",I6654,J6654,0,"Actual360","Simple","Annual","Annual","Annual")</f>
        <v>QSObject:Swap:w1~swap.6652:7138</v>
      </c>
      <c r="F6654" s="6" t="str">
        <f>_xll.QS.TRADE.CREATE("trade.6652",E6654,A6654,"Receive")</f>
        <v>QSObject:SwapTrade:w1~trade.6652:25240</v>
      </c>
      <c r="G6654" s="3">
        <f>_xll.QS.EVALUATE(C6654,F6654)</f>
        <v>24565.88048432309</v>
      </c>
      <c r="H6654" s="5" t="s">
        <v>6694</v>
      </c>
      <c r="I6654" s="7">
        <v>1665200</v>
      </c>
      <c r="J6654" s="8">
        <v>3.5200000000000002E-2</v>
      </c>
    </row>
    <row r="6655" spans="1:10" x14ac:dyDescent="0.25">
      <c r="A6655" s="5" t="s">
        <v>6688</v>
      </c>
      <c r="B6655" s="5" t="s">
        <v>8522</v>
      </c>
      <c r="C6655" s="6" t="str">
        <f>_xll.QS.CONTEXT.CREATE("market.6653",A6655,"USD","SOFR")</f>
        <v>QSObject:PricingContext:w1~market.6653:7137</v>
      </c>
      <c r="D6655" s="6" t="str">
        <f>_xll.QS.CONTEXT.ADD.CURVE(C6655,"SOFR",$K$2:$K$7,$L$2:$L$7,,,"Actual360","LogLinear",TRUE)</f>
        <v>QSObject:ContextInput:w1~input.qs_context_add_curve.2359132437744.6654.3.0:33793</v>
      </c>
      <c r="E6655" s="6" t="str">
        <f>_xll.QS.INSTRUMENT.SWAP("swap.6653",H6655,B6655,"USD","SOFR",I6655,J6655,0,"Actual360","Simple","Annual","Annual","Annual")</f>
        <v>QSObject:Swap:w1~swap.6653:7136</v>
      </c>
      <c r="F6655" s="6" t="str">
        <f>_xll.QS.TRADE.CREATE("trade.6653",E6655,A6655,"Receive")</f>
        <v>QSObject:SwapTrade:w1~trade.6653:25239</v>
      </c>
      <c r="G6655" s="3">
        <f>_xll.QS.EVALUATE(C6655,F6655)</f>
        <v>25332.472054740974</v>
      </c>
      <c r="H6655" s="5" t="s">
        <v>6695</v>
      </c>
      <c r="I6655" s="7">
        <v>1665300</v>
      </c>
      <c r="J6655" s="8">
        <v>3.5299999999999998E-2</v>
      </c>
    </row>
    <row r="6656" spans="1:10" x14ac:dyDescent="0.25">
      <c r="A6656" s="5" t="s">
        <v>6689</v>
      </c>
      <c r="B6656" s="5" t="s">
        <v>8523</v>
      </c>
      <c r="C6656" s="6" t="str">
        <f>_xll.QS.CONTEXT.CREATE("market.6654",A6656,"USD","SOFR")</f>
        <v>QSObject:PricingContext:w1~market.6654:7135</v>
      </c>
      <c r="D6656" s="6" t="str">
        <f>_xll.QS.CONTEXT.ADD.CURVE(C6656,"SOFR",$K$2:$K$7,$L$2:$L$7,,,"Actual360","LogLinear",TRUE)</f>
        <v>QSObject:ContextInput:w1~input.qs_context_add_curve.2359132437744.6655.3.0:33792</v>
      </c>
      <c r="E6656" s="6" t="str">
        <f>_xll.QS.INSTRUMENT.SWAP("swap.6654",H6656,B6656,"USD","SOFR",I6656,J6656,0,"Actual360","Simple","Annual","Annual","Annual")</f>
        <v>QSObject:Swap:w1~swap.6654:7134</v>
      </c>
      <c r="F6656" s="6" t="str">
        <f>_xll.QS.TRADE.CREATE("trade.6654",E6656,A6656,"Receive")</f>
        <v>QSObject:SwapTrade:w1~trade.6654:25238</v>
      </c>
      <c r="G6656" s="3">
        <f>_xll.QS.EVALUATE(C6656,F6656)</f>
        <v>26036.027276447276</v>
      </c>
      <c r="H6656" s="5" t="s">
        <v>6696</v>
      </c>
      <c r="I6656" s="7">
        <v>1665400</v>
      </c>
      <c r="J6656" s="8">
        <v>3.5400000000000001E-2</v>
      </c>
    </row>
    <row r="6657" spans="1:10" x14ac:dyDescent="0.25">
      <c r="A6657" s="5" t="s">
        <v>6690</v>
      </c>
      <c r="B6657" s="5" t="s">
        <v>8524</v>
      </c>
      <c r="C6657" s="6" t="str">
        <f>_xll.QS.CONTEXT.CREATE("market.6655",A6657,"USD","SOFR")</f>
        <v>QSObject:PricingContext:w1~market.6655:7133</v>
      </c>
      <c r="D6657" s="6" t="str">
        <f>_xll.QS.CONTEXT.ADD.CURVE(C6657,"SOFR",$K$2:$K$7,$L$2:$L$7,,,"Actual360","LogLinear",TRUE)</f>
        <v>QSObject:ContextInput:w1~input.qs_context_add_curve.2359132437744.6656.3.0:33791</v>
      </c>
      <c r="E6657" s="6" t="str">
        <f>_xll.QS.INSTRUMENT.SWAP("swap.6655",H6657,B6657,"USD","SOFR",I6657,J6657,0,"Actual360","Simple","Annual","Annual","Annual")</f>
        <v>QSObject:Swap:w1~swap.6655:7132</v>
      </c>
      <c r="F6657" s="6" t="str">
        <f>_xll.QS.TRADE.CREATE("trade.6655",E6657,A6657,"Receive")</f>
        <v>QSObject:SwapTrade:w1~trade.6655:25237</v>
      </c>
      <c r="G6657" s="3">
        <f>_xll.QS.EVALUATE(C6657,F6657)</f>
        <v>26753.746339750076</v>
      </c>
      <c r="H6657" s="5" t="s">
        <v>6697</v>
      </c>
      <c r="I6657" s="7">
        <v>1665500</v>
      </c>
      <c r="J6657" s="8">
        <v>3.5499999999999997E-2</v>
      </c>
    </row>
    <row r="6658" spans="1:10" x14ac:dyDescent="0.25">
      <c r="A6658" s="5" t="s">
        <v>6691</v>
      </c>
      <c r="B6658" s="5" t="s">
        <v>8525</v>
      </c>
      <c r="C6658" s="6" t="str">
        <f>_xll.QS.CONTEXT.CREATE("market.6656",A6658,"USD","SOFR")</f>
        <v>QSObject:PricingContext:w1~market.6656:7131</v>
      </c>
      <c r="D6658" s="6" t="str">
        <f>_xll.QS.CONTEXT.ADD.CURVE(C6658,"SOFR",$K$2:$K$7,$L$2:$L$7,,,"Actual360","LogLinear",TRUE)</f>
        <v>QSObject:ContextInput:w1~input.qs_context_add_curve.2359132437744.6657.3.0:33790</v>
      </c>
      <c r="E6658" s="6" t="str">
        <f>_xll.QS.INSTRUMENT.SWAP("swap.6656",H6658,B6658,"USD","SOFR",I6658,J6658,0,"Actual360","Simple","Annual","Annual","Annual")</f>
        <v>QSObject:Swap:w1~swap.6656:7130</v>
      </c>
      <c r="F6658" s="6" t="str">
        <f>_xll.QS.TRADE.CREATE("trade.6656",E6658,A6658,"Receive")</f>
        <v>QSObject:SwapTrade:w1~trade.6656:25236</v>
      </c>
      <c r="G6658" s="3">
        <f>_xll.QS.EVALUATE(C6658,F6658)</f>
        <v>27524.24754638107</v>
      </c>
      <c r="H6658" s="5" t="s">
        <v>6698</v>
      </c>
      <c r="I6658" s="7">
        <v>1665600</v>
      </c>
      <c r="J6658" s="8">
        <v>3.5600000000000007E-2</v>
      </c>
    </row>
    <row r="6659" spans="1:10" x14ac:dyDescent="0.25">
      <c r="A6659" s="5" t="s">
        <v>6692</v>
      </c>
      <c r="B6659" s="5" t="s">
        <v>8526</v>
      </c>
      <c r="C6659" s="6" t="str">
        <f>_xll.QS.CONTEXT.CREATE("market.6657",A6659,"USD","SOFR")</f>
        <v>QSObject:PricingContext:w1~market.6657:7129</v>
      </c>
      <c r="D6659" s="6" t="str">
        <f>_xll.QS.CONTEXT.ADD.CURVE(C6659,"SOFR",$K$2:$K$7,$L$2:$L$7,,,"Actual360","LogLinear",TRUE)</f>
        <v>QSObject:ContextInput:w1~input.qs_context_add_curve.2359132437744.6658.3.0:33789</v>
      </c>
      <c r="E6659" s="6" t="str">
        <f>_xll.QS.INSTRUMENT.SWAP("swap.6657",H6659,B6659,"USD","SOFR",I6659,J6659,0,"Actual360","Simple","Annual","Annual","Annual")</f>
        <v>QSObject:Swap:w1~swap.6657:7128</v>
      </c>
      <c r="F6659" s="6" t="str">
        <f>_xll.QS.TRADE.CREATE("trade.6657",E6659,A6659,"Receive")</f>
        <v>QSObject:SwapTrade:w1~trade.6657:25235</v>
      </c>
      <c r="G6659" s="3">
        <f>_xll.QS.EVALUATE(C6659,F6659)</f>
        <v>28361.928711223183</v>
      </c>
      <c r="H6659" s="5" t="s">
        <v>6699</v>
      </c>
      <c r="I6659" s="7">
        <v>1665700</v>
      </c>
      <c r="J6659" s="8">
        <v>3.5700000000000003E-2</v>
      </c>
    </row>
    <row r="6660" spans="1:10" x14ac:dyDescent="0.25">
      <c r="A6660" s="5" t="s">
        <v>6693</v>
      </c>
      <c r="B6660" s="5" t="s">
        <v>8527</v>
      </c>
      <c r="C6660" s="6" t="str">
        <f>_xll.QS.CONTEXT.CREATE("market.6658",A6660,"USD","SOFR")</f>
        <v>QSObject:PricingContext:w1~market.6658:7127</v>
      </c>
      <c r="D6660" s="6" t="str">
        <f>_xll.QS.CONTEXT.ADD.CURVE(C6660,"SOFR",$K$2:$K$7,$L$2:$L$7,,,"Actual360","LogLinear",TRUE)</f>
        <v>QSObject:ContextInput:w1~input.qs_context_add_curve.2359132437744.6659.3.0:33788</v>
      </c>
      <c r="E6660" s="6" t="str">
        <f>_xll.QS.INSTRUMENT.SWAP("swap.6658",H6660,B6660,"USD","SOFR",I6660,J6660,0,"Actual360","Simple","Annual","Annual","Annual")</f>
        <v>QSObject:Swap:w1~swap.6658:7126</v>
      </c>
      <c r="F6660" s="6" t="str">
        <f>_xll.QS.TRADE.CREATE("trade.6658",E6660,A6660,"Receive")</f>
        <v>QSObject:SwapTrade:w1~trade.6658:25234</v>
      </c>
      <c r="G6660" s="3">
        <f>_xll.QS.EVALUATE(C6660,F6660)</f>
        <v>29168.68363067069</v>
      </c>
      <c r="H6660" s="5" t="s">
        <v>6700</v>
      </c>
      <c r="I6660" s="7">
        <v>1665800</v>
      </c>
      <c r="J6660" s="8">
        <v>3.5800000000000012E-2</v>
      </c>
    </row>
    <row r="6661" spans="1:10" x14ac:dyDescent="0.25">
      <c r="A6661" s="5" t="s">
        <v>6694</v>
      </c>
      <c r="B6661" s="5" t="s">
        <v>8528</v>
      </c>
      <c r="C6661" s="6" t="str">
        <f>_xll.QS.CONTEXT.CREATE("market.6659",A6661,"USD","SOFR")</f>
        <v>QSObject:PricingContext:w1~market.6659:7125</v>
      </c>
      <c r="D6661" s="6" t="str">
        <f>_xll.QS.CONTEXT.ADD.CURVE(C6661,"SOFR",$K$2:$K$7,$L$2:$L$7,,,"Actual360","LogLinear",TRUE)</f>
        <v>QSObject:ContextInput:w1~input.qs_context_add_curve.2359132437744.6660.3.0:33787</v>
      </c>
      <c r="E6661" s="6" t="str">
        <f>_xll.QS.INSTRUMENT.SWAP("swap.6659",H6661,B6661,"USD","SOFR",I6661,J6661,0,"Actual360","Simple","Annual","Annual","Annual")</f>
        <v>QSObject:Swap:w1~swap.6659:7124</v>
      </c>
      <c r="F6661" s="6" t="str">
        <f>_xll.QS.TRADE.CREATE("trade.6659",E6661,A6661,"Receive")</f>
        <v>QSObject:SwapTrade:w1~trade.6659:25233</v>
      </c>
      <c r="G6661" s="3">
        <f>_xll.QS.EVALUATE(C6661,F6661)</f>
        <v>29937.40947542416</v>
      </c>
      <c r="H6661" s="5" t="s">
        <v>6701</v>
      </c>
      <c r="I6661" s="7">
        <v>1665900</v>
      </c>
      <c r="J6661" s="8">
        <v>3.5900000000000001E-2</v>
      </c>
    </row>
    <row r="6662" spans="1:10" x14ac:dyDescent="0.25">
      <c r="A6662" s="5" t="s">
        <v>6695</v>
      </c>
      <c r="B6662" s="5" t="s">
        <v>8529</v>
      </c>
      <c r="C6662" s="6" t="str">
        <f>_xll.QS.CONTEXT.CREATE("market.6660",A6662,"USD","SOFR")</f>
        <v>QSObject:PricingContext:w1~market.6660:7123</v>
      </c>
      <c r="D6662" s="6" t="str">
        <f>_xll.QS.CONTEXT.ADD.CURVE(C6662,"SOFR",$K$2:$K$7,$L$2:$L$7,,,"Actual360","LogLinear",TRUE)</f>
        <v>QSObject:ContextInput:w1~input.qs_context_add_curve.2359132437744.6661.3.0:33786</v>
      </c>
      <c r="E6662" s="6" t="str">
        <f>_xll.QS.INSTRUMENT.SWAP("swap.6660",H6662,B6662,"USD","SOFR",I6662,J6662,0,"Actual360","Simple","Annual","Annual","Annual")</f>
        <v>QSObject:Swap:w1~swap.6660:7122</v>
      </c>
      <c r="F6662" s="6" t="str">
        <f>_xll.QS.TRADE.CREATE("trade.6660",E6662,A6662,"Receive")</f>
        <v>QSObject:SwapTrade:w1~trade.6660:25232</v>
      </c>
      <c r="G6662" s="3">
        <f>_xll.QS.EVALUATE(C6662,F6662)</f>
        <v>30648.397969757913</v>
      </c>
      <c r="H6662" s="5" t="s">
        <v>6702</v>
      </c>
      <c r="I6662" s="7">
        <v>1666000</v>
      </c>
      <c r="J6662" s="8">
        <v>3.5999999999999997E-2</v>
      </c>
    </row>
    <row r="6663" spans="1:10" x14ac:dyDescent="0.25">
      <c r="A6663" s="5" t="s">
        <v>6696</v>
      </c>
      <c r="B6663" s="5" t="s">
        <v>8530</v>
      </c>
      <c r="C6663" s="6" t="str">
        <f>_xll.QS.CONTEXT.CREATE("market.6661",A6663,"USD","SOFR")</f>
        <v>QSObject:PricingContext:w1~market.6661:7121</v>
      </c>
      <c r="D6663" s="6" t="str">
        <f>_xll.QS.CONTEXT.ADD.CURVE(C6663,"SOFR",$K$2:$K$7,$L$2:$L$7,,,"Actual360","LogLinear",TRUE)</f>
        <v>QSObject:ContextInput:w1~input.qs_context_add_curve.2359132437744.6662.3.0:33785</v>
      </c>
      <c r="E6663" s="6" t="str">
        <f>_xll.QS.INSTRUMENT.SWAP("swap.6661",H6663,B6663,"USD","SOFR",I6663,J6663,0,"Actual360","Simple","Annual","Annual","Annual")</f>
        <v>QSObject:Swap:w1~swap.6661:7120</v>
      </c>
      <c r="F6663" s="6" t="str">
        <f>_xll.QS.TRADE.CREATE("trade.6661",E6663,A6663,"Receive")</f>
        <v>QSObject:SwapTrade:w1~trade.6661:25231</v>
      </c>
      <c r="G6663" s="3">
        <f>_xll.QS.EVALUATE(C6663,F6663)</f>
        <v>31424.936416527788</v>
      </c>
      <c r="H6663" s="5" t="s">
        <v>6703</v>
      </c>
      <c r="I6663" s="7">
        <v>1666100</v>
      </c>
      <c r="J6663" s="8">
        <v>3.61E-2</v>
      </c>
    </row>
    <row r="6664" spans="1:10" x14ac:dyDescent="0.25">
      <c r="A6664" s="5" t="s">
        <v>6697</v>
      </c>
      <c r="B6664" s="5" t="s">
        <v>8531</v>
      </c>
      <c r="C6664" s="6" t="str">
        <f>_xll.QS.CONTEXT.CREATE("market.6662",A6664,"USD","SOFR")</f>
        <v>QSObject:PricingContext:w1~market.6662:7119</v>
      </c>
      <c r="D6664" s="6" t="str">
        <f>_xll.QS.CONTEXT.ADD.CURVE(C6664,"SOFR",$K$2:$K$7,$L$2:$L$7,,,"Actual360","LogLinear",TRUE)</f>
        <v>QSObject:ContextInput:w1~input.qs_context_add_curve.2359132437744.6663.3.0:33784</v>
      </c>
      <c r="E6664" s="6" t="str">
        <f>_xll.QS.INSTRUMENT.SWAP("swap.6662",H6664,B6664,"USD","SOFR",I6664,J6664,0,"Actual360","Simple","Annual","Annual","Annual")</f>
        <v>QSObject:Swap:w1~swap.6662:7118</v>
      </c>
      <c r="F6664" s="6" t="str">
        <f>_xll.QS.TRADE.CREATE("trade.6662",E6664,A6664,"Receive")</f>
        <v>QSObject:SwapTrade:w1~trade.6662:25230</v>
      </c>
      <c r="G6664" s="3">
        <f>_xll.QS.EVALUATE(C6664,F6664)</f>
        <v>32087.036202236668</v>
      </c>
      <c r="H6664" s="5" t="s">
        <v>6704</v>
      </c>
      <c r="I6664" s="7">
        <v>1666200</v>
      </c>
      <c r="J6664" s="8">
        <v>3.6200000000000003E-2</v>
      </c>
    </row>
    <row r="6665" spans="1:10" x14ac:dyDescent="0.25">
      <c r="A6665" s="5" t="s">
        <v>6698</v>
      </c>
      <c r="B6665" s="5" t="s">
        <v>8532</v>
      </c>
      <c r="C6665" s="6" t="str">
        <f>_xll.QS.CONTEXT.CREATE("market.6663",A6665,"USD","SOFR")</f>
        <v>QSObject:PricingContext:w1~market.6663:7117</v>
      </c>
      <c r="D6665" s="6" t="str">
        <f>_xll.QS.CONTEXT.ADD.CURVE(C6665,"SOFR",$K$2:$K$7,$L$2:$L$7,,,"Actual360","LogLinear",TRUE)</f>
        <v>QSObject:ContextInput:w1~input.qs_context_add_curve.2359132437744.6664.3.0:33783</v>
      </c>
      <c r="E6665" s="6" t="str">
        <f>_xll.QS.INSTRUMENT.SWAP("swap.6663",H6665,B6665,"USD","SOFR",I6665,J6665,0,"Actual360","Simple","Annual","Annual","Annual")</f>
        <v>QSObject:Swap:w1~swap.6663:7116</v>
      </c>
      <c r="F6665" s="6" t="str">
        <f>_xll.QS.TRADE.CREATE("trade.6663",E6665,A6665,"Receive")</f>
        <v>QSObject:SwapTrade:w1~trade.6663:25229</v>
      </c>
      <c r="G6665" s="3">
        <f>_xll.QS.EVALUATE(C6665,F6665)</f>
        <v>32717.896723591119</v>
      </c>
      <c r="H6665" s="5" t="s">
        <v>6705</v>
      </c>
      <c r="I6665" s="7">
        <v>1666300</v>
      </c>
      <c r="J6665" s="8">
        <v>3.6300000000000013E-2</v>
      </c>
    </row>
    <row r="6666" spans="1:10" x14ac:dyDescent="0.25">
      <c r="A6666" s="5" t="s">
        <v>6699</v>
      </c>
      <c r="B6666" s="5" t="s">
        <v>8533</v>
      </c>
      <c r="C6666" s="6" t="str">
        <f>_xll.QS.CONTEXT.CREATE("market.6664",A6666,"USD","SOFR")</f>
        <v>QSObject:PricingContext:w1~market.6664:7115</v>
      </c>
      <c r="D6666" s="6" t="str">
        <f>_xll.QS.CONTEXT.ADD.CURVE(C6666,"SOFR",$K$2:$K$7,$L$2:$L$7,,,"Actual360","LogLinear",TRUE)</f>
        <v>QSObject:ContextInput:w1~input.qs_context_add_curve.2359132437744.6665.3.0:33782</v>
      </c>
      <c r="E6666" s="6" t="str">
        <f>_xll.QS.INSTRUMENT.SWAP("swap.6664",H6666,B6666,"USD","SOFR",I6666,J6666,0,"Actual360","Simple","Annual","Annual","Annual")</f>
        <v>QSObject:Swap:w1~swap.6664:7114</v>
      </c>
      <c r="F6666" s="6" t="str">
        <f>_xll.QS.TRADE.CREATE("trade.6664",E6666,A6666,"Receive")</f>
        <v>QSObject:SwapTrade:w1~trade.6664:25228</v>
      </c>
      <c r="G6666" s="3">
        <f>_xll.QS.EVALUATE(C6666,F6666)</f>
        <v>33559.451765655394</v>
      </c>
      <c r="H6666" s="5" t="s">
        <v>6706</v>
      </c>
      <c r="I6666" s="7">
        <v>1666400</v>
      </c>
      <c r="J6666" s="8">
        <v>3.6400000000000002E-2</v>
      </c>
    </row>
    <row r="6667" spans="1:10" x14ac:dyDescent="0.25">
      <c r="A6667" s="5" t="s">
        <v>6700</v>
      </c>
      <c r="B6667" s="5" t="s">
        <v>8534</v>
      </c>
      <c r="C6667" s="6" t="str">
        <f>_xll.QS.CONTEXT.CREATE("market.6665",A6667,"USD","SOFR")</f>
        <v>QSObject:PricingContext:w1~market.6665:7113</v>
      </c>
      <c r="D6667" s="6" t="str">
        <f>_xll.QS.CONTEXT.ADD.CURVE(C6667,"SOFR",$K$2:$K$7,$L$2:$L$7,,,"Actual360","LogLinear",TRUE)</f>
        <v>QSObject:ContextInput:w1~input.qs_context_add_curve.2359132437744.6666.3.0:33781</v>
      </c>
      <c r="E6667" s="6" t="str">
        <f>_xll.QS.INSTRUMENT.SWAP("swap.6665",H6667,B6667,"USD","SOFR",I6667,J6667,0,"Actual360","Simple","Annual","Annual","Annual")</f>
        <v>QSObject:Swap:w1~swap.6665:7112</v>
      </c>
      <c r="F6667" s="6" t="str">
        <f>_xll.QS.TRADE.CREATE("trade.6665",E6667,A6667,"Receive")</f>
        <v>QSObject:SwapTrade:w1~trade.6665:25227</v>
      </c>
      <c r="G6667" s="3">
        <f>_xll.QS.EVALUATE(C6667,F6667)</f>
        <v>34376.391059043388</v>
      </c>
      <c r="H6667" s="5" t="s">
        <v>6707</v>
      </c>
      <c r="I6667" s="7">
        <v>1666500</v>
      </c>
      <c r="J6667" s="8">
        <v>3.6499999999999998E-2</v>
      </c>
    </row>
    <row r="6668" spans="1:10" x14ac:dyDescent="0.25">
      <c r="A6668" s="5" t="s">
        <v>6701</v>
      </c>
      <c r="B6668" s="5" t="s">
        <v>8535</v>
      </c>
      <c r="C6668" s="6" t="str">
        <f>_xll.QS.CONTEXT.CREATE("market.6666",A6668,"USD","SOFR")</f>
        <v>QSObject:PricingContext:w1~market.6666:7111</v>
      </c>
      <c r="D6668" s="6" t="str">
        <f>_xll.QS.CONTEXT.ADD.CURVE(C6668,"SOFR",$K$2:$K$7,$L$2:$L$7,,,"Actual360","LogLinear",TRUE)</f>
        <v>QSObject:ContextInput:w1~input.qs_context_add_curve.2359132437744.6667.3.0:33780</v>
      </c>
      <c r="E6668" s="6" t="str">
        <f>_xll.QS.INSTRUMENT.SWAP("swap.6666",H6668,B6668,"USD","SOFR",I6668,J6668,0,"Actual360","Simple","Annual","Annual","Annual")</f>
        <v>QSObject:Swap:w1~swap.6666:7110</v>
      </c>
      <c r="F6668" s="6" t="str">
        <f>_xll.QS.TRADE.CREATE("trade.6666",E6668,A6668,"Receive")</f>
        <v>QSObject:SwapTrade:w1~trade.6666:25226</v>
      </c>
      <c r="G6668" s="3">
        <f>_xll.QS.EVALUATE(C6668,F6668)</f>
        <v>35268.618225371632</v>
      </c>
      <c r="H6668" s="5" t="s">
        <v>6708</v>
      </c>
      <c r="I6668" s="7">
        <v>1666600</v>
      </c>
      <c r="J6668" s="8">
        <v>3.6600000000000001E-2</v>
      </c>
    </row>
    <row r="6669" spans="1:10" x14ac:dyDescent="0.25">
      <c r="A6669" s="5" t="s">
        <v>6702</v>
      </c>
      <c r="B6669" s="5" t="s">
        <v>8536</v>
      </c>
      <c r="C6669" s="6" t="str">
        <f>_xll.QS.CONTEXT.CREATE("market.6667",A6669,"USD","SOFR")</f>
        <v>QSObject:PricingContext:w1~market.6667:7109</v>
      </c>
      <c r="D6669" s="6" t="str">
        <f>_xll.QS.CONTEXT.ADD.CURVE(C6669,"SOFR",$K$2:$K$7,$L$2:$L$7,,,"Actual360","LogLinear",TRUE)</f>
        <v>QSObject:ContextInput:w1~input.qs_context_add_curve.2359132437744.6668.3.0:33779</v>
      </c>
      <c r="E6669" s="6" t="str">
        <f>_xll.QS.INSTRUMENT.SWAP("swap.6667",H6669,B6669,"USD","SOFR",I6669,J6669,0,"Actual360","Simple","Annual","Annual","Annual")</f>
        <v>QSObject:Swap:w1~swap.6667:7108</v>
      </c>
      <c r="F6669" s="6" t="str">
        <f>_xll.QS.TRADE.CREATE("trade.6667",E6669,A6669,"Receive")</f>
        <v>QSObject:SwapTrade:w1~trade.6667:25225</v>
      </c>
      <c r="G6669" s="3">
        <f>_xll.QS.EVALUATE(C6669,F6669)</f>
        <v>36111.750395292845</v>
      </c>
      <c r="H6669" s="5" t="s">
        <v>6709</v>
      </c>
      <c r="I6669" s="7">
        <v>1666700</v>
      </c>
      <c r="J6669" s="8">
        <v>3.6700000000000003E-2</v>
      </c>
    </row>
    <row r="6670" spans="1:10" x14ac:dyDescent="0.25">
      <c r="A6670" s="5" t="s">
        <v>6703</v>
      </c>
      <c r="B6670" s="5" t="s">
        <v>8537</v>
      </c>
      <c r="C6670" s="6" t="str">
        <f>_xll.QS.CONTEXT.CREATE("market.6668",A6670,"USD","SOFR")</f>
        <v>QSObject:PricingContext:w1~market.6668:7107</v>
      </c>
      <c r="D6670" s="6" t="str">
        <f>_xll.QS.CONTEXT.ADD.CURVE(C6670,"SOFR",$K$2:$K$7,$L$2:$L$7,,,"Actual360","LogLinear",TRUE)</f>
        <v>QSObject:ContextInput:w1~input.qs_context_add_curve.2359132437744.6669.3.0:33778</v>
      </c>
      <c r="E6670" s="6" t="str">
        <f>_xll.QS.INSTRUMENT.SWAP("swap.6668",H6670,B6670,"USD","SOFR",I6670,J6670,0,"Actual360","Simple","Annual","Annual","Annual")</f>
        <v>QSObject:Swap:w1~swap.6668:7106</v>
      </c>
      <c r="F6670" s="6" t="str">
        <f>_xll.QS.TRADE.CREATE("trade.6668",E6670,A6670,"Receive")</f>
        <v>QSObject:SwapTrade:w1~trade.6668:25224</v>
      </c>
      <c r="G6670" s="3">
        <f>_xll.QS.EVALUATE(C6670,F6670)</f>
        <v>36820.101723493535</v>
      </c>
      <c r="H6670" s="5" t="s">
        <v>6710</v>
      </c>
      <c r="I6670" s="7">
        <v>1666800</v>
      </c>
      <c r="J6670" s="8">
        <v>3.6800000000000013E-2</v>
      </c>
    </row>
    <row r="6671" spans="1:10" x14ac:dyDescent="0.25">
      <c r="A6671" s="5" t="s">
        <v>6704</v>
      </c>
      <c r="B6671" s="5" t="s">
        <v>8538</v>
      </c>
      <c r="C6671" s="6" t="str">
        <f>_xll.QS.CONTEXT.CREATE("market.6669",A6671,"USD","SOFR")</f>
        <v>QSObject:PricingContext:w1~market.6669:7105</v>
      </c>
      <c r="D6671" s="6" t="str">
        <f>_xll.QS.CONTEXT.ADD.CURVE(C6671,"SOFR",$K$2:$K$7,$L$2:$L$7,,,"Actual360","LogLinear",TRUE)</f>
        <v>QSObject:ContextInput:w1~input.qs_context_add_curve.2359132437744.6670.3.0:33777</v>
      </c>
      <c r="E6671" s="6" t="str">
        <f>_xll.QS.INSTRUMENT.SWAP("swap.6669",H6671,B6671,"USD","SOFR",I6671,J6671,0,"Actual360","Simple","Annual","Annual","Annual")</f>
        <v>QSObject:Swap:w1~swap.6669:7104</v>
      </c>
      <c r="F6671" s="6" t="str">
        <f>_xll.QS.TRADE.CREATE("trade.6669",E6671,A6671,"Receive")</f>
        <v>QSObject:SwapTrade:w1~trade.6669:25223</v>
      </c>
      <c r="G6671" s="3">
        <f>_xll.QS.EVALUATE(C6671,F6671)</f>
        <v>37476.464596630263</v>
      </c>
      <c r="H6671" s="5" t="s">
        <v>6711</v>
      </c>
      <c r="I6671" s="7">
        <v>1666900</v>
      </c>
      <c r="J6671" s="8">
        <v>3.6900000000000002E-2</v>
      </c>
    </row>
    <row r="6672" spans="1:10" x14ac:dyDescent="0.25">
      <c r="A6672" s="5" t="s">
        <v>6705</v>
      </c>
      <c r="B6672" s="5" t="s">
        <v>8539</v>
      </c>
      <c r="C6672" s="6" t="str">
        <f>_xll.QS.CONTEXT.CREATE("market.6670",A6672,"USD","SOFR")</f>
        <v>QSObject:PricingContext:w1~market.6670:7103</v>
      </c>
      <c r="D6672" s="6" t="str">
        <f>_xll.QS.CONTEXT.ADD.CURVE(C6672,"SOFR",$K$2:$K$7,$L$2:$L$7,,,"Actual360","LogLinear",TRUE)</f>
        <v>QSObject:ContextInput:w1~input.qs_context_add_curve.2359132437744.6671.3.0:33776</v>
      </c>
      <c r="E6672" s="6" t="str">
        <f>_xll.QS.INSTRUMENT.SWAP("swap.6670",H6672,B6672,"USD","SOFR",I6672,J6672,0,"Actual360","Simple","Annual","Annual","Annual")</f>
        <v>QSObject:Swap:w1~swap.6670:7102</v>
      </c>
      <c r="F6672" s="6" t="str">
        <f>_xll.QS.TRADE.CREATE("trade.6670",E6672,A6672,"Receive")</f>
        <v>QSObject:SwapTrade:w1~trade.6670:25222</v>
      </c>
      <c r="G6672" s="3">
        <f>_xll.QS.EVALUATE(C6672,F6672)</f>
        <v>38116.643856105205</v>
      </c>
      <c r="H6672" s="5" t="s">
        <v>6712</v>
      </c>
      <c r="I6672" s="7">
        <v>1667000</v>
      </c>
      <c r="J6672" s="8">
        <v>3.7000000000000012E-2</v>
      </c>
    </row>
    <row r="6673" spans="1:10" x14ac:dyDescent="0.25">
      <c r="A6673" s="5" t="s">
        <v>6706</v>
      </c>
      <c r="B6673" s="5" t="s">
        <v>8540</v>
      </c>
      <c r="C6673" s="6" t="str">
        <f>_xll.QS.CONTEXT.CREATE("market.6671",A6673,"USD","SOFR")</f>
        <v>QSObject:PricingContext:w1~market.6671:7101</v>
      </c>
      <c r="D6673" s="6" t="str">
        <f>_xll.QS.CONTEXT.ADD.CURVE(C6673,"SOFR",$K$2:$K$7,$L$2:$L$7,,,"Actual360","LogLinear",TRUE)</f>
        <v>QSObject:ContextInput:w1~input.qs_context_add_curve.2359132437744.6672.3.0:33775</v>
      </c>
      <c r="E6673" s="6" t="str">
        <f>_xll.QS.INSTRUMENT.SWAP("swap.6671",H6673,B6673,"USD","SOFR",I6673,J6673,0,"Actual360","Simple","Annual","Annual","Annual")</f>
        <v>QSObject:Swap:w1~swap.6671:7100</v>
      </c>
      <c r="F6673" s="6" t="str">
        <f>_xll.QS.TRADE.CREATE("trade.6671",E6673,A6673,"Receive")</f>
        <v>QSObject:SwapTrade:w1~trade.6671:25221</v>
      </c>
      <c r="G6673" s="3">
        <f>_xll.QS.EVALUATE(C6673,F6673)</f>
        <v>38956.978949138291</v>
      </c>
      <c r="H6673" s="5" t="s">
        <v>6713</v>
      </c>
      <c r="I6673" s="7">
        <v>1667100</v>
      </c>
      <c r="J6673" s="8">
        <v>3.7100000000000001E-2</v>
      </c>
    </row>
    <row r="6674" spans="1:10" x14ac:dyDescent="0.25">
      <c r="A6674" s="5" t="s">
        <v>6707</v>
      </c>
      <c r="B6674" s="5" t="s">
        <v>8541</v>
      </c>
      <c r="C6674" s="6" t="str">
        <f>_xll.QS.CONTEXT.CREATE("market.6672",A6674,"USD","SOFR")</f>
        <v>QSObject:PricingContext:w1~market.6672:7099</v>
      </c>
      <c r="D6674" s="6" t="str">
        <f>_xll.QS.CONTEXT.ADD.CURVE(C6674,"SOFR",$K$2:$K$7,$L$2:$L$7,,,"Actual360","LogLinear",TRUE)</f>
        <v>QSObject:ContextInput:w1~input.qs_context_add_curve.2359132437744.6673.3.0:33774</v>
      </c>
      <c r="E6674" s="6" t="str">
        <f>_xll.QS.INSTRUMENT.SWAP("swap.6672",H6674,B6674,"USD","SOFR",I6674,J6674,0,"Actual360","Simple","Annual","Annual","Annual")</f>
        <v>QSObject:Swap:w1~swap.6672:7098</v>
      </c>
      <c r="F6674" s="6" t="str">
        <f>_xll.QS.TRADE.CREATE("trade.6672",E6674,A6674,"Receive")</f>
        <v>QSObject:SwapTrade:w1~trade.6672:25220</v>
      </c>
      <c r="G6674" s="3">
        <f>_xll.QS.EVALUATE(C6674,F6674)</f>
        <v>39771.80007912538</v>
      </c>
      <c r="H6674" s="5" t="s">
        <v>6714</v>
      </c>
      <c r="I6674" s="7">
        <v>1667200</v>
      </c>
      <c r="J6674" s="8">
        <v>3.7199999999999997E-2</v>
      </c>
    </row>
    <row r="6675" spans="1:10" x14ac:dyDescent="0.25">
      <c r="A6675" s="5" t="s">
        <v>6708</v>
      </c>
      <c r="B6675" s="5" t="s">
        <v>8542</v>
      </c>
      <c r="C6675" s="6" t="str">
        <f>_xll.QS.CONTEXT.CREATE("market.6673",A6675,"USD","SOFR")</f>
        <v>QSObject:PricingContext:w1~market.6673:7097</v>
      </c>
      <c r="D6675" s="6" t="str">
        <f>_xll.QS.CONTEXT.ADD.CURVE(C6675,"SOFR",$K$2:$K$7,$L$2:$L$7,,,"Actual360","LogLinear",TRUE)</f>
        <v>QSObject:ContextInput:w1~input.qs_context_add_curve.2359132437744.6674.3.0:33773</v>
      </c>
      <c r="E6675" s="6" t="str">
        <f>_xll.QS.INSTRUMENT.SWAP("swap.6673",H6675,B6675,"USD","SOFR",I6675,J6675,0,"Actual360","Simple","Annual","Annual","Annual")</f>
        <v>QSObject:Swap:w1~swap.6673:7096</v>
      </c>
      <c r="F6675" s="6" t="str">
        <f>_xll.QS.TRADE.CREATE("trade.6673",E6675,A6675,"Receive")</f>
        <v>QSObject:SwapTrade:w1~trade.6673:25219</v>
      </c>
      <c r="G6675" s="3">
        <f>_xll.QS.EVALUATE(C6675,F6675)</f>
        <v>40665.427771233713</v>
      </c>
      <c r="H6675" s="5" t="s">
        <v>6715</v>
      </c>
      <c r="I6675" s="7">
        <v>1667300</v>
      </c>
      <c r="J6675" s="8">
        <v>3.73E-2</v>
      </c>
    </row>
    <row r="6676" spans="1:10" x14ac:dyDescent="0.25">
      <c r="A6676" s="5" t="s">
        <v>6709</v>
      </c>
      <c r="B6676" s="5" t="s">
        <v>8543</v>
      </c>
      <c r="C6676" s="6" t="str">
        <f>_xll.QS.CONTEXT.CREATE("market.6674",A6676,"USD","SOFR")</f>
        <v>QSObject:PricingContext:w1~market.6674:7095</v>
      </c>
      <c r="D6676" s="6" t="str">
        <f>_xll.QS.CONTEXT.ADD.CURVE(C6676,"SOFR",$K$2:$K$7,$L$2:$L$7,,,"Actual360","LogLinear",TRUE)</f>
        <v>QSObject:ContextInput:w1~input.qs_context_add_curve.2359132437744.6675.3.0:33772</v>
      </c>
      <c r="E6676" s="6" t="str">
        <f>_xll.QS.INSTRUMENT.SWAP("swap.6674",H6676,B6676,"USD","SOFR",I6676,J6676,0,"Actual360","Simple","Annual","Annual","Annual")</f>
        <v>QSObject:Swap:w1~swap.6674:7094</v>
      </c>
      <c r="F6676" s="6" t="str">
        <f>_xll.QS.TRADE.CREATE("trade.6674",E6676,A6676,"Receive")</f>
        <v>QSObject:SwapTrade:w1~trade.6674:25218</v>
      </c>
      <c r="G6676" s="3">
        <f>_xll.QS.EVALUATE(C6676,F6676)</f>
        <v>41509.614444942345</v>
      </c>
      <c r="H6676" s="5" t="s">
        <v>6716</v>
      </c>
      <c r="I6676" s="7">
        <v>1667400</v>
      </c>
      <c r="J6676" s="8">
        <v>3.7400000000000003E-2</v>
      </c>
    </row>
    <row r="6677" spans="1:10" x14ac:dyDescent="0.25">
      <c r="A6677" s="5" t="s">
        <v>6710</v>
      </c>
      <c r="B6677" s="5" t="s">
        <v>8544</v>
      </c>
      <c r="C6677" s="6" t="str">
        <f>_xll.QS.CONTEXT.CREATE("market.6675",A6677,"USD","SOFR")</f>
        <v>QSObject:PricingContext:w1~market.6675:7093</v>
      </c>
      <c r="D6677" s="6" t="str">
        <f>_xll.QS.CONTEXT.ADD.CURVE(C6677,"SOFR",$K$2:$K$7,$L$2:$L$7,,,"Actual360","LogLinear",TRUE)</f>
        <v>QSObject:ContextInput:w1~input.qs_context_add_curve.2359132437744.6676.3.0:33771</v>
      </c>
      <c r="E6677" s="6" t="str">
        <f>_xll.QS.INSTRUMENT.SWAP("swap.6675",H6677,B6677,"USD","SOFR",I6677,J6677,0,"Actual360","Simple","Annual","Annual","Annual")</f>
        <v>QSObject:Swap:w1~swap.6675:7092</v>
      </c>
      <c r="F6677" s="6" t="str">
        <f>_xll.QS.TRADE.CREATE("trade.6675",E6677,A6677,"Receive")</f>
        <v>QSObject:SwapTrade:w1~trade.6675:25217</v>
      </c>
      <c r="G6677" s="3">
        <f>_xll.QS.EVALUATE(C6677,F6677)</f>
        <v>42216.79752491488</v>
      </c>
      <c r="H6677" s="5" t="s">
        <v>6717</v>
      </c>
      <c r="I6677" s="7">
        <v>1667500</v>
      </c>
      <c r="J6677" s="8">
        <v>3.7500000000000012E-2</v>
      </c>
    </row>
    <row r="6678" spans="1:10" x14ac:dyDescent="0.25">
      <c r="A6678" s="5" t="s">
        <v>6711</v>
      </c>
      <c r="B6678" s="5" t="s">
        <v>8545</v>
      </c>
      <c r="C6678" s="6" t="str">
        <f>_xll.QS.CONTEXT.CREATE("market.6676",A6678,"USD","SOFR")</f>
        <v>QSObject:PricingContext:w1~market.6676:7091</v>
      </c>
      <c r="D6678" s="6" t="str">
        <f>_xll.QS.CONTEXT.ADD.CURVE(C6678,"SOFR",$K$2:$K$7,$L$2:$L$7,,,"Actual360","LogLinear",TRUE)</f>
        <v>QSObject:ContextInput:w1~input.qs_context_add_curve.2359132437744.6677.3.0:33770</v>
      </c>
      <c r="E6678" s="6" t="str">
        <f>_xll.QS.INSTRUMENT.SWAP("swap.6676",H6678,B6678,"USD","SOFR",I6678,J6678,0,"Actual360","Simple","Annual","Annual","Annual")</f>
        <v>QSObject:Swap:w1~swap.6676:7090</v>
      </c>
      <c r="F6678" s="6" t="str">
        <f>_xll.QS.TRADE.CREATE("trade.6676",E6678,A6678,"Receive")</f>
        <v>QSObject:SwapTrade:w1~trade.6676:25216</v>
      </c>
      <c r="G6678" s="3">
        <f>_xll.QS.EVALUATE(C6678,F6678)</f>
        <v>42867.422198453402</v>
      </c>
      <c r="H6678" s="5" t="s">
        <v>6718</v>
      </c>
      <c r="I6678" s="7">
        <v>1667600</v>
      </c>
      <c r="J6678" s="8">
        <v>3.7600000000000001E-2</v>
      </c>
    </row>
    <row r="6679" spans="1:10" x14ac:dyDescent="0.25">
      <c r="A6679" s="5" t="s">
        <v>6712</v>
      </c>
      <c r="B6679" s="5" t="s">
        <v>8546</v>
      </c>
      <c r="C6679" s="6" t="str">
        <f>_xll.QS.CONTEXT.CREATE("market.6677",A6679,"USD","SOFR")</f>
        <v>QSObject:PricingContext:w1~market.6677:7089</v>
      </c>
      <c r="D6679" s="6" t="str">
        <f>_xll.QS.CONTEXT.ADD.CURVE(C6679,"SOFR",$K$2:$K$7,$L$2:$L$7,,,"Actual360","LogLinear",TRUE)</f>
        <v>QSObject:ContextInput:w1~input.qs_context_add_curve.2359132437744.6678.3.0:33769</v>
      </c>
      <c r="E6679" s="6" t="str">
        <f>_xll.QS.INSTRUMENT.SWAP("swap.6677",H6679,B6679,"USD","SOFR",I6679,J6679,0,"Actual360","Simple","Annual","Annual","Annual")</f>
        <v>QSObject:Swap:w1~swap.6677:7088</v>
      </c>
      <c r="F6679" s="6" t="str">
        <f>_xll.QS.TRADE.CREATE("trade.6677",E6679,A6679,"Receive")</f>
        <v>QSObject:SwapTrade:w1~trade.6677:25215</v>
      </c>
      <c r="G6679" s="3">
        <f>_xll.QS.EVALUATE(C6679,F6679)</f>
        <v>43516.529053547987</v>
      </c>
      <c r="H6679" s="5" t="s">
        <v>6719</v>
      </c>
      <c r="I6679" s="7">
        <v>1667700</v>
      </c>
      <c r="J6679" s="8">
        <v>3.7699999999999997E-2</v>
      </c>
    </row>
    <row r="6680" spans="1:10" x14ac:dyDescent="0.25">
      <c r="A6680" s="5" t="s">
        <v>6713</v>
      </c>
      <c r="B6680" s="5" t="s">
        <v>8547</v>
      </c>
      <c r="C6680" s="6" t="str">
        <f>_xll.QS.CONTEXT.CREATE("market.6678",A6680,"USD","SOFR")</f>
        <v>QSObject:PricingContext:w1~market.6678:7087</v>
      </c>
      <c r="D6680" s="6" t="str">
        <f>_xll.QS.CONTEXT.ADD.CURVE(C6680,"SOFR",$K$2:$K$7,$L$2:$L$7,,,"Actual360","LogLinear",TRUE)</f>
        <v>QSObject:ContextInput:w1~input.qs_context_add_curve.2359132437744.6679.3.0:33768</v>
      </c>
      <c r="E6680" s="6" t="str">
        <f>_xll.QS.INSTRUMENT.SWAP("swap.6678",H6680,B6680,"USD","SOFR",I6680,J6680,0,"Actual360","Simple","Annual","Annual","Annual")</f>
        <v>QSObject:Swap:w1~swap.6678:7086</v>
      </c>
      <c r="F6680" s="6" t="str">
        <f>_xll.QS.TRADE.CREATE("trade.6678",E6680,A6680,"Receive")</f>
        <v>QSObject:SwapTrade:w1~trade.6678:25214</v>
      </c>
      <c r="G6680" s="3">
        <f>_xll.QS.EVALUATE(C6680,F6680)</f>
        <v>44358.992464888681</v>
      </c>
      <c r="H6680" s="5" t="s">
        <v>6720</v>
      </c>
      <c r="I6680" s="7">
        <v>1667800</v>
      </c>
      <c r="J6680" s="8">
        <v>3.78E-2</v>
      </c>
    </row>
    <row r="6681" spans="1:10" x14ac:dyDescent="0.25">
      <c r="A6681" s="5" t="s">
        <v>6714</v>
      </c>
      <c r="B6681" s="5" t="s">
        <v>8548</v>
      </c>
      <c r="C6681" s="6" t="str">
        <f>_xll.QS.CONTEXT.CREATE("market.6679",A6681,"USD","SOFR")</f>
        <v>QSObject:PricingContext:w1~market.6679:7085</v>
      </c>
      <c r="D6681" s="6" t="str">
        <f>_xll.QS.CONTEXT.ADD.CURVE(C6681,"SOFR",$K$2:$K$7,$L$2:$L$7,,,"Actual360","LogLinear",TRUE)</f>
        <v>QSObject:ContextInput:w1~input.qs_context_add_curve.2359132437744.6680.3.0:33767</v>
      </c>
      <c r="E6681" s="6" t="str">
        <f>_xll.QS.INSTRUMENT.SWAP("swap.6679",H6681,B6681,"USD","SOFR",I6681,J6681,0,"Actual360","Simple","Annual","Annual","Annual")</f>
        <v>QSObject:Swap:w1~swap.6679:7084</v>
      </c>
      <c r="F6681" s="6" t="str">
        <f>_xll.QS.TRADE.CREATE("trade.6679",E6681,A6681,"Receive")</f>
        <v>QSObject:SwapTrade:w1~trade.6679:25213</v>
      </c>
      <c r="G6681" s="3">
        <f>_xll.QS.EVALUATE(C6681,F6681)</f>
        <v>45172.686962646039</v>
      </c>
      <c r="H6681" s="5" t="s">
        <v>6721</v>
      </c>
      <c r="I6681" s="7">
        <v>1667900</v>
      </c>
      <c r="J6681" s="8">
        <v>3.7900000000000003E-2</v>
      </c>
    </row>
    <row r="6682" spans="1:10" x14ac:dyDescent="0.25">
      <c r="A6682" s="5" t="s">
        <v>6715</v>
      </c>
      <c r="B6682" s="5" t="s">
        <v>8549</v>
      </c>
      <c r="C6682" s="6" t="str">
        <f>_xll.QS.CONTEXT.CREATE("market.6680",A6682,"USD","SOFR")</f>
        <v>QSObject:PricingContext:w1~market.6680:7083</v>
      </c>
      <c r="D6682" s="6" t="str">
        <f>_xll.QS.CONTEXT.ADD.CURVE(C6682,"SOFR",$K$2:$K$7,$L$2:$L$7,,,"Actual360","LogLinear",TRUE)</f>
        <v>QSObject:ContextInput:w1~input.qs_context_add_curve.2359132437744.6681.3.0:33766</v>
      </c>
      <c r="E6682" s="6" t="str">
        <f>_xll.QS.INSTRUMENT.SWAP("swap.6680",H6682,B6682,"USD","SOFR",I6682,J6682,0,"Actual360","Simple","Annual","Annual","Annual")</f>
        <v>QSObject:Swap:w1~swap.6680:7082</v>
      </c>
      <c r="F6682" s="6" t="str">
        <f>_xll.QS.TRADE.CREATE("trade.6680",E6682,A6682,"Receive")</f>
        <v>QSObject:SwapTrade:w1~trade.6680:25212</v>
      </c>
      <c r="G6682" s="3">
        <f>_xll.QS.EVALUATE(C6682,F6682)</f>
        <v>46066.760724251675</v>
      </c>
      <c r="H6682" s="5" t="s">
        <v>6722</v>
      </c>
      <c r="I6682" s="7">
        <v>1668000</v>
      </c>
      <c r="J6682" s="8">
        <v>3.8000000000000013E-2</v>
      </c>
    </row>
    <row r="6683" spans="1:10" x14ac:dyDescent="0.25">
      <c r="A6683" s="5" t="s">
        <v>6716</v>
      </c>
      <c r="B6683" s="5" t="s">
        <v>8550</v>
      </c>
      <c r="C6683" s="6" t="str">
        <f>_xll.QS.CONTEXT.CREATE("market.6681",A6683,"USD","SOFR")</f>
        <v>QSObject:PricingContext:w1~market.6681:7081</v>
      </c>
      <c r="D6683" s="6" t="str">
        <f>_xll.QS.CONTEXT.ADD.CURVE(C6683,"SOFR",$K$2:$K$7,$L$2:$L$7,,,"Actual360","LogLinear",TRUE)</f>
        <v>QSObject:ContextInput:w1~input.qs_context_add_curve.2359132437744.6682.3.0:33765</v>
      </c>
      <c r="E6683" s="6" t="str">
        <f>_xll.QS.INSTRUMENT.SWAP("swap.6681",H6683,B6683,"USD","SOFR",I6683,J6683,0,"Actual360","Simple","Annual","Annual","Annual")</f>
        <v>QSObject:Swap:w1~swap.6681:7080</v>
      </c>
      <c r="F6683" s="6" t="str">
        <f>_xll.QS.TRADE.CREATE("trade.6681",E6683,A6683,"Receive")</f>
        <v>QSObject:SwapTrade:w1~trade.6681:25211</v>
      </c>
      <c r="G6683" s="3">
        <f>_xll.QS.EVALUATE(C6683,F6683)</f>
        <v>46911.682747799867</v>
      </c>
      <c r="H6683" s="5" t="s">
        <v>6723</v>
      </c>
      <c r="I6683" s="7">
        <v>1668100</v>
      </c>
      <c r="J6683" s="8">
        <v>3.8100000000000002E-2</v>
      </c>
    </row>
    <row r="6684" spans="1:10" x14ac:dyDescent="0.25">
      <c r="A6684" s="5" t="s">
        <v>6717</v>
      </c>
      <c r="B6684" s="5" t="s">
        <v>8551</v>
      </c>
      <c r="C6684" s="6" t="str">
        <f>_xll.QS.CONTEXT.CREATE("market.6682",A6684,"USD","SOFR")</f>
        <v>QSObject:PricingContext:w1~market.6682:7079</v>
      </c>
      <c r="D6684" s="6" t="str">
        <f>_xll.QS.CONTEXT.ADD.CURVE(C6684,"SOFR",$K$2:$K$7,$L$2:$L$7,,,"Actual360","LogLinear",TRUE)</f>
        <v>QSObject:ContextInput:w1~input.qs_context_add_curve.2359132437744.6683.3.0:33764</v>
      </c>
      <c r="E6684" s="6" t="str">
        <f>_xll.QS.INSTRUMENT.SWAP("swap.6682",H6684,B6684,"USD","SOFR",I6684,J6684,0,"Actual360","Simple","Annual","Annual","Annual")</f>
        <v>QSObject:Swap:w1~swap.6682:7078</v>
      </c>
      <c r="F6684" s="6" t="str">
        <f>_xll.QS.TRADE.CREATE("trade.6682",E6684,A6684,"Receive")</f>
        <v>QSObject:SwapTrade:w1~trade.6682:25210</v>
      </c>
      <c r="G6684" s="3">
        <f>_xll.QS.EVALUATE(C6684,F6684)</f>
        <v>47619.670277239187</v>
      </c>
      <c r="H6684" s="5" t="s">
        <v>6724</v>
      </c>
      <c r="I6684" s="7">
        <v>1668200</v>
      </c>
      <c r="J6684" s="8">
        <v>3.8199999999999998E-2</v>
      </c>
    </row>
    <row r="6685" spans="1:10" x14ac:dyDescent="0.25">
      <c r="A6685" s="5" t="s">
        <v>6718</v>
      </c>
      <c r="B6685" s="5" t="s">
        <v>8552</v>
      </c>
      <c r="C6685" s="6" t="str">
        <f>_xll.QS.CONTEXT.CREATE("market.6683",A6685,"USD","SOFR")</f>
        <v>QSObject:PricingContext:w1~market.6683:7077</v>
      </c>
      <c r="D6685" s="6" t="str">
        <f>_xll.QS.CONTEXT.ADD.CURVE(C6685,"SOFR",$K$2:$K$7,$L$2:$L$7,,,"Actual360","LogLinear",TRUE)</f>
        <v>QSObject:ContextInput:w1~input.qs_context_add_curve.2359132437744.6684.3.0:33763</v>
      </c>
      <c r="E6685" s="6" t="str">
        <f>_xll.QS.INSTRUMENT.SWAP("swap.6683",H6685,B6685,"USD","SOFR",I6685,J6685,0,"Actual360","Simple","Annual","Annual","Annual")</f>
        <v>QSObject:Swap:w1~swap.6683:7076</v>
      </c>
      <c r="F6685" s="6" t="str">
        <f>_xll.QS.TRADE.CREATE("trade.6683",E6685,A6685,"Receive")</f>
        <v>QSObject:SwapTrade:w1~trade.6683:25209</v>
      </c>
      <c r="G6685" s="3">
        <f>_xll.QS.EVALUATE(C6685,F6685)</f>
        <v>48264.547022197519</v>
      </c>
      <c r="H6685" s="5" t="s">
        <v>6725</v>
      </c>
      <c r="I6685" s="7">
        <v>1668300</v>
      </c>
      <c r="J6685" s="8">
        <v>3.8300000000000001E-2</v>
      </c>
    </row>
    <row r="6686" spans="1:10" x14ac:dyDescent="0.25">
      <c r="A6686" s="5" t="s">
        <v>6719</v>
      </c>
      <c r="B6686" s="5" t="s">
        <v>8553</v>
      </c>
      <c r="C6686" s="6" t="str">
        <f>_xll.QS.CONTEXT.CREATE("market.6684",A6686,"USD","SOFR")</f>
        <v>QSObject:PricingContext:w1~market.6684:7075</v>
      </c>
      <c r="D6686" s="6" t="str">
        <f>_xll.QS.CONTEXT.ADD.CURVE(C6686,"SOFR",$K$2:$K$7,$L$2:$L$7,,,"Actual360","LogLinear",TRUE)</f>
        <v>QSObject:ContextInput:w1~input.qs_context_add_curve.2359132437744.6685.3.0:33762</v>
      </c>
      <c r="E6686" s="6" t="str">
        <f>_xll.QS.INSTRUMENT.SWAP("swap.6684",H6686,B6686,"USD","SOFR",I6686,J6686,0,"Actual360","Simple","Annual","Annual","Annual")</f>
        <v>QSObject:Swap:w1~swap.6684:7074</v>
      </c>
      <c r="F6686" s="6" t="str">
        <f>_xll.QS.TRADE.CREATE("trade.6684",E6686,A6686,"Receive")</f>
        <v>QSObject:SwapTrade:w1~trade.6684:25208</v>
      </c>
      <c r="G6686" s="3">
        <f>_xll.QS.EVALUATE(C6686,F6686)</f>
        <v>48922.593611493336</v>
      </c>
      <c r="H6686" s="5" t="s">
        <v>6726</v>
      </c>
      <c r="I6686" s="7">
        <v>1668400</v>
      </c>
      <c r="J6686" s="8">
        <v>3.8399999999999997E-2</v>
      </c>
    </row>
    <row r="6687" spans="1:10" x14ac:dyDescent="0.25">
      <c r="A6687" s="5" t="s">
        <v>6720</v>
      </c>
      <c r="B6687" s="5" t="s">
        <v>8554</v>
      </c>
      <c r="C6687" s="6" t="str">
        <f>_xll.QS.CONTEXT.CREATE("market.6685",A6687,"USD","SOFR")</f>
        <v>QSObject:PricingContext:w1~market.6685:7073</v>
      </c>
      <c r="D6687" s="6" t="str">
        <f>_xll.QS.CONTEXT.ADD.CURVE(C6687,"SOFR",$K$2:$K$7,$L$2:$L$7,,,"Actual360","LogLinear",TRUE)</f>
        <v>QSObject:ContextInput:w1~input.qs_context_add_curve.2359132437744.6686.3.0:33761</v>
      </c>
      <c r="E6687" s="6" t="str">
        <f>_xll.QS.INSTRUMENT.SWAP("swap.6685",H6687,B6687,"USD","SOFR",I6687,J6687,0,"Actual360","Simple","Annual","Annual","Annual")</f>
        <v>QSObject:Swap:w1~swap.6685:7072</v>
      </c>
      <c r="F6687" s="6" t="str">
        <f>_xll.QS.TRADE.CREATE("trade.6685",E6687,A6687,"Receive")</f>
        <v>QSObject:SwapTrade:w1~trade.6685:25207</v>
      </c>
      <c r="G6687" s="3">
        <f>_xll.QS.EVALUATE(C6687,F6687)</f>
        <v>49766.026666302489</v>
      </c>
      <c r="H6687" s="5" t="s">
        <v>6727</v>
      </c>
      <c r="I6687" s="7">
        <v>1668500</v>
      </c>
      <c r="J6687" s="8">
        <v>3.8500000000000013E-2</v>
      </c>
    </row>
    <row r="6688" spans="1:10" x14ac:dyDescent="0.25">
      <c r="A6688" s="5" t="s">
        <v>6721</v>
      </c>
      <c r="B6688" s="5" t="s">
        <v>8555</v>
      </c>
      <c r="C6688" s="6" t="str">
        <f>_xll.QS.CONTEXT.CREATE("market.6686",A6688,"USD","SOFR")</f>
        <v>QSObject:PricingContext:w1~market.6686:7071</v>
      </c>
      <c r="D6688" s="6" t="str">
        <f>_xll.QS.CONTEXT.ADD.CURVE(C6688,"SOFR",$K$2:$K$7,$L$2:$L$7,,,"Actual360","LogLinear",TRUE)</f>
        <v>QSObject:ContextInput:w1~input.qs_context_add_curve.2359132437744.6687.3.0:33760</v>
      </c>
      <c r="E6688" s="6" t="str">
        <f>_xll.QS.INSTRUMENT.SWAP("swap.6686",H6688,B6688,"USD","SOFR",I6688,J6688,0,"Actual360","Simple","Annual","Annual","Annual")</f>
        <v>QSObject:Swap:w1~swap.6686:7070</v>
      </c>
      <c r="F6688" s="6" t="str">
        <f>_xll.QS.TRADE.CREATE("trade.6686",E6688,A6688,"Receive")</f>
        <v>QSObject:SwapTrade:w1~trade.6686:25206</v>
      </c>
      <c r="G6688" s="3">
        <f>_xll.QS.EVALUATE(C6688,F6688)</f>
        <v>50578.046738416924</v>
      </c>
      <c r="H6688" s="5" t="s">
        <v>6728</v>
      </c>
      <c r="I6688" s="7">
        <v>1668600</v>
      </c>
      <c r="J6688" s="8">
        <v>3.8600000000000002E-2</v>
      </c>
    </row>
    <row r="6689" spans="1:10" x14ac:dyDescent="0.25">
      <c r="A6689" s="5" t="s">
        <v>6722</v>
      </c>
      <c r="B6689" s="5" t="s">
        <v>8556</v>
      </c>
      <c r="C6689" s="6" t="str">
        <f>_xll.QS.CONTEXT.CREATE("market.6687",A6689,"USD","SOFR")</f>
        <v>QSObject:PricingContext:w1~market.6687:7069</v>
      </c>
      <c r="D6689" s="6" t="str">
        <f>_xll.QS.CONTEXT.ADD.CURVE(C6689,"SOFR",$K$2:$K$7,$L$2:$L$7,,,"Actual360","LogLinear",TRUE)</f>
        <v>QSObject:ContextInput:w1~input.qs_context_add_curve.2359132437744.6688.3.0:33759</v>
      </c>
      <c r="E6689" s="6" t="str">
        <f>_xll.QS.INSTRUMENT.SWAP("swap.6687",H6689,B6689,"USD","SOFR",I6689,J6689,0,"Actual360","Simple","Annual","Annual","Annual")</f>
        <v>QSObject:Swap:w1~swap.6687:7068</v>
      </c>
      <c r="F6689" s="6" t="str">
        <f>_xll.QS.TRADE.CREATE("trade.6687",E6689,A6689,"Receive")</f>
        <v>QSObject:SwapTrade:w1~trade.6687:25205</v>
      </c>
      <c r="G6689" s="3">
        <f>_xll.QS.EVALUATE(C6689,F6689)</f>
        <v>51472.855399743072</v>
      </c>
      <c r="H6689" s="5" t="s">
        <v>6729</v>
      </c>
      <c r="I6689" s="7">
        <v>1668700</v>
      </c>
      <c r="J6689" s="8">
        <v>3.8700000000000012E-2</v>
      </c>
    </row>
    <row r="6690" spans="1:10" x14ac:dyDescent="0.25">
      <c r="A6690" s="5" t="s">
        <v>6723</v>
      </c>
      <c r="B6690" s="5" t="s">
        <v>8557</v>
      </c>
      <c r="C6690" s="6" t="str">
        <f>_xll.QS.CONTEXT.CREATE("market.6688",A6690,"USD","SOFR")</f>
        <v>QSObject:PricingContext:w1~market.6688:7067</v>
      </c>
      <c r="D6690" s="6" t="str">
        <f>_xll.QS.CONTEXT.ADD.CURVE(C6690,"SOFR",$K$2:$K$7,$L$2:$L$7,,,"Actual360","LogLinear",TRUE)</f>
        <v>QSObject:ContextInput:w1~input.qs_context_add_curve.2359132437744.6689.3.0:33758</v>
      </c>
      <c r="E6690" s="6" t="str">
        <f>_xll.QS.INSTRUMENT.SWAP("swap.6688",H6690,B6690,"USD","SOFR",I6690,J6690,0,"Actual360","Simple","Annual","Annual","Annual")</f>
        <v>QSObject:Swap:w1~swap.6688:7066</v>
      </c>
      <c r="F6690" s="6" t="str">
        <f>_xll.QS.TRADE.CREATE("trade.6688",E6690,A6690,"Receive")</f>
        <v>QSObject:SwapTrade:w1~trade.6688:25204</v>
      </c>
      <c r="G6690" s="3">
        <f>_xll.QS.EVALUATE(C6690,F6690)</f>
        <v>52318.271027375093</v>
      </c>
      <c r="H6690" s="5" t="s">
        <v>6730</v>
      </c>
      <c r="I6690" s="7">
        <v>1668800</v>
      </c>
      <c r="J6690" s="8">
        <v>3.8800000000000001E-2</v>
      </c>
    </row>
    <row r="6691" spans="1:10" x14ac:dyDescent="0.25">
      <c r="A6691" s="5" t="s">
        <v>6724</v>
      </c>
      <c r="B6691" s="5" t="s">
        <v>8558</v>
      </c>
      <c r="C6691" s="6" t="str">
        <f>_xll.QS.CONTEXT.CREATE("market.6689",A6691,"USD","SOFR")</f>
        <v>QSObject:PricingContext:w1~market.6689:7065</v>
      </c>
      <c r="D6691" s="6" t="str">
        <f>_xll.QS.CONTEXT.ADD.CURVE(C6691,"SOFR",$K$2:$K$7,$L$2:$L$7,,,"Actual360","LogLinear",TRUE)</f>
        <v>QSObject:ContextInput:w1~input.qs_context_add_curve.2359132437744.6690.3.0:33757</v>
      </c>
      <c r="E6691" s="6" t="str">
        <f>_xll.QS.INSTRUMENT.SWAP("swap.6689",H6691,B6691,"USD","SOFR",I6691,J6691,0,"Actual360","Simple","Annual","Annual","Annual")</f>
        <v>QSObject:Swap:w1~swap.6689:7064</v>
      </c>
      <c r="F6691" s="6" t="str">
        <f>_xll.QS.TRADE.CREATE("trade.6689",E6691,A6691,"Receive")</f>
        <v>QSObject:SwapTrade:w1~trade.6689:25203</v>
      </c>
      <c r="G6691" s="3">
        <f>_xll.QS.EVALUATE(C6691,F6691)</f>
        <v>53026.572964443672</v>
      </c>
      <c r="H6691" s="5" t="s">
        <v>6731</v>
      </c>
      <c r="I6691" s="7">
        <v>1668900</v>
      </c>
      <c r="J6691" s="8">
        <v>3.8899999999999997E-2</v>
      </c>
    </row>
    <row r="6692" spans="1:10" x14ac:dyDescent="0.25">
      <c r="A6692" s="5" t="s">
        <v>6725</v>
      </c>
      <c r="B6692" s="5" t="s">
        <v>8559</v>
      </c>
      <c r="C6692" s="6" t="str">
        <f>_xll.QS.CONTEXT.CREATE("market.6690",A6692,"USD","SOFR")</f>
        <v>QSObject:PricingContext:w1~market.6690:7063</v>
      </c>
      <c r="D6692" s="6" t="str">
        <f>_xll.QS.CONTEXT.ADD.CURVE(C6692,"SOFR",$K$2:$K$7,$L$2:$L$7,,,"Actual360","LogLinear",TRUE)</f>
        <v>QSObject:ContextInput:w1~input.qs_context_add_curve.2359132437744.6691.3.0:33756</v>
      </c>
      <c r="E6692" s="6" t="str">
        <f>_xll.QS.INSTRUMENT.SWAP("swap.6690",H6692,B6692,"USD","SOFR",I6692,J6692,0,"Actual360","Simple","Annual","Annual","Annual")</f>
        <v>QSObject:Swap:w1~swap.6690:7062</v>
      </c>
      <c r="F6692" s="6" t="str">
        <f>_xll.QS.TRADE.CREATE("trade.6690",E6692,A6692,"Receive")</f>
        <v>QSObject:SwapTrade:w1~trade.6690:25202</v>
      </c>
      <c r="G6692" s="3">
        <f>_xll.QS.EVALUATE(C6692,F6692)</f>
        <v>53665.696677860084</v>
      </c>
      <c r="H6692" s="5" t="s">
        <v>6732</v>
      </c>
      <c r="I6692" s="7">
        <v>1669000</v>
      </c>
      <c r="J6692" s="8">
        <v>3.9000000000000007E-2</v>
      </c>
    </row>
    <row r="6693" spans="1:10" x14ac:dyDescent="0.25">
      <c r="A6693" s="5" t="s">
        <v>6726</v>
      </c>
      <c r="B6693" s="5" t="s">
        <v>8560</v>
      </c>
      <c r="C6693" s="6" t="str">
        <f>_xll.QS.CONTEXT.CREATE("market.6691",A6693,"USD","SOFR")</f>
        <v>QSObject:PricingContext:w1~market.6691:7061</v>
      </c>
      <c r="D6693" s="6" t="str">
        <f>_xll.QS.CONTEXT.ADD.CURVE(C6693,"SOFR",$K$2:$K$7,$L$2:$L$7,,,"Actual360","LogLinear",TRUE)</f>
        <v>QSObject:ContextInput:w1~input.qs_context_add_curve.2359132437744.6692.3.0:33755</v>
      </c>
      <c r="E6693" s="6" t="str">
        <f>_xll.QS.INSTRUMENT.SWAP("swap.6691",H6693,B6693,"USD","SOFR",I6693,J6693,0,"Actual360","Simple","Annual","Annual","Annual")</f>
        <v>QSObject:Swap:w1~swap.6691:7060</v>
      </c>
      <c r="F6693" s="6" t="str">
        <f>_xll.QS.TRADE.CREATE("trade.6691",E6693,A6693,"Receive")</f>
        <v>QSObject:SwapTrade:w1~trade.6691:25201</v>
      </c>
      <c r="G6693" s="3">
        <f>_xll.QS.EVALUATE(C6693,F6693)</f>
        <v>54332.690994904129</v>
      </c>
      <c r="H6693" s="5" t="s">
        <v>6733</v>
      </c>
      <c r="I6693" s="7">
        <v>1669100</v>
      </c>
      <c r="J6693" s="8">
        <v>3.9100000000000003E-2</v>
      </c>
    </row>
    <row r="6694" spans="1:10" x14ac:dyDescent="0.25">
      <c r="A6694" s="5" t="s">
        <v>6727</v>
      </c>
      <c r="B6694" s="5" t="s">
        <v>8561</v>
      </c>
      <c r="C6694" s="6" t="str">
        <f>_xll.QS.CONTEXT.CREATE("market.6692",A6694,"USD","SOFR")</f>
        <v>QSObject:PricingContext:w1~market.6692:7059</v>
      </c>
      <c r="D6694" s="6" t="str">
        <f>_xll.QS.CONTEXT.ADD.CURVE(C6694,"SOFR",$K$2:$K$7,$L$2:$L$7,,,"Actual360","LogLinear",TRUE)</f>
        <v>QSObject:ContextInput:w1~input.qs_context_add_curve.2359132437744.6693.3.0:33754</v>
      </c>
      <c r="E6694" s="6" t="str">
        <f>_xll.QS.INSTRUMENT.SWAP("swap.6692",H6694,B6694,"USD","SOFR",I6694,J6694,0,"Actual360","Simple","Annual","Annual","Annual")</f>
        <v>QSObject:Swap:w1~swap.6692:7058</v>
      </c>
      <c r="F6694" s="6" t="str">
        <f>_xll.QS.TRADE.CREATE("trade.6692",E6694,A6694,"Receive")</f>
        <v>QSObject:SwapTrade:w1~trade.6692:25200</v>
      </c>
      <c r="G6694" s="3">
        <f>_xll.QS.EVALUATE(C6694,F6694)</f>
        <v>55177.349798516792</v>
      </c>
      <c r="H6694" s="5" t="s">
        <v>6734</v>
      </c>
      <c r="I6694" s="7">
        <v>1669200</v>
      </c>
      <c r="J6694" s="8">
        <v>3.9200000000000013E-2</v>
      </c>
    </row>
    <row r="6695" spans="1:10" x14ac:dyDescent="0.25">
      <c r="A6695" s="5" t="s">
        <v>6728</v>
      </c>
      <c r="B6695" s="5" t="s">
        <v>8562</v>
      </c>
      <c r="C6695" s="6" t="str">
        <f>_xll.QS.CONTEXT.CREATE("market.6693",A6695,"USD","SOFR")</f>
        <v>QSObject:PricingContext:w1~market.6693:7057</v>
      </c>
      <c r="D6695" s="6" t="str">
        <f>_xll.QS.CONTEXT.ADD.CURVE(C6695,"SOFR",$K$2:$K$7,$L$2:$L$7,,,"Actual360","LogLinear",TRUE)</f>
        <v>QSObject:ContextInput:w1~input.qs_context_add_curve.2359132437744.6694.3.0:33753</v>
      </c>
      <c r="E6695" s="6" t="str">
        <f>_xll.QS.INSTRUMENT.SWAP("swap.6693",H6695,B6695,"USD","SOFR",I6695,J6695,0,"Actual360","Simple","Annual","Annual","Annual")</f>
        <v>QSObject:Swap:w1~swap.6693:7056</v>
      </c>
      <c r="F6695" s="6" t="str">
        <f>_xll.QS.TRADE.CREATE("trade.6693",E6695,A6695,"Receive")</f>
        <v>QSObject:SwapTrade:w1~trade.6693:25199</v>
      </c>
      <c r="G6695" s="3">
        <f>_xll.QS.EVALUATE(C6695,F6695)</f>
        <v>55987.639008259161</v>
      </c>
      <c r="H6695" s="5" t="s">
        <v>6735</v>
      </c>
      <c r="I6695" s="7">
        <v>1669300</v>
      </c>
      <c r="J6695" s="8">
        <v>3.9300000000000002E-2</v>
      </c>
    </row>
    <row r="6696" spans="1:10" x14ac:dyDescent="0.25">
      <c r="A6696" s="5" t="s">
        <v>6729</v>
      </c>
      <c r="B6696" s="5" t="s">
        <v>8563</v>
      </c>
      <c r="C6696" s="6" t="str">
        <f>_xll.QS.CONTEXT.CREATE("market.6694",A6696,"USD","SOFR")</f>
        <v>QSObject:PricingContext:w1~market.6694:7055</v>
      </c>
      <c r="D6696" s="6" t="str">
        <f>_xll.QS.CONTEXT.ADD.CURVE(C6696,"SOFR",$K$2:$K$7,$L$2:$L$7,,,"Actual360","LogLinear",TRUE)</f>
        <v>QSObject:ContextInput:w1~input.qs_context_add_curve.2359132437744.6695.3.0:33752</v>
      </c>
      <c r="E6696" s="6" t="str">
        <f>_xll.QS.INSTRUMENT.SWAP("swap.6694",H6696,B6696,"USD","SOFR",I6696,J6696,0,"Actual360","Simple","Annual","Annual","Annual")</f>
        <v>QSObject:Swap:w1~swap.6694:7054</v>
      </c>
      <c r="F6696" s="6" t="str">
        <f>_xll.QS.TRADE.CREATE("trade.6694",E6696,A6696,"Receive")</f>
        <v>QSObject:SwapTrade:w1~trade.6694:25198</v>
      </c>
      <c r="G6696" s="3">
        <f>_xll.QS.EVALUATE(C6696,F6696)</f>
        <v>56882.977307756642</v>
      </c>
      <c r="H6696" s="5" t="s">
        <v>6736</v>
      </c>
      <c r="I6696" s="7">
        <v>1669400</v>
      </c>
      <c r="J6696" s="8">
        <v>3.9399999999999998E-2</v>
      </c>
    </row>
    <row r="6697" spans="1:10" x14ac:dyDescent="0.25">
      <c r="A6697" s="5" t="s">
        <v>6730</v>
      </c>
      <c r="B6697" s="5" t="s">
        <v>8564</v>
      </c>
      <c r="C6697" s="6" t="str">
        <f>_xll.QS.CONTEXT.CREATE("market.6695",A6697,"USD","SOFR")</f>
        <v>QSObject:PricingContext:w1~market.6695:7053</v>
      </c>
      <c r="D6697" s="6" t="str">
        <f>_xll.QS.CONTEXT.ADD.CURVE(C6697,"SOFR",$K$2:$K$7,$L$2:$L$7,,,"Actual360","LogLinear",TRUE)</f>
        <v>QSObject:ContextInput:w1~input.qs_context_add_curve.2359132437744.6696.3.0:33751</v>
      </c>
      <c r="E6697" s="6" t="str">
        <f>_xll.QS.INSTRUMENT.SWAP("swap.6695",H6697,B6697,"USD","SOFR",I6697,J6697,0,"Actual360","Simple","Annual","Annual","Annual")</f>
        <v>QSObject:Swap:w1~swap.6695:7052</v>
      </c>
      <c r="F6697" s="6" t="str">
        <f>_xll.QS.TRADE.CREATE("trade.6695",E6697,A6697,"Receive")</f>
        <v>QSObject:SwapTrade:w1~trade.6695:25197</v>
      </c>
      <c r="G6697" s="3">
        <f>_xll.QS.EVALUATE(C6697,F6697)</f>
        <v>57729.378138122738</v>
      </c>
      <c r="H6697" s="5" t="s">
        <v>6737</v>
      </c>
      <c r="I6697" s="7">
        <v>1669500</v>
      </c>
      <c r="J6697" s="8">
        <v>3.9500000000000007E-2</v>
      </c>
    </row>
    <row r="6698" spans="1:10" x14ac:dyDescent="0.25">
      <c r="A6698" s="5" t="s">
        <v>6731</v>
      </c>
      <c r="B6698" s="5" t="s">
        <v>8565</v>
      </c>
      <c r="C6698" s="6" t="str">
        <f>_xll.QS.CONTEXT.CREATE("market.6696",A6698,"USD","SOFR")</f>
        <v>QSObject:PricingContext:w1~market.6696:7051</v>
      </c>
      <c r="D6698" s="6" t="str">
        <f>_xll.QS.CONTEXT.ADD.CURVE(C6698,"SOFR",$K$2:$K$7,$L$2:$L$7,,,"Actual360","LogLinear",TRUE)</f>
        <v>QSObject:ContextInput:w1~input.qs_context_add_curve.2359132437744.6697.3.0:33750</v>
      </c>
      <c r="E6698" s="6" t="str">
        <f>_xll.QS.INSTRUMENT.SWAP("swap.6696",H6698,B6698,"USD","SOFR",I6698,J6698,0,"Actual360","Simple","Annual","Annual","Annual")</f>
        <v>QSObject:Swap:w1~swap.6696:7050</v>
      </c>
      <c r="F6698" s="6" t="str">
        <f>_xll.QS.TRADE.CREATE("trade.6696",E6698,A6698,"Receive")</f>
        <v>QSObject:SwapTrade:w1~trade.6696:25196</v>
      </c>
      <c r="G6698" s="3">
        <f>_xll.QS.EVALUATE(C6698,F6698)</f>
        <v>58438.242371182314</v>
      </c>
      <c r="H6698" s="5" t="s">
        <v>6738</v>
      </c>
      <c r="I6698" s="7">
        <v>1669600</v>
      </c>
      <c r="J6698" s="8">
        <v>3.9600000000000003E-2</v>
      </c>
    </row>
    <row r="6699" spans="1:10" x14ac:dyDescent="0.25">
      <c r="A6699" s="5" t="s">
        <v>6732</v>
      </c>
      <c r="B6699" s="5" t="s">
        <v>8566</v>
      </c>
      <c r="C6699" s="6" t="str">
        <f>_xll.QS.CONTEXT.CREATE("market.6697",A6699,"USD","SOFR")</f>
        <v>QSObject:PricingContext:w1~market.6697:7049</v>
      </c>
      <c r="D6699" s="6" t="str">
        <f>_xll.QS.CONTEXT.ADD.CURVE(C6699,"SOFR",$K$2:$K$7,$L$2:$L$7,,,"Actual360","LogLinear",TRUE)</f>
        <v>QSObject:ContextInput:w1~input.qs_context_add_curve.2359132437744.6698.3.0:33749</v>
      </c>
      <c r="E6699" s="6" t="str">
        <f>_xll.QS.INSTRUMENT.SWAP("swap.6697",H6699,B6699,"USD","SOFR",I6699,J6699,0,"Actual360","Simple","Annual","Annual","Annual")</f>
        <v>QSObject:Swap:w1~swap.6697:7048</v>
      </c>
      <c r="F6699" s="6" t="str">
        <f>_xll.QS.TRADE.CREATE("trade.6697",E6699,A6699,"Receive")</f>
        <v>QSObject:SwapTrade:w1~trade.6697:25195</v>
      </c>
      <c r="G6699" s="3">
        <f>_xll.QS.EVALUATE(C6699,F6699)</f>
        <v>59071.61056320223</v>
      </c>
      <c r="H6699" s="5" t="s">
        <v>6739</v>
      </c>
      <c r="I6699" s="7">
        <v>1669700</v>
      </c>
      <c r="J6699" s="8">
        <v>3.9700000000000013E-2</v>
      </c>
    </row>
    <row r="6700" spans="1:10" x14ac:dyDescent="0.25">
      <c r="A6700" s="5" t="s">
        <v>6733</v>
      </c>
      <c r="B6700" s="5" t="s">
        <v>8567</v>
      </c>
      <c r="C6700" s="6" t="str">
        <f>_xll.QS.CONTEXT.CREATE("market.6698",A6700,"USD","SOFR")</f>
        <v>QSObject:PricingContext:w1~market.6698:7047</v>
      </c>
      <c r="D6700" s="6" t="str">
        <f>_xll.QS.CONTEXT.ADD.CURVE(C6700,"SOFR",$K$2:$K$7,$L$2:$L$7,,,"Actual360","LogLinear",TRUE)</f>
        <v>QSObject:ContextInput:w1~input.qs_context_add_curve.2359132437744.6699.3.0:33748</v>
      </c>
      <c r="E6700" s="6" t="str">
        <f>_xll.QS.INSTRUMENT.SWAP("swap.6698",H6700,B6700,"USD","SOFR",I6700,J6700,0,"Actual360","Simple","Annual","Annual","Annual")</f>
        <v>QSObject:Swap:w1~swap.6698:7046</v>
      </c>
      <c r="F6700" s="6" t="str">
        <f>_xll.QS.TRADE.CREATE("trade.6698",E6700,A6700,"Receive")</f>
        <v>QSObject:SwapTrade:w1~trade.6698:25194</v>
      </c>
      <c r="G6700" s="3">
        <f>_xll.QS.EVALUATE(C6700,F6700)</f>
        <v>59747.567944529183</v>
      </c>
      <c r="H6700" s="5" t="s">
        <v>6740</v>
      </c>
      <c r="I6700" s="7">
        <v>1669800</v>
      </c>
      <c r="J6700" s="8">
        <v>3.9800000000000002E-2</v>
      </c>
    </row>
    <row r="6701" spans="1:10" x14ac:dyDescent="0.25">
      <c r="A6701" s="5" t="s">
        <v>6734</v>
      </c>
      <c r="B6701" s="5" t="s">
        <v>8568</v>
      </c>
      <c r="C6701" s="6" t="str">
        <f>_xll.QS.CONTEXT.CREATE("market.6699",A6701,"USD","SOFR")</f>
        <v>QSObject:PricingContext:w1~market.6699:7045</v>
      </c>
      <c r="D6701" s="6" t="str">
        <f>_xll.QS.CONTEXT.ADD.CURVE(C6701,"SOFR",$K$2:$K$7,$L$2:$L$7,,,"Actual360","LogLinear",TRUE)</f>
        <v>QSObject:ContextInput:w1~input.qs_context_add_curve.2359132437744.6700.3.0:33747</v>
      </c>
      <c r="E6701" s="6" t="str">
        <f>_xll.QS.INSTRUMENT.SWAP("swap.6699",H6701,B6701,"USD","SOFR",I6701,J6701,0,"Actual360","Simple","Annual","Annual","Annual")</f>
        <v>QSObject:Swap:w1~swap.6699:7044</v>
      </c>
      <c r="F6701" s="6" t="str">
        <f>_xll.QS.TRADE.CREATE("trade.6699",E6701,A6701,"Receive")</f>
        <v>QSObject:SwapTrade:w1~trade.6699:25193</v>
      </c>
      <c r="G6701" s="3">
        <f>_xll.QS.EVALUATE(C6701,F6701)</f>
        <v>60593.635724938416</v>
      </c>
      <c r="H6701" s="5" t="s">
        <v>6741</v>
      </c>
      <c r="I6701" s="7">
        <v>1669900</v>
      </c>
      <c r="J6701" s="8">
        <v>3.9899999999999998E-2</v>
      </c>
    </row>
    <row r="6702" spans="1:10" x14ac:dyDescent="0.25">
      <c r="A6702" s="5" t="s">
        <v>6735</v>
      </c>
      <c r="B6702" s="5" t="s">
        <v>8569</v>
      </c>
      <c r="C6702" s="6" t="str">
        <f>_xll.QS.CONTEXT.CREATE("market.6700",A6702,"USD","SOFR")</f>
        <v>QSObject:PricingContext:w1~market.6700:7043</v>
      </c>
      <c r="D6702" s="6" t="str">
        <f>_xll.QS.CONTEXT.ADD.CURVE(C6702,"SOFR",$K$2:$K$7,$L$2:$L$7,,,"Actual360","LogLinear",TRUE)</f>
        <v>QSObject:ContextInput:w1~input.qs_context_add_curve.2359132437744.6701.3.0:33746</v>
      </c>
      <c r="E6702" s="6" t="str">
        <f>_xll.QS.INSTRUMENT.SWAP("swap.6700",H6702,B6702,"USD","SOFR",I6702,J6702,0,"Actual360","Simple","Annual","Annual","Annual")</f>
        <v>QSObject:Swap:w1~swap.6700:7042</v>
      </c>
      <c r="F6702" s="6" t="str">
        <f>_xll.QS.TRADE.CREATE("trade.6700",E6702,A6702,"Receive")</f>
        <v>QSObject:SwapTrade:w1~trade.6700:25192</v>
      </c>
      <c r="G6702" s="3">
        <f>_xll.QS.EVALUATE(C6702,F6702)</f>
        <v>22897.224298433895</v>
      </c>
      <c r="H6702" s="5" t="s">
        <v>6742</v>
      </c>
      <c r="I6702" s="7">
        <v>1670000</v>
      </c>
      <c r="J6702" s="8">
        <v>3.5000000000000003E-2</v>
      </c>
    </row>
    <row r="6703" spans="1:10" x14ac:dyDescent="0.25">
      <c r="A6703" s="5" t="s">
        <v>6736</v>
      </c>
      <c r="B6703" s="5" t="s">
        <v>8570</v>
      </c>
      <c r="C6703" s="6" t="str">
        <f>_xll.QS.CONTEXT.CREATE("market.6701",A6703,"USD","SOFR")</f>
        <v>QSObject:PricingContext:w1~market.6701:7041</v>
      </c>
      <c r="D6703" s="6" t="str">
        <f>_xll.QS.CONTEXT.ADD.CURVE(C6703,"SOFR",$K$2:$K$7,$L$2:$L$7,,,"Actual360","LogLinear",TRUE)</f>
        <v>QSObject:ContextInput:w1~input.qs_context_add_curve.2359132437744.6702.3.0:33745</v>
      </c>
      <c r="E6703" s="6" t="str">
        <f>_xll.QS.INSTRUMENT.SWAP("swap.6701",H6703,B6703,"USD","SOFR",I6703,J6703,0,"Actual360","Simple","Annual","Annual","Annual")</f>
        <v>QSObject:Swap:w1~swap.6701:7040</v>
      </c>
      <c r="F6703" s="6" t="str">
        <f>_xll.QS.TRADE.CREATE("trade.6701",E6703,A6703,"Receive")</f>
        <v>QSObject:SwapTrade:w1~trade.6701:25191</v>
      </c>
      <c r="G6703" s="3">
        <f>_xll.QS.EVALUATE(C6703,F6703)</f>
        <v>23790.462374479699</v>
      </c>
      <c r="H6703" s="5" t="s">
        <v>6743</v>
      </c>
      <c r="I6703" s="7">
        <v>1670100</v>
      </c>
      <c r="J6703" s="8">
        <v>3.5100000000000013E-2</v>
      </c>
    </row>
    <row r="6704" spans="1:10" x14ac:dyDescent="0.25">
      <c r="A6704" s="5" t="s">
        <v>6737</v>
      </c>
      <c r="B6704" s="5" t="s">
        <v>8571</v>
      </c>
      <c r="C6704" s="6" t="str">
        <f>_xll.QS.CONTEXT.CREATE("market.6702",A6704,"USD","SOFR")</f>
        <v>QSObject:PricingContext:w1~market.6702:7039</v>
      </c>
      <c r="D6704" s="6" t="str">
        <f>_xll.QS.CONTEXT.ADD.CURVE(C6704,"SOFR",$K$2:$K$7,$L$2:$L$7,,,"Actual360","LogLinear",TRUE)</f>
        <v>QSObject:ContextInput:w1~input.qs_context_add_curve.2359132437744.6703.3.0:33744</v>
      </c>
      <c r="E6704" s="6" t="str">
        <f>_xll.QS.INSTRUMENT.SWAP("swap.6702",H6704,B6704,"USD","SOFR",I6704,J6704,0,"Actual360","Simple","Annual","Annual","Annual")</f>
        <v>QSObject:Swap:w1~swap.6702:7038</v>
      </c>
      <c r="F6704" s="6" t="str">
        <f>_xll.QS.TRADE.CREATE("trade.6702",E6704,A6704,"Receive")</f>
        <v>QSObject:SwapTrade:w1~trade.6702:25190</v>
      </c>
      <c r="G6704" s="3">
        <f>_xll.QS.EVALUATE(C6704,F6704)</f>
        <v>24634.853506367639</v>
      </c>
      <c r="H6704" s="5" t="s">
        <v>6744</v>
      </c>
      <c r="I6704" s="7">
        <v>1670200</v>
      </c>
      <c r="J6704" s="8">
        <v>3.5200000000000002E-2</v>
      </c>
    </row>
    <row r="6705" spans="1:10" x14ac:dyDescent="0.25">
      <c r="A6705" s="5" t="s">
        <v>6738</v>
      </c>
      <c r="B6705" s="5" t="s">
        <v>8572</v>
      </c>
      <c r="C6705" s="6" t="str">
        <f>_xll.QS.CONTEXT.CREATE("market.6703",A6705,"USD","SOFR")</f>
        <v>QSObject:PricingContext:w1~market.6703:7037</v>
      </c>
      <c r="D6705" s="6" t="str">
        <f>_xll.QS.CONTEXT.ADD.CURVE(C6705,"SOFR",$K$2:$K$7,$L$2:$L$7,,,"Actual360","LogLinear",TRUE)</f>
        <v>QSObject:ContextInput:w1~input.qs_context_add_curve.2359132437744.6704.3.0:33743</v>
      </c>
      <c r="E6705" s="6" t="str">
        <f>_xll.QS.INSTRUMENT.SWAP("swap.6703",H6705,B6705,"USD","SOFR",I6705,J6705,0,"Actual360","Simple","Annual","Annual","Annual")</f>
        <v>QSObject:Swap:w1~swap.6703:7036</v>
      </c>
      <c r="F6705" s="6" t="str">
        <f>_xll.QS.TRADE.CREATE("trade.6703",E6705,A6705,"Receive")</f>
        <v>QSObject:SwapTrade:w1~trade.6703:25189</v>
      </c>
      <c r="G6705" s="3">
        <f>_xll.QS.EVALUATE(C6705,F6705)</f>
        <v>25342.388479368754</v>
      </c>
      <c r="H6705" s="5" t="s">
        <v>6745</v>
      </c>
      <c r="I6705" s="7">
        <v>1670300</v>
      </c>
      <c r="J6705" s="8">
        <v>3.5299999999999998E-2</v>
      </c>
    </row>
    <row r="6706" spans="1:10" x14ac:dyDescent="0.25">
      <c r="A6706" s="5" t="s">
        <v>6739</v>
      </c>
      <c r="B6706" s="5" t="s">
        <v>8573</v>
      </c>
      <c r="C6706" s="6" t="str">
        <f>_xll.QS.CONTEXT.CREATE("market.6704",A6706,"USD","SOFR")</f>
        <v>QSObject:PricingContext:w1~market.6704:7035</v>
      </c>
      <c r="D6706" s="6" t="str">
        <f>_xll.QS.CONTEXT.ADD.CURVE(C6706,"SOFR",$K$2:$K$7,$L$2:$L$7,,,"Actual360","LogLinear",TRUE)</f>
        <v>QSObject:ContextInput:w1~input.qs_context_add_curve.2359132437744.6705.3.0:33742</v>
      </c>
      <c r="E6706" s="6" t="str">
        <f>_xll.QS.INSTRUMENT.SWAP("swap.6704",H6706,B6706,"USD","SOFR",I6706,J6706,0,"Actual360","Simple","Annual","Annual","Annual")</f>
        <v>QSObject:Swap:w1~swap.6704:7034</v>
      </c>
      <c r="F6706" s="6" t="str">
        <f>_xll.QS.TRADE.CREATE("trade.6704",E6706,A6706,"Receive")</f>
        <v>QSObject:SwapTrade:w1~trade.6704:25188</v>
      </c>
      <c r="G6706" s="3">
        <f>_xll.QS.EVALUATE(C6706,F6706)</f>
        <v>26013.042925074886</v>
      </c>
      <c r="H6706" s="5" t="s">
        <v>6746</v>
      </c>
      <c r="I6706" s="7">
        <v>1670400</v>
      </c>
      <c r="J6706" s="8">
        <v>3.5400000000000001E-2</v>
      </c>
    </row>
    <row r="6707" spans="1:10" x14ac:dyDescent="0.25">
      <c r="A6707" s="5" t="s">
        <v>6740</v>
      </c>
      <c r="B6707" s="5" t="s">
        <v>8574</v>
      </c>
      <c r="C6707" s="6" t="str">
        <f>_xll.QS.CONTEXT.CREATE("market.6705",A6707,"USD","SOFR")</f>
        <v>QSObject:PricingContext:w1~market.6705:7033</v>
      </c>
      <c r="D6707" s="6" t="str">
        <f>_xll.QS.CONTEXT.ADD.CURVE(C6707,"SOFR",$K$2:$K$7,$L$2:$L$7,,,"Actual360","LogLinear",TRUE)</f>
        <v>QSObject:ContextInput:w1~input.qs_context_add_curve.2359132437744.6706.3.0:33741</v>
      </c>
      <c r="E6707" s="6" t="str">
        <f>_xll.QS.INSTRUMENT.SWAP("swap.6705",H6707,B6707,"USD","SOFR",I6707,J6707,0,"Actual360","Simple","Annual","Annual","Annual")</f>
        <v>QSObject:Swap:w1~swap.6705:7032</v>
      </c>
      <c r="F6707" s="6" t="str">
        <f>_xll.QS.TRADE.CREATE("trade.6705",E6707,A6707,"Receive")</f>
        <v>QSObject:SwapTrade:w1~trade.6705:25187</v>
      </c>
      <c r="G6707" s="3">
        <f>_xll.QS.EVALUATE(C6707,F6707)</f>
        <v>26635.948054660694</v>
      </c>
      <c r="H6707" s="5" t="s">
        <v>6747</v>
      </c>
      <c r="I6707" s="7">
        <v>1670500</v>
      </c>
      <c r="J6707" s="8">
        <v>3.5499999999999997E-2</v>
      </c>
    </row>
    <row r="6708" spans="1:10" x14ac:dyDescent="0.25">
      <c r="A6708" s="5" t="s">
        <v>6741</v>
      </c>
      <c r="B6708" s="5" t="s">
        <v>8575</v>
      </c>
      <c r="C6708" s="6" t="str">
        <f>_xll.QS.CONTEXT.CREATE("market.6706",A6708,"USD","SOFR")</f>
        <v>QSObject:PricingContext:w1~market.6706:7031</v>
      </c>
      <c r="D6708" s="6" t="str">
        <f>_xll.QS.CONTEXT.ADD.CURVE(C6708,"SOFR",$K$2:$K$7,$L$2:$L$7,,,"Actual360","LogLinear",TRUE)</f>
        <v>QSObject:ContextInput:w1~input.qs_context_add_curve.2359132437744.6707.3.0:33740</v>
      </c>
      <c r="E6708" s="6" t="str">
        <f>_xll.QS.INSTRUMENT.SWAP("swap.6706",H6708,B6708,"USD","SOFR",I6708,J6708,0,"Actual360","Simple","Annual","Annual","Annual")</f>
        <v>QSObject:Swap:w1~swap.6706:7030</v>
      </c>
      <c r="F6708" s="6" t="str">
        <f>_xll.QS.TRADE.CREATE("trade.6706",E6708,A6708,"Receive")</f>
        <v>QSObject:SwapTrade:w1~trade.6706:25186</v>
      </c>
      <c r="G6708" s="3">
        <f>_xll.QS.EVALUATE(C6708,F6708)</f>
        <v>27477.176412829278</v>
      </c>
      <c r="H6708" s="5" t="s">
        <v>6748</v>
      </c>
      <c r="I6708" s="7">
        <v>1670600</v>
      </c>
      <c r="J6708" s="8">
        <v>3.5600000000000007E-2</v>
      </c>
    </row>
    <row r="6709" spans="1:10" x14ac:dyDescent="0.25">
      <c r="A6709" s="5" t="s">
        <v>6742</v>
      </c>
      <c r="B6709" s="5" t="s">
        <v>8576</v>
      </c>
      <c r="C6709" s="6" t="str">
        <f>_xll.QS.CONTEXT.CREATE("market.6707",A6709,"USD","SOFR")</f>
        <v>QSObject:PricingContext:w1~market.6707:7029</v>
      </c>
      <c r="D6709" s="6" t="str">
        <f>_xll.QS.CONTEXT.ADD.CURVE(C6709,"SOFR",$K$2:$K$7,$L$2:$L$7,,,"Actual360","LogLinear",TRUE)</f>
        <v>QSObject:ContextInput:w1~input.qs_context_add_curve.2359132437744.6708.3.0:33739</v>
      </c>
      <c r="E6709" s="6" t="str">
        <f>_xll.QS.INSTRUMENT.SWAP("swap.6707",H6709,B6709,"USD","SOFR",I6709,J6709,0,"Actual360","Simple","Annual","Annual","Annual")</f>
        <v>QSObject:Swap:w1~swap.6707:7028</v>
      </c>
      <c r="F6709" s="6" t="str">
        <f>_xll.QS.TRADE.CREATE("trade.6707",E6709,A6709,"Receive")</f>
        <v>QSObject:SwapTrade:w1~trade.6707:25185</v>
      </c>
      <c r="G6709" s="3">
        <f>_xll.QS.EVALUATE(C6709,F6709)</f>
        <v>28299.715134724989</v>
      </c>
      <c r="H6709" s="5" t="s">
        <v>6749</v>
      </c>
      <c r="I6709" s="7">
        <v>1670700</v>
      </c>
      <c r="J6709" s="8">
        <v>3.5700000000000003E-2</v>
      </c>
    </row>
    <row r="6710" spans="1:10" x14ac:dyDescent="0.25">
      <c r="A6710" s="5" t="s">
        <v>6743</v>
      </c>
      <c r="B6710" s="5" t="s">
        <v>8577</v>
      </c>
      <c r="C6710" s="6" t="str">
        <f>_xll.QS.CONTEXT.CREATE("market.6708",A6710,"USD","SOFR")</f>
        <v>QSObject:PricingContext:w1~market.6708:7027</v>
      </c>
      <c r="D6710" s="6" t="str">
        <f>_xll.QS.CONTEXT.ADD.CURVE(C6710,"SOFR",$K$2:$K$7,$L$2:$L$7,,,"Actual360","LogLinear",TRUE)</f>
        <v>QSObject:ContextInput:w1~input.qs_context_add_curve.2359132437744.6709.3.0:33738</v>
      </c>
      <c r="E6710" s="6" t="str">
        <f>_xll.QS.INSTRUMENT.SWAP("swap.6708",H6710,B6710,"USD","SOFR",I6710,J6710,0,"Actual360","Simple","Annual","Annual","Annual")</f>
        <v>QSObject:Swap:w1~swap.6708:7026</v>
      </c>
      <c r="F6710" s="6" t="str">
        <f>_xll.QS.TRADE.CREATE("trade.6708",E6710,A6710,"Receive")</f>
        <v>QSObject:SwapTrade:w1~trade.6708:25184</v>
      </c>
      <c r="G6710" s="3">
        <f>_xll.QS.EVALUATE(C6710,F6710)</f>
        <v>29193.729842197099</v>
      </c>
      <c r="H6710" s="5" t="s">
        <v>6750</v>
      </c>
      <c r="I6710" s="7">
        <v>1670800</v>
      </c>
      <c r="J6710" s="8">
        <v>3.5800000000000012E-2</v>
      </c>
    </row>
    <row r="6711" spans="1:10" x14ac:dyDescent="0.25">
      <c r="A6711" s="5" t="s">
        <v>6744</v>
      </c>
      <c r="B6711" s="5" t="s">
        <v>8578</v>
      </c>
      <c r="C6711" s="6" t="str">
        <f>_xll.QS.CONTEXT.CREATE("market.6709",A6711,"USD","SOFR")</f>
        <v>QSObject:PricingContext:w1~market.6709:7025</v>
      </c>
      <c r="D6711" s="6" t="str">
        <f>_xll.QS.CONTEXT.ADD.CURVE(C6711,"SOFR",$K$2:$K$7,$L$2:$L$7,,,"Actual360","LogLinear",TRUE)</f>
        <v>QSObject:ContextInput:w1~input.qs_context_add_curve.2359132437744.6710.3.0:33737</v>
      </c>
      <c r="E6711" s="6" t="str">
        <f>_xll.QS.INSTRUMENT.SWAP("swap.6709",H6711,B6711,"USD","SOFR",I6711,J6711,0,"Actual360","Simple","Annual","Annual","Annual")</f>
        <v>QSObject:Swap:w1~swap.6709:7024</v>
      </c>
      <c r="F6711" s="6" t="str">
        <f>_xll.QS.TRADE.CREATE("trade.6709",E6711,A6711,"Receive")</f>
        <v>QSObject:SwapTrade:w1~trade.6709:25183</v>
      </c>
      <c r="G6711" s="3">
        <f>_xll.QS.EVALUATE(C6711,F6711)</f>
        <v>30038.858996653733</v>
      </c>
      <c r="H6711" s="5" t="s">
        <v>6751</v>
      </c>
      <c r="I6711" s="7">
        <v>1670900</v>
      </c>
      <c r="J6711" s="8">
        <v>3.5900000000000001E-2</v>
      </c>
    </row>
    <row r="6712" spans="1:10" x14ac:dyDescent="0.25">
      <c r="A6712" s="5" t="s">
        <v>6745</v>
      </c>
      <c r="B6712" s="5" t="s">
        <v>8579</v>
      </c>
      <c r="C6712" s="6" t="str">
        <f>_xll.QS.CONTEXT.CREATE("market.6710",A6712,"USD","SOFR")</f>
        <v>QSObject:PricingContext:w1~market.6710:7023</v>
      </c>
      <c r="D6712" s="6" t="str">
        <f>_xll.QS.CONTEXT.ADD.CURVE(C6712,"SOFR",$K$2:$K$7,$L$2:$L$7,,,"Actual360","LogLinear",TRUE)</f>
        <v>QSObject:ContextInput:w1~input.qs_context_add_curve.2359132437744.6711.3.0:33736</v>
      </c>
      <c r="E6712" s="6" t="str">
        <f>_xll.QS.INSTRUMENT.SWAP("swap.6710",H6712,B6712,"USD","SOFR",I6712,J6712,0,"Actual360","Simple","Annual","Annual","Annual")</f>
        <v>QSObject:Swap:w1~swap.6710:7022</v>
      </c>
      <c r="F6712" s="6" t="str">
        <f>_xll.QS.TRADE.CREATE("trade.6710",E6712,A6712,"Receive")</f>
        <v>QSObject:SwapTrade:w1~trade.6710:25182</v>
      </c>
      <c r="G6712" s="3">
        <f>_xll.QS.EVALUATE(C6712,F6712)</f>
        <v>30746.809688664267</v>
      </c>
      <c r="H6712" s="5" t="s">
        <v>6752</v>
      </c>
      <c r="I6712" s="7">
        <v>1671000</v>
      </c>
      <c r="J6712" s="8">
        <v>3.5999999999999997E-2</v>
      </c>
    </row>
    <row r="6713" spans="1:10" x14ac:dyDescent="0.25">
      <c r="A6713" s="5" t="s">
        <v>6746</v>
      </c>
      <c r="B6713" s="5" t="s">
        <v>8580</v>
      </c>
      <c r="C6713" s="6" t="str">
        <f>_xll.QS.CONTEXT.CREATE("market.6711",A6713,"USD","SOFR")</f>
        <v>QSObject:PricingContext:w1~market.6711:7021</v>
      </c>
      <c r="D6713" s="6" t="str">
        <f>_xll.QS.CONTEXT.ADD.CURVE(C6713,"SOFR",$K$2:$K$7,$L$2:$L$7,,,"Actual360","LogLinear",TRUE)</f>
        <v>QSObject:ContextInput:w1~input.qs_context_add_curve.2359132437744.6712.3.0:33735</v>
      </c>
      <c r="E6713" s="6" t="str">
        <f>_xll.QS.INSTRUMENT.SWAP("swap.6711",H6713,B6713,"USD","SOFR",I6713,J6713,0,"Actual360","Simple","Annual","Annual","Annual")</f>
        <v>QSObject:Swap:w1~swap.6711:7020</v>
      </c>
      <c r="F6713" s="6" t="str">
        <f>_xll.QS.TRADE.CREATE("trade.6711",E6713,A6713,"Receive")</f>
        <v>QSObject:SwapTrade:w1~trade.6711:25181</v>
      </c>
      <c r="G6713" s="3">
        <f>_xll.QS.EVALUATE(C6713,F6713)</f>
        <v>31390.989385468289</v>
      </c>
      <c r="H6713" s="5" t="s">
        <v>6753</v>
      </c>
      <c r="I6713" s="7">
        <v>1671100</v>
      </c>
      <c r="J6713" s="8">
        <v>3.61E-2</v>
      </c>
    </row>
    <row r="6714" spans="1:10" x14ac:dyDescent="0.25">
      <c r="A6714" s="5" t="s">
        <v>6747</v>
      </c>
      <c r="B6714" s="5" t="s">
        <v>8581</v>
      </c>
      <c r="C6714" s="6" t="str">
        <f>_xll.QS.CONTEXT.CREATE("market.6712",A6714,"USD","SOFR")</f>
        <v>QSObject:PricingContext:w1~market.6712:7019</v>
      </c>
      <c r="D6714" s="6" t="str">
        <f>_xll.QS.CONTEXT.ADD.CURVE(C6714,"SOFR",$K$2:$K$7,$L$2:$L$7,,,"Actual360","LogLinear",TRUE)</f>
        <v>QSObject:ContextInput:w1~input.qs_context_add_curve.2359132437744.6713.3.0:33734</v>
      </c>
      <c r="E6714" s="6" t="str">
        <f>_xll.QS.INSTRUMENT.SWAP("swap.6712",H6714,B6714,"USD","SOFR",I6714,J6714,0,"Actual360","Simple","Annual","Annual","Annual")</f>
        <v>QSObject:Swap:w1~swap.6712:7018</v>
      </c>
      <c r="F6714" s="6" t="str">
        <f>_xll.QS.TRADE.CREATE("trade.6712",E6714,A6714,"Receive")</f>
        <v>QSObject:SwapTrade:w1~trade.6712:25180</v>
      </c>
      <c r="G6714" s="3">
        <f>_xll.QS.EVALUATE(C6714,F6714)</f>
        <v>31974.947642706742</v>
      </c>
      <c r="H6714" s="5" t="s">
        <v>6754</v>
      </c>
      <c r="I6714" s="7">
        <v>1671200</v>
      </c>
      <c r="J6714" s="8">
        <v>3.6200000000000003E-2</v>
      </c>
    </row>
    <row r="6715" spans="1:10" x14ac:dyDescent="0.25">
      <c r="A6715" s="5" t="s">
        <v>6748</v>
      </c>
      <c r="B6715" s="5" t="s">
        <v>8582</v>
      </c>
      <c r="C6715" s="6" t="str">
        <f>_xll.QS.CONTEXT.CREATE("market.6713",A6715,"USD","SOFR")</f>
        <v>QSObject:PricingContext:w1~market.6713:7017</v>
      </c>
      <c r="D6715" s="6" t="str">
        <f>_xll.QS.CONTEXT.ADD.CURVE(C6715,"SOFR",$K$2:$K$7,$L$2:$L$7,,,"Actual360","LogLinear",TRUE)</f>
        <v>QSObject:ContextInput:w1~input.qs_context_add_curve.2359132437744.6714.3.0:33733</v>
      </c>
      <c r="E6715" s="6" t="str">
        <f>_xll.QS.INSTRUMENT.SWAP("swap.6713",H6715,B6715,"USD","SOFR",I6715,J6715,0,"Actual360","Simple","Annual","Annual","Annual")</f>
        <v>QSObject:Swap:w1~swap.6713:7016</v>
      </c>
      <c r="F6715" s="6" t="str">
        <f>_xll.QS.TRADE.CREATE("trade.6713",E6715,A6715,"Receive")</f>
        <v>QSObject:SwapTrade:w1~trade.6713:25179</v>
      </c>
      <c r="G6715" s="3">
        <f>_xll.QS.EVALUATE(C6715,F6715)</f>
        <v>32817.778569301001</v>
      </c>
      <c r="H6715" s="5" t="s">
        <v>6755</v>
      </c>
      <c r="I6715" s="7">
        <v>1671300</v>
      </c>
      <c r="J6715" s="8">
        <v>3.6300000000000013E-2</v>
      </c>
    </row>
    <row r="6716" spans="1:10" x14ac:dyDescent="0.25">
      <c r="A6716" s="5" t="s">
        <v>6749</v>
      </c>
      <c r="B6716" s="5" t="s">
        <v>8583</v>
      </c>
      <c r="C6716" s="6" t="str">
        <f>_xll.QS.CONTEXT.CREATE("market.6714",A6716,"USD","SOFR")</f>
        <v>QSObject:PricingContext:w1~market.6714:7015</v>
      </c>
      <c r="D6716" s="6" t="str">
        <f>_xll.QS.CONTEXT.ADD.CURVE(C6716,"SOFR",$K$2:$K$7,$L$2:$L$7,,,"Actual360","LogLinear",TRUE)</f>
        <v>QSObject:ContextInput:w1~input.qs_context_add_curve.2359132437744.6715.3.0:33732</v>
      </c>
      <c r="E6716" s="6" t="str">
        <f>_xll.QS.INSTRUMENT.SWAP("swap.6714",H6716,B6716,"USD","SOFR",I6716,J6716,0,"Actual360","Simple","Annual","Annual","Annual")</f>
        <v>QSObject:Swap:w1~swap.6714:7014</v>
      </c>
      <c r="F6716" s="6" t="str">
        <f>_xll.QS.TRADE.CREATE("trade.6714",E6716,A6716,"Receive")</f>
        <v>QSObject:SwapTrade:w1~trade.6714:25178</v>
      </c>
      <c r="G6716" s="3">
        <f>_xll.QS.EVALUATE(C6716,F6716)</f>
        <v>33660.41434351301</v>
      </c>
      <c r="H6716" s="5" t="s">
        <v>6756</v>
      </c>
      <c r="I6716" s="7">
        <v>1671400</v>
      </c>
      <c r="J6716" s="8">
        <v>3.6400000000000002E-2</v>
      </c>
    </row>
    <row r="6717" spans="1:10" x14ac:dyDescent="0.25">
      <c r="A6717" s="5" t="s">
        <v>6750</v>
      </c>
      <c r="B6717" s="5" t="s">
        <v>8584</v>
      </c>
      <c r="C6717" s="6" t="str">
        <f>_xll.QS.CONTEXT.CREATE("market.6715",A6717,"USD","SOFR")</f>
        <v>QSObject:PricingContext:w1~market.6715:7013</v>
      </c>
      <c r="D6717" s="6" t="str">
        <f>_xll.QS.CONTEXT.ADD.CURVE(C6717,"SOFR",$K$2:$K$7,$L$2:$L$7,,,"Actual360","LogLinear",TRUE)</f>
        <v>QSObject:ContextInput:w1~input.qs_context_add_curve.2359132437744.6716.3.0:33731</v>
      </c>
      <c r="E6717" s="6" t="str">
        <f>_xll.QS.INSTRUMENT.SWAP("swap.6715",H6717,B6717,"USD","SOFR",I6717,J6717,0,"Actual360","Simple","Annual","Annual","Annual")</f>
        <v>QSObject:Swap:w1~swap.6715:7012</v>
      </c>
      <c r="F6717" s="6" t="str">
        <f>_xll.QS.TRADE.CREATE("trade.6715",E6717,A6717,"Receive")</f>
        <v>QSObject:SwapTrade:w1~trade.6715:25177</v>
      </c>
      <c r="G6717" s="3">
        <f>_xll.QS.EVALUATE(C6717,F6717)</f>
        <v>34663.071380696529</v>
      </c>
      <c r="H6717" s="5" t="s">
        <v>6757</v>
      </c>
      <c r="I6717" s="7">
        <v>1671500</v>
      </c>
      <c r="J6717" s="8">
        <v>3.6499999999999998E-2</v>
      </c>
    </row>
    <row r="6718" spans="1:10" x14ac:dyDescent="0.25">
      <c r="A6718" s="5" t="s">
        <v>6751</v>
      </c>
      <c r="B6718" s="5" t="s">
        <v>8585</v>
      </c>
      <c r="C6718" s="6" t="str">
        <f>_xll.QS.CONTEXT.CREATE("market.6716",A6718,"USD","SOFR")</f>
        <v>QSObject:PricingContext:w1~market.6716:7011</v>
      </c>
      <c r="D6718" s="6" t="str">
        <f>_xll.QS.CONTEXT.ADD.CURVE(C6718,"SOFR",$K$2:$K$7,$L$2:$L$7,,,"Actual360","LogLinear",TRUE)</f>
        <v>QSObject:ContextInput:w1~input.qs_context_add_curve.2359132437744.6717.3.0:33730</v>
      </c>
      <c r="E6718" s="6" t="str">
        <f>_xll.QS.INSTRUMENT.SWAP("swap.6716",H6718,B6718,"USD","SOFR",I6718,J6718,0,"Actual360","Simple","Annual","Annual","Annual")</f>
        <v>QSObject:Swap:w1~swap.6716:7010</v>
      </c>
      <c r="F6718" s="6" t="str">
        <f>_xll.QS.TRADE.CREATE("trade.6716",E6718,A6718,"Receive")</f>
        <v>QSObject:SwapTrade:w1~trade.6716:25176</v>
      </c>
      <c r="G6718" s="3">
        <f>_xll.QS.EVALUATE(C6718,F6718)</f>
        <v>35451.920466112133</v>
      </c>
      <c r="H6718" s="5" t="s">
        <v>6758</v>
      </c>
      <c r="I6718" s="7">
        <v>1671600</v>
      </c>
      <c r="J6718" s="8">
        <v>3.6600000000000001E-2</v>
      </c>
    </row>
    <row r="6719" spans="1:10" x14ac:dyDescent="0.25">
      <c r="A6719" s="5" t="s">
        <v>6752</v>
      </c>
      <c r="B6719" s="5" t="s">
        <v>8586</v>
      </c>
      <c r="C6719" s="6" t="str">
        <f>_xll.QS.CONTEXT.CREATE("market.6717",A6719,"USD","SOFR")</f>
        <v>QSObject:PricingContext:w1~market.6717:7009</v>
      </c>
      <c r="D6719" s="6" t="str">
        <f>_xll.QS.CONTEXT.ADD.CURVE(C6719,"SOFR",$K$2:$K$7,$L$2:$L$7,,,"Actual360","LogLinear",TRUE)</f>
        <v>QSObject:ContextInput:w1~input.qs_context_add_curve.2359132437744.6718.3.0:33729</v>
      </c>
      <c r="E6719" s="6" t="str">
        <f>_xll.QS.INSTRUMENT.SWAP("swap.6717",H6719,B6719,"USD","SOFR",I6719,J6719,0,"Actual360","Simple","Annual","Annual","Annual")</f>
        <v>QSObject:Swap:w1~swap.6717:7008</v>
      </c>
      <c r="F6719" s="6" t="str">
        <f>_xll.QS.TRADE.CREATE("trade.6717",E6719,A6719,"Receive")</f>
        <v>QSObject:SwapTrade:w1~trade.6717:25175</v>
      </c>
      <c r="G6719" s="3">
        <f>_xll.QS.EVALUATE(C6719,F6719)</f>
        <v>36223.419358643521</v>
      </c>
      <c r="H6719" s="5" t="s">
        <v>6759</v>
      </c>
      <c r="I6719" s="7">
        <v>1671700</v>
      </c>
      <c r="J6719" s="8">
        <v>3.6700000000000003E-2</v>
      </c>
    </row>
    <row r="6720" spans="1:10" x14ac:dyDescent="0.25">
      <c r="A6720" s="5" t="s">
        <v>6753</v>
      </c>
      <c r="B6720" s="5" t="s">
        <v>8587</v>
      </c>
      <c r="C6720" s="6" t="str">
        <f>_xll.QS.CONTEXT.CREATE("market.6718",A6720,"USD","SOFR")</f>
        <v>QSObject:PricingContext:w1~market.6718:7007</v>
      </c>
      <c r="D6720" s="6" t="str">
        <f>_xll.QS.CONTEXT.ADD.CURVE(C6720,"SOFR",$K$2:$K$7,$L$2:$L$7,,,"Actual360","LogLinear",TRUE)</f>
        <v>QSObject:ContextInput:w1~input.qs_context_add_curve.2359132437744.6719.3.0:33728</v>
      </c>
      <c r="E6720" s="6" t="str">
        <f>_xll.QS.INSTRUMENT.SWAP("swap.6718",H6720,B6720,"USD","SOFR",I6720,J6720,0,"Actual360","Simple","Annual","Annual","Annual")</f>
        <v>QSObject:Swap:w1~swap.6718:7006</v>
      </c>
      <c r="F6720" s="6" t="str">
        <f>_xll.QS.TRADE.CREATE("trade.6718",E6720,A6720,"Receive")</f>
        <v>QSObject:SwapTrade:w1~trade.6718:25174</v>
      </c>
      <c r="G6720" s="3">
        <f>_xll.QS.EVALUATE(C6720,F6720)</f>
        <v>36954.402008005076</v>
      </c>
      <c r="H6720" s="5" t="s">
        <v>6760</v>
      </c>
      <c r="I6720" s="7">
        <v>1671800</v>
      </c>
      <c r="J6720" s="8">
        <v>3.6800000000000013E-2</v>
      </c>
    </row>
    <row r="6721" spans="1:10" x14ac:dyDescent="0.25">
      <c r="A6721" s="5" t="s">
        <v>6754</v>
      </c>
      <c r="B6721" s="5" t="s">
        <v>8588</v>
      </c>
      <c r="C6721" s="6" t="str">
        <f>_xll.QS.CONTEXT.CREATE("market.6719",A6721,"USD","SOFR")</f>
        <v>QSObject:PricingContext:w1~market.6719:7005</v>
      </c>
      <c r="D6721" s="6" t="str">
        <f>_xll.QS.CONTEXT.ADD.CURVE(C6721,"SOFR",$K$2:$K$7,$L$2:$L$7,,,"Actual360","LogLinear",TRUE)</f>
        <v>QSObject:ContextInput:w1~input.qs_context_add_curve.2359132437744.6720.3.0:33727</v>
      </c>
      <c r="E6721" s="6" t="str">
        <f>_xll.QS.INSTRUMENT.SWAP("swap.6719",H6721,B6721,"USD","SOFR",I6721,J6721,0,"Actual360","Simple","Annual","Annual","Annual")</f>
        <v>QSObject:Swap:w1~swap.6719:7004</v>
      </c>
      <c r="F6721" s="6" t="str">
        <f>_xll.QS.TRADE.CREATE("trade.6719",E6721,A6721,"Receive")</f>
        <v>QSObject:SwapTrade:w1~trade.6719:25173</v>
      </c>
      <c r="G6721" s="3">
        <f>_xll.QS.EVALUATE(C6721,F6721)</f>
        <v>37523.322353896918</v>
      </c>
      <c r="H6721" s="5" t="s">
        <v>6761</v>
      </c>
      <c r="I6721" s="7">
        <v>1671900</v>
      </c>
      <c r="J6721" s="8">
        <v>3.6900000000000002E-2</v>
      </c>
    </row>
    <row r="6722" spans="1:10" x14ac:dyDescent="0.25">
      <c r="A6722" s="5" t="s">
        <v>6755</v>
      </c>
      <c r="B6722" s="5" t="s">
        <v>8589</v>
      </c>
      <c r="C6722" s="6" t="str">
        <f>_xll.QS.CONTEXT.CREATE("market.6720",A6722,"USD","SOFR")</f>
        <v>QSObject:PricingContext:w1~market.6720:7003</v>
      </c>
      <c r="D6722" s="6" t="str">
        <f>_xll.QS.CONTEXT.ADD.CURVE(C6722,"SOFR",$K$2:$K$7,$L$2:$L$7,,,"Actual360","LogLinear",TRUE)</f>
        <v>QSObject:ContextInput:w1~input.qs_context_add_curve.2359132437744.6721.3.0:33726</v>
      </c>
      <c r="E6722" s="6" t="str">
        <f>_xll.QS.INSTRUMENT.SWAP("swap.6720",H6722,B6722,"USD","SOFR",I6722,J6722,0,"Actual360","Simple","Annual","Annual","Annual")</f>
        <v>QSObject:Swap:w1~swap.6720:7002</v>
      </c>
      <c r="F6722" s="6" t="str">
        <f>_xll.QS.TRADE.CREATE("trade.6720",E6722,A6722,"Receive")</f>
        <v>QSObject:SwapTrade:w1~trade.6720:25172</v>
      </c>
      <c r="G6722" s="3">
        <f>_xll.QS.EVALUATE(C6722,F6722)</f>
        <v>38299.537402671078</v>
      </c>
      <c r="H6722" s="5" t="s">
        <v>6762</v>
      </c>
      <c r="I6722" s="7">
        <v>1672000</v>
      </c>
      <c r="J6722" s="8">
        <v>3.7000000000000012E-2</v>
      </c>
    </row>
    <row r="6723" spans="1:10" x14ac:dyDescent="0.25">
      <c r="A6723" s="5" t="s">
        <v>6756</v>
      </c>
      <c r="B6723" s="5" t="s">
        <v>8590</v>
      </c>
      <c r="C6723" s="6" t="str">
        <f>_xll.QS.CONTEXT.CREATE("market.6721",A6723,"USD","SOFR")</f>
        <v>QSObject:PricingContext:w1~market.6721:7001</v>
      </c>
      <c r="D6723" s="6" t="str">
        <f>_xll.QS.CONTEXT.ADD.CURVE(C6723,"SOFR",$K$2:$K$7,$L$2:$L$7,,,"Actual360","LogLinear",TRUE)</f>
        <v>QSObject:ContextInput:w1~input.qs_context_add_curve.2359132437744.6722.3.0:33725</v>
      </c>
      <c r="E6723" s="6" t="str">
        <f>_xll.QS.INSTRUMENT.SWAP("swap.6721",H6723,B6723,"USD","SOFR",I6723,J6723,0,"Actual360","Simple","Annual","Annual","Annual")</f>
        <v>QSObject:Swap:w1~swap.6721:7000</v>
      </c>
      <c r="F6723" s="6" t="str">
        <f>_xll.QS.TRADE.CREATE("trade.6721",E6723,A6723,"Receive")</f>
        <v>QSObject:SwapTrade:w1~trade.6721:25171</v>
      </c>
      <c r="G6723" s="3">
        <f>_xll.QS.EVALUATE(C6723,F6723)</f>
        <v>39117.107441451342</v>
      </c>
      <c r="H6723" s="5" t="s">
        <v>6763</v>
      </c>
      <c r="I6723" s="7">
        <v>1672100</v>
      </c>
      <c r="J6723" s="8">
        <v>3.7100000000000001E-2</v>
      </c>
    </row>
    <row r="6724" spans="1:10" x14ac:dyDescent="0.25">
      <c r="A6724" s="5" t="s">
        <v>6757</v>
      </c>
      <c r="B6724" s="5" t="s">
        <v>8591</v>
      </c>
      <c r="C6724" s="6" t="str">
        <f>_xll.QS.CONTEXT.CREATE("market.6722",A6724,"USD","SOFR")</f>
        <v>QSObject:PricingContext:w1~market.6722:6999</v>
      </c>
      <c r="D6724" s="6" t="str">
        <f>_xll.QS.CONTEXT.ADD.CURVE(C6724,"SOFR",$K$2:$K$7,$L$2:$L$7,,,"Actual360","LogLinear",TRUE)</f>
        <v>QSObject:ContextInput:w1~input.qs_context_add_curve.2359132437744.6723.3.0:33724</v>
      </c>
      <c r="E6724" s="6" t="str">
        <f>_xll.QS.INSTRUMENT.SWAP("swap.6722",H6724,B6724,"USD","SOFR",I6724,J6724,0,"Actual360","Simple","Annual","Annual","Annual")</f>
        <v>QSObject:Swap:w1~swap.6722:6998</v>
      </c>
      <c r="F6724" s="6" t="str">
        <f>_xll.QS.TRADE.CREATE("trade.6722",E6724,A6724,"Receive")</f>
        <v>QSObject:SwapTrade:w1~trade.6722:25170</v>
      </c>
      <c r="G6724" s="3">
        <f>_xll.QS.EVALUATE(C6724,F6724)</f>
        <v>40077.145927675359</v>
      </c>
      <c r="H6724" s="5" t="s">
        <v>6764</v>
      </c>
      <c r="I6724" s="7">
        <v>1672200</v>
      </c>
      <c r="J6724" s="8">
        <v>3.7199999999999997E-2</v>
      </c>
    </row>
    <row r="6725" spans="1:10" x14ac:dyDescent="0.25">
      <c r="A6725" s="5" t="s">
        <v>6758</v>
      </c>
      <c r="B6725" s="5" t="s">
        <v>8592</v>
      </c>
      <c r="C6725" s="6" t="str">
        <f>_xll.QS.CONTEXT.CREATE("market.6723",A6725,"USD","SOFR")</f>
        <v>QSObject:PricingContext:w1~market.6723:6997</v>
      </c>
      <c r="D6725" s="6" t="str">
        <f>_xll.QS.CONTEXT.ADD.CURVE(C6725,"SOFR",$K$2:$K$7,$L$2:$L$7,,,"Actual360","LogLinear",TRUE)</f>
        <v>QSObject:ContextInput:w1~input.qs_context_add_curve.2359132437744.6724.3.0:33723</v>
      </c>
      <c r="E6725" s="6" t="str">
        <f>_xll.QS.INSTRUMENT.SWAP("swap.6723",H6725,B6725,"USD","SOFR",I6725,J6725,0,"Actual360","Simple","Annual","Annual","Annual")</f>
        <v>QSObject:Swap:w1~swap.6723:6996</v>
      </c>
      <c r="F6725" s="6" t="str">
        <f>_xll.QS.TRADE.CREATE("trade.6723",E6725,A6725,"Receive")</f>
        <v>QSObject:SwapTrade:w1~trade.6723:25169</v>
      </c>
      <c r="G6725" s="3">
        <f>_xll.QS.EVALUATE(C6725,F6725)</f>
        <v>40860.427616288827</v>
      </c>
      <c r="H6725" s="5" t="s">
        <v>6765</v>
      </c>
      <c r="I6725" s="7">
        <v>1672300</v>
      </c>
      <c r="J6725" s="8">
        <v>3.73E-2</v>
      </c>
    </row>
    <row r="6726" spans="1:10" x14ac:dyDescent="0.25">
      <c r="A6726" s="5" t="s">
        <v>6759</v>
      </c>
      <c r="B6726" s="5" t="s">
        <v>8593</v>
      </c>
      <c r="C6726" s="6" t="str">
        <f>_xll.QS.CONTEXT.CREATE("market.6724",A6726,"USD","SOFR")</f>
        <v>QSObject:PricingContext:w1~market.6724:6995</v>
      </c>
      <c r="D6726" s="6" t="str">
        <f>_xll.QS.CONTEXT.ADD.CURVE(C6726,"SOFR",$K$2:$K$7,$L$2:$L$7,,,"Actual360","LogLinear",TRUE)</f>
        <v>QSObject:ContextInput:w1~input.qs_context_add_curve.2359132437744.6725.3.0:33722</v>
      </c>
      <c r="E6726" s="6" t="str">
        <f>_xll.QS.INSTRUMENT.SWAP("swap.6724",H6726,B6726,"USD","SOFR",I6726,J6726,0,"Actual360","Simple","Annual","Annual","Annual")</f>
        <v>QSObject:Swap:w1~swap.6724:6994</v>
      </c>
      <c r="F6726" s="6" t="str">
        <f>_xll.QS.TRADE.CREATE("trade.6724",E6726,A6726,"Receive")</f>
        <v>QSObject:SwapTrade:w1~trade.6724:25168</v>
      </c>
      <c r="G6726" s="3">
        <f>_xll.QS.EVALUATE(C6726,F6726)</f>
        <v>41569.643679588611</v>
      </c>
      <c r="H6726" s="5" t="s">
        <v>6766</v>
      </c>
      <c r="I6726" s="7">
        <v>1672400</v>
      </c>
      <c r="J6726" s="8">
        <v>3.7400000000000003E-2</v>
      </c>
    </row>
    <row r="6727" spans="1:10" x14ac:dyDescent="0.25">
      <c r="A6727" s="5" t="s">
        <v>6760</v>
      </c>
      <c r="B6727" s="5" t="s">
        <v>8594</v>
      </c>
      <c r="C6727" s="6" t="str">
        <f>_xll.QS.CONTEXT.CREATE("market.6725",A6727,"USD","SOFR")</f>
        <v>QSObject:PricingContext:w1~market.6725:6993</v>
      </c>
      <c r="D6727" s="6" t="str">
        <f>_xll.QS.CONTEXT.ADD.CURVE(C6727,"SOFR",$K$2:$K$7,$L$2:$L$7,,,"Actual360","LogLinear",TRUE)</f>
        <v>QSObject:ContextInput:w1~input.qs_context_add_curve.2359132437744.6726.3.0:33721</v>
      </c>
      <c r="E6727" s="6" t="str">
        <f>_xll.QS.INSTRUMENT.SWAP("swap.6725",H6727,B6727,"USD","SOFR",I6727,J6727,0,"Actual360","Simple","Annual","Annual","Annual")</f>
        <v>QSObject:Swap:w1~swap.6725:6992</v>
      </c>
      <c r="F6727" s="6" t="str">
        <f>_xll.QS.TRADE.CREATE("trade.6725",E6727,A6727,"Receive")</f>
        <v>QSObject:SwapTrade:w1~trade.6725:25167</v>
      </c>
      <c r="G6727" s="3">
        <f>_xll.QS.EVALUATE(C6727,F6727)</f>
        <v>42223.034801464251</v>
      </c>
      <c r="H6727" s="5" t="s">
        <v>6767</v>
      </c>
      <c r="I6727" s="7">
        <v>1672500</v>
      </c>
      <c r="J6727" s="8">
        <v>3.7500000000000012E-2</v>
      </c>
    </row>
    <row r="6728" spans="1:10" x14ac:dyDescent="0.25">
      <c r="A6728" s="5" t="s">
        <v>6761</v>
      </c>
      <c r="B6728" s="5" t="s">
        <v>8595</v>
      </c>
      <c r="C6728" s="6" t="str">
        <f>_xll.QS.CONTEXT.CREATE("market.6726",A6728,"USD","SOFR")</f>
        <v>QSObject:PricingContext:w1~market.6726:6991</v>
      </c>
      <c r="D6728" s="6" t="str">
        <f>_xll.QS.CONTEXT.ADD.CURVE(C6728,"SOFR",$K$2:$K$7,$L$2:$L$7,,,"Actual360","LogLinear",TRUE)</f>
        <v>QSObject:ContextInput:w1~input.qs_context_add_curve.2359132437744.6727.3.0:33720</v>
      </c>
      <c r="E6728" s="6" t="str">
        <f>_xll.QS.INSTRUMENT.SWAP("swap.6726",H6728,B6728,"USD","SOFR",I6728,J6728,0,"Actual360","Simple","Annual","Annual","Annual")</f>
        <v>QSObject:Swap:w1~swap.6726:6990</v>
      </c>
      <c r="F6728" s="6" t="str">
        <f>_xll.QS.TRADE.CREATE("trade.6726",E6728,A6728,"Receive")</f>
        <v>QSObject:SwapTrade:w1~trade.6726:25166</v>
      </c>
      <c r="G6728" s="3">
        <f>_xll.QS.EVALUATE(C6728,F6728)</f>
        <v>42872.799465238961</v>
      </c>
      <c r="H6728" s="5" t="s">
        <v>6768</v>
      </c>
      <c r="I6728" s="7">
        <v>1672600</v>
      </c>
      <c r="J6728" s="8">
        <v>3.7600000000000001E-2</v>
      </c>
    </row>
    <row r="6729" spans="1:10" x14ac:dyDescent="0.25">
      <c r="A6729" s="5" t="s">
        <v>6762</v>
      </c>
      <c r="B6729" s="5" t="s">
        <v>8596</v>
      </c>
      <c r="C6729" s="6" t="str">
        <f>_xll.QS.CONTEXT.CREATE("market.6727",A6729,"USD","SOFR")</f>
        <v>QSObject:PricingContext:w1~market.6727:6989</v>
      </c>
      <c r="D6729" s="6" t="str">
        <f>_xll.QS.CONTEXT.ADD.CURVE(C6729,"SOFR",$K$2:$K$7,$L$2:$L$7,,,"Actual360","LogLinear",TRUE)</f>
        <v>QSObject:ContextInput:w1~input.qs_context_add_curve.2359132437744.6728.3.0:33719</v>
      </c>
      <c r="E6729" s="6" t="str">
        <f>_xll.QS.INSTRUMENT.SWAP("swap.6727",H6729,B6729,"USD","SOFR",I6729,J6729,0,"Actual360","Simple","Annual","Annual","Annual")</f>
        <v>QSObject:Swap:w1~swap.6727:6988</v>
      </c>
      <c r="F6729" s="6" t="str">
        <f>_xll.QS.TRADE.CREATE("trade.6727",E6729,A6729,"Receive")</f>
        <v>QSObject:SwapTrade:w1~trade.6727:25165</v>
      </c>
      <c r="G6729" s="3">
        <f>_xll.QS.EVALUATE(C6729,F6729)</f>
        <v>43717.621153708911</v>
      </c>
      <c r="H6729" s="5" t="s">
        <v>6769</v>
      </c>
      <c r="I6729" s="7">
        <v>1672700</v>
      </c>
      <c r="J6729" s="8">
        <v>3.7699999999999997E-2</v>
      </c>
    </row>
    <row r="6730" spans="1:10" x14ac:dyDescent="0.25">
      <c r="A6730" s="5" t="s">
        <v>6763</v>
      </c>
      <c r="B6730" s="5" t="s">
        <v>8597</v>
      </c>
      <c r="C6730" s="6" t="str">
        <f>_xll.QS.CONTEXT.CREATE("market.6728",A6730,"USD","SOFR")</f>
        <v>QSObject:PricingContext:w1~market.6728:6987</v>
      </c>
      <c r="D6730" s="6" t="str">
        <f>_xll.QS.CONTEXT.ADD.CURVE(C6730,"SOFR",$K$2:$K$7,$L$2:$L$7,,,"Actual360","LogLinear",TRUE)</f>
        <v>QSObject:ContextInput:w1~input.qs_context_add_curve.2359132437744.6729.3.0:33718</v>
      </c>
      <c r="E6730" s="6" t="str">
        <f>_xll.QS.INSTRUMENT.SWAP("swap.6728",H6730,B6730,"USD","SOFR",I6730,J6730,0,"Actual360","Simple","Annual","Annual","Annual")</f>
        <v>QSObject:Swap:w1~swap.6728:6986</v>
      </c>
      <c r="F6730" s="6" t="str">
        <f>_xll.QS.TRADE.CREATE("trade.6728",E6730,A6730,"Receive")</f>
        <v>QSObject:SwapTrade:w1~trade.6728:25164</v>
      </c>
      <c r="G6730" s="3">
        <f>_xll.QS.EVALUATE(C6730,F6730)</f>
        <v>44534.302208066409</v>
      </c>
      <c r="H6730" s="5" t="s">
        <v>6770</v>
      </c>
      <c r="I6730" s="7">
        <v>1672800</v>
      </c>
      <c r="J6730" s="8">
        <v>3.78E-2</v>
      </c>
    </row>
    <row r="6731" spans="1:10" x14ac:dyDescent="0.25">
      <c r="A6731" s="5" t="s">
        <v>6764</v>
      </c>
      <c r="B6731" s="5" t="s">
        <v>8598</v>
      </c>
      <c r="C6731" s="6" t="str">
        <f>_xll.QS.CONTEXT.CREATE("market.6729",A6731,"USD","SOFR")</f>
        <v>QSObject:PricingContext:w1~market.6729:6985</v>
      </c>
      <c r="D6731" s="6" t="str">
        <f>_xll.QS.CONTEXT.ADD.CURVE(C6731,"SOFR",$K$2:$K$7,$L$2:$L$7,,,"Actual360","LogLinear",TRUE)</f>
        <v>QSObject:ContextInput:w1~input.qs_context_add_curve.2359132437744.6730.3.0:33717</v>
      </c>
      <c r="E6731" s="6" t="str">
        <f>_xll.QS.INSTRUMENT.SWAP("swap.6729",H6731,B6731,"USD","SOFR",I6731,J6731,0,"Actual360","Simple","Annual","Annual","Annual")</f>
        <v>QSObject:Swap:w1~swap.6729:6984</v>
      </c>
      <c r="F6731" s="6" t="str">
        <f>_xll.QS.TRADE.CREATE("trade.6729",E6731,A6731,"Receive")</f>
        <v>QSObject:SwapTrade:w1~trade.6729:25163</v>
      </c>
      <c r="G6731" s="3">
        <f>_xll.QS.EVALUATE(C6731,F6731)</f>
        <v>45430.647212145974</v>
      </c>
      <c r="H6731" s="5" t="s">
        <v>6771</v>
      </c>
      <c r="I6731" s="7">
        <v>1672900</v>
      </c>
      <c r="J6731" s="8">
        <v>3.7900000000000003E-2</v>
      </c>
    </row>
    <row r="6732" spans="1:10" x14ac:dyDescent="0.25">
      <c r="A6732" s="5" t="s">
        <v>6765</v>
      </c>
      <c r="B6732" s="5" t="s">
        <v>8599</v>
      </c>
      <c r="C6732" s="6" t="str">
        <f>_xll.QS.CONTEXT.CREATE("market.6730",A6732,"USD","SOFR")</f>
        <v>QSObject:PricingContext:w1~market.6730:6983</v>
      </c>
      <c r="D6732" s="6" t="str">
        <f>_xll.QS.CONTEXT.ADD.CURVE(C6732,"SOFR",$K$2:$K$7,$L$2:$L$7,,,"Actual360","LogLinear",TRUE)</f>
        <v>QSObject:ContextInput:w1~input.qs_context_add_curve.2359132437744.6731.3.0:33716</v>
      </c>
      <c r="E6732" s="6" t="str">
        <f>_xll.QS.INSTRUMENT.SWAP("swap.6730",H6732,B6732,"USD","SOFR",I6732,J6732,0,"Actual360","Simple","Annual","Annual","Annual")</f>
        <v>QSObject:Swap:w1~swap.6730:6982</v>
      </c>
      <c r="F6732" s="6" t="str">
        <f>_xll.QS.TRADE.CREATE("trade.6730",E6732,A6732,"Receive")</f>
        <v>QSObject:SwapTrade:w1~trade.6730:25162</v>
      </c>
      <c r="G6732" s="3">
        <f>_xll.QS.EVALUATE(C6732,F6732)</f>
        <v>46277.99074563761</v>
      </c>
      <c r="H6732" s="5" t="s">
        <v>6772</v>
      </c>
      <c r="I6732" s="7">
        <v>1673000</v>
      </c>
      <c r="J6732" s="8">
        <v>3.8000000000000013E-2</v>
      </c>
    </row>
    <row r="6733" spans="1:10" x14ac:dyDescent="0.25">
      <c r="A6733" s="5" t="s">
        <v>6766</v>
      </c>
      <c r="B6733" s="5" t="s">
        <v>8600</v>
      </c>
      <c r="C6733" s="6" t="str">
        <f>_xll.QS.CONTEXT.CREATE("market.6731",A6733,"USD","SOFR")</f>
        <v>QSObject:PricingContext:w1~market.6731:6981</v>
      </c>
      <c r="D6733" s="6" t="str">
        <f>_xll.QS.CONTEXT.ADD.CURVE(C6733,"SOFR",$K$2:$K$7,$L$2:$L$7,,,"Actual360","LogLinear",TRUE)</f>
        <v>QSObject:ContextInput:w1~input.qs_context_add_curve.2359132437744.6732.3.0:33715</v>
      </c>
      <c r="E6733" s="6" t="str">
        <f>_xll.QS.INSTRUMENT.SWAP("swap.6731",H6733,B6733,"USD","SOFR",I6733,J6733,0,"Actual360","Simple","Annual","Annual","Annual")</f>
        <v>QSObject:Swap:w1~swap.6731:6980</v>
      </c>
      <c r="F6733" s="6" t="str">
        <f>_xll.QS.TRADE.CREATE("trade.6731",E6733,A6733,"Receive")</f>
        <v>QSObject:SwapTrade:w1~trade.6731:25161</v>
      </c>
      <c r="G6733" s="3">
        <f>_xll.QS.EVALUATE(C6733,F6733)</f>
        <v>46987.767074698932</v>
      </c>
      <c r="H6733" s="5" t="s">
        <v>6773</v>
      </c>
      <c r="I6733" s="7">
        <v>1673100</v>
      </c>
      <c r="J6733" s="8">
        <v>3.8100000000000002E-2</v>
      </c>
    </row>
    <row r="6734" spans="1:10" x14ac:dyDescent="0.25">
      <c r="A6734" s="5" t="s">
        <v>6767</v>
      </c>
      <c r="B6734" s="5" t="s">
        <v>8601</v>
      </c>
      <c r="C6734" s="6" t="str">
        <f>_xll.QS.CONTEXT.CREATE("market.6732",A6734,"USD","SOFR")</f>
        <v>QSObject:PricingContext:w1~market.6732:6979</v>
      </c>
      <c r="D6734" s="6" t="str">
        <f>_xll.QS.CONTEXT.ADD.CURVE(C6734,"SOFR",$K$2:$K$7,$L$2:$L$7,,,"Actual360","LogLinear",TRUE)</f>
        <v>QSObject:ContextInput:w1~input.qs_context_add_curve.2359132437744.6733.3.0:33714</v>
      </c>
      <c r="E6734" s="6" t="str">
        <f>_xll.QS.INSTRUMENT.SWAP("swap.6732",H6734,B6734,"USD","SOFR",I6734,J6734,0,"Actual360","Simple","Annual","Annual","Annual")</f>
        <v>QSObject:Swap:w1~swap.6732:6978</v>
      </c>
      <c r="F6734" s="6" t="str">
        <f>_xll.QS.TRADE.CREATE("trade.6732",E6734,A6734,"Receive")</f>
        <v>QSObject:SwapTrade:w1~trade.6732:25160</v>
      </c>
      <c r="G6734" s="3">
        <f>_xll.QS.EVALUATE(C6734,F6734)</f>
        <v>47635.393111701094</v>
      </c>
      <c r="H6734" s="5" t="s">
        <v>6774</v>
      </c>
      <c r="I6734" s="7">
        <v>1673200</v>
      </c>
      <c r="J6734" s="8">
        <v>3.8199999999999998E-2</v>
      </c>
    </row>
    <row r="6735" spans="1:10" x14ac:dyDescent="0.25">
      <c r="A6735" s="5" t="s">
        <v>6768</v>
      </c>
      <c r="B6735" s="5" t="s">
        <v>8602</v>
      </c>
      <c r="C6735" s="6" t="str">
        <f>_xll.QS.CONTEXT.CREATE("market.6733",A6735,"USD","SOFR")</f>
        <v>QSObject:PricingContext:w1~market.6733:6977</v>
      </c>
      <c r="D6735" s="6" t="str">
        <f>_xll.QS.CONTEXT.ADD.CURVE(C6735,"SOFR",$K$2:$K$7,$L$2:$L$7,,,"Actual360","LogLinear",TRUE)</f>
        <v>QSObject:ContextInput:w1~input.qs_context_add_curve.2359132437744.6734.3.0:33713</v>
      </c>
      <c r="E6735" s="6" t="str">
        <f>_xll.QS.INSTRUMENT.SWAP("swap.6733",H6735,B6735,"USD","SOFR",I6735,J6735,0,"Actual360","Simple","Annual","Annual","Annual")</f>
        <v>QSObject:Swap:w1~swap.6733:6976</v>
      </c>
      <c r="F6735" s="6" t="str">
        <f>_xll.QS.TRADE.CREATE("trade.6733",E6735,A6735,"Receive")</f>
        <v>QSObject:SwapTrade:w1~trade.6733:25159</v>
      </c>
      <c r="G6735" s="3">
        <f>_xll.QS.EVALUATE(C6735,F6735)</f>
        <v>48294.124965916002</v>
      </c>
      <c r="H6735" s="5" t="s">
        <v>6775</v>
      </c>
      <c r="I6735" s="7">
        <v>1673300</v>
      </c>
      <c r="J6735" s="8">
        <v>3.8300000000000001E-2</v>
      </c>
    </row>
    <row r="6736" spans="1:10" x14ac:dyDescent="0.25">
      <c r="A6736" s="5" t="s">
        <v>6769</v>
      </c>
      <c r="B6736" s="5" t="s">
        <v>8603</v>
      </c>
      <c r="C6736" s="6" t="str">
        <f>_xll.QS.CONTEXT.CREATE("market.6734",A6736,"USD","SOFR")</f>
        <v>QSObject:PricingContext:w1~market.6734:6975</v>
      </c>
      <c r="D6736" s="6" t="str">
        <f>_xll.QS.CONTEXT.ADD.CURVE(C6736,"SOFR",$K$2:$K$7,$L$2:$L$7,,,"Actual360","LogLinear",TRUE)</f>
        <v>QSObject:ContextInput:w1~input.qs_context_add_curve.2359132437744.6735.3.0:33712</v>
      </c>
      <c r="E6736" s="6" t="str">
        <f>_xll.QS.INSTRUMENT.SWAP("swap.6734",H6736,B6736,"USD","SOFR",I6736,J6736,0,"Actual360","Simple","Annual","Annual","Annual")</f>
        <v>QSObject:Swap:w1~swap.6734:6974</v>
      </c>
      <c r="F6736" s="6" t="str">
        <f>_xll.QS.TRADE.CREATE("trade.6734",E6736,A6736,"Receive")</f>
        <v>QSObject:SwapTrade:w1~trade.6734:25158</v>
      </c>
      <c r="G6736" s="3">
        <f>_xll.QS.EVALUATE(C6736,F6736)</f>
        <v>49140.145306696046</v>
      </c>
      <c r="H6736" s="5" t="s">
        <v>6776</v>
      </c>
      <c r="I6736" s="7">
        <v>1673400</v>
      </c>
      <c r="J6736" s="8">
        <v>3.8399999999999997E-2</v>
      </c>
    </row>
    <row r="6737" spans="1:10" x14ac:dyDescent="0.25">
      <c r="A6737" s="5" t="s">
        <v>6770</v>
      </c>
      <c r="B6737" s="5" t="s">
        <v>8604</v>
      </c>
      <c r="C6737" s="6" t="str">
        <f>_xll.QS.CONTEXT.CREATE("market.6735",A6737,"USD","SOFR")</f>
        <v>QSObject:PricingContext:w1~market.6735:6973</v>
      </c>
      <c r="D6737" s="6" t="str">
        <f>_xll.QS.CONTEXT.ADD.CURVE(C6737,"SOFR",$K$2:$K$7,$L$2:$L$7,,,"Actual360","LogLinear",TRUE)</f>
        <v>QSObject:ContextInput:w1~input.qs_context_add_curve.2359132437744.6736.3.0:33711</v>
      </c>
      <c r="E6737" s="6" t="str">
        <f>_xll.QS.INSTRUMENT.SWAP("swap.6735",H6737,B6737,"USD","SOFR",I6737,J6737,0,"Actual360","Simple","Annual","Annual","Annual")</f>
        <v>QSObject:Swap:w1~swap.6735:6972</v>
      </c>
      <c r="F6737" s="6" t="str">
        <f>_xll.QS.TRADE.CREATE("trade.6735",E6737,A6737,"Receive")</f>
        <v>QSObject:SwapTrade:w1~trade.6735:25157</v>
      </c>
      <c r="G6737" s="3">
        <f>_xll.QS.EVALUATE(C6737,F6737)</f>
        <v>49954.8694206699</v>
      </c>
      <c r="H6737" s="5" t="s">
        <v>6777</v>
      </c>
      <c r="I6737" s="7">
        <v>1673500</v>
      </c>
      <c r="J6737" s="8">
        <v>3.8500000000000013E-2</v>
      </c>
    </row>
    <row r="6738" spans="1:10" x14ac:dyDescent="0.25">
      <c r="A6738" s="5" t="s">
        <v>6771</v>
      </c>
      <c r="B6738" s="5" t="s">
        <v>8605</v>
      </c>
      <c r="C6738" s="6" t="str">
        <f>_xll.QS.CONTEXT.CREATE("market.6736",A6738,"USD","SOFR")</f>
        <v>QSObject:PricingContext:w1~market.6736:6971</v>
      </c>
      <c r="D6738" s="6" t="str">
        <f>_xll.QS.CONTEXT.ADD.CURVE(C6738,"SOFR",$K$2:$K$7,$L$2:$L$7,,,"Actual360","LogLinear",TRUE)</f>
        <v>QSObject:ContextInput:w1~input.qs_context_add_curve.2359132437744.6737.3.0:33710</v>
      </c>
      <c r="E6738" s="6" t="str">
        <f>_xll.QS.INSTRUMENT.SWAP("swap.6736",H6738,B6738,"USD","SOFR",I6738,J6738,0,"Actual360","Simple","Annual","Annual","Annual")</f>
        <v>QSObject:Swap:w1~swap.6736:6970</v>
      </c>
      <c r="F6738" s="6" t="str">
        <f>_xll.QS.TRADE.CREATE("trade.6736",E6738,A6738,"Receive")</f>
        <v>QSObject:SwapTrade:w1~trade.6736:25156</v>
      </c>
      <c r="G6738" s="3">
        <f>_xll.QS.EVALUATE(C6738,F6738)</f>
        <v>50851.991324394672</v>
      </c>
      <c r="H6738" s="5" t="s">
        <v>6778</v>
      </c>
      <c r="I6738" s="7">
        <v>1673600</v>
      </c>
      <c r="J6738" s="8">
        <v>3.8600000000000002E-2</v>
      </c>
    </row>
    <row r="6739" spans="1:10" x14ac:dyDescent="0.25">
      <c r="A6739" s="5" t="s">
        <v>6772</v>
      </c>
      <c r="B6739" s="5" t="s">
        <v>8606</v>
      </c>
      <c r="C6739" s="6" t="str">
        <f>_xll.QS.CONTEXT.CREATE("market.6737",A6739,"USD","SOFR")</f>
        <v>QSObject:PricingContext:w1~market.6737:6969</v>
      </c>
      <c r="D6739" s="6" t="str">
        <f>_xll.QS.CONTEXT.ADD.CURVE(C6739,"SOFR",$K$2:$K$7,$L$2:$L$7,,,"Actual360","LogLinear",TRUE)</f>
        <v>QSObject:ContextInput:w1~input.qs_context_add_curve.2359132437744.6738.3.0:33709</v>
      </c>
      <c r="E6739" s="6" t="str">
        <f>_xll.QS.INSTRUMENT.SWAP("swap.6737",H6739,B6739,"USD","SOFR",I6739,J6739,0,"Actual360","Simple","Annual","Annual","Annual")</f>
        <v>QSObject:Swap:w1~swap.6737:6968</v>
      </c>
      <c r="F6739" s="6" t="str">
        <f>_xll.QS.TRADE.CREATE("trade.6737",E6739,A6739,"Receive")</f>
        <v>QSObject:SwapTrade:w1~trade.6737:25155</v>
      </c>
      <c r="G6739" s="3">
        <f>_xll.QS.EVALUATE(C6739,F6739)</f>
        <v>51700.073088006939</v>
      </c>
      <c r="H6739" s="5" t="s">
        <v>6779</v>
      </c>
      <c r="I6739" s="7">
        <v>1673700</v>
      </c>
      <c r="J6739" s="8">
        <v>3.8700000000000012E-2</v>
      </c>
    </row>
    <row r="6740" spans="1:10" x14ac:dyDescent="0.25">
      <c r="A6740" s="5" t="s">
        <v>6773</v>
      </c>
      <c r="B6740" s="5" t="s">
        <v>8607</v>
      </c>
      <c r="C6740" s="6" t="str">
        <f>_xll.QS.CONTEXT.CREATE("market.6738",A6740,"USD","SOFR")</f>
        <v>QSObject:PricingContext:w1~market.6738:6967</v>
      </c>
      <c r="D6740" s="6" t="str">
        <f>_xll.QS.CONTEXT.ADD.CURVE(C6740,"SOFR",$K$2:$K$7,$L$2:$L$7,,,"Actual360","LogLinear",TRUE)</f>
        <v>QSObject:ContextInput:w1~input.qs_context_add_curve.2359132437744.6739.3.0:33708</v>
      </c>
      <c r="E6740" s="6" t="str">
        <f>_xll.QS.INSTRUMENT.SWAP("swap.6738",H6740,B6740,"USD","SOFR",I6740,J6740,0,"Actual360","Simple","Annual","Annual","Annual")</f>
        <v>QSObject:Swap:w1~swap.6738:6966</v>
      </c>
      <c r="F6740" s="6" t="str">
        <f>_xll.QS.TRADE.CREATE("trade.6738",E6740,A6740,"Receive")</f>
        <v>QSObject:SwapTrade:w1~trade.6738:25154</v>
      </c>
      <c r="G6740" s="3">
        <f>_xll.QS.EVALUATE(C6740,F6740)</f>
        <v>52410.409633994386</v>
      </c>
      <c r="H6740" s="5" t="s">
        <v>6780</v>
      </c>
      <c r="I6740" s="7">
        <v>1673800</v>
      </c>
      <c r="J6740" s="8">
        <v>3.8800000000000001E-2</v>
      </c>
    </row>
    <row r="6741" spans="1:10" x14ac:dyDescent="0.25">
      <c r="A6741" s="5" t="s">
        <v>6774</v>
      </c>
      <c r="B6741" s="5" t="s">
        <v>8608</v>
      </c>
      <c r="C6741" s="6" t="str">
        <f>_xll.QS.CONTEXT.CREATE("market.6739",A6741,"USD","SOFR")</f>
        <v>QSObject:PricingContext:w1~market.6739:6965</v>
      </c>
      <c r="D6741" s="6" t="str">
        <f>_xll.QS.CONTEXT.ADD.CURVE(C6741,"SOFR",$K$2:$K$7,$L$2:$L$7,,,"Actual360","LogLinear",TRUE)</f>
        <v>QSObject:ContextInput:w1~input.qs_context_add_curve.2359132437744.6740.3.0:33707</v>
      </c>
      <c r="E6741" s="6" t="str">
        <f>_xll.QS.INSTRUMENT.SWAP("swap.6739",H6741,B6741,"USD","SOFR",I6741,J6741,0,"Actual360","Simple","Annual","Annual","Annual")</f>
        <v>QSObject:Swap:w1~swap.6739:6964</v>
      </c>
      <c r="F6741" s="6" t="str">
        <f>_xll.QS.TRADE.CREATE("trade.6739",E6741,A6741,"Receive")</f>
        <v>QSObject:SwapTrade:w1~trade.6739:25153</v>
      </c>
      <c r="G6741" s="3">
        <f>_xll.QS.EVALUATE(C6741,F6741)</f>
        <v>53052.265264324858</v>
      </c>
      <c r="H6741" s="5" t="s">
        <v>6781</v>
      </c>
      <c r="I6741" s="7">
        <v>1673900</v>
      </c>
      <c r="J6741" s="8">
        <v>3.8899999999999997E-2</v>
      </c>
    </row>
    <row r="6742" spans="1:10" x14ac:dyDescent="0.25">
      <c r="A6742" s="5" t="s">
        <v>6775</v>
      </c>
      <c r="B6742" s="5" t="s">
        <v>8609</v>
      </c>
      <c r="C6742" s="6" t="str">
        <f>_xll.QS.CONTEXT.CREATE("market.6740",A6742,"USD","SOFR")</f>
        <v>QSObject:PricingContext:w1~market.6740:6963</v>
      </c>
      <c r="D6742" s="6" t="str">
        <f>_xll.QS.CONTEXT.ADD.CURVE(C6742,"SOFR",$K$2:$K$7,$L$2:$L$7,,,"Actual360","LogLinear",TRUE)</f>
        <v>QSObject:ContextInput:w1~input.qs_context_add_curve.2359132437744.6741.3.0:33706</v>
      </c>
      <c r="E6742" s="6" t="str">
        <f>_xll.QS.INSTRUMENT.SWAP("swap.6740",H6742,B6742,"USD","SOFR",I6742,J6742,0,"Actual360","Simple","Annual","Annual","Annual")</f>
        <v>QSObject:Swap:w1~swap.6740:6962</v>
      </c>
      <c r="F6742" s="6" t="str">
        <f>_xll.QS.TRADE.CREATE("trade.6740",E6742,A6742,"Receive")</f>
        <v>QSObject:SwapTrade:w1~trade.6740:25152</v>
      </c>
      <c r="G6742" s="3">
        <f>_xll.QS.EVALUATE(C6742,F6742)</f>
        <v>53719.97131516831</v>
      </c>
      <c r="H6742" s="5" t="s">
        <v>6782</v>
      </c>
      <c r="I6742" s="7">
        <v>1674000</v>
      </c>
      <c r="J6742" s="8">
        <v>3.9000000000000007E-2</v>
      </c>
    </row>
    <row r="6743" spans="1:10" x14ac:dyDescent="0.25">
      <c r="A6743" s="5" t="s">
        <v>6776</v>
      </c>
      <c r="B6743" s="5" t="s">
        <v>8610</v>
      </c>
      <c r="C6743" s="6" t="str">
        <f>_xll.QS.CONTEXT.CREATE("market.6741",A6743,"USD","SOFR")</f>
        <v>QSObject:PricingContext:w1~market.6741:6961</v>
      </c>
      <c r="D6743" s="6" t="str">
        <f>_xll.QS.CONTEXT.ADD.CURVE(C6743,"SOFR",$K$2:$K$7,$L$2:$L$7,,,"Actual360","LogLinear",TRUE)</f>
        <v>QSObject:ContextInput:w1~input.qs_context_add_curve.2359132437744.6742.3.0:33705</v>
      </c>
      <c r="E6743" s="6" t="str">
        <f>_xll.QS.INSTRUMENT.SWAP("swap.6741",H6743,B6743,"USD","SOFR",I6743,J6743,0,"Actual360","Simple","Annual","Annual","Annual")</f>
        <v>QSObject:Swap:w1~swap.6741:6960</v>
      </c>
      <c r="F6743" s="6" t="str">
        <f>_xll.QS.TRADE.CREATE("trade.6741",E6743,A6743,"Receive")</f>
        <v>QSObject:SwapTrade:w1~trade.6741:25151</v>
      </c>
      <c r="G6743" s="3">
        <f>_xll.QS.EVALUATE(C6743,F6743)</f>
        <v>54567.190746030079</v>
      </c>
      <c r="H6743" s="5" t="s">
        <v>6783</v>
      </c>
      <c r="I6743" s="7">
        <v>1674100</v>
      </c>
      <c r="J6743" s="8">
        <v>3.9100000000000003E-2</v>
      </c>
    </row>
    <row r="6744" spans="1:10" x14ac:dyDescent="0.25">
      <c r="A6744" s="5" t="s">
        <v>6777</v>
      </c>
      <c r="B6744" s="5" t="s">
        <v>8611</v>
      </c>
      <c r="C6744" s="6" t="str">
        <f>_xll.QS.CONTEXT.CREATE("market.6742",A6744,"USD","SOFR")</f>
        <v>QSObject:PricingContext:w1~market.6742:6959</v>
      </c>
      <c r="D6744" s="6" t="str">
        <f>_xll.QS.CONTEXT.ADD.CURVE(C6744,"SOFR",$K$2:$K$7,$L$2:$L$7,,,"Actual360","LogLinear",TRUE)</f>
        <v>QSObject:ContextInput:w1~input.qs_context_add_curve.2359132437744.6743.3.0:33704</v>
      </c>
      <c r="E6744" s="6" t="str">
        <f>_xll.QS.INSTRUMENT.SWAP("swap.6742",H6744,B6744,"USD","SOFR",I6744,J6744,0,"Actual360","Simple","Annual","Annual","Annual")</f>
        <v>QSObject:Swap:w1~swap.6742:6958</v>
      </c>
      <c r="F6744" s="6" t="str">
        <f>_xll.QS.TRADE.CREATE("trade.6742",E6744,A6744,"Receive")</f>
        <v>QSObject:SwapTrade:w1~trade.6742:25150</v>
      </c>
      <c r="G6744" s="3">
        <f>_xll.QS.EVALUATE(C6744,F6744)</f>
        <v>55379.955727351495</v>
      </c>
      <c r="H6744" s="5" t="s">
        <v>6784</v>
      </c>
      <c r="I6744" s="7">
        <v>1674200</v>
      </c>
      <c r="J6744" s="8">
        <v>3.9200000000000013E-2</v>
      </c>
    </row>
    <row r="6745" spans="1:10" x14ac:dyDescent="0.25">
      <c r="A6745" s="5" t="s">
        <v>6778</v>
      </c>
      <c r="B6745" s="5" t="s">
        <v>8612</v>
      </c>
      <c r="C6745" s="6" t="str">
        <f>_xll.QS.CONTEXT.CREATE("market.6743",A6745,"USD","SOFR")</f>
        <v>QSObject:PricingContext:w1~market.6743:6957</v>
      </c>
      <c r="D6745" s="6" t="str">
        <f>_xll.QS.CONTEXT.ADD.CURVE(C6745,"SOFR",$K$2:$K$7,$L$2:$L$7,,,"Actual360","LogLinear",TRUE)</f>
        <v>QSObject:ContextInput:w1~input.qs_context_add_curve.2359132437744.6744.3.0:33703</v>
      </c>
      <c r="E6745" s="6" t="str">
        <f>_xll.QS.INSTRUMENT.SWAP("swap.6743",H6745,B6745,"USD","SOFR",I6745,J6745,0,"Actual360","Simple","Annual","Annual","Annual")</f>
        <v>QSObject:Swap:w1~swap.6743:6956</v>
      </c>
      <c r="F6745" s="6" t="str">
        <f>_xll.QS.TRADE.CREATE("trade.6743",E6745,A6745,"Receive")</f>
        <v>QSObject:SwapTrade:w1~trade.6743:25149</v>
      </c>
      <c r="G6745" s="3">
        <f>_xll.QS.EVALUATE(C6745,F6745)</f>
        <v>56277.854597775906</v>
      </c>
      <c r="H6745" s="5" t="s">
        <v>6785</v>
      </c>
      <c r="I6745" s="7">
        <v>1674300</v>
      </c>
      <c r="J6745" s="8">
        <v>3.9300000000000002E-2</v>
      </c>
    </row>
    <row r="6746" spans="1:10" x14ac:dyDescent="0.25">
      <c r="A6746" s="5" t="s">
        <v>6779</v>
      </c>
      <c r="B6746" s="5" t="s">
        <v>8613</v>
      </c>
      <c r="C6746" s="6" t="str">
        <f>_xll.QS.CONTEXT.CREATE("market.6744",A6746,"USD","SOFR")</f>
        <v>QSObject:PricingContext:w1~market.6744:6955</v>
      </c>
      <c r="D6746" s="6" t="str">
        <f>_xll.QS.CONTEXT.ADD.CURVE(C6746,"SOFR",$K$2:$K$7,$L$2:$L$7,,,"Actual360","LogLinear",TRUE)</f>
        <v>QSObject:ContextInput:w1~input.qs_context_add_curve.2359132437744.6745.3.0:33702</v>
      </c>
      <c r="E6746" s="6" t="str">
        <f>_xll.QS.INSTRUMENT.SWAP("swap.6744",H6746,B6746,"USD","SOFR",I6746,J6746,0,"Actual360","Simple","Annual","Annual","Annual")</f>
        <v>QSObject:Swap:w1~swap.6744:6954</v>
      </c>
      <c r="F6746" s="6" t="str">
        <f>_xll.QS.TRADE.CREATE("trade.6744",E6746,A6746,"Receive")</f>
        <v>QSObject:SwapTrade:w1~trade.6744:25148</v>
      </c>
      <c r="G6746" s="3">
        <f>_xll.QS.EVALUATE(C6746,F6746)</f>
        <v>57126.674643397018</v>
      </c>
      <c r="H6746" s="5" t="s">
        <v>6786</v>
      </c>
      <c r="I6746" s="7">
        <v>1674400</v>
      </c>
      <c r="J6746" s="8">
        <v>3.9399999999999998E-2</v>
      </c>
    </row>
    <row r="6747" spans="1:10" x14ac:dyDescent="0.25">
      <c r="A6747" s="5" t="s">
        <v>6780</v>
      </c>
      <c r="B6747" s="5" t="s">
        <v>8614</v>
      </c>
      <c r="C6747" s="6" t="str">
        <f>_xll.QS.CONTEXT.CREATE("market.6745",A6747,"USD","SOFR")</f>
        <v>QSObject:PricingContext:w1~market.6745:6953</v>
      </c>
      <c r="D6747" s="6" t="str">
        <f>_xll.QS.CONTEXT.ADD.CURVE(C6747,"SOFR",$K$2:$K$7,$L$2:$L$7,,,"Actual360","LogLinear",TRUE)</f>
        <v>QSObject:ContextInput:w1~input.qs_context_add_curve.2359132437744.6746.3.0:33701</v>
      </c>
      <c r="E6747" s="6" t="str">
        <f>_xll.QS.INSTRUMENT.SWAP("swap.6745",H6747,B6747,"USD","SOFR",I6747,J6747,0,"Actual360","Simple","Annual","Annual","Annual")</f>
        <v>QSObject:Swap:w1~swap.6745:6952</v>
      </c>
      <c r="F6747" s="6" t="str">
        <f>_xll.QS.TRADE.CREATE("trade.6745",E6747,A6747,"Receive")</f>
        <v>QSObject:SwapTrade:w1~trade.6745:25147</v>
      </c>
      <c r="G6747" s="3">
        <f>_xll.QS.EVALUATE(C6747,F6747)</f>
        <v>57837.571357474793</v>
      </c>
      <c r="H6747" s="5" t="s">
        <v>6787</v>
      </c>
      <c r="I6747" s="7">
        <v>1674500</v>
      </c>
      <c r="J6747" s="8">
        <v>3.9500000000000007E-2</v>
      </c>
    </row>
    <row r="6748" spans="1:10" x14ac:dyDescent="0.25">
      <c r="A6748" s="5" t="s">
        <v>6781</v>
      </c>
      <c r="B6748" s="5" t="s">
        <v>8615</v>
      </c>
      <c r="C6748" s="6" t="str">
        <f>_xll.QS.CONTEXT.CREATE("market.6746",A6748,"USD","SOFR")</f>
        <v>QSObject:PricingContext:w1~market.6746:6951</v>
      </c>
      <c r="D6748" s="6" t="str">
        <f>_xll.QS.CONTEXT.ADD.CURVE(C6748,"SOFR",$K$2:$K$7,$L$2:$L$7,,,"Actual360","LogLinear",TRUE)</f>
        <v>QSObject:ContextInput:w1~input.qs_context_add_curve.2359132437744.6747.3.0:33700</v>
      </c>
      <c r="E6748" s="6" t="str">
        <f>_xll.QS.INSTRUMENT.SWAP("swap.6746",H6748,B6748,"USD","SOFR",I6748,J6748,0,"Actual360","Simple","Annual","Annual","Annual")</f>
        <v>QSObject:Swap:w1~swap.6746:6950</v>
      </c>
      <c r="F6748" s="6" t="str">
        <f>_xll.QS.TRADE.CREATE("trade.6746",E6748,A6748,"Receive")</f>
        <v>QSObject:SwapTrade:w1~trade.6746:25146</v>
      </c>
      <c r="G6748" s="3">
        <f>_xll.QS.EVALUATE(C6748,F6748)</f>
        <v>58473.651259335689</v>
      </c>
      <c r="H6748" s="5" t="s">
        <v>6788</v>
      </c>
      <c r="I6748" s="7">
        <v>1674600</v>
      </c>
      <c r="J6748" s="8">
        <v>3.9600000000000003E-2</v>
      </c>
    </row>
    <row r="6749" spans="1:10" x14ac:dyDescent="0.25">
      <c r="A6749" s="5" t="s">
        <v>6782</v>
      </c>
      <c r="B6749" s="5" t="s">
        <v>8616</v>
      </c>
      <c r="C6749" s="6" t="str">
        <f>_xll.QS.CONTEXT.CREATE("market.6747",A6749,"USD","SOFR")</f>
        <v>QSObject:PricingContext:w1~market.6747:6949</v>
      </c>
      <c r="D6749" s="6" t="str">
        <f>_xll.QS.CONTEXT.ADD.CURVE(C6749,"SOFR",$K$2:$K$7,$L$2:$L$7,,,"Actual360","LogLinear",TRUE)</f>
        <v>QSObject:ContextInput:w1~input.qs_context_add_curve.2359132437744.6748.3.0:33699</v>
      </c>
      <c r="E6749" s="6" t="str">
        <f>_xll.QS.INSTRUMENT.SWAP("swap.6747",H6749,B6749,"USD","SOFR",I6749,J6749,0,"Actual360","Simple","Annual","Annual","Annual")</f>
        <v>QSObject:Swap:w1~swap.6747:6948</v>
      </c>
      <c r="F6749" s="6" t="str">
        <f>_xll.QS.TRADE.CREATE("trade.6747",E6749,A6749,"Receive")</f>
        <v>QSObject:SwapTrade:w1~trade.6747:25145</v>
      </c>
      <c r="G6749" s="3">
        <f>_xll.QS.EVALUATE(C6749,F6749)</f>
        <v>59253.287114119834</v>
      </c>
      <c r="H6749" s="5" t="s">
        <v>6789</v>
      </c>
      <c r="I6749" s="7">
        <v>1674700</v>
      </c>
      <c r="J6749" s="8">
        <v>3.9700000000000013E-2</v>
      </c>
    </row>
    <row r="6750" spans="1:10" x14ac:dyDescent="0.25">
      <c r="A6750" s="5" t="s">
        <v>6783</v>
      </c>
      <c r="B6750" s="5" t="s">
        <v>8617</v>
      </c>
      <c r="C6750" s="6" t="str">
        <f>_xll.QS.CONTEXT.CREATE("market.6748",A6750,"USD","SOFR")</f>
        <v>QSObject:PricingContext:w1~market.6748:6947</v>
      </c>
      <c r="D6750" s="6" t="str">
        <f>_xll.QS.CONTEXT.ADD.CURVE(C6750,"SOFR",$K$2:$K$7,$L$2:$L$7,,,"Actual360","LogLinear",TRUE)</f>
        <v>QSObject:ContextInput:w1~input.qs_context_add_curve.2359132437744.6749.3.0:33698</v>
      </c>
      <c r="E6750" s="6" t="str">
        <f>_xll.QS.INSTRUMENT.SWAP("swap.6748",H6750,B6750,"USD","SOFR",I6750,J6750,0,"Actual360","Simple","Annual","Annual","Annual")</f>
        <v>QSObject:Swap:w1~swap.6748:6946</v>
      </c>
      <c r="F6750" s="6" t="str">
        <f>_xll.QS.TRADE.CREATE("trade.6748",E6750,A6750,"Receive")</f>
        <v>QSObject:SwapTrade:w1~trade.6748:25144</v>
      </c>
      <c r="G6750" s="3">
        <f>_xll.QS.EVALUATE(C6750,F6750)</f>
        <v>60100.859513644195</v>
      </c>
      <c r="H6750" s="5" t="s">
        <v>6790</v>
      </c>
      <c r="I6750" s="7">
        <v>1674800</v>
      </c>
      <c r="J6750" s="8">
        <v>3.9800000000000002E-2</v>
      </c>
    </row>
    <row r="6751" spans="1:10" x14ac:dyDescent="0.25">
      <c r="A6751" s="5" t="s">
        <v>6784</v>
      </c>
      <c r="B6751" s="5" t="s">
        <v>8618</v>
      </c>
      <c r="C6751" s="6" t="str">
        <f>_xll.QS.CONTEXT.CREATE("market.6749",A6751,"USD","SOFR")</f>
        <v>QSObject:PricingContext:w1~market.6749:6945</v>
      </c>
      <c r="D6751" s="6" t="str">
        <f>_xll.QS.CONTEXT.ADD.CURVE(C6751,"SOFR",$K$2:$K$7,$L$2:$L$7,,,"Actual360","LogLinear",TRUE)</f>
        <v>QSObject:ContextInput:w1~input.qs_context_add_curve.2359132437744.6750.3.0:33697</v>
      </c>
      <c r="E6751" s="6" t="str">
        <f>_xll.QS.INSTRUMENT.SWAP("swap.6749",H6751,B6751,"USD","SOFR",I6751,J6751,0,"Actual360","Simple","Annual","Annual","Annual")</f>
        <v>QSObject:Swap:w1~swap.6749:6944</v>
      </c>
      <c r="F6751" s="6" t="str">
        <f>_xll.QS.TRADE.CREATE("trade.6749",E6751,A6751,"Receive")</f>
        <v>QSObject:SwapTrade:w1~trade.6749:25143</v>
      </c>
      <c r="G6751" s="3">
        <f>_xll.QS.EVALUATE(C6751,F6751)</f>
        <v>60809.561128110981</v>
      </c>
      <c r="H6751" s="5" t="s">
        <v>6791</v>
      </c>
      <c r="I6751" s="7">
        <v>1674900</v>
      </c>
      <c r="J6751" s="8">
        <v>3.9899999999999998E-2</v>
      </c>
    </row>
    <row r="6752" spans="1:10" x14ac:dyDescent="0.25">
      <c r="A6752" s="5" t="s">
        <v>6785</v>
      </c>
      <c r="B6752" s="5" t="s">
        <v>8619</v>
      </c>
      <c r="C6752" s="6" t="str">
        <f>_xll.QS.CONTEXT.CREATE("market.6750",A6752,"USD","SOFR")</f>
        <v>QSObject:PricingContext:w1~market.6750:6943</v>
      </c>
      <c r="D6752" s="6" t="str">
        <f>_xll.QS.CONTEXT.ADD.CURVE(C6752,"SOFR",$K$2:$K$7,$L$2:$L$7,,,"Actual360","LogLinear",TRUE)</f>
        <v>QSObject:ContextInput:w1~input.qs_context_add_curve.2359132437744.6751.3.0:33696</v>
      </c>
      <c r="E6752" s="6" t="str">
        <f>_xll.QS.INSTRUMENT.SWAP("swap.6750",H6752,B6752,"USD","SOFR",I6752,J6752,0,"Actual360","Simple","Annual","Annual","Annual")</f>
        <v>QSObject:Swap:w1~swap.6750:6942</v>
      </c>
      <c r="F6752" s="6" t="str">
        <f>_xll.QS.TRADE.CREATE("trade.6750",E6752,A6752,"Receive")</f>
        <v>QSObject:SwapTrade:w1~trade.6750:25142</v>
      </c>
      <c r="G6752" s="3">
        <f>_xll.QS.EVALUATE(C6752,F6752)</f>
        <v>23087.729224666145</v>
      </c>
      <c r="H6752" s="5" t="s">
        <v>6792</v>
      </c>
      <c r="I6752" s="7">
        <v>1675000</v>
      </c>
      <c r="J6752" s="8">
        <v>3.5000000000000003E-2</v>
      </c>
    </row>
    <row r="6753" spans="1:10" x14ac:dyDescent="0.25">
      <c r="A6753" s="5" t="s">
        <v>6786</v>
      </c>
      <c r="B6753" s="5" t="s">
        <v>8620</v>
      </c>
      <c r="C6753" s="6" t="str">
        <f>_xll.QS.CONTEXT.CREATE("market.6751",A6753,"USD","SOFR")</f>
        <v>QSObject:PricingContext:w1~market.6751:6941</v>
      </c>
      <c r="D6753" s="6" t="str">
        <f>_xll.QS.CONTEXT.ADD.CURVE(C6753,"SOFR",$K$2:$K$7,$L$2:$L$7,,,"Actual360","LogLinear",TRUE)</f>
        <v>QSObject:ContextInput:w1~input.qs_context_add_curve.2359132437744.6752.3.0:33695</v>
      </c>
      <c r="E6753" s="6" t="str">
        <f>_xll.QS.INSTRUMENT.SWAP("swap.6751",H6753,B6753,"USD","SOFR",I6753,J6753,0,"Actual360","Simple","Annual","Annual","Annual")</f>
        <v>QSObject:Swap:w1~swap.6751:6940</v>
      </c>
      <c r="F6753" s="6" t="str">
        <f>_xll.QS.TRADE.CREATE("trade.6751",E6753,A6753,"Receive")</f>
        <v>QSObject:SwapTrade:w1~trade.6751:25141</v>
      </c>
      <c r="G6753" s="3">
        <f>_xll.QS.EVALUATE(C6753,F6753)</f>
        <v>23866.226973783458</v>
      </c>
      <c r="H6753" s="5" t="s">
        <v>6793</v>
      </c>
      <c r="I6753" s="7">
        <v>1675100</v>
      </c>
      <c r="J6753" s="8">
        <v>3.5100000000000013E-2</v>
      </c>
    </row>
    <row r="6754" spans="1:10" x14ac:dyDescent="0.25">
      <c r="A6754" s="5" t="s">
        <v>6787</v>
      </c>
      <c r="B6754" s="5" t="s">
        <v>8621</v>
      </c>
      <c r="C6754" s="6" t="str">
        <f>_xll.QS.CONTEXT.CREATE("market.6752",A6754,"USD","SOFR")</f>
        <v>QSObject:PricingContext:w1~market.6752:6939</v>
      </c>
      <c r="D6754" s="6" t="str">
        <f>_xll.QS.CONTEXT.ADD.CURVE(C6754,"SOFR",$K$2:$K$7,$L$2:$L$7,,,"Actual360","LogLinear",TRUE)</f>
        <v>QSObject:ContextInput:w1~input.qs_context_add_curve.2359132437744.6753.3.0:33694</v>
      </c>
      <c r="E6754" s="6" t="str">
        <f>_xll.QS.INSTRUMENT.SWAP("swap.6752",H6754,B6754,"USD","SOFR",I6754,J6754,0,"Actual360","Simple","Annual","Annual","Annual")</f>
        <v>QSObject:Swap:w1~swap.6752:6938</v>
      </c>
      <c r="F6754" s="6" t="str">
        <f>_xll.QS.TRADE.CREATE("trade.6752",E6754,A6754,"Receive")</f>
        <v>QSObject:SwapTrade:w1~trade.6752:25140</v>
      </c>
      <c r="G6754" s="3">
        <f>_xll.QS.EVALUATE(C6754,F6754)</f>
        <v>24543.50014064784</v>
      </c>
      <c r="H6754" s="5" t="s">
        <v>6794</v>
      </c>
      <c r="I6754" s="7">
        <v>1675200</v>
      </c>
      <c r="J6754" s="8">
        <v>3.5200000000000002E-2</v>
      </c>
    </row>
    <row r="6755" spans="1:10" x14ac:dyDescent="0.25">
      <c r="A6755" s="5" t="s">
        <v>6788</v>
      </c>
      <c r="B6755" s="5" t="s">
        <v>8622</v>
      </c>
      <c r="C6755" s="6" t="str">
        <f>_xll.QS.CONTEXT.CREATE("market.6753",A6755,"USD","SOFR")</f>
        <v>QSObject:PricingContext:w1~market.6753:6937</v>
      </c>
      <c r="D6755" s="6" t="str">
        <f>_xll.QS.CONTEXT.ADD.CURVE(C6755,"SOFR",$K$2:$K$7,$L$2:$L$7,,,"Actual360","LogLinear",TRUE)</f>
        <v>QSObject:ContextInput:w1~input.qs_context_add_curve.2359132437744.6754.3.0:33693</v>
      </c>
      <c r="E6755" s="6" t="str">
        <f>_xll.QS.INSTRUMENT.SWAP("swap.6753",H6755,B6755,"USD","SOFR",I6755,J6755,0,"Actual360","Simple","Annual","Annual","Annual")</f>
        <v>QSObject:Swap:w1~swap.6753:6936</v>
      </c>
      <c r="F6755" s="6" t="str">
        <f>_xll.QS.TRADE.CREATE("trade.6753",E6755,A6755,"Receive")</f>
        <v>QSObject:SwapTrade:w1~trade.6753:25139</v>
      </c>
      <c r="G6755" s="3">
        <f>_xll.QS.EVALUATE(C6755,F6755)</f>
        <v>25318.684816840017</v>
      </c>
      <c r="H6755" s="5" t="s">
        <v>6795</v>
      </c>
      <c r="I6755" s="7">
        <v>1675300</v>
      </c>
      <c r="J6755" s="8">
        <v>3.5299999999999998E-2</v>
      </c>
    </row>
    <row r="6756" spans="1:10" x14ac:dyDescent="0.25">
      <c r="A6756" s="5" t="s">
        <v>6789</v>
      </c>
      <c r="B6756" s="5" t="s">
        <v>8623</v>
      </c>
      <c r="C6756" s="6" t="str">
        <f>_xll.QS.CONTEXT.CREATE("market.6754",A6756,"USD","SOFR")</f>
        <v>QSObject:PricingContext:w1~market.6754:6935</v>
      </c>
      <c r="D6756" s="6" t="str">
        <f>_xll.QS.CONTEXT.ADD.CURVE(C6756,"SOFR",$K$2:$K$7,$L$2:$L$7,,,"Actual360","LogLinear",TRUE)</f>
        <v>QSObject:ContextInput:w1~input.qs_context_add_curve.2359132437744.6755.3.0:33692</v>
      </c>
      <c r="E6756" s="6" t="str">
        <f>_xll.QS.INSTRUMENT.SWAP("swap.6754",H6756,B6756,"USD","SOFR",I6756,J6756,0,"Actual360","Simple","Annual","Annual","Annual")</f>
        <v>QSObject:Swap:w1~swap.6754:6934</v>
      </c>
      <c r="F6756" s="6" t="str">
        <f>_xll.QS.TRADE.CREATE("trade.6754",E6756,A6756,"Receive")</f>
        <v>QSObject:SwapTrade:w1~trade.6754:25138</v>
      </c>
      <c r="G6756" s="3">
        <f>_xll.QS.EVALUATE(C6756,F6756)</f>
        <v>25942.243243975157</v>
      </c>
      <c r="H6756" s="5" t="s">
        <v>6796</v>
      </c>
      <c r="I6756" s="7">
        <v>1675400</v>
      </c>
      <c r="J6756" s="8">
        <v>3.5400000000000001E-2</v>
      </c>
    </row>
    <row r="6757" spans="1:10" x14ac:dyDescent="0.25">
      <c r="A6757" s="5" t="s">
        <v>6790</v>
      </c>
      <c r="B6757" s="5" t="s">
        <v>8624</v>
      </c>
      <c r="C6757" s="6" t="str">
        <f>_xll.QS.CONTEXT.CREATE("market.6755",A6757,"USD","SOFR")</f>
        <v>QSObject:PricingContext:w1~market.6755:6933</v>
      </c>
      <c r="D6757" s="6" t="str">
        <f>_xll.QS.CONTEXT.ADD.CURVE(C6757,"SOFR",$K$2:$K$7,$L$2:$L$7,,,"Actual360","LogLinear",TRUE)</f>
        <v>QSObject:ContextInput:w1~input.qs_context_add_curve.2359132437744.6756.3.0:33691</v>
      </c>
      <c r="E6757" s="6" t="str">
        <f>_xll.QS.INSTRUMENT.SWAP("swap.6755",H6757,B6757,"USD","SOFR",I6757,J6757,0,"Actual360","Simple","Annual","Annual","Annual")</f>
        <v>QSObject:Swap:w1~swap.6755:6932</v>
      </c>
      <c r="F6757" s="6" t="str">
        <f>_xll.QS.TRADE.CREATE("trade.6755",E6757,A6757,"Receive")</f>
        <v>QSObject:SwapTrade:w1~trade.6755:25137</v>
      </c>
      <c r="G6757" s="3">
        <f>_xll.QS.EVALUATE(C6757,F6757)</f>
        <v>26846.522554034033</v>
      </c>
      <c r="H6757" s="5" t="s">
        <v>6797</v>
      </c>
      <c r="I6757" s="7">
        <v>1675500</v>
      </c>
      <c r="J6757" s="8">
        <v>3.5499999999999997E-2</v>
      </c>
    </row>
    <row r="6758" spans="1:10" x14ac:dyDescent="0.25">
      <c r="A6758" s="5" t="s">
        <v>6791</v>
      </c>
      <c r="B6758" s="5" t="s">
        <v>8625</v>
      </c>
      <c r="C6758" s="6" t="str">
        <f>_xll.QS.CONTEXT.CREATE("market.6756",A6758,"USD","SOFR")</f>
        <v>QSObject:PricingContext:w1~market.6756:6931</v>
      </c>
      <c r="D6758" s="6" t="str">
        <f>_xll.QS.CONTEXT.ADD.CURVE(C6758,"SOFR",$K$2:$K$7,$L$2:$L$7,,,"Actual360","LogLinear",TRUE)</f>
        <v>QSObject:ContextInput:w1~input.qs_context_add_curve.2359132437744.6757.3.0:33690</v>
      </c>
      <c r="E6758" s="6" t="str">
        <f>_xll.QS.INSTRUMENT.SWAP("swap.6756",H6758,B6758,"USD","SOFR",I6758,J6758,0,"Actual360","Simple","Annual","Annual","Annual")</f>
        <v>QSObject:Swap:w1~swap.6756:6930</v>
      </c>
      <c r="F6758" s="6" t="str">
        <f>_xll.QS.TRADE.CREATE("trade.6756",E6758,A6758,"Receive")</f>
        <v>QSObject:SwapTrade:w1~trade.6756:25136</v>
      </c>
      <c r="G6758" s="3">
        <f>_xll.QS.EVALUATE(C6758,F6758)</f>
        <v>27794.411129767956</v>
      </c>
      <c r="H6758" s="5" t="s">
        <v>6798</v>
      </c>
      <c r="I6758" s="7">
        <v>1675600</v>
      </c>
      <c r="J6758" s="8">
        <v>3.5600000000000007E-2</v>
      </c>
    </row>
    <row r="6759" spans="1:10" x14ac:dyDescent="0.25">
      <c r="A6759" s="5" t="s">
        <v>6792</v>
      </c>
      <c r="B6759" s="5" t="s">
        <v>8626</v>
      </c>
      <c r="C6759" s="6" t="str">
        <f>_xll.QS.CONTEXT.CREATE("market.6757",A6759,"USD","SOFR")</f>
        <v>QSObject:PricingContext:w1~market.6757:6929</v>
      </c>
      <c r="D6759" s="6" t="str">
        <f>_xll.QS.CONTEXT.ADD.CURVE(C6759,"SOFR",$K$2:$K$7,$L$2:$L$7,,,"Actual360","LogLinear",TRUE)</f>
        <v>QSObject:ContextInput:w1~input.qs_context_add_curve.2359132437744.6758.3.0:33689</v>
      </c>
      <c r="E6759" s="6" t="str">
        <f>_xll.QS.INSTRUMENT.SWAP("swap.6757",H6759,B6759,"USD","SOFR",I6759,J6759,0,"Actual360","Simple","Annual","Annual","Annual")</f>
        <v>QSObject:Swap:w1~swap.6757:6928</v>
      </c>
      <c r="F6759" s="6" t="str">
        <f>_xll.QS.TRADE.CREATE("trade.6757",E6759,A6759,"Receive")</f>
        <v>QSObject:SwapTrade:w1~trade.6757:25135</v>
      </c>
      <c r="G6759" s="3">
        <f>_xll.QS.EVALUATE(C6759,F6759)</f>
        <v>28584.492243717083</v>
      </c>
      <c r="H6759" s="5" t="s">
        <v>6799</v>
      </c>
      <c r="I6759" s="7">
        <v>1675700</v>
      </c>
      <c r="J6759" s="8">
        <v>3.5700000000000003E-2</v>
      </c>
    </row>
    <row r="6760" spans="1:10" x14ac:dyDescent="0.25">
      <c r="A6760" s="5" t="s">
        <v>6793</v>
      </c>
      <c r="B6760" s="5" t="s">
        <v>8627</v>
      </c>
      <c r="C6760" s="6" t="str">
        <f>_xll.QS.CONTEXT.CREATE("market.6758",A6760,"USD","SOFR")</f>
        <v>QSObject:PricingContext:w1~market.6758:6927</v>
      </c>
      <c r="D6760" s="6" t="str">
        <f>_xll.QS.CONTEXT.ADD.CURVE(C6760,"SOFR",$K$2:$K$7,$L$2:$L$7,,,"Actual360","LogLinear",TRUE)</f>
        <v>QSObject:ContextInput:w1~input.qs_context_add_curve.2359132437744.6759.3.0:33688</v>
      </c>
      <c r="E6760" s="6" t="str">
        <f>_xll.QS.INSTRUMENT.SWAP("swap.6758",H6760,B6760,"USD","SOFR",I6760,J6760,0,"Actual360","Simple","Annual","Annual","Annual")</f>
        <v>QSObject:Swap:w1~swap.6758:6926</v>
      </c>
      <c r="F6760" s="6" t="str">
        <f>_xll.QS.TRADE.CREATE("trade.6758",E6760,A6760,"Receive")</f>
        <v>QSObject:SwapTrade:w1~trade.6758:25134</v>
      </c>
      <c r="G6760" s="3">
        <f>_xll.QS.EVALUATE(C6760,F6760)</f>
        <v>29356.126279019853</v>
      </c>
      <c r="H6760" s="5" t="s">
        <v>6800</v>
      </c>
      <c r="I6760" s="7">
        <v>1675800</v>
      </c>
      <c r="J6760" s="8">
        <v>3.5800000000000012E-2</v>
      </c>
    </row>
    <row r="6761" spans="1:10" x14ac:dyDescent="0.25">
      <c r="A6761" s="5" t="s">
        <v>6794</v>
      </c>
      <c r="B6761" s="5" t="s">
        <v>8628</v>
      </c>
      <c r="C6761" s="6" t="str">
        <f>_xll.QS.CONTEXT.CREATE("market.6759",A6761,"USD","SOFR")</f>
        <v>QSObject:PricingContext:w1~market.6759:6925</v>
      </c>
      <c r="D6761" s="6" t="str">
        <f>_xll.QS.CONTEXT.ADD.CURVE(C6761,"SOFR",$K$2:$K$7,$L$2:$L$7,,,"Actual360","LogLinear",TRUE)</f>
        <v>QSObject:ContextInput:w1~input.qs_context_add_curve.2359132437744.6760.3.0:33687</v>
      </c>
      <c r="E6761" s="6" t="str">
        <f>_xll.QS.INSTRUMENT.SWAP("swap.6759",H6761,B6761,"USD","SOFR",I6761,J6761,0,"Actual360","Simple","Annual","Annual","Annual")</f>
        <v>QSObject:Swap:w1~swap.6759:6924</v>
      </c>
      <c r="F6761" s="6" t="str">
        <f>_xll.QS.TRADE.CREATE("trade.6759",E6761,A6761,"Receive")</f>
        <v>QSObject:SwapTrade:w1~trade.6759:25133</v>
      </c>
      <c r="G6761" s="3">
        <f>_xll.QS.EVALUATE(C6761,F6761)</f>
        <v>30064.292817999929</v>
      </c>
      <c r="H6761" s="5" t="s">
        <v>6801</v>
      </c>
      <c r="I6761" s="7">
        <v>1675900</v>
      </c>
      <c r="J6761" s="8">
        <v>3.5900000000000001E-2</v>
      </c>
    </row>
    <row r="6762" spans="1:10" x14ac:dyDescent="0.25">
      <c r="A6762" s="5" t="s">
        <v>6795</v>
      </c>
      <c r="B6762" s="5" t="s">
        <v>8629</v>
      </c>
      <c r="C6762" s="6" t="str">
        <f>_xll.QS.CONTEXT.CREATE("market.6760",A6762,"USD","SOFR")</f>
        <v>QSObject:PricingContext:w1~market.6760:6923</v>
      </c>
      <c r="D6762" s="6" t="str">
        <f>_xll.QS.CONTEXT.ADD.CURVE(C6762,"SOFR",$K$2:$K$7,$L$2:$L$7,,,"Actual360","LogLinear",TRUE)</f>
        <v>QSObject:ContextInput:w1~input.qs_context_add_curve.2359132437744.6761.3.0:33686</v>
      </c>
      <c r="E6762" s="6" t="str">
        <f>_xll.QS.INSTRUMENT.SWAP("swap.6760",H6762,B6762,"USD","SOFR",I6762,J6762,0,"Actual360","Simple","Annual","Annual","Annual")</f>
        <v>QSObject:Swap:w1~swap.6760:6922</v>
      </c>
      <c r="F6762" s="6" t="str">
        <f>_xll.QS.TRADE.CREATE("trade.6760",E6762,A6762,"Receive")</f>
        <v>QSObject:SwapTrade:w1~trade.6760:25132</v>
      </c>
      <c r="G6762" s="3">
        <f>_xll.QS.EVALUATE(C6762,F6762)</f>
        <v>30732.006406693239</v>
      </c>
      <c r="H6762" s="5" t="s">
        <v>6802</v>
      </c>
      <c r="I6762" s="7">
        <v>1676000</v>
      </c>
      <c r="J6762" s="8">
        <v>3.5999999999999997E-2</v>
      </c>
    </row>
    <row r="6763" spans="1:10" x14ac:dyDescent="0.25">
      <c r="A6763" s="5" t="s">
        <v>6796</v>
      </c>
      <c r="B6763" s="5" t="s">
        <v>8630</v>
      </c>
      <c r="C6763" s="6" t="str">
        <f>_xll.QS.CONTEXT.CREATE("market.6761",A6763,"USD","SOFR")</f>
        <v>QSObject:PricingContext:w1~market.6761:6921</v>
      </c>
      <c r="D6763" s="6" t="str">
        <f>_xll.QS.CONTEXT.ADD.CURVE(C6763,"SOFR",$K$2:$K$7,$L$2:$L$7,,,"Actual360","LogLinear",TRUE)</f>
        <v>QSObject:ContextInput:w1~input.qs_context_add_curve.2359132437744.6762.3.0:33685</v>
      </c>
      <c r="E6763" s="6" t="str">
        <f>_xll.QS.INSTRUMENT.SWAP("swap.6761",H6763,B6763,"USD","SOFR",I6763,J6763,0,"Actual360","Simple","Annual","Annual","Annual")</f>
        <v>QSObject:Swap:w1~swap.6761:6920</v>
      </c>
      <c r="F6763" s="6" t="str">
        <f>_xll.QS.TRADE.CREATE("trade.6761",E6763,A6763,"Receive")</f>
        <v>QSObject:SwapTrade:w1~trade.6761:25131</v>
      </c>
      <c r="G6763" s="3">
        <f>_xll.QS.EVALUATE(C6763,F6763)</f>
        <v>31364.460468209618</v>
      </c>
      <c r="H6763" s="5" t="s">
        <v>6803</v>
      </c>
      <c r="I6763" s="7">
        <v>1676100</v>
      </c>
      <c r="J6763" s="8">
        <v>3.61E-2</v>
      </c>
    </row>
    <row r="6764" spans="1:10" x14ac:dyDescent="0.25">
      <c r="A6764" s="5" t="s">
        <v>6797</v>
      </c>
      <c r="B6764" s="5" t="s">
        <v>8631</v>
      </c>
      <c r="C6764" s="6" t="str">
        <f>_xll.QS.CONTEXT.CREATE("market.6762",A6764,"USD","SOFR")</f>
        <v>QSObject:PricingContext:w1~market.6762:6919</v>
      </c>
      <c r="D6764" s="6" t="str">
        <f>_xll.QS.CONTEXT.ADD.CURVE(C6764,"SOFR",$K$2:$K$7,$L$2:$L$7,,,"Actual360","LogLinear",TRUE)</f>
        <v>QSObject:ContextInput:w1~input.qs_context_add_curve.2359132437744.6763.3.0:33684</v>
      </c>
      <c r="E6764" s="6" t="str">
        <f>_xll.QS.INSTRUMENT.SWAP("swap.6762",H6764,B6764,"USD","SOFR",I6764,J6764,0,"Actual360","Simple","Annual","Annual","Annual")</f>
        <v>QSObject:Swap:w1~swap.6762:6918</v>
      </c>
      <c r="F6764" s="6" t="str">
        <f>_xll.QS.TRADE.CREATE("trade.6762",E6764,A6764,"Receive")</f>
        <v>QSObject:SwapTrade:w1~trade.6762:25130</v>
      </c>
      <c r="G6764" s="3">
        <f>_xll.QS.EVALUATE(C6764,F6764)</f>
        <v>32209.229401254612</v>
      </c>
      <c r="H6764" s="5" t="s">
        <v>6804</v>
      </c>
      <c r="I6764" s="7">
        <v>1676200</v>
      </c>
      <c r="J6764" s="8">
        <v>3.6200000000000003E-2</v>
      </c>
    </row>
    <row r="6765" spans="1:10" x14ac:dyDescent="0.25">
      <c r="A6765" s="5" t="s">
        <v>6798</v>
      </c>
      <c r="B6765" s="5" t="s">
        <v>8632</v>
      </c>
      <c r="C6765" s="6" t="str">
        <f>_xll.QS.CONTEXT.CREATE("market.6763",A6765,"USD","SOFR")</f>
        <v>QSObject:PricingContext:w1~market.6763:6917</v>
      </c>
      <c r="D6765" s="6" t="str">
        <f>_xll.QS.CONTEXT.ADD.CURVE(C6765,"SOFR",$K$2:$K$7,$L$2:$L$7,,,"Actual360","LogLinear",TRUE)</f>
        <v>QSObject:ContextInput:w1~input.qs_context_add_curve.2359132437744.6764.3.0:33683</v>
      </c>
      <c r="E6765" s="6" t="str">
        <f>_xll.QS.INSTRUMENT.SWAP("swap.6763",H6765,B6765,"USD","SOFR",I6765,J6765,0,"Actual360","Simple","Annual","Annual","Annual")</f>
        <v>QSObject:Swap:w1~swap.6763:6916</v>
      </c>
      <c r="F6765" s="6" t="str">
        <f>_xll.QS.TRADE.CREATE("trade.6763",E6765,A6765,"Receive")</f>
        <v>QSObject:SwapTrade:w1~trade.6763:25129</v>
      </c>
      <c r="G6765" s="3">
        <f>_xll.QS.EVALUATE(C6765,F6765)</f>
        <v>33032.546542751079</v>
      </c>
      <c r="H6765" s="5" t="s">
        <v>6805</v>
      </c>
      <c r="I6765" s="7">
        <v>1676300</v>
      </c>
      <c r="J6765" s="8">
        <v>3.6300000000000013E-2</v>
      </c>
    </row>
    <row r="6766" spans="1:10" x14ac:dyDescent="0.25">
      <c r="A6766" s="5" t="s">
        <v>6799</v>
      </c>
      <c r="B6766" s="5" t="s">
        <v>8633</v>
      </c>
      <c r="C6766" s="6" t="str">
        <f>_xll.QS.CONTEXT.CREATE("market.6764",A6766,"USD","SOFR")</f>
        <v>QSObject:PricingContext:w1~market.6764:6915</v>
      </c>
      <c r="D6766" s="6" t="str">
        <f>_xll.QS.CONTEXT.ADD.CURVE(C6766,"SOFR",$K$2:$K$7,$L$2:$L$7,,,"Actual360","LogLinear",TRUE)</f>
        <v>QSObject:ContextInput:w1~input.qs_context_add_curve.2359132437744.6765.3.0:33682</v>
      </c>
      <c r="E6766" s="6" t="str">
        <f>_xll.QS.INSTRUMENT.SWAP("swap.6764",H6766,B6766,"USD","SOFR",I6766,J6766,0,"Actual360","Simple","Annual","Annual","Annual")</f>
        <v>QSObject:Swap:w1~swap.6764:6914</v>
      </c>
      <c r="F6766" s="6" t="str">
        <f>_xll.QS.TRADE.CREATE("trade.6764",E6766,A6766,"Receive")</f>
        <v>QSObject:SwapTrade:w1~trade.6764:25128</v>
      </c>
      <c r="G6766" s="3">
        <f>_xll.QS.EVALUATE(C6766,F6766)</f>
        <v>33929.897532970288</v>
      </c>
      <c r="H6766" s="5" t="s">
        <v>6806</v>
      </c>
      <c r="I6766" s="7">
        <v>1676400</v>
      </c>
      <c r="J6766" s="8">
        <v>3.6400000000000002E-2</v>
      </c>
    </row>
    <row r="6767" spans="1:10" x14ac:dyDescent="0.25">
      <c r="A6767" s="5" t="s">
        <v>6800</v>
      </c>
      <c r="B6767" s="5" t="s">
        <v>8634</v>
      </c>
      <c r="C6767" s="6" t="str">
        <f>_xll.QS.CONTEXT.CREATE("market.6765",A6767,"USD","SOFR")</f>
        <v>QSObject:PricingContext:w1~market.6765:6913</v>
      </c>
      <c r="D6767" s="6" t="str">
        <f>_xll.QS.CONTEXT.ADD.CURVE(C6767,"SOFR",$K$2:$K$7,$L$2:$L$7,,,"Actual360","LogLinear",TRUE)</f>
        <v>QSObject:ContextInput:w1~input.qs_context_add_curve.2359132437744.6766.3.0:33681</v>
      </c>
      <c r="E6767" s="6" t="str">
        <f>_xll.QS.INSTRUMENT.SWAP("swap.6765",H6767,B6767,"USD","SOFR",I6767,J6767,0,"Actual360","Simple","Annual","Annual","Annual")</f>
        <v>QSObject:Swap:w1~swap.6765:6912</v>
      </c>
      <c r="F6767" s="6" t="str">
        <f>_xll.QS.TRADE.CREATE("trade.6765",E6767,A6767,"Receive")</f>
        <v>QSObject:SwapTrade:w1~trade.6765:25127</v>
      </c>
      <c r="G6767" s="3">
        <f>_xll.QS.EVALUATE(C6767,F6767)</f>
        <v>34778.183213644086</v>
      </c>
      <c r="H6767" s="5" t="s">
        <v>6807</v>
      </c>
      <c r="I6767" s="7">
        <v>1676500</v>
      </c>
      <c r="J6767" s="8">
        <v>3.6499999999999998E-2</v>
      </c>
    </row>
    <row r="6768" spans="1:10" x14ac:dyDescent="0.25">
      <c r="A6768" s="5" t="s">
        <v>6801</v>
      </c>
      <c r="B6768" s="5" t="s">
        <v>8635</v>
      </c>
      <c r="C6768" s="6" t="str">
        <f>_xll.QS.CONTEXT.CREATE("market.6766",A6768,"USD","SOFR")</f>
        <v>QSObject:PricingContext:w1~market.6766:6911</v>
      </c>
      <c r="D6768" s="6" t="str">
        <f>_xll.QS.CONTEXT.ADD.CURVE(C6768,"SOFR",$K$2:$K$7,$L$2:$L$7,,,"Actual360","LogLinear",TRUE)</f>
        <v>QSObject:ContextInput:w1~input.qs_context_add_curve.2359132437744.6767.3.0:33680</v>
      </c>
      <c r="E6768" s="6" t="str">
        <f>_xll.QS.INSTRUMENT.SWAP("swap.6766",H6768,B6768,"USD","SOFR",I6768,J6768,0,"Actual360","Simple","Annual","Annual","Annual")</f>
        <v>QSObject:Swap:w1~swap.6766:6910</v>
      </c>
      <c r="F6768" s="6" t="str">
        <f>_xll.QS.TRADE.CREATE("trade.6766",E6768,A6768,"Receive")</f>
        <v>QSObject:SwapTrade:w1~trade.6766:25126</v>
      </c>
      <c r="G6768" s="3">
        <f>_xll.QS.EVALUATE(C6768,F6768)</f>
        <v>35488.872161946201</v>
      </c>
      <c r="H6768" s="5" t="s">
        <v>6808</v>
      </c>
      <c r="I6768" s="7">
        <v>1676600</v>
      </c>
      <c r="J6768" s="8">
        <v>3.6600000000000001E-2</v>
      </c>
    </row>
    <row r="6769" spans="1:10" x14ac:dyDescent="0.25">
      <c r="A6769" s="5" t="s">
        <v>6802</v>
      </c>
      <c r="B6769" s="5" t="s">
        <v>8636</v>
      </c>
      <c r="C6769" s="6" t="str">
        <f>_xll.QS.CONTEXT.CREATE("market.6767",A6769,"USD","SOFR")</f>
        <v>QSObject:PricingContext:w1~market.6767:6909</v>
      </c>
      <c r="D6769" s="6" t="str">
        <f>_xll.QS.CONTEXT.ADD.CURVE(C6769,"SOFR",$K$2:$K$7,$L$2:$L$7,,,"Actual360","LogLinear",TRUE)</f>
        <v>QSObject:ContextInput:w1~input.qs_context_add_curve.2359132437744.6768.3.0:33679</v>
      </c>
      <c r="E6769" s="6" t="str">
        <f>_xll.QS.INSTRUMENT.SWAP("swap.6767",H6769,B6769,"USD","SOFR",I6769,J6769,0,"Actual360","Simple","Annual","Annual","Annual")</f>
        <v>QSObject:Swap:w1~swap.6767:6908</v>
      </c>
      <c r="F6769" s="6" t="str">
        <f>_xll.QS.TRADE.CREATE("trade.6767",E6769,A6769,"Receive")</f>
        <v>QSObject:SwapTrade:w1~trade.6767:25125</v>
      </c>
      <c r="G6769" s="3">
        <f>_xll.QS.EVALUATE(C6769,F6769)</f>
        <v>36150.813063197093</v>
      </c>
      <c r="H6769" s="5" t="s">
        <v>6809</v>
      </c>
      <c r="I6769" s="7">
        <v>1676700</v>
      </c>
      <c r="J6769" s="8">
        <v>3.6700000000000003E-2</v>
      </c>
    </row>
    <row r="6770" spans="1:10" x14ac:dyDescent="0.25">
      <c r="A6770" s="5" t="s">
        <v>6803</v>
      </c>
      <c r="B6770" s="5" t="s">
        <v>8637</v>
      </c>
      <c r="C6770" s="6" t="str">
        <f>_xll.QS.CONTEXT.CREATE("market.6768",A6770,"USD","SOFR")</f>
        <v>QSObject:PricingContext:w1~market.6768:6907</v>
      </c>
      <c r="D6770" s="6" t="str">
        <f>_xll.QS.CONTEXT.ADD.CURVE(C6770,"SOFR",$K$2:$K$7,$L$2:$L$7,,,"Actual360","LogLinear",TRUE)</f>
        <v>QSObject:ContextInput:w1~input.qs_context_add_curve.2359132437744.6769.3.0:33678</v>
      </c>
      <c r="E6770" s="6" t="str">
        <f>_xll.QS.INSTRUMENT.SWAP("swap.6768",H6770,B6770,"USD","SOFR",I6770,J6770,0,"Actual360","Simple","Annual","Annual","Annual")</f>
        <v>QSObject:Swap:w1~swap.6768:6906</v>
      </c>
      <c r="F6770" s="6" t="str">
        <f>_xll.QS.TRADE.CREATE("trade.6768",E6770,A6770,"Receive")</f>
        <v>QSObject:SwapTrade:w1~trade.6768:25124</v>
      </c>
      <c r="G6770" s="3">
        <f>_xll.QS.EVALUATE(C6770,F6770)</f>
        <v>36792.244323994462</v>
      </c>
      <c r="H6770" s="5" t="s">
        <v>6810</v>
      </c>
      <c r="I6770" s="7">
        <v>1676800</v>
      </c>
      <c r="J6770" s="8">
        <v>3.6800000000000013E-2</v>
      </c>
    </row>
    <row r="6771" spans="1:10" x14ac:dyDescent="0.25">
      <c r="A6771" s="5" t="s">
        <v>6804</v>
      </c>
      <c r="B6771" s="5" t="s">
        <v>8638</v>
      </c>
      <c r="C6771" s="6" t="str">
        <f>_xll.QS.CONTEXT.CREATE("market.6769",A6771,"USD","SOFR")</f>
        <v>QSObject:PricingContext:w1~market.6769:6905</v>
      </c>
      <c r="D6771" s="6" t="str">
        <f>_xll.QS.CONTEXT.ADD.CURVE(C6771,"SOFR",$K$2:$K$7,$L$2:$L$7,,,"Actual360","LogLinear",TRUE)</f>
        <v>QSObject:ContextInput:w1~input.qs_context_add_curve.2359132437744.6770.3.0:33677</v>
      </c>
      <c r="E6771" s="6" t="str">
        <f>_xll.QS.INSTRUMENT.SWAP("swap.6769",H6771,B6771,"USD","SOFR",I6771,J6771,0,"Actual360","Simple","Annual","Annual","Annual")</f>
        <v>QSObject:Swap:w1~swap.6769:6904</v>
      </c>
      <c r="F6771" s="6" t="str">
        <f>_xll.QS.TRADE.CREATE("trade.6769",E6771,A6771,"Receive")</f>
        <v>QSObject:SwapTrade:w1~trade.6769:25123</v>
      </c>
      <c r="G6771" s="3">
        <f>_xll.QS.EVALUATE(C6771,F6771)</f>
        <v>37638.212534737031</v>
      </c>
      <c r="H6771" s="5" t="s">
        <v>6811</v>
      </c>
      <c r="I6771" s="7">
        <v>1676900</v>
      </c>
      <c r="J6771" s="8">
        <v>3.6900000000000002E-2</v>
      </c>
    </row>
    <row r="6772" spans="1:10" x14ac:dyDescent="0.25">
      <c r="A6772" s="5" t="s">
        <v>6805</v>
      </c>
      <c r="B6772" s="5" t="s">
        <v>8639</v>
      </c>
      <c r="C6772" s="6" t="str">
        <f>_xll.QS.CONTEXT.CREATE("market.6770",A6772,"USD","SOFR")</f>
        <v>QSObject:PricingContext:w1~market.6770:6903</v>
      </c>
      <c r="D6772" s="6" t="str">
        <f>_xll.QS.CONTEXT.ADD.CURVE(C6772,"SOFR",$K$2:$K$7,$L$2:$L$7,,,"Actual360","LogLinear",TRUE)</f>
        <v>QSObject:ContextInput:w1~input.qs_context_add_curve.2359132437744.6771.3.0:33676</v>
      </c>
      <c r="E6772" s="6" t="str">
        <f>_xll.QS.INSTRUMENT.SWAP("swap.6770",H6772,B6772,"USD","SOFR",I6772,J6772,0,"Actual360","Simple","Annual","Annual","Annual")</f>
        <v>QSObject:Swap:w1~swap.6770:6902</v>
      </c>
      <c r="F6772" s="6" t="str">
        <f>_xll.QS.TRADE.CREATE("trade.6770",E6772,A6772,"Receive")</f>
        <v>QSObject:SwapTrade:w1~trade.6770:25122</v>
      </c>
      <c r="G6772" s="3">
        <f>_xll.QS.EVALUATE(C6772,F6772)</f>
        <v>38459.569604037461</v>
      </c>
      <c r="H6772" s="5" t="s">
        <v>6812</v>
      </c>
      <c r="I6772" s="7">
        <v>1677000</v>
      </c>
      <c r="J6772" s="8">
        <v>3.7000000000000012E-2</v>
      </c>
    </row>
    <row r="6773" spans="1:10" x14ac:dyDescent="0.25">
      <c r="A6773" s="5" t="s">
        <v>6806</v>
      </c>
      <c r="B6773" s="5" t="s">
        <v>8640</v>
      </c>
      <c r="C6773" s="6" t="str">
        <f>_xll.QS.CONTEXT.CREATE("market.6771",A6773,"USD","SOFR")</f>
        <v>QSObject:PricingContext:w1~market.6771:6901</v>
      </c>
      <c r="D6773" s="6" t="str">
        <f>_xll.QS.CONTEXT.ADD.CURVE(C6773,"SOFR",$K$2:$K$7,$L$2:$L$7,,,"Actual360","LogLinear",TRUE)</f>
        <v>QSObject:ContextInput:w1~input.qs_context_add_curve.2359132437744.6772.3.0:33675</v>
      </c>
      <c r="E6773" s="6" t="str">
        <f>_xll.QS.INSTRUMENT.SWAP("swap.6771",H6773,B6773,"USD","SOFR",I6773,J6773,0,"Actual360","Simple","Annual","Annual","Annual")</f>
        <v>QSObject:Swap:w1~swap.6771:6900</v>
      </c>
      <c r="F6773" s="6" t="str">
        <f>_xll.QS.TRADE.CREATE("trade.6771",E6773,A6773,"Receive")</f>
        <v>QSObject:SwapTrade:w1~trade.6771:25121</v>
      </c>
      <c r="G6773" s="3">
        <f>_xll.QS.EVALUATE(C6773,F6773)</f>
        <v>39357.697589694166</v>
      </c>
      <c r="H6773" s="5" t="s">
        <v>6813</v>
      </c>
      <c r="I6773" s="7">
        <v>1677100</v>
      </c>
      <c r="J6773" s="8">
        <v>3.7100000000000001E-2</v>
      </c>
    </row>
    <row r="6774" spans="1:10" x14ac:dyDescent="0.25">
      <c r="A6774" s="5" t="s">
        <v>6807</v>
      </c>
      <c r="B6774" s="5" t="s">
        <v>8641</v>
      </c>
      <c r="C6774" s="6" t="str">
        <f>_xll.QS.CONTEXT.CREATE("market.6772",A6774,"USD","SOFR")</f>
        <v>QSObject:PricingContext:w1~market.6772:6899</v>
      </c>
      <c r="D6774" s="6" t="str">
        <f>_xll.QS.CONTEXT.ADD.CURVE(C6774,"SOFR",$K$2:$K$7,$L$2:$L$7,,,"Actual360","LogLinear",TRUE)</f>
        <v>QSObject:ContextInput:w1~input.qs_context_add_curve.2359132437744.6773.3.0:33674</v>
      </c>
      <c r="E6774" s="6" t="str">
        <f>_xll.QS.INSTRUMENT.SWAP("swap.6772",H6774,B6774,"USD","SOFR",I6774,J6774,0,"Actual360","Simple","Annual","Annual","Annual")</f>
        <v>QSObject:Swap:w1~swap.6772:6898</v>
      </c>
      <c r="F6774" s="6" t="str">
        <f>_xll.QS.TRADE.CREATE("trade.6772",E6774,A6774,"Receive")</f>
        <v>QSObject:SwapTrade:w1~trade.6772:25120</v>
      </c>
      <c r="G6774" s="3">
        <f>_xll.QS.EVALUATE(C6774,F6774)</f>
        <v>40206.72157461453</v>
      </c>
      <c r="H6774" s="5" t="s">
        <v>6814</v>
      </c>
      <c r="I6774" s="7">
        <v>1677200</v>
      </c>
      <c r="J6774" s="8">
        <v>3.7199999999999997E-2</v>
      </c>
    </row>
    <row r="6775" spans="1:10" x14ac:dyDescent="0.25">
      <c r="A6775" s="5" t="s">
        <v>6808</v>
      </c>
      <c r="B6775" s="5" t="s">
        <v>8642</v>
      </c>
      <c r="C6775" s="6" t="str">
        <f>_xll.QS.CONTEXT.CREATE("market.6773",A6775,"USD","SOFR")</f>
        <v>QSObject:PricingContext:w1~market.6773:6897</v>
      </c>
      <c r="D6775" s="6" t="str">
        <f>_xll.QS.CONTEXT.ADD.CURVE(C6775,"SOFR",$K$2:$K$7,$L$2:$L$7,,,"Actual360","LogLinear",TRUE)</f>
        <v>QSObject:ContextInput:w1~input.qs_context_add_curve.2359132437744.6774.3.0:33673</v>
      </c>
      <c r="E6775" s="6" t="str">
        <f>_xll.QS.INSTRUMENT.SWAP("swap.6773",H6775,B6775,"USD","SOFR",I6775,J6775,0,"Actual360","Simple","Annual","Annual","Annual")</f>
        <v>QSObject:Swap:w1~swap.6773:6896</v>
      </c>
      <c r="F6775" s="6" t="str">
        <f>_xll.QS.TRADE.CREATE("trade.6773",E6775,A6775,"Receive")</f>
        <v>QSObject:SwapTrade:w1~trade.6773:25119</v>
      </c>
      <c r="G6775" s="3">
        <f>_xll.QS.EVALUATE(C6775,F6775)</f>
        <v>40917.970670077331</v>
      </c>
      <c r="H6775" s="5" t="s">
        <v>6815</v>
      </c>
      <c r="I6775" s="7">
        <v>1677300</v>
      </c>
      <c r="J6775" s="8">
        <v>3.73E-2</v>
      </c>
    </row>
    <row r="6776" spans="1:10" x14ac:dyDescent="0.25">
      <c r="A6776" s="5" t="s">
        <v>6809</v>
      </c>
      <c r="B6776" s="5" t="s">
        <v>8643</v>
      </c>
      <c r="C6776" s="6" t="str">
        <f>_xll.QS.CONTEXT.CREATE("market.6774",A6776,"USD","SOFR")</f>
        <v>QSObject:PricingContext:w1~market.6774:6895</v>
      </c>
      <c r="D6776" s="6" t="str">
        <f>_xll.QS.CONTEXT.ADD.CURVE(C6776,"SOFR",$K$2:$K$7,$L$2:$L$7,,,"Actual360","LogLinear",TRUE)</f>
        <v>QSObject:ContextInput:w1~input.qs_context_add_curve.2359132437744.6775.3.0:33672</v>
      </c>
      <c r="E6776" s="6" t="str">
        <f>_xll.QS.INSTRUMENT.SWAP("swap.6774",H6776,B6776,"USD","SOFR",I6776,J6776,0,"Actual360","Simple","Annual","Annual","Annual")</f>
        <v>QSObject:Swap:w1~swap.6774:6894</v>
      </c>
      <c r="F6776" s="6" t="str">
        <f>_xll.QS.TRADE.CREATE("trade.6774",E6776,A6776,"Receive")</f>
        <v>QSObject:SwapTrade:w1~trade.6774:25118</v>
      </c>
      <c r="G6776" s="3">
        <f>_xll.QS.EVALUATE(C6776,F6776)</f>
        <v>41574.133562088035</v>
      </c>
      <c r="H6776" s="5" t="s">
        <v>6816</v>
      </c>
      <c r="I6776" s="7">
        <v>1677400</v>
      </c>
      <c r="J6776" s="8">
        <v>3.7400000000000003E-2</v>
      </c>
    </row>
    <row r="6777" spans="1:10" x14ac:dyDescent="0.25">
      <c r="A6777" s="5" t="s">
        <v>6810</v>
      </c>
      <c r="B6777" s="5" t="s">
        <v>8644</v>
      </c>
      <c r="C6777" s="6" t="str">
        <f>_xll.QS.CONTEXT.CREATE("market.6775",A6777,"USD","SOFR")</f>
        <v>QSObject:PricingContext:w1~market.6775:6893</v>
      </c>
      <c r="D6777" s="6" t="str">
        <f>_xll.QS.CONTEXT.ADD.CURVE(C6777,"SOFR",$K$2:$K$7,$L$2:$L$7,,,"Actual360","LogLinear",TRUE)</f>
        <v>QSObject:ContextInput:w1~input.qs_context_add_curve.2359132437744.6776.3.0:33671</v>
      </c>
      <c r="E6777" s="6" t="str">
        <f>_xll.QS.INSTRUMENT.SWAP("swap.6775",H6777,B6777,"USD","SOFR",I6777,J6777,0,"Actual360","Simple","Annual","Annual","Annual")</f>
        <v>QSObject:Swap:w1~swap.6775:6892</v>
      </c>
      <c r="F6777" s="6" t="str">
        <f>_xll.QS.TRADE.CREATE("trade.6775",E6777,A6777,"Receive")</f>
        <v>QSObject:SwapTrade:w1~trade.6775:25117</v>
      </c>
      <c r="G6777" s="3">
        <f>_xll.QS.EVALUATE(C6777,F6777)</f>
        <v>42224.549028354588</v>
      </c>
      <c r="H6777" s="5" t="s">
        <v>6817</v>
      </c>
      <c r="I6777" s="7">
        <v>1677500</v>
      </c>
      <c r="J6777" s="8">
        <v>3.7500000000000012E-2</v>
      </c>
    </row>
    <row r="6778" spans="1:10" x14ac:dyDescent="0.25">
      <c r="A6778" s="5" t="s">
        <v>6811</v>
      </c>
      <c r="B6778" s="5" t="s">
        <v>8645</v>
      </c>
      <c r="C6778" s="6" t="str">
        <f>_xll.QS.CONTEXT.CREATE("market.6776",A6778,"USD","SOFR")</f>
        <v>QSObject:PricingContext:w1~market.6776:6891</v>
      </c>
      <c r="D6778" s="6" t="str">
        <f>_xll.QS.CONTEXT.ADD.CURVE(C6778,"SOFR",$K$2:$K$7,$L$2:$L$7,,,"Actual360","LogLinear",TRUE)</f>
        <v>QSObject:ContextInput:w1~input.qs_context_add_curve.2359132437744.6777.3.0:33670</v>
      </c>
      <c r="E6778" s="6" t="str">
        <f>_xll.QS.INSTRUMENT.SWAP("swap.6776",H6778,B6778,"USD","SOFR",I6778,J6778,0,"Actual360","Simple","Annual","Annual","Annual")</f>
        <v>QSObject:Swap:w1~swap.6776:6890</v>
      </c>
      <c r="F6778" s="6" t="str">
        <f>_xll.QS.TRADE.CREATE("trade.6776",E6778,A6778,"Receive")</f>
        <v>QSObject:SwapTrade:w1~trade.6776:25116</v>
      </c>
      <c r="G6778" s="3">
        <f>_xll.QS.EVALUATE(C6778,F6778)</f>
        <v>43071.716954566662</v>
      </c>
      <c r="H6778" s="5" t="s">
        <v>6818</v>
      </c>
      <c r="I6778" s="7">
        <v>1677600</v>
      </c>
      <c r="J6778" s="8">
        <v>3.7600000000000001E-2</v>
      </c>
    </row>
    <row r="6779" spans="1:10" x14ac:dyDescent="0.25">
      <c r="A6779" s="5" t="s">
        <v>6812</v>
      </c>
      <c r="B6779" s="5" t="s">
        <v>8646</v>
      </c>
      <c r="C6779" s="6" t="str">
        <f>_xll.QS.CONTEXT.CREATE("market.6777",A6779,"USD","SOFR")</f>
        <v>QSObject:PricingContext:w1~market.6777:6889</v>
      </c>
      <c r="D6779" s="6" t="str">
        <f>_xll.QS.CONTEXT.ADD.CURVE(C6779,"SOFR",$K$2:$K$7,$L$2:$L$7,,,"Actual360","LogLinear",TRUE)</f>
        <v>QSObject:ContextInput:w1~input.qs_context_add_curve.2359132437744.6778.3.0:33669</v>
      </c>
      <c r="E6779" s="6" t="str">
        <f>_xll.QS.INSTRUMENT.SWAP("swap.6777",H6779,B6779,"USD","SOFR",I6779,J6779,0,"Actual360","Simple","Annual","Annual","Annual")</f>
        <v>QSObject:Swap:w1~swap.6777:6888</v>
      </c>
      <c r="F6779" s="6" t="str">
        <f>_xll.QS.TRADE.CREATE("trade.6777",E6779,A6779,"Receive")</f>
        <v>QSObject:SwapTrade:w1~trade.6777:25115</v>
      </c>
      <c r="G6779" s="3">
        <f>_xll.QS.EVALUATE(C6779,F6779)</f>
        <v>43891.111759401741</v>
      </c>
      <c r="H6779" s="5" t="s">
        <v>6819</v>
      </c>
      <c r="I6779" s="7">
        <v>1677700</v>
      </c>
      <c r="J6779" s="8">
        <v>3.7699999999999997E-2</v>
      </c>
    </row>
    <row r="6780" spans="1:10" x14ac:dyDescent="0.25">
      <c r="A6780" s="5" t="s">
        <v>6813</v>
      </c>
      <c r="B6780" s="5" t="s">
        <v>8647</v>
      </c>
      <c r="C6780" s="6" t="str">
        <f>_xll.QS.CONTEXT.CREATE("market.6778",A6780,"USD","SOFR")</f>
        <v>QSObject:PricingContext:w1~market.6778:6887</v>
      </c>
      <c r="D6780" s="6" t="str">
        <f>_xll.QS.CONTEXT.ADD.CURVE(C6780,"SOFR",$K$2:$K$7,$L$2:$L$7,,,"Actual360","LogLinear",TRUE)</f>
        <v>QSObject:ContextInput:w1~input.qs_context_add_curve.2359132437744.6779.3.0:33668</v>
      </c>
      <c r="E6780" s="6" t="str">
        <f>_xll.QS.INSTRUMENT.SWAP("swap.6778",H6780,B6780,"USD","SOFR",I6780,J6780,0,"Actual360","Simple","Annual","Annual","Annual")</f>
        <v>QSObject:Swap:w1~swap.6778:6886</v>
      </c>
      <c r="F6780" s="6" t="str">
        <f>_xll.QS.TRADE.CREATE("trade.6778",E6780,A6780,"Receive")</f>
        <v>QSObject:SwapTrade:w1~trade.6778:25114</v>
      </c>
      <c r="G6780" s="3">
        <f>_xll.QS.EVALUATE(C6780,F6780)</f>
        <v>44790.259475874933</v>
      </c>
      <c r="H6780" s="5" t="s">
        <v>6820</v>
      </c>
      <c r="I6780" s="7">
        <v>1677800</v>
      </c>
      <c r="J6780" s="8">
        <v>3.78E-2</v>
      </c>
    </row>
    <row r="6781" spans="1:10" x14ac:dyDescent="0.25">
      <c r="A6781" s="5" t="s">
        <v>6814</v>
      </c>
      <c r="B6781" s="5" t="s">
        <v>8648</v>
      </c>
      <c r="C6781" s="6" t="str">
        <f>_xll.QS.CONTEXT.CREATE("market.6779",A6781,"USD","SOFR")</f>
        <v>QSObject:PricingContext:w1~market.6779:6885</v>
      </c>
      <c r="D6781" s="6" t="str">
        <f>_xll.QS.CONTEXT.ADD.CURVE(C6781,"SOFR",$K$2:$K$7,$L$2:$L$7,,,"Actual360","LogLinear",TRUE)</f>
        <v>QSObject:ContextInput:w1~input.qs_context_add_curve.2359132437744.6780.3.0:33667</v>
      </c>
      <c r="E6781" s="6" t="str">
        <f>_xll.QS.INSTRUMENT.SWAP("swap.6779",H6781,B6781,"USD","SOFR",I6781,J6781,0,"Actual360","Simple","Annual","Annual","Annual")</f>
        <v>QSObject:Swap:w1~swap.6779:6884</v>
      </c>
      <c r="F6781" s="6" t="str">
        <f>_xll.QS.TRADE.CREATE("trade.6779",E6781,A6781,"Receive")</f>
        <v>QSObject:SwapTrade:w1~trade.6779:25113</v>
      </c>
      <c r="G6781" s="3">
        <f>_xll.QS.EVALUATE(C6781,F6781)</f>
        <v>45640.232919005626</v>
      </c>
      <c r="H6781" s="5" t="s">
        <v>6821</v>
      </c>
      <c r="I6781" s="7">
        <v>1677900</v>
      </c>
      <c r="J6781" s="8">
        <v>3.7900000000000003E-2</v>
      </c>
    </row>
    <row r="6782" spans="1:10" x14ac:dyDescent="0.25">
      <c r="A6782" s="5" t="s">
        <v>6815</v>
      </c>
      <c r="B6782" s="5" t="s">
        <v>8649</v>
      </c>
      <c r="C6782" s="6" t="str">
        <f>_xll.QS.CONTEXT.CREATE("market.6780",A6782,"USD","SOFR")</f>
        <v>QSObject:PricingContext:w1~market.6780:6883</v>
      </c>
      <c r="D6782" s="6" t="str">
        <f>_xll.QS.CONTEXT.ADD.CURVE(C6782,"SOFR",$K$2:$K$7,$L$2:$L$7,,,"Actual360","LogLinear",TRUE)</f>
        <v>QSObject:ContextInput:w1~input.qs_context_add_curve.2359132437744.6781.3.0:33666</v>
      </c>
      <c r="E6782" s="6" t="str">
        <f>_xll.QS.INSTRUMENT.SWAP("swap.6780",H6782,B6782,"USD","SOFR",I6782,J6782,0,"Actual360","Simple","Annual","Annual","Annual")</f>
        <v>QSObject:Swap:w1~swap.6780:6882</v>
      </c>
      <c r="F6782" s="6" t="str">
        <f>_xll.QS.TRADE.CREATE("trade.6780",E6782,A6782,"Receive")</f>
        <v>QSObject:SwapTrade:w1~trade.6780:25112</v>
      </c>
      <c r="G6782" s="3">
        <f>_xll.QS.EVALUATE(C6782,F6782)</f>
        <v>46351.588342393887</v>
      </c>
      <c r="H6782" s="5" t="s">
        <v>6822</v>
      </c>
      <c r="I6782" s="7">
        <v>1678000</v>
      </c>
      <c r="J6782" s="8">
        <v>3.8000000000000013E-2</v>
      </c>
    </row>
    <row r="6783" spans="1:10" x14ac:dyDescent="0.25">
      <c r="A6783" s="5" t="s">
        <v>6816</v>
      </c>
      <c r="B6783" s="5" t="s">
        <v>8650</v>
      </c>
      <c r="C6783" s="6" t="str">
        <f>_xll.QS.CONTEXT.CREATE("market.6781",A6783,"USD","SOFR")</f>
        <v>QSObject:PricingContext:w1~market.6781:6881</v>
      </c>
      <c r="D6783" s="6" t="str">
        <f>_xll.QS.CONTEXT.ADD.CURVE(C6783,"SOFR",$K$2:$K$7,$L$2:$L$7,,,"Actual360","LogLinear",TRUE)</f>
        <v>QSObject:ContextInput:w1~input.qs_context_add_curve.2359132437744.6782.3.0:33665</v>
      </c>
      <c r="E6783" s="6" t="str">
        <f>_xll.QS.INSTRUMENT.SWAP("swap.6781",H6783,B6783,"USD","SOFR",I6783,J6783,0,"Actual360","Simple","Annual","Annual","Annual")</f>
        <v>QSObject:Swap:w1~swap.6781:6880</v>
      </c>
      <c r="F6783" s="6" t="str">
        <f>_xll.QS.TRADE.CREATE("trade.6781",E6783,A6783,"Receive")</f>
        <v>QSObject:SwapTrade:w1~trade.6781:25111</v>
      </c>
      <c r="G6783" s="3">
        <f>_xll.QS.EVALUATE(C6783,F6783)</f>
        <v>47001.967903365919</v>
      </c>
      <c r="H6783" s="5" t="s">
        <v>6823</v>
      </c>
      <c r="I6783" s="7">
        <v>1678100</v>
      </c>
      <c r="J6783" s="8">
        <v>3.8100000000000002E-2</v>
      </c>
    </row>
    <row r="6784" spans="1:10" x14ac:dyDescent="0.25">
      <c r="A6784" s="5" t="s">
        <v>6817</v>
      </c>
      <c r="B6784" s="5" t="s">
        <v>8651</v>
      </c>
      <c r="C6784" s="6" t="str">
        <f>_xll.QS.CONTEXT.CREATE("market.6782",A6784,"USD","SOFR")</f>
        <v>QSObject:PricingContext:w1~market.6782:6879</v>
      </c>
      <c r="D6784" s="6" t="str">
        <f>_xll.QS.CONTEXT.ADD.CURVE(C6784,"SOFR",$K$2:$K$7,$L$2:$L$7,,,"Actual360","LogLinear",TRUE)</f>
        <v>QSObject:ContextInput:w1~input.qs_context_add_curve.2359132437744.6783.3.0:33664</v>
      </c>
      <c r="E6784" s="6" t="str">
        <f>_xll.QS.INSTRUMENT.SWAP("swap.6782",H6784,B6784,"USD","SOFR",I6784,J6784,0,"Actual360","Simple","Annual","Annual","Annual")</f>
        <v>QSObject:Swap:w1~swap.6782:6878</v>
      </c>
      <c r="F6784" s="6" t="str">
        <f>_xll.QS.TRADE.CREATE("trade.6782",E6784,A6784,"Receive")</f>
        <v>QSObject:SwapTrade:w1~trade.6782:25110</v>
      </c>
      <c r="G6784" s="3">
        <f>_xll.QS.EVALUATE(C6784,F6784)</f>
        <v>47661.374581290031</v>
      </c>
      <c r="H6784" s="5" t="s">
        <v>6824</v>
      </c>
      <c r="I6784" s="7">
        <v>1678200</v>
      </c>
      <c r="J6784" s="8">
        <v>3.8199999999999998E-2</v>
      </c>
    </row>
    <row r="6785" spans="1:10" x14ac:dyDescent="0.25">
      <c r="A6785" s="5" t="s">
        <v>6818</v>
      </c>
      <c r="B6785" s="5" t="s">
        <v>8652</v>
      </c>
      <c r="C6785" s="6" t="str">
        <f>_xll.QS.CONTEXT.CREATE("market.6783",A6785,"USD","SOFR")</f>
        <v>QSObject:PricingContext:w1~market.6783:6877</v>
      </c>
      <c r="D6785" s="6" t="str">
        <f>_xll.QS.CONTEXT.ADD.CURVE(C6785,"SOFR",$K$2:$K$7,$L$2:$L$7,,,"Actual360","LogLinear",TRUE)</f>
        <v>QSObject:ContextInput:w1~input.qs_context_add_curve.2359132437744.6784.3.0:33663</v>
      </c>
      <c r="E6785" s="6" t="str">
        <f>_xll.QS.INSTRUMENT.SWAP("swap.6783",H6785,B6785,"USD","SOFR",I6785,J6785,0,"Actual360","Simple","Annual","Annual","Annual")</f>
        <v>QSObject:Swap:w1~swap.6783:6876</v>
      </c>
      <c r="F6785" s="6" t="str">
        <f>_xll.QS.TRADE.CREATE("trade.6783",E6785,A6785,"Receive")</f>
        <v>QSObject:SwapTrade:w1~trade.6783:25109</v>
      </c>
      <c r="G6785" s="3">
        <f>_xll.QS.EVALUATE(C6785,F6785)</f>
        <v>48509.52896699038</v>
      </c>
      <c r="H6785" s="5" t="s">
        <v>6825</v>
      </c>
      <c r="I6785" s="7">
        <v>1678300</v>
      </c>
      <c r="J6785" s="8">
        <v>3.8300000000000001E-2</v>
      </c>
    </row>
    <row r="6786" spans="1:10" x14ac:dyDescent="0.25">
      <c r="A6786" s="5" t="s">
        <v>6819</v>
      </c>
      <c r="B6786" s="5" t="s">
        <v>8653</v>
      </c>
      <c r="C6786" s="6" t="str">
        <f>_xll.QS.CONTEXT.CREATE("market.6784",A6786,"USD","SOFR")</f>
        <v>QSObject:PricingContext:w1~market.6784:6875</v>
      </c>
      <c r="D6786" s="6" t="str">
        <f>_xll.QS.CONTEXT.ADD.CURVE(C6786,"SOFR",$K$2:$K$7,$L$2:$L$7,,,"Actual360","LogLinear",TRUE)</f>
        <v>QSObject:ContextInput:w1~input.qs_context_add_curve.2359132437744.6785.3.0:33662</v>
      </c>
      <c r="E6786" s="6" t="str">
        <f>_xll.QS.INSTRUMENT.SWAP("swap.6784",H6786,B6786,"USD","SOFR",I6786,J6786,0,"Actual360","Simple","Annual","Annual","Annual")</f>
        <v>QSObject:Swap:w1~swap.6784:6874</v>
      </c>
      <c r="F6786" s="6" t="str">
        <f>_xll.QS.TRADE.CREATE("trade.6784",E6786,A6786,"Receive")</f>
        <v>QSObject:SwapTrade:w1~trade.6784:25108</v>
      </c>
      <c r="G6786" s="3">
        <f>_xll.QS.EVALUATE(C6786,F6786)</f>
        <v>49326.028940268428</v>
      </c>
      <c r="H6786" s="5" t="s">
        <v>6826</v>
      </c>
      <c r="I6786" s="7">
        <v>1678400</v>
      </c>
      <c r="J6786" s="8">
        <v>3.8399999999999997E-2</v>
      </c>
    </row>
    <row r="6787" spans="1:10" x14ac:dyDescent="0.25">
      <c r="A6787" s="5" t="s">
        <v>6820</v>
      </c>
      <c r="B6787" s="5" t="s">
        <v>8654</v>
      </c>
      <c r="C6787" s="6" t="str">
        <f>_xll.QS.CONTEXT.CREATE("market.6785",A6787,"USD","SOFR")</f>
        <v>QSObject:PricingContext:w1~market.6785:6873</v>
      </c>
      <c r="D6787" s="6" t="str">
        <f>_xll.QS.CONTEXT.ADD.CURVE(C6787,"SOFR",$K$2:$K$7,$L$2:$L$7,,,"Actual360","LogLinear",TRUE)</f>
        <v>QSObject:ContextInput:w1~input.qs_context_add_curve.2359132437744.6786.3.0:33661</v>
      </c>
      <c r="E6787" s="6" t="str">
        <f>_xll.QS.INSTRUMENT.SWAP("swap.6785",H6787,B6787,"USD","SOFR",I6787,J6787,0,"Actual360","Simple","Annual","Annual","Annual")</f>
        <v>QSObject:Swap:w1~swap.6785:6872</v>
      </c>
      <c r="F6787" s="6" t="str">
        <f>_xll.QS.TRADE.CREATE("trade.6785",E6787,A6787,"Receive")</f>
        <v>QSObject:SwapTrade:w1~trade.6785:25107</v>
      </c>
      <c r="G6787" s="3">
        <f>_xll.QS.EVALUATE(C6787,F6787)</f>
        <v>50226.855186540219</v>
      </c>
      <c r="H6787" s="5" t="s">
        <v>6827</v>
      </c>
      <c r="I6787" s="7">
        <v>1678500</v>
      </c>
      <c r="J6787" s="8">
        <v>3.8500000000000013E-2</v>
      </c>
    </row>
    <row r="6788" spans="1:10" x14ac:dyDescent="0.25">
      <c r="A6788" s="5" t="s">
        <v>6821</v>
      </c>
      <c r="B6788" s="5" t="s">
        <v>8655</v>
      </c>
      <c r="C6788" s="6" t="str">
        <f>_xll.QS.CONTEXT.CREATE("market.6786",A6788,"USD","SOFR")</f>
        <v>QSObject:PricingContext:w1~market.6786:6871</v>
      </c>
      <c r="D6788" s="6" t="str">
        <f>_xll.QS.CONTEXT.ADD.CURVE(C6788,"SOFR",$K$2:$K$7,$L$2:$L$7,,,"Actual360","LogLinear",TRUE)</f>
        <v>QSObject:ContextInput:w1~input.qs_context_add_curve.2359132437744.6787.3.0:33660</v>
      </c>
      <c r="E6788" s="6" t="str">
        <f>_xll.QS.INSTRUMENT.SWAP("swap.6786",H6788,B6788,"USD","SOFR",I6788,J6788,0,"Actual360","Simple","Annual","Annual","Annual")</f>
        <v>QSObject:Swap:w1~swap.6786:6870</v>
      </c>
      <c r="F6788" s="6" t="str">
        <f>_xll.QS.TRADE.CREATE("trade.6786",E6788,A6788,"Receive")</f>
        <v>QSObject:SwapTrade:w1~trade.6786:25106</v>
      </c>
      <c r="G6788" s="3">
        <f>_xll.QS.EVALUATE(C6788,F6788)</f>
        <v>51077.355935617939</v>
      </c>
      <c r="H6788" s="5" t="s">
        <v>6828</v>
      </c>
      <c r="I6788" s="7">
        <v>1678600</v>
      </c>
      <c r="J6788" s="8">
        <v>3.8600000000000002E-2</v>
      </c>
    </row>
    <row r="6789" spans="1:10" x14ac:dyDescent="0.25">
      <c r="A6789" s="5" t="s">
        <v>6822</v>
      </c>
      <c r="B6789" s="5" t="s">
        <v>8656</v>
      </c>
      <c r="C6789" s="6" t="str">
        <f>_xll.QS.CONTEXT.CREATE("market.6787",A6789,"USD","SOFR")</f>
        <v>QSObject:PricingContext:w1~market.6787:6869</v>
      </c>
      <c r="D6789" s="6" t="str">
        <f>_xll.QS.CONTEXT.ADD.CURVE(C6789,"SOFR",$K$2:$K$7,$L$2:$L$7,,,"Actual360","LogLinear",TRUE)</f>
        <v>QSObject:ContextInput:w1~input.qs_context_add_curve.2359132437744.6788.3.0:33659</v>
      </c>
      <c r="E6789" s="6" t="str">
        <f>_xll.QS.INSTRUMENT.SWAP("swap.6787",H6789,B6789,"USD","SOFR",I6789,J6789,0,"Actual360","Simple","Annual","Annual","Annual")</f>
        <v>QSObject:Swap:w1~swap.6787:6868</v>
      </c>
      <c r="F6789" s="6" t="str">
        <f>_xll.QS.TRADE.CREATE("trade.6787",E6789,A6789,"Receive")</f>
        <v>QSObject:SwapTrade:w1~trade.6787:25105</v>
      </c>
      <c r="G6789" s="3">
        <f>_xll.QS.EVALUATE(C6789,F6789)</f>
        <v>51789.725178895533</v>
      </c>
      <c r="H6789" s="5" t="s">
        <v>6829</v>
      </c>
      <c r="I6789" s="7">
        <v>1678700</v>
      </c>
      <c r="J6789" s="8">
        <v>3.8700000000000012E-2</v>
      </c>
    </row>
    <row r="6790" spans="1:10" x14ac:dyDescent="0.25">
      <c r="A6790" s="5" t="s">
        <v>6823</v>
      </c>
      <c r="B6790" s="5" t="s">
        <v>8657</v>
      </c>
      <c r="C6790" s="6" t="str">
        <f>_xll.QS.CONTEXT.CREATE("market.6788",A6790,"USD","SOFR")</f>
        <v>QSObject:PricingContext:w1~market.6788:6867</v>
      </c>
      <c r="D6790" s="6" t="str">
        <f>_xll.QS.CONTEXT.ADD.CURVE(C6790,"SOFR",$K$2:$K$7,$L$2:$L$7,,,"Actual360","LogLinear",TRUE)</f>
        <v>QSObject:ContextInput:w1~input.qs_context_add_curve.2359132437744.6789.3.0:33658</v>
      </c>
      <c r="E6790" s="6" t="str">
        <f>_xll.QS.INSTRUMENT.SWAP("swap.6788",H6790,B6790,"USD","SOFR",I6790,J6790,0,"Actual360","Simple","Annual","Annual","Annual")</f>
        <v>QSObject:Swap:w1~swap.6788:6866</v>
      </c>
      <c r="F6790" s="6" t="str">
        <f>_xll.QS.TRADE.CREATE("trade.6788",E6790,A6790,"Receive")</f>
        <v>QSObject:SwapTrade:w1~trade.6788:25104</v>
      </c>
      <c r="G6790" s="3">
        <f>_xll.QS.EVALUATE(C6790,F6790)</f>
        <v>52434.31608703034</v>
      </c>
      <c r="H6790" s="5" t="s">
        <v>6830</v>
      </c>
      <c r="I6790" s="7">
        <v>1678800</v>
      </c>
      <c r="J6790" s="8">
        <v>3.8800000000000001E-2</v>
      </c>
    </row>
    <row r="6791" spans="1:10" x14ac:dyDescent="0.25">
      <c r="A6791" s="5" t="s">
        <v>6824</v>
      </c>
      <c r="B6791" s="5" t="s">
        <v>8658</v>
      </c>
      <c r="C6791" s="6" t="str">
        <f>_xll.QS.CONTEXT.CREATE("market.6789",A6791,"USD","SOFR")</f>
        <v>QSObject:PricingContext:w1~market.6789:6865</v>
      </c>
      <c r="D6791" s="6" t="str">
        <f>_xll.QS.CONTEXT.ADD.CURVE(C6791,"SOFR",$K$2:$K$7,$L$2:$L$7,,,"Actual360","LogLinear",TRUE)</f>
        <v>QSObject:ContextInput:w1~input.qs_context_add_curve.2359132437744.6790.3.0:33657</v>
      </c>
      <c r="E6791" s="6" t="str">
        <f>_xll.QS.INSTRUMENT.SWAP("swap.6789",H6791,B6791,"USD","SOFR",I6791,J6791,0,"Actual360","Simple","Annual","Annual","Annual")</f>
        <v>QSObject:Swap:w1~swap.6789:6864</v>
      </c>
      <c r="F6791" s="6" t="str">
        <f>_xll.QS.TRADE.CREATE("trade.6789",E6791,A6791,"Receive")</f>
        <v>QSObject:SwapTrade:w1~trade.6789:25103</v>
      </c>
      <c r="G6791" s="3">
        <f>_xll.QS.EVALUATE(C6791,F6791)</f>
        <v>53102.720982800914</v>
      </c>
      <c r="H6791" s="5" t="s">
        <v>6831</v>
      </c>
      <c r="I6791" s="7">
        <v>1678900</v>
      </c>
      <c r="J6791" s="8">
        <v>3.8899999999999997E-2</v>
      </c>
    </row>
    <row r="6792" spans="1:10" x14ac:dyDescent="0.25">
      <c r="A6792" s="5" t="s">
        <v>6825</v>
      </c>
      <c r="B6792" s="5" t="s">
        <v>8659</v>
      </c>
      <c r="C6792" s="6" t="str">
        <f>_xll.QS.CONTEXT.CREATE("market.6790",A6792,"USD","SOFR")</f>
        <v>QSObject:PricingContext:w1~market.6790:6863</v>
      </c>
      <c r="D6792" s="6" t="str">
        <f>_xll.QS.CONTEXT.ADD.CURVE(C6792,"SOFR",$K$2:$K$7,$L$2:$L$7,,,"Actual360","LogLinear",TRUE)</f>
        <v>QSObject:ContextInput:w1~input.qs_context_add_curve.2359132437744.6791.3.0:33656</v>
      </c>
      <c r="E6792" s="6" t="str">
        <f>_xll.QS.INSTRUMENT.SWAP("swap.6790",H6792,B6792,"USD","SOFR",I6792,J6792,0,"Actual360","Simple","Annual","Annual","Annual")</f>
        <v>QSObject:Swap:w1~swap.6790:6862</v>
      </c>
      <c r="F6792" s="6" t="str">
        <f>_xll.QS.TRADE.CREATE("trade.6790",E6792,A6792,"Receive")</f>
        <v>QSObject:SwapTrade:w1~trade.6790:25102</v>
      </c>
      <c r="G6792" s="3">
        <f>_xll.QS.EVALUATE(C6792,F6792)</f>
        <v>53952.289653266351</v>
      </c>
      <c r="H6792" s="5" t="s">
        <v>6832</v>
      </c>
      <c r="I6792" s="7">
        <v>1679000</v>
      </c>
      <c r="J6792" s="8">
        <v>3.9000000000000007E-2</v>
      </c>
    </row>
    <row r="6793" spans="1:10" x14ac:dyDescent="0.25">
      <c r="A6793" s="5" t="s">
        <v>6826</v>
      </c>
      <c r="B6793" s="5" t="s">
        <v>8660</v>
      </c>
      <c r="C6793" s="6" t="str">
        <f>_xll.QS.CONTEXT.CREATE("market.6791",A6793,"USD","SOFR")</f>
        <v>QSObject:PricingContext:w1~market.6791:6861</v>
      </c>
      <c r="D6793" s="6" t="str">
        <f>_xll.QS.CONTEXT.ADD.CURVE(C6793,"SOFR",$K$2:$K$7,$L$2:$L$7,,,"Actual360","LogLinear",TRUE)</f>
        <v>QSObject:ContextInput:w1~input.qs_context_add_curve.2359132437744.6792.3.0:33655</v>
      </c>
      <c r="E6793" s="6" t="str">
        <f>_xll.QS.INSTRUMENT.SWAP("swap.6791",H6793,B6793,"USD","SOFR",I6793,J6793,0,"Actual360","Simple","Annual","Annual","Annual")</f>
        <v>QSObject:Swap:w1~swap.6791:6860</v>
      </c>
      <c r="F6793" s="6" t="str">
        <f>_xll.QS.TRADE.CREATE("trade.6791",E6793,A6793,"Receive")</f>
        <v>QSObject:SwapTrade:w1~trade.6791:25101</v>
      </c>
      <c r="G6793" s="3">
        <f>_xll.QS.EVALUATE(C6793,F6793)</f>
        <v>54767.753352365311</v>
      </c>
      <c r="H6793" s="5" t="s">
        <v>6833</v>
      </c>
      <c r="I6793" s="7">
        <v>1679100</v>
      </c>
      <c r="J6793" s="8">
        <v>3.9100000000000003E-2</v>
      </c>
    </row>
    <row r="6794" spans="1:10" x14ac:dyDescent="0.25">
      <c r="A6794" s="5" t="s">
        <v>6827</v>
      </c>
      <c r="B6794" s="5" t="s">
        <v>8661</v>
      </c>
      <c r="C6794" s="6" t="str">
        <f>_xll.QS.CONTEXT.CREATE("market.6792",A6794,"USD","SOFR")</f>
        <v>QSObject:PricingContext:w1~market.6792:6859</v>
      </c>
      <c r="D6794" s="6" t="str">
        <f>_xll.QS.CONTEXT.ADD.CURVE(C6794,"SOFR",$K$2:$K$7,$L$2:$L$7,,,"Actual360","LogLinear",TRUE)</f>
        <v>QSObject:ContextInput:w1~input.qs_context_add_curve.2359132437744.6793.3.0:33654</v>
      </c>
      <c r="E6794" s="6" t="str">
        <f>_xll.QS.INSTRUMENT.SWAP("swap.6792",H6794,B6794,"USD","SOFR",I6794,J6794,0,"Actual360","Simple","Annual","Annual","Annual")</f>
        <v>QSObject:Swap:w1~swap.6792:6858</v>
      </c>
      <c r="F6794" s="6" t="str">
        <f>_xll.QS.TRADE.CREATE("trade.6792",E6794,A6794,"Receive")</f>
        <v>QSObject:SwapTrade:w1~trade.6792:25100</v>
      </c>
      <c r="G6794" s="3">
        <f>_xll.QS.EVALUATE(C6794,F6794)</f>
        <v>55668.212726662212</v>
      </c>
      <c r="H6794" s="5" t="s">
        <v>6834</v>
      </c>
      <c r="I6794" s="7">
        <v>1679200</v>
      </c>
      <c r="J6794" s="8">
        <v>3.9200000000000013E-2</v>
      </c>
    </row>
    <row r="6795" spans="1:10" x14ac:dyDescent="0.25">
      <c r="A6795" s="5" t="s">
        <v>6828</v>
      </c>
      <c r="B6795" s="5" t="s">
        <v>8662</v>
      </c>
      <c r="C6795" s="6" t="str">
        <f>_xll.QS.CONTEXT.CREATE("market.6793",A6795,"USD","SOFR")</f>
        <v>QSObject:PricingContext:w1~market.6793:6857</v>
      </c>
      <c r="D6795" s="6" t="str">
        <f>_xll.QS.CONTEXT.ADD.CURVE(C6795,"SOFR",$K$2:$K$7,$L$2:$L$7,,,"Actual360","LogLinear",TRUE)</f>
        <v>QSObject:ContextInput:w1~input.qs_context_add_curve.2359132437744.6794.3.0:33653</v>
      </c>
      <c r="E6795" s="6" t="str">
        <f>_xll.QS.INSTRUMENT.SWAP("swap.6793",H6795,B6795,"USD","SOFR",I6795,J6795,0,"Actual360","Simple","Annual","Annual","Annual")</f>
        <v>QSObject:Swap:w1~swap.6793:6856</v>
      </c>
      <c r="F6795" s="6" t="str">
        <f>_xll.QS.TRADE.CREATE("trade.6793",E6795,A6795,"Receive")</f>
        <v>QSObject:SwapTrade:w1~trade.6793:25099</v>
      </c>
      <c r="G6795" s="3">
        <f>_xll.QS.EVALUATE(C6795,F6795)</f>
        <v>56519.451935650693</v>
      </c>
      <c r="H6795" s="5" t="s">
        <v>6835</v>
      </c>
      <c r="I6795" s="7">
        <v>1679300</v>
      </c>
      <c r="J6795" s="8">
        <v>3.9300000000000002E-2</v>
      </c>
    </row>
    <row r="6796" spans="1:10" x14ac:dyDescent="0.25">
      <c r="A6796" s="5" t="s">
        <v>6829</v>
      </c>
      <c r="B6796" s="5" t="s">
        <v>8663</v>
      </c>
      <c r="C6796" s="6" t="str">
        <f>_xll.QS.CONTEXT.CREATE("market.6794",A6796,"USD","SOFR")</f>
        <v>QSObject:PricingContext:w1~market.6794:6855</v>
      </c>
      <c r="D6796" s="6" t="str">
        <f>_xll.QS.CONTEXT.ADD.CURVE(C6796,"SOFR",$K$2:$K$7,$L$2:$L$7,,,"Actual360","LogLinear",TRUE)</f>
        <v>QSObject:ContextInput:w1~input.qs_context_add_curve.2359132437744.6795.3.0:33652</v>
      </c>
      <c r="E6796" s="6" t="str">
        <f>_xll.QS.INSTRUMENT.SWAP("swap.6794",H6796,B6796,"USD","SOFR",I6796,J6796,0,"Actual360","Simple","Annual","Annual","Annual")</f>
        <v>QSObject:Swap:w1~swap.6794:6854</v>
      </c>
      <c r="F6796" s="6" t="str">
        <f>_xll.QS.TRADE.CREATE("trade.6794",E6796,A6796,"Receive")</f>
        <v>QSObject:SwapTrade:w1~trade.6794:25098</v>
      </c>
      <c r="G6796" s="3">
        <f>_xll.QS.EVALUATE(C6796,F6796)</f>
        <v>57232.381179582226</v>
      </c>
      <c r="H6796" s="5" t="s">
        <v>6836</v>
      </c>
      <c r="I6796" s="7">
        <v>1679400</v>
      </c>
      <c r="J6796" s="8">
        <v>3.9399999999999998E-2</v>
      </c>
    </row>
    <row r="6797" spans="1:10" x14ac:dyDescent="0.25">
      <c r="A6797" s="5" t="s">
        <v>6830</v>
      </c>
      <c r="B6797" s="5" t="s">
        <v>8664</v>
      </c>
      <c r="C6797" s="6" t="str">
        <f>_xll.QS.CONTEXT.CREATE("market.6795",A6797,"USD","SOFR")</f>
        <v>QSObject:PricingContext:w1~market.6795:6853</v>
      </c>
      <c r="D6797" s="6" t="str">
        <f>_xll.QS.CONTEXT.ADD.CURVE(C6797,"SOFR",$K$2:$K$7,$L$2:$L$7,,,"Actual360","LogLinear",TRUE)</f>
        <v>QSObject:ContextInput:w1~input.qs_context_add_curve.2359132437744.6796.3.0:33651</v>
      </c>
      <c r="E6797" s="6" t="str">
        <f>_xll.QS.INSTRUMENT.SWAP("swap.6795",H6797,B6797,"USD","SOFR",I6797,J6797,0,"Actual360","Simple","Annual","Annual","Annual")</f>
        <v>QSObject:Swap:w1~swap.6795:6852</v>
      </c>
      <c r="F6797" s="6" t="str">
        <f>_xll.QS.TRADE.CREATE("trade.6795",E6797,A6797,"Receive")</f>
        <v>QSObject:SwapTrade:w1~trade.6795:25097</v>
      </c>
      <c r="G6797" s="3">
        <f>_xll.QS.EVALUATE(C6797,F6797)</f>
        <v>57871.178113082227</v>
      </c>
      <c r="H6797" s="5" t="s">
        <v>6837</v>
      </c>
      <c r="I6797" s="7">
        <v>1679500</v>
      </c>
      <c r="J6797" s="8">
        <v>3.9500000000000007E-2</v>
      </c>
    </row>
    <row r="6798" spans="1:10" x14ac:dyDescent="0.25">
      <c r="A6798" s="5" t="s">
        <v>6831</v>
      </c>
      <c r="B6798" s="5" t="s">
        <v>8665</v>
      </c>
      <c r="C6798" s="6" t="str">
        <f>_xll.QS.CONTEXT.CREATE("market.6796",A6798,"USD","SOFR")</f>
        <v>QSObject:PricingContext:w1~market.6796:6851</v>
      </c>
      <c r="D6798" s="6" t="str">
        <f>_xll.QS.CONTEXT.ADD.CURVE(C6798,"SOFR",$K$2:$K$7,$L$2:$L$7,,,"Actual360","LogLinear",TRUE)</f>
        <v>QSObject:ContextInput:w1~input.qs_context_add_curve.2359132437744.6797.3.0:33650</v>
      </c>
      <c r="E6798" s="6" t="str">
        <f>_xll.QS.INSTRUMENT.SWAP("swap.6796",H6798,B6798,"USD","SOFR",I6798,J6798,0,"Actual360","Simple","Annual","Annual","Annual")</f>
        <v>QSObject:Swap:w1~swap.6796:6850</v>
      </c>
      <c r="F6798" s="6" t="str">
        <f>_xll.QS.TRADE.CREATE("trade.6796",E6798,A6798,"Receive")</f>
        <v>QSObject:SwapTrade:w1~trade.6796:25096</v>
      </c>
      <c r="G6798" s="3">
        <f>_xll.QS.EVALUATE(C6798,F6798)</f>
        <v>58548.588232887589</v>
      </c>
      <c r="H6798" s="5" t="s">
        <v>6838</v>
      </c>
      <c r="I6798" s="7">
        <v>1679600</v>
      </c>
      <c r="J6798" s="8">
        <v>3.9600000000000003E-2</v>
      </c>
    </row>
    <row r="6799" spans="1:10" x14ac:dyDescent="0.25">
      <c r="A6799" s="5" t="s">
        <v>6832</v>
      </c>
      <c r="B6799" s="5" t="s">
        <v>8666</v>
      </c>
      <c r="C6799" s="6" t="str">
        <f>_xll.QS.CONTEXT.CREATE("market.6797",A6799,"USD","SOFR")</f>
        <v>QSObject:PricingContext:w1~market.6797:6849</v>
      </c>
      <c r="D6799" s="6" t="str">
        <f>_xll.QS.CONTEXT.ADD.CURVE(C6799,"SOFR",$K$2:$K$7,$L$2:$L$7,,,"Actual360","LogLinear",TRUE)</f>
        <v>QSObject:ContextInput:w1~input.qs_context_add_curve.2359132437744.6798.3.0:33649</v>
      </c>
      <c r="E6799" s="6" t="str">
        <f>_xll.QS.INSTRUMENT.SWAP("swap.6797",H6799,B6799,"USD","SOFR",I6799,J6799,0,"Actual360","Simple","Annual","Annual","Annual")</f>
        <v>QSObject:Swap:w1~swap.6797:6848</v>
      </c>
      <c r="F6799" s="6" t="str">
        <f>_xll.QS.TRADE.CREATE("trade.6797",E6799,A6799,"Receive")</f>
        <v>QSObject:SwapTrade:w1~trade.6797:25095</v>
      </c>
      <c r="G6799" s="3">
        <f>_xll.QS.EVALUATE(C6799,F6799)</f>
        <v>59399.357932136336</v>
      </c>
      <c r="H6799" s="5" t="s">
        <v>6839</v>
      </c>
      <c r="I6799" s="7">
        <v>1679700</v>
      </c>
      <c r="J6799" s="8">
        <v>3.9700000000000013E-2</v>
      </c>
    </row>
    <row r="6800" spans="1:10" x14ac:dyDescent="0.25">
      <c r="A6800" s="5" t="s">
        <v>6833</v>
      </c>
      <c r="B6800" s="5" t="s">
        <v>8667</v>
      </c>
      <c r="C6800" s="6" t="str">
        <f>_xll.QS.CONTEXT.CREATE("market.6798",A6800,"USD","SOFR")</f>
        <v>QSObject:PricingContext:w1~market.6798:6847</v>
      </c>
      <c r="D6800" s="6" t="str">
        <f>_xll.QS.CONTEXT.ADD.CURVE(C6800,"SOFR",$K$2:$K$7,$L$2:$L$7,,,"Actual360","LogLinear",TRUE)</f>
        <v>QSObject:ContextInput:w1~input.qs_context_add_curve.2359132437744.6799.3.0:33648</v>
      </c>
      <c r="E6800" s="6" t="str">
        <f>_xll.QS.INSTRUMENT.SWAP("swap.6798",H6800,B6800,"USD","SOFR",I6800,J6800,0,"Actual360","Simple","Annual","Annual","Annual")</f>
        <v>QSObject:Swap:w1~swap.6798:6846</v>
      </c>
      <c r="F6800" s="6" t="str">
        <f>_xll.QS.TRADE.CREATE("trade.6798",E6800,A6800,"Receive")</f>
        <v>QSObject:SwapTrade:w1~trade.6798:25094</v>
      </c>
      <c r="G6800" s="3">
        <f>_xll.QS.EVALUATE(C6800,F6800)</f>
        <v>60212.852789964163</v>
      </c>
      <c r="H6800" s="5" t="s">
        <v>6840</v>
      </c>
      <c r="I6800" s="7">
        <v>1679800</v>
      </c>
      <c r="J6800" s="8">
        <v>3.9800000000000002E-2</v>
      </c>
    </row>
    <row r="6801" spans="1:10" x14ac:dyDescent="0.25">
      <c r="A6801" s="5" t="s">
        <v>6834</v>
      </c>
      <c r="B6801" s="5" t="s">
        <v>8668</v>
      </c>
      <c r="C6801" s="6" t="str">
        <f>_xll.QS.CONTEXT.CREATE("market.6799",A6801,"USD","SOFR")</f>
        <v>QSObject:PricingContext:w1~market.6799:6845</v>
      </c>
      <c r="D6801" s="6" t="str">
        <f>_xll.QS.CONTEXT.ADD.CURVE(C6801,"SOFR",$K$2:$K$7,$L$2:$L$7,,,"Actual360","LogLinear",TRUE)</f>
        <v>QSObject:ContextInput:w1~input.qs_context_add_curve.2359132437744.6800.3.0:33647</v>
      </c>
      <c r="E6801" s="6" t="str">
        <f>_xll.QS.INSTRUMENT.SWAP("swap.6799",H6801,B6801,"USD","SOFR",I6801,J6801,0,"Actual360","Simple","Annual","Annual","Annual")</f>
        <v>QSObject:Swap:w1~swap.6799:6844</v>
      </c>
      <c r="F6801" s="6" t="str">
        <f>_xll.QS.TRADE.CREATE("trade.6799",E6801,A6801,"Receive")</f>
        <v>QSObject:SwapTrade:w1~trade.6799:25093</v>
      </c>
      <c r="G6801" s="3">
        <f>_xll.QS.EVALUATE(C6801,F6801)</f>
        <v>61114.08942791709</v>
      </c>
      <c r="H6801" s="5" t="s">
        <v>6841</v>
      </c>
      <c r="I6801" s="7">
        <v>1679900</v>
      </c>
      <c r="J6801" s="8">
        <v>3.9899999999999998E-2</v>
      </c>
    </row>
    <row r="6802" spans="1:10" x14ac:dyDescent="0.25">
      <c r="A6802" s="5" t="s">
        <v>6835</v>
      </c>
      <c r="B6802" s="5" t="s">
        <v>8669</v>
      </c>
      <c r="C6802" s="6" t="str">
        <f>_xll.QS.CONTEXT.CREATE("market.6800",A6802,"USD","SOFR")</f>
        <v>QSObject:PricingContext:w1~market.6800:6843</v>
      </c>
      <c r="D6802" s="6" t="str">
        <f>_xll.QS.CONTEXT.ADD.CURVE(C6802,"SOFR",$K$2:$K$7,$L$2:$L$7,,,"Actual360","LogLinear",TRUE)</f>
        <v>QSObject:ContextInput:w1~input.qs_context_add_curve.2359132437744.6801.3.0:33646</v>
      </c>
      <c r="E6802" s="6" t="str">
        <f>_xll.QS.INSTRUMENT.SWAP("swap.6800",H6802,B6802,"USD","SOFR",I6802,J6802,0,"Actual360","Simple","Annual","Annual","Annual")</f>
        <v>QSObject:Swap:w1~swap.6800:6842</v>
      </c>
      <c r="F6802" s="6" t="str">
        <f>_xll.QS.TRADE.CREATE("trade.6800",E6802,A6802,"Receive")</f>
        <v>QSObject:SwapTrade:w1~trade.6800:25092</v>
      </c>
      <c r="G6802" s="3">
        <f>_xll.QS.EVALUATE(C6802,F6802)</f>
        <v>23229.955542142503</v>
      </c>
      <c r="H6802" s="5" t="s">
        <v>6842</v>
      </c>
      <c r="I6802" s="7">
        <v>1680000</v>
      </c>
      <c r="J6802" s="8">
        <v>3.5000000000000003E-2</v>
      </c>
    </row>
    <row r="6803" spans="1:10" x14ac:dyDescent="0.25">
      <c r="A6803" s="5" t="s">
        <v>6836</v>
      </c>
      <c r="B6803" s="5" t="s">
        <v>8670</v>
      </c>
      <c r="C6803" s="6" t="str">
        <f>_xll.QS.CONTEXT.CREATE("market.6801",A6803,"USD","SOFR")</f>
        <v>QSObject:PricingContext:w1~market.6801:6841</v>
      </c>
      <c r="D6803" s="6" t="str">
        <f>_xll.QS.CONTEXT.ADD.CURVE(C6803,"SOFR",$K$2:$K$7,$L$2:$L$7,,,"Actual360","LogLinear",TRUE)</f>
        <v>QSObject:ContextInput:w1~input.qs_context_add_curve.2359132437744.6802.3.0:33645</v>
      </c>
      <c r="E6803" s="6" t="str">
        <f>_xll.QS.INSTRUMENT.SWAP("swap.6801",H6803,B6803,"USD","SOFR",I6803,J6803,0,"Actual360","Simple","Annual","Annual","Annual")</f>
        <v>QSObject:Swap:w1~swap.6801:6840</v>
      </c>
      <c r="F6803" s="6" t="str">
        <f>_xll.QS.TRADE.CREATE("trade.6801",E6803,A6803,"Receive")</f>
        <v>QSObject:SwapTrade:w1~trade.6801:25091</v>
      </c>
      <c r="G6803" s="3">
        <f>_xll.QS.EVALUATE(C6803,F6803)</f>
        <v>23941.557632924028</v>
      </c>
      <c r="H6803" s="5" t="s">
        <v>6843</v>
      </c>
      <c r="I6803" s="7">
        <v>1680100</v>
      </c>
      <c r="J6803" s="8">
        <v>3.5100000000000013E-2</v>
      </c>
    </row>
    <row r="6804" spans="1:10" x14ac:dyDescent="0.25">
      <c r="A6804" s="5" t="s">
        <v>6837</v>
      </c>
      <c r="B6804" s="5" t="s">
        <v>8671</v>
      </c>
      <c r="C6804" s="6" t="str">
        <f>_xll.QS.CONTEXT.CREATE("market.6802",A6804,"USD","SOFR")</f>
        <v>QSObject:PricingContext:w1~market.6802:6839</v>
      </c>
      <c r="D6804" s="6" t="str">
        <f>_xll.QS.CONTEXT.ADD.CURVE(C6804,"SOFR",$K$2:$K$7,$L$2:$L$7,,,"Actual360","LogLinear",TRUE)</f>
        <v>QSObject:ContextInput:w1~input.qs_context_add_curve.2359132437744.6803.3.0:33644</v>
      </c>
      <c r="E6804" s="6" t="str">
        <f>_xll.QS.INSTRUMENT.SWAP("swap.6802",H6804,B6804,"USD","SOFR",I6804,J6804,0,"Actual360","Simple","Annual","Annual","Annual")</f>
        <v>QSObject:Swap:w1~swap.6802:6838</v>
      </c>
      <c r="F6804" s="6" t="str">
        <f>_xll.QS.TRADE.CREATE("trade.6802",E6804,A6804,"Receive")</f>
        <v>QSObject:SwapTrade:w1~trade.6802:25090</v>
      </c>
      <c r="G6804" s="3">
        <f>_xll.QS.EVALUATE(C6804,F6804)</f>
        <v>24617.870417690407</v>
      </c>
      <c r="H6804" s="5" t="s">
        <v>6844</v>
      </c>
      <c r="I6804" s="7">
        <v>1680200</v>
      </c>
      <c r="J6804" s="8">
        <v>3.5200000000000002E-2</v>
      </c>
    </row>
    <row r="6805" spans="1:10" x14ac:dyDescent="0.25">
      <c r="A6805" s="5" t="s">
        <v>6838</v>
      </c>
      <c r="B6805" s="5" t="s">
        <v>8672</v>
      </c>
      <c r="C6805" s="6" t="str">
        <f>_xll.QS.CONTEXT.CREATE("market.6803",A6805,"USD","SOFR")</f>
        <v>QSObject:PricingContext:w1~market.6803:6837</v>
      </c>
      <c r="D6805" s="6" t="str">
        <f>_xll.QS.CONTEXT.ADD.CURVE(C6805,"SOFR",$K$2:$K$7,$L$2:$L$7,,,"Actual360","LogLinear",TRUE)</f>
        <v>QSObject:ContextInput:w1~input.qs_context_add_curve.2359132437744.6804.3.0:33643</v>
      </c>
      <c r="E6805" s="6" t="str">
        <f>_xll.QS.INSTRUMENT.SWAP("swap.6803",H6805,B6805,"USD","SOFR",I6805,J6805,0,"Actual360","Simple","Annual","Annual","Annual")</f>
        <v>QSObject:Swap:w1~swap.6803:6836</v>
      </c>
      <c r="F6805" s="6" t="str">
        <f>_xll.QS.TRADE.CREATE("trade.6803",E6805,A6805,"Receive")</f>
        <v>QSObject:SwapTrade:w1~trade.6803:25089</v>
      </c>
      <c r="G6805" s="3">
        <f>_xll.QS.EVALUATE(C6805,F6805)</f>
        <v>25241.9260187646</v>
      </c>
      <c r="H6805" s="5" t="s">
        <v>6845</v>
      </c>
      <c r="I6805" s="7">
        <v>1680300</v>
      </c>
      <c r="J6805" s="8">
        <v>3.5299999999999998E-2</v>
      </c>
    </row>
    <row r="6806" spans="1:10" x14ac:dyDescent="0.25">
      <c r="A6806" s="5" t="s">
        <v>6839</v>
      </c>
      <c r="B6806" s="5" t="s">
        <v>8673</v>
      </c>
      <c r="C6806" s="6" t="str">
        <f>_xll.QS.CONTEXT.CREATE("market.6804",A6806,"USD","SOFR")</f>
        <v>QSObject:PricingContext:w1~market.6804:6835</v>
      </c>
      <c r="D6806" s="6" t="str">
        <f>_xll.QS.CONTEXT.ADD.CURVE(C6806,"SOFR",$K$2:$K$7,$L$2:$L$7,,,"Actual360","LogLinear",TRUE)</f>
        <v>QSObject:ContextInput:w1~input.qs_context_add_curve.2359132437744.6805.3.0:33642</v>
      </c>
      <c r="E6806" s="6" t="str">
        <f>_xll.QS.INSTRUMENT.SWAP("swap.6804",H6806,B6806,"USD","SOFR",I6806,J6806,0,"Actual360","Simple","Annual","Annual","Annual")</f>
        <v>QSObject:Swap:w1~swap.6804:6834</v>
      </c>
      <c r="F6806" s="6" t="str">
        <f>_xll.QS.TRADE.CREATE("trade.6804",E6806,A6806,"Receive")</f>
        <v>QSObject:SwapTrade:w1~trade.6804:25088</v>
      </c>
      <c r="G6806" s="3">
        <f>_xll.QS.EVALUATE(C6806,F6806)</f>
        <v>26087.83740906154</v>
      </c>
      <c r="H6806" s="5" t="s">
        <v>6846</v>
      </c>
      <c r="I6806" s="7">
        <v>1680400</v>
      </c>
      <c r="J6806" s="8">
        <v>3.5400000000000001E-2</v>
      </c>
    </row>
    <row r="6807" spans="1:10" x14ac:dyDescent="0.25">
      <c r="A6807" s="5" t="s">
        <v>6840</v>
      </c>
      <c r="B6807" s="5" t="s">
        <v>8674</v>
      </c>
      <c r="C6807" s="6" t="str">
        <f>_xll.QS.CONTEXT.CREATE("market.6805",A6807,"USD","SOFR")</f>
        <v>QSObject:PricingContext:w1~market.6805:6833</v>
      </c>
      <c r="D6807" s="6" t="str">
        <f>_xll.QS.CONTEXT.ADD.CURVE(C6807,"SOFR",$K$2:$K$7,$L$2:$L$7,,,"Actual360","LogLinear",TRUE)</f>
        <v>QSObject:ContextInput:w1~input.qs_context_add_curve.2359132437744.6806.3.0:33641</v>
      </c>
      <c r="E6807" s="6" t="str">
        <f>_xll.QS.INSTRUMENT.SWAP("swap.6805",H6807,B6807,"USD","SOFR",I6807,J6807,0,"Actual360","Simple","Annual","Annual","Annual")</f>
        <v>QSObject:Swap:w1~swap.6805:6832</v>
      </c>
      <c r="F6807" s="6" t="str">
        <f>_xll.QS.TRADE.CREATE("trade.6805",E6807,A6807,"Receive")</f>
        <v>QSObject:SwapTrade:w1~trade.6805:25087</v>
      </c>
      <c r="G6807" s="3">
        <f>_xll.QS.EVALUATE(C6807,F6807)</f>
        <v>26915.850922282159</v>
      </c>
      <c r="H6807" s="5" t="s">
        <v>6847</v>
      </c>
      <c r="I6807" s="7">
        <v>1680500</v>
      </c>
      <c r="J6807" s="8">
        <v>3.5499999999999997E-2</v>
      </c>
    </row>
    <row r="6808" spans="1:10" x14ac:dyDescent="0.25">
      <c r="A6808" s="5" t="s">
        <v>6841</v>
      </c>
      <c r="B6808" s="5" t="s">
        <v>8675</v>
      </c>
      <c r="C6808" s="6" t="str">
        <f>_xll.QS.CONTEXT.CREATE("market.6806",A6808,"USD","SOFR")</f>
        <v>QSObject:PricingContext:w1~market.6806:6831</v>
      </c>
      <c r="D6808" s="6" t="str">
        <f>_xll.QS.CONTEXT.ADD.CURVE(C6808,"SOFR",$K$2:$K$7,$L$2:$L$7,,,"Actual360","LogLinear",TRUE)</f>
        <v>QSObject:ContextInput:w1~input.qs_context_add_curve.2359132437744.6807.3.0:33640</v>
      </c>
      <c r="E6808" s="6" t="str">
        <f>_xll.QS.INSTRUMENT.SWAP("swap.6806",H6808,B6808,"USD","SOFR",I6808,J6808,0,"Actual360","Simple","Annual","Annual","Annual")</f>
        <v>QSObject:Swap:w1~swap.6806:6830</v>
      </c>
      <c r="F6808" s="6" t="str">
        <f>_xll.QS.TRADE.CREATE("trade.6806",E6808,A6808,"Receive")</f>
        <v>QSObject:SwapTrade:w1~trade.6806:25086</v>
      </c>
      <c r="G6808" s="3">
        <f>_xll.QS.EVALUATE(C6808,F6808)</f>
        <v>27814.984271428635</v>
      </c>
      <c r="H6808" s="5" t="s">
        <v>6848</v>
      </c>
      <c r="I6808" s="7">
        <v>1680600</v>
      </c>
      <c r="J6808" s="8">
        <v>3.5600000000000007E-2</v>
      </c>
    </row>
    <row r="6809" spans="1:10" x14ac:dyDescent="0.25">
      <c r="A6809" s="5" t="s">
        <v>6842</v>
      </c>
      <c r="B6809" s="5" t="s">
        <v>8676</v>
      </c>
      <c r="C6809" s="6" t="str">
        <f>_xll.QS.CONTEXT.CREATE("market.6807",A6809,"USD","SOFR")</f>
        <v>QSObject:PricingContext:w1~market.6807:6829</v>
      </c>
      <c r="D6809" s="6" t="str">
        <f>_xll.QS.CONTEXT.ADD.CURVE(C6809,"SOFR",$K$2:$K$7,$L$2:$L$7,,,"Actual360","LogLinear",TRUE)</f>
        <v>QSObject:ContextInput:w1~input.qs_context_add_curve.2359132437744.6808.3.0:33639</v>
      </c>
      <c r="E6809" s="6" t="str">
        <f>_xll.QS.INSTRUMENT.SWAP("swap.6807",H6809,B6809,"USD","SOFR",I6809,J6809,0,"Actual360","Simple","Annual","Annual","Annual")</f>
        <v>QSObject:Swap:w1~swap.6807:6828</v>
      </c>
      <c r="F6809" s="6" t="str">
        <f>_xll.QS.TRADE.CREATE("trade.6807",E6809,A6809,"Receive")</f>
        <v>QSObject:SwapTrade:w1~trade.6807:25085</v>
      </c>
      <c r="G6809" s="3">
        <f>_xll.QS.EVALUATE(C6809,F6809)</f>
        <v>28664.949921713989</v>
      </c>
      <c r="H6809" s="5" t="s">
        <v>6849</v>
      </c>
      <c r="I6809" s="7">
        <v>1680700</v>
      </c>
      <c r="J6809" s="8">
        <v>3.5700000000000003E-2</v>
      </c>
    </row>
    <row r="6810" spans="1:10" x14ac:dyDescent="0.25">
      <c r="A6810" s="5" t="s">
        <v>6843</v>
      </c>
      <c r="B6810" s="5" t="s">
        <v>8677</v>
      </c>
      <c r="C6810" s="6" t="str">
        <f>_xll.QS.CONTEXT.CREATE("market.6808",A6810,"USD","SOFR")</f>
        <v>QSObject:PricingContext:w1~market.6808:6827</v>
      </c>
      <c r="D6810" s="6" t="str">
        <f>_xll.QS.CONTEXT.ADD.CURVE(C6810,"SOFR",$K$2:$K$7,$L$2:$L$7,,,"Actual360","LogLinear",TRUE)</f>
        <v>QSObject:ContextInput:w1~input.qs_context_add_curve.2359132437744.6809.3.0:33638</v>
      </c>
      <c r="E6810" s="6" t="str">
        <f>_xll.QS.INSTRUMENT.SWAP("swap.6808",H6810,B6810,"USD","SOFR",I6810,J6810,0,"Actual360","Simple","Annual","Annual","Annual")</f>
        <v>QSObject:Swap:w1~swap.6808:6826</v>
      </c>
      <c r="F6810" s="6" t="str">
        <f>_xll.QS.TRADE.CREATE("trade.6808",E6810,A6810,"Receive")</f>
        <v>QSObject:SwapTrade:w1~trade.6808:25084</v>
      </c>
      <c r="G6810" s="3">
        <f>_xll.QS.EVALUATE(C6810,F6810)</f>
        <v>29377.112089891285</v>
      </c>
      <c r="H6810" s="5" t="s">
        <v>6850</v>
      </c>
      <c r="I6810" s="7">
        <v>1680800</v>
      </c>
      <c r="J6810" s="8">
        <v>3.5800000000000012E-2</v>
      </c>
    </row>
    <row r="6811" spans="1:10" x14ac:dyDescent="0.25">
      <c r="A6811" s="5" t="s">
        <v>6844</v>
      </c>
      <c r="B6811" s="5" t="s">
        <v>8678</v>
      </c>
      <c r="C6811" s="6" t="str">
        <f>_xll.QS.CONTEXT.CREATE("market.6809",A6811,"USD","SOFR")</f>
        <v>QSObject:PricingContext:w1~market.6809:6825</v>
      </c>
      <c r="D6811" s="6" t="str">
        <f>_xll.QS.CONTEXT.ADD.CURVE(C6811,"SOFR",$K$2:$K$7,$L$2:$L$7,,,"Actual360","LogLinear",TRUE)</f>
        <v>QSObject:ContextInput:w1~input.qs_context_add_curve.2359132437744.6810.3.0:33637</v>
      </c>
      <c r="E6811" s="6" t="str">
        <f>_xll.QS.INSTRUMENT.SWAP("swap.6809",H6811,B6811,"USD","SOFR",I6811,J6811,0,"Actual360","Simple","Annual","Annual","Annual")</f>
        <v>QSObject:Swap:w1~swap.6809:6824</v>
      </c>
      <c r="F6811" s="6" t="str">
        <f>_xll.QS.TRADE.CREATE("trade.6809",E6811,A6811,"Receive")</f>
        <v>QSObject:SwapTrade:w1~trade.6809:25083</v>
      </c>
      <c r="G6811" s="3">
        <f>_xll.QS.EVALUATE(C6811,F6811)</f>
        <v>30107.569738793864</v>
      </c>
      <c r="H6811" s="5" t="s">
        <v>6851</v>
      </c>
      <c r="I6811" s="7">
        <v>1680900</v>
      </c>
      <c r="J6811" s="8">
        <v>3.5900000000000001E-2</v>
      </c>
    </row>
    <row r="6812" spans="1:10" x14ac:dyDescent="0.25">
      <c r="A6812" s="5" t="s">
        <v>6845</v>
      </c>
      <c r="B6812" s="5" t="s">
        <v>8679</v>
      </c>
      <c r="C6812" s="6" t="str">
        <f>_xll.QS.CONTEXT.CREATE("market.6810",A6812,"USD","SOFR")</f>
        <v>QSObject:PricingContext:w1~market.6810:6823</v>
      </c>
      <c r="D6812" s="6" t="str">
        <f>_xll.QS.CONTEXT.ADD.CURVE(C6812,"SOFR",$K$2:$K$7,$L$2:$L$7,,,"Actual360","LogLinear",TRUE)</f>
        <v>QSObject:ContextInput:w1~input.qs_context_add_curve.2359132437744.6811.3.0:33636</v>
      </c>
      <c r="E6812" s="6" t="str">
        <f>_xll.QS.INSTRUMENT.SWAP("swap.6810",H6812,B6812,"USD","SOFR",I6812,J6812,0,"Actual360","Simple","Annual","Annual","Annual")</f>
        <v>QSObject:Swap:w1~swap.6810:6822</v>
      </c>
      <c r="F6812" s="6" t="str">
        <f>_xll.QS.TRADE.CREATE("trade.6810",E6812,A6812,"Receive")</f>
        <v>QSObject:SwapTrade:w1~trade.6810:25082</v>
      </c>
      <c r="G6812" s="3">
        <f>_xll.QS.EVALUATE(C6812,F6812)</f>
        <v>30887.380538812919</v>
      </c>
      <c r="H6812" s="5" t="s">
        <v>6852</v>
      </c>
      <c r="I6812" s="7">
        <v>1681000</v>
      </c>
      <c r="J6812" s="8">
        <v>3.5999999999999997E-2</v>
      </c>
    </row>
    <row r="6813" spans="1:10" x14ac:dyDescent="0.25">
      <c r="A6813" s="5" t="s">
        <v>6846</v>
      </c>
      <c r="B6813" s="5" t="s">
        <v>8680</v>
      </c>
      <c r="C6813" s="6" t="str">
        <f>_xll.QS.CONTEXT.CREATE("market.6811",A6813,"USD","SOFR")</f>
        <v>QSObject:PricingContext:w1~market.6811:6821</v>
      </c>
      <c r="D6813" s="6" t="str">
        <f>_xll.QS.CONTEXT.ADD.CURVE(C6813,"SOFR",$K$2:$K$7,$L$2:$L$7,,,"Actual360","LogLinear",TRUE)</f>
        <v>QSObject:ContextInput:w1~input.qs_context_add_curve.2359132437744.6812.3.0:33635</v>
      </c>
      <c r="E6813" s="6" t="str">
        <f>_xll.QS.INSTRUMENT.SWAP("swap.6811",H6813,B6813,"USD","SOFR",I6813,J6813,0,"Actual360","Simple","Annual","Annual","Annual")</f>
        <v>QSObject:Swap:w1~swap.6811:6820</v>
      </c>
      <c r="F6813" s="6" t="str">
        <f>_xll.QS.TRADE.CREATE("trade.6811",E6813,A6813,"Receive")</f>
        <v>QSObject:SwapTrade:w1~trade.6811:25081</v>
      </c>
      <c r="G6813" s="3">
        <f>_xll.QS.EVALUATE(C6813,F6813)</f>
        <v>31458.721809997936</v>
      </c>
      <c r="H6813" s="5" t="s">
        <v>6853</v>
      </c>
      <c r="I6813" s="7">
        <v>1681100</v>
      </c>
      <c r="J6813" s="8">
        <v>3.61E-2</v>
      </c>
    </row>
    <row r="6814" spans="1:10" x14ac:dyDescent="0.25">
      <c r="A6814" s="5" t="s">
        <v>6847</v>
      </c>
      <c r="B6814" s="5" t="s">
        <v>8681</v>
      </c>
      <c r="C6814" s="6" t="str">
        <f>_xll.QS.CONTEXT.CREATE("market.6812",A6814,"USD","SOFR")</f>
        <v>QSObject:PricingContext:w1~market.6812:6819</v>
      </c>
      <c r="D6814" s="6" t="str">
        <f>_xll.QS.CONTEXT.ADD.CURVE(C6814,"SOFR",$K$2:$K$7,$L$2:$L$7,,,"Actual360","LogLinear",TRUE)</f>
        <v>QSObject:ContextInput:w1~input.qs_context_add_curve.2359132437744.6813.3.0:33634</v>
      </c>
      <c r="E6814" s="6" t="str">
        <f>_xll.QS.INSTRUMENT.SWAP("swap.6812",H6814,B6814,"USD","SOFR",I6814,J6814,0,"Actual360","Simple","Annual","Annual","Annual")</f>
        <v>QSObject:Swap:w1~swap.6812:6818</v>
      </c>
      <c r="F6814" s="6" t="str">
        <f>_xll.QS.TRADE.CREATE("trade.6812",E6814,A6814,"Receive")</f>
        <v>QSObject:SwapTrade:w1~trade.6812:25080</v>
      </c>
      <c r="G6814" s="3">
        <f>_xll.QS.EVALUATE(C6814,F6814)</f>
        <v>32306.038863359223</v>
      </c>
      <c r="H6814" s="5" t="s">
        <v>6854</v>
      </c>
      <c r="I6814" s="7">
        <v>1681200</v>
      </c>
      <c r="J6814" s="8">
        <v>3.6200000000000003E-2</v>
      </c>
    </row>
    <row r="6815" spans="1:10" x14ac:dyDescent="0.25">
      <c r="A6815" s="5" t="s">
        <v>6848</v>
      </c>
      <c r="B6815" s="5" t="s">
        <v>8682</v>
      </c>
      <c r="C6815" s="6" t="str">
        <f>_xll.QS.CONTEXT.CREATE("market.6813",A6815,"USD","SOFR")</f>
        <v>QSObject:PricingContext:w1~market.6813:6817</v>
      </c>
      <c r="D6815" s="6" t="str">
        <f>_xll.QS.CONTEXT.ADD.CURVE(C6815,"SOFR",$K$2:$K$7,$L$2:$L$7,,,"Actual360","LogLinear",TRUE)</f>
        <v>QSObject:ContextInput:w1~input.qs_context_add_curve.2359132437744.6814.3.0:33633</v>
      </c>
      <c r="E6815" s="6" t="str">
        <f>_xll.QS.INSTRUMENT.SWAP("swap.6813",H6815,B6815,"USD","SOFR",I6815,J6815,0,"Actual360","Simple","Annual","Annual","Annual")</f>
        <v>QSObject:Swap:w1~swap.6813:6816</v>
      </c>
      <c r="F6815" s="6" t="str">
        <f>_xll.QS.TRADE.CREATE("trade.6813",E6815,A6815,"Receive")</f>
        <v>QSObject:SwapTrade:w1~trade.6813:25079</v>
      </c>
      <c r="G6815" s="3">
        <f>_xll.QS.EVALUATE(C6815,F6815)</f>
        <v>33317.929794780226</v>
      </c>
      <c r="H6815" s="5" t="s">
        <v>6855</v>
      </c>
      <c r="I6815" s="7">
        <v>1681300</v>
      </c>
      <c r="J6815" s="8">
        <v>3.6300000000000013E-2</v>
      </c>
    </row>
    <row r="6816" spans="1:10" x14ac:dyDescent="0.25">
      <c r="A6816" s="5" t="s">
        <v>6849</v>
      </c>
      <c r="B6816" s="5" t="s">
        <v>8683</v>
      </c>
      <c r="C6816" s="6" t="str">
        <f>_xll.QS.CONTEXT.CREATE("market.6814",A6816,"USD","SOFR")</f>
        <v>QSObject:PricingContext:w1~market.6814:6815</v>
      </c>
      <c r="D6816" s="6" t="str">
        <f>_xll.QS.CONTEXT.ADD.CURVE(C6816,"SOFR",$K$2:$K$7,$L$2:$L$7,,,"Actual360","LogLinear",TRUE)</f>
        <v>QSObject:ContextInput:w1~input.qs_context_add_curve.2359132437744.6815.3.0:33632</v>
      </c>
      <c r="E6816" s="6" t="str">
        <f>_xll.QS.INSTRUMENT.SWAP("swap.6814",H6816,B6816,"USD","SOFR",I6816,J6816,0,"Actual360","Simple","Annual","Annual","Annual")</f>
        <v>QSObject:Swap:w1~swap.6814:6814</v>
      </c>
      <c r="F6816" s="6" t="str">
        <f>_xll.QS.TRADE.CREATE("trade.6814",E6816,A6816,"Receive")</f>
        <v>QSObject:SwapTrade:w1~trade.6814:25078</v>
      </c>
      <c r="G6816" s="3">
        <f>_xll.QS.EVALUATE(C6816,F6816)</f>
        <v>34108.043938431481</v>
      </c>
      <c r="H6816" s="5" t="s">
        <v>6856</v>
      </c>
      <c r="I6816" s="7">
        <v>1681400</v>
      </c>
      <c r="J6816" s="8">
        <v>3.6400000000000002E-2</v>
      </c>
    </row>
    <row r="6817" spans="1:10" x14ac:dyDescent="0.25">
      <c r="A6817" s="5" t="s">
        <v>6850</v>
      </c>
      <c r="B6817" s="5" t="s">
        <v>8684</v>
      </c>
      <c r="C6817" s="6" t="str">
        <f>_xll.QS.CONTEXT.CREATE("market.6815",A6817,"USD","SOFR")</f>
        <v>QSObject:PricingContext:w1~market.6815:6813</v>
      </c>
      <c r="D6817" s="6" t="str">
        <f>_xll.QS.CONTEXT.ADD.CURVE(C6817,"SOFR",$K$2:$K$7,$L$2:$L$7,,,"Actual360","LogLinear",TRUE)</f>
        <v>QSObject:ContextInput:w1~input.qs_context_add_curve.2359132437744.6816.3.0:33631</v>
      </c>
      <c r="E6817" s="6" t="str">
        <f>_xll.QS.INSTRUMENT.SWAP("swap.6815",H6817,B6817,"USD","SOFR",I6817,J6817,0,"Actual360","Simple","Annual","Annual","Annual")</f>
        <v>QSObject:Swap:w1~swap.6815:6812</v>
      </c>
      <c r="F6817" s="6" t="str">
        <f>_xll.QS.TRADE.CREATE("trade.6815",E6817,A6817,"Receive")</f>
        <v>QSObject:SwapTrade:w1~trade.6815:25077</v>
      </c>
      <c r="G6817" s="3">
        <f>_xll.QS.EVALUATE(C6817,F6817)</f>
        <v>34885.068888094691</v>
      </c>
      <c r="H6817" s="5" t="s">
        <v>6857</v>
      </c>
      <c r="I6817" s="7">
        <v>1681500</v>
      </c>
      <c r="J6817" s="8">
        <v>3.6499999999999998E-2</v>
      </c>
    </row>
    <row r="6818" spans="1:10" x14ac:dyDescent="0.25">
      <c r="A6818" s="5" t="s">
        <v>6851</v>
      </c>
      <c r="B6818" s="5" t="s">
        <v>8685</v>
      </c>
      <c r="C6818" s="6" t="str">
        <f>_xll.QS.CONTEXT.CREATE("market.6816",A6818,"USD","SOFR")</f>
        <v>QSObject:PricingContext:w1~market.6816:6811</v>
      </c>
      <c r="D6818" s="6" t="str">
        <f>_xll.QS.CONTEXT.ADD.CURVE(C6818,"SOFR",$K$2:$K$7,$L$2:$L$7,,,"Actual360","LogLinear",TRUE)</f>
        <v>QSObject:ContextInput:w1~input.qs_context_add_curve.2359132437744.6817.3.0:33630</v>
      </c>
      <c r="E6818" s="6" t="str">
        <f>_xll.QS.INSTRUMENT.SWAP("swap.6816",H6818,B6818,"USD","SOFR",I6818,J6818,0,"Actual360","Simple","Annual","Annual","Annual")</f>
        <v>QSObject:Swap:w1~swap.6816:6810</v>
      </c>
      <c r="F6818" s="6" t="str">
        <f>_xll.QS.TRADE.CREATE("trade.6816",E6818,A6818,"Receive")</f>
        <v>QSObject:SwapTrade:w1~trade.6816:25076</v>
      </c>
      <c r="G6818" s="3">
        <f>_xll.QS.EVALUATE(C6818,F6818)</f>
        <v>35549.916603193145</v>
      </c>
      <c r="H6818" s="5" t="s">
        <v>6858</v>
      </c>
      <c r="I6818" s="7">
        <v>1681600</v>
      </c>
      <c r="J6818" s="8">
        <v>3.6600000000000001E-2</v>
      </c>
    </row>
    <row r="6819" spans="1:10" x14ac:dyDescent="0.25">
      <c r="A6819" s="5" t="s">
        <v>6852</v>
      </c>
      <c r="B6819" s="5" t="s">
        <v>8686</v>
      </c>
      <c r="C6819" s="6" t="str">
        <f>_xll.QS.CONTEXT.CREATE("market.6817",A6819,"USD","SOFR")</f>
        <v>QSObject:PricingContext:w1~market.6817:6809</v>
      </c>
      <c r="D6819" s="6" t="str">
        <f>_xll.QS.CONTEXT.ADD.CURVE(C6819,"SOFR",$K$2:$K$7,$L$2:$L$7,,,"Actual360","LogLinear",TRUE)</f>
        <v>QSObject:ContextInput:w1~input.qs_context_add_curve.2359132437744.6818.3.0:33629</v>
      </c>
      <c r="E6819" s="6" t="str">
        <f>_xll.QS.INSTRUMENT.SWAP("swap.6817",H6819,B6819,"USD","SOFR",I6819,J6819,0,"Actual360","Simple","Annual","Annual","Annual")</f>
        <v>QSObject:Swap:w1~swap.6817:6808</v>
      </c>
      <c r="F6819" s="6" t="str">
        <f>_xll.QS.TRADE.CREATE("trade.6817",E6819,A6819,"Receive")</f>
        <v>QSObject:SwapTrade:w1~trade.6817:25075</v>
      </c>
      <c r="G6819" s="3">
        <f>_xll.QS.EVALUATE(C6819,F6819)</f>
        <v>36192.058688373858</v>
      </c>
      <c r="H6819" s="5" t="s">
        <v>6859</v>
      </c>
      <c r="I6819" s="7">
        <v>1681700</v>
      </c>
      <c r="J6819" s="8">
        <v>3.6700000000000003E-2</v>
      </c>
    </row>
    <row r="6820" spans="1:10" x14ac:dyDescent="0.25">
      <c r="A6820" s="5" t="s">
        <v>6853</v>
      </c>
      <c r="B6820" s="5" t="s">
        <v>8687</v>
      </c>
      <c r="C6820" s="6" t="str">
        <f>_xll.QS.CONTEXT.CREATE("market.6818",A6820,"USD","SOFR")</f>
        <v>QSObject:PricingContext:w1~market.6818:6807</v>
      </c>
      <c r="D6820" s="6" t="str">
        <f>_xll.QS.CONTEXT.ADD.CURVE(C6820,"SOFR",$K$2:$K$7,$L$2:$L$7,,,"Actual360","LogLinear",TRUE)</f>
        <v>QSObject:ContextInput:w1~input.qs_context_add_curve.2359132437744.6819.3.0:33628</v>
      </c>
      <c r="E6820" s="6" t="str">
        <f>_xll.QS.INSTRUMENT.SWAP("swap.6818",H6820,B6820,"USD","SOFR",I6820,J6820,0,"Actual360","Simple","Annual","Annual","Annual")</f>
        <v>QSObject:Swap:w1~swap.6818:6806</v>
      </c>
      <c r="F6820" s="6" t="str">
        <f>_xll.QS.TRADE.CREATE("trade.6818",E6820,A6820,"Receive")</f>
        <v>QSObject:SwapTrade:w1~trade.6818:25074</v>
      </c>
      <c r="G6820" s="3">
        <f>_xll.QS.EVALUATE(C6820,F6820)</f>
        <v>36972.678749699298</v>
      </c>
      <c r="H6820" s="5" t="s">
        <v>6860</v>
      </c>
      <c r="I6820" s="7">
        <v>1681800</v>
      </c>
      <c r="J6820" s="8">
        <v>3.6800000000000013E-2</v>
      </c>
    </row>
    <row r="6821" spans="1:10" x14ac:dyDescent="0.25">
      <c r="A6821" s="5" t="s">
        <v>6854</v>
      </c>
      <c r="B6821" s="5" t="s">
        <v>8688</v>
      </c>
      <c r="C6821" s="6" t="str">
        <f>_xll.QS.CONTEXT.CREATE("market.6819",A6821,"USD","SOFR")</f>
        <v>QSObject:PricingContext:w1~market.6819:6805</v>
      </c>
      <c r="D6821" s="6" t="str">
        <f>_xll.QS.CONTEXT.ADD.CURVE(C6821,"SOFR",$K$2:$K$7,$L$2:$L$7,,,"Actual360","LogLinear",TRUE)</f>
        <v>QSObject:ContextInput:w1~input.qs_context_add_curve.2359132437744.6820.3.0:33627</v>
      </c>
      <c r="E6821" s="6" t="str">
        <f>_xll.QS.INSTRUMENT.SWAP("swap.6819",H6821,B6821,"USD","SOFR",I6821,J6821,0,"Actual360","Simple","Annual","Annual","Annual")</f>
        <v>QSObject:Swap:w1~swap.6819:6804</v>
      </c>
      <c r="F6821" s="6" t="str">
        <f>_xll.QS.TRADE.CREATE("trade.6819",E6821,A6821,"Receive")</f>
        <v>QSObject:SwapTrade:w1~trade.6819:25073</v>
      </c>
      <c r="G6821" s="3">
        <f>_xll.QS.EVALUATE(C6821,F6821)</f>
        <v>37797.03569082138</v>
      </c>
      <c r="H6821" s="5" t="s">
        <v>6861</v>
      </c>
      <c r="I6821" s="7">
        <v>1681900</v>
      </c>
      <c r="J6821" s="8">
        <v>3.6900000000000002E-2</v>
      </c>
    </row>
    <row r="6822" spans="1:10" x14ac:dyDescent="0.25">
      <c r="A6822" s="5" t="s">
        <v>6855</v>
      </c>
      <c r="B6822" s="5" t="s">
        <v>8689</v>
      </c>
      <c r="C6822" s="6" t="str">
        <f>_xll.QS.CONTEXT.CREATE("market.6820",A6822,"USD","SOFR")</f>
        <v>QSObject:PricingContext:w1~market.6820:6803</v>
      </c>
      <c r="D6822" s="6" t="str">
        <f>_xll.QS.CONTEXT.ADD.CURVE(C6822,"SOFR",$K$2:$K$7,$L$2:$L$7,,,"Actual360","LogLinear",TRUE)</f>
        <v>QSObject:ContextInput:w1~input.qs_context_add_curve.2359132437744.6821.3.0:33626</v>
      </c>
      <c r="E6822" s="6" t="str">
        <f>_xll.QS.INSTRUMENT.SWAP("swap.6820",H6822,B6822,"USD","SOFR",I6822,J6822,0,"Actual360","Simple","Annual","Annual","Annual")</f>
        <v>QSObject:Swap:w1~swap.6820:6802</v>
      </c>
      <c r="F6822" s="6" t="str">
        <f>_xll.QS.TRADE.CREATE("trade.6820",E6822,A6822,"Receive")</f>
        <v>QSObject:SwapTrade:w1~trade.6820:25072</v>
      </c>
      <c r="G6822" s="3">
        <f>_xll.QS.EVALUATE(C6822,F6822)</f>
        <v>38697.33138805753</v>
      </c>
      <c r="H6822" s="5" t="s">
        <v>6862</v>
      </c>
      <c r="I6822" s="7">
        <v>1682000</v>
      </c>
      <c r="J6822" s="8">
        <v>3.7000000000000012E-2</v>
      </c>
    </row>
    <row r="6823" spans="1:10" x14ac:dyDescent="0.25">
      <c r="A6823" s="5" t="s">
        <v>6856</v>
      </c>
      <c r="B6823" s="5" t="s">
        <v>8690</v>
      </c>
      <c r="C6823" s="6" t="str">
        <f>_xll.QS.CONTEXT.CREATE("market.6821",A6823,"USD","SOFR")</f>
        <v>QSObject:PricingContext:w1~market.6821:6801</v>
      </c>
      <c r="D6823" s="6" t="str">
        <f>_xll.QS.CONTEXT.ADD.CURVE(C6823,"SOFR",$K$2:$K$7,$L$2:$L$7,,,"Actual360","LogLinear",TRUE)</f>
        <v>QSObject:ContextInput:w1~input.qs_context_add_curve.2359132437744.6822.3.0:33625</v>
      </c>
      <c r="E6823" s="6" t="str">
        <f>_xll.QS.INSTRUMENT.SWAP("swap.6821",H6823,B6823,"USD","SOFR",I6823,J6823,0,"Actual360","Simple","Annual","Annual","Annual")</f>
        <v>QSObject:Swap:w1~swap.6821:6800</v>
      </c>
      <c r="F6823" s="6" t="str">
        <f>_xll.QS.TRADE.CREATE("trade.6821",E6823,A6823,"Receive")</f>
        <v>QSObject:SwapTrade:w1~trade.6821:25071</v>
      </c>
      <c r="G6823" s="3">
        <f>_xll.QS.EVALUATE(C6823,F6823)</f>
        <v>39548.496319919555</v>
      </c>
      <c r="H6823" s="5" t="s">
        <v>6863</v>
      </c>
      <c r="I6823" s="7">
        <v>1682100</v>
      </c>
      <c r="J6823" s="8">
        <v>3.7100000000000001E-2</v>
      </c>
    </row>
    <row r="6824" spans="1:10" x14ac:dyDescent="0.25">
      <c r="A6824" s="5" t="s">
        <v>6857</v>
      </c>
      <c r="B6824" s="5" t="s">
        <v>8691</v>
      </c>
      <c r="C6824" s="6" t="str">
        <f>_xll.QS.CONTEXT.CREATE("market.6822",A6824,"USD","SOFR")</f>
        <v>QSObject:PricingContext:w1~market.6822:6799</v>
      </c>
      <c r="D6824" s="6" t="str">
        <f>_xll.QS.CONTEXT.ADD.CURVE(C6824,"SOFR",$K$2:$K$7,$L$2:$L$7,,,"Actual360","LogLinear",TRUE)</f>
        <v>QSObject:ContextInput:w1~input.qs_context_add_curve.2359132437744.6823.3.0:33624</v>
      </c>
      <c r="E6824" s="6" t="str">
        <f>_xll.QS.INSTRUMENT.SWAP("swap.6822",H6824,B6824,"USD","SOFR",I6824,J6824,0,"Actual360","Simple","Annual","Annual","Annual")</f>
        <v>QSObject:Swap:w1~swap.6822:6798</v>
      </c>
      <c r="F6824" s="6" t="str">
        <f>_xll.QS.TRADE.CREATE("trade.6822",E6824,A6824,"Receive")</f>
        <v>QSObject:SwapTrade:w1~trade.6822:25070</v>
      </c>
      <c r="G6824" s="3">
        <f>_xll.QS.EVALUATE(C6824,F6824)</f>
        <v>40261.778496380924</v>
      </c>
      <c r="H6824" s="5" t="s">
        <v>6864</v>
      </c>
      <c r="I6824" s="7">
        <v>1682200</v>
      </c>
      <c r="J6824" s="8">
        <v>3.7199999999999997E-2</v>
      </c>
    </row>
    <row r="6825" spans="1:10" x14ac:dyDescent="0.25">
      <c r="A6825" s="5" t="s">
        <v>6858</v>
      </c>
      <c r="B6825" s="5" t="s">
        <v>8692</v>
      </c>
      <c r="C6825" s="6" t="str">
        <f>_xll.QS.CONTEXT.CREATE("market.6823",A6825,"USD","SOFR")</f>
        <v>QSObject:PricingContext:w1~market.6823:6797</v>
      </c>
      <c r="D6825" s="6" t="str">
        <f>_xll.QS.CONTEXT.ADD.CURVE(C6825,"SOFR",$K$2:$K$7,$L$2:$L$7,,,"Actual360","LogLinear",TRUE)</f>
        <v>QSObject:ContextInput:w1~input.qs_context_add_curve.2359132437744.6824.3.0:33623</v>
      </c>
      <c r="E6825" s="6" t="str">
        <f>_xll.QS.INSTRUMENT.SWAP("swap.6823",H6825,B6825,"USD","SOFR",I6825,J6825,0,"Actual360","Simple","Annual","Annual","Annual")</f>
        <v>QSObject:Swap:w1~swap.6823:6796</v>
      </c>
      <c r="F6825" s="6" t="str">
        <f>_xll.QS.TRADE.CREATE("trade.6823",E6825,A6825,"Receive")</f>
        <v>QSObject:SwapTrade:w1~trade.6823:25069</v>
      </c>
      <c r="G6825" s="3">
        <f>_xll.QS.EVALUATE(C6825,F6825)</f>
        <v>40920.718480324904</v>
      </c>
      <c r="H6825" s="5" t="s">
        <v>6865</v>
      </c>
      <c r="I6825" s="7">
        <v>1682300</v>
      </c>
      <c r="J6825" s="8">
        <v>3.73E-2</v>
      </c>
    </row>
    <row r="6826" spans="1:10" x14ac:dyDescent="0.25">
      <c r="A6826" s="5" t="s">
        <v>6859</v>
      </c>
      <c r="B6826" s="5" t="s">
        <v>8693</v>
      </c>
      <c r="C6826" s="6" t="str">
        <f>_xll.QS.CONTEXT.CREATE("market.6824",A6826,"USD","SOFR")</f>
        <v>QSObject:PricingContext:w1~market.6824:6795</v>
      </c>
      <c r="D6826" s="6" t="str">
        <f>_xll.QS.CONTEXT.ADD.CURVE(C6826,"SOFR",$K$2:$K$7,$L$2:$L$7,,,"Actual360","LogLinear",TRUE)</f>
        <v>QSObject:ContextInput:w1~input.qs_context_add_curve.2359132437744.6825.3.0:33622</v>
      </c>
      <c r="E6826" s="6" t="str">
        <f>_xll.QS.INSTRUMENT.SWAP("swap.6824",H6826,B6826,"USD","SOFR",I6826,J6826,0,"Actual360","Simple","Annual","Annual","Annual")</f>
        <v>QSObject:Swap:w1~swap.6824:6794</v>
      </c>
      <c r="F6826" s="6" t="str">
        <f>_xll.QS.TRADE.CREATE("trade.6824",E6826,A6826,"Receive")</f>
        <v>QSObject:SwapTrade:w1~trade.6824:25068</v>
      </c>
      <c r="G6826" s="3">
        <f>_xll.QS.EVALUATE(C6826,F6826)</f>
        <v>41571.77774289449</v>
      </c>
      <c r="H6826" s="5" t="s">
        <v>6866</v>
      </c>
      <c r="I6826" s="7">
        <v>1682400</v>
      </c>
      <c r="J6826" s="8">
        <v>3.7400000000000003E-2</v>
      </c>
    </row>
    <row r="6827" spans="1:10" x14ac:dyDescent="0.25">
      <c r="A6827" s="5" t="s">
        <v>6860</v>
      </c>
      <c r="B6827" s="5" t="s">
        <v>8694</v>
      </c>
      <c r="C6827" s="6" t="str">
        <f>_xll.QS.CONTEXT.CREATE("market.6825",A6827,"USD","SOFR")</f>
        <v>QSObject:PricingContext:w1~market.6825:6793</v>
      </c>
      <c r="D6827" s="6" t="str">
        <f>_xll.QS.CONTEXT.ADD.CURVE(C6827,"SOFR",$K$2:$K$7,$L$2:$L$7,,,"Actual360","LogLinear",TRUE)</f>
        <v>QSObject:ContextInput:w1~input.qs_context_add_curve.2359132437744.6826.3.0:33621</v>
      </c>
      <c r="E6827" s="6" t="str">
        <f>_xll.QS.INSTRUMENT.SWAP("swap.6825",H6827,B6827,"USD","SOFR",I6827,J6827,0,"Actual360","Simple","Annual","Annual","Annual")</f>
        <v>QSObject:Swap:w1~swap.6825:6792</v>
      </c>
      <c r="F6827" s="6" t="str">
        <f>_xll.QS.TRADE.CREATE("trade.6825",E6827,A6827,"Receive")</f>
        <v>QSObject:SwapTrade:w1~trade.6825:25067</v>
      </c>
      <c r="G6827" s="3">
        <f>_xll.QS.EVALUATE(C6827,F6827)</f>
        <v>42421.29146907726</v>
      </c>
      <c r="H6827" s="5" t="s">
        <v>6867</v>
      </c>
      <c r="I6827" s="7">
        <v>1682500</v>
      </c>
      <c r="J6827" s="8">
        <v>3.7500000000000012E-2</v>
      </c>
    </row>
    <row r="6828" spans="1:10" x14ac:dyDescent="0.25">
      <c r="A6828" s="5" t="s">
        <v>6861</v>
      </c>
      <c r="B6828" s="5" t="s">
        <v>8695</v>
      </c>
      <c r="C6828" s="6" t="str">
        <f>_xll.QS.CONTEXT.CREATE("market.6826",A6828,"USD","SOFR")</f>
        <v>QSObject:PricingContext:w1~market.6826:6791</v>
      </c>
      <c r="D6828" s="6" t="str">
        <f>_xll.QS.CONTEXT.ADD.CURVE(C6828,"SOFR",$K$2:$K$7,$L$2:$L$7,,,"Actual360","LogLinear",TRUE)</f>
        <v>QSObject:ContextInput:w1~input.qs_context_add_curve.2359132437744.6827.3.0:33620</v>
      </c>
      <c r="E6828" s="6" t="str">
        <f>_xll.QS.INSTRUMENT.SWAP("swap.6826",H6828,B6828,"USD","SOFR",I6828,J6828,0,"Actual360","Simple","Annual","Annual","Annual")</f>
        <v>QSObject:Swap:w1~swap.6826:6790</v>
      </c>
      <c r="F6828" s="6" t="str">
        <f>_xll.QS.TRADE.CREATE("trade.6826",E6828,A6828,"Receive")</f>
        <v>QSObject:SwapTrade:w1~trade.6826:25066</v>
      </c>
      <c r="G6828" s="3">
        <f>_xll.QS.EVALUATE(C6828,F6828)</f>
        <v>43243.402216659248</v>
      </c>
      <c r="H6828" s="5" t="s">
        <v>6868</v>
      </c>
      <c r="I6828" s="7">
        <v>1682600</v>
      </c>
      <c r="J6828" s="8">
        <v>3.7600000000000001E-2</v>
      </c>
    </row>
    <row r="6829" spans="1:10" x14ac:dyDescent="0.25">
      <c r="A6829" s="5" t="s">
        <v>6862</v>
      </c>
      <c r="B6829" s="5" t="s">
        <v>8696</v>
      </c>
      <c r="C6829" s="6" t="str">
        <f>_xll.QS.CONTEXT.CREATE("market.6827",A6829,"USD","SOFR")</f>
        <v>QSObject:PricingContext:w1~market.6827:6789</v>
      </c>
      <c r="D6829" s="6" t="str">
        <f>_xll.QS.CONTEXT.ADD.CURVE(C6829,"SOFR",$K$2:$K$7,$L$2:$L$7,,,"Actual360","LogLinear",TRUE)</f>
        <v>QSObject:ContextInput:w1~input.qs_context_add_curve.2359132437744.6828.3.0:33619</v>
      </c>
      <c r="E6829" s="6" t="str">
        <f>_xll.QS.INSTRUMENT.SWAP("swap.6827",H6829,B6829,"USD","SOFR",I6829,J6829,0,"Actual360","Simple","Annual","Annual","Annual")</f>
        <v>QSObject:Swap:w1~swap.6827:6788</v>
      </c>
      <c r="F6829" s="6" t="str">
        <f>_xll.QS.TRADE.CREATE("trade.6827",E6829,A6829,"Receive")</f>
        <v>QSObject:SwapTrade:w1~trade.6827:25065</v>
      </c>
      <c r="G6829" s="3">
        <f>_xll.QS.EVALUATE(C6829,F6829)</f>
        <v>44144.867241822671</v>
      </c>
      <c r="H6829" s="5" t="s">
        <v>6869</v>
      </c>
      <c r="I6829" s="7">
        <v>1682700</v>
      </c>
      <c r="J6829" s="8">
        <v>3.7699999999999997E-2</v>
      </c>
    </row>
    <row r="6830" spans="1:10" x14ac:dyDescent="0.25">
      <c r="A6830" s="5" t="s">
        <v>6863</v>
      </c>
      <c r="B6830" s="5" t="s">
        <v>8697</v>
      </c>
      <c r="C6830" s="6" t="str">
        <f>_xll.QS.CONTEXT.CREATE("market.6828",A6830,"USD","SOFR")</f>
        <v>QSObject:PricingContext:w1~market.6828:6787</v>
      </c>
      <c r="D6830" s="6" t="str">
        <f>_xll.QS.CONTEXT.ADD.CURVE(C6830,"SOFR",$K$2:$K$7,$L$2:$L$7,,,"Actual360","LogLinear",TRUE)</f>
        <v>QSObject:ContextInput:w1~input.qs_context_add_curve.2359132437744.6829.3.0:33618</v>
      </c>
      <c r="E6830" s="6" t="str">
        <f>_xll.QS.INSTRUMENT.SWAP("swap.6828",H6830,B6830,"USD","SOFR",I6830,J6830,0,"Actual360","Simple","Annual","Annual","Annual")</f>
        <v>QSObject:Swap:w1~swap.6828:6786</v>
      </c>
      <c r="F6830" s="6" t="str">
        <f>_xll.QS.TRADE.CREATE("trade.6828",E6830,A6830,"Receive")</f>
        <v>QSObject:SwapTrade:w1~trade.6828:25064</v>
      </c>
      <c r="G6830" s="3">
        <f>_xll.QS.EVALUATE(C6830,F6830)</f>
        <v>44997.048338553432</v>
      </c>
      <c r="H6830" s="5" t="s">
        <v>6870</v>
      </c>
      <c r="I6830" s="7">
        <v>1682800</v>
      </c>
      <c r="J6830" s="8">
        <v>3.78E-2</v>
      </c>
    </row>
    <row r="6831" spans="1:10" x14ac:dyDescent="0.25">
      <c r="A6831" s="5" t="s">
        <v>6864</v>
      </c>
      <c r="B6831" s="5" t="s">
        <v>8698</v>
      </c>
      <c r="C6831" s="6" t="str">
        <f>_xll.QS.CONTEXT.CREATE("market.6829",A6831,"USD","SOFR")</f>
        <v>QSObject:PricingContext:w1~market.6829:6785</v>
      </c>
      <c r="D6831" s="6" t="str">
        <f>_xll.QS.CONTEXT.ADD.CURVE(C6831,"SOFR",$K$2:$K$7,$L$2:$L$7,,,"Actual360","LogLinear",TRUE)</f>
        <v>QSObject:ContextInput:w1~input.qs_context_add_curve.2359132437744.6830.3.0:33617</v>
      </c>
      <c r="E6831" s="6" t="str">
        <f>_xll.QS.INSTRUMENT.SWAP("swap.6829",H6831,B6831,"USD","SOFR",I6831,J6831,0,"Actual360","Simple","Annual","Annual","Annual")</f>
        <v>QSObject:Swap:w1~swap.6829:6784</v>
      </c>
      <c r="F6831" s="6" t="str">
        <f>_xll.QS.TRADE.CREATE("trade.6829",E6831,A6831,"Receive")</f>
        <v>QSObject:SwapTrade:w1~trade.6829:25063</v>
      </c>
      <c r="G6831" s="3">
        <f>_xll.QS.EVALUATE(C6831,F6831)</f>
        <v>45710.890445903773</v>
      </c>
      <c r="H6831" s="5" t="s">
        <v>6871</v>
      </c>
      <c r="I6831" s="7">
        <v>1682900</v>
      </c>
      <c r="J6831" s="8">
        <v>3.7900000000000003E-2</v>
      </c>
    </row>
    <row r="6832" spans="1:10" x14ac:dyDescent="0.25">
      <c r="A6832" s="5" t="s">
        <v>6865</v>
      </c>
      <c r="B6832" s="5" t="s">
        <v>8699</v>
      </c>
      <c r="C6832" s="6" t="str">
        <f>_xll.QS.CONTEXT.CREATE("market.6830",A6832,"USD","SOFR")</f>
        <v>QSObject:PricingContext:w1~market.6830:6783</v>
      </c>
      <c r="D6832" s="6" t="str">
        <f>_xll.QS.CONTEXT.ADD.CURVE(C6832,"SOFR",$K$2:$K$7,$L$2:$L$7,,,"Actual360","LogLinear",TRUE)</f>
        <v>QSObject:ContextInput:w1~input.qs_context_add_curve.2359132437744.6831.3.0:33616</v>
      </c>
      <c r="E6832" s="6" t="str">
        <f>_xll.QS.INSTRUMENT.SWAP("swap.6830",H6832,B6832,"USD","SOFR",I6832,J6832,0,"Actual360","Simple","Annual","Annual","Annual")</f>
        <v>QSObject:Swap:w1~swap.6830:6782</v>
      </c>
      <c r="F6832" s="6" t="str">
        <f>_xll.QS.TRADE.CREATE("trade.6830",E6832,A6832,"Receive")</f>
        <v>QSObject:SwapTrade:w1~trade.6830:25062</v>
      </c>
      <c r="G6832" s="3">
        <f>_xll.QS.EVALUATE(C6832,F6832)</f>
        <v>46364.028852643751</v>
      </c>
      <c r="H6832" s="5" t="s">
        <v>6872</v>
      </c>
      <c r="I6832" s="7">
        <v>1683000</v>
      </c>
      <c r="J6832" s="8">
        <v>3.8000000000000013E-2</v>
      </c>
    </row>
    <row r="6833" spans="1:10" x14ac:dyDescent="0.25">
      <c r="A6833" s="5" t="s">
        <v>6866</v>
      </c>
      <c r="B6833" s="5" t="s">
        <v>8700</v>
      </c>
      <c r="C6833" s="6" t="str">
        <f>_xll.QS.CONTEXT.CREATE("market.6831",A6833,"USD","SOFR")</f>
        <v>QSObject:PricingContext:w1~market.6831:6781</v>
      </c>
      <c r="D6833" s="6" t="str">
        <f>_xll.QS.CONTEXT.ADD.CURVE(C6833,"SOFR",$K$2:$K$7,$L$2:$L$7,,,"Actual360","LogLinear",TRUE)</f>
        <v>QSObject:ContextInput:w1~input.qs_context_add_curve.2359132437744.6832.3.0:33615</v>
      </c>
      <c r="E6833" s="6" t="str">
        <f>_xll.QS.INSTRUMENT.SWAP("swap.6831",H6833,B6833,"USD","SOFR",I6833,J6833,0,"Actual360","Simple","Annual","Annual","Annual")</f>
        <v>QSObject:Swap:w1~swap.6831:6780</v>
      </c>
      <c r="F6833" s="6" t="str">
        <f>_xll.QS.TRADE.CREATE("trade.6831",E6833,A6833,"Receive")</f>
        <v>QSObject:SwapTrade:w1~trade.6831:25061</v>
      </c>
      <c r="G6833" s="3">
        <f>_xll.QS.EVALUATE(C6833,F6833)</f>
        <v>47024.10334808872</v>
      </c>
      <c r="H6833" s="5" t="s">
        <v>6873</v>
      </c>
      <c r="I6833" s="7">
        <v>1683100</v>
      </c>
      <c r="J6833" s="8">
        <v>3.8100000000000002E-2</v>
      </c>
    </row>
    <row r="6834" spans="1:10" x14ac:dyDescent="0.25">
      <c r="A6834" s="5" t="s">
        <v>6867</v>
      </c>
      <c r="B6834" s="5" t="s">
        <v>8701</v>
      </c>
      <c r="C6834" s="6" t="str">
        <f>_xll.QS.CONTEXT.CREATE("market.6832",A6834,"USD","SOFR")</f>
        <v>QSObject:PricingContext:w1~market.6832:6779</v>
      </c>
      <c r="D6834" s="6" t="str">
        <f>_xll.QS.CONTEXT.ADD.CURVE(C6834,"SOFR",$K$2:$K$7,$L$2:$L$7,,,"Actual360","LogLinear",TRUE)</f>
        <v>QSObject:ContextInput:w1~input.qs_context_add_curve.2359132437744.6833.3.0:33614</v>
      </c>
      <c r="E6834" s="6" t="str">
        <f>_xll.QS.INSTRUMENT.SWAP("swap.6832",H6834,B6834,"USD","SOFR",I6834,J6834,0,"Actual360","Simple","Annual","Annual","Annual")</f>
        <v>QSObject:Swap:w1~swap.6832:6778</v>
      </c>
      <c r="F6834" s="6" t="str">
        <f>_xll.QS.TRADE.CREATE("trade.6832",E6834,A6834,"Receive")</f>
        <v>QSObject:SwapTrade:w1~trade.6832:25060</v>
      </c>
      <c r="G6834" s="3">
        <f>_xll.QS.EVALUATE(C6834,F6834)</f>
        <v>47874.818728442879</v>
      </c>
      <c r="H6834" s="5" t="s">
        <v>6874</v>
      </c>
      <c r="I6834" s="7">
        <v>1683200</v>
      </c>
      <c r="J6834" s="8">
        <v>3.8199999999999998E-2</v>
      </c>
    </row>
    <row r="6835" spans="1:10" x14ac:dyDescent="0.25">
      <c r="A6835" s="5" t="s">
        <v>6868</v>
      </c>
      <c r="B6835" s="5" t="s">
        <v>8702</v>
      </c>
      <c r="C6835" s="6" t="str">
        <f>_xll.QS.CONTEXT.CREATE("market.6833",A6835,"USD","SOFR")</f>
        <v>QSObject:PricingContext:w1~market.6833:6777</v>
      </c>
      <c r="D6835" s="6" t="str">
        <f>_xll.QS.CONTEXT.ADD.CURVE(C6835,"SOFR",$K$2:$K$7,$L$2:$L$7,,,"Actual360","LogLinear",TRUE)</f>
        <v>QSObject:ContextInput:w1~input.qs_context_add_curve.2359132437744.6834.3.0:33613</v>
      </c>
      <c r="E6835" s="6" t="str">
        <f>_xll.QS.INSTRUMENT.SWAP("swap.6833",H6835,B6835,"USD","SOFR",I6835,J6835,0,"Actual360","Simple","Annual","Annual","Annual")</f>
        <v>QSObject:Swap:w1~swap.6833:6776</v>
      </c>
      <c r="F6835" s="6" t="str">
        <f>_xll.QS.TRADE.CREATE("trade.6833",E6835,A6835,"Receive")</f>
        <v>QSObject:SwapTrade:w1~trade.6833:25059</v>
      </c>
      <c r="G6835" s="3">
        <f>_xll.QS.EVALUATE(C6835,F6835)</f>
        <v>48694.957502941194</v>
      </c>
      <c r="H6835" s="5" t="s">
        <v>6875</v>
      </c>
      <c r="I6835" s="7">
        <v>1683300</v>
      </c>
      <c r="J6835" s="8">
        <v>3.8300000000000001E-2</v>
      </c>
    </row>
    <row r="6836" spans="1:10" x14ac:dyDescent="0.25">
      <c r="A6836" s="5" t="s">
        <v>6869</v>
      </c>
      <c r="B6836" s="5" t="s">
        <v>8703</v>
      </c>
      <c r="C6836" s="6" t="str">
        <f>_xll.QS.CONTEXT.CREATE("market.6834",A6836,"USD","SOFR")</f>
        <v>QSObject:PricingContext:w1~market.6834:6775</v>
      </c>
      <c r="D6836" s="6" t="str">
        <f>_xll.QS.CONTEXT.ADD.CURVE(C6836,"SOFR",$K$2:$K$7,$L$2:$L$7,,,"Actual360","LogLinear",TRUE)</f>
        <v>QSObject:ContextInput:w1~input.qs_context_add_curve.2359132437744.6835.3.0:33612</v>
      </c>
      <c r="E6836" s="6" t="str">
        <f>_xll.QS.INSTRUMENT.SWAP("swap.6834",H6836,B6836,"USD","SOFR",I6836,J6836,0,"Actual360","Simple","Annual","Annual","Annual")</f>
        <v>QSObject:Swap:w1~swap.6834:6774</v>
      </c>
      <c r="F6836" s="6" t="str">
        <f>_xll.QS.TRADE.CREATE("trade.6834",E6836,A6836,"Receive")</f>
        <v>QSObject:SwapTrade:w1~trade.6834:25058</v>
      </c>
      <c r="G6836" s="3">
        <f>_xll.QS.EVALUATE(C6836,F6836)</f>
        <v>49597.199887552793</v>
      </c>
      <c r="H6836" s="5" t="s">
        <v>6876</v>
      </c>
      <c r="I6836" s="7">
        <v>1683400</v>
      </c>
      <c r="J6836" s="8">
        <v>3.8399999999999997E-2</v>
      </c>
    </row>
    <row r="6837" spans="1:10" x14ac:dyDescent="0.25">
      <c r="A6837" s="5" t="s">
        <v>6870</v>
      </c>
      <c r="B6837" s="5" t="s">
        <v>8704</v>
      </c>
      <c r="C6837" s="6" t="str">
        <f>_xll.QS.CONTEXT.CREATE("market.6835",A6837,"USD","SOFR")</f>
        <v>QSObject:PricingContext:w1~market.6835:6773</v>
      </c>
      <c r="D6837" s="6" t="str">
        <f>_xll.QS.CONTEXT.ADD.CURVE(C6837,"SOFR",$K$2:$K$7,$L$2:$L$7,,,"Actual360","LogLinear",TRUE)</f>
        <v>QSObject:ContextInput:w1~input.qs_context_add_curve.2359132437744.6836.3.0:33611</v>
      </c>
      <c r="E6837" s="6" t="str">
        <f>_xll.QS.INSTRUMENT.SWAP("swap.6835",H6837,B6837,"USD","SOFR",I6837,J6837,0,"Actual360","Simple","Annual","Annual","Annual")</f>
        <v>QSObject:Swap:w1~swap.6835:6772</v>
      </c>
      <c r="F6837" s="6" t="str">
        <f>_xll.QS.TRADE.CREATE("trade.6835",E6837,A6837,"Receive")</f>
        <v>QSObject:SwapTrade:w1~trade.6835:25057</v>
      </c>
      <c r="G6837" s="3">
        <f>_xll.QS.EVALUATE(C6837,F6837)</f>
        <v>50450.119570208124</v>
      </c>
      <c r="H6837" s="5" t="s">
        <v>6877</v>
      </c>
      <c r="I6837" s="7">
        <v>1683500</v>
      </c>
      <c r="J6837" s="8">
        <v>3.8500000000000013E-2</v>
      </c>
    </row>
    <row r="6838" spans="1:10" x14ac:dyDescent="0.25">
      <c r="A6838" s="5" t="s">
        <v>6871</v>
      </c>
      <c r="B6838" s="5" t="s">
        <v>8705</v>
      </c>
      <c r="C6838" s="6" t="str">
        <f>_xll.QS.CONTEXT.CREATE("market.6836",A6838,"USD","SOFR")</f>
        <v>QSObject:PricingContext:w1~market.6836:6771</v>
      </c>
      <c r="D6838" s="6" t="str">
        <f>_xll.QS.CONTEXT.ADD.CURVE(C6838,"SOFR",$K$2:$K$7,$L$2:$L$7,,,"Actual360","LogLinear",TRUE)</f>
        <v>QSObject:ContextInput:w1~input.qs_context_add_curve.2359132437744.6837.3.0:33610</v>
      </c>
      <c r="E6838" s="6" t="str">
        <f>_xll.QS.INSTRUMENT.SWAP("swap.6836",H6838,B6838,"USD","SOFR",I6838,J6838,0,"Actual360","Simple","Annual","Annual","Annual")</f>
        <v>QSObject:Swap:w1~swap.6836:6770</v>
      </c>
      <c r="F6838" s="6" t="str">
        <f>_xll.QS.TRADE.CREATE("trade.6836",E6838,A6838,"Receive")</f>
        <v>QSObject:SwapTrade:w1~trade.6836:25056</v>
      </c>
      <c r="G6838" s="3">
        <f>_xll.QS.EVALUATE(C6838,F6838)</f>
        <v>51164.52155961145</v>
      </c>
      <c r="H6838" s="5" t="s">
        <v>6878</v>
      </c>
      <c r="I6838" s="7">
        <v>1683600</v>
      </c>
      <c r="J6838" s="8">
        <v>3.8600000000000002E-2</v>
      </c>
    </row>
    <row r="6839" spans="1:10" x14ac:dyDescent="0.25">
      <c r="A6839" s="5" t="s">
        <v>6872</v>
      </c>
      <c r="B6839" s="5" t="s">
        <v>8706</v>
      </c>
      <c r="C6839" s="6" t="str">
        <f>_xll.QS.CONTEXT.CREATE("market.6837",A6839,"USD","SOFR")</f>
        <v>QSObject:PricingContext:w1~market.6837:6769</v>
      </c>
      <c r="D6839" s="6" t="str">
        <f>_xll.QS.CONTEXT.ADD.CURVE(C6839,"SOFR",$K$2:$K$7,$L$2:$L$7,,,"Actual360","LogLinear",TRUE)</f>
        <v>QSObject:ContextInput:w1~input.qs_context_add_curve.2359132437744.6838.3.0:33609</v>
      </c>
      <c r="E6839" s="6" t="str">
        <f>_xll.QS.INSTRUMENT.SWAP("swap.6837",H6839,B6839,"USD","SOFR",I6839,J6839,0,"Actual360","Simple","Annual","Annual","Annual")</f>
        <v>QSObject:Swap:w1~swap.6837:6768</v>
      </c>
      <c r="F6839" s="6" t="str">
        <f>_xll.QS.TRADE.CREATE("trade.6837",E6839,A6839,"Receive")</f>
        <v>QSObject:SwapTrade:w1~trade.6837:25055</v>
      </c>
      <c r="G6839" s="3">
        <f>_xll.QS.EVALUATE(C6839,F6839)</f>
        <v>51811.853067349264</v>
      </c>
      <c r="H6839" s="5" t="s">
        <v>6879</v>
      </c>
      <c r="I6839" s="7">
        <v>1683700</v>
      </c>
      <c r="J6839" s="8">
        <v>3.8700000000000012E-2</v>
      </c>
    </row>
    <row r="6840" spans="1:10" x14ac:dyDescent="0.25">
      <c r="A6840" s="5" t="s">
        <v>6873</v>
      </c>
      <c r="B6840" s="5" t="s">
        <v>8707</v>
      </c>
      <c r="C6840" s="6" t="str">
        <f>_xll.QS.CONTEXT.CREATE("market.6838",A6840,"USD","SOFR")</f>
        <v>QSObject:PricingContext:w1~market.6838:6767</v>
      </c>
      <c r="D6840" s="6" t="str">
        <f>_xll.QS.CONTEXT.ADD.CURVE(C6840,"SOFR",$K$2:$K$7,$L$2:$L$7,,,"Actual360","LogLinear",TRUE)</f>
        <v>QSObject:ContextInput:w1~input.qs_context_add_curve.2359132437744.6839.3.0:33608</v>
      </c>
      <c r="E6840" s="6" t="str">
        <f>_xll.QS.INSTRUMENT.SWAP("swap.6838",H6840,B6840,"USD","SOFR",I6840,J6840,0,"Actual360","Simple","Annual","Annual","Annual")</f>
        <v>QSObject:Swap:w1~swap.6838:6766</v>
      </c>
      <c r="F6840" s="6" t="str">
        <f>_xll.QS.TRADE.CREATE("trade.6838",E6840,A6840,"Receive")</f>
        <v>QSObject:SwapTrade:w1~trade.6838:25054</v>
      </c>
      <c r="G6840" s="3">
        <f>_xll.QS.EVALUATE(C6840,F6840)</f>
        <v>52480.949801858493</v>
      </c>
      <c r="H6840" s="5" t="s">
        <v>6880</v>
      </c>
      <c r="I6840" s="7">
        <v>1683800</v>
      </c>
      <c r="J6840" s="8">
        <v>3.8800000000000001E-2</v>
      </c>
    </row>
    <row r="6841" spans="1:10" x14ac:dyDescent="0.25">
      <c r="A6841" s="5" t="s">
        <v>6874</v>
      </c>
      <c r="B6841" s="5" t="s">
        <v>8708</v>
      </c>
      <c r="C6841" s="6" t="str">
        <f>_xll.QS.CONTEXT.CREATE("market.6839",A6841,"USD","SOFR")</f>
        <v>QSObject:PricingContext:w1~market.6839:6765</v>
      </c>
      <c r="D6841" s="6" t="str">
        <f>_xll.QS.CONTEXT.ADD.CURVE(C6841,"SOFR",$K$2:$K$7,$L$2:$L$7,,,"Actual360","LogLinear",TRUE)</f>
        <v>QSObject:ContextInput:w1~input.qs_context_add_curve.2359132437744.6840.3.0:33607</v>
      </c>
      <c r="E6841" s="6" t="str">
        <f>_xll.QS.INSTRUMENT.SWAP("swap.6839",H6841,B6841,"USD","SOFR",I6841,J6841,0,"Actual360","Simple","Annual","Annual","Annual")</f>
        <v>QSObject:Swap:w1~swap.6839:6764</v>
      </c>
      <c r="F6841" s="6" t="str">
        <f>_xll.QS.TRADE.CREATE("trade.6839",E6841,A6841,"Receive")</f>
        <v>QSObject:SwapTrade:w1~trade.6839:25053</v>
      </c>
      <c r="G6841" s="3">
        <f>_xll.QS.EVALUATE(C6841,F6841)</f>
        <v>53333.074455966351</v>
      </c>
      <c r="H6841" s="5" t="s">
        <v>6881</v>
      </c>
      <c r="I6841" s="7">
        <v>1683900</v>
      </c>
      <c r="J6841" s="8">
        <v>3.8899999999999997E-2</v>
      </c>
    </row>
    <row r="6842" spans="1:10" x14ac:dyDescent="0.25">
      <c r="A6842" s="5" t="s">
        <v>6875</v>
      </c>
      <c r="B6842" s="5" t="s">
        <v>8709</v>
      </c>
      <c r="C6842" s="6" t="str">
        <f>_xll.QS.CONTEXT.CREATE("market.6840",A6842,"USD","SOFR")</f>
        <v>QSObject:PricingContext:w1~market.6840:6763</v>
      </c>
      <c r="D6842" s="6" t="str">
        <f>_xll.QS.CONTEXT.ADD.CURVE(C6842,"SOFR",$K$2:$K$7,$L$2:$L$7,,,"Actual360","LogLinear",TRUE)</f>
        <v>QSObject:ContextInput:w1~input.qs_context_add_curve.2359132437744.6841.3.0:33606</v>
      </c>
      <c r="E6842" s="6" t="str">
        <f>_xll.QS.INSTRUMENT.SWAP("swap.6840",H6842,B6842,"USD","SOFR",I6842,J6842,0,"Actual360","Simple","Annual","Annual","Annual")</f>
        <v>QSObject:Swap:w1~swap.6840:6762</v>
      </c>
      <c r="F6842" s="6" t="str">
        <f>_xll.QS.TRADE.CREATE("trade.6840",E6842,A6842,"Receive")</f>
        <v>QSObject:SwapTrade:w1~trade.6840:25052</v>
      </c>
      <c r="G6842" s="3">
        <f>_xll.QS.EVALUATE(C6842,F6842)</f>
        <v>54151.217008824817</v>
      </c>
      <c r="H6842" s="5" t="s">
        <v>6882</v>
      </c>
      <c r="I6842" s="7">
        <v>1684000</v>
      </c>
      <c r="J6842" s="8">
        <v>3.9000000000000007E-2</v>
      </c>
    </row>
    <row r="6843" spans="1:10" x14ac:dyDescent="0.25">
      <c r="A6843" s="5" t="s">
        <v>6876</v>
      </c>
      <c r="B6843" s="5" t="s">
        <v>8710</v>
      </c>
      <c r="C6843" s="6" t="str">
        <f>_xll.QS.CONTEXT.CREATE("market.6841",A6843,"USD","SOFR")</f>
        <v>QSObject:PricingContext:w1~market.6841:6761</v>
      </c>
      <c r="D6843" s="6" t="str">
        <f>_xll.QS.CONTEXT.ADD.CURVE(C6843,"SOFR",$K$2:$K$7,$L$2:$L$7,,,"Actual360","LogLinear",TRUE)</f>
        <v>QSObject:ContextInput:w1~input.qs_context_add_curve.2359132437744.6842.3.0:33605</v>
      </c>
      <c r="E6843" s="6" t="str">
        <f>_xll.QS.INSTRUMENT.SWAP("swap.6841",H6843,B6843,"USD","SOFR",I6843,J6843,0,"Actual360","Simple","Annual","Annual","Annual")</f>
        <v>QSObject:Swap:w1~swap.6841:6760</v>
      </c>
      <c r="F6843" s="6" t="str">
        <f>_xll.QS.TRADE.CREATE("trade.6841",E6843,A6843,"Receive")</f>
        <v>QSObject:SwapTrade:w1~trade.6841:25051</v>
      </c>
      <c r="G6843" s="3">
        <f>_xll.QS.EVALUATE(C6843,F6843)</f>
        <v>55054.051694416012</v>
      </c>
      <c r="H6843" s="5" t="s">
        <v>6883</v>
      </c>
      <c r="I6843" s="7">
        <v>1684100</v>
      </c>
      <c r="J6843" s="8">
        <v>3.9100000000000003E-2</v>
      </c>
    </row>
    <row r="6844" spans="1:10" x14ac:dyDescent="0.25">
      <c r="A6844" s="5" t="s">
        <v>6877</v>
      </c>
      <c r="B6844" s="5" t="s">
        <v>8711</v>
      </c>
      <c r="C6844" s="6" t="str">
        <f>_xll.QS.CONTEXT.CREATE("market.6842",A6844,"USD","SOFR")</f>
        <v>QSObject:PricingContext:w1~market.6842:6759</v>
      </c>
      <c r="D6844" s="6" t="str">
        <f>_xll.QS.CONTEXT.ADD.CURVE(C6844,"SOFR",$K$2:$K$7,$L$2:$L$7,,,"Actual360","LogLinear",TRUE)</f>
        <v>QSObject:ContextInput:w1~input.qs_context_add_curve.2359132437744.6843.3.0:33604</v>
      </c>
      <c r="E6844" s="6" t="str">
        <f>_xll.QS.INSTRUMENT.SWAP("swap.6842",H6844,B6844,"USD","SOFR",I6844,J6844,0,"Actual360","Simple","Annual","Annual","Annual")</f>
        <v>QSObject:Swap:w1~swap.6842:6758</v>
      </c>
      <c r="F6844" s="6" t="str">
        <f>_xll.QS.TRADE.CREATE("trade.6842",E6844,A6844,"Receive")</f>
        <v>QSObject:SwapTrade:w1~trade.6842:25050</v>
      </c>
      <c r="G6844" s="3">
        <f>_xll.QS.EVALUATE(C6844,F6844)</f>
        <v>55907.472759287601</v>
      </c>
      <c r="H6844" s="5" t="s">
        <v>6884</v>
      </c>
      <c r="I6844" s="7">
        <v>1684200</v>
      </c>
      <c r="J6844" s="8">
        <v>3.9200000000000013E-2</v>
      </c>
    </row>
    <row r="6845" spans="1:10" x14ac:dyDescent="0.25">
      <c r="A6845" s="5" t="s">
        <v>6878</v>
      </c>
      <c r="B6845" s="5" t="s">
        <v>8712</v>
      </c>
      <c r="C6845" s="6" t="str">
        <f>_xll.QS.CONTEXT.CREATE("market.6843",A6845,"USD","SOFR")</f>
        <v>QSObject:PricingContext:w1~market.6843:6757</v>
      </c>
      <c r="D6845" s="6" t="str">
        <f>_xll.QS.CONTEXT.ADD.CURVE(C6845,"SOFR",$K$2:$K$7,$L$2:$L$7,,,"Actual360","LogLinear",TRUE)</f>
        <v>QSObject:ContextInput:w1~input.qs_context_add_curve.2359132437744.6844.3.0:33603</v>
      </c>
      <c r="E6845" s="6" t="str">
        <f>_xll.QS.INSTRUMENT.SWAP("swap.6843",H6845,B6845,"USD","SOFR",I6845,J6845,0,"Actual360","Simple","Annual","Annual","Annual")</f>
        <v>QSObject:Swap:w1~swap.6843:6756</v>
      </c>
      <c r="F6845" s="6" t="str">
        <f>_xll.QS.TRADE.CREATE("trade.6843",E6845,A6845,"Receive")</f>
        <v>QSObject:SwapTrade:w1~trade.6843:25049</v>
      </c>
      <c r="G6845" s="3">
        <f>_xll.QS.EVALUATE(C6845,F6845)</f>
        <v>56622.411453114059</v>
      </c>
      <c r="H6845" s="5" t="s">
        <v>6885</v>
      </c>
      <c r="I6845" s="7">
        <v>1684300</v>
      </c>
      <c r="J6845" s="8">
        <v>3.9300000000000002E-2</v>
      </c>
    </row>
    <row r="6846" spans="1:10" x14ac:dyDescent="0.25">
      <c r="A6846" s="5" t="s">
        <v>6879</v>
      </c>
      <c r="B6846" s="5" t="s">
        <v>8713</v>
      </c>
      <c r="C6846" s="6" t="str">
        <f>_xll.QS.CONTEXT.CREATE("market.6844",A6846,"USD","SOFR")</f>
        <v>QSObject:PricingContext:w1~market.6844:6755</v>
      </c>
      <c r="D6846" s="6" t="str">
        <f>_xll.QS.CONTEXT.ADD.CURVE(C6846,"SOFR",$K$2:$K$7,$L$2:$L$7,,,"Actual360","LogLinear",TRUE)</f>
        <v>QSObject:ContextInput:w1~input.qs_context_add_curve.2359132437744.6845.3.0:33602</v>
      </c>
      <c r="E6846" s="6" t="str">
        <f>_xll.QS.INSTRUMENT.SWAP("swap.6844",H6846,B6846,"USD","SOFR",I6846,J6846,0,"Actual360","Simple","Annual","Annual","Annual")</f>
        <v>QSObject:Swap:w1~swap.6844:6754</v>
      </c>
      <c r="F6846" s="6" t="str">
        <f>_xll.QS.TRADE.CREATE("trade.6844",E6846,A6846,"Receive")</f>
        <v>QSObject:SwapTrade:w1~trade.6844:25048</v>
      </c>
      <c r="G6846" s="3">
        <f>_xll.QS.EVALUATE(C6846,F6846)</f>
        <v>57263.87168094769</v>
      </c>
      <c r="H6846" s="5" t="s">
        <v>6886</v>
      </c>
      <c r="I6846" s="7">
        <v>1684400</v>
      </c>
      <c r="J6846" s="8">
        <v>3.9399999999999998E-2</v>
      </c>
    </row>
    <row r="6847" spans="1:10" x14ac:dyDescent="0.25">
      <c r="A6847" s="5" t="s">
        <v>6880</v>
      </c>
      <c r="B6847" s="5" t="s">
        <v>8714</v>
      </c>
      <c r="C6847" s="6" t="str">
        <f>_xll.QS.CONTEXT.CREATE("market.6845",A6847,"USD","SOFR")</f>
        <v>QSObject:PricingContext:w1~market.6845:6753</v>
      </c>
      <c r="D6847" s="6" t="str">
        <f>_xll.QS.CONTEXT.ADD.CURVE(C6847,"SOFR",$K$2:$K$7,$L$2:$L$7,,,"Actual360","LogLinear",TRUE)</f>
        <v>QSObject:ContextInput:w1~input.qs_context_add_curve.2359132437744.6846.3.0:33601</v>
      </c>
      <c r="E6847" s="6" t="str">
        <f>_xll.QS.INSTRUMENT.SWAP("swap.6845",H6847,B6847,"USD","SOFR",I6847,J6847,0,"Actual360","Simple","Annual","Annual","Annual")</f>
        <v>QSObject:Swap:w1~swap.6845:6752</v>
      </c>
      <c r="F6847" s="6" t="str">
        <f>_xll.QS.TRADE.CREATE("trade.6845",E6847,A6847,"Receive")</f>
        <v>QSObject:SwapTrade:w1~trade.6845:25047</v>
      </c>
      <c r="G6847" s="3">
        <f>_xll.QS.EVALUATE(C6847,F6847)</f>
        <v>57941.820619833168</v>
      </c>
      <c r="H6847" s="5" t="s">
        <v>6887</v>
      </c>
      <c r="I6847" s="7">
        <v>1684500</v>
      </c>
      <c r="J6847" s="8">
        <v>3.9500000000000007E-2</v>
      </c>
    </row>
    <row r="6848" spans="1:10" x14ac:dyDescent="0.25">
      <c r="A6848" s="5" t="s">
        <v>6881</v>
      </c>
      <c r="B6848" s="5" t="s">
        <v>8715</v>
      </c>
      <c r="C6848" s="6" t="str">
        <f>_xll.QS.CONTEXT.CREATE("market.6846",A6848,"USD","SOFR")</f>
        <v>QSObject:PricingContext:w1~market.6846:6751</v>
      </c>
      <c r="D6848" s="6" t="str">
        <f>_xll.QS.CONTEXT.ADD.CURVE(C6848,"SOFR",$K$2:$K$7,$L$2:$L$7,,,"Actual360","LogLinear",TRUE)</f>
        <v>QSObject:ContextInput:w1~input.qs_context_add_curve.2359132437744.6847.3.0:33600</v>
      </c>
      <c r="E6848" s="6" t="str">
        <f>_xll.QS.INSTRUMENT.SWAP("swap.6846",H6848,B6848,"USD","SOFR",I6848,J6848,0,"Actual360","Simple","Annual","Annual","Annual")</f>
        <v>QSObject:Swap:w1~swap.6846:6750</v>
      </c>
      <c r="F6848" s="6" t="str">
        <f>_xll.QS.TRADE.CREATE("trade.6846",E6848,A6848,"Receive")</f>
        <v>QSObject:SwapTrade:w1~trade.6846:25046</v>
      </c>
      <c r="G6848" s="3">
        <f>_xll.QS.EVALUATE(C6848,F6848)</f>
        <v>58795.310679471178</v>
      </c>
      <c r="H6848" s="5" t="s">
        <v>6888</v>
      </c>
      <c r="I6848" s="7">
        <v>1684600</v>
      </c>
      <c r="J6848" s="8">
        <v>3.9600000000000003E-2</v>
      </c>
    </row>
    <row r="6849" spans="1:10" x14ac:dyDescent="0.25">
      <c r="A6849" s="5" t="s">
        <v>6882</v>
      </c>
      <c r="B6849" s="5" t="s">
        <v>8716</v>
      </c>
      <c r="C6849" s="6" t="str">
        <f>_xll.QS.CONTEXT.CREATE("market.6847",A6849,"USD","SOFR")</f>
        <v>QSObject:PricingContext:w1~market.6847:6749</v>
      </c>
      <c r="D6849" s="6" t="str">
        <f>_xll.QS.CONTEXT.ADD.CURVE(C6849,"SOFR",$K$2:$K$7,$L$2:$L$7,,,"Actual360","LogLinear",TRUE)</f>
        <v>QSObject:ContextInput:w1~input.qs_context_add_curve.2359132437744.6848.3.0:33599</v>
      </c>
      <c r="E6849" s="6" t="str">
        <f>_xll.QS.INSTRUMENT.SWAP("swap.6847",H6849,B6849,"USD","SOFR",I6849,J6849,0,"Actual360","Simple","Annual","Annual","Annual")</f>
        <v>QSObject:Swap:w1~swap.6847:6748</v>
      </c>
      <c r="F6849" s="6" t="str">
        <f>_xll.QS.TRADE.CREATE("trade.6847",E6849,A6849,"Receive")</f>
        <v>QSObject:SwapTrade:w1~trade.6847:25045</v>
      </c>
      <c r="G6849" s="3">
        <f>_xll.QS.EVALUATE(C6849,F6849)</f>
        <v>59611.506263674411</v>
      </c>
      <c r="H6849" s="5" t="s">
        <v>6889</v>
      </c>
      <c r="I6849" s="7">
        <v>1684700</v>
      </c>
      <c r="J6849" s="8">
        <v>3.9700000000000013E-2</v>
      </c>
    </row>
    <row r="6850" spans="1:10" x14ac:dyDescent="0.25">
      <c r="A6850" s="5" t="s">
        <v>6883</v>
      </c>
      <c r="B6850" s="5" t="s">
        <v>8717</v>
      </c>
      <c r="C6850" s="6" t="str">
        <f>_xll.QS.CONTEXT.CREATE("market.6848",A6850,"USD","SOFR")</f>
        <v>QSObject:PricingContext:w1~market.6848:6747</v>
      </c>
      <c r="D6850" s="6" t="str">
        <f>_xll.QS.CONTEXT.ADD.CURVE(C6850,"SOFR",$K$2:$K$7,$L$2:$L$7,,,"Actual360","LogLinear",TRUE)</f>
        <v>QSObject:ContextInput:w1~input.qs_context_add_curve.2359132437744.6849.3.0:33598</v>
      </c>
      <c r="E6850" s="6" t="str">
        <f>_xll.QS.INSTRUMENT.SWAP("swap.6848",H6850,B6850,"USD","SOFR",I6850,J6850,0,"Actual360","Simple","Annual","Annual","Annual")</f>
        <v>QSObject:Swap:w1~swap.6848:6746</v>
      </c>
      <c r="F6850" s="6" t="str">
        <f>_xll.QS.TRADE.CREATE("trade.6848",E6850,A6850,"Receive")</f>
        <v>QSObject:SwapTrade:w1~trade.6848:25044</v>
      </c>
      <c r="G6850" s="3">
        <f>_xll.QS.EVALUATE(C6850,F6850)</f>
        <v>60515.21747950455</v>
      </c>
      <c r="H6850" s="5" t="s">
        <v>6890</v>
      </c>
      <c r="I6850" s="7">
        <v>1684800</v>
      </c>
      <c r="J6850" s="8">
        <v>3.9800000000000002E-2</v>
      </c>
    </row>
    <row r="6851" spans="1:10" x14ac:dyDescent="0.25">
      <c r="A6851" s="5" t="s">
        <v>6884</v>
      </c>
      <c r="B6851" s="5" t="s">
        <v>8718</v>
      </c>
      <c r="C6851" s="6" t="str">
        <f>_xll.QS.CONTEXT.CREATE("market.6849",A6851,"USD","SOFR")</f>
        <v>QSObject:PricingContext:w1~market.6849:6745</v>
      </c>
      <c r="D6851" s="6" t="str">
        <f>_xll.QS.CONTEXT.ADD.CURVE(C6851,"SOFR",$K$2:$K$7,$L$2:$L$7,,,"Actual360","LogLinear",TRUE)</f>
        <v>QSObject:ContextInput:w1~input.qs_context_add_curve.2359132437744.6850.3.0:33597</v>
      </c>
      <c r="E6851" s="6" t="str">
        <f>_xll.QS.INSTRUMENT.SWAP("swap.6849",H6851,B6851,"USD","SOFR",I6851,J6851,0,"Actual360","Simple","Annual","Annual","Annual")</f>
        <v>QSObject:Swap:w1~swap.6849:6744</v>
      </c>
      <c r="F6851" s="6" t="str">
        <f>_xll.QS.TRADE.CREATE("trade.6849",E6851,A6851,"Receive")</f>
        <v>QSObject:SwapTrade:w1~trade.6849:24906</v>
      </c>
      <c r="G6851" s="3">
        <f>_xll.QS.EVALUATE(C6851,F6851)</f>
        <v>61369.725674484369</v>
      </c>
      <c r="H6851" s="5" t="s">
        <v>6891</v>
      </c>
      <c r="I6851" s="7">
        <v>1684900</v>
      </c>
      <c r="J6851" s="8">
        <v>3.9899999999999998E-2</v>
      </c>
    </row>
    <row r="6852" spans="1:10" x14ac:dyDescent="0.25">
      <c r="A6852" s="5" t="s">
        <v>6885</v>
      </c>
      <c r="B6852" s="5" t="s">
        <v>8719</v>
      </c>
      <c r="C6852" s="6" t="str">
        <f>_xll.QS.CONTEXT.CREATE("market.6850",A6852,"USD","SOFR")</f>
        <v>QSObject:PricingContext:w1~market.6850:6743</v>
      </c>
      <c r="D6852" s="6" t="str">
        <f>_xll.QS.CONTEXT.ADD.CURVE(C6852,"SOFR",$K$2:$K$7,$L$2:$L$7,,,"Actual360","LogLinear",TRUE)</f>
        <v>QSObject:ContextInput:w1~input.qs_context_add_curve.2359132437744.6851.3.0:33596</v>
      </c>
      <c r="E6852" s="6" t="str">
        <f>_xll.QS.INSTRUMENT.SWAP("swap.6850",H6852,B6852,"USD","SOFR",I6852,J6852,0,"Actual360","Simple","Annual","Annual","Annual")</f>
        <v>QSObject:Swap:w1~swap.6850:6742</v>
      </c>
      <c r="F6852" s="6" t="str">
        <f>_xll.QS.TRADE.CREATE("trade.6850",E6852,A6852,"Receive")</f>
        <v>QSObject:SwapTrade:w1~trade.6850:24905</v>
      </c>
      <c r="G6852" s="3">
        <f>_xll.QS.EVALUATE(C6852,F6852)</f>
        <v>23233.91401331938</v>
      </c>
      <c r="H6852" s="5" t="s">
        <v>6892</v>
      </c>
      <c r="I6852" s="7">
        <v>1685000</v>
      </c>
      <c r="J6852" s="8">
        <v>3.5000000000000003E-2</v>
      </c>
    </row>
    <row r="6853" spans="1:10" x14ac:dyDescent="0.25">
      <c r="A6853" s="5" t="s">
        <v>6886</v>
      </c>
      <c r="B6853" s="5" t="s">
        <v>8720</v>
      </c>
      <c r="C6853" s="6" t="str">
        <f>_xll.QS.CONTEXT.CREATE("market.6851",A6853,"USD","SOFR")</f>
        <v>QSObject:PricingContext:w1~market.6851:6741</v>
      </c>
      <c r="D6853" s="6" t="str">
        <f>_xll.QS.CONTEXT.ADD.CURVE(C6853,"SOFR",$K$2:$K$7,$L$2:$L$7,,,"Actual360","LogLinear",TRUE)</f>
        <v>QSObject:ContextInput:w1~input.qs_context_add_curve.2359132437744.6852.3.0:33595</v>
      </c>
      <c r="E6853" s="6" t="str">
        <f>_xll.QS.INSTRUMENT.SWAP("swap.6851",H6853,B6853,"USD","SOFR",I6853,J6853,0,"Actual360","Simple","Annual","Annual","Annual")</f>
        <v>QSObject:Swap:w1~swap.6851:6740</v>
      </c>
      <c r="F6853" s="6" t="str">
        <f>_xll.QS.TRADE.CREATE("trade.6851",E6853,A6853,"Receive")</f>
        <v>QSObject:SwapTrade:w1~trade.6851:24904</v>
      </c>
      <c r="G6853" s="3">
        <f>_xll.QS.EVALUATE(C6853,F6853)</f>
        <v>23896.778409365965</v>
      </c>
      <c r="H6853" s="5" t="s">
        <v>6893</v>
      </c>
      <c r="I6853" s="7">
        <v>1685100</v>
      </c>
      <c r="J6853" s="8">
        <v>3.5100000000000013E-2</v>
      </c>
    </row>
    <row r="6854" spans="1:10" x14ac:dyDescent="0.25">
      <c r="A6854" s="5" t="s">
        <v>6887</v>
      </c>
      <c r="B6854" s="5" t="s">
        <v>8721</v>
      </c>
      <c r="C6854" s="6" t="str">
        <f>_xll.QS.CONTEXT.CREATE("market.6852",A6854,"USD","SOFR")</f>
        <v>QSObject:PricingContext:w1~market.6852:6739</v>
      </c>
      <c r="D6854" s="6" t="str">
        <f>_xll.QS.CONTEXT.ADD.CURVE(C6854,"SOFR",$K$2:$K$7,$L$2:$L$7,,,"Actual360","LogLinear",TRUE)</f>
        <v>QSObject:ContextInput:w1~input.qs_context_add_curve.2359132437744.6853.3.0:33594</v>
      </c>
      <c r="E6854" s="6" t="str">
        <f>_xll.QS.INSTRUMENT.SWAP("swap.6852",H6854,B6854,"USD","SOFR",I6854,J6854,0,"Actual360","Simple","Annual","Annual","Annual")</f>
        <v>QSObject:Swap:w1~swap.6852:6738</v>
      </c>
      <c r="F6854" s="6" t="str">
        <f>_xll.QS.TRADE.CREATE("trade.6852",E6854,A6854,"Receive")</f>
        <v>QSObject:SwapTrade:w1~trade.6852:24903</v>
      </c>
      <c r="G6854" s="3">
        <f>_xll.QS.EVALUATE(C6854,F6854)</f>
        <v>24469.448142747038</v>
      </c>
      <c r="H6854" s="5" t="s">
        <v>6894</v>
      </c>
      <c r="I6854" s="7">
        <v>1685200</v>
      </c>
      <c r="J6854" s="8">
        <v>3.5200000000000002E-2</v>
      </c>
    </row>
    <row r="6855" spans="1:10" x14ac:dyDescent="0.25">
      <c r="A6855" s="5" t="s">
        <v>6888</v>
      </c>
      <c r="B6855" s="5" t="s">
        <v>8722</v>
      </c>
      <c r="C6855" s="6" t="str">
        <f>_xll.QS.CONTEXT.CREATE("market.6853",A6855,"USD","SOFR")</f>
        <v>QSObject:PricingContext:w1~market.6853:6737</v>
      </c>
      <c r="D6855" s="6" t="str">
        <f>_xll.QS.CONTEXT.ADD.CURVE(C6855,"SOFR",$K$2:$K$7,$L$2:$L$7,,,"Actual360","LogLinear",TRUE)</f>
        <v>QSObject:ContextInput:w1~input.qs_context_add_curve.2359132437744.6854.3.0:33593</v>
      </c>
      <c r="E6855" s="6" t="str">
        <f>_xll.QS.INSTRUMENT.SWAP("swap.6853",H6855,B6855,"USD","SOFR",I6855,J6855,0,"Actual360","Simple","Annual","Annual","Annual")</f>
        <v>QSObject:Swap:w1~swap.6853:6736</v>
      </c>
      <c r="F6855" s="6" t="str">
        <f>_xll.QS.TRADE.CREATE("trade.6853",E6855,A6855,"Receive")</f>
        <v>QSObject:SwapTrade:w1~trade.6853:24902</v>
      </c>
      <c r="G6855" s="3">
        <f>_xll.QS.EVALUATE(C6855,F6855)</f>
        <v>25318.232412074314</v>
      </c>
      <c r="H6855" s="5" t="s">
        <v>6895</v>
      </c>
      <c r="I6855" s="7">
        <v>1685300</v>
      </c>
      <c r="J6855" s="8">
        <v>3.5299999999999998E-2</v>
      </c>
    </row>
    <row r="6856" spans="1:10" x14ac:dyDescent="0.25">
      <c r="A6856" s="5" t="s">
        <v>6889</v>
      </c>
      <c r="B6856" s="5" t="s">
        <v>8723</v>
      </c>
      <c r="C6856" s="6" t="str">
        <f>_xll.QS.CONTEXT.CREATE("market.6854",A6856,"USD","SOFR")</f>
        <v>QSObject:PricingContext:w1~market.6854:6735</v>
      </c>
      <c r="D6856" s="6" t="str">
        <f>_xll.QS.CONTEXT.ADD.CURVE(C6856,"SOFR",$K$2:$K$7,$L$2:$L$7,,,"Actual360","LogLinear",TRUE)</f>
        <v>QSObject:ContextInput:w1~input.qs_context_add_curve.2359132437744.6855.3.0:33592</v>
      </c>
      <c r="E6856" s="6" t="str">
        <f>_xll.QS.INSTRUMENT.SWAP("swap.6854",H6856,B6856,"USD","SOFR",I6856,J6856,0,"Actual360","Simple","Annual","Annual","Annual")</f>
        <v>QSObject:Swap:w1~swap.6854:6734</v>
      </c>
      <c r="F6856" s="6" t="str">
        <f>_xll.QS.TRADE.CREATE("trade.6854",E6856,A6856,"Receive")</f>
        <v>QSObject:SwapTrade:w1~trade.6854:24901</v>
      </c>
      <c r="G6856" s="3">
        <f>_xll.QS.EVALUATE(C6856,F6856)</f>
        <v>26166.910930214653</v>
      </c>
      <c r="H6856" s="5" t="s">
        <v>6896</v>
      </c>
      <c r="I6856" s="7">
        <v>1685400</v>
      </c>
      <c r="J6856" s="8">
        <v>3.5400000000000001E-2</v>
      </c>
    </row>
    <row r="6857" spans="1:10" x14ac:dyDescent="0.25">
      <c r="A6857" s="5" t="s">
        <v>6890</v>
      </c>
      <c r="B6857" s="5" t="s">
        <v>8724</v>
      </c>
      <c r="C6857" s="6" t="str">
        <f>_xll.QS.CONTEXT.CREATE("market.6855",A6857,"USD","SOFR")</f>
        <v>QSObject:PricingContext:w1~market.6855:6733</v>
      </c>
      <c r="D6857" s="6" t="str">
        <f>_xll.QS.CONTEXT.ADD.CURVE(C6857,"SOFR",$K$2:$K$7,$L$2:$L$7,,,"Actual360","LogLinear",TRUE)</f>
        <v>QSObject:ContextInput:w1~input.qs_context_add_curve.2359132437744.6856.3.0:33591</v>
      </c>
      <c r="E6857" s="6" t="str">
        <f>_xll.QS.INSTRUMENT.SWAP("swap.6855",H6857,B6857,"USD","SOFR",I6857,J6857,0,"Actual360","Simple","Annual","Annual","Annual")</f>
        <v>QSObject:Swap:w1~swap.6855:6732</v>
      </c>
      <c r="F6857" s="6" t="str">
        <f>_xll.QS.TRADE.CREATE("trade.6855",E6857,A6857,"Receive")</f>
        <v>QSObject:SwapTrade:w1~trade.6855:24900</v>
      </c>
      <c r="G6857" s="3">
        <f>_xll.QS.EVALUATE(C6857,F6857)</f>
        <v>27181.147185294714</v>
      </c>
      <c r="H6857" s="5" t="s">
        <v>6897</v>
      </c>
      <c r="I6857" s="7">
        <v>1685500</v>
      </c>
      <c r="J6857" s="8">
        <v>3.5499999999999997E-2</v>
      </c>
    </row>
    <row r="6858" spans="1:10" x14ac:dyDescent="0.25">
      <c r="A6858" s="5" t="s">
        <v>6891</v>
      </c>
      <c r="B6858" s="5" t="s">
        <v>8725</v>
      </c>
      <c r="C6858" s="6" t="str">
        <f>_xll.QS.CONTEXT.CREATE("market.6856",A6858,"USD","SOFR")</f>
        <v>QSObject:PricingContext:w1~market.6856:6731</v>
      </c>
      <c r="D6858" s="6" t="str">
        <f>_xll.QS.CONTEXT.ADD.CURVE(C6858,"SOFR",$K$2:$K$7,$L$2:$L$7,,,"Actual360","LogLinear",TRUE)</f>
        <v>QSObject:ContextInput:w1~input.qs_context_add_curve.2359132437744.6857.3.0:33590</v>
      </c>
      <c r="E6858" s="6" t="str">
        <f>_xll.QS.INSTRUMENT.SWAP("swap.6856",H6858,B6858,"USD","SOFR",I6858,J6858,0,"Actual360","Simple","Annual","Annual","Annual")</f>
        <v>QSObject:Swap:w1~swap.6856:6730</v>
      </c>
      <c r="F6858" s="6" t="str">
        <f>_xll.QS.TRADE.CREATE("trade.6856",E6858,A6858,"Receive")</f>
        <v>QSObject:SwapTrade:w1~trade.6856:24899</v>
      </c>
      <c r="G6858" s="3">
        <f>_xll.QS.EVALUATE(C6858,F6858)</f>
        <v>27975.23088486513</v>
      </c>
      <c r="H6858" s="5" t="s">
        <v>6898</v>
      </c>
      <c r="I6858" s="7">
        <v>1685600</v>
      </c>
      <c r="J6858" s="8">
        <v>3.5600000000000007E-2</v>
      </c>
    </row>
    <row r="6859" spans="1:10" x14ac:dyDescent="0.25">
      <c r="A6859" s="5" t="s">
        <v>6892</v>
      </c>
      <c r="B6859" s="5" t="s">
        <v>8726</v>
      </c>
      <c r="C6859" s="6" t="str">
        <f>_xll.QS.CONTEXT.CREATE("market.6857",A6859,"USD","SOFR")</f>
        <v>QSObject:PricingContext:w1~market.6857:6729</v>
      </c>
      <c r="D6859" s="6" t="str">
        <f>_xll.QS.CONTEXT.ADD.CURVE(C6859,"SOFR",$K$2:$K$7,$L$2:$L$7,,,"Actual360","LogLinear",TRUE)</f>
        <v>QSObject:ContextInput:w1~input.qs_context_add_curve.2359132437744.6858.3.0:33589</v>
      </c>
      <c r="E6859" s="6" t="str">
        <f>_xll.QS.INSTRUMENT.SWAP("swap.6857",H6859,B6859,"USD","SOFR",I6859,J6859,0,"Actual360","Simple","Annual","Annual","Annual")</f>
        <v>QSObject:Swap:w1~swap.6857:6728</v>
      </c>
      <c r="F6859" s="6" t="str">
        <f>_xll.QS.TRADE.CREATE("trade.6857",E6859,A6859,"Receive")</f>
        <v>QSObject:SwapTrade:w1~trade.6857:24898</v>
      </c>
      <c r="G6859" s="3">
        <f>_xll.QS.EVALUATE(C6859,F6859)</f>
        <v>28753.335872063843</v>
      </c>
      <c r="H6859" s="5" t="s">
        <v>6899</v>
      </c>
      <c r="I6859" s="7">
        <v>1685700</v>
      </c>
      <c r="J6859" s="8">
        <v>3.5700000000000003E-2</v>
      </c>
    </row>
    <row r="6860" spans="1:10" x14ac:dyDescent="0.25">
      <c r="A6860" s="5" t="s">
        <v>6893</v>
      </c>
      <c r="B6860" s="5" t="s">
        <v>8727</v>
      </c>
      <c r="C6860" s="6" t="str">
        <f>_xll.QS.CONTEXT.CREATE("market.6858",A6860,"USD","SOFR")</f>
        <v>QSObject:PricingContext:w1~market.6858:6727</v>
      </c>
      <c r="D6860" s="6" t="str">
        <f>_xll.QS.CONTEXT.ADD.CURVE(C6860,"SOFR",$K$2:$K$7,$L$2:$L$7,,,"Actual360","LogLinear",TRUE)</f>
        <v>QSObject:ContextInput:w1~input.qs_context_add_curve.2359132437744.6859.3.0:33588</v>
      </c>
      <c r="E6860" s="6" t="str">
        <f>_xll.QS.INSTRUMENT.SWAP("swap.6858",H6860,B6860,"USD","SOFR",I6860,J6860,0,"Actual360","Simple","Annual","Annual","Annual")</f>
        <v>QSObject:Swap:w1~swap.6858:6726</v>
      </c>
      <c r="F6860" s="6" t="str">
        <f>_xll.QS.TRADE.CREATE("trade.6858",E6860,A6860,"Receive")</f>
        <v>QSObject:SwapTrade:w1~trade.6858:24897</v>
      </c>
      <c r="G6860" s="3">
        <f>_xll.QS.EVALUATE(C6860,F6860)</f>
        <v>29426.667877923937</v>
      </c>
      <c r="H6860" s="5" t="s">
        <v>6900</v>
      </c>
      <c r="I6860" s="7">
        <v>1685800</v>
      </c>
      <c r="J6860" s="8">
        <v>3.5800000000000012E-2</v>
      </c>
    </row>
    <row r="6861" spans="1:10" x14ac:dyDescent="0.25">
      <c r="A6861" s="5" t="s">
        <v>6894</v>
      </c>
      <c r="B6861" s="5" t="s">
        <v>8728</v>
      </c>
      <c r="C6861" s="6" t="str">
        <f>_xll.QS.CONTEXT.CREATE("market.6859",A6861,"USD","SOFR")</f>
        <v>QSObject:PricingContext:w1~market.6859:6725</v>
      </c>
      <c r="D6861" s="6" t="str">
        <f>_xll.QS.CONTEXT.ADD.CURVE(C6861,"SOFR",$K$2:$K$7,$L$2:$L$7,,,"Actual360","LogLinear",TRUE)</f>
        <v>QSObject:ContextInput:w1~input.qs_context_add_curve.2359132437744.6860.3.0:33587</v>
      </c>
      <c r="E6861" s="6" t="str">
        <f>_xll.QS.INSTRUMENT.SWAP("swap.6859",H6861,B6861,"USD","SOFR",I6861,J6861,0,"Actual360","Simple","Annual","Annual","Annual")</f>
        <v>QSObject:Swap:w1~swap.6859:6724</v>
      </c>
      <c r="F6861" s="6" t="str">
        <f>_xll.QS.TRADE.CREATE("trade.6859",E6861,A6861,"Receive")</f>
        <v>QSObject:SwapTrade:w1~trade.6859:24896</v>
      </c>
      <c r="G6861" s="3">
        <f>_xll.QS.EVALUATE(C6861,F6861)</f>
        <v>30060.095056468548</v>
      </c>
      <c r="H6861" s="5" t="s">
        <v>6901</v>
      </c>
      <c r="I6861" s="7">
        <v>1685900</v>
      </c>
      <c r="J6861" s="8">
        <v>3.5900000000000001E-2</v>
      </c>
    </row>
    <row r="6862" spans="1:10" x14ac:dyDescent="0.25">
      <c r="A6862" s="5" t="s">
        <v>6895</v>
      </c>
      <c r="B6862" s="5" t="s">
        <v>8729</v>
      </c>
      <c r="C6862" s="6" t="str">
        <f>_xll.QS.CONTEXT.CREATE("market.6860",A6862,"USD","SOFR")</f>
        <v>QSObject:PricingContext:w1~market.6860:6723</v>
      </c>
      <c r="D6862" s="6" t="str">
        <f>_xll.QS.CONTEXT.ADD.CURVE(C6862,"SOFR",$K$2:$K$7,$L$2:$L$7,,,"Actual360","LogLinear",TRUE)</f>
        <v>QSObject:ContextInput:w1~input.qs_context_add_curve.2359132437744.6861.3.0:33586</v>
      </c>
      <c r="E6862" s="6" t="str">
        <f>_xll.QS.INSTRUMENT.SWAP("swap.6860",H6862,B6862,"USD","SOFR",I6862,J6862,0,"Actual360","Simple","Annual","Annual","Annual")</f>
        <v>QSObject:Swap:w1~swap.6860:6722</v>
      </c>
      <c r="F6862" s="6" t="str">
        <f>_xll.QS.TRADE.CREATE("trade.6860",E6862,A6862,"Receive")</f>
        <v>QSObject:SwapTrade:w1~trade.6860:24895</v>
      </c>
      <c r="G6862" s="3">
        <f>_xll.QS.EVALUATE(C6862,F6862)</f>
        <v>30841.850931171641</v>
      </c>
      <c r="H6862" s="5" t="s">
        <v>6902</v>
      </c>
      <c r="I6862" s="7">
        <v>1686000</v>
      </c>
      <c r="J6862" s="8">
        <v>3.5999999999999997E-2</v>
      </c>
    </row>
    <row r="6863" spans="1:10" x14ac:dyDescent="0.25">
      <c r="A6863" s="5" t="s">
        <v>6896</v>
      </c>
      <c r="B6863" s="5" t="s">
        <v>8730</v>
      </c>
      <c r="C6863" s="6" t="str">
        <f>_xll.QS.CONTEXT.CREATE("market.6861",A6863,"USD","SOFR")</f>
        <v>QSObject:PricingContext:w1~market.6861:6721</v>
      </c>
      <c r="D6863" s="6" t="str">
        <f>_xll.QS.CONTEXT.ADD.CURVE(C6863,"SOFR",$K$2:$K$7,$L$2:$L$7,,,"Actual360","LogLinear",TRUE)</f>
        <v>QSObject:ContextInput:w1~input.qs_context_add_curve.2359132437744.6862.3.0:33585</v>
      </c>
      <c r="E6863" s="6" t="str">
        <f>_xll.QS.INSTRUMENT.SWAP("swap.6861",H6863,B6863,"USD","SOFR",I6863,J6863,0,"Actual360","Simple","Annual","Annual","Annual")</f>
        <v>QSObject:Swap:w1~swap.6861:6720</v>
      </c>
      <c r="F6863" s="6" t="str">
        <f>_xll.QS.TRADE.CREATE("trade.6861",E6863,A6863,"Receive")</f>
        <v>QSObject:SwapTrade:w1~trade.6861:24894</v>
      </c>
      <c r="G6863" s="3">
        <f>_xll.QS.EVALUATE(C6863,F6863)</f>
        <v>31670.632215830512</v>
      </c>
      <c r="H6863" s="5" t="s">
        <v>6903</v>
      </c>
      <c r="I6863" s="7">
        <v>1686100</v>
      </c>
      <c r="J6863" s="8">
        <v>3.61E-2</v>
      </c>
    </row>
    <row r="6864" spans="1:10" x14ac:dyDescent="0.25">
      <c r="A6864" s="5" t="s">
        <v>6897</v>
      </c>
      <c r="B6864" s="5" t="s">
        <v>8731</v>
      </c>
      <c r="C6864" s="6" t="str">
        <f>_xll.QS.CONTEXT.CREATE("market.6862",A6864,"USD","SOFR")</f>
        <v>QSObject:PricingContext:w1~market.6862:6719</v>
      </c>
      <c r="D6864" s="6" t="str">
        <f>_xll.QS.CONTEXT.ADD.CURVE(C6864,"SOFR",$K$2:$K$7,$L$2:$L$7,,,"Actual360","LogLinear",TRUE)</f>
        <v>QSObject:ContextInput:w1~input.qs_context_add_curve.2359132437744.6863.3.0:33584</v>
      </c>
      <c r="E6864" s="6" t="str">
        <f>_xll.QS.INSTRUMENT.SWAP("swap.6862",H6864,B6864,"USD","SOFR",I6864,J6864,0,"Actual360","Simple","Annual","Annual","Annual")</f>
        <v>QSObject:Swap:w1~swap.6862:6718</v>
      </c>
      <c r="F6864" s="6" t="str">
        <f>_xll.QS.TRADE.CREATE("trade.6862",E6864,A6864,"Receive")</f>
        <v>QSObject:SwapTrade:w1~trade.6862:24893</v>
      </c>
      <c r="G6864" s="3">
        <f>_xll.QS.EVALUATE(C6864,F6864)</f>
        <v>32573.102173418069</v>
      </c>
      <c r="H6864" s="5" t="s">
        <v>6904</v>
      </c>
      <c r="I6864" s="7">
        <v>1686200</v>
      </c>
      <c r="J6864" s="8">
        <v>3.6200000000000003E-2</v>
      </c>
    </row>
    <row r="6865" spans="1:10" x14ac:dyDescent="0.25">
      <c r="A6865" s="5" t="s">
        <v>6898</v>
      </c>
      <c r="B6865" s="5" t="s">
        <v>8732</v>
      </c>
      <c r="C6865" s="6" t="str">
        <f>_xll.QS.CONTEXT.CREATE("market.6863",A6865,"USD","SOFR")</f>
        <v>QSObject:PricingContext:w1~market.6863:6717</v>
      </c>
      <c r="D6865" s="6" t="str">
        <f>_xll.QS.CONTEXT.ADD.CURVE(C6865,"SOFR",$K$2:$K$7,$L$2:$L$7,,,"Actual360","LogLinear",TRUE)</f>
        <v>QSObject:ContextInput:w1~input.qs_context_add_curve.2359132437744.6864.3.0:33583</v>
      </c>
      <c r="E6865" s="6" t="str">
        <f>_xll.QS.INSTRUMENT.SWAP("swap.6863",H6865,B6865,"USD","SOFR",I6865,J6865,0,"Actual360","Simple","Annual","Annual","Annual")</f>
        <v>QSObject:Swap:w1~swap.6863:6716</v>
      </c>
      <c r="F6865" s="6" t="str">
        <f>_xll.QS.TRADE.CREATE("trade.6863",E6865,A6865,"Receive")</f>
        <v>QSObject:SwapTrade:w1~trade.6863:24892</v>
      </c>
      <c r="G6865" s="3">
        <f>_xll.QS.EVALUATE(C6865,F6865)</f>
        <v>33426.22460194811</v>
      </c>
      <c r="H6865" s="5" t="s">
        <v>6905</v>
      </c>
      <c r="I6865" s="7">
        <v>1686300</v>
      </c>
      <c r="J6865" s="8">
        <v>3.6300000000000013E-2</v>
      </c>
    </row>
    <row r="6866" spans="1:10" x14ac:dyDescent="0.25">
      <c r="A6866" s="5" t="s">
        <v>6899</v>
      </c>
      <c r="B6866" s="5" t="s">
        <v>8733</v>
      </c>
      <c r="C6866" s="6" t="str">
        <f>_xll.QS.CONTEXT.CREATE("market.6864",A6866,"USD","SOFR")</f>
        <v>QSObject:PricingContext:w1~market.6864:6715</v>
      </c>
      <c r="D6866" s="6" t="str">
        <f>_xll.QS.CONTEXT.ADD.CURVE(C6866,"SOFR",$K$2:$K$7,$L$2:$L$7,,,"Actual360","LogLinear",TRUE)</f>
        <v>QSObject:ContextInput:w1~input.qs_context_add_curve.2359132437744.6865.3.0:33582</v>
      </c>
      <c r="E6866" s="6" t="str">
        <f>_xll.QS.INSTRUMENT.SWAP("swap.6864",H6866,B6866,"USD","SOFR",I6866,J6866,0,"Actual360","Simple","Annual","Annual","Annual")</f>
        <v>QSObject:Swap:w1~swap.6864:6714</v>
      </c>
      <c r="F6866" s="6" t="str">
        <f>_xll.QS.TRADE.CREATE("trade.6864",E6866,A6866,"Receive")</f>
        <v>QSObject:SwapTrade:w1~trade.6864:24891</v>
      </c>
      <c r="G6866" s="3">
        <f>_xll.QS.EVALUATE(C6866,F6866)</f>
        <v>34140.980095955703</v>
      </c>
      <c r="H6866" s="5" t="s">
        <v>6906</v>
      </c>
      <c r="I6866" s="7">
        <v>1686400</v>
      </c>
      <c r="J6866" s="8">
        <v>3.6400000000000002E-2</v>
      </c>
    </row>
    <row r="6867" spans="1:10" x14ac:dyDescent="0.25">
      <c r="A6867" s="5" t="s">
        <v>6900</v>
      </c>
      <c r="B6867" s="5" t="s">
        <v>8734</v>
      </c>
      <c r="C6867" s="6" t="str">
        <f>_xll.QS.CONTEXT.CREATE("market.6865",A6867,"USD","SOFR")</f>
        <v>QSObject:PricingContext:w1~market.6865:6713</v>
      </c>
      <c r="D6867" s="6" t="str">
        <f>_xll.QS.CONTEXT.ADD.CURVE(C6867,"SOFR",$K$2:$K$7,$L$2:$L$7,,,"Actual360","LogLinear",TRUE)</f>
        <v>QSObject:ContextInput:w1~input.qs_context_add_curve.2359132437744.6866.3.0:33581</v>
      </c>
      <c r="E6867" s="6" t="str">
        <f>_xll.QS.INSTRUMENT.SWAP("swap.6865",H6867,B6867,"USD","SOFR",I6867,J6867,0,"Actual360","Simple","Annual","Annual","Annual")</f>
        <v>QSObject:Swap:w1~swap.6865:6712</v>
      </c>
      <c r="F6867" s="6" t="str">
        <f>_xll.QS.TRADE.CREATE("trade.6865",E6867,A6867,"Receive")</f>
        <v>QSObject:SwapTrade:w1~trade.6865:24890</v>
      </c>
      <c r="G6867" s="3">
        <f>_xll.QS.EVALUATE(C6867,F6867)</f>
        <v>34808.516995202168</v>
      </c>
      <c r="H6867" s="5" t="s">
        <v>6907</v>
      </c>
      <c r="I6867" s="7">
        <v>1686500</v>
      </c>
      <c r="J6867" s="8">
        <v>3.6499999999999998E-2</v>
      </c>
    </row>
    <row r="6868" spans="1:10" x14ac:dyDescent="0.25">
      <c r="A6868" s="5" t="s">
        <v>6901</v>
      </c>
      <c r="B6868" s="5" t="s">
        <v>8735</v>
      </c>
      <c r="C6868" s="6" t="str">
        <f>_xll.QS.CONTEXT.CREATE("market.6866",A6868,"USD","SOFR")</f>
        <v>QSObject:PricingContext:w1~market.6866:6711</v>
      </c>
      <c r="D6868" s="6" t="str">
        <f>_xll.QS.CONTEXT.ADD.CURVE(C6868,"SOFR",$K$2:$K$7,$L$2:$L$7,,,"Actual360","LogLinear",TRUE)</f>
        <v>QSObject:ContextInput:w1~input.qs_context_add_curve.2359132437744.6867.3.0:33580</v>
      </c>
      <c r="E6868" s="6" t="str">
        <f>_xll.QS.INSTRUMENT.SWAP("swap.6866",H6868,B6868,"USD","SOFR",I6868,J6868,0,"Actual360","Simple","Annual","Annual","Annual")</f>
        <v>QSObject:Swap:w1~swap.6866:6710</v>
      </c>
      <c r="F6868" s="6" t="str">
        <f>_xll.QS.TRADE.CREATE("trade.6866",E6868,A6868,"Receive")</f>
        <v>QSObject:SwapTrade:w1~trade.6866:24889</v>
      </c>
      <c r="G6868" s="3">
        <f>_xll.QS.EVALUATE(C6868,F6868)</f>
        <v>35451.180799981747</v>
      </c>
      <c r="H6868" s="5" t="s">
        <v>6908</v>
      </c>
      <c r="I6868" s="7">
        <v>1686600</v>
      </c>
      <c r="J6868" s="8">
        <v>3.6600000000000001E-2</v>
      </c>
    </row>
    <row r="6869" spans="1:10" x14ac:dyDescent="0.25">
      <c r="A6869" s="5" t="s">
        <v>6902</v>
      </c>
      <c r="B6869" s="5" t="s">
        <v>8736</v>
      </c>
      <c r="C6869" s="6" t="str">
        <f>_xll.QS.CONTEXT.CREATE("market.6867",A6869,"USD","SOFR")</f>
        <v>QSObject:PricingContext:w1~market.6867:6709</v>
      </c>
      <c r="D6869" s="6" t="str">
        <f>_xll.QS.CONTEXT.ADD.CURVE(C6869,"SOFR",$K$2:$K$7,$L$2:$L$7,,,"Actual360","LogLinear",TRUE)</f>
        <v>QSObject:ContextInput:w1~input.qs_context_add_curve.2359132437744.6868.3.0:33579</v>
      </c>
      <c r="E6869" s="6" t="str">
        <f>_xll.QS.INSTRUMENT.SWAP("swap.6867",H6869,B6869,"USD","SOFR",I6869,J6869,0,"Actual360","Simple","Annual","Annual","Annual")</f>
        <v>QSObject:Swap:w1~swap.6867:6708</v>
      </c>
      <c r="F6869" s="6" t="str">
        <f>_xll.QS.TRADE.CREATE("trade.6867",E6869,A6869,"Receive")</f>
        <v>QSObject:SwapTrade:w1~trade.6867:24888</v>
      </c>
      <c r="G6869" s="3">
        <f>_xll.QS.EVALUATE(C6869,F6869)</f>
        <v>36301.837171033047</v>
      </c>
      <c r="H6869" s="5" t="s">
        <v>6909</v>
      </c>
      <c r="I6869" s="7">
        <v>1686700</v>
      </c>
      <c r="J6869" s="8">
        <v>3.6700000000000003E-2</v>
      </c>
    </row>
    <row r="6870" spans="1:10" x14ac:dyDescent="0.25">
      <c r="A6870" s="5" t="s">
        <v>6903</v>
      </c>
      <c r="B6870" s="5" t="s">
        <v>8737</v>
      </c>
      <c r="C6870" s="6" t="str">
        <f>_xll.QS.CONTEXT.CREATE("market.6868",A6870,"USD","SOFR")</f>
        <v>QSObject:PricingContext:w1~market.6868:6707</v>
      </c>
      <c r="D6870" s="6" t="str">
        <f>_xll.QS.CONTEXT.ADD.CURVE(C6870,"SOFR",$K$2:$K$7,$L$2:$L$7,,,"Actual360","LogLinear",TRUE)</f>
        <v>QSObject:ContextInput:w1~input.qs_context_add_curve.2359132437744.6869.3.0:33578</v>
      </c>
      <c r="E6870" s="6" t="str">
        <f>_xll.QS.INSTRUMENT.SWAP("swap.6868",H6870,B6870,"USD","SOFR",I6870,J6870,0,"Actual360","Simple","Annual","Annual","Annual")</f>
        <v>QSObject:Swap:w1~swap.6868:6706</v>
      </c>
      <c r="F6870" s="6" t="str">
        <f>_xll.QS.TRADE.CREATE("trade.6868",E6870,A6870,"Receive")</f>
        <v>QSObject:SwapTrade:w1~trade.6868:24887</v>
      </c>
      <c r="G6870" s="3">
        <f>_xll.QS.EVALUATE(C6870,F6870)</f>
        <v>37128.643350795603</v>
      </c>
      <c r="H6870" s="5" t="s">
        <v>6910</v>
      </c>
      <c r="I6870" s="7">
        <v>1686800</v>
      </c>
      <c r="J6870" s="8">
        <v>3.6800000000000013E-2</v>
      </c>
    </row>
    <row r="6871" spans="1:10" x14ac:dyDescent="0.25">
      <c r="A6871" s="5" t="s">
        <v>6904</v>
      </c>
      <c r="B6871" s="5" t="s">
        <v>8738</v>
      </c>
      <c r="C6871" s="6" t="str">
        <f>_xll.QS.CONTEXT.CREATE("market.6869",A6871,"USD","SOFR")</f>
        <v>QSObject:PricingContext:w1~market.6869:6705</v>
      </c>
      <c r="D6871" s="6" t="str">
        <f>_xll.QS.CONTEXT.ADD.CURVE(C6871,"SOFR",$K$2:$K$7,$L$2:$L$7,,,"Actual360","LogLinear",TRUE)</f>
        <v>QSObject:ContextInput:w1~input.qs_context_add_curve.2359132437744.6870.3.0:33577</v>
      </c>
      <c r="E6871" s="6" t="str">
        <f>_xll.QS.INSTRUMENT.SWAP("swap.6869",H6871,B6871,"USD","SOFR",I6871,J6871,0,"Actual360","Simple","Annual","Annual","Annual")</f>
        <v>QSObject:Swap:w1~swap.6869:6704</v>
      </c>
      <c r="F6871" s="6" t="str">
        <f>_xll.QS.TRADE.CREATE("trade.6869",E6871,A6871,"Receive")</f>
        <v>QSObject:SwapTrade:w1~trade.6869:24886</v>
      </c>
      <c r="G6871" s="3">
        <f>_xll.QS.EVALUATE(C6871,F6871)</f>
        <v>38031.890763623647</v>
      </c>
      <c r="H6871" s="5" t="s">
        <v>6911</v>
      </c>
      <c r="I6871" s="7">
        <v>1686900</v>
      </c>
      <c r="J6871" s="8">
        <v>3.6900000000000002E-2</v>
      </c>
    </row>
    <row r="6872" spans="1:10" x14ac:dyDescent="0.25">
      <c r="A6872" s="5" t="s">
        <v>6905</v>
      </c>
      <c r="B6872" s="5" t="s">
        <v>8739</v>
      </c>
      <c r="C6872" s="6" t="str">
        <f>_xll.QS.CONTEXT.CREATE("market.6870",A6872,"USD","SOFR")</f>
        <v>QSObject:PricingContext:w1~market.6870:6703</v>
      </c>
      <c r="D6872" s="6" t="str">
        <f>_xll.QS.CONTEXT.ADD.CURVE(C6872,"SOFR",$K$2:$K$7,$L$2:$L$7,,,"Actual360","LogLinear",TRUE)</f>
        <v>QSObject:ContextInput:w1~input.qs_context_add_curve.2359132437744.6871.3.0:33576</v>
      </c>
      <c r="E6872" s="6" t="str">
        <f>_xll.QS.INSTRUMENT.SWAP("swap.6870",H6872,B6872,"USD","SOFR",I6872,J6872,0,"Actual360","Simple","Annual","Annual","Annual")</f>
        <v>QSObject:Swap:w1~swap.6870:6702</v>
      </c>
      <c r="F6872" s="6" t="str">
        <f>_xll.QS.TRADE.CREATE("trade.6870",E6872,A6872,"Receive")</f>
        <v>QSObject:SwapTrade:w1~trade.6870:24885</v>
      </c>
      <c r="G6872" s="3">
        <f>_xll.QS.EVALUATE(C6872,F6872)</f>
        <v>38885.908230748624</v>
      </c>
      <c r="H6872" s="5" t="s">
        <v>6912</v>
      </c>
      <c r="I6872" s="7">
        <v>1687000</v>
      </c>
      <c r="J6872" s="8">
        <v>3.7000000000000012E-2</v>
      </c>
    </row>
    <row r="6873" spans="1:10" x14ac:dyDescent="0.25">
      <c r="A6873" s="5" t="s">
        <v>6906</v>
      </c>
      <c r="B6873" s="5" t="s">
        <v>8740</v>
      </c>
      <c r="C6873" s="6" t="str">
        <f>_xll.QS.CONTEXT.CREATE("market.6871",A6873,"USD","SOFR")</f>
        <v>QSObject:PricingContext:w1~market.6871:6701</v>
      </c>
      <c r="D6873" s="6" t="str">
        <f>_xll.QS.CONTEXT.ADD.CURVE(C6873,"SOFR",$K$2:$K$7,$L$2:$L$7,,,"Actual360","LogLinear",TRUE)</f>
        <v>QSObject:ContextInput:w1~input.qs_context_add_curve.2359132437744.6872.3.0:33575</v>
      </c>
      <c r="E6873" s="6" t="str">
        <f>_xll.QS.INSTRUMENT.SWAP("swap.6871",H6873,B6873,"USD","SOFR",I6873,J6873,0,"Actual360","Simple","Annual","Annual","Annual")</f>
        <v>QSObject:Swap:w1~swap.6871:6700</v>
      </c>
      <c r="F6873" s="6" t="str">
        <f>_xll.QS.TRADE.CREATE("trade.6871",E6873,A6873,"Receive")</f>
        <v>QSObject:SwapTrade:w1~trade.6871:24884</v>
      </c>
      <c r="G6873" s="3">
        <f>_xll.QS.EVALUATE(C6873,F6873)</f>
        <v>39602.089760098053</v>
      </c>
      <c r="H6873" s="5" t="s">
        <v>6913</v>
      </c>
      <c r="I6873" s="7">
        <v>1687100</v>
      </c>
      <c r="J6873" s="8">
        <v>3.7100000000000001E-2</v>
      </c>
    </row>
    <row r="6874" spans="1:10" x14ac:dyDescent="0.25">
      <c r="A6874" s="5" t="s">
        <v>6907</v>
      </c>
      <c r="B6874" s="5" t="s">
        <v>8741</v>
      </c>
      <c r="C6874" s="6" t="str">
        <f>_xll.QS.CONTEXT.CREATE("market.6872",A6874,"USD","SOFR")</f>
        <v>QSObject:PricingContext:w1~market.6872:6699</v>
      </c>
      <c r="D6874" s="6" t="str">
        <f>_xll.QS.CONTEXT.ADD.CURVE(C6874,"SOFR",$K$2:$K$7,$L$2:$L$7,,,"Actual360","LogLinear",TRUE)</f>
        <v>QSObject:ContextInput:w1~input.qs_context_add_curve.2359132437744.6873.3.0:33574</v>
      </c>
      <c r="E6874" s="6" t="str">
        <f>_xll.QS.INSTRUMENT.SWAP("swap.6872",H6874,B6874,"USD","SOFR",I6874,J6874,0,"Actual360","Simple","Annual","Annual","Annual")</f>
        <v>QSObject:Swap:w1~swap.6872:6698</v>
      </c>
      <c r="F6874" s="6" t="str">
        <f>_xll.QS.TRADE.CREATE("trade.6872",E6874,A6874,"Receive")</f>
        <v>QSObject:SwapTrade:w1~trade.6872:24883</v>
      </c>
      <c r="G6874" s="3">
        <f>_xll.QS.EVALUATE(C6874,F6874)</f>
        <v>40262.790957456411</v>
      </c>
      <c r="H6874" s="5" t="s">
        <v>6914</v>
      </c>
      <c r="I6874" s="7">
        <v>1687200</v>
      </c>
      <c r="J6874" s="8">
        <v>3.7199999999999997E-2</v>
      </c>
    </row>
    <row r="6875" spans="1:10" x14ac:dyDescent="0.25">
      <c r="A6875" s="5" t="s">
        <v>6908</v>
      </c>
      <c r="B6875" s="5" t="s">
        <v>8742</v>
      </c>
      <c r="C6875" s="6" t="str">
        <f>_xll.QS.CONTEXT.CREATE("market.6873",A6875,"USD","SOFR")</f>
        <v>QSObject:PricingContext:w1~market.6873:6697</v>
      </c>
      <c r="D6875" s="6" t="str">
        <f>_xll.QS.CONTEXT.ADD.CURVE(C6875,"SOFR",$K$2:$K$7,$L$2:$L$7,,,"Actual360","LogLinear",TRUE)</f>
        <v>QSObject:ContextInput:w1~input.qs_context_add_curve.2359132437744.6874.3.0:33573</v>
      </c>
      <c r="E6875" s="6" t="str">
        <f>_xll.QS.INSTRUMENT.SWAP("swap.6873",H6875,B6875,"USD","SOFR",I6875,J6875,0,"Actual360","Simple","Annual","Annual","Annual")</f>
        <v>QSObject:Swap:w1~swap.6873:6696</v>
      </c>
      <c r="F6875" s="6" t="str">
        <f>_xll.QS.TRADE.CREATE("trade.6873",E6875,A6875,"Receive")</f>
        <v>QSObject:SwapTrade:w1~trade.6873:24882</v>
      </c>
      <c r="G6875" s="3">
        <f>_xll.QS.EVALUATE(C6875,F6875)</f>
        <v>40914.488785653994</v>
      </c>
      <c r="H6875" s="5" t="s">
        <v>6915</v>
      </c>
      <c r="I6875" s="7">
        <v>1687300</v>
      </c>
      <c r="J6875" s="8">
        <v>3.73E-2</v>
      </c>
    </row>
    <row r="6876" spans="1:10" x14ac:dyDescent="0.25">
      <c r="A6876" s="5" t="s">
        <v>6909</v>
      </c>
      <c r="B6876" s="5" t="s">
        <v>8743</v>
      </c>
      <c r="C6876" s="6" t="str">
        <f>_xll.QS.CONTEXT.CREATE("market.6874",A6876,"USD","SOFR")</f>
        <v>QSObject:PricingContext:w1~market.6874:6695</v>
      </c>
      <c r="D6876" s="6" t="str">
        <f>_xll.QS.CONTEXT.ADD.CURVE(C6876,"SOFR",$K$2:$K$7,$L$2:$L$7,,,"Actual360","LogLinear",TRUE)</f>
        <v>QSObject:ContextInput:w1~input.qs_context_add_curve.2359132437744.6875.3.0:33572</v>
      </c>
      <c r="E6876" s="6" t="str">
        <f>_xll.QS.INSTRUMENT.SWAP("swap.6874",H6876,B6876,"USD","SOFR",I6876,J6876,0,"Actual360","Simple","Annual","Annual","Annual")</f>
        <v>QSObject:Swap:w1~swap.6874:6694</v>
      </c>
      <c r="F6876" s="6" t="str">
        <f>_xll.QS.TRADE.CREATE("trade.6874",E6876,A6876,"Receive")</f>
        <v>QSObject:SwapTrade:w1~trade.6874:24881</v>
      </c>
      <c r="G6876" s="3">
        <f>_xll.QS.EVALUATE(C6876,F6876)</f>
        <v>41766.347831117775</v>
      </c>
      <c r="H6876" s="5" t="s">
        <v>6916</v>
      </c>
      <c r="I6876" s="7">
        <v>1687400</v>
      </c>
      <c r="J6876" s="8">
        <v>3.7400000000000003E-2</v>
      </c>
    </row>
    <row r="6877" spans="1:10" x14ac:dyDescent="0.25">
      <c r="A6877" s="5" t="s">
        <v>6910</v>
      </c>
      <c r="B6877" s="5" t="s">
        <v>8744</v>
      </c>
      <c r="C6877" s="6" t="str">
        <f>_xll.QS.CONTEXT.CREATE("market.6875",A6877,"USD","SOFR")</f>
        <v>QSObject:PricingContext:w1~market.6875:6329</v>
      </c>
      <c r="D6877" s="6" t="str">
        <f>_xll.QS.CONTEXT.ADD.CURVE(C6877,"SOFR",$K$2:$K$7,$L$2:$L$7,,,"Actual360","LogLinear",TRUE)</f>
        <v>QSObject:ContextInput:w1~input.qs_context_add_curve.2359132437744.6876.3.0:33571</v>
      </c>
      <c r="E6877" s="6" t="str">
        <f>_xll.QS.INSTRUMENT.SWAP("swap.6875",H6877,B6877,"USD","SOFR",I6877,J6877,0,"Actual360","Simple","Annual","Annual","Annual")</f>
        <v>QSObject:Swap:w1~swap.6875:6328</v>
      </c>
      <c r="F6877" s="6" t="str">
        <f>_xll.QS.TRADE.CREATE("trade.6875",E6877,A6877,"Receive")</f>
        <v>QSObject:SwapTrade:w1~trade.6875:24880</v>
      </c>
      <c r="G6877" s="3">
        <f>_xll.QS.EVALUATE(C6877,F6877)</f>
        <v>42590.308958120666</v>
      </c>
      <c r="H6877" s="5" t="s">
        <v>6917</v>
      </c>
      <c r="I6877" s="7">
        <v>1687500</v>
      </c>
      <c r="J6877" s="8">
        <v>3.7500000000000012E-2</v>
      </c>
    </row>
    <row r="6878" spans="1:10" x14ac:dyDescent="0.25">
      <c r="A6878" s="5" t="s">
        <v>6911</v>
      </c>
      <c r="B6878" s="5" t="s">
        <v>8745</v>
      </c>
      <c r="C6878" s="6" t="str">
        <f>_xll.QS.CONTEXT.CREATE("market.6876",A6878,"USD","SOFR")</f>
        <v>QSObject:PricingContext:w1~market.6876:6327</v>
      </c>
      <c r="D6878" s="6" t="str">
        <f>_xll.QS.CONTEXT.ADD.CURVE(C6878,"SOFR",$K$2:$K$7,$L$2:$L$7,,,"Actual360","LogLinear",TRUE)</f>
        <v>QSObject:ContextInput:w1~input.qs_context_add_curve.2359132437744.6877.3.0:33570</v>
      </c>
      <c r="E6878" s="6" t="str">
        <f>_xll.QS.INSTRUMENT.SWAP("swap.6876",H6878,B6878,"USD","SOFR",I6878,J6878,0,"Actual360","Simple","Annual","Annual","Annual")</f>
        <v>QSObject:Swap:w1~swap.6876:6326</v>
      </c>
      <c r="F6878" s="6" t="str">
        <f>_xll.QS.TRADE.CREATE("trade.6876",E6878,A6878,"Receive")</f>
        <v>QSObject:SwapTrade:w1~trade.6876:24879</v>
      </c>
      <c r="G6878" s="3">
        <f>_xll.QS.EVALUATE(C6878,F6878)</f>
        <v>43494.933534154225</v>
      </c>
      <c r="H6878" s="5" t="s">
        <v>6918</v>
      </c>
      <c r="I6878" s="7">
        <v>1687600</v>
      </c>
      <c r="J6878" s="8">
        <v>3.7600000000000001E-2</v>
      </c>
    </row>
    <row r="6879" spans="1:10" x14ac:dyDescent="0.25">
      <c r="A6879" s="5" t="s">
        <v>6912</v>
      </c>
      <c r="B6879" s="5" t="s">
        <v>8746</v>
      </c>
      <c r="C6879" s="6" t="str">
        <f>_xll.QS.CONTEXT.CREATE("market.6877",A6879,"USD","SOFR")</f>
        <v>QSObject:PricingContext:w1~market.6877:6325</v>
      </c>
      <c r="D6879" s="6" t="str">
        <f>_xll.QS.CONTEXT.ADD.CURVE(C6879,"SOFR",$K$2:$K$7,$L$2:$L$7,,,"Actual360","LogLinear",TRUE)</f>
        <v>QSObject:ContextInput:w1~input.qs_context_add_curve.2359132437744.6878.3.0:33569</v>
      </c>
      <c r="E6879" s="6" t="str">
        <f>_xll.QS.INSTRUMENT.SWAP("swap.6877",H6879,B6879,"USD","SOFR",I6879,J6879,0,"Actual360","Simple","Annual","Annual","Annual")</f>
        <v>QSObject:Swap:w1~swap.6877:6324</v>
      </c>
      <c r="F6879" s="6" t="str">
        <f>_xll.QS.TRADE.CREATE("trade.6877",E6879,A6879,"Receive")</f>
        <v>QSObject:SwapTrade:w1~trade.6877:24878</v>
      </c>
      <c r="G6879" s="3">
        <f>_xll.QS.EVALUATE(C6879,F6879)</f>
        <v>44349.798315480184</v>
      </c>
      <c r="H6879" s="5" t="s">
        <v>6919</v>
      </c>
      <c r="I6879" s="7">
        <v>1687700</v>
      </c>
      <c r="J6879" s="8">
        <v>3.7699999999999997E-2</v>
      </c>
    </row>
    <row r="6880" spans="1:10" x14ac:dyDescent="0.25">
      <c r="A6880" s="5" t="s">
        <v>6913</v>
      </c>
      <c r="B6880" s="5" t="s">
        <v>8747</v>
      </c>
      <c r="C6880" s="6" t="str">
        <f>_xll.QS.CONTEXT.CREATE("market.6878",A6880,"USD","SOFR")</f>
        <v>QSObject:PricingContext:w1~market.6878:6323</v>
      </c>
      <c r="D6880" s="6" t="str">
        <f>_xll.QS.CONTEXT.ADD.CURVE(C6880,"SOFR",$K$2:$K$7,$L$2:$L$7,,,"Actual360","LogLinear",TRUE)</f>
        <v>QSObject:ContextInput:w1~input.qs_context_add_curve.2359132437744.6879.3.0:33568</v>
      </c>
      <c r="E6880" s="6" t="str">
        <f>_xll.QS.INSTRUMENT.SWAP("swap.6878",H6880,B6880,"USD","SOFR",I6880,J6880,0,"Actual360","Simple","Annual","Annual","Annual")</f>
        <v>QSObject:Swap:w1~swap.6878:6322</v>
      </c>
      <c r="F6880" s="6" t="str">
        <f>_xll.QS.TRADE.CREATE("trade.6878",E6880,A6880,"Receive")</f>
        <v>QSObject:SwapTrade:w1~trade.6878:24877</v>
      </c>
      <c r="G6880" s="3">
        <f>_xll.QS.EVALUATE(C6880,F6880)</f>
        <v>45065.673385228401</v>
      </c>
      <c r="H6880" s="5" t="s">
        <v>6920</v>
      </c>
      <c r="I6880" s="7">
        <v>1687800</v>
      </c>
      <c r="J6880" s="8">
        <v>3.78E-2</v>
      </c>
    </row>
    <row r="6881" spans="1:10" x14ac:dyDescent="0.25">
      <c r="A6881" s="5" t="s">
        <v>6914</v>
      </c>
      <c r="B6881" s="5" t="s">
        <v>8748</v>
      </c>
      <c r="C6881" s="6" t="str">
        <f>_xll.QS.CONTEXT.CREATE("market.6879",A6881,"USD","SOFR")</f>
        <v>QSObject:PricingContext:w1~market.6879:6321</v>
      </c>
      <c r="D6881" s="6" t="str">
        <f>_xll.QS.CONTEXT.ADD.CURVE(C6881,"SOFR",$K$2:$K$7,$L$2:$L$7,,,"Actual360","LogLinear",TRUE)</f>
        <v>QSObject:ContextInput:w1~input.qs_context_add_curve.2359132437744.6880.3.0:33567</v>
      </c>
      <c r="E6881" s="6" t="str">
        <f>_xll.QS.INSTRUMENT.SWAP("swap.6879",H6881,B6881,"USD","SOFR",I6881,J6881,0,"Actual360","Simple","Annual","Annual","Annual")</f>
        <v>QSObject:Swap:w1~swap.6879:6320</v>
      </c>
      <c r="F6881" s="6" t="str">
        <f>_xll.QS.TRADE.CREATE("trade.6879",E6881,A6881,"Receive")</f>
        <v>QSObject:SwapTrade:w1~trade.6879:24876</v>
      </c>
      <c r="G6881" s="3">
        <f>_xll.QS.EVALUATE(C6881,F6881)</f>
        <v>45721.57595953453</v>
      </c>
      <c r="H6881" s="5" t="s">
        <v>6921</v>
      </c>
      <c r="I6881" s="7">
        <v>1687900</v>
      </c>
      <c r="J6881" s="8">
        <v>3.7900000000000003E-2</v>
      </c>
    </row>
    <row r="6882" spans="1:10" x14ac:dyDescent="0.25">
      <c r="A6882" s="5" t="s">
        <v>6915</v>
      </c>
      <c r="B6882" s="5" t="s">
        <v>8749</v>
      </c>
      <c r="C6882" s="6" t="str">
        <f>_xll.QS.CONTEXT.CREATE("market.6880",A6882,"USD","SOFR")</f>
        <v>QSObject:PricingContext:w1~market.6880:6319</v>
      </c>
      <c r="D6882" s="6" t="str">
        <f>_xll.QS.CONTEXT.ADD.CURVE(C6882,"SOFR",$K$2:$K$7,$L$2:$L$7,,,"Actual360","LogLinear",TRUE)</f>
        <v>QSObject:ContextInput:w1~input.qs_context_add_curve.2359132437744.6881.3.0:33566</v>
      </c>
      <c r="E6882" s="6" t="str">
        <f>_xll.QS.INSTRUMENT.SWAP("swap.6880",H6882,B6882,"USD","SOFR",I6882,J6882,0,"Actual360","Simple","Annual","Annual","Annual")</f>
        <v>QSObject:Swap:w1~swap.6880:6318</v>
      </c>
      <c r="F6882" s="6" t="str">
        <f>_xll.QS.TRADE.CREATE("trade.6880",E6882,A6882,"Receive")</f>
        <v>QSObject:SwapTrade:w1~trade.6880:24875</v>
      </c>
      <c r="G6882" s="3">
        <f>_xll.QS.EVALUATE(C6882,F6882)</f>
        <v>46341.225642490259</v>
      </c>
      <c r="H6882" s="5" t="s">
        <v>6922</v>
      </c>
      <c r="I6882" s="7">
        <v>1688000</v>
      </c>
      <c r="J6882" s="8">
        <v>3.8000000000000013E-2</v>
      </c>
    </row>
    <row r="6883" spans="1:10" x14ac:dyDescent="0.25">
      <c r="A6883" s="5" t="s">
        <v>6916</v>
      </c>
      <c r="B6883" s="5" t="s">
        <v>8750</v>
      </c>
      <c r="C6883" s="6" t="str">
        <f>_xll.QS.CONTEXT.CREATE("market.6881",A6883,"USD","SOFR")</f>
        <v>QSObject:PricingContext:w1~market.6881:6317</v>
      </c>
      <c r="D6883" s="6" t="str">
        <f>_xll.QS.CONTEXT.ADD.CURVE(C6883,"SOFR",$K$2:$K$7,$L$2:$L$7,,,"Actual360","LogLinear",TRUE)</f>
        <v>QSObject:ContextInput:w1~input.qs_context_add_curve.2359132437744.6882.3.0:33565</v>
      </c>
      <c r="E6883" s="6" t="str">
        <f>_xll.QS.INSTRUMENT.SWAP("swap.6881",H6883,B6883,"USD","SOFR",I6883,J6883,0,"Actual360","Simple","Annual","Annual","Annual")</f>
        <v>QSObject:Swap:w1~swap.6881:6316</v>
      </c>
      <c r="F6883" s="6" t="str">
        <f>_xll.QS.TRADE.CREATE("trade.6881",E6883,A6883,"Receive")</f>
        <v>QSObject:SwapTrade:w1~trade.6881:24874</v>
      </c>
      <c r="G6883" s="3">
        <f>_xll.QS.EVALUATE(C6883,F6883)</f>
        <v>47194.598471144069</v>
      </c>
      <c r="H6883" s="5" t="s">
        <v>6923</v>
      </c>
      <c r="I6883" s="7">
        <v>1688100</v>
      </c>
      <c r="J6883" s="8">
        <v>3.8100000000000002E-2</v>
      </c>
    </row>
    <row r="6884" spans="1:10" x14ac:dyDescent="0.25">
      <c r="A6884" s="5" t="s">
        <v>6917</v>
      </c>
      <c r="B6884" s="5" t="s">
        <v>8751</v>
      </c>
      <c r="C6884" s="6" t="str">
        <f>_xll.QS.CONTEXT.CREATE("market.6882",A6884,"USD","SOFR")</f>
        <v>QSObject:PricingContext:w1~market.6882:6315</v>
      </c>
      <c r="D6884" s="6" t="str">
        <f>_xll.QS.CONTEXT.ADD.CURVE(C6884,"SOFR",$K$2:$K$7,$L$2:$L$7,,,"Actual360","LogLinear",TRUE)</f>
        <v>QSObject:ContextInput:w1~input.qs_context_add_curve.2359132437744.6883.3.0:33564</v>
      </c>
      <c r="E6884" s="6" t="str">
        <f>_xll.QS.INSTRUMENT.SWAP("swap.6882",H6884,B6884,"USD","SOFR",I6884,J6884,0,"Actual360","Simple","Annual","Annual","Annual")</f>
        <v>QSObject:Swap:w1~swap.6882:6314</v>
      </c>
      <c r="F6884" s="6" t="str">
        <f>_xll.QS.TRADE.CREATE("trade.6882",E6884,A6884,"Receive")</f>
        <v>QSObject:SwapTrade:w1~trade.6882:24873</v>
      </c>
      <c r="G6884" s="3">
        <f>_xll.QS.EVALUATE(C6884,F6884)</f>
        <v>47986.911052955162</v>
      </c>
      <c r="H6884" s="5" t="s">
        <v>6924</v>
      </c>
      <c r="I6884" s="7">
        <v>1688200</v>
      </c>
      <c r="J6884" s="8">
        <v>3.8199999999999998E-2</v>
      </c>
    </row>
    <row r="6885" spans="1:10" x14ac:dyDescent="0.25">
      <c r="A6885" s="5" t="s">
        <v>6918</v>
      </c>
      <c r="B6885" s="5" t="s">
        <v>8752</v>
      </c>
      <c r="C6885" s="6" t="str">
        <f>_xll.QS.CONTEXT.CREATE("market.6883",A6885,"USD","SOFR")</f>
        <v>QSObject:PricingContext:w1~market.6883:6313</v>
      </c>
      <c r="D6885" s="6" t="str">
        <f>_xll.QS.CONTEXT.ADD.CURVE(C6885,"SOFR",$K$2:$K$7,$L$2:$L$7,,,"Actual360","LogLinear",TRUE)</f>
        <v>QSObject:ContextInput:w1~input.qs_context_add_curve.2359132437744.6884.3.0:33563</v>
      </c>
      <c r="E6885" s="6" t="str">
        <f>_xll.QS.INSTRUMENT.SWAP("swap.6883",H6885,B6885,"USD","SOFR",I6885,J6885,0,"Actual360","Simple","Annual","Annual","Annual")</f>
        <v>QSObject:Swap:w1~swap.6883:6312</v>
      </c>
      <c r="F6885" s="6" t="str">
        <f>_xll.QS.TRADE.CREATE("trade.6883",E6885,A6885,"Receive")</f>
        <v>QSObject:SwapTrade:w1~trade.6883:24872</v>
      </c>
      <c r="G6885" s="3">
        <f>_xll.QS.EVALUATE(C6885,F6885)</f>
        <v>49025.774179628228</v>
      </c>
      <c r="H6885" s="5" t="s">
        <v>6925</v>
      </c>
      <c r="I6885" s="7">
        <v>1688300</v>
      </c>
      <c r="J6885" s="8">
        <v>3.8300000000000001E-2</v>
      </c>
    </row>
    <row r="6886" spans="1:10" x14ac:dyDescent="0.25">
      <c r="A6886" s="5" t="s">
        <v>6919</v>
      </c>
      <c r="B6886" s="5" t="s">
        <v>8753</v>
      </c>
      <c r="C6886" s="6" t="str">
        <f>_xll.QS.CONTEXT.CREATE("market.6884",A6886,"USD","SOFR")</f>
        <v>QSObject:PricingContext:w1~market.6884:6311</v>
      </c>
      <c r="D6886" s="6" t="str">
        <f>_xll.QS.CONTEXT.ADD.CURVE(C6886,"SOFR",$K$2:$K$7,$L$2:$L$7,,,"Actual360","LogLinear",TRUE)</f>
        <v>QSObject:ContextInput:w1~input.qs_context_add_curve.2359132437744.6885.3.0:33562</v>
      </c>
      <c r="E6886" s="6" t="str">
        <f>_xll.QS.INSTRUMENT.SWAP("swap.6884",H6886,B6886,"USD","SOFR",I6886,J6886,0,"Actual360","Simple","Annual","Annual","Annual")</f>
        <v>QSObject:Swap:w1~swap.6884:6310</v>
      </c>
      <c r="F6886" s="6" t="str">
        <f>_xll.QS.TRADE.CREATE("trade.6884",E6886,A6886,"Receive")</f>
        <v>QSObject:SwapTrade:w1~trade.6884:24871</v>
      </c>
      <c r="G6886" s="3">
        <f>_xll.QS.EVALUATE(C6886,F6886)</f>
        <v>49819.980087674179</v>
      </c>
      <c r="H6886" s="5" t="s">
        <v>6926</v>
      </c>
      <c r="I6886" s="7">
        <v>1688400</v>
      </c>
      <c r="J6886" s="8">
        <v>3.8399999999999997E-2</v>
      </c>
    </row>
    <row r="6887" spans="1:10" x14ac:dyDescent="0.25">
      <c r="A6887" s="5" t="s">
        <v>6920</v>
      </c>
      <c r="B6887" s="5" t="s">
        <v>8754</v>
      </c>
      <c r="C6887" s="6" t="str">
        <f>_xll.QS.CONTEXT.CREATE("market.6885",A6887,"USD","SOFR")</f>
        <v>QSObject:PricingContext:w1~market.6885:6309</v>
      </c>
      <c r="D6887" s="6" t="str">
        <f>_xll.QS.CONTEXT.ADD.CURVE(C6887,"SOFR",$K$2:$K$7,$L$2:$L$7,,,"Actual360","LogLinear",TRUE)</f>
        <v>QSObject:ContextInput:w1~input.qs_context_add_curve.2359132437744.6886.3.0:33561</v>
      </c>
      <c r="E6887" s="6" t="str">
        <f>_xll.QS.INSTRUMENT.SWAP("swap.6885",H6887,B6887,"USD","SOFR",I6887,J6887,0,"Actual360","Simple","Annual","Annual","Annual")</f>
        <v>QSObject:Swap:w1~swap.6885:6308</v>
      </c>
      <c r="F6887" s="6" t="str">
        <f>_xll.QS.TRADE.CREATE("trade.6885",E6887,A6887,"Receive")</f>
        <v>QSObject:SwapTrade:w1~trade.6885:24870</v>
      </c>
      <c r="G6887" s="3">
        <f>_xll.QS.EVALUATE(C6887,F6887)</f>
        <v>50603.210828813586</v>
      </c>
      <c r="H6887" s="5" t="s">
        <v>6927</v>
      </c>
      <c r="I6887" s="7">
        <v>1688500</v>
      </c>
      <c r="J6887" s="8">
        <v>3.8500000000000013E-2</v>
      </c>
    </row>
    <row r="6888" spans="1:10" x14ac:dyDescent="0.25">
      <c r="A6888" s="5" t="s">
        <v>6921</v>
      </c>
      <c r="B6888" s="5" t="s">
        <v>8755</v>
      </c>
      <c r="C6888" s="6" t="str">
        <f>_xll.QS.CONTEXT.CREATE("market.6886",A6888,"USD","SOFR")</f>
        <v>QSObject:PricingContext:w1~market.6886:6307</v>
      </c>
      <c r="D6888" s="6" t="str">
        <f>_xll.QS.CONTEXT.ADD.CURVE(C6888,"SOFR",$K$2:$K$7,$L$2:$L$7,,,"Actual360","LogLinear",TRUE)</f>
        <v>QSObject:ContextInput:w1~input.qs_context_add_curve.2359132437744.6887.3.0:33560</v>
      </c>
      <c r="E6888" s="6" t="str">
        <f>_xll.QS.INSTRUMENT.SWAP("swap.6886",H6888,B6888,"USD","SOFR",I6888,J6888,0,"Actual360","Simple","Annual","Annual","Annual")</f>
        <v>QSObject:Swap:w1~swap.6886:6306</v>
      </c>
      <c r="F6888" s="6" t="str">
        <f>_xll.QS.TRADE.CREATE("trade.6886",E6888,A6888,"Receive")</f>
        <v>QSObject:SwapTrade:w1~trade.6886:24869</v>
      </c>
      <c r="G6888" s="3">
        <f>_xll.QS.EVALUATE(C6888,F6888)</f>
        <v>51253.292397670557</v>
      </c>
      <c r="H6888" s="5" t="s">
        <v>6928</v>
      </c>
      <c r="I6888" s="7">
        <v>1688600</v>
      </c>
      <c r="J6888" s="8">
        <v>3.8600000000000002E-2</v>
      </c>
    </row>
    <row r="6889" spans="1:10" x14ac:dyDescent="0.25">
      <c r="A6889" s="5" t="s">
        <v>6922</v>
      </c>
      <c r="B6889" s="5" t="s">
        <v>8756</v>
      </c>
      <c r="C6889" s="6" t="str">
        <f>_xll.QS.CONTEXT.CREATE("market.6887",A6889,"USD","SOFR")</f>
        <v>QSObject:PricingContext:w1~market.6887:6305</v>
      </c>
      <c r="D6889" s="6" t="str">
        <f>_xll.QS.CONTEXT.ADD.CURVE(C6889,"SOFR",$K$2:$K$7,$L$2:$L$7,,,"Actual360","LogLinear",TRUE)</f>
        <v>QSObject:ContextInput:w1~input.qs_context_add_curve.2359132437744.6888.3.0:33559</v>
      </c>
      <c r="E6889" s="6" t="str">
        <f>_xll.QS.INSTRUMENT.SWAP("swap.6887",H6889,B6889,"USD","SOFR",I6889,J6889,0,"Actual360","Simple","Annual","Annual","Annual")</f>
        <v>QSObject:Swap:w1~swap.6887:6304</v>
      </c>
      <c r="F6889" s="6" t="str">
        <f>_xll.QS.TRADE.CREATE("trade.6887",E6889,A6889,"Receive")</f>
        <v>QSObject:SwapTrade:w1~trade.6887:24868</v>
      </c>
      <c r="G6889" s="3">
        <f>_xll.QS.EVALUATE(C6889,F6889)</f>
        <v>51922.906855955494</v>
      </c>
      <c r="H6889" s="5" t="s">
        <v>6929</v>
      </c>
      <c r="I6889" s="7">
        <v>1688700</v>
      </c>
      <c r="J6889" s="8">
        <v>3.8700000000000012E-2</v>
      </c>
    </row>
    <row r="6890" spans="1:10" x14ac:dyDescent="0.25">
      <c r="A6890" s="5" t="s">
        <v>6923</v>
      </c>
      <c r="B6890" s="5" t="s">
        <v>8757</v>
      </c>
      <c r="C6890" s="6" t="str">
        <f>_xll.QS.CONTEXT.CREATE("market.6888",A6890,"USD","SOFR")</f>
        <v>QSObject:PricingContext:w1~market.6888:6303</v>
      </c>
      <c r="D6890" s="6" t="str">
        <f>_xll.QS.CONTEXT.ADD.CURVE(C6890,"SOFR",$K$2:$K$7,$L$2:$L$7,,,"Actual360","LogLinear",TRUE)</f>
        <v>QSObject:ContextInput:w1~input.qs_context_add_curve.2359132437744.6889.3.0:33558</v>
      </c>
      <c r="E6890" s="6" t="str">
        <f>_xll.QS.INSTRUMENT.SWAP("swap.6888",H6890,B6890,"USD","SOFR",I6890,J6890,0,"Actual360","Simple","Annual","Annual","Annual")</f>
        <v>QSObject:Swap:w1~swap.6888:6302</v>
      </c>
      <c r="F6890" s="6" t="str">
        <f>_xll.QS.TRADE.CREATE("trade.6888",E6890,A6890,"Receive")</f>
        <v>QSObject:SwapTrade:w1~trade.6888:24867</v>
      </c>
      <c r="G6890" s="3">
        <f>_xll.QS.EVALUATE(C6890,F6890)</f>
        <v>52776.880436698273</v>
      </c>
      <c r="H6890" s="5" t="s">
        <v>6930</v>
      </c>
      <c r="I6890" s="7">
        <v>1688800</v>
      </c>
      <c r="J6890" s="8">
        <v>3.8800000000000001E-2</v>
      </c>
    </row>
    <row r="6891" spans="1:10" x14ac:dyDescent="0.25">
      <c r="A6891" s="5" t="s">
        <v>6924</v>
      </c>
      <c r="B6891" s="5" t="s">
        <v>8758</v>
      </c>
      <c r="C6891" s="6" t="str">
        <f>_xll.QS.CONTEXT.CREATE("market.6889",A6891,"USD","SOFR")</f>
        <v>QSObject:PricingContext:w1~market.6889:6301</v>
      </c>
      <c r="D6891" s="6" t="str">
        <f>_xll.QS.CONTEXT.ADD.CURVE(C6891,"SOFR",$K$2:$K$7,$L$2:$L$7,,,"Actual360","LogLinear",TRUE)</f>
        <v>QSObject:ContextInput:w1~input.qs_context_add_curve.2359132437744.6890.3.0:33557</v>
      </c>
      <c r="E6891" s="6" t="str">
        <f>_xll.QS.INSTRUMENT.SWAP("swap.6889",H6891,B6891,"USD","SOFR",I6891,J6891,0,"Actual360","Simple","Annual","Annual","Annual")</f>
        <v>QSObject:Swap:w1~swap.6889:6300</v>
      </c>
      <c r="F6891" s="6" t="str">
        <f>_xll.QS.TRADE.CREATE("trade.6889",E6891,A6891,"Receive")</f>
        <v>QSObject:SwapTrade:w1~trade.6889:24866</v>
      </c>
      <c r="G6891" s="3">
        <f>_xll.QS.EVALUATE(C6891,F6891)</f>
        <v>53529.791320158867</v>
      </c>
      <c r="H6891" s="5" t="s">
        <v>6931</v>
      </c>
      <c r="I6891" s="7">
        <v>1688900</v>
      </c>
      <c r="J6891" s="8">
        <v>3.8899999999999997E-2</v>
      </c>
    </row>
    <row r="6892" spans="1:10" x14ac:dyDescent="0.25">
      <c r="A6892" s="5" t="s">
        <v>6925</v>
      </c>
      <c r="B6892" s="5" t="s">
        <v>8759</v>
      </c>
      <c r="C6892" s="6" t="str">
        <f>_xll.QS.CONTEXT.CREATE("market.6890",A6892,"USD","SOFR")</f>
        <v>QSObject:PricingContext:w1~market.6890:6299</v>
      </c>
      <c r="D6892" s="6" t="str">
        <f>_xll.QS.CONTEXT.ADD.CURVE(C6892,"SOFR",$K$2:$K$7,$L$2:$L$7,,,"Actual360","LogLinear",TRUE)</f>
        <v>QSObject:ContextInput:w1~input.qs_context_add_curve.2359132437744.6891.3.0:33556</v>
      </c>
      <c r="E6892" s="6" t="str">
        <f>_xll.QS.INSTRUMENT.SWAP("swap.6890",H6892,B6892,"USD","SOFR",I6892,J6892,0,"Actual360","Simple","Annual","Annual","Annual")</f>
        <v>QSObject:Swap:w1~swap.6890:6298</v>
      </c>
      <c r="F6892" s="6" t="str">
        <f>_xll.QS.TRADE.CREATE("trade.6890",E6892,A6892,"Receive")</f>
        <v>QSObject:SwapTrade:w1~trade.6890:24865</v>
      </c>
      <c r="G6892" s="3">
        <f>_xll.QS.EVALUATE(C6892,F6892)</f>
        <v>54435.371501036861</v>
      </c>
      <c r="H6892" s="5" t="s">
        <v>6932</v>
      </c>
      <c r="I6892" s="7">
        <v>1689000</v>
      </c>
      <c r="J6892" s="8">
        <v>3.9000000000000007E-2</v>
      </c>
    </row>
    <row r="6893" spans="1:10" x14ac:dyDescent="0.25">
      <c r="A6893" s="5" t="s">
        <v>6926</v>
      </c>
      <c r="B6893" s="5" t="s">
        <v>8760</v>
      </c>
      <c r="C6893" s="6" t="str">
        <f>_xll.QS.CONTEXT.CREATE("market.6891",A6893,"USD","SOFR")</f>
        <v>QSObject:PricingContext:w1~market.6891:6297</v>
      </c>
      <c r="D6893" s="6" t="str">
        <f>_xll.QS.CONTEXT.ADD.CURVE(C6893,"SOFR",$K$2:$K$7,$L$2:$L$7,,,"Actual360","LogLinear",TRUE)</f>
        <v>QSObject:ContextInput:w1~input.qs_context_add_curve.2359132437744.6892.3.0:33555</v>
      </c>
      <c r="E6893" s="6" t="str">
        <f>_xll.QS.INSTRUMENT.SWAP("swap.6891",H6893,B6893,"USD","SOFR",I6893,J6893,0,"Actual360","Simple","Annual","Annual","Annual")</f>
        <v>QSObject:Swap:w1~swap.6891:6296</v>
      </c>
      <c r="F6893" s="6" t="str">
        <f>_xll.QS.TRADE.CREATE("trade.6891",E6893,A6893,"Receive")</f>
        <v>QSObject:SwapTrade:w1~trade.6891:24864</v>
      </c>
      <c r="G6893" s="3">
        <f>_xll.QS.EVALUATE(C6893,F6893)</f>
        <v>55291.448881095457</v>
      </c>
      <c r="H6893" s="5" t="s">
        <v>6933</v>
      </c>
      <c r="I6893" s="7">
        <v>1689100</v>
      </c>
      <c r="J6893" s="8">
        <v>3.9100000000000003E-2</v>
      </c>
    </row>
    <row r="6894" spans="1:10" x14ac:dyDescent="0.25">
      <c r="A6894" s="5" t="s">
        <v>6927</v>
      </c>
      <c r="B6894" s="5" t="s">
        <v>8761</v>
      </c>
      <c r="C6894" s="6" t="str">
        <f>_xll.QS.CONTEXT.CREATE("market.6892",A6894,"USD","SOFR")</f>
        <v>QSObject:PricingContext:w1~market.6892:6295</v>
      </c>
      <c r="D6894" s="6" t="str">
        <f>_xll.QS.CONTEXT.ADD.CURVE(C6894,"SOFR",$K$2:$K$7,$L$2:$L$7,,,"Actual360","LogLinear",TRUE)</f>
        <v>QSObject:ContextInput:w1~input.qs_context_add_curve.2359132437744.6893.3.0:33554</v>
      </c>
      <c r="E6894" s="6" t="str">
        <f>_xll.QS.INSTRUMENT.SWAP("swap.6892",H6894,B6894,"USD","SOFR",I6894,J6894,0,"Actual360","Simple","Annual","Annual","Annual")</f>
        <v>QSObject:Swap:w1~swap.6892:6294</v>
      </c>
      <c r="F6894" s="6" t="str">
        <f>_xll.QS.TRADE.CREATE("trade.6892",E6894,A6894,"Receive")</f>
        <v>QSObject:SwapTrade:w1~trade.6892:24863</v>
      </c>
      <c r="G6894" s="3">
        <f>_xll.QS.EVALUATE(C6894,F6894)</f>
        <v>56008.443331241484</v>
      </c>
      <c r="H6894" s="5" t="s">
        <v>6934</v>
      </c>
      <c r="I6894" s="7">
        <v>1689200</v>
      </c>
      <c r="J6894" s="8">
        <v>3.9200000000000013E-2</v>
      </c>
    </row>
    <row r="6895" spans="1:10" x14ac:dyDescent="0.25">
      <c r="A6895" s="5" t="s">
        <v>6928</v>
      </c>
      <c r="B6895" s="5" t="s">
        <v>8762</v>
      </c>
      <c r="C6895" s="6" t="str">
        <f>_xll.QS.CONTEXT.CREATE("market.6893",A6895,"USD","SOFR")</f>
        <v>QSObject:PricingContext:w1~market.6893:6293</v>
      </c>
      <c r="D6895" s="6" t="str">
        <f>_xll.QS.CONTEXT.ADD.CURVE(C6895,"SOFR",$K$2:$K$7,$L$2:$L$7,,,"Actual360","LogLinear",TRUE)</f>
        <v>QSObject:ContextInput:w1~input.qs_context_add_curve.2359132437744.6894.3.0:33553</v>
      </c>
      <c r="E6895" s="6" t="str">
        <f>_xll.QS.INSTRUMENT.SWAP("swap.6893",H6895,B6895,"USD","SOFR",I6895,J6895,0,"Actual360","Simple","Annual","Annual","Annual")</f>
        <v>QSObject:Swap:w1~swap.6893:6292</v>
      </c>
      <c r="F6895" s="6" t="str">
        <f>_xll.QS.TRADE.CREATE("trade.6893",E6895,A6895,"Receive")</f>
        <v>QSObject:SwapTrade:w1~trade.6893:24862</v>
      </c>
      <c r="G6895" s="3">
        <f>_xll.QS.EVALUATE(C6895,F6895)</f>
        <v>56652.593462701196</v>
      </c>
      <c r="H6895" s="5" t="s">
        <v>6935</v>
      </c>
      <c r="I6895" s="7">
        <v>1689300</v>
      </c>
      <c r="J6895" s="8">
        <v>3.9300000000000002E-2</v>
      </c>
    </row>
    <row r="6896" spans="1:10" x14ac:dyDescent="0.25">
      <c r="A6896" s="5" t="s">
        <v>6929</v>
      </c>
      <c r="B6896" s="5" t="s">
        <v>8763</v>
      </c>
      <c r="C6896" s="6" t="str">
        <f>_xll.QS.CONTEXT.CREATE("market.6894",A6896,"USD","SOFR")</f>
        <v>QSObject:PricingContext:w1~market.6894:6291</v>
      </c>
      <c r="D6896" s="6" t="str">
        <f>_xll.QS.CONTEXT.ADD.CURVE(C6896,"SOFR",$K$2:$K$7,$L$2:$L$7,,,"Actual360","LogLinear",TRUE)</f>
        <v>QSObject:ContextInput:w1~input.qs_context_add_curve.2359132437744.6895.3.0:33552</v>
      </c>
      <c r="E6896" s="6" t="str">
        <f>_xll.QS.INSTRUMENT.SWAP("swap.6894",H6896,B6896,"USD","SOFR",I6896,J6896,0,"Actual360","Simple","Annual","Annual","Annual")</f>
        <v>QSObject:Swap:w1~swap.6894:6290</v>
      </c>
      <c r="F6896" s="6" t="str">
        <f>_xll.QS.TRADE.CREATE("trade.6894",E6896,A6896,"Receive")</f>
        <v>QSObject:SwapTrade:w1~trade.6894:24861</v>
      </c>
      <c r="G6896" s="3">
        <f>_xll.QS.EVALUATE(C6896,F6896)</f>
        <v>57331.525126943998</v>
      </c>
      <c r="H6896" s="5" t="s">
        <v>6936</v>
      </c>
      <c r="I6896" s="7">
        <v>1689400</v>
      </c>
      <c r="J6896" s="8">
        <v>3.9399999999999998E-2</v>
      </c>
    </row>
    <row r="6897" spans="1:10" x14ac:dyDescent="0.25">
      <c r="A6897" s="5" t="s">
        <v>6930</v>
      </c>
      <c r="B6897" s="5" t="s">
        <v>8764</v>
      </c>
      <c r="C6897" s="6" t="str">
        <f>_xll.QS.CONTEXT.CREATE("market.6895",A6897,"USD","SOFR")</f>
        <v>QSObject:PricingContext:w1~market.6895:6289</v>
      </c>
      <c r="D6897" s="6" t="str">
        <f>_xll.QS.CONTEXT.ADD.CURVE(C6897,"SOFR",$K$2:$K$7,$L$2:$L$7,,,"Actual360","LogLinear",TRUE)</f>
        <v>QSObject:ContextInput:w1~input.qs_context_add_curve.2359132437744.6896.3.0:33551</v>
      </c>
      <c r="E6897" s="6" t="str">
        <f>_xll.QS.INSTRUMENT.SWAP("swap.6895",H6897,B6897,"USD","SOFR",I6897,J6897,0,"Actual360","Simple","Annual","Annual","Annual")</f>
        <v>QSObject:Swap:w1~swap.6895:6288</v>
      </c>
      <c r="F6897" s="6" t="str">
        <f>_xll.QS.TRADE.CREATE("trade.6895",E6897,A6897,"Receive")</f>
        <v>QSObject:SwapTrade:w1~trade.6895:24860</v>
      </c>
      <c r="G6897" s="3">
        <f>_xll.QS.EVALUATE(C6897,F6897)</f>
        <v>58186.938405948953</v>
      </c>
      <c r="H6897" s="5" t="s">
        <v>6937</v>
      </c>
      <c r="I6897" s="7">
        <v>1689500</v>
      </c>
      <c r="J6897" s="8">
        <v>3.9500000000000007E-2</v>
      </c>
    </row>
    <row r="6898" spans="1:10" x14ac:dyDescent="0.25">
      <c r="A6898" s="5" t="s">
        <v>6931</v>
      </c>
      <c r="B6898" s="5" t="s">
        <v>8765</v>
      </c>
      <c r="C6898" s="6" t="str">
        <f>_xll.QS.CONTEXT.CREATE("market.6896",A6898,"USD","SOFR")</f>
        <v>QSObject:PricingContext:w1~market.6896:6287</v>
      </c>
      <c r="D6898" s="6" t="str">
        <f>_xll.QS.CONTEXT.ADD.CURVE(C6898,"SOFR",$K$2:$K$7,$L$2:$L$7,,,"Actual360","LogLinear",TRUE)</f>
        <v>QSObject:ContextInput:w1~input.qs_context_add_curve.2359132437744.6897.3.0:33550</v>
      </c>
      <c r="E6898" s="6" t="str">
        <f>_xll.QS.INSTRUMENT.SWAP("swap.6896",H6898,B6898,"USD","SOFR",I6898,J6898,0,"Actual360","Simple","Annual","Annual","Annual")</f>
        <v>QSObject:Swap:w1~swap.6896:6286</v>
      </c>
      <c r="F6898" s="6" t="str">
        <f>_xll.QS.TRADE.CREATE("trade.6896",E6898,A6898,"Receive")</f>
        <v>QSObject:SwapTrade:w1~trade.6896:24859</v>
      </c>
      <c r="G6898" s="3">
        <f>_xll.QS.EVALUATE(C6898,F6898)</f>
        <v>59005.775469902321</v>
      </c>
      <c r="H6898" s="5" t="s">
        <v>6938</v>
      </c>
      <c r="I6898" s="7">
        <v>1689600</v>
      </c>
      <c r="J6898" s="8">
        <v>3.9600000000000003E-2</v>
      </c>
    </row>
    <row r="6899" spans="1:10" x14ac:dyDescent="0.25">
      <c r="A6899" s="5" t="s">
        <v>6932</v>
      </c>
      <c r="B6899" s="5" t="s">
        <v>8766</v>
      </c>
      <c r="C6899" s="6" t="str">
        <f>_xll.QS.CONTEXT.CREATE("market.6897",A6899,"USD","SOFR")</f>
        <v>QSObject:PricingContext:w1~market.6897:6285</v>
      </c>
      <c r="D6899" s="6" t="str">
        <f>_xll.QS.CONTEXT.ADD.CURVE(C6899,"SOFR",$K$2:$K$7,$L$2:$L$7,,,"Actual360","LogLinear",TRUE)</f>
        <v>QSObject:ContextInput:w1~input.qs_context_add_curve.2359132437744.6898.3.0:33549</v>
      </c>
      <c r="E6899" s="6" t="str">
        <f>_xll.QS.INSTRUMENT.SWAP("swap.6897",H6899,B6899,"USD","SOFR",I6899,J6899,0,"Actual360","Simple","Annual","Annual","Annual")</f>
        <v>QSObject:Swap:w1~swap.6897:6284</v>
      </c>
      <c r="F6899" s="6" t="str">
        <f>_xll.QS.TRADE.CREATE("trade.6897",E6899,A6899,"Receive")</f>
        <v>QSObject:SwapTrade:w1~trade.6897:24858</v>
      </c>
      <c r="G6899" s="3">
        <f>_xll.QS.EVALUATE(C6899,F6899)</f>
        <v>59912.12135210244</v>
      </c>
      <c r="H6899" s="5" t="s">
        <v>6939</v>
      </c>
      <c r="I6899" s="7">
        <v>1689700</v>
      </c>
      <c r="J6899" s="8">
        <v>3.9700000000000013E-2</v>
      </c>
    </row>
    <row r="6900" spans="1:10" x14ac:dyDescent="0.25">
      <c r="A6900" s="5" t="s">
        <v>6933</v>
      </c>
      <c r="B6900" s="5" t="s">
        <v>8767</v>
      </c>
      <c r="C6900" s="6" t="str">
        <f>_xll.QS.CONTEXT.CREATE("market.6898",A6900,"USD","SOFR")</f>
        <v>QSObject:PricingContext:w1~market.6898:6283</v>
      </c>
      <c r="D6900" s="6" t="str">
        <f>_xll.QS.CONTEXT.ADD.CURVE(C6900,"SOFR",$K$2:$K$7,$L$2:$L$7,,,"Actual360","LogLinear",TRUE)</f>
        <v>QSObject:ContextInput:w1~input.qs_context_add_curve.2359132437744.6899.3.0:33548</v>
      </c>
      <c r="E6900" s="6" t="str">
        <f>_xll.QS.INSTRUMENT.SWAP("swap.6898",H6900,B6900,"USD","SOFR",I6900,J6900,0,"Actual360","Simple","Annual","Annual","Annual")</f>
        <v>QSObject:Swap:w1~swap.6898:6282</v>
      </c>
      <c r="F6900" s="6" t="str">
        <f>_xll.QS.TRADE.CREATE("trade.6898",E6900,A6900,"Receive")</f>
        <v>QSObject:SwapTrade:w1~trade.6898:24857</v>
      </c>
      <c r="G6900" s="3">
        <f>_xll.QS.EVALUATE(C6900,F6900)</f>
        <v>60730.69015714631</v>
      </c>
      <c r="H6900" s="5" t="s">
        <v>6940</v>
      </c>
      <c r="I6900" s="7">
        <v>1689800</v>
      </c>
      <c r="J6900" s="8">
        <v>3.9800000000000002E-2</v>
      </c>
    </row>
    <row r="6901" spans="1:10" x14ac:dyDescent="0.25">
      <c r="A6901" s="5" t="s">
        <v>6934</v>
      </c>
      <c r="B6901" s="5" t="s">
        <v>8768</v>
      </c>
      <c r="C6901" s="6" t="str">
        <f>_xll.QS.CONTEXT.CREATE("market.6899",A6901,"USD","SOFR")</f>
        <v>QSObject:PricingContext:w1~market.6899:6281</v>
      </c>
      <c r="D6901" s="6" t="str">
        <f>_xll.QS.CONTEXT.ADD.CURVE(C6901,"SOFR",$K$2:$K$7,$L$2:$L$7,,,"Actual360","LogLinear",TRUE)</f>
        <v>QSObject:ContextInput:w1~input.qs_context_add_curve.2359132437744.6900.3.0:33547</v>
      </c>
      <c r="E6901" s="6" t="str">
        <f>_xll.QS.INSTRUMENT.SWAP("swap.6899",H6901,B6901,"USD","SOFR",I6901,J6901,0,"Actual360","Simple","Annual","Annual","Annual")</f>
        <v>QSObject:Swap:w1~swap.6899:6280</v>
      </c>
      <c r="F6901" s="6" t="str">
        <f>_xll.QS.TRADE.CREATE("trade.6899",E6901,A6901,"Receive")</f>
        <v>QSObject:SwapTrade:w1~trade.6899:24856</v>
      </c>
      <c r="G6901" s="3">
        <f>_xll.QS.EVALUATE(C6901,F6901)</f>
        <v>61454.551140576012</v>
      </c>
      <c r="H6901" s="5" t="s">
        <v>6941</v>
      </c>
      <c r="I6901" s="7">
        <v>1689900</v>
      </c>
      <c r="J6901" s="8">
        <v>3.9899999999999998E-2</v>
      </c>
    </row>
    <row r="6902" spans="1:10" x14ac:dyDescent="0.25">
      <c r="A6902" s="5" t="s">
        <v>6935</v>
      </c>
      <c r="B6902" s="5" t="s">
        <v>8769</v>
      </c>
      <c r="C6902" s="6" t="str">
        <f>_xll.QS.CONTEXT.CREATE("market.6900",A6902,"USD","SOFR")</f>
        <v>QSObject:PricingContext:w1~market.6900:6279</v>
      </c>
      <c r="D6902" s="6" t="str">
        <f>_xll.QS.CONTEXT.ADD.CURVE(C6902,"SOFR",$K$2:$K$7,$L$2:$L$7,,,"Actual360","LogLinear",TRUE)</f>
        <v>QSObject:ContextInput:w1~input.qs_context_add_curve.2359132437744.6901.3.0:33546</v>
      </c>
      <c r="E6902" s="6" t="str">
        <f>_xll.QS.INSTRUMENT.SWAP("swap.6900",H6902,B6902,"USD","SOFR",I6902,J6902,0,"Actual360","Simple","Annual","Annual","Annual")</f>
        <v>QSObject:Swap:w1~swap.6900:6278</v>
      </c>
      <c r="F6902" s="6" t="str">
        <f>_xll.QS.TRADE.CREATE("trade.6900",E6902,A6902,"Receive")</f>
        <v>QSObject:SwapTrade:w1~trade.6900:24855</v>
      </c>
      <c r="G6902" s="3">
        <f>_xll.QS.EVALUATE(C6902,F6902)</f>
        <v>23254.246707544698</v>
      </c>
      <c r="H6902" s="5" t="s">
        <v>6942</v>
      </c>
      <c r="I6902" s="7">
        <v>1690000</v>
      </c>
      <c r="J6902" s="8">
        <v>3.5000000000000003E-2</v>
      </c>
    </row>
    <row r="6903" spans="1:10" x14ac:dyDescent="0.25">
      <c r="A6903" s="5" t="s">
        <v>6936</v>
      </c>
      <c r="B6903" s="5" t="s">
        <v>8770</v>
      </c>
      <c r="C6903" s="6" t="str">
        <f>_xll.QS.CONTEXT.CREATE("market.6901",A6903,"USD","SOFR")</f>
        <v>QSObject:PricingContext:w1~market.6901:6277</v>
      </c>
      <c r="D6903" s="6" t="str">
        <f>_xll.QS.CONTEXT.ADD.CURVE(C6903,"SOFR",$K$2:$K$7,$L$2:$L$7,,,"Actual360","LogLinear",TRUE)</f>
        <v>QSObject:ContextInput:w1~input.qs_context_add_curve.2359132437744.6902.3.0:33545</v>
      </c>
      <c r="E6903" s="6" t="str">
        <f>_xll.QS.INSTRUMENT.SWAP("swap.6901",H6903,B6903,"USD","SOFR",I6903,J6903,0,"Actual360","Simple","Annual","Annual","Annual")</f>
        <v>QSObject:Swap:w1~swap.6901:6276</v>
      </c>
      <c r="F6903" s="6" t="str">
        <f>_xll.QS.TRADE.CREATE("trade.6901",E6903,A6903,"Receive")</f>
        <v>QSObject:SwapTrade:w1~trade.6901:24854</v>
      </c>
      <c r="G6903" s="3">
        <f>_xll.QS.EVALUATE(C6903,F6903)</f>
        <v>24037.107888395862</v>
      </c>
      <c r="H6903" s="5" t="s">
        <v>6943</v>
      </c>
      <c r="I6903" s="7">
        <v>1690100</v>
      </c>
      <c r="J6903" s="8">
        <v>3.5100000000000013E-2</v>
      </c>
    </row>
    <row r="6904" spans="1:10" x14ac:dyDescent="0.25">
      <c r="A6904" s="5" t="s">
        <v>6937</v>
      </c>
      <c r="B6904" s="5" t="s">
        <v>8771</v>
      </c>
      <c r="C6904" s="6" t="str">
        <f>_xll.QS.CONTEXT.CREATE("market.6902",A6904,"USD","SOFR")</f>
        <v>QSObject:PricingContext:w1~market.6902:6275</v>
      </c>
      <c r="D6904" s="6" t="str">
        <f>_xll.QS.CONTEXT.ADD.CURVE(C6904,"SOFR",$K$2:$K$7,$L$2:$L$7,,,"Actual360","LogLinear",TRUE)</f>
        <v>QSObject:ContextInput:w1~input.qs_context_add_curve.2359132437744.6903.3.0:33544</v>
      </c>
      <c r="E6904" s="6" t="str">
        <f>_xll.QS.INSTRUMENT.SWAP("swap.6902",H6904,B6904,"USD","SOFR",I6904,J6904,0,"Actual360","Simple","Annual","Annual","Annual")</f>
        <v>QSObject:Swap:w1~swap.6902:6274</v>
      </c>
      <c r="F6904" s="6" t="str">
        <f>_xll.QS.TRADE.CREATE("trade.6902",E6904,A6904,"Receive")</f>
        <v>QSObject:SwapTrade:w1~trade.6902:24853</v>
      </c>
      <c r="G6904" s="3">
        <f>_xll.QS.EVALUATE(C6904,F6904)</f>
        <v>24742.51944805446</v>
      </c>
      <c r="H6904" s="5" t="s">
        <v>6944</v>
      </c>
      <c r="I6904" s="7">
        <v>1690200</v>
      </c>
      <c r="J6904" s="8">
        <v>3.5200000000000002E-2</v>
      </c>
    </row>
    <row r="6905" spans="1:10" x14ac:dyDescent="0.25">
      <c r="A6905" s="5" t="s">
        <v>6938</v>
      </c>
      <c r="B6905" s="5" t="s">
        <v>8772</v>
      </c>
      <c r="C6905" s="6" t="str">
        <f>_xll.QS.CONTEXT.CREATE("market.6903",A6905,"USD","SOFR")</f>
        <v>QSObject:PricingContext:w1~market.6903:6273</v>
      </c>
      <c r="D6905" s="6" t="str">
        <f>_xll.QS.CONTEXT.ADD.CURVE(C6905,"SOFR",$K$2:$K$7,$L$2:$L$7,,,"Actual360","LogLinear",TRUE)</f>
        <v>QSObject:ContextInput:w1~input.qs_context_add_curve.2359132437744.6904.3.0:33543</v>
      </c>
      <c r="E6905" s="6" t="str">
        <f>_xll.QS.INSTRUMENT.SWAP("swap.6903",H6905,B6905,"USD","SOFR",I6905,J6905,0,"Actual360","Simple","Annual","Annual","Annual")</f>
        <v>QSObject:Swap:w1~swap.6903:6272</v>
      </c>
      <c r="F6905" s="6" t="str">
        <f>_xll.QS.TRADE.CREATE("trade.6903",E6905,A6905,"Receive")</f>
        <v>QSObject:SwapTrade:w1~trade.6903:24852</v>
      </c>
      <c r="G6905" s="3">
        <f>_xll.QS.EVALUATE(C6905,F6905)</f>
        <v>25706.638253191981</v>
      </c>
      <c r="H6905" s="5" t="s">
        <v>6945</v>
      </c>
      <c r="I6905" s="7">
        <v>1690300</v>
      </c>
      <c r="J6905" s="8">
        <v>3.5299999999999998E-2</v>
      </c>
    </row>
    <row r="6906" spans="1:10" x14ac:dyDescent="0.25">
      <c r="A6906" s="5" t="s">
        <v>6939</v>
      </c>
      <c r="B6906" s="5" t="s">
        <v>8773</v>
      </c>
      <c r="C6906" s="6" t="str">
        <f>_xll.QS.CONTEXT.CREATE("market.6904",A6906,"USD","SOFR")</f>
        <v>QSObject:PricingContext:w1~market.6904:6271</v>
      </c>
      <c r="D6906" s="6" t="str">
        <f>_xll.QS.CONTEXT.ADD.CURVE(C6906,"SOFR",$K$2:$K$7,$L$2:$L$7,,,"Actual360","LogLinear",TRUE)</f>
        <v>QSObject:ContextInput:w1~input.qs_context_add_curve.2359132437744.6905.3.0:33542</v>
      </c>
      <c r="E6906" s="6" t="str">
        <f>_xll.QS.INSTRUMENT.SWAP("swap.6904",H6906,B6906,"USD","SOFR",I6906,J6906,0,"Actual360","Simple","Annual","Annual","Annual")</f>
        <v>QSObject:Swap:w1~swap.6904:6270</v>
      </c>
      <c r="F6906" s="6" t="str">
        <f>_xll.QS.TRADE.CREATE("trade.6904",E6906,A6906,"Receive")</f>
        <v>QSObject:SwapTrade:w1~trade.6904:24851</v>
      </c>
      <c r="G6906" s="3">
        <f>_xll.QS.EVALUATE(C6906,F6906)</f>
        <v>26496.685596198491</v>
      </c>
      <c r="H6906" s="5" t="s">
        <v>6946</v>
      </c>
      <c r="I6906" s="7">
        <v>1690400</v>
      </c>
      <c r="J6906" s="8">
        <v>3.5400000000000001E-2</v>
      </c>
    </row>
    <row r="6907" spans="1:10" x14ac:dyDescent="0.25">
      <c r="A6907" s="5" t="s">
        <v>6940</v>
      </c>
      <c r="B6907" s="5" t="s">
        <v>8774</v>
      </c>
      <c r="C6907" s="6" t="str">
        <f>_xll.QS.CONTEXT.CREATE("market.6905",A6907,"USD","SOFR")</f>
        <v>QSObject:PricingContext:w1~market.6905:6269</v>
      </c>
      <c r="D6907" s="6" t="str">
        <f>_xll.QS.CONTEXT.ADD.CURVE(C6907,"SOFR",$K$2:$K$7,$L$2:$L$7,,,"Actual360","LogLinear",TRUE)</f>
        <v>QSObject:ContextInput:w1~input.qs_context_add_curve.2359132437744.6906.3.0:33541</v>
      </c>
      <c r="E6907" s="6" t="str">
        <f>_xll.QS.INSTRUMENT.SWAP("swap.6905",H6907,B6907,"USD","SOFR",I6907,J6907,0,"Actual360","Simple","Annual","Annual","Annual")</f>
        <v>QSObject:Swap:w1~swap.6905:6268</v>
      </c>
      <c r="F6907" s="6" t="str">
        <f>_xll.QS.TRADE.CREATE("trade.6905",E6907,A6907,"Receive")</f>
        <v>QSObject:SwapTrade:w1~trade.6905:24850</v>
      </c>
      <c r="G6907" s="3">
        <f>_xll.QS.EVALUATE(C6907,F6907)</f>
        <v>27272.963994691054</v>
      </c>
      <c r="H6907" s="5" t="s">
        <v>6947</v>
      </c>
      <c r="I6907" s="7">
        <v>1690500</v>
      </c>
      <c r="J6907" s="8">
        <v>3.5499999999999997E-2</v>
      </c>
    </row>
    <row r="6908" spans="1:10" x14ac:dyDescent="0.25">
      <c r="A6908" s="5" t="s">
        <v>6941</v>
      </c>
      <c r="B6908" s="5" t="s">
        <v>8775</v>
      </c>
      <c r="C6908" s="6" t="str">
        <f>_xll.QS.CONTEXT.CREATE("market.6906",A6908,"USD","SOFR")</f>
        <v>QSObject:PricingContext:w1~market.6906:6267</v>
      </c>
      <c r="D6908" s="6" t="str">
        <f>_xll.QS.CONTEXT.ADD.CURVE(C6908,"SOFR",$K$2:$K$7,$L$2:$L$7,,,"Actual360","LogLinear",TRUE)</f>
        <v>QSObject:ContextInput:w1~input.qs_context_add_curve.2359132437744.6907.3.0:33540</v>
      </c>
      <c r="E6908" s="6" t="str">
        <f>_xll.QS.INSTRUMENT.SWAP("swap.6906",H6908,B6908,"USD","SOFR",I6908,J6908,0,"Actual360","Simple","Annual","Annual","Annual")</f>
        <v>QSObject:Swap:w1~swap.6906:6266</v>
      </c>
      <c r="F6908" s="6" t="str">
        <f>_xll.QS.TRADE.CREATE("trade.6906",E6908,A6908,"Receive")</f>
        <v>QSObject:SwapTrade:w1~trade.6906:24849</v>
      </c>
      <c r="G6908" s="3">
        <f>_xll.QS.EVALUATE(C6908,F6908)</f>
        <v>27989.192326423639</v>
      </c>
      <c r="H6908" s="5" t="s">
        <v>6948</v>
      </c>
      <c r="I6908" s="7">
        <v>1690600</v>
      </c>
      <c r="J6908" s="8">
        <v>3.5600000000000007E-2</v>
      </c>
    </row>
    <row r="6909" spans="1:10" x14ac:dyDescent="0.25">
      <c r="A6909" s="5" t="s">
        <v>6942</v>
      </c>
      <c r="B6909" s="5" t="s">
        <v>8776</v>
      </c>
      <c r="C6909" s="6" t="str">
        <f>_xll.QS.CONTEXT.CREATE("market.6907",A6909,"USD","SOFR")</f>
        <v>QSObject:PricingContext:w1~market.6907:6265</v>
      </c>
      <c r="D6909" s="6" t="str">
        <f>_xll.QS.CONTEXT.ADD.CURVE(C6909,"SOFR",$K$2:$K$7,$L$2:$L$7,,,"Actual360","LogLinear",TRUE)</f>
        <v>QSObject:ContextInput:w1~input.qs_context_add_curve.2359132437744.6908.3.0:33539</v>
      </c>
      <c r="E6909" s="6" t="str">
        <f>_xll.QS.INSTRUMENT.SWAP("swap.6907",H6909,B6909,"USD","SOFR",I6909,J6909,0,"Actual360","Simple","Annual","Annual","Annual")</f>
        <v>QSObject:Swap:w1~swap.6907:6264</v>
      </c>
      <c r="F6909" s="6" t="str">
        <f>_xll.QS.TRADE.CREATE("trade.6907",E6909,A6909,"Receive")</f>
        <v>QSObject:SwapTrade:w1~trade.6907:24848</v>
      </c>
      <c r="G6909" s="3">
        <f>_xll.QS.EVALUATE(C6909,F6909)</f>
        <v>28665.361818425445</v>
      </c>
      <c r="H6909" s="5" t="s">
        <v>6949</v>
      </c>
      <c r="I6909" s="7">
        <v>1690700</v>
      </c>
      <c r="J6909" s="8">
        <v>3.5700000000000003E-2</v>
      </c>
    </row>
    <row r="6910" spans="1:10" x14ac:dyDescent="0.25">
      <c r="A6910" s="5" t="s">
        <v>6943</v>
      </c>
      <c r="B6910" s="5" t="s">
        <v>8777</v>
      </c>
      <c r="C6910" s="6" t="str">
        <f>_xll.QS.CONTEXT.CREATE("market.6908",A6910,"USD","SOFR")</f>
        <v>QSObject:PricingContext:w1~market.6908:6263</v>
      </c>
      <c r="D6910" s="6" t="str">
        <f>_xll.QS.CONTEXT.ADD.CURVE(C6910,"SOFR",$K$2:$K$7,$L$2:$L$7,,,"Actual360","LogLinear",TRUE)</f>
        <v>QSObject:ContextInput:w1~input.qs_context_add_curve.2359132437744.6909.3.0:33538</v>
      </c>
      <c r="E6910" s="6" t="str">
        <f>_xll.QS.INSTRUMENT.SWAP("swap.6908",H6910,B6910,"USD","SOFR",I6910,J6910,0,"Actual360","Simple","Annual","Annual","Annual")</f>
        <v>QSObject:Swap:w1~swap.6908:6262</v>
      </c>
      <c r="F6910" s="6" t="str">
        <f>_xll.QS.TRADE.CREATE("trade.6908",E6910,A6910,"Receive")</f>
        <v>QSObject:SwapTrade:w1~trade.6908:24847</v>
      </c>
      <c r="G6910" s="3">
        <f>_xll.QS.EVALUATE(C6910,F6910)</f>
        <v>29299.579678432026</v>
      </c>
      <c r="H6910" s="5" t="s">
        <v>6950</v>
      </c>
      <c r="I6910" s="7">
        <v>1690800</v>
      </c>
      <c r="J6910" s="8">
        <v>3.5800000000000012E-2</v>
      </c>
    </row>
    <row r="6911" spans="1:10" x14ac:dyDescent="0.25">
      <c r="A6911" s="5" t="s">
        <v>6944</v>
      </c>
      <c r="B6911" s="5" t="s">
        <v>8778</v>
      </c>
      <c r="C6911" s="6" t="str">
        <f>_xll.QS.CONTEXT.CREATE("market.6909",A6911,"USD","SOFR")</f>
        <v>QSObject:PricingContext:w1~market.6909:6261</v>
      </c>
      <c r="D6911" s="6" t="str">
        <f>_xll.QS.CONTEXT.ADD.CURVE(C6911,"SOFR",$K$2:$K$7,$L$2:$L$7,,,"Actual360","LogLinear",TRUE)</f>
        <v>QSObject:ContextInput:w1~input.qs_context_add_curve.2359132437744.6910.3.0:33537</v>
      </c>
      <c r="E6911" s="6" t="str">
        <f>_xll.QS.INSTRUMENT.SWAP("swap.6909",H6911,B6911,"USD","SOFR",I6911,J6911,0,"Actual360","Simple","Annual","Annual","Annual")</f>
        <v>QSObject:Swap:w1~swap.6909:6260</v>
      </c>
      <c r="F6911" s="6" t="str">
        <f>_xll.QS.TRADE.CREATE("trade.6909",E6911,A6911,"Receive")</f>
        <v>QSObject:SwapTrade:w1~trade.6909:24846</v>
      </c>
      <c r="G6911" s="3">
        <f>_xll.QS.EVALUATE(C6911,F6911)</f>
        <v>30151.376503208863</v>
      </c>
      <c r="H6911" s="5" t="s">
        <v>6951</v>
      </c>
      <c r="I6911" s="7">
        <v>1690900</v>
      </c>
      <c r="J6911" s="8">
        <v>3.5900000000000001E-2</v>
      </c>
    </row>
    <row r="6912" spans="1:10" x14ac:dyDescent="0.25">
      <c r="A6912" s="5" t="s">
        <v>6945</v>
      </c>
      <c r="B6912" s="5" t="s">
        <v>8779</v>
      </c>
      <c r="C6912" s="6" t="str">
        <f>_xll.QS.CONTEXT.CREATE("market.6910",A6912,"USD","SOFR")</f>
        <v>QSObject:PricingContext:w1~market.6910:6259</v>
      </c>
      <c r="D6912" s="6" t="str">
        <f>_xll.QS.CONTEXT.ADD.CURVE(C6912,"SOFR",$K$2:$K$7,$L$2:$L$7,,,"Actual360","LogLinear",TRUE)</f>
        <v>QSObject:ContextInput:w1~input.qs_context_add_curve.2359132437744.6911.3.0:33536</v>
      </c>
      <c r="E6912" s="6" t="str">
        <f>_xll.QS.INSTRUMENT.SWAP("swap.6910",H6912,B6912,"USD","SOFR",I6912,J6912,0,"Actual360","Simple","Annual","Annual","Annual")</f>
        <v>QSObject:Swap:w1~swap.6910:6258</v>
      </c>
      <c r="F6912" s="6" t="str">
        <f>_xll.QS.TRADE.CREATE("trade.6910",E6912,A6912,"Receive")</f>
        <v>QSObject:SwapTrade:w1~trade.6910:24845</v>
      </c>
      <c r="G6912" s="3">
        <f>_xll.QS.EVALUATE(C6912,F6912)</f>
        <v>30982.893954922365</v>
      </c>
      <c r="H6912" s="5" t="s">
        <v>6952</v>
      </c>
      <c r="I6912" s="7">
        <v>1691000</v>
      </c>
      <c r="J6912" s="8">
        <v>3.5999999999999997E-2</v>
      </c>
    </row>
    <row r="6913" spans="1:10" x14ac:dyDescent="0.25">
      <c r="A6913" s="5" t="s">
        <v>6946</v>
      </c>
      <c r="B6913" s="5" t="s">
        <v>8780</v>
      </c>
      <c r="C6913" s="6" t="str">
        <f>_xll.QS.CONTEXT.CREATE("market.6911",A6913,"USD","SOFR")</f>
        <v>QSObject:PricingContext:w1~market.6911:6257</v>
      </c>
      <c r="D6913" s="6" t="str">
        <f>_xll.QS.CONTEXT.ADD.CURVE(C6913,"SOFR",$K$2:$K$7,$L$2:$L$7,,,"Actual360","LogLinear",TRUE)</f>
        <v>QSObject:ContextInput:w1~input.qs_context_add_curve.2359132437744.6912.3.0:33535</v>
      </c>
      <c r="E6913" s="6" t="str">
        <f>_xll.QS.INSTRUMENT.SWAP("swap.6911",H6913,B6913,"USD","SOFR",I6913,J6913,0,"Actual360","Simple","Annual","Annual","Annual")</f>
        <v>QSObject:Swap:w1~swap.6911:6256</v>
      </c>
      <c r="F6913" s="6" t="str">
        <f>_xll.QS.TRADE.CREATE("trade.6911",E6913,A6913,"Receive")</f>
        <v>QSObject:SwapTrade:w1~trade.6911:24844</v>
      </c>
      <c r="G6913" s="3">
        <f>_xll.QS.EVALUATE(C6913,F6913)</f>
        <v>31887.942997101331</v>
      </c>
      <c r="H6913" s="5" t="s">
        <v>6953</v>
      </c>
      <c r="I6913" s="7">
        <v>1691100</v>
      </c>
      <c r="J6913" s="8">
        <v>3.61E-2</v>
      </c>
    </row>
    <row r="6914" spans="1:10" x14ac:dyDescent="0.25">
      <c r="A6914" s="5" t="s">
        <v>6947</v>
      </c>
      <c r="B6914" s="5" t="s">
        <v>8781</v>
      </c>
      <c r="C6914" s="6" t="str">
        <f>_xll.QS.CONTEXT.CREATE("market.6912",A6914,"USD","SOFR")</f>
        <v>QSObject:PricingContext:w1~market.6912:6255</v>
      </c>
      <c r="D6914" s="6" t="str">
        <f>_xll.QS.CONTEXT.ADD.CURVE(C6914,"SOFR",$K$2:$K$7,$L$2:$L$7,,,"Actual360","LogLinear",TRUE)</f>
        <v>QSObject:ContextInput:w1~input.qs_context_add_curve.2359132437744.6913.3.0:32953</v>
      </c>
      <c r="E6914" s="6" t="str">
        <f>_xll.QS.INSTRUMENT.SWAP("swap.6912",H6914,B6914,"USD","SOFR",I6914,J6914,0,"Actual360","Simple","Annual","Annual","Annual")</f>
        <v>QSObject:Swap:w1~swap.6912:6254</v>
      </c>
      <c r="F6914" s="6" t="str">
        <f>_xll.QS.TRADE.CREATE("trade.6912",E6914,A6914,"Receive")</f>
        <v>QSObject:SwapTrade:w1~trade.6912:24843</v>
      </c>
      <c r="G6914" s="3">
        <f>_xll.QS.EVALUATE(C6914,F6914)</f>
        <v>32743.466476568683</v>
      </c>
      <c r="H6914" s="5" t="s">
        <v>6954</v>
      </c>
      <c r="I6914" s="7">
        <v>1691200</v>
      </c>
      <c r="J6914" s="8">
        <v>3.6200000000000003E-2</v>
      </c>
    </row>
    <row r="6915" spans="1:10" x14ac:dyDescent="0.25">
      <c r="A6915" s="5" t="s">
        <v>6948</v>
      </c>
      <c r="B6915" s="5" t="s">
        <v>8782</v>
      </c>
      <c r="C6915" s="6" t="str">
        <f>_xll.QS.CONTEXT.CREATE("market.6913",A6915,"USD","SOFR")</f>
        <v>QSObject:PricingContext:w1~market.6913:6253</v>
      </c>
      <c r="D6915" s="6" t="str">
        <f>_xll.QS.CONTEXT.ADD.CURVE(C6915,"SOFR",$K$2:$K$7,$L$2:$L$7,,,"Actual360","LogLinear",TRUE)</f>
        <v>QSObject:ContextInput:w1~input.qs_context_add_curve.2359132437744.6914.3.0:33495</v>
      </c>
      <c r="E6915" s="6" t="str">
        <f>_xll.QS.INSTRUMENT.SWAP("swap.6913",H6915,B6915,"USD","SOFR",I6915,J6915,0,"Actual360","Simple","Annual","Annual","Annual")</f>
        <v>QSObject:Swap:w1~swap.6913:6252</v>
      </c>
      <c r="F6915" s="6" t="str">
        <f>_xll.QS.TRADE.CREATE("trade.6913",E6915,A6915,"Receive")</f>
        <v>QSObject:SwapTrade:w1~trade.6913:24842</v>
      </c>
      <c r="G6915" s="3">
        <f>_xll.QS.EVALUATE(C6915,F6915)</f>
        <v>33460.255316682997</v>
      </c>
      <c r="H6915" s="5" t="s">
        <v>6955</v>
      </c>
      <c r="I6915" s="7">
        <v>1691300</v>
      </c>
      <c r="J6915" s="8">
        <v>3.6300000000000013E-2</v>
      </c>
    </row>
    <row r="6916" spans="1:10" x14ac:dyDescent="0.25">
      <c r="A6916" s="5" t="s">
        <v>6949</v>
      </c>
      <c r="B6916" s="5" t="s">
        <v>8783</v>
      </c>
      <c r="C6916" s="6" t="str">
        <f>_xll.QS.CONTEXT.CREATE("market.6914",A6916,"USD","SOFR")</f>
        <v>QSObject:PricingContext:w1~market.6914:6251</v>
      </c>
      <c r="D6916" s="6" t="str">
        <f>_xll.QS.CONTEXT.ADD.CURVE(C6916,"SOFR",$K$2:$K$7,$L$2:$L$7,,,"Actual360","LogLinear",TRUE)</f>
        <v>QSObject:ContextInput:w1~input.qs_context_add_curve.2359132437744.6915.3.0:32952</v>
      </c>
      <c r="E6916" s="6" t="str">
        <f>_xll.QS.INSTRUMENT.SWAP("swap.6914",H6916,B6916,"USD","SOFR",I6916,J6916,0,"Actual360","Simple","Annual","Annual","Annual")</f>
        <v>QSObject:Swap:w1~swap.6914:6250</v>
      </c>
      <c r="F6916" s="6" t="str">
        <f>_xll.QS.TRADE.CREATE("trade.6914",E6916,A6916,"Receive")</f>
        <v>QSObject:SwapTrade:w1~trade.6914:24841</v>
      </c>
      <c r="G6916" s="3">
        <f>_xll.QS.EVALUATE(C6916,F6916)</f>
        <v>34130.59819762448</v>
      </c>
      <c r="H6916" s="5" t="s">
        <v>6956</v>
      </c>
      <c r="I6916" s="7">
        <v>1691400</v>
      </c>
      <c r="J6916" s="8">
        <v>3.6400000000000002E-2</v>
      </c>
    </row>
    <row r="6917" spans="1:10" x14ac:dyDescent="0.25">
      <c r="A6917" s="5" t="s">
        <v>6950</v>
      </c>
      <c r="B6917" s="5" t="s">
        <v>8784</v>
      </c>
      <c r="C6917" s="6" t="str">
        <f>_xll.QS.CONTEXT.CREATE("market.6915",A6917,"USD","SOFR")</f>
        <v>QSObject:PricingContext:w1~market.6915:6249</v>
      </c>
      <c r="D6917" s="6" t="str">
        <f>_xll.QS.CONTEXT.ADD.CURVE(C6917,"SOFR",$K$2:$K$7,$L$2:$L$7,,,"Actual360","LogLinear",TRUE)</f>
        <v>QSObject:ContextInput:w1~input.qs_context_add_curve.2359132437744.6916.3.0:32951</v>
      </c>
      <c r="E6917" s="6" t="str">
        <f>_xll.QS.INSTRUMENT.SWAP("swap.6915",H6917,B6917,"USD","SOFR",I6917,J6917,0,"Actual360","Simple","Annual","Annual","Annual")</f>
        <v>QSObject:Swap:w1~swap.6915:6248</v>
      </c>
      <c r="F6917" s="6" t="str">
        <f>_xll.QS.TRADE.CREATE("trade.6915",E6917,A6917,"Receive")</f>
        <v>QSObject:SwapTrade:w1~trade.6915:24840</v>
      </c>
      <c r="G6917" s="3">
        <f>_xll.QS.EVALUATE(C6917,F6917)</f>
        <v>34773.867765112234</v>
      </c>
      <c r="H6917" s="5" t="s">
        <v>6957</v>
      </c>
      <c r="I6917" s="7">
        <v>1691500</v>
      </c>
      <c r="J6917" s="8">
        <v>3.6499999999999998E-2</v>
      </c>
    </row>
    <row r="6918" spans="1:10" x14ac:dyDescent="0.25">
      <c r="A6918" s="5" t="s">
        <v>6951</v>
      </c>
      <c r="B6918" s="5" t="s">
        <v>8785</v>
      </c>
      <c r="C6918" s="6" t="str">
        <f>_xll.QS.CONTEXT.CREATE("market.6916",A6918,"USD","SOFR")</f>
        <v>QSObject:PricingContext:w1~market.6916:6247</v>
      </c>
      <c r="D6918" s="6" t="str">
        <f>_xll.QS.CONTEXT.ADD.CURVE(C6918,"SOFR",$K$2:$K$7,$L$2:$L$7,,,"Actual360","LogLinear",TRUE)</f>
        <v>QSObject:ContextInput:w1~input.qs_context_add_curve.2359132437744.6917.3.0:32950</v>
      </c>
      <c r="E6918" s="6" t="str">
        <f>_xll.QS.INSTRUMENT.SWAP("swap.6916",H6918,B6918,"USD","SOFR",I6918,J6918,0,"Actual360","Simple","Annual","Annual","Annual")</f>
        <v>QSObject:Swap:w1~swap.6916:6246</v>
      </c>
      <c r="F6918" s="6" t="str">
        <f>_xll.QS.TRADE.CREATE("trade.6916",E6918,A6918,"Receive")</f>
        <v>QSObject:SwapTrade:w1~trade.6916:24839</v>
      </c>
      <c r="G6918" s="3">
        <f>_xll.QS.EVALUATE(C6918,F6918)</f>
        <v>35626.867559660481</v>
      </c>
      <c r="H6918" s="5" t="s">
        <v>6958</v>
      </c>
      <c r="I6918" s="7">
        <v>1691600</v>
      </c>
      <c r="J6918" s="8">
        <v>3.6600000000000001E-2</v>
      </c>
    </row>
    <row r="6919" spans="1:10" x14ac:dyDescent="0.25">
      <c r="A6919" s="5" t="s">
        <v>6952</v>
      </c>
      <c r="B6919" s="5" t="s">
        <v>8786</v>
      </c>
      <c r="C6919" s="6" t="str">
        <f>_xll.QS.CONTEXT.CREATE("market.6917",A6919,"USD","SOFR")</f>
        <v>QSObject:PricingContext:w1~market.6917:6245</v>
      </c>
      <c r="D6919" s="6" t="str">
        <f>_xll.QS.CONTEXT.ADD.CURVE(C6919,"SOFR",$K$2:$K$7,$L$2:$L$7,,,"Actual360","LogLinear",TRUE)</f>
        <v>QSObject:ContextInput:w1~input.qs_context_add_curve.2359132437744.6918.3.0:33494</v>
      </c>
      <c r="E6919" s="6" t="str">
        <f>_xll.QS.INSTRUMENT.SWAP("swap.6917",H6919,B6919,"USD","SOFR",I6919,J6919,0,"Actual360","Simple","Annual","Annual","Annual")</f>
        <v>QSObject:Swap:w1~swap.6917:6244</v>
      </c>
      <c r="F6919" s="6" t="str">
        <f>_xll.QS.TRADE.CREATE("trade.6917",E6919,A6919,"Receive")</f>
        <v>QSObject:SwapTrade:w1~trade.6917:24838</v>
      </c>
      <c r="G6919" s="3">
        <f>_xll.QS.EVALUATE(C6919,F6919)</f>
        <v>36456.401583057304</v>
      </c>
      <c r="H6919" s="5" t="s">
        <v>6959</v>
      </c>
      <c r="I6919" s="7">
        <v>1691700</v>
      </c>
      <c r="J6919" s="8">
        <v>3.6700000000000003E-2</v>
      </c>
    </row>
    <row r="6920" spans="1:10" x14ac:dyDescent="0.25">
      <c r="A6920" s="5" t="s">
        <v>6953</v>
      </c>
      <c r="B6920" s="5" t="s">
        <v>8787</v>
      </c>
      <c r="C6920" s="6" t="str">
        <f>_xll.QS.CONTEXT.CREATE("market.6918",A6920,"USD","SOFR")</f>
        <v>QSObject:PricingContext:w1~market.6918:6243</v>
      </c>
      <c r="D6920" s="6" t="str">
        <f>_xll.QS.CONTEXT.ADD.CURVE(C6920,"SOFR",$K$2:$K$7,$L$2:$L$7,,,"Actual360","LogLinear",TRUE)</f>
        <v>QSObject:ContextInput:w1~input.qs_context_add_curve.2359132437744.6919.3.0:32949</v>
      </c>
      <c r="E6920" s="6" t="str">
        <f>_xll.QS.INSTRUMENT.SWAP("swap.6918",H6920,B6920,"USD","SOFR",I6920,J6920,0,"Actual360","Simple","Annual","Annual","Annual")</f>
        <v>QSObject:Swap:w1~swap.6918:6242</v>
      </c>
      <c r="F6920" s="6" t="str">
        <f>_xll.QS.TRADE.CREATE("trade.6918",E6920,A6920,"Receive")</f>
        <v>QSObject:SwapTrade:w1~trade.6918:24837</v>
      </c>
      <c r="G6920" s="3">
        <f>_xll.QS.EVALUATE(C6920,F6920)</f>
        <v>37362.208608889407</v>
      </c>
      <c r="H6920" s="5" t="s">
        <v>6960</v>
      </c>
      <c r="I6920" s="7">
        <v>1691800</v>
      </c>
      <c r="J6920" s="8">
        <v>3.6800000000000013E-2</v>
      </c>
    </row>
    <row r="6921" spans="1:10" x14ac:dyDescent="0.25">
      <c r="A6921" s="5" t="s">
        <v>6954</v>
      </c>
      <c r="B6921" s="5" t="s">
        <v>8788</v>
      </c>
      <c r="C6921" s="6" t="str">
        <f>_xll.QS.CONTEXT.CREATE("market.6919",A6921,"USD","SOFR")</f>
        <v>QSObject:PricingContext:w1~market.6919:6241</v>
      </c>
      <c r="D6921" s="6" t="str">
        <f>_xll.QS.CONTEXT.ADD.CURVE(C6921,"SOFR",$K$2:$K$7,$L$2:$L$7,,,"Actual360","LogLinear",TRUE)</f>
        <v>QSObject:ContextInput:w1~input.qs_context_add_curve.2359132437744.6920.3.0:32948</v>
      </c>
      <c r="E6921" s="6" t="str">
        <f>_xll.QS.INSTRUMENT.SWAP("swap.6919",H6921,B6921,"USD","SOFR",I6921,J6921,0,"Actual360","Simple","Annual","Annual","Annual")</f>
        <v>QSObject:Swap:w1~swap.6919:6240</v>
      </c>
      <c r="F6921" s="6" t="str">
        <f>_xll.QS.TRADE.CREATE("trade.6919",E6921,A6921,"Receive")</f>
        <v>QSObject:SwapTrade:w1~trade.6919:24836</v>
      </c>
      <c r="G6921" s="3">
        <f>_xll.QS.EVALUATE(C6921,F6921)</f>
        <v>38218.488171467092</v>
      </c>
      <c r="H6921" s="5" t="s">
        <v>6961</v>
      </c>
      <c r="I6921" s="7">
        <v>1691900</v>
      </c>
      <c r="J6921" s="8">
        <v>3.6900000000000002E-2</v>
      </c>
    </row>
    <row r="6922" spans="1:10" x14ac:dyDescent="0.25">
      <c r="A6922" s="5" t="s">
        <v>6955</v>
      </c>
      <c r="B6922" s="5" t="s">
        <v>8789</v>
      </c>
      <c r="C6922" s="6" t="str">
        <f>_xll.QS.CONTEXT.CREATE("market.6920",A6922,"USD","SOFR")</f>
        <v>QSObject:PricingContext:w1~market.6920:6239</v>
      </c>
      <c r="D6922" s="6" t="str">
        <f>_xll.QS.CONTEXT.ADD.CURVE(C6922,"SOFR",$K$2:$K$7,$L$2:$L$7,,,"Actual360","LogLinear",TRUE)</f>
        <v>QSObject:ContextInput:w1~input.qs_context_add_curve.2359132437744.6921.3.0:32947</v>
      </c>
      <c r="E6922" s="6" t="str">
        <f>_xll.QS.INSTRUMENT.SWAP("swap.6920",H6922,B6922,"USD","SOFR",I6922,J6922,0,"Actual360","Simple","Annual","Annual","Annual")</f>
        <v>QSObject:Swap:w1~swap.6920:6238</v>
      </c>
      <c r="F6922" s="6" t="str">
        <f>_xll.QS.TRADE.CREATE("trade.6920",E6922,A6922,"Receive")</f>
        <v>QSObject:SwapTrade:w1~trade.6920:24835</v>
      </c>
      <c r="G6922" s="3">
        <f>_xll.QS.EVALUATE(C6922,F6922)</f>
        <v>38935.836656432839</v>
      </c>
      <c r="H6922" s="5" t="s">
        <v>6962</v>
      </c>
      <c r="I6922" s="7">
        <v>1692000</v>
      </c>
      <c r="J6922" s="8">
        <v>3.7000000000000012E-2</v>
      </c>
    </row>
    <row r="6923" spans="1:10" x14ac:dyDescent="0.25">
      <c r="A6923" s="5" t="s">
        <v>6956</v>
      </c>
      <c r="B6923" s="5" t="s">
        <v>8790</v>
      </c>
      <c r="C6923" s="6" t="str">
        <f>_xll.QS.CONTEXT.CREATE("market.6921",A6923,"USD","SOFR")</f>
        <v>QSObject:PricingContext:w1~market.6921:6237</v>
      </c>
      <c r="D6923" s="6" t="str">
        <f>_xll.QS.CONTEXT.ADD.CURVE(C6923,"SOFR",$K$2:$K$7,$L$2:$L$7,,,"Actual360","LogLinear",TRUE)</f>
        <v>QSObject:ContextInput:w1~input.qs_context_add_curve.2359132437744.6922.3.0:32946</v>
      </c>
      <c r="E6923" s="6" t="str">
        <f>_xll.QS.INSTRUMENT.SWAP("swap.6921",H6923,B6923,"USD","SOFR",I6923,J6923,0,"Actual360","Simple","Annual","Annual","Annual")</f>
        <v>QSObject:Swap:w1~swap.6921:6236</v>
      </c>
      <c r="F6923" s="6" t="str">
        <f>_xll.QS.TRADE.CREATE("trade.6921",E6923,A6923,"Receive")</f>
        <v>QSObject:SwapTrade:w1~trade.6921:24834</v>
      </c>
      <c r="G6923" s="3">
        <f>_xll.QS.EVALUATE(C6923,F6923)</f>
        <v>39600.346789637952</v>
      </c>
      <c r="H6923" s="5" t="s">
        <v>6963</v>
      </c>
      <c r="I6923" s="7">
        <v>1692100</v>
      </c>
      <c r="J6923" s="8">
        <v>3.7100000000000001E-2</v>
      </c>
    </row>
    <row r="6924" spans="1:10" x14ac:dyDescent="0.25">
      <c r="A6924" s="5" t="s">
        <v>6957</v>
      </c>
      <c r="B6924" s="5" t="s">
        <v>8791</v>
      </c>
      <c r="C6924" s="6" t="str">
        <f>_xll.QS.CONTEXT.CREATE("market.6922",A6924,"USD","SOFR")</f>
        <v>QSObject:PricingContext:w1~market.6922:6235</v>
      </c>
      <c r="D6924" s="6" t="str">
        <f>_xll.QS.CONTEXT.ADD.CURVE(C6924,"SOFR",$K$2:$K$7,$L$2:$L$7,,,"Actual360","LogLinear",TRUE)</f>
        <v>QSObject:ContextInput:w1~input.qs_context_add_curve.2359132437744.6923.3.0:32945</v>
      </c>
      <c r="E6924" s="6" t="str">
        <f>_xll.QS.INSTRUMENT.SWAP("swap.6922",H6924,B6924,"USD","SOFR",I6924,J6924,0,"Actual360","Simple","Annual","Annual","Annual")</f>
        <v>QSObject:Swap:w1~swap.6922:6234</v>
      </c>
      <c r="F6924" s="6" t="str">
        <f>_xll.QS.TRADE.CREATE("trade.6922",E6924,A6924,"Receive")</f>
        <v>QSObject:SwapTrade:w1~trade.6922:24833</v>
      </c>
      <c r="G6924" s="3">
        <f>_xll.QS.EVALUATE(C6924,F6924)</f>
        <v>40252.672626248408</v>
      </c>
      <c r="H6924" s="5" t="s">
        <v>6964</v>
      </c>
      <c r="I6924" s="7">
        <v>1692200</v>
      </c>
      <c r="J6924" s="8">
        <v>3.7199999999999997E-2</v>
      </c>
    </row>
    <row r="6925" spans="1:10" x14ac:dyDescent="0.25">
      <c r="A6925" s="5" t="s">
        <v>6958</v>
      </c>
      <c r="B6925" s="5" t="s">
        <v>8792</v>
      </c>
      <c r="C6925" s="6" t="str">
        <f>_xll.QS.CONTEXT.CREATE("market.6923",A6925,"USD","SOFR")</f>
        <v>QSObject:PricingContext:w1~market.6923:6233</v>
      </c>
      <c r="D6925" s="6" t="str">
        <f>_xll.QS.CONTEXT.ADD.CURVE(C6925,"SOFR",$K$2:$K$7,$L$2:$L$7,,,"Actual360","LogLinear",TRUE)</f>
        <v>QSObject:ContextInput:w1~input.qs_context_add_curve.2359132437744.6924.3.0:32944</v>
      </c>
      <c r="E6925" s="6" t="str">
        <f>_xll.QS.INSTRUMENT.SWAP("swap.6923",H6925,B6925,"USD","SOFR",I6925,J6925,0,"Actual360","Simple","Annual","Annual","Annual")</f>
        <v>QSObject:Swap:w1~swap.6923:6232</v>
      </c>
      <c r="F6925" s="6" t="str">
        <f>_xll.QS.TRADE.CREATE("trade.6923",E6925,A6925,"Receive")</f>
        <v>QSObject:SwapTrade:w1~trade.6923:24832</v>
      </c>
      <c r="G6925" s="3">
        <f>_xll.QS.EVALUATE(C6925,F6925)</f>
        <v>41106.876639057882</v>
      </c>
      <c r="H6925" s="5" t="s">
        <v>6965</v>
      </c>
      <c r="I6925" s="7">
        <v>1692300</v>
      </c>
      <c r="J6925" s="8">
        <v>3.73E-2</v>
      </c>
    </row>
    <row r="6926" spans="1:10" x14ac:dyDescent="0.25">
      <c r="A6926" s="5" t="s">
        <v>6959</v>
      </c>
      <c r="B6926" s="5" t="s">
        <v>8793</v>
      </c>
      <c r="C6926" s="6" t="str">
        <f>_xll.QS.CONTEXT.CREATE("market.6924",A6926,"USD","SOFR")</f>
        <v>QSObject:PricingContext:w1~market.6924:6231</v>
      </c>
      <c r="D6926" s="6" t="str">
        <f>_xll.QS.CONTEXT.ADD.CURVE(C6926,"SOFR",$K$2:$K$7,$L$2:$L$7,,,"Actual360","LogLinear",TRUE)</f>
        <v>QSObject:ContextInput:w1~input.qs_context_add_curve.2359132437744.6925.3.0:32943</v>
      </c>
      <c r="E6926" s="6" t="str">
        <f>_xll.QS.INSTRUMENT.SWAP("swap.6924",H6926,B6926,"USD","SOFR",I6926,J6926,0,"Actual360","Simple","Annual","Annual","Annual")</f>
        <v>QSObject:Swap:w1~swap.6924:6230</v>
      </c>
      <c r="F6926" s="6" t="str">
        <f>_xll.QS.TRADE.CREATE("trade.6924",E6926,A6926,"Receive")</f>
        <v>QSObject:SwapTrade:w1~trade.6924:24831</v>
      </c>
      <c r="G6926" s="3">
        <f>_xll.QS.EVALUATE(C6926,F6926)</f>
        <v>41934.425848939631</v>
      </c>
      <c r="H6926" s="5" t="s">
        <v>6966</v>
      </c>
      <c r="I6926" s="7">
        <v>1692400</v>
      </c>
      <c r="J6926" s="8">
        <v>3.7400000000000003E-2</v>
      </c>
    </row>
    <row r="6927" spans="1:10" x14ac:dyDescent="0.25">
      <c r="A6927" s="5" t="s">
        <v>6960</v>
      </c>
      <c r="B6927" s="5" t="s">
        <v>8794</v>
      </c>
      <c r="C6927" s="6" t="str">
        <f>_xll.QS.CONTEXT.CREATE("market.6925",A6927,"USD","SOFR")</f>
        <v>QSObject:PricingContext:w1~market.6925:6229</v>
      </c>
      <c r="D6927" s="6" t="str">
        <f>_xll.QS.CONTEXT.ADD.CURVE(C6927,"SOFR",$K$2:$K$7,$L$2:$L$7,,,"Actual360","LogLinear",TRUE)</f>
        <v>QSObject:ContextInput:w1~input.qs_context_add_curve.2359132437744.6926.3.0:33493</v>
      </c>
      <c r="E6927" s="6" t="str">
        <f>_xll.QS.INSTRUMENT.SWAP("swap.6925",H6927,B6927,"USD","SOFR",I6927,J6927,0,"Actual360","Simple","Annual","Annual","Annual")</f>
        <v>QSObject:Swap:w1~swap.6925:6228</v>
      </c>
      <c r="F6927" s="6" t="str">
        <f>_xll.QS.TRADE.CREATE("trade.6925",E6927,A6927,"Receive")</f>
        <v>QSObject:SwapTrade:w1~trade.6925:24830</v>
      </c>
      <c r="G6927" s="3">
        <f>_xll.QS.EVALUATE(C6927,F6927)</f>
        <v>42840.622489982758</v>
      </c>
      <c r="H6927" s="5" t="s">
        <v>6967</v>
      </c>
      <c r="I6927" s="7">
        <v>1692500</v>
      </c>
      <c r="J6927" s="8">
        <v>3.7500000000000012E-2</v>
      </c>
    </row>
    <row r="6928" spans="1:10" x14ac:dyDescent="0.25">
      <c r="A6928" s="5" t="s">
        <v>6961</v>
      </c>
      <c r="B6928" s="5" t="s">
        <v>8795</v>
      </c>
      <c r="C6928" s="6" t="str">
        <f>_xll.QS.CONTEXT.CREATE("market.6926",A6928,"USD","SOFR")</f>
        <v>QSObject:PricingContext:w1~market.6926:6227</v>
      </c>
      <c r="D6928" s="6" t="str">
        <f>_xll.QS.CONTEXT.ADD.CURVE(C6928,"SOFR",$K$2:$K$7,$L$2:$L$7,,,"Actual360","LogLinear",TRUE)</f>
        <v>QSObject:ContextInput:w1~input.qs_context_add_curve.2359132437744.6927.3.0:32942</v>
      </c>
      <c r="E6928" s="6" t="str">
        <f>_xll.QS.INSTRUMENT.SWAP("swap.6926",H6928,B6928,"USD","SOFR",I6928,J6928,0,"Actual360","Simple","Annual","Annual","Annual")</f>
        <v>QSObject:Swap:w1~swap.6926:6226</v>
      </c>
      <c r="F6928" s="6" t="str">
        <f>_xll.QS.TRADE.CREATE("trade.6926",E6928,A6928,"Receive")</f>
        <v>QSObject:SwapTrade:w1~trade.6926:24829</v>
      </c>
      <c r="G6928" s="3">
        <f>_xll.QS.EVALUATE(C6928,F6928)</f>
        <v>43688.385763880884</v>
      </c>
      <c r="H6928" s="5" t="s">
        <v>6968</v>
      </c>
      <c r="I6928" s="7">
        <v>1692600</v>
      </c>
      <c r="J6928" s="8">
        <v>3.7600000000000001E-2</v>
      </c>
    </row>
    <row r="6929" spans="1:10" x14ac:dyDescent="0.25">
      <c r="A6929" s="5" t="s">
        <v>6962</v>
      </c>
      <c r="B6929" s="5" t="s">
        <v>8796</v>
      </c>
      <c r="C6929" s="6" t="str">
        <f>_xll.QS.CONTEXT.CREATE("market.6927",A6929,"USD","SOFR")</f>
        <v>QSObject:PricingContext:w1~market.6927:6225</v>
      </c>
      <c r="D6929" s="6" t="str">
        <f>_xll.QS.CONTEXT.ADD.CURVE(C6929,"SOFR",$K$2:$K$7,$L$2:$L$7,,,"Actual360","LogLinear",TRUE)</f>
        <v>QSObject:ContextInput:w1~input.qs_context_add_curve.2359132437744.6928.3.0:32941</v>
      </c>
      <c r="E6929" s="6" t="str">
        <f>_xll.QS.INSTRUMENT.SWAP("swap.6927",H6929,B6929,"USD","SOFR",I6929,J6929,0,"Actual360","Simple","Annual","Annual","Annual")</f>
        <v>QSObject:Swap:w1~swap.6927:6224</v>
      </c>
      <c r="F6929" s="6" t="str">
        <f>_xll.QS.TRADE.CREATE("trade.6927",E6929,A6929,"Receive")</f>
        <v>QSObject:SwapTrade:w1~trade.6927:24828</v>
      </c>
      <c r="G6929" s="3">
        <f>_xll.QS.EVALUATE(C6929,F6929)</f>
        <v>44479.540919927778</v>
      </c>
      <c r="H6929" s="5" t="s">
        <v>6969</v>
      </c>
      <c r="I6929" s="7">
        <v>1692700</v>
      </c>
      <c r="J6929" s="8">
        <v>3.7699999999999997E-2</v>
      </c>
    </row>
    <row r="6930" spans="1:10" x14ac:dyDescent="0.25">
      <c r="A6930" s="5" t="s">
        <v>6963</v>
      </c>
      <c r="B6930" s="5" t="s">
        <v>8797</v>
      </c>
      <c r="C6930" s="6" t="str">
        <f>_xll.QS.CONTEXT.CREATE("market.6928",A6930,"USD","SOFR")</f>
        <v>QSObject:PricingContext:w1~market.6928:6223</v>
      </c>
      <c r="D6930" s="6" t="str">
        <f>_xll.QS.CONTEXT.ADD.CURVE(C6930,"SOFR",$K$2:$K$7,$L$2:$L$7,,,"Actual360","LogLinear",TRUE)</f>
        <v>QSObject:ContextInput:w1~input.qs_context_add_curve.2359132437744.6929.3.0:33492</v>
      </c>
      <c r="E6930" s="6" t="str">
        <f>_xll.QS.INSTRUMENT.SWAP("swap.6928",H6930,B6930,"USD","SOFR",I6930,J6930,0,"Actual360","Simple","Annual","Annual","Annual")</f>
        <v>QSObject:Swap:w1~swap.6928:6222</v>
      </c>
      <c r="F6930" s="6" t="str">
        <f>_xll.QS.TRADE.CREATE("trade.6928",E6930,A6930,"Receive")</f>
        <v>QSObject:SwapTrade:w1~trade.6928:24827</v>
      </c>
      <c r="G6930" s="3">
        <f>_xll.QS.EVALUATE(C6930,F6930)</f>
        <v>45138.24329380269</v>
      </c>
      <c r="H6930" s="5" t="s">
        <v>6970</v>
      </c>
      <c r="I6930" s="7">
        <v>1692800</v>
      </c>
      <c r="J6930" s="8">
        <v>3.78E-2</v>
      </c>
    </row>
    <row r="6931" spans="1:10" x14ac:dyDescent="0.25">
      <c r="A6931" s="5" t="s">
        <v>6964</v>
      </c>
      <c r="B6931" s="5" t="s">
        <v>8798</v>
      </c>
      <c r="C6931" s="6" t="str">
        <f>_xll.QS.CONTEXT.CREATE("market.6929",A6931,"USD","SOFR")</f>
        <v>QSObject:PricingContext:w1~market.6929:6221</v>
      </c>
      <c r="D6931" s="6" t="str">
        <f>_xll.QS.CONTEXT.ADD.CURVE(C6931,"SOFR",$K$2:$K$7,$L$2:$L$7,,,"Actual360","LogLinear",TRUE)</f>
        <v>QSObject:ContextInput:w1~input.qs_context_add_curve.2359132437744.6930.3.0:33491</v>
      </c>
      <c r="E6931" s="6" t="str">
        <f>_xll.QS.INSTRUMENT.SWAP("swap.6929",H6931,B6931,"USD","SOFR",I6931,J6931,0,"Actual360","Simple","Annual","Annual","Annual")</f>
        <v>QSObject:Swap:w1~swap.6929:6220</v>
      </c>
      <c r="F6931" s="6" t="str">
        <f>_xll.QS.TRADE.CREATE("trade.6929",E6931,A6931,"Receive")</f>
        <v>QSObject:SwapTrade:w1~trade.6929:24826</v>
      </c>
      <c r="G6931" s="3">
        <f>_xll.QS.EVALUATE(C6931,F6931)</f>
        <v>45799.349757924152</v>
      </c>
      <c r="H6931" s="5" t="s">
        <v>6971</v>
      </c>
      <c r="I6931" s="7">
        <v>1692900</v>
      </c>
      <c r="J6931" s="8">
        <v>3.7900000000000003E-2</v>
      </c>
    </row>
    <row r="6932" spans="1:10" x14ac:dyDescent="0.25">
      <c r="A6932" s="5" t="s">
        <v>6965</v>
      </c>
      <c r="B6932" s="5" t="s">
        <v>8799</v>
      </c>
      <c r="C6932" s="6" t="str">
        <f>_xll.QS.CONTEXT.CREATE("market.6930",A6932,"USD","SOFR")</f>
        <v>QSObject:PricingContext:w1~market.6930:6219</v>
      </c>
      <c r="D6932" s="6" t="str">
        <f>_xll.QS.CONTEXT.ADD.CURVE(C6932,"SOFR",$K$2:$K$7,$L$2:$L$7,,,"Actual360","LogLinear",TRUE)</f>
        <v>QSObject:ContextInput:w1~input.qs_context_add_curve.2359132437744.6931.3.0:32940</v>
      </c>
      <c r="E6932" s="6" t="str">
        <f>_xll.QS.INSTRUMENT.SWAP("swap.6930",H6932,B6932,"USD","SOFR",I6932,J6932,0,"Actual360","Simple","Annual","Annual","Annual")</f>
        <v>QSObject:Swap:w1~swap.6930:6218</v>
      </c>
      <c r="F6932" s="6" t="str">
        <f>_xll.QS.TRADE.CREATE("trade.6930",E6932,A6932,"Receive")</f>
        <v>QSObject:SwapTrade:w1~trade.6930:24825</v>
      </c>
      <c r="G6932" s="3">
        <f>_xll.QS.EVALUATE(C6932,F6932)</f>
        <v>46655.248516492815</v>
      </c>
      <c r="H6932" s="5" t="s">
        <v>6972</v>
      </c>
      <c r="I6932" s="7">
        <v>1693000</v>
      </c>
      <c r="J6932" s="8">
        <v>3.8000000000000013E-2</v>
      </c>
    </row>
    <row r="6933" spans="1:10" x14ac:dyDescent="0.25">
      <c r="A6933" s="5" t="s">
        <v>6966</v>
      </c>
      <c r="B6933" s="5" t="s">
        <v>8800</v>
      </c>
      <c r="C6933" s="6" t="str">
        <f>_xll.QS.CONTEXT.CREATE("market.6931",A6933,"USD","SOFR")</f>
        <v>QSObject:PricingContext:w1~market.6931:6217</v>
      </c>
      <c r="D6933" s="6" t="str">
        <f>_xll.QS.CONTEXT.ADD.CURVE(C6933,"SOFR",$K$2:$K$7,$L$2:$L$7,,,"Actual360","LogLinear",TRUE)</f>
        <v>QSObject:ContextInput:w1~input.qs_context_add_curve.2359132437744.6932.3.0:32939</v>
      </c>
      <c r="E6933" s="6" t="str">
        <f>_xll.QS.INSTRUMENT.SWAP("swap.6931",H6933,B6933,"USD","SOFR",I6933,J6933,0,"Actual360","Simple","Annual","Annual","Annual")</f>
        <v>QSObject:Swap:w1~swap.6931:6216</v>
      </c>
      <c r="F6933" s="6" t="str">
        <f>_xll.QS.TRADE.CREATE("trade.6931",E6933,A6933,"Receive")</f>
        <v>QSObject:SwapTrade:w1~trade.6931:24824</v>
      </c>
      <c r="G6933" s="3">
        <f>_xll.QS.EVALUATE(C6933,F6933)</f>
        <v>47608.232022482829</v>
      </c>
      <c r="H6933" s="5" t="s">
        <v>6973</v>
      </c>
      <c r="I6933" s="7">
        <v>1693100</v>
      </c>
      <c r="J6933" s="8">
        <v>3.8100000000000002E-2</v>
      </c>
    </row>
    <row r="6934" spans="1:10" x14ac:dyDescent="0.25">
      <c r="A6934" s="5" t="s">
        <v>6967</v>
      </c>
      <c r="B6934" s="5" t="s">
        <v>8801</v>
      </c>
      <c r="C6934" s="6" t="str">
        <f>_xll.QS.CONTEXT.CREATE("market.6932",A6934,"USD","SOFR")</f>
        <v>QSObject:PricingContext:w1~market.6932:6215</v>
      </c>
      <c r="D6934" s="6" t="str">
        <f>_xll.QS.CONTEXT.ADD.CURVE(C6934,"SOFR",$K$2:$K$7,$L$2:$L$7,,,"Actual360","LogLinear",TRUE)</f>
        <v>QSObject:ContextInput:w1~input.qs_context_add_curve.2359132437744.6933.3.0:33490</v>
      </c>
      <c r="E6934" s="6" t="str">
        <f>_xll.QS.INSTRUMENT.SWAP("swap.6932",H6934,B6934,"USD","SOFR",I6934,J6934,0,"Actual360","Simple","Annual","Annual","Annual")</f>
        <v>QSObject:Swap:w1~swap.6932:6214</v>
      </c>
      <c r="F6934" s="6" t="str">
        <f>_xll.QS.TRADE.CREATE("trade.6932",E6934,A6934,"Receive")</f>
        <v>QSObject:SwapTrade:w1~trade.6932:24823</v>
      </c>
      <c r="G6934" s="3">
        <f>_xll.QS.EVALUATE(C6934,F6934)</f>
        <v>48403.562212562931</v>
      </c>
      <c r="H6934" s="5" t="s">
        <v>6974</v>
      </c>
      <c r="I6934" s="7">
        <v>1693200</v>
      </c>
      <c r="J6934" s="8">
        <v>3.8199999999999998E-2</v>
      </c>
    </row>
    <row r="6935" spans="1:10" x14ac:dyDescent="0.25">
      <c r="A6935" s="5" t="s">
        <v>6968</v>
      </c>
      <c r="B6935" s="5" t="s">
        <v>8802</v>
      </c>
      <c r="C6935" s="6" t="str">
        <f>_xll.QS.CONTEXT.CREATE("market.6933",A6935,"USD","SOFR")</f>
        <v>QSObject:PricingContext:w1~market.6933:6213</v>
      </c>
      <c r="D6935" s="6" t="str">
        <f>_xll.QS.CONTEXT.ADD.CURVE(C6935,"SOFR",$K$2:$K$7,$L$2:$L$7,,,"Actual360","LogLinear",TRUE)</f>
        <v>QSObject:ContextInput:w1~input.qs_context_add_curve.2359132437744.6934.3.0:32938</v>
      </c>
      <c r="E6935" s="6" t="str">
        <f>_xll.QS.INSTRUMENT.SWAP("swap.6933",H6935,B6935,"USD","SOFR",I6935,J6935,0,"Actual360","Simple","Annual","Annual","Annual")</f>
        <v>QSObject:Swap:w1~swap.6933:6212</v>
      </c>
      <c r="F6935" s="6" t="str">
        <f>_xll.QS.TRADE.CREATE("trade.6933",E6935,A6935,"Receive")</f>
        <v>QSObject:SwapTrade:w1~trade.6933:24822</v>
      </c>
      <c r="G6935" s="3">
        <f>_xll.QS.EVALUATE(C6935,F6935)</f>
        <v>49172.959015412584</v>
      </c>
      <c r="H6935" s="5" t="s">
        <v>6975</v>
      </c>
      <c r="I6935" s="7">
        <v>1693300</v>
      </c>
      <c r="J6935" s="8">
        <v>3.8300000000000001E-2</v>
      </c>
    </row>
    <row r="6936" spans="1:10" x14ac:dyDescent="0.25">
      <c r="A6936" s="5" t="s">
        <v>6969</v>
      </c>
      <c r="B6936" s="5" t="s">
        <v>8803</v>
      </c>
      <c r="C6936" s="6" t="str">
        <f>_xll.QS.CONTEXT.CREATE("market.6934",A6936,"USD","SOFR")</f>
        <v>QSObject:PricingContext:w1~market.6934:6211</v>
      </c>
      <c r="D6936" s="6" t="str">
        <f>_xll.QS.CONTEXT.ADD.CURVE(C6936,"SOFR",$K$2:$K$7,$L$2:$L$7,,,"Actual360","LogLinear",TRUE)</f>
        <v>QSObject:ContextInput:w1~input.qs_context_add_curve.2359132437744.6935.3.0:32937</v>
      </c>
      <c r="E6936" s="6" t="str">
        <f>_xll.QS.INSTRUMENT.SWAP("swap.6934",H6936,B6936,"USD","SOFR",I6936,J6936,0,"Actual360","Simple","Annual","Annual","Annual")</f>
        <v>QSObject:Swap:w1~swap.6934:6210</v>
      </c>
      <c r="F6936" s="6" t="str">
        <f>_xll.QS.TRADE.CREATE("trade.6934",E6936,A6936,"Receive")</f>
        <v>QSObject:SwapTrade:w1~trade.6934:24821</v>
      </c>
      <c r="G6936" s="3">
        <f>_xll.QS.EVALUATE(C6936,F6936)</f>
        <v>49964.412741607157</v>
      </c>
      <c r="H6936" s="5" t="s">
        <v>6976</v>
      </c>
      <c r="I6936" s="7">
        <v>1693400</v>
      </c>
      <c r="J6936" s="8">
        <v>3.8399999999999997E-2</v>
      </c>
    </row>
    <row r="6937" spans="1:10" x14ac:dyDescent="0.25">
      <c r="A6937" s="5" t="s">
        <v>6970</v>
      </c>
      <c r="B6937" s="5" t="s">
        <v>8804</v>
      </c>
      <c r="C6937" s="6" t="str">
        <f>_xll.QS.CONTEXT.CREATE("market.6935",A6937,"USD","SOFR")</f>
        <v>QSObject:PricingContext:w1~market.6935:6209</v>
      </c>
      <c r="D6937" s="6" t="str">
        <f>_xll.QS.CONTEXT.ADD.CURVE(C6937,"SOFR",$K$2:$K$7,$L$2:$L$7,,,"Actual360","LogLinear",TRUE)</f>
        <v>QSObject:ContextInput:w1~input.qs_context_add_curve.2359132437744.6936.3.0:32936</v>
      </c>
      <c r="E6937" s="6" t="str">
        <f>_xll.QS.INSTRUMENT.SWAP("swap.6935",H6937,B6937,"USD","SOFR",I6937,J6937,0,"Actual360","Simple","Annual","Annual","Annual")</f>
        <v>QSObject:Swap:w1~swap.6935:6208</v>
      </c>
      <c r="F6937" s="6" t="str">
        <f>_xll.QS.TRADE.CREATE("trade.6935",E6937,A6937,"Receive")</f>
        <v>QSObject:SwapTrade:w1~trade.6935:24820</v>
      </c>
      <c r="G6937" s="3">
        <f>_xll.QS.EVALUATE(C6937,F6937)</f>
        <v>50617.269632759693</v>
      </c>
      <c r="H6937" s="5" t="s">
        <v>6977</v>
      </c>
      <c r="I6937" s="7">
        <v>1693500</v>
      </c>
      <c r="J6937" s="8">
        <v>3.8500000000000013E-2</v>
      </c>
    </row>
    <row r="6938" spans="1:10" x14ac:dyDescent="0.25">
      <c r="A6938" s="5" t="s">
        <v>6971</v>
      </c>
      <c r="B6938" s="5" t="s">
        <v>8805</v>
      </c>
      <c r="C6938" s="6" t="str">
        <f>_xll.QS.CONTEXT.CREATE("market.6936",A6938,"USD","SOFR")</f>
        <v>QSObject:PricingContext:w1~market.6936:6207</v>
      </c>
      <c r="D6938" s="6" t="str">
        <f>_xll.QS.CONTEXT.ADD.CURVE(C6938,"SOFR",$K$2:$K$7,$L$2:$L$7,,,"Actual360","LogLinear",TRUE)</f>
        <v>QSObject:ContextInput:w1~input.qs_context_add_curve.2359132437744.6937.3.0:32935</v>
      </c>
      <c r="E6938" s="6" t="str">
        <f>_xll.QS.INSTRUMENT.SWAP("swap.6936",H6938,B6938,"USD","SOFR",I6938,J6938,0,"Actual360","Simple","Annual","Annual","Annual")</f>
        <v>QSObject:Swap:w1~swap.6936:6206</v>
      </c>
      <c r="F6938" s="6" t="str">
        <f>_xll.QS.TRADE.CREATE("trade.6936",E6938,A6938,"Receive")</f>
        <v>QSObject:SwapTrade:w1~trade.6936:24819</v>
      </c>
      <c r="G6938" s="3">
        <f>_xll.QS.EVALUATE(C6938,F6938)</f>
        <v>51287.610553023085</v>
      </c>
      <c r="H6938" s="5" t="s">
        <v>6978</v>
      </c>
      <c r="I6938" s="7">
        <v>1693600</v>
      </c>
      <c r="J6938" s="8">
        <v>3.8600000000000002E-2</v>
      </c>
    </row>
    <row r="6939" spans="1:10" x14ac:dyDescent="0.25">
      <c r="A6939" s="5" t="s">
        <v>6972</v>
      </c>
      <c r="B6939" s="5" t="s">
        <v>8806</v>
      </c>
      <c r="C6939" s="6" t="str">
        <f>_xll.QS.CONTEXT.CREATE("market.6937",A6939,"USD","SOFR")</f>
        <v>QSObject:PricingContext:w1~market.6937:6205</v>
      </c>
      <c r="D6939" s="6" t="str">
        <f>_xll.QS.CONTEXT.ADD.CURVE(C6939,"SOFR",$K$2:$K$7,$L$2:$L$7,,,"Actual360","LogLinear",TRUE)</f>
        <v>QSObject:ContextInput:w1~input.qs_context_add_curve.2359132437744.6938.3.0:32934</v>
      </c>
      <c r="E6939" s="6" t="str">
        <f>_xll.QS.INSTRUMENT.SWAP("swap.6937",H6939,B6939,"USD","SOFR",I6939,J6939,0,"Actual360","Simple","Annual","Annual","Annual")</f>
        <v>QSObject:Swap:w1~swap.6937:6204</v>
      </c>
      <c r="F6939" s="6" t="str">
        <f>_xll.QS.TRADE.CREATE("trade.6937",E6939,A6939,"Receive")</f>
        <v>QSObject:SwapTrade:w1~trade.6937:24818</v>
      </c>
      <c r="G6939" s="3">
        <f>_xll.QS.EVALUATE(C6939,F6939)</f>
        <v>52143.082736495344</v>
      </c>
      <c r="H6939" s="5" t="s">
        <v>6979</v>
      </c>
      <c r="I6939" s="7">
        <v>1693700</v>
      </c>
      <c r="J6939" s="8">
        <v>3.8700000000000012E-2</v>
      </c>
    </row>
    <row r="6940" spans="1:10" x14ac:dyDescent="0.25">
      <c r="A6940" s="5" t="s">
        <v>6973</v>
      </c>
      <c r="B6940" s="5" t="s">
        <v>8807</v>
      </c>
      <c r="C6940" s="6" t="str">
        <f>_xll.QS.CONTEXT.CREATE("market.6938",A6940,"USD","SOFR")</f>
        <v>QSObject:PricingContext:w1~market.6938:6203</v>
      </c>
      <c r="D6940" s="6" t="str">
        <f>_xll.QS.CONTEXT.ADD.CURVE(C6940,"SOFR",$K$2:$K$7,$L$2:$L$7,,,"Actual360","LogLinear",TRUE)</f>
        <v>QSObject:ContextInput:w1~input.qs_context_add_curve.2359132437744.6939.3.0:32933</v>
      </c>
      <c r="E6940" s="6" t="str">
        <f>_xll.QS.INSTRUMENT.SWAP("swap.6938",H6940,B6940,"USD","SOFR",I6940,J6940,0,"Actual360","Simple","Annual","Annual","Annual")</f>
        <v>QSObject:Swap:w1~swap.6938:6202</v>
      </c>
      <c r="F6940" s="6" t="str">
        <f>_xll.QS.TRADE.CREATE("trade.6938",E6940,A6940,"Receive")</f>
        <v>QSObject:SwapTrade:w1~trade.6938:24817</v>
      </c>
      <c r="G6940" s="3">
        <f>_xll.QS.EVALUATE(C6940,F6940)</f>
        <v>53095.517095464398</v>
      </c>
      <c r="H6940" s="5" t="s">
        <v>6980</v>
      </c>
      <c r="I6940" s="7">
        <v>1693800</v>
      </c>
      <c r="J6940" s="8">
        <v>3.8800000000000001E-2</v>
      </c>
    </row>
    <row r="6941" spans="1:10" x14ac:dyDescent="0.25">
      <c r="A6941" s="5" t="s">
        <v>6974</v>
      </c>
      <c r="B6941" s="5" t="s">
        <v>8808</v>
      </c>
      <c r="C6941" s="6" t="str">
        <f>_xll.QS.CONTEXT.CREATE("market.6939",A6941,"USD","SOFR")</f>
        <v>QSObject:PricingContext:w1~market.6939:6201</v>
      </c>
      <c r="D6941" s="6" t="str">
        <f>_xll.QS.CONTEXT.ADD.CURVE(C6941,"SOFR",$K$2:$K$7,$L$2:$L$7,,,"Actual360","LogLinear",TRUE)</f>
        <v>QSObject:ContextInput:w1~input.qs_context_add_curve.2359132437744.6940.3.0:33489</v>
      </c>
      <c r="E6941" s="6" t="str">
        <f>_xll.QS.INSTRUMENT.SWAP("swap.6939",H6941,B6941,"USD","SOFR",I6941,J6941,0,"Actual360","Simple","Annual","Annual","Annual")</f>
        <v>QSObject:Swap:w1~swap.6939:6200</v>
      </c>
      <c r="F6941" s="6" t="str">
        <f>_xll.QS.TRADE.CREATE("trade.6939",E6941,A6941,"Receive")</f>
        <v>QSObject:SwapTrade:w1~trade.6939:24816</v>
      </c>
      <c r="G6941" s="3">
        <f>_xll.QS.EVALUATE(C6941,F6941)</f>
        <v>53891.270096291097</v>
      </c>
      <c r="H6941" s="5" t="s">
        <v>6981</v>
      </c>
      <c r="I6941" s="7">
        <v>1693900</v>
      </c>
      <c r="J6941" s="8">
        <v>3.8899999999999997E-2</v>
      </c>
    </row>
    <row r="6942" spans="1:10" x14ac:dyDescent="0.25">
      <c r="A6942" s="5" t="s">
        <v>6975</v>
      </c>
      <c r="B6942" s="5" t="s">
        <v>8809</v>
      </c>
      <c r="C6942" s="6" t="str">
        <f>_xll.QS.CONTEXT.CREATE("market.6940",A6942,"USD","SOFR")</f>
        <v>QSObject:PricingContext:w1~market.6940:6199</v>
      </c>
      <c r="D6942" s="6" t="str">
        <f>_xll.QS.CONTEXT.ADD.CURVE(C6942,"SOFR",$K$2:$K$7,$L$2:$L$7,,,"Actual360","LogLinear",TRUE)</f>
        <v>QSObject:ContextInput:w1~input.qs_context_add_curve.2359132437744.6941.3.0:33488</v>
      </c>
      <c r="E6942" s="6" t="str">
        <f>_xll.QS.INSTRUMENT.SWAP("swap.6940",H6942,B6942,"USD","SOFR",I6942,J6942,0,"Actual360","Simple","Annual","Annual","Annual")</f>
        <v>QSObject:Swap:w1~swap.6940:6198</v>
      </c>
      <c r="F6942" s="6" t="str">
        <f>_xll.QS.TRADE.CREATE("trade.6940",E6942,A6942,"Receive")</f>
        <v>QSObject:SwapTrade:w1~trade.6940:24815</v>
      </c>
      <c r="G6942" s="3">
        <f>_xll.QS.EVALUATE(C6942,F6942)</f>
        <v>54670.668534286808</v>
      </c>
      <c r="H6942" s="5" t="s">
        <v>6982</v>
      </c>
      <c r="I6942" s="7">
        <v>1694000</v>
      </c>
      <c r="J6942" s="8">
        <v>3.9000000000000007E-2</v>
      </c>
    </row>
    <row r="6943" spans="1:10" x14ac:dyDescent="0.25">
      <c r="A6943" s="5" t="s">
        <v>6976</v>
      </c>
      <c r="B6943" s="5" t="s">
        <v>8810</v>
      </c>
      <c r="C6943" s="6" t="str">
        <f>_xll.QS.CONTEXT.CREATE("market.6941",A6943,"USD","SOFR")</f>
        <v>QSObject:PricingContext:w1~market.6941:6197</v>
      </c>
      <c r="D6943" s="6" t="str">
        <f>_xll.QS.CONTEXT.ADD.CURVE(C6943,"SOFR",$K$2:$K$7,$L$2:$L$7,,,"Actual360","LogLinear",TRUE)</f>
        <v>QSObject:ContextInput:w1~input.qs_context_add_curve.2359132437744.6942.3.0:32932</v>
      </c>
      <c r="E6943" s="6" t="str">
        <f>_xll.QS.INSTRUMENT.SWAP("swap.6941",H6943,B6943,"USD","SOFR",I6943,J6943,0,"Actual360","Simple","Annual","Annual","Annual")</f>
        <v>QSObject:Swap:w1~swap.6941:6196</v>
      </c>
      <c r="F6943" s="6" t="str">
        <f>_xll.QS.TRADE.CREATE("trade.6941",E6943,A6943,"Receive")</f>
        <v>QSObject:SwapTrade:w1~trade.6941:24814</v>
      </c>
      <c r="G6943" s="3">
        <f>_xll.QS.EVALUATE(C6943,F6943)</f>
        <v>55389.69566079331</v>
      </c>
      <c r="H6943" s="5" t="s">
        <v>6983</v>
      </c>
      <c r="I6943" s="7">
        <v>1694100</v>
      </c>
      <c r="J6943" s="8">
        <v>3.9100000000000003E-2</v>
      </c>
    </row>
    <row r="6944" spans="1:10" x14ac:dyDescent="0.25">
      <c r="A6944" s="5" t="s">
        <v>6977</v>
      </c>
      <c r="B6944" s="5" t="s">
        <v>8811</v>
      </c>
      <c r="C6944" s="6" t="str">
        <f>_xll.QS.CONTEXT.CREATE("market.6942",A6944,"USD","SOFR")</f>
        <v>QSObject:PricingContext:w1~market.6942:6195</v>
      </c>
      <c r="D6944" s="6" t="str">
        <f>_xll.QS.CONTEXT.ADD.CURVE(C6944,"SOFR",$K$2:$K$7,$L$2:$L$7,,,"Actual360","LogLinear",TRUE)</f>
        <v>QSObject:ContextInput:w1~input.qs_context_add_curve.2359132437744.6943.3.0:32931</v>
      </c>
      <c r="E6944" s="6" t="str">
        <f>_xll.QS.INSTRUMENT.SWAP("swap.6942",H6944,B6944,"USD","SOFR",I6944,J6944,0,"Actual360","Simple","Annual","Annual","Annual")</f>
        <v>QSObject:Swap:w1~swap.6942:6194</v>
      </c>
      <c r="F6944" s="6" t="str">
        <f>_xll.QS.TRADE.CREATE("trade.6942",E6944,A6944,"Receive")</f>
        <v>QSObject:SwapTrade:w1~trade.6942:24813</v>
      </c>
      <c r="G6944" s="3">
        <f>_xll.QS.EVALUATE(C6944,F6944)</f>
        <v>56036.675620000278</v>
      </c>
      <c r="H6944" s="5" t="s">
        <v>6984</v>
      </c>
      <c r="I6944" s="7">
        <v>1694200</v>
      </c>
      <c r="J6944" s="8">
        <v>3.9200000000000013E-2</v>
      </c>
    </row>
    <row r="6945" spans="1:10" x14ac:dyDescent="0.25">
      <c r="A6945" s="5" t="s">
        <v>6978</v>
      </c>
      <c r="B6945" s="5" t="s">
        <v>8812</v>
      </c>
      <c r="C6945" s="6" t="str">
        <f>_xll.QS.CONTEXT.CREATE("market.6943",A6945,"USD","SOFR")</f>
        <v>QSObject:PricingContext:w1~market.6943:6193</v>
      </c>
      <c r="D6945" s="6" t="str">
        <f>_xll.QS.CONTEXT.ADD.CURVE(C6945,"SOFR",$K$2:$K$7,$L$2:$L$7,,,"Actual360","LogLinear",TRUE)</f>
        <v>QSObject:ContextInput:w1~input.qs_context_add_curve.2359132437744.6944.3.0:33487</v>
      </c>
      <c r="E6945" s="6" t="str">
        <f>_xll.QS.INSTRUMENT.SWAP("swap.6943",H6945,B6945,"USD","SOFR",I6945,J6945,0,"Actual360","Simple","Annual","Annual","Annual")</f>
        <v>QSObject:Swap:w1~swap.6943:6192</v>
      </c>
      <c r="F6945" s="6" t="str">
        <f>_xll.QS.TRADE.CREATE("trade.6943",E6945,A6945,"Receive")</f>
        <v>QSObject:SwapTrade:w1~trade.6943:24812</v>
      </c>
      <c r="G6945" s="3">
        <f>_xll.QS.EVALUATE(C6945,F6945)</f>
        <v>56716.212301109153</v>
      </c>
      <c r="H6945" s="5" t="s">
        <v>6985</v>
      </c>
      <c r="I6945" s="7">
        <v>1694300</v>
      </c>
      <c r="J6945" s="8">
        <v>3.9300000000000002E-2</v>
      </c>
    </row>
    <row r="6946" spans="1:10" x14ac:dyDescent="0.25">
      <c r="A6946" s="5" t="s">
        <v>6979</v>
      </c>
      <c r="B6946" s="5" t="s">
        <v>8813</v>
      </c>
      <c r="C6946" s="6" t="str">
        <f>_xll.QS.CONTEXT.CREATE("market.6944",A6946,"USD","SOFR")</f>
        <v>QSObject:PricingContext:w1~market.6944:6191</v>
      </c>
      <c r="D6946" s="6" t="str">
        <f>_xll.QS.CONTEXT.ADD.CURVE(C6946,"SOFR",$K$2:$K$7,$L$2:$L$7,,,"Actual360","LogLinear",TRUE)</f>
        <v>QSObject:ContextInput:w1~input.qs_context_add_curve.2359132437744.6945.3.0:32930</v>
      </c>
      <c r="E6946" s="6" t="str">
        <f>_xll.QS.INSTRUMENT.SWAP("swap.6944",H6946,B6946,"USD","SOFR",I6946,J6946,0,"Actual360","Simple","Annual","Annual","Annual")</f>
        <v>QSObject:Swap:w1~swap.6944:6190</v>
      </c>
      <c r="F6946" s="6" t="str">
        <f>_xll.QS.TRADE.CREATE("trade.6944",E6946,A6946,"Receive")</f>
        <v>QSObject:SwapTrade:w1~trade.6944:24811</v>
      </c>
      <c r="G6946" s="3">
        <f>_xll.QS.EVALUATE(C6946,F6946)</f>
        <v>57574.031595331639</v>
      </c>
      <c r="H6946" s="5" t="s">
        <v>6986</v>
      </c>
      <c r="I6946" s="7">
        <v>1694400</v>
      </c>
      <c r="J6946" s="8">
        <v>3.9399999999999998E-2</v>
      </c>
    </row>
    <row r="6947" spans="1:10" x14ac:dyDescent="0.25">
      <c r="A6947" s="5" t="s">
        <v>6980</v>
      </c>
      <c r="B6947" s="5" t="s">
        <v>8814</v>
      </c>
      <c r="C6947" s="6" t="str">
        <f>_xll.QS.CONTEXT.CREATE("market.6945",A6947,"USD","SOFR")</f>
        <v>QSObject:PricingContext:w1~market.6945:6189</v>
      </c>
      <c r="D6947" s="6" t="str">
        <f>_xll.QS.CONTEXT.ADD.CURVE(C6947,"SOFR",$K$2:$K$7,$L$2:$L$7,,,"Actual360","LogLinear",TRUE)</f>
        <v>QSObject:ContextInput:w1~input.qs_context_add_curve.2359132437744.6946.3.0:32929</v>
      </c>
      <c r="E6947" s="6" t="str">
        <f>_xll.QS.INSTRUMENT.SWAP("swap.6945",H6947,B6947,"USD","SOFR",I6947,J6947,0,"Actual360","Simple","Annual","Annual","Annual")</f>
        <v>QSObject:Swap:w1~swap.6945:6188</v>
      </c>
      <c r="F6947" s="6" t="str">
        <f>_xll.QS.TRADE.CREATE("trade.6945",E6947,A6947,"Receive")</f>
        <v>QSObject:SwapTrade:w1~trade.6945:24810</v>
      </c>
      <c r="G6947" s="3">
        <f>_xll.QS.EVALUATE(C6947,F6947)</f>
        <v>58395.613211055177</v>
      </c>
      <c r="H6947" s="5" t="s">
        <v>6987</v>
      </c>
      <c r="I6947" s="7">
        <v>1694500</v>
      </c>
      <c r="J6947" s="8">
        <v>3.9500000000000007E-2</v>
      </c>
    </row>
    <row r="6948" spans="1:10" x14ac:dyDescent="0.25">
      <c r="A6948" s="5" t="s">
        <v>6981</v>
      </c>
      <c r="B6948" s="5" t="s">
        <v>8815</v>
      </c>
      <c r="C6948" s="6" t="str">
        <f>_xll.QS.CONTEXT.CREATE("market.6946",A6948,"USD","SOFR")</f>
        <v>QSObject:PricingContext:w1~market.6946:6187</v>
      </c>
      <c r="D6948" s="6" t="str">
        <f>_xll.QS.CONTEXT.ADD.CURVE(C6948,"SOFR",$K$2:$K$7,$L$2:$L$7,,,"Actual360","LogLinear",TRUE)</f>
        <v>QSObject:ContextInput:w1~input.qs_context_add_curve.2359132437744.6947.3.0:33486</v>
      </c>
      <c r="E6948" s="6" t="str">
        <f>_xll.QS.INSTRUMENT.SWAP("swap.6946",H6948,B6948,"USD","SOFR",I6948,J6948,0,"Actual360","Simple","Annual","Annual","Annual")</f>
        <v>QSObject:Swap:w1~swap.6946:6186</v>
      </c>
      <c r="F6948" s="6" t="str">
        <f>_xll.QS.TRADE.CREATE("trade.6946",E6948,A6948,"Receive")</f>
        <v>QSObject:SwapTrade:w1~trade.6946:24809</v>
      </c>
      <c r="G6948" s="3">
        <f>_xll.QS.EVALUATE(C6948,F6948)</f>
        <v>59304.387788129134</v>
      </c>
      <c r="H6948" s="5" t="s">
        <v>6988</v>
      </c>
      <c r="I6948" s="7">
        <v>1694600</v>
      </c>
      <c r="J6948" s="8">
        <v>3.9600000000000003E-2</v>
      </c>
    </row>
    <row r="6949" spans="1:10" x14ac:dyDescent="0.25">
      <c r="A6949" s="5" t="s">
        <v>6982</v>
      </c>
      <c r="B6949" s="5" t="s">
        <v>8816</v>
      </c>
      <c r="C6949" s="6" t="str">
        <f>_xll.QS.CONTEXT.CREATE("market.6947",A6949,"USD","SOFR")</f>
        <v>QSObject:PricingContext:w1~market.6947:6185</v>
      </c>
      <c r="D6949" s="6" t="str">
        <f>_xll.QS.CONTEXT.ADD.CURVE(C6949,"SOFR",$K$2:$K$7,$L$2:$L$7,,,"Actual360","LogLinear",TRUE)</f>
        <v>QSObject:ContextInput:w1~input.qs_context_add_curve.2359132437744.6948.3.0:33485</v>
      </c>
      <c r="E6949" s="6" t="str">
        <f>_xll.QS.INSTRUMENT.SWAP("swap.6947",H6949,B6949,"USD","SOFR",I6949,J6949,0,"Actual360","Simple","Annual","Annual","Annual")</f>
        <v>QSObject:Swap:w1~swap.6947:6184</v>
      </c>
      <c r="F6949" s="6" t="str">
        <f>_xll.QS.TRADE.CREATE("trade.6947",E6949,A6949,"Receive")</f>
        <v>QSObject:SwapTrade:w1~trade.6947:24808</v>
      </c>
      <c r="G6949" s="3">
        <f>_xll.QS.EVALUATE(C6949,F6949)</f>
        <v>60163.547296023375</v>
      </c>
      <c r="H6949" s="5" t="s">
        <v>6989</v>
      </c>
      <c r="I6949" s="7">
        <v>1694700</v>
      </c>
      <c r="J6949" s="8">
        <v>3.9700000000000013E-2</v>
      </c>
    </row>
    <row r="6950" spans="1:10" x14ac:dyDescent="0.25">
      <c r="A6950" s="5" t="s">
        <v>6983</v>
      </c>
      <c r="B6950" s="5" t="s">
        <v>8817</v>
      </c>
      <c r="C6950" s="6" t="str">
        <f>_xll.QS.CONTEXT.CREATE("market.6948",A6950,"USD","SOFR")</f>
        <v>QSObject:PricingContext:w1~market.6948:6183</v>
      </c>
      <c r="D6950" s="6" t="str">
        <f>_xll.QS.CONTEXT.ADD.CURVE(C6950,"SOFR",$K$2:$K$7,$L$2:$L$7,,,"Actual360","LogLinear",TRUE)</f>
        <v>QSObject:ContextInput:w1~input.qs_context_add_curve.2359132437744.6949.3.0:32928</v>
      </c>
      <c r="E6950" s="6" t="str">
        <f>_xll.QS.INSTRUMENT.SWAP("swap.6948",H6950,B6950,"USD","SOFR",I6950,J6950,0,"Actual360","Simple","Annual","Annual","Annual")</f>
        <v>QSObject:Swap:w1~swap.6948:6182</v>
      </c>
      <c r="F6950" s="6" t="str">
        <f>_xll.QS.TRADE.CREATE("trade.6948",E6950,A6950,"Receive")</f>
        <v>QSObject:SwapTrade:w1~trade.6948:24807</v>
      </c>
      <c r="G6950" s="3">
        <f>_xll.QS.EVALUATE(C6950,F6950)</f>
        <v>60882.688363823312</v>
      </c>
      <c r="H6950" s="5" t="s">
        <v>6990</v>
      </c>
      <c r="I6950" s="7">
        <v>1694800</v>
      </c>
      <c r="J6950" s="8">
        <v>3.9800000000000002E-2</v>
      </c>
    </row>
    <row r="6951" spans="1:10" x14ac:dyDescent="0.25">
      <c r="A6951" s="5" t="s">
        <v>6984</v>
      </c>
      <c r="B6951" s="5" t="s">
        <v>8818</v>
      </c>
      <c r="C6951" s="6" t="str">
        <f>_xll.QS.CONTEXT.CREATE("market.6949",A6951,"USD","SOFR")</f>
        <v>QSObject:PricingContext:w1~market.6949:6181</v>
      </c>
      <c r="D6951" s="6" t="str">
        <f>_xll.QS.CONTEXT.ADD.CURVE(C6951,"SOFR",$K$2:$K$7,$L$2:$L$7,,,"Actual360","LogLinear",TRUE)</f>
        <v>QSObject:ContextInput:w1~input.qs_context_add_curve.2359132437744.6950.3.0:33484</v>
      </c>
      <c r="E6951" s="6" t="str">
        <f>_xll.QS.INSTRUMENT.SWAP("swap.6949",H6951,B6951,"USD","SOFR",I6951,J6951,0,"Actual360","Simple","Annual","Annual","Annual")</f>
        <v>QSObject:Swap:w1~swap.6949:6180</v>
      </c>
      <c r="F6951" s="6" t="str">
        <f>_xll.QS.TRADE.CREATE("trade.6949",E6951,A6951,"Receive")</f>
        <v>QSObject:SwapTrade:w1~trade.6949:24806</v>
      </c>
      <c r="G6951" s="3">
        <f>_xll.QS.EVALUATE(C6951,F6951)</f>
        <v>61485.536841481495</v>
      </c>
      <c r="H6951" s="5" t="s">
        <v>6991</v>
      </c>
      <c r="I6951" s="7">
        <v>1694900</v>
      </c>
      <c r="J6951" s="8">
        <v>3.9899999999999998E-2</v>
      </c>
    </row>
    <row r="6952" spans="1:10" x14ac:dyDescent="0.25">
      <c r="A6952" s="5" t="s">
        <v>6985</v>
      </c>
      <c r="B6952" s="5" t="s">
        <v>8819</v>
      </c>
      <c r="C6952" s="6" t="str">
        <f>_xll.QS.CONTEXT.CREATE("market.6950",A6952,"USD","SOFR")</f>
        <v>QSObject:PricingContext:w1~market.6950:6179</v>
      </c>
      <c r="D6952" s="6" t="str">
        <f>_xll.QS.CONTEXT.ADD.CURVE(C6952,"SOFR",$K$2:$K$7,$L$2:$L$7,,,"Actual360","LogLinear",TRUE)</f>
        <v>QSObject:ContextInput:w1~input.qs_context_add_curve.2359132437744.6951.3.0:32927</v>
      </c>
      <c r="E6952" s="6" t="str">
        <f>_xll.QS.INSTRUMENT.SWAP("swap.6950",H6952,B6952,"USD","SOFR",I6952,J6952,0,"Actual360","Simple","Annual","Annual","Annual")</f>
        <v>QSObject:Swap:w1~swap.6950:6178</v>
      </c>
      <c r="F6952" s="6" t="str">
        <f>_xll.QS.TRADE.CREATE("trade.6950",E6952,A6952,"Receive")</f>
        <v>QSObject:SwapTrade:w1~trade.6950:24805</v>
      </c>
      <c r="G6952" s="3">
        <f>_xll.QS.EVALUATE(C6952,F6952)</f>
        <v>23047.826001824993</v>
      </c>
      <c r="H6952" s="5" t="s">
        <v>6992</v>
      </c>
      <c r="I6952" s="7">
        <v>1695000</v>
      </c>
      <c r="J6952" s="8">
        <v>3.5000000000000003E-2</v>
      </c>
    </row>
    <row r="6953" spans="1:10" x14ac:dyDescent="0.25">
      <c r="A6953" s="5" t="s">
        <v>6986</v>
      </c>
      <c r="B6953" s="5" t="s">
        <v>8820</v>
      </c>
      <c r="C6953" s="6" t="str">
        <f>_xll.QS.CONTEXT.CREATE("market.6951",A6953,"USD","SOFR")</f>
        <v>QSObject:PricingContext:w1~market.6951:6177</v>
      </c>
      <c r="D6953" s="6" t="str">
        <f>_xll.QS.CONTEXT.ADD.CURVE(C6953,"SOFR",$K$2:$K$7,$L$2:$L$7,,,"Actual360","LogLinear",TRUE)</f>
        <v>QSObject:ContextInput:w1~input.qs_context_add_curve.2359132437744.6952.3.0:32926</v>
      </c>
      <c r="E6953" s="6" t="str">
        <f>_xll.QS.INSTRUMENT.SWAP("swap.6951",H6953,B6953,"USD","SOFR",I6953,J6953,0,"Actual360","Simple","Annual","Annual","Annual")</f>
        <v>QSObject:Swap:w1~swap.6951:6176</v>
      </c>
      <c r="F6953" s="6" t="str">
        <f>_xll.QS.TRADE.CREATE("trade.6951",E6953,A6953,"Receive")</f>
        <v>QSObject:SwapTrade:w1~trade.6951:24804</v>
      </c>
      <c r="G6953" s="3">
        <f>_xll.QS.EVALUATE(C6953,F6953)</f>
        <v>23901.273301756919</v>
      </c>
      <c r="H6953" s="5" t="s">
        <v>6993</v>
      </c>
      <c r="I6953" s="7">
        <v>1695100</v>
      </c>
      <c r="J6953" s="8">
        <v>3.5100000000000013E-2</v>
      </c>
    </row>
    <row r="6954" spans="1:10" x14ac:dyDescent="0.25">
      <c r="A6954" s="5" t="s">
        <v>6987</v>
      </c>
      <c r="B6954" s="5" t="s">
        <v>8821</v>
      </c>
      <c r="C6954" s="6" t="str">
        <f>_xll.QS.CONTEXT.CREATE("market.6952",A6954,"USD","SOFR")</f>
        <v>QSObject:PricingContext:w1~market.6952:6175</v>
      </c>
      <c r="D6954" s="6" t="str">
        <f>_xll.QS.CONTEXT.ADD.CURVE(C6954,"SOFR",$K$2:$K$7,$L$2:$L$7,,,"Actual360","LogLinear",TRUE)</f>
        <v>QSObject:ContextInput:w1~input.qs_context_add_curve.2359132437744.6953.3.0:32925</v>
      </c>
      <c r="E6954" s="6" t="str">
        <f>_xll.QS.INSTRUMENT.SWAP("swap.6952",H6954,B6954,"USD","SOFR",I6954,J6954,0,"Actual360","Simple","Annual","Annual","Annual")</f>
        <v>QSObject:Swap:w1~swap.6952:6174</v>
      </c>
      <c r="F6954" s="6" t="str">
        <f>_xll.QS.TRADE.CREATE("trade.6952",E6954,A6954,"Receive")</f>
        <v>QSObject:SwapTrade:w1~trade.6952:24803</v>
      </c>
      <c r="G6954" s="3">
        <f>_xll.QS.EVALUATE(C6954,F6954)</f>
        <v>24754.784912423376</v>
      </c>
      <c r="H6954" s="5" t="s">
        <v>6994</v>
      </c>
      <c r="I6954" s="7">
        <v>1695200</v>
      </c>
      <c r="J6954" s="8">
        <v>3.5200000000000002E-2</v>
      </c>
    </row>
    <row r="6955" spans="1:10" x14ac:dyDescent="0.25">
      <c r="A6955" s="5" t="s">
        <v>6988</v>
      </c>
      <c r="B6955" s="5" t="s">
        <v>8822</v>
      </c>
      <c r="C6955" s="6" t="str">
        <f>_xll.QS.CONTEXT.CREATE("market.6953",A6955,"USD","SOFR")</f>
        <v>QSObject:PricingContext:w1~market.6953:6173</v>
      </c>
      <c r="D6955" s="6" t="str">
        <f>_xll.QS.CONTEXT.ADD.CURVE(C6955,"SOFR",$K$2:$K$7,$L$2:$L$7,,,"Actual360","LogLinear",TRUE)</f>
        <v>QSObject:ContextInput:w1~input.qs_context_add_curve.2359132437744.6954.3.0:32924</v>
      </c>
      <c r="E6955" s="6" t="str">
        <f>_xll.QS.INSTRUMENT.SWAP("swap.6953",H6955,B6955,"USD","SOFR",I6955,J6955,0,"Actual360","Simple","Annual","Annual","Annual")</f>
        <v>QSObject:Swap:w1~swap.6953:6172</v>
      </c>
      <c r="F6955" s="6" t="str">
        <f>_xll.QS.TRADE.CREATE("trade.6953",E6955,A6955,"Receive")</f>
        <v>QSObject:SwapTrade:w1~trade.6953:24802</v>
      </c>
      <c r="G6955" s="3">
        <f>_xll.QS.EVALUATE(C6955,F6955)</f>
        <v>25775.560270314389</v>
      </c>
      <c r="H6955" s="5" t="s">
        <v>6995</v>
      </c>
      <c r="I6955" s="7">
        <v>1695300</v>
      </c>
      <c r="J6955" s="8">
        <v>3.5299999999999998E-2</v>
      </c>
    </row>
    <row r="6956" spans="1:10" x14ac:dyDescent="0.25">
      <c r="A6956" s="5" t="s">
        <v>6989</v>
      </c>
      <c r="B6956" s="5" t="s">
        <v>8823</v>
      </c>
      <c r="C6956" s="6" t="str">
        <f>_xll.QS.CONTEXT.CREATE("market.6954",A6956,"USD","SOFR")</f>
        <v>QSObject:PricingContext:w1~market.6954:6171</v>
      </c>
      <c r="D6956" s="6" t="str">
        <f>_xll.QS.CONTEXT.ADD.CURVE(C6956,"SOFR",$K$2:$K$7,$L$2:$L$7,,,"Actual360","LogLinear",TRUE)</f>
        <v>QSObject:ContextInput:w1~input.qs_context_add_curve.2359132437744.6955.3.0:32923</v>
      </c>
      <c r="E6956" s="6" t="str">
        <f>_xll.QS.INSTRUMENT.SWAP("swap.6954",H6956,B6956,"USD","SOFR",I6956,J6956,0,"Actual360","Simple","Annual","Annual","Annual")</f>
        <v>QSObject:Swap:w1~swap.6954:6170</v>
      </c>
      <c r="F6956" s="6" t="str">
        <f>_xll.QS.TRADE.CREATE("trade.6954",E6956,A6956,"Receive")</f>
        <v>QSObject:SwapTrade:w1~trade.6954:24801</v>
      </c>
      <c r="G6956" s="3">
        <f>_xll.QS.EVALUATE(C6956,F6956)</f>
        <v>26574.330634615471</v>
      </c>
      <c r="H6956" s="5" t="s">
        <v>6996</v>
      </c>
      <c r="I6956" s="7">
        <v>1695400</v>
      </c>
      <c r="J6956" s="8">
        <v>3.5400000000000001E-2</v>
      </c>
    </row>
    <row r="6957" spans="1:10" x14ac:dyDescent="0.25">
      <c r="A6957" s="5" t="s">
        <v>6990</v>
      </c>
      <c r="B6957" s="5" t="s">
        <v>8824</v>
      </c>
      <c r="C6957" s="6" t="str">
        <f>_xll.QS.CONTEXT.CREATE("market.6955",A6957,"USD","SOFR")</f>
        <v>QSObject:PricingContext:w1~market.6955:6169</v>
      </c>
      <c r="D6957" s="6" t="str">
        <f>_xll.QS.CONTEXT.ADD.CURVE(C6957,"SOFR",$K$2:$K$7,$L$2:$L$7,,,"Actual360","LogLinear",TRUE)</f>
        <v>QSObject:ContextInput:w1~input.qs_context_add_curve.2359132437744.6956.3.0:32922</v>
      </c>
      <c r="E6957" s="6" t="str">
        <f>_xll.QS.INSTRUMENT.SWAP("swap.6955",H6957,B6957,"USD","SOFR",I6957,J6957,0,"Actual360","Simple","Annual","Annual","Annual")</f>
        <v>QSObject:Swap:w1~swap.6955:6168</v>
      </c>
      <c r="F6957" s="6" t="str">
        <f>_xll.QS.TRADE.CREATE("trade.6955",E6957,A6957,"Receive")</f>
        <v>QSObject:SwapTrade:w1~trade.6955:24800</v>
      </c>
      <c r="G6957" s="3">
        <f>_xll.QS.EVALUATE(C6957,F6957)</f>
        <v>27356.818594040888</v>
      </c>
      <c r="H6957" s="5" t="s">
        <v>6997</v>
      </c>
      <c r="I6957" s="7">
        <v>1695500</v>
      </c>
      <c r="J6957" s="8">
        <v>3.5499999999999997E-2</v>
      </c>
    </row>
    <row r="6958" spans="1:10" x14ac:dyDescent="0.25">
      <c r="A6958" s="5" t="s">
        <v>6991</v>
      </c>
      <c r="B6958" s="5" t="s">
        <v>8825</v>
      </c>
      <c r="C6958" s="6" t="str">
        <f>_xll.QS.CONTEXT.CREATE("market.6956",A6958,"USD","SOFR")</f>
        <v>QSObject:PricingContext:w1~market.6956:6167</v>
      </c>
      <c r="D6958" s="6" t="str">
        <f>_xll.QS.CONTEXT.ADD.CURVE(C6958,"SOFR",$K$2:$K$7,$L$2:$L$7,,,"Actual360","LogLinear",TRUE)</f>
        <v>QSObject:ContextInput:w1~input.qs_context_add_curve.2359132437744.6957.3.0:33483</v>
      </c>
      <c r="E6958" s="6" t="str">
        <f>_xll.QS.INSTRUMENT.SWAP("swap.6956",H6958,B6958,"USD","SOFR",I6958,J6958,0,"Actual360","Simple","Annual","Annual","Annual")</f>
        <v>QSObject:Swap:w1~swap.6956:6166</v>
      </c>
      <c r="F6958" s="6" t="str">
        <f>_xll.QS.TRADE.CREATE("trade.6956",E6958,A6958,"Receive")</f>
        <v>QSObject:SwapTrade:w1~trade.6956:24799</v>
      </c>
      <c r="G6958" s="3">
        <f>_xll.QS.EVALUATE(C6958,F6958)</f>
        <v>28035.823210288487</v>
      </c>
      <c r="H6958" s="5" t="s">
        <v>6998</v>
      </c>
      <c r="I6958" s="7">
        <v>1695600</v>
      </c>
      <c r="J6958" s="8">
        <v>3.5600000000000007E-2</v>
      </c>
    </row>
    <row r="6959" spans="1:10" x14ac:dyDescent="0.25">
      <c r="A6959" s="5" t="s">
        <v>6992</v>
      </c>
      <c r="B6959" s="5" t="s">
        <v>8826</v>
      </c>
      <c r="C6959" s="6" t="str">
        <f>_xll.QS.CONTEXT.CREATE("market.6957",A6959,"USD","SOFR")</f>
        <v>QSObject:PricingContext:w1~market.6957:6165</v>
      </c>
      <c r="D6959" s="6" t="str">
        <f>_xll.QS.CONTEXT.ADD.CURVE(C6959,"SOFR",$K$2:$K$7,$L$2:$L$7,,,"Actual360","LogLinear",TRUE)</f>
        <v>QSObject:ContextInput:w1~input.qs_context_add_curve.2359132437744.6958.3.0:33482</v>
      </c>
      <c r="E6959" s="6" t="str">
        <f>_xll.QS.INSTRUMENT.SWAP("swap.6957",H6959,B6959,"USD","SOFR",I6959,J6959,0,"Actual360","Simple","Annual","Annual","Annual")</f>
        <v>QSObject:Swap:w1~swap.6957:6164</v>
      </c>
      <c r="F6959" s="6" t="str">
        <f>_xll.QS.TRADE.CREATE("trade.6957",E6959,A6959,"Receive")</f>
        <v>QSObject:SwapTrade:w1~trade.6957:24798</v>
      </c>
      <c r="G6959" s="3">
        <f>_xll.QS.EVALUATE(C6959,F6959)</f>
        <v>28670.463104509028</v>
      </c>
      <c r="H6959" s="5" t="s">
        <v>6999</v>
      </c>
      <c r="I6959" s="7">
        <v>1695700</v>
      </c>
      <c r="J6959" s="8">
        <v>3.5700000000000003E-2</v>
      </c>
    </row>
    <row r="6960" spans="1:10" x14ac:dyDescent="0.25">
      <c r="A6960" s="5" t="s">
        <v>6993</v>
      </c>
      <c r="B6960" s="5" t="s">
        <v>8827</v>
      </c>
      <c r="C6960" s="6" t="str">
        <f>_xll.QS.CONTEXT.CREATE("market.6958",A6960,"USD","SOFR")</f>
        <v>QSObject:PricingContext:w1~market.6958:6163</v>
      </c>
      <c r="D6960" s="6" t="str">
        <f>_xll.QS.CONTEXT.ADD.CURVE(C6960,"SOFR",$K$2:$K$7,$L$2:$L$7,,,"Actual360","LogLinear",TRUE)</f>
        <v>QSObject:ContextInput:w1~input.qs_context_add_curve.2359132437744.6959.3.0:32921</v>
      </c>
      <c r="E6960" s="6" t="str">
        <f>_xll.QS.INSTRUMENT.SWAP("swap.6958",H6960,B6960,"USD","SOFR",I6960,J6960,0,"Actual360","Simple","Annual","Annual","Annual")</f>
        <v>QSObject:Swap:w1~swap.6958:6162</v>
      </c>
      <c r="F6960" s="6" t="str">
        <f>_xll.QS.TRADE.CREATE("trade.6958",E6960,A6960,"Receive")</f>
        <v>QSObject:SwapTrade:w1~trade.6958:24797</v>
      </c>
      <c r="G6960" s="3">
        <f>_xll.QS.EVALUATE(C6960,F6960)</f>
        <v>29456.53008788616</v>
      </c>
      <c r="H6960" s="5" t="s">
        <v>7000</v>
      </c>
      <c r="I6960" s="7">
        <v>1695800</v>
      </c>
      <c r="J6960" s="8">
        <v>3.5800000000000012E-2</v>
      </c>
    </row>
    <row r="6961" spans="1:10" x14ac:dyDescent="0.25">
      <c r="A6961" s="5" t="s">
        <v>6994</v>
      </c>
      <c r="B6961" s="5" t="s">
        <v>8828</v>
      </c>
      <c r="C6961" s="6" t="str">
        <f>_xll.QS.CONTEXT.CREATE("market.6959",A6961,"USD","SOFR")</f>
        <v>QSObject:PricingContext:w1~market.6959:6161</v>
      </c>
      <c r="D6961" s="6" t="str">
        <f>_xll.QS.CONTEXT.ADD.CURVE(C6961,"SOFR",$K$2:$K$7,$L$2:$L$7,,,"Actual360","LogLinear",TRUE)</f>
        <v>QSObject:ContextInput:w1~input.qs_context_add_curve.2359132437744.6960.3.0:32920</v>
      </c>
      <c r="E6961" s="6" t="str">
        <f>_xll.QS.INSTRUMENT.SWAP("swap.6959",H6961,B6961,"USD","SOFR",I6961,J6961,0,"Actual360","Simple","Annual","Annual","Annual")</f>
        <v>QSObject:Swap:w1~swap.6959:6160</v>
      </c>
      <c r="F6961" s="6" t="str">
        <f>_xll.QS.TRADE.CREATE("trade.6959",E6961,A6961,"Receive")</f>
        <v>QSObject:SwapTrade:w1~trade.6959:24796</v>
      </c>
      <c r="G6961" s="3">
        <f>_xll.QS.EVALUATE(C6961,F6961)</f>
        <v>30290.641512597576</v>
      </c>
      <c r="H6961" s="5" t="s">
        <v>7001</v>
      </c>
      <c r="I6961" s="7">
        <v>1695900</v>
      </c>
      <c r="J6961" s="8">
        <v>3.5900000000000001E-2</v>
      </c>
    </row>
    <row r="6962" spans="1:10" x14ac:dyDescent="0.25">
      <c r="A6962" s="5" t="s">
        <v>6995</v>
      </c>
      <c r="B6962" s="5" t="s">
        <v>8829</v>
      </c>
      <c r="C6962" s="6" t="str">
        <f>_xll.QS.CONTEXT.CREATE("market.6960",A6962,"USD","SOFR")</f>
        <v>QSObject:PricingContext:w1~market.6960:6159</v>
      </c>
      <c r="D6962" s="6" t="str">
        <f>_xll.QS.CONTEXT.ADD.CURVE(C6962,"SOFR",$K$2:$K$7,$L$2:$L$7,,,"Actual360","LogLinear",TRUE)</f>
        <v>QSObject:ContextInput:w1~input.qs_context_add_curve.2359132437744.6961.3.0:33481</v>
      </c>
      <c r="E6962" s="6" t="str">
        <f>_xll.QS.INSTRUMENT.SWAP("swap.6960",H6962,B6962,"USD","SOFR",I6962,J6962,0,"Actual360","Simple","Annual","Annual","Annual")</f>
        <v>QSObject:Swap:w1~swap.6960:6158</v>
      </c>
      <c r="F6962" s="6" t="str">
        <f>_xll.QS.TRADE.CREATE("trade.6960",E6962,A6962,"Receive")</f>
        <v>QSObject:SwapTrade:w1~trade.6960:24795</v>
      </c>
      <c r="G6962" s="3">
        <f>_xll.QS.EVALUATE(C6962,F6962)</f>
        <v>31198.230169334791</v>
      </c>
      <c r="H6962" s="5" t="s">
        <v>7002</v>
      </c>
      <c r="I6962" s="7">
        <v>1696000</v>
      </c>
      <c r="J6962" s="8">
        <v>3.5999999999999997E-2</v>
      </c>
    </row>
    <row r="6963" spans="1:10" x14ac:dyDescent="0.25">
      <c r="A6963" s="5" t="s">
        <v>6996</v>
      </c>
      <c r="B6963" s="5" t="s">
        <v>8830</v>
      </c>
      <c r="C6963" s="6" t="str">
        <f>_xll.QS.CONTEXT.CREATE("market.6961",A6963,"USD","SOFR")</f>
        <v>QSObject:PricingContext:w1~market.6961:6157</v>
      </c>
      <c r="D6963" s="6" t="str">
        <f>_xll.QS.CONTEXT.ADD.CURVE(C6963,"SOFR",$K$2:$K$7,$L$2:$L$7,,,"Actual360","LogLinear",TRUE)</f>
        <v>QSObject:ContextInput:w1~input.qs_context_add_curve.2359132437744.6962.3.0:33480</v>
      </c>
      <c r="E6963" s="6" t="str">
        <f>_xll.QS.INSTRUMENT.SWAP("swap.6961",H6963,B6963,"USD","SOFR",I6963,J6963,0,"Actual360","Simple","Annual","Annual","Annual")</f>
        <v>QSObject:Swap:w1~swap.6961:6156</v>
      </c>
      <c r="F6963" s="6" t="str">
        <f>_xll.QS.TRADE.CREATE("trade.6961",E6963,A6963,"Receive")</f>
        <v>QSObject:SwapTrade:w1~trade.6961:24794</v>
      </c>
      <c r="G6963" s="3">
        <f>_xll.QS.EVALUATE(C6963,F6963)</f>
        <v>32056.189138168702</v>
      </c>
      <c r="H6963" s="5" t="s">
        <v>7003</v>
      </c>
      <c r="I6963" s="7">
        <v>1696100</v>
      </c>
      <c r="J6963" s="8">
        <v>3.61E-2</v>
      </c>
    </row>
    <row r="6964" spans="1:10" x14ac:dyDescent="0.25">
      <c r="A6964" s="5" t="s">
        <v>6997</v>
      </c>
      <c r="B6964" s="5" t="s">
        <v>8831</v>
      </c>
      <c r="C6964" s="6" t="str">
        <f>_xll.QS.CONTEXT.CREATE("market.6962",A6964,"USD","SOFR")</f>
        <v>QSObject:PricingContext:w1~market.6962:6155</v>
      </c>
      <c r="D6964" s="6" t="str">
        <f>_xll.QS.CONTEXT.ADD.CURVE(C6964,"SOFR",$K$2:$K$7,$L$2:$L$7,,,"Actual360","LogLinear",TRUE)</f>
        <v>QSObject:ContextInput:w1~input.qs_context_add_curve.2359132437744.6963.3.0:32919</v>
      </c>
      <c r="E6964" s="6" t="str">
        <f>_xll.QS.INSTRUMENT.SWAP("swap.6962",H6964,B6964,"USD","SOFR",I6964,J6964,0,"Actual360","Simple","Annual","Annual","Annual")</f>
        <v>QSObject:Swap:w1~swap.6962:6154</v>
      </c>
      <c r="F6964" s="6" t="str">
        <f>_xll.QS.TRADE.CREATE("trade.6962",E6964,A6964,"Receive")</f>
        <v>QSObject:SwapTrade:w1~trade.6962:24793</v>
      </c>
      <c r="G6964" s="3">
        <f>_xll.QS.EVALUATE(C6964,F6964)</f>
        <v>32775.278372851535</v>
      </c>
      <c r="H6964" s="5" t="s">
        <v>7004</v>
      </c>
      <c r="I6964" s="7">
        <v>1696200</v>
      </c>
      <c r="J6964" s="8">
        <v>3.6200000000000003E-2</v>
      </c>
    </row>
    <row r="6965" spans="1:10" x14ac:dyDescent="0.25">
      <c r="A6965" s="5" t="s">
        <v>6998</v>
      </c>
      <c r="B6965" s="5" t="s">
        <v>8832</v>
      </c>
      <c r="C6965" s="6" t="str">
        <f>_xll.QS.CONTEXT.CREATE("market.6963",A6965,"USD","SOFR")</f>
        <v>QSObject:PricingContext:w1~market.6963:6153</v>
      </c>
      <c r="D6965" s="6" t="str">
        <f>_xll.QS.CONTEXT.ADD.CURVE(C6965,"SOFR",$K$2:$K$7,$L$2:$L$7,,,"Actual360","LogLinear",TRUE)</f>
        <v>QSObject:ContextInput:w1~input.qs_context_add_curve.2359132437744.6964.3.0:32918</v>
      </c>
      <c r="E6965" s="6" t="str">
        <f>_xll.QS.INSTRUMENT.SWAP("swap.6963",H6965,B6965,"USD","SOFR",I6965,J6965,0,"Actual360","Simple","Annual","Annual","Annual")</f>
        <v>QSObject:Swap:w1~swap.6963:6152</v>
      </c>
      <c r="F6965" s="6" t="str">
        <f>_xll.QS.TRADE.CREATE("trade.6963",E6965,A6965,"Receive")</f>
        <v>QSObject:SwapTrade:w1~trade.6963:24792</v>
      </c>
      <c r="G6965" s="3">
        <f>_xll.QS.EVALUATE(C6965,F6965)</f>
        <v>33514.391100754103</v>
      </c>
      <c r="H6965" s="5" t="s">
        <v>7005</v>
      </c>
      <c r="I6965" s="7">
        <v>1696300</v>
      </c>
      <c r="J6965" s="8">
        <v>3.6300000000000013E-2</v>
      </c>
    </row>
    <row r="6966" spans="1:10" x14ac:dyDescent="0.25">
      <c r="A6966" s="5" t="s">
        <v>6999</v>
      </c>
      <c r="B6966" s="5" t="s">
        <v>8833</v>
      </c>
      <c r="C6966" s="6" t="str">
        <f>_xll.QS.CONTEXT.CREATE("market.6964",A6966,"USD","SOFR")</f>
        <v>QSObject:PricingContext:w1~market.6964:6151</v>
      </c>
      <c r="D6966" s="6" t="str">
        <f>_xll.QS.CONTEXT.ADD.CURVE(C6966,"SOFR",$K$2:$K$7,$L$2:$L$7,,,"Actual360","LogLinear",TRUE)</f>
        <v>QSObject:ContextInput:w1~input.qs_context_add_curve.2359132437744.6965.3.0:33479</v>
      </c>
      <c r="E6966" s="6" t="str">
        <f>_xll.QS.INSTRUMENT.SWAP("swap.6964",H6966,B6966,"USD","SOFR",I6966,J6966,0,"Actual360","Simple","Annual","Annual","Annual")</f>
        <v>QSObject:Swap:w1~swap.6964:6150</v>
      </c>
      <c r="F6966" s="6" t="str">
        <f>_xll.QS.TRADE.CREATE("trade.6964",E6966,A6966,"Receive")</f>
        <v>QSObject:SwapTrade:w1~trade.6964:24791</v>
      </c>
      <c r="G6966" s="3">
        <f>_xll.QS.EVALUATE(C6966,F6966)</f>
        <v>34092.033881667514</v>
      </c>
      <c r="H6966" s="5" t="s">
        <v>7006</v>
      </c>
      <c r="I6966" s="7">
        <v>1696400</v>
      </c>
      <c r="J6966" s="8">
        <v>3.6400000000000002E-2</v>
      </c>
    </row>
    <row r="6967" spans="1:10" x14ac:dyDescent="0.25">
      <c r="A6967" s="5" t="s">
        <v>7000</v>
      </c>
      <c r="B6967" s="5" t="s">
        <v>8834</v>
      </c>
      <c r="C6967" s="6" t="str">
        <f>_xll.QS.CONTEXT.CREATE("market.6965",A6967,"USD","SOFR")</f>
        <v>QSObject:PricingContext:w1~market.6965:6149</v>
      </c>
      <c r="D6967" s="6" t="str">
        <f>_xll.QS.CONTEXT.ADD.CURVE(C6967,"SOFR",$K$2:$K$7,$L$2:$L$7,,,"Actual360","LogLinear",TRUE)</f>
        <v>QSObject:ContextInput:w1~input.qs_context_add_curve.2359132437744.6966.3.0:33478</v>
      </c>
      <c r="E6967" s="6" t="str">
        <f>_xll.QS.INSTRUMENT.SWAP("swap.6965",H6967,B6967,"USD","SOFR",I6967,J6967,0,"Actual360","Simple","Annual","Annual","Annual")</f>
        <v>QSObject:Swap:w1~swap.6965:6148</v>
      </c>
      <c r="F6967" s="6" t="str">
        <f>_xll.QS.TRADE.CREATE("trade.6965",E6967,A6967,"Receive")</f>
        <v>QSObject:SwapTrade:w1~trade.6965:24790</v>
      </c>
      <c r="G6967" s="3">
        <f>_xll.QS.EVALUATE(C6967,F6967)</f>
        <v>34947.376661941249</v>
      </c>
      <c r="H6967" s="5" t="s">
        <v>7007</v>
      </c>
      <c r="I6967" s="7">
        <v>1696500</v>
      </c>
      <c r="J6967" s="8">
        <v>3.6499999999999998E-2</v>
      </c>
    </row>
    <row r="6968" spans="1:10" x14ac:dyDescent="0.25">
      <c r="A6968" s="5" t="s">
        <v>7001</v>
      </c>
      <c r="B6968" s="5" t="s">
        <v>8835</v>
      </c>
      <c r="C6968" s="6" t="str">
        <f>_xll.QS.CONTEXT.CREATE("market.6966",A6968,"USD","SOFR")</f>
        <v>QSObject:PricingContext:w1~market.6966:6147</v>
      </c>
      <c r="D6968" s="6" t="str">
        <f>_xll.QS.CONTEXT.ADD.CURVE(C6968,"SOFR",$K$2:$K$7,$L$2:$L$7,,,"Actual360","LogLinear",TRUE)</f>
        <v>QSObject:ContextInput:w1~input.qs_context_add_curve.2359132437744.6967.3.0:33477</v>
      </c>
      <c r="E6968" s="6" t="str">
        <f>_xll.QS.INSTRUMENT.SWAP("swap.6966",H6968,B6968,"USD","SOFR",I6968,J6968,0,"Actual360","Simple","Annual","Annual","Annual")</f>
        <v>QSObject:Swap:w1~swap.6966:6146</v>
      </c>
      <c r="F6968" s="6" t="str">
        <f>_xll.QS.TRADE.CREATE("trade.6966",E6968,A6968,"Receive")</f>
        <v>QSObject:SwapTrade:w1~trade.6966:24789</v>
      </c>
      <c r="G6968" s="3">
        <f>_xll.QS.EVALUATE(C6968,F6968)</f>
        <v>35779.640721240896</v>
      </c>
      <c r="H6968" s="5" t="s">
        <v>7008</v>
      </c>
      <c r="I6968" s="7">
        <v>1696600</v>
      </c>
      <c r="J6968" s="8">
        <v>3.6600000000000001E-2</v>
      </c>
    </row>
    <row r="6969" spans="1:10" x14ac:dyDescent="0.25">
      <c r="A6969" s="5" t="s">
        <v>7002</v>
      </c>
      <c r="B6969" s="5" t="s">
        <v>8836</v>
      </c>
      <c r="C6969" s="6" t="str">
        <f>_xll.QS.CONTEXT.CREATE("market.6967",A6969,"USD","SOFR")</f>
        <v>QSObject:PricingContext:w1~market.6967:6145</v>
      </c>
      <c r="D6969" s="6" t="str">
        <f>_xll.QS.CONTEXT.ADD.CURVE(C6969,"SOFR",$K$2:$K$7,$L$2:$L$7,,,"Actual360","LogLinear",TRUE)</f>
        <v>QSObject:ContextInput:w1~input.qs_context_add_curve.2359132437744.6968.3.0:32917</v>
      </c>
      <c r="E6969" s="6" t="str">
        <f>_xll.QS.INSTRUMENT.SWAP("swap.6967",H6969,B6969,"USD","SOFR",I6969,J6969,0,"Actual360","Simple","Annual","Annual","Annual")</f>
        <v>QSObject:Swap:w1~swap.6967:6144</v>
      </c>
      <c r="F6969" s="6" t="str">
        <f>_xll.QS.TRADE.CREATE("trade.6967",E6969,A6969,"Receive")</f>
        <v>QSObject:SwapTrade:w1~trade.6967:24788</v>
      </c>
      <c r="G6969" s="3">
        <f>_xll.QS.EVALUATE(C6969,F6969)</f>
        <v>36753.435130937309</v>
      </c>
      <c r="H6969" s="5" t="s">
        <v>7009</v>
      </c>
      <c r="I6969" s="7">
        <v>1696700</v>
      </c>
      <c r="J6969" s="8">
        <v>3.6700000000000003E-2</v>
      </c>
    </row>
    <row r="6970" spans="1:10" x14ac:dyDescent="0.25">
      <c r="A6970" s="5" t="s">
        <v>7003</v>
      </c>
      <c r="B6970" s="5" t="s">
        <v>8837</v>
      </c>
      <c r="C6970" s="6" t="str">
        <f>_xll.QS.CONTEXT.CREATE("market.6968",A6970,"USD","SOFR")</f>
        <v>QSObject:PricingContext:w1~market.6968:6143</v>
      </c>
      <c r="D6970" s="6" t="str">
        <f>_xll.QS.CONTEXT.ADD.CURVE(C6970,"SOFR",$K$2:$K$7,$L$2:$L$7,,,"Actual360","LogLinear",TRUE)</f>
        <v>QSObject:ContextInput:w1~input.qs_context_add_curve.2359132437744.6969.3.0:33476</v>
      </c>
      <c r="E6970" s="6" t="str">
        <f>_xll.QS.INSTRUMENT.SWAP("swap.6968",H6970,B6970,"USD","SOFR",I6970,J6970,0,"Actual360","Simple","Annual","Annual","Annual")</f>
        <v>QSObject:Swap:w1~swap.6968:6142</v>
      </c>
      <c r="F6970" s="6" t="str">
        <f>_xll.QS.TRADE.CREATE("trade.6968",E6970,A6970,"Receive")</f>
        <v>QSObject:SwapTrade:w1~trade.6968:24787</v>
      </c>
      <c r="G6970" s="3">
        <f>_xll.QS.EVALUATE(C6970,F6970)</f>
        <v>37546.705277709763</v>
      </c>
      <c r="H6970" s="5" t="s">
        <v>7010</v>
      </c>
      <c r="I6970" s="7">
        <v>1696800</v>
      </c>
      <c r="J6970" s="8">
        <v>3.6800000000000013E-2</v>
      </c>
    </row>
    <row r="6971" spans="1:10" x14ac:dyDescent="0.25">
      <c r="A6971" s="5" t="s">
        <v>7004</v>
      </c>
      <c r="B6971" s="5" t="s">
        <v>8838</v>
      </c>
      <c r="C6971" s="6" t="str">
        <f>_xll.QS.CONTEXT.CREATE("market.6969",A6971,"USD","SOFR")</f>
        <v>QSObject:PricingContext:w1~market.6969:6141</v>
      </c>
      <c r="D6971" s="6" t="str">
        <f>_xll.QS.CONTEXT.ADD.CURVE(C6971,"SOFR",$K$2:$K$7,$L$2:$L$7,,,"Actual360","LogLinear",TRUE)</f>
        <v>QSObject:ContextInput:w1~input.qs_context_add_curve.2359132437744.6970.3.0:33475</v>
      </c>
      <c r="E6971" s="6" t="str">
        <f>_xll.QS.INSTRUMENT.SWAP("swap.6969",H6971,B6971,"USD","SOFR",I6971,J6971,0,"Actual360","Simple","Annual","Annual","Annual")</f>
        <v>QSObject:Swap:w1~swap.6969:6140</v>
      </c>
      <c r="F6971" s="6" t="str">
        <f>_xll.QS.TRADE.CREATE("trade.6969",E6971,A6971,"Receive")</f>
        <v>QSObject:SwapTrade:w1~trade.6969:24786</v>
      </c>
      <c r="G6971" s="3">
        <f>_xll.QS.EVALUATE(C6971,F6971)</f>
        <v>38266.086990180935</v>
      </c>
      <c r="H6971" s="5" t="s">
        <v>7011</v>
      </c>
      <c r="I6971" s="7">
        <v>1696900</v>
      </c>
      <c r="J6971" s="8">
        <v>3.6900000000000002E-2</v>
      </c>
    </row>
    <row r="6972" spans="1:10" x14ac:dyDescent="0.25">
      <c r="A6972" s="5" t="s">
        <v>7005</v>
      </c>
      <c r="B6972" s="5" t="s">
        <v>8839</v>
      </c>
      <c r="C6972" s="6" t="str">
        <f>_xll.QS.CONTEXT.CREATE("market.6970",A6972,"USD","SOFR")</f>
        <v>QSObject:PricingContext:w1~market.6970:6139</v>
      </c>
      <c r="D6972" s="6" t="str">
        <f>_xll.QS.CONTEXT.ADD.CURVE(C6972,"SOFR",$K$2:$K$7,$L$2:$L$7,,,"Actual360","LogLinear",TRUE)</f>
        <v>QSObject:ContextInput:w1~input.qs_context_add_curve.2359132437744.6971.3.0:32916</v>
      </c>
      <c r="E6972" s="6" t="str">
        <f>_xll.QS.INSTRUMENT.SWAP("swap.6970",H6972,B6972,"USD","SOFR",I6972,J6972,0,"Actual360","Simple","Annual","Annual","Annual")</f>
        <v>QSObject:Swap:w1~swap.6970:6138</v>
      </c>
      <c r="F6972" s="6" t="str">
        <f>_xll.QS.TRADE.CREATE("trade.6970",E6972,A6972,"Receive")</f>
        <v>QSObject:SwapTrade:w1~trade.6970:24785</v>
      </c>
      <c r="G6972" s="3">
        <f>_xll.QS.EVALUATE(C6972,F6972)</f>
        <v>38933.390180714174</v>
      </c>
      <c r="H6972" s="5" t="s">
        <v>7012</v>
      </c>
      <c r="I6972" s="7">
        <v>1697000</v>
      </c>
      <c r="J6972" s="8">
        <v>3.7000000000000012E-2</v>
      </c>
    </row>
    <row r="6973" spans="1:10" x14ac:dyDescent="0.25">
      <c r="A6973" s="5" t="s">
        <v>7006</v>
      </c>
      <c r="B6973" s="5" t="s">
        <v>8840</v>
      </c>
      <c r="C6973" s="6" t="str">
        <f>_xll.QS.CONTEXT.CREATE("market.6971",A6973,"USD","SOFR")</f>
        <v>QSObject:PricingContext:w1~market.6971:6137</v>
      </c>
      <c r="D6973" s="6" t="str">
        <f>_xll.QS.CONTEXT.ADD.CURVE(C6973,"SOFR",$K$2:$K$7,$L$2:$L$7,,,"Actual360","LogLinear",TRUE)</f>
        <v>QSObject:ContextInput:w1~input.qs_context_add_curve.2359132437744.6972.3.0:32915</v>
      </c>
      <c r="E6973" s="6" t="str">
        <f>_xll.QS.INSTRUMENT.SWAP("swap.6971",H6973,B6973,"USD","SOFR",I6973,J6973,0,"Actual360","Simple","Annual","Annual","Annual")</f>
        <v>QSObject:Swap:w1~swap.6971:6136</v>
      </c>
      <c r="F6973" s="6" t="str">
        <f>_xll.QS.TRADE.CREATE("trade.6971",E6973,A6973,"Receive")</f>
        <v>QSObject:SwapTrade:w1~trade.6971:24784</v>
      </c>
      <c r="G6973" s="3">
        <f>_xll.QS.EVALUATE(C6973,F6973)</f>
        <v>39586.338795062249</v>
      </c>
      <c r="H6973" s="5" t="s">
        <v>7013</v>
      </c>
      <c r="I6973" s="7">
        <v>1697100</v>
      </c>
      <c r="J6973" s="8">
        <v>3.7100000000000001E-2</v>
      </c>
    </row>
    <row r="6974" spans="1:10" x14ac:dyDescent="0.25">
      <c r="A6974" s="5" t="s">
        <v>7007</v>
      </c>
      <c r="B6974" s="5" t="s">
        <v>8841</v>
      </c>
      <c r="C6974" s="6" t="str">
        <f>_xll.QS.CONTEXT.CREATE("market.6972",A6974,"USD","SOFR")</f>
        <v>QSObject:PricingContext:w1~market.6972:6135</v>
      </c>
      <c r="D6974" s="6" t="str">
        <f>_xll.QS.CONTEXT.ADD.CURVE(C6974,"SOFR",$K$2:$K$7,$L$2:$L$7,,,"Actual360","LogLinear",TRUE)</f>
        <v>QSObject:ContextInput:w1~input.qs_context_add_curve.2359132437744.6973.3.0:33474</v>
      </c>
      <c r="E6974" s="6" t="str">
        <f>_xll.QS.INSTRUMENT.SWAP("swap.6972",H6974,B6974,"USD","SOFR",I6974,J6974,0,"Actual360","Simple","Annual","Annual","Annual")</f>
        <v>QSObject:Swap:w1~swap.6972:6134</v>
      </c>
      <c r="F6974" s="6" t="str">
        <f>_xll.QS.TRADE.CREATE("trade.6972",E6974,A6974,"Receive")</f>
        <v>QSObject:SwapTrade:w1~trade.6972:24783</v>
      </c>
      <c r="G6974" s="3">
        <f>_xll.QS.EVALUATE(C6974,F6974)</f>
        <v>40442.887294528045</v>
      </c>
      <c r="H6974" s="5" t="s">
        <v>7014</v>
      </c>
      <c r="I6974" s="7">
        <v>1697200</v>
      </c>
      <c r="J6974" s="8">
        <v>3.7199999999999997E-2</v>
      </c>
    </row>
    <row r="6975" spans="1:10" x14ac:dyDescent="0.25">
      <c r="A6975" s="5" t="s">
        <v>7008</v>
      </c>
      <c r="B6975" s="5" t="s">
        <v>8842</v>
      </c>
      <c r="C6975" s="6" t="str">
        <f>_xll.QS.CONTEXT.CREATE("market.6973",A6975,"USD","SOFR")</f>
        <v>QSObject:PricingContext:w1~market.6973:6133</v>
      </c>
      <c r="D6975" s="6" t="str">
        <f>_xll.QS.CONTEXT.ADD.CURVE(C6975,"SOFR",$K$2:$K$7,$L$2:$L$7,,,"Actual360","LogLinear",TRUE)</f>
        <v>QSObject:ContextInput:w1~input.qs_context_add_curve.2359132437744.6974.3.0:32914</v>
      </c>
      <c r="E6975" s="6" t="str">
        <f>_xll.QS.INSTRUMENT.SWAP("swap.6973",H6975,B6975,"USD","SOFR",I6975,J6975,0,"Actual360","Simple","Annual","Annual","Annual")</f>
        <v>QSObject:Swap:w1~swap.6973:6132</v>
      </c>
      <c r="F6975" s="6" t="str">
        <f>_xll.QS.TRADE.CREATE("trade.6973",E6975,A6975,"Receive")</f>
        <v>QSObject:SwapTrade:w1~trade.6973:24782</v>
      </c>
      <c r="G6975" s="3">
        <f>_xll.QS.EVALUATE(C6975,F6975)</f>
        <v>41273.159023962551</v>
      </c>
      <c r="H6975" s="5" t="s">
        <v>7015</v>
      </c>
      <c r="I6975" s="7">
        <v>1697300</v>
      </c>
      <c r="J6975" s="8">
        <v>3.73E-2</v>
      </c>
    </row>
    <row r="6976" spans="1:10" x14ac:dyDescent="0.25">
      <c r="A6976" s="5" t="s">
        <v>7009</v>
      </c>
      <c r="B6976" s="5" t="s">
        <v>8843</v>
      </c>
      <c r="C6976" s="6" t="str">
        <f>_xll.QS.CONTEXT.CREATE("market.6974",A6976,"USD","SOFR")</f>
        <v>QSObject:PricingContext:w1~market.6974:6131</v>
      </c>
      <c r="D6976" s="6" t="str">
        <f>_xll.QS.CONTEXT.ADD.CURVE(C6976,"SOFR",$K$2:$K$7,$L$2:$L$7,,,"Actual360","LogLinear",TRUE)</f>
        <v>QSObject:ContextInput:w1~input.qs_context_add_curve.2359132437744.6975.3.0:32913</v>
      </c>
      <c r="E6976" s="6" t="str">
        <f>_xll.QS.INSTRUMENT.SWAP("swap.6974",H6976,B6976,"USD","SOFR",I6976,J6976,0,"Actual360","Simple","Annual","Annual","Annual")</f>
        <v>QSObject:Swap:w1~swap.6974:6130</v>
      </c>
      <c r="F6976" s="6" t="str">
        <f>_xll.QS.TRADE.CREATE("trade.6974",E6976,A6976,"Receive")</f>
        <v>QSObject:SwapTrade:w1~trade.6974:24781</v>
      </c>
      <c r="G6976" s="3">
        <f>_xll.QS.EVALUATE(C6976,F6976)</f>
        <v>42182.303577842067</v>
      </c>
      <c r="H6976" s="5" t="s">
        <v>7016</v>
      </c>
      <c r="I6976" s="7">
        <v>1697400</v>
      </c>
      <c r="J6976" s="8">
        <v>3.7400000000000003E-2</v>
      </c>
    </row>
    <row r="6977" spans="1:10" x14ac:dyDescent="0.25">
      <c r="A6977" s="5" t="s">
        <v>7010</v>
      </c>
      <c r="B6977" s="5" t="s">
        <v>8844</v>
      </c>
      <c r="C6977" s="6" t="str">
        <f>_xll.QS.CONTEXT.CREATE("market.6975",A6977,"USD","SOFR")</f>
        <v>QSObject:PricingContext:w1~market.6975:6129</v>
      </c>
      <c r="D6977" s="6" t="str">
        <f>_xll.QS.CONTEXT.ADD.CURVE(C6977,"SOFR",$K$2:$K$7,$L$2:$L$7,,,"Actual360","LogLinear",TRUE)</f>
        <v>QSObject:ContextInput:w1~input.qs_context_add_curve.2359132437744.6976.3.0:32912</v>
      </c>
      <c r="E6977" s="6" t="str">
        <f>_xll.QS.INSTRUMENT.SWAP("swap.6975",H6977,B6977,"USD","SOFR",I6977,J6977,0,"Actual360","Simple","Annual","Annual","Annual")</f>
        <v>QSObject:Swap:w1~swap.6975:6128</v>
      </c>
      <c r="F6977" s="6" t="str">
        <f>_xll.QS.TRADE.CREATE("trade.6975",E6977,A6977,"Receive")</f>
        <v>QSObject:SwapTrade:w1~trade.6975:24780</v>
      </c>
      <c r="G6977" s="3">
        <f>_xll.QS.EVALUATE(C6977,F6977)</f>
        <v>43041.740630271488</v>
      </c>
      <c r="H6977" s="5" t="s">
        <v>7017</v>
      </c>
      <c r="I6977" s="7">
        <v>1697500</v>
      </c>
      <c r="J6977" s="8">
        <v>3.7500000000000012E-2</v>
      </c>
    </row>
    <row r="6978" spans="1:10" x14ac:dyDescent="0.25">
      <c r="A6978" s="5" t="s">
        <v>7011</v>
      </c>
      <c r="B6978" s="5" t="s">
        <v>8845</v>
      </c>
      <c r="C6978" s="6" t="str">
        <f>_xll.QS.CONTEXT.CREATE("market.6976",A6978,"USD","SOFR")</f>
        <v>QSObject:PricingContext:w1~market.6976:6127</v>
      </c>
      <c r="D6978" s="6" t="str">
        <f>_xll.QS.CONTEXT.ADD.CURVE(C6978,"SOFR",$K$2:$K$7,$L$2:$L$7,,,"Actual360","LogLinear",TRUE)</f>
        <v>QSObject:ContextInput:w1~input.qs_context_add_curve.2359132437744.6977.3.0:32911</v>
      </c>
      <c r="E6978" s="6" t="str">
        <f>_xll.QS.INSTRUMENT.SWAP("swap.6976",H6978,B6978,"USD","SOFR",I6978,J6978,0,"Actual360","Simple","Annual","Annual","Annual")</f>
        <v>QSObject:Swap:w1~swap.6976:6126</v>
      </c>
      <c r="F6978" s="6" t="str">
        <f>_xll.QS.TRADE.CREATE("trade.6976",E6978,A6978,"Receive")</f>
        <v>QSObject:SwapTrade:w1~trade.6976:24779</v>
      </c>
      <c r="G6978" s="3">
        <f>_xll.QS.EVALUATE(C6978,F6978)</f>
        <v>43761.528241565946</v>
      </c>
      <c r="H6978" s="5" t="s">
        <v>7018</v>
      </c>
      <c r="I6978" s="7">
        <v>1697600</v>
      </c>
      <c r="J6978" s="8">
        <v>3.7600000000000001E-2</v>
      </c>
    </row>
    <row r="6979" spans="1:10" x14ac:dyDescent="0.25">
      <c r="A6979" s="5" t="s">
        <v>7012</v>
      </c>
      <c r="B6979" s="5" t="s">
        <v>8846</v>
      </c>
      <c r="C6979" s="6" t="str">
        <f>_xll.QS.CONTEXT.CREATE("market.6977",A6979,"USD","SOFR")</f>
        <v>QSObject:PricingContext:w1~market.6977:6125</v>
      </c>
      <c r="D6979" s="6" t="str">
        <f>_xll.QS.CONTEXT.ADD.CURVE(C6979,"SOFR",$K$2:$K$7,$L$2:$L$7,,,"Actual360","LogLinear",TRUE)</f>
        <v>QSObject:ContextInput:w1~input.qs_context_add_curve.2359132437744.6978.3.0:33473</v>
      </c>
      <c r="E6979" s="6" t="str">
        <f>_xll.QS.INSTRUMENT.SWAP("swap.6977",H6979,B6979,"USD","SOFR",I6979,J6979,0,"Actual360","Simple","Annual","Annual","Annual")</f>
        <v>QSObject:Swap:w1~swap.6977:6124</v>
      </c>
      <c r="F6979" s="6" t="str">
        <f>_xll.QS.TRADE.CREATE("trade.6977",E6979,A6979,"Receive")</f>
        <v>QSObject:SwapTrade:w1~trade.6977:24778</v>
      </c>
      <c r="G6979" s="3">
        <f>_xll.QS.EVALUATE(C6979,F6979)</f>
        <v>44394.61189702501</v>
      </c>
      <c r="H6979" s="5" t="s">
        <v>7019</v>
      </c>
      <c r="I6979" s="7">
        <v>1697700</v>
      </c>
      <c r="J6979" s="8">
        <v>3.7699999999999997E-2</v>
      </c>
    </row>
    <row r="6980" spans="1:10" x14ac:dyDescent="0.25">
      <c r="A6980" s="5" t="s">
        <v>7013</v>
      </c>
      <c r="B6980" s="5" t="s">
        <v>8847</v>
      </c>
      <c r="C6980" s="6" t="str">
        <f>_xll.QS.CONTEXT.CREATE("market.6978",A6980,"USD","SOFR")</f>
        <v>QSObject:PricingContext:w1~market.6978:6123</v>
      </c>
      <c r="D6980" s="6" t="str">
        <f>_xll.QS.CONTEXT.ADD.CURVE(C6980,"SOFR",$K$2:$K$7,$L$2:$L$7,,,"Actual360","LogLinear",TRUE)</f>
        <v>QSObject:ContextInput:w1~input.qs_context_add_curve.2359132437744.6979.3.0:32910</v>
      </c>
      <c r="E6980" s="6" t="str">
        <f>_xll.QS.INSTRUMENT.SWAP("swap.6978",H6980,B6980,"USD","SOFR",I6980,J6980,0,"Actual360","Simple","Annual","Annual","Annual")</f>
        <v>QSObject:Swap:w1~swap.6978:6122</v>
      </c>
      <c r="F6980" s="6" t="str">
        <f>_xll.QS.TRADE.CREATE("trade.6978",E6980,A6980,"Receive")</f>
        <v>QSObject:SwapTrade:w1~trade.6978:24777</v>
      </c>
      <c r="G6980" s="3">
        <f>_xll.QS.EVALUATE(C6980,F6980)</f>
        <v>45014.111979547182</v>
      </c>
      <c r="H6980" s="5" t="s">
        <v>7020</v>
      </c>
      <c r="I6980" s="7">
        <v>1697800</v>
      </c>
      <c r="J6980" s="8">
        <v>3.78E-2</v>
      </c>
    </row>
    <row r="6981" spans="1:10" x14ac:dyDescent="0.25">
      <c r="A6981" s="5" t="s">
        <v>7014</v>
      </c>
      <c r="B6981" s="5" t="s">
        <v>8848</v>
      </c>
      <c r="C6981" s="6" t="str">
        <f>_xll.QS.CONTEXT.CREATE("market.6979",A6981,"USD","SOFR")</f>
        <v>QSObject:PricingContext:w1~market.6979:6121</v>
      </c>
      <c r="D6981" s="6" t="str">
        <f>_xll.QS.CONTEXT.ADD.CURVE(C6981,"SOFR",$K$2:$K$7,$L$2:$L$7,,,"Actual360","LogLinear",TRUE)</f>
        <v>QSObject:ContextInput:w1~input.qs_context_add_curve.2359132437744.6980.3.0:32909</v>
      </c>
      <c r="E6981" s="6" t="str">
        <f>_xll.QS.INSTRUMENT.SWAP("swap.6979",H6981,B6981,"USD","SOFR",I6981,J6981,0,"Actual360","Simple","Annual","Annual","Annual")</f>
        <v>QSObject:Swap:w1~swap.6979:6120</v>
      </c>
      <c r="F6981" s="6" t="str">
        <f>_xll.QS.TRADE.CREATE("trade.6979",E6981,A6981,"Receive")</f>
        <v>QSObject:SwapTrade:w1~trade.6979:24776</v>
      </c>
      <c r="G6981" s="3">
        <f>_xll.QS.EVALUATE(C6981,F6981)</f>
        <v>45872.295712377156</v>
      </c>
      <c r="H6981" s="5" t="s">
        <v>7021</v>
      </c>
      <c r="I6981" s="7">
        <v>1697900</v>
      </c>
      <c r="J6981" s="8">
        <v>3.7900000000000003E-2</v>
      </c>
    </row>
    <row r="6982" spans="1:10" x14ac:dyDescent="0.25">
      <c r="A6982" s="5" t="s">
        <v>7015</v>
      </c>
      <c r="B6982" s="5" t="s">
        <v>8849</v>
      </c>
      <c r="C6982" s="6" t="str">
        <f>_xll.QS.CONTEXT.CREATE("market.6980",A6982,"USD","SOFR")</f>
        <v>QSObject:PricingContext:w1~market.6980:6119</v>
      </c>
      <c r="D6982" s="6" t="str">
        <f>_xll.QS.CONTEXT.ADD.CURVE(C6982,"SOFR",$K$2:$K$7,$L$2:$L$7,,,"Actual360","LogLinear",TRUE)</f>
        <v>QSObject:ContextInput:w1~input.qs_context_add_curve.2359132437744.6981.3.0:33472</v>
      </c>
      <c r="E6982" s="6" t="str">
        <f>_xll.QS.INSTRUMENT.SWAP("swap.6980",H6982,B6982,"USD","SOFR",I6982,J6982,0,"Actual360","Simple","Annual","Annual","Annual")</f>
        <v>QSObject:Swap:w1~swap.6980:6118</v>
      </c>
      <c r="F6982" s="6" t="str">
        <f>_xll.QS.TRADE.CREATE("trade.6980",E6982,A6982,"Receive")</f>
        <v>QSObject:SwapTrade:w1~trade.6980:24775</v>
      </c>
      <c r="G6982" s="3">
        <f>_xll.QS.EVALUATE(C6982,F6982)</f>
        <v>46730.28474492691</v>
      </c>
      <c r="H6982" s="5" t="s">
        <v>7022</v>
      </c>
      <c r="I6982" s="7">
        <v>1698000</v>
      </c>
      <c r="J6982" s="8">
        <v>3.8000000000000013E-2</v>
      </c>
    </row>
    <row r="6983" spans="1:10" x14ac:dyDescent="0.25">
      <c r="A6983" s="5" t="s">
        <v>7016</v>
      </c>
      <c r="B6983" s="5" t="s">
        <v>8850</v>
      </c>
      <c r="C6983" s="6" t="str">
        <f>_xll.QS.CONTEXT.CREATE("market.6981",A6983,"USD","SOFR")</f>
        <v>QSObject:PricingContext:w1~market.6981:6117</v>
      </c>
      <c r="D6983" s="6" t="str">
        <f>_xll.QS.CONTEXT.ADD.CURVE(C6983,"SOFR",$K$2:$K$7,$L$2:$L$7,,,"Actual360","LogLinear",TRUE)</f>
        <v>QSObject:ContextInput:w1~input.qs_context_add_curve.2359132437744.6982.3.0:32908</v>
      </c>
      <c r="E6983" s="6" t="str">
        <f>_xll.QS.INSTRUMENT.SWAP("swap.6981",H6983,B6983,"USD","SOFR",I6983,J6983,0,"Actual360","Simple","Annual","Annual","Annual")</f>
        <v>QSObject:Swap:w1~swap.6981:6116</v>
      </c>
      <c r="F6983" s="6" t="str">
        <f>_xll.QS.TRADE.CREATE("trade.6981",E6983,A6983,"Receive")</f>
        <v>QSObject:SwapTrade:w1~trade.6981:24774</v>
      </c>
      <c r="G6983" s="3">
        <f>_xll.QS.EVALUATE(C6983,F6983)</f>
        <v>47743.759558180936</v>
      </c>
      <c r="H6983" s="5" t="s">
        <v>7023</v>
      </c>
      <c r="I6983" s="7">
        <v>1698100</v>
      </c>
      <c r="J6983" s="8">
        <v>3.8100000000000002E-2</v>
      </c>
    </row>
    <row r="6984" spans="1:10" x14ac:dyDescent="0.25">
      <c r="A6984" s="5" t="s">
        <v>7017</v>
      </c>
      <c r="B6984" s="5" t="s">
        <v>8851</v>
      </c>
      <c r="C6984" s="6" t="str">
        <f>_xll.QS.CONTEXT.CREATE("market.6982",A6984,"USD","SOFR")</f>
        <v>QSObject:PricingContext:w1~market.6982:6115</v>
      </c>
      <c r="D6984" s="6" t="str">
        <f>_xll.QS.CONTEXT.ADD.CURVE(C6984,"SOFR",$K$2:$K$7,$L$2:$L$7,,,"Actual360","LogLinear",TRUE)</f>
        <v>QSObject:ContextInput:w1~input.qs_context_add_curve.2359132437744.6983.3.0:33471</v>
      </c>
      <c r="E6984" s="6" t="str">
        <f>_xll.QS.INSTRUMENT.SWAP("swap.6982",H6984,B6984,"USD","SOFR",I6984,J6984,0,"Actual360","Simple","Annual","Annual","Annual")</f>
        <v>QSObject:Swap:w1~swap.6982:6114</v>
      </c>
      <c r="F6984" s="6" t="str">
        <f>_xll.QS.TRADE.CREATE("trade.6982",E6984,A6984,"Receive")</f>
        <v>QSObject:SwapTrade:w1~trade.6982:24773</v>
      </c>
      <c r="G6984" s="3">
        <f>_xll.QS.EVALUATE(C6984,F6984)</f>
        <v>48544.897908786203</v>
      </c>
      <c r="H6984" s="5" t="s">
        <v>7024</v>
      </c>
      <c r="I6984" s="7">
        <v>1698200</v>
      </c>
      <c r="J6984" s="8">
        <v>3.8199999999999998E-2</v>
      </c>
    </row>
    <row r="6985" spans="1:10" x14ac:dyDescent="0.25">
      <c r="A6985" s="5" t="s">
        <v>7018</v>
      </c>
      <c r="B6985" s="5" t="s">
        <v>8852</v>
      </c>
      <c r="C6985" s="6" t="str">
        <f>_xll.QS.CONTEXT.CREATE("market.6983",A6985,"USD","SOFR")</f>
        <v>QSObject:PricingContext:w1~market.6983:6113</v>
      </c>
      <c r="D6985" s="6" t="str">
        <f>_xll.QS.CONTEXT.ADD.CURVE(C6985,"SOFR",$K$2:$K$7,$L$2:$L$7,,,"Actual360","LogLinear",TRUE)</f>
        <v>QSObject:ContextInput:w1~input.qs_context_add_curve.2359132437744.6984.3.0:32907</v>
      </c>
      <c r="E6985" s="6" t="str">
        <f>_xll.QS.INSTRUMENT.SWAP("swap.6983",H6985,B6985,"USD","SOFR",I6985,J6985,0,"Actual360","Simple","Annual","Annual","Annual")</f>
        <v>QSObject:Swap:w1~swap.6983:6112</v>
      </c>
      <c r="F6985" s="6" t="str">
        <f>_xll.QS.TRADE.CREATE("trade.6983",E6985,A6985,"Receive")</f>
        <v>QSObject:SwapTrade:w1~trade.6983:24772</v>
      </c>
      <c r="G6985" s="3">
        <f>_xll.QS.EVALUATE(C6985,F6985)</f>
        <v>49330.188244885074</v>
      </c>
      <c r="H6985" s="5" t="s">
        <v>7025</v>
      </c>
      <c r="I6985" s="7">
        <v>1698300</v>
      </c>
      <c r="J6985" s="8">
        <v>3.8300000000000001E-2</v>
      </c>
    </row>
    <row r="6986" spans="1:10" x14ac:dyDescent="0.25">
      <c r="A6986" s="5" t="s">
        <v>7019</v>
      </c>
      <c r="B6986" s="5" t="s">
        <v>8853</v>
      </c>
      <c r="C6986" s="6" t="str">
        <f>_xll.QS.CONTEXT.CREATE("market.6984",A6986,"USD","SOFR")</f>
        <v>QSObject:PricingContext:w1~market.6984:6111</v>
      </c>
      <c r="D6986" s="6" t="str">
        <f>_xll.QS.CONTEXT.ADD.CURVE(C6986,"SOFR",$K$2:$K$7,$L$2:$L$7,,,"Actual360","LogLinear",TRUE)</f>
        <v>QSObject:ContextInput:w1~input.qs_context_add_curve.2359132437744.6985.3.0:32906</v>
      </c>
      <c r="E6986" s="6" t="str">
        <f>_xll.QS.INSTRUMENT.SWAP("swap.6984",H6986,B6986,"USD","SOFR",I6986,J6986,0,"Actual360","Simple","Annual","Annual","Annual")</f>
        <v>QSObject:Swap:w1~swap.6984:6110</v>
      </c>
      <c r="F6986" s="6" t="str">
        <f>_xll.QS.TRADE.CREATE("trade.6984",E6986,A6986,"Receive")</f>
        <v>QSObject:SwapTrade:w1~trade.6984:24771</v>
      </c>
      <c r="G6986" s="3">
        <f>_xll.QS.EVALUATE(C6986,F6986)</f>
        <v>49985.846004717721</v>
      </c>
      <c r="H6986" s="5" t="s">
        <v>7026</v>
      </c>
      <c r="I6986" s="7">
        <v>1698400</v>
      </c>
      <c r="J6986" s="8">
        <v>3.8399999999999997E-2</v>
      </c>
    </row>
    <row r="6987" spans="1:10" x14ac:dyDescent="0.25">
      <c r="A6987" s="5" t="s">
        <v>7020</v>
      </c>
      <c r="B6987" s="5" t="s">
        <v>8854</v>
      </c>
      <c r="C6987" s="6" t="str">
        <f>_xll.QS.CONTEXT.CREATE("market.6985",A6987,"USD","SOFR")</f>
        <v>QSObject:PricingContext:w1~market.6985:6109</v>
      </c>
      <c r="D6987" s="6" t="str">
        <f>_xll.QS.CONTEXT.ADD.CURVE(C6987,"SOFR",$K$2:$K$7,$L$2:$L$7,,,"Actual360","LogLinear",TRUE)</f>
        <v>QSObject:ContextInput:w1~input.qs_context_add_curve.2359132437744.6986.3.0:33470</v>
      </c>
      <c r="E6987" s="6" t="str">
        <f>_xll.QS.INSTRUMENT.SWAP("swap.6985",H6987,B6987,"USD","SOFR",I6987,J6987,0,"Actual360","Simple","Annual","Annual","Annual")</f>
        <v>QSObject:Swap:w1~swap.6985:6108</v>
      </c>
      <c r="F6987" s="6" t="str">
        <f>_xll.QS.TRADE.CREATE("trade.6985",E6987,A6987,"Receive")</f>
        <v>QSObject:SwapTrade:w1~trade.6985:24770</v>
      </c>
      <c r="G6987" s="3">
        <f>_xll.QS.EVALUATE(C6987,F6987)</f>
        <v>50657.072978674238</v>
      </c>
      <c r="H6987" s="5" t="s">
        <v>7027</v>
      </c>
      <c r="I6987" s="7">
        <v>1698500</v>
      </c>
      <c r="J6987" s="8">
        <v>3.8500000000000013E-2</v>
      </c>
    </row>
    <row r="6988" spans="1:10" x14ac:dyDescent="0.25">
      <c r="A6988" s="5" t="s">
        <v>7021</v>
      </c>
      <c r="B6988" s="5" t="s">
        <v>8855</v>
      </c>
      <c r="C6988" s="6" t="str">
        <f>_xll.QS.CONTEXT.CREATE("market.6986",A6988,"USD","SOFR")</f>
        <v>QSObject:PricingContext:w1~market.6986:6107</v>
      </c>
      <c r="D6988" s="6" t="str">
        <f>_xll.QS.CONTEXT.ADD.CURVE(C6988,"SOFR",$K$2:$K$7,$L$2:$L$7,,,"Actual360","LogLinear",TRUE)</f>
        <v>QSObject:ContextInput:w1~input.qs_context_add_curve.2359132437744.6987.3.0:32905</v>
      </c>
      <c r="E6988" s="6" t="str">
        <f>_xll.QS.INSTRUMENT.SWAP("swap.6986",H6988,B6988,"USD","SOFR",I6988,J6988,0,"Actual360","Simple","Annual","Annual","Annual")</f>
        <v>QSObject:Swap:w1~swap.6986:6106</v>
      </c>
      <c r="F6988" s="6" t="str">
        <f>_xll.QS.TRADE.CREATE("trade.6986",E6988,A6988,"Receive")</f>
        <v>QSObject:SwapTrade:w1~trade.6986:24769</v>
      </c>
      <c r="G6988" s="3">
        <f>_xll.QS.EVALUATE(C6988,F6988)</f>
        <v>51447.376049964289</v>
      </c>
      <c r="H6988" s="5" t="s">
        <v>7028</v>
      </c>
      <c r="I6988" s="7">
        <v>1698600</v>
      </c>
      <c r="J6988" s="8">
        <v>3.8600000000000002E-2</v>
      </c>
    </row>
    <row r="6989" spans="1:10" x14ac:dyDescent="0.25">
      <c r="A6989" s="5" t="s">
        <v>7022</v>
      </c>
      <c r="B6989" s="5" t="s">
        <v>8856</v>
      </c>
      <c r="C6989" s="6" t="str">
        <f>_xll.QS.CONTEXT.CREATE("market.6987",A6989,"USD","SOFR")</f>
        <v>QSObject:PricingContext:w1~market.6987:6105</v>
      </c>
      <c r="D6989" s="6" t="str">
        <f>_xll.QS.CONTEXT.ADD.CURVE(C6989,"SOFR",$K$2:$K$7,$L$2:$L$7,,,"Actual360","LogLinear",TRUE)</f>
        <v>QSObject:ContextInput:w1~input.qs_context_add_curve.2359132437744.6988.3.0:32904</v>
      </c>
      <c r="E6989" s="6" t="str">
        <f>_xll.QS.INSTRUMENT.SWAP("swap.6987",H6989,B6989,"USD","SOFR",I6989,J6989,0,"Actual360","Simple","Annual","Annual","Annual")</f>
        <v>QSObject:Swap:w1~swap.6987:6104</v>
      </c>
      <c r="F6989" s="6" t="str">
        <f>_xll.QS.TRADE.CREATE("trade.6987",E6989,A6989,"Receive")</f>
        <v>QSObject:SwapTrade:w1~trade.6987:24768</v>
      </c>
      <c r="G6989" s="3">
        <f>_xll.QS.EVALUATE(C6989,F6989)</f>
        <v>52273.957868034413</v>
      </c>
      <c r="H6989" s="5" t="s">
        <v>7029</v>
      </c>
      <c r="I6989" s="7">
        <v>1698700</v>
      </c>
      <c r="J6989" s="8">
        <v>3.8700000000000012E-2</v>
      </c>
    </row>
    <row r="6990" spans="1:10" x14ac:dyDescent="0.25">
      <c r="A6990" s="5" t="s">
        <v>7023</v>
      </c>
      <c r="B6990" s="5" t="s">
        <v>8857</v>
      </c>
      <c r="C6990" s="6" t="str">
        <f>_xll.QS.CONTEXT.CREATE("market.6988",A6990,"USD","SOFR")</f>
        <v>QSObject:PricingContext:w1~market.6988:6103</v>
      </c>
      <c r="D6990" s="6" t="str">
        <f>_xll.QS.CONTEXT.ADD.CURVE(C6990,"SOFR",$K$2:$K$7,$L$2:$L$7,,,"Actual360","LogLinear",TRUE)</f>
        <v>QSObject:ContextInput:w1~input.qs_context_add_curve.2359132437744.6989.3.0:33469</v>
      </c>
      <c r="E6990" s="6" t="str">
        <f>_xll.QS.INSTRUMENT.SWAP("swap.6988",H6990,B6990,"USD","SOFR",I6990,J6990,0,"Actual360","Simple","Annual","Annual","Annual")</f>
        <v>QSObject:Swap:w1~swap.6988:6102</v>
      </c>
      <c r="F6990" s="6" t="str">
        <f>_xll.QS.TRADE.CREATE("trade.6988",E6990,A6990,"Receive")</f>
        <v>QSObject:SwapTrade:w1~trade.6988:24767</v>
      </c>
      <c r="G6990" s="3">
        <f>_xll.QS.EVALUATE(C6990,F6990)</f>
        <v>53184.604953092887</v>
      </c>
      <c r="H6990" s="5" t="s">
        <v>7030</v>
      </c>
      <c r="I6990" s="7">
        <v>1698800</v>
      </c>
      <c r="J6990" s="8">
        <v>3.8800000000000001E-2</v>
      </c>
    </row>
    <row r="6991" spans="1:10" x14ac:dyDescent="0.25">
      <c r="A6991" s="5" t="s">
        <v>7024</v>
      </c>
      <c r="B6991" s="5" t="s">
        <v>8858</v>
      </c>
      <c r="C6991" s="6" t="str">
        <f>_xll.QS.CONTEXT.CREATE("market.6989",A6991,"USD","SOFR")</f>
        <v>QSObject:PricingContext:w1~market.6989:6101</v>
      </c>
      <c r="D6991" s="6" t="str">
        <f>_xll.QS.CONTEXT.ADD.CURVE(C6991,"SOFR",$K$2:$K$7,$L$2:$L$7,,,"Actual360","LogLinear",TRUE)</f>
        <v>QSObject:ContextInput:w1~input.qs_context_add_curve.2359132437744.6990.3.0:33468</v>
      </c>
      <c r="E6991" s="6" t="str">
        <f>_xll.QS.INSTRUMENT.SWAP("swap.6989",H6991,B6991,"USD","SOFR",I6991,J6991,0,"Actual360","Simple","Annual","Annual","Annual")</f>
        <v>QSObject:Swap:w1~swap.6989:6100</v>
      </c>
      <c r="F6991" s="6" t="str">
        <f>_xll.QS.TRADE.CREATE("trade.6989",E6991,A6991,"Receive")</f>
        <v>QSObject:SwapTrade:w1~trade.6989:24766</v>
      </c>
      <c r="G6991" s="3">
        <f>_xll.QS.EVALUATE(C6991,F6991)</f>
        <v>54045.368974457291</v>
      </c>
      <c r="H6991" s="5" t="s">
        <v>7031</v>
      </c>
      <c r="I6991" s="7">
        <v>1698900</v>
      </c>
      <c r="J6991" s="8">
        <v>3.8899999999999997E-2</v>
      </c>
    </row>
    <row r="6992" spans="1:10" x14ac:dyDescent="0.25">
      <c r="A6992" s="5" t="s">
        <v>7025</v>
      </c>
      <c r="B6992" s="5" t="s">
        <v>8859</v>
      </c>
      <c r="C6992" s="6" t="str">
        <f>_xll.QS.CONTEXT.CREATE("market.6990",A6992,"USD","SOFR")</f>
        <v>QSObject:PricingContext:w1~market.6990:6099</v>
      </c>
      <c r="D6992" s="6" t="str">
        <f>_xll.QS.CONTEXT.ADD.CURVE(C6992,"SOFR",$K$2:$K$7,$L$2:$L$7,,,"Actual360","LogLinear",TRUE)</f>
        <v>QSObject:ContextInput:w1~input.qs_context_add_curve.2359132437744.6991.3.0:33467</v>
      </c>
      <c r="E6992" s="6" t="str">
        <f>_xll.QS.INSTRUMENT.SWAP("swap.6990",H6992,B6992,"USD","SOFR",I6992,J6992,0,"Actual360","Simple","Annual","Annual","Annual")</f>
        <v>QSObject:Swap:w1~swap.6990:6098</v>
      </c>
      <c r="F6992" s="6" t="str">
        <f>_xll.QS.TRADE.CREATE("trade.6990",E6992,A6992,"Receive")</f>
        <v>QSObject:SwapTrade:w1~trade.6990:24765</v>
      </c>
      <c r="G6992" s="3">
        <f>_xll.QS.EVALUATE(C6992,F6992)</f>
        <v>54766.716952532333</v>
      </c>
      <c r="H6992" s="5" t="s">
        <v>7032</v>
      </c>
      <c r="I6992" s="7">
        <v>1699000</v>
      </c>
      <c r="J6992" s="8">
        <v>3.9000000000000007E-2</v>
      </c>
    </row>
    <row r="6993" spans="1:10" x14ac:dyDescent="0.25">
      <c r="A6993" s="5" t="s">
        <v>7026</v>
      </c>
      <c r="B6993" s="5" t="s">
        <v>8860</v>
      </c>
      <c r="C6993" s="6" t="str">
        <f>_xll.QS.CONTEXT.CREATE("market.6991",A6993,"USD","SOFR")</f>
        <v>QSObject:PricingContext:w1~market.6991:6097</v>
      </c>
      <c r="D6993" s="6" t="str">
        <f>_xll.QS.CONTEXT.ADD.CURVE(C6993,"SOFR",$K$2:$K$7,$L$2:$L$7,,,"Actual360","LogLinear",TRUE)</f>
        <v>QSObject:ContextInput:w1~input.qs_context_add_curve.2359132437744.6992.3.0:33466</v>
      </c>
      <c r="E6993" s="6" t="str">
        <f>_xll.QS.INSTRUMENT.SWAP("swap.6991",H6993,B6993,"USD","SOFR",I6993,J6993,0,"Actual360","Simple","Annual","Annual","Annual")</f>
        <v>QSObject:Swap:w1~swap.6991:6096</v>
      </c>
      <c r="F6993" s="6" t="str">
        <f>_xll.QS.TRADE.CREATE("trade.6991",E6993,A6993,"Receive")</f>
        <v>QSObject:SwapTrade:w1~trade.6991:24764</v>
      </c>
      <c r="G6993" s="3">
        <f>_xll.QS.EVALUATE(C6993,F6993)</f>
        <v>55520.913510407656</v>
      </c>
      <c r="H6993" s="5" t="s">
        <v>7033</v>
      </c>
      <c r="I6993" s="7">
        <v>1699100</v>
      </c>
      <c r="J6993" s="8">
        <v>3.9100000000000003E-2</v>
      </c>
    </row>
    <row r="6994" spans="1:10" x14ac:dyDescent="0.25">
      <c r="A6994" s="5" t="s">
        <v>7027</v>
      </c>
      <c r="B6994" s="5" t="s">
        <v>8861</v>
      </c>
      <c r="C6994" s="6" t="str">
        <f>_xll.QS.CONTEXT.CREATE("market.6992",A6994,"USD","SOFR")</f>
        <v>QSObject:PricingContext:w1~market.6992:6095</v>
      </c>
      <c r="D6994" s="6" t="str">
        <f>_xll.QS.CONTEXT.ADD.CURVE(C6994,"SOFR",$K$2:$K$7,$L$2:$L$7,,,"Actual360","LogLinear",TRUE)</f>
        <v>QSObject:ContextInput:w1~input.qs_context_add_curve.2359132437744.6993.3.0:32903</v>
      </c>
      <c r="E6994" s="6" t="str">
        <f>_xll.QS.INSTRUMENT.SWAP("swap.6992",H6994,B6994,"USD","SOFR",I6994,J6994,0,"Actual360","Simple","Annual","Annual","Annual")</f>
        <v>QSObject:Swap:w1~swap.6992:6094</v>
      </c>
      <c r="F6994" s="6" t="str">
        <f>_xll.QS.TRADE.CREATE("trade.6992",E6994,A6994,"Receive")</f>
        <v>QSObject:SwapTrade:w1~trade.6992:24763</v>
      </c>
      <c r="G6994" s="3">
        <f>_xll.QS.EVALUATE(C6994,F6994)</f>
        <v>56096.293683307027</v>
      </c>
      <c r="H6994" s="5" t="s">
        <v>7035</v>
      </c>
      <c r="I6994" s="7">
        <v>1699200</v>
      </c>
      <c r="J6994" s="8">
        <v>3.9200000000000013E-2</v>
      </c>
    </row>
    <row r="6995" spans="1:10" x14ac:dyDescent="0.25">
      <c r="A6995" s="5" t="s">
        <v>7028</v>
      </c>
      <c r="B6995" s="5" t="s">
        <v>8862</v>
      </c>
      <c r="C6995" s="6" t="str">
        <f>_xll.QS.CONTEXT.CREATE("market.6993",A6995,"USD","SOFR")</f>
        <v>QSObject:PricingContext:w1~market.6993:6093</v>
      </c>
      <c r="D6995" s="6" t="str">
        <f>_xll.QS.CONTEXT.ADD.CURVE(C6995,"SOFR",$K$2:$K$7,$L$2:$L$7,,,"Actual360","LogLinear",TRUE)</f>
        <v>QSObject:ContextInput:w1~input.qs_context_add_curve.2359132437744.6994.3.0:33465</v>
      </c>
      <c r="E6995" s="6" t="str">
        <f>_xll.QS.INSTRUMENT.SWAP("swap.6993",H6995,B6995,"USD","SOFR",I6995,J6995,0,"Actual360","Simple","Annual","Annual","Annual")</f>
        <v>QSObject:Swap:w1~swap.6993:6092</v>
      </c>
      <c r="F6995" s="6" t="str">
        <f>_xll.QS.TRADE.CREATE("trade.6993",E6995,A6995,"Receive")</f>
        <v>QSObject:SwapTrade:w1~trade.6993:24762</v>
      </c>
      <c r="G6995" s="3">
        <f>_xll.QS.EVALUATE(C6995,F6995)</f>
        <v>56956.490282314691</v>
      </c>
      <c r="H6995" s="5" t="s">
        <v>7036</v>
      </c>
      <c r="I6995" s="7">
        <v>1699300</v>
      </c>
      <c r="J6995" s="8">
        <v>3.9300000000000002E-2</v>
      </c>
    </row>
    <row r="6996" spans="1:10" x14ac:dyDescent="0.25">
      <c r="A6996" s="5" t="s">
        <v>7029</v>
      </c>
      <c r="B6996" s="5" t="s">
        <v>8863</v>
      </c>
      <c r="C6996" s="6" t="str">
        <f>_xll.QS.CONTEXT.CREATE("market.6994",A6996,"USD","SOFR")</f>
        <v>QSObject:PricingContext:w1~market.6994:6091</v>
      </c>
      <c r="D6996" s="6" t="str">
        <f>_xll.QS.CONTEXT.ADD.CURVE(C6996,"SOFR",$K$2:$K$7,$L$2:$L$7,,,"Actual360","LogLinear",TRUE)</f>
        <v>QSObject:ContextInput:w1~input.qs_context_add_curve.2359132437744.6995.3.0:33464</v>
      </c>
      <c r="E6996" s="6" t="str">
        <f>_xll.QS.INSTRUMENT.SWAP("swap.6994",H6996,B6996,"USD","SOFR",I6996,J6996,0,"Actual360","Simple","Annual","Annual","Annual")</f>
        <v>QSObject:Swap:w1~swap.6994:6090</v>
      </c>
      <c r="F6996" s="6" t="str">
        <f>_xll.QS.TRADE.CREATE("trade.6994",E6996,A6996,"Receive")</f>
        <v>QSObject:SwapTrade:w1~trade.6994:24761</v>
      </c>
      <c r="G6996" s="3">
        <f>_xll.QS.EVALUATE(C6996,F6996)</f>
        <v>57780.527999640944</v>
      </c>
      <c r="H6996" s="5" t="s">
        <v>7037</v>
      </c>
      <c r="I6996" s="7">
        <v>1699400</v>
      </c>
      <c r="J6996" s="8">
        <v>3.9399999999999998E-2</v>
      </c>
    </row>
    <row r="6997" spans="1:10" x14ac:dyDescent="0.25">
      <c r="A6997" s="5" t="s">
        <v>7030</v>
      </c>
      <c r="B6997" s="5" t="s">
        <v>8864</v>
      </c>
      <c r="C6997" s="6" t="str">
        <f>_xll.QS.CONTEXT.CREATE("market.6995",A6997,"USD","SOFR")</f>
        <v>QSObject:PricingContext:w1~market.6995:6089</v>
      </c>
      <c r="D6997" s="6" t="str">
        <f>_xll.QS.CONTEXT.ADD.CURVE(C6997,"SOFR",$K$2:$K$7,$L$2:$L$7,,,"Actual360","LogLinear",TRUE)</f>
        <v>QSObject:ContextInput:w1~input.qs_context_add_curve.2359132437744.6996.3.0:33463</v>
      </c>
      <c r="E6997" s="6" t="str">
        <f>_xll.QS.INSTRUMENT.SWAP("swap.6995",H6997,B6997,"USD","SOFR",I6997,J6997,0,"Actual360","Simple","Annual","Annual","Annual")</f>
        <v>QSObject:Swap:w1~swap.6995:6088</v>
      </c>
      <c r="F6997" s="6" t="str">
        <f>_xll.QS.TRADE.CREATE("trade.6995",E6997,A6997,"Receive")</f>
        <v>QSObject:SwapTrade:w1~trade.6995:24760</v>
      </c>
      <c r="G6997" s="3">
        <f>_xll.QS.EVALUATE(C6997,F6997)</f>
        <v>58758.065862919881</v>
      </c>
      <c r="H6997" s="5" t="s">
        <v>7038</v>
      </c>
      <c r="I6997" s="7">
        <v>1699500</v>
      </c>
      <c r="J6997" s="8">
        <v>3.9500000000000007E-2</v>
      </c>
    </row>
    <row r="6998" spans="1:10" x14ac:dyDescent="0.25">
      <c r="A6998" s="5" t="s">
        <v>7031</v>
      </c>
      <c r="B6998" s="5" t="s">
        <v>8865</v>
      </c>
      <c r="C6998" s="6" t="str">
        <f>_xll.QS.CONTEXT.CREATE("market.6996",A6998,"USD","SOFR")</f>
        <v>QSObject:PricingContext:w1~market.6996:6087</v>
      </c>
      <c r="D6998" s="6" t="str">
        <f>_xll.QS.CONTEXT.ADD.CURVE(C6998,"SOFR",$K$2:$K$7,$L$2:$L$7,,,"Actual360","LogLinear",TRUE)</f>
        <v>QSObject:ContextInput:w1~input.qs_context_add_curve.2359132437744.6997.3.0:32902</v>
      </c>
      <c r="E6998" s="6" t="str">
        <f>_xll.QS.INSTRUMENT.SWAP("swap.6996",H6998,B6998,"USD","SOFR",I6998,J6998,0,"Actual360","Simple","Annual","Annual","Annual")</f>
        <v>QSObject:Swap:w1~swap.6996:6086</v>
      </c>
      <c r="F6998" s="6" t="str">
        <f>_xll.QS.TRADE.CREATE("trade.6996",E6998,A6998,"Receive")</f>
        <v>QSObject:SwapTrade:w1~trade.6996:24759</v>
      </c>
      <c r="G6998" s="3">
        <f>_xll.QS.EVALUATE(C6998,F6998)</f>
        <v>59554.008476809984</v>
      </c>
      <c r="H6998" s="5" t="s">
        <v>7039</v>
      </c>
      <c r="I6998" s="7">
        <v>1699600</v>
      </c>
      <c r="J6998" s="8">
        <v>3.9600000000000003E-2</v>
      </c>
    </row>
    <row r="6999" spans="1:10" x14ac:dyDescent="0.25">
      <c r="A6999" s="5" t="s">
        <v>7032</v>
      </c>
      <c r="B6999" s="5" t="s">
        <v>8866</v>
      </c>
      <c r="C6999" s="6" t="str">
        <f>_xll.QS.CONTEXT.CREATE("market.6997",A6999,"USD","SOFR")</f>
        <v>QSObject:PricingContext:w1~market.6997:6085</v>
      </c>
      <c r="D6999" s="6" t="str">
        <f>_xll.QS.CONTEXT.ADD.CURVE(C6999,"SOFR",$K$2:$K$7,$L$2:$L$7,,,"Actual360","LogLinear",TRUE)</f>
        <v>QSObject:ContextInput:w1~input.qs_context_add_curve.2359132437744.6998.3.0:33462</v>
      </c>
      <c r="E6999" s="6" t="str">
        <f>_xll.QS.INSTRUMENT.SWAP("swap.6997",H6999,B6999,"USD","SOFR",I6999,J6999,0,"Actual360","Simple","Annual","Annual","Annual")</f>
        <v>QSObject:Swap:w1~swap.6997:6084</v>
      </c>
      <c r="F6999" s="6" t="str">
        <f>_xll.QS.TRADE.CREATE("trade.6997",E6999,A6999,"Receive")</f>
        <v>QSObject:SwapTrade:w1~trade.6997:24758</v>
      </c>
      <c r="G6999" s="3">
        <f>_xll.QS.EVALUATE(C6999,F6999)</f>
        <v>60275.757085312951</v>
      </c>
      <c r="H6999" s="5" t="s">
        <v>7040</v>
      </c>
      <c r="I6999" s="7">
        <v>1699700</v>
      </c>
      <c r="J6999" s="8">
        <v>3.9700000000000013E-2</v>
      </c>
    </row>
    <row r="7000" spans="1:10" x14ac:dyDescent="0.25">
      <c r="A7000" s="5" t="s">
        <v>7033</v>
      </c>
      <c r="B7000" s="5" t="s">
        <v>8867</v>
      </c>
      <c r="C7000" s="6" t="str">
        <f>_xll.QS.CONTEXT.CREATE("market.6998",A7000,"USD","SOFR")</f>
        <v>QSObject:PricingContext:w1~market.6998:6083</v>
      </c>
      <c r="D7000" s="6" t="str">
        <f>_xll.QS.CONTEXT.ADD.CURVE(C7000,"SOFR",$K$2:$K$7,$L$2:$L$7,,,"Actual360","LogLinear",TRUE)</f>
        <v>QSObject:ContextInput:w1~input.qs_context_add_curve.2359132437744.6999.3.0:33461</v>
      </c>
      <c r="E7000" s="6" t="str">
        <f>_xll.QS.INSTRUMENT.SWAP("swap.6998",H7000,B7000,"USD","SOFR",I7000,J7000,0,"Actual360","Simple","Annual","Annual","Annual")</f>
        <v>QSObject:Swap:w1~swap.6998:6082</v>
      </c>
      <c r="F7000" s="6" t="str">
        <f>_xll.QS.TRADE.CREATE("trade.6998",E7000,A7000,"Receive")</f>
        <v>QSObject:SwapTrade:w1~trade.6998:24757</v>
      </c>
      <c r="G7000" s="3">
        <f>_xll.QS.EVALUATE(C7000,F7000)</f>
        <v>60919.585061411861</v>
      </c>
      <c r="H7000" s="5" t="s">
        <v>7041</v>
      </c>
      <c r="I7000" s="7">
        <v>1699800</v>
      </c>
      <c r="J7000" s="8">
        <v>3.9800000000000002E-2</v>
      </c>
    </row>
    <row r="7001" spans="1:10" x14ac:dyDescent="0.25">
      <c r="A7001" s="5" t="s">
        <v>7035</v>
      </c>
      <c r="B7001" s="5" t="s">
        <v>8868</v>
      </c>
      <c r="C7001" s="6" t="str">
        <f>_xll.QS.CONTEXT.CREATE("market.6999",A7001,"USD","SOFR")</f>
        <v>QSObject:PricingContext:w1~market.6999:6081</v>
      </c>
      <c r="D7001" s="6" t="str">
        <f>_xll.QS.CONTEXT.ADD.CURVE(C7001,"SOFR",$K$2:$K$7,$L$2:$L$7,,,"Actual360","LogLinear",TRUE)</f>
        <v>QSObject:ContextInput:w1~input.qs_context_add_curve.2359132437744.7000.3.0:32901</v>
      </c>
      <c r="E7001" s="6" t="str">
        <f>_xll.QS.INSTRUMENT.SWAP("swap.6999",H7001,B7001,"USD","SOFR",I7001,J7001,0,"Actual360","Simple","Annual","Annual","Annual")</f>
        <v>QSObject:Swap:w1~swap.6999:6080</v>
      </c>
      <c r="F7001" s="6" t="str">
        <f>_xll.QS.TRADE.CREATE("trade.6999",E7001,A7001,"Receive")</f>
        <v>QSObject:SwapTrade:w1~trade.6999:24756</v>
      </c>
      <c r="G7001" s="3">
        <f>_xll.QS.EVALUATE(C7001,F7001)</f>
        <v>61608.9157715291</v>
      </c>
      <c r="H7001" s="5" t="s">
        <v>7042</v>
      </c>
      <c r="I7001" s="7">
        <v>1699900</v>
      </c>
      <c r="J7001" s="8">
        <v>3.9899999999999998E-2</v>
      </c>
    </row>
    <row r="7002" spans="1:10" x14ac:dyDescent="0.25">
      <c r="A7002" s="5" t="s">
        <v>7036</v>
      </c>
      <c r="B7002" s="5" t="s">
        <v>8869</v>
      </c>
      <c r="C7002" s="6" t="str">
        <f>_xll.QS.CONTEXT.CREATE("market.7000",A7002,"USD","SOFR")</f>
        <v>QSObject:PricingContext:w1~market.7000:6079</v>
      </c>
      <c r="D7002" s="6" t="str">
        <f>_xll.QS.CONTEXT.ADD.CURVE(C7002,"SOFR",$K$2:$K$7,$L$2:$L$7,,,"Actual360","LogLinear",TRUE)</f>
        <v>QSObject:ContextInput:w1~input.qs_context_add_curve.2359132437744.7001.3.0:33460</v>
      </c>
      <c r="E7002" s="6" t="str">
        <f>_xll.QS.INSTRUMENT.SWAP("swap.7000",H7002,B7002,"USD","SOFR",I7002,J7002,0,"Actual360","Simple","Annual","Annual","Annual")</f>
        <v>QSObject:Swap:w1~swap.7000:6078</v>
      </c>
      <c r="F7002" s="6" t="str">
        <f>_xll.QS.TRADE.CREATE("trade.7000",E7002,A7002,"Receive")</f>
        <v>QSObject:SwapTrade:w1~trade.7000:24755</v>
      </c>
      <c r="G7002" s="3">
        <f>_xll.QS.EVALUATE(C7002,F7002)</f>
        <v>23254.853799676697</v>
      </c>
      <c r="H7002" s="5" t="s">
        <v>7043</v>
      </c>
      <c r="I7002" s="7">
        <v>1700000</v>
      </c>
      <c r="J7002" s="8">
        <v>3.5000000000000003E-2</v>
      </c>
    </row>
    <row r="7003" spans="1:10" x14ac:dyDescent="0.25">
      <c r="A7003" s="5" t="s">
        <v>7037</v>
      </c>
      <c r="B7003" s="5" t="s">
        <v>8870</v>
      </c>
      <c r="C7003" s="6" t="str">
        <f>_xll.QS.CONTEXT.CREATE("market.7001",A7003,"USD","SOFR")</f>
        <v>QSObject:PricingContext:w1~market.7001:6077</v>
      </c>
      <c r="D7003" s="6" t="str">
        <f>_xll.QS.CONTEXT.ADD.CURVE(C7003,"SOFR",$K$2:$K$7,$L$2:$L$7,,,"Actual360","LogLinear",TRUE)</f>
        <v>QSObject:ContextInput:w1~input.qs_context_add_curve.2359132437744.7002.3.0:33459</v>
      </c>
      <c r="E7003" s="6" t="str">
        <f>_xll.QS.INSTRUMENT.SWAP("swap.7001",H7003,B7003,"USD","SOFR",I7003,J7003,0,"Actual360","Simple","Annual","Annual","Annual")</f>
        <v>QSObject:Swap:w1~swap.7001:6076</v>
      </c>
      <c r="F7003" s="6" t="str">
        <f>_xll.QS.TRADE.CREATE("trade.7001",E7003,A7003,"Receive")</f>
        <v>QSObject:SwapTrade:w1~trade.7001:24754</v>
      </c>
      <c r="G7003" s="3">
        <f>_xll.QS.EVALUATE(C7003,F7003)</f>
        <v>24093.632245506356</v>
      </c>
      <c r="H7003" s="5" t="s">
        <v>7044</v>
      </c>
      <c r="I7003" s="7">
        <v>1700100</v>
      </c>
      <c r="J7003" s="8">
        <v>3.5100000000000013E-2</v>
      </c>
    </row>
    <row r="7004" spans="1:10" x14ac:dyDescent="0.25">
      <c r="A7004" s="5" t="s">
        <v>7038</v>
      </c>
      <c r="B7004" s="5" t="s">
        <v>8871</v>
      </c>
      <c r="C7004" s="6" t="str">
        <f>_xll.QS.CONTEXT.CREATE("market.7002",A7004,"USD","SOFR")</f>
        <v>QSObject:PricingContext:w1~market.7002:6075</v>
      </c>
      <c r="D7004" s="6" t="str">
        <f>_xll.QS.CONTEXT.ADD.CURVE(C7004,"SOFR",$K$2:$K$7,$L$2:$L$7,,,"Actual360","LogLinear",TRUE)</f>
        <v>QSObject:ContextInput:w1~input.qs_context_add_curve.2359132437744.7003.3.0:32900</v>
      </c>
      <c r="E7004" s="6" t="str">
        <f>_xll.QS.INSTRUMENT.SWAP("swap.7002",H7004,B7004,"USD","SOFR",I7004,J7004,0,"Actual360","Simple","Annual","Annual","Annual")</f>
        <v>QSObject:Swap:w1~swap.7002:6074</v>
      </c>
      <c r="F7004" s="6" t="str">
        <f>_xll.QS.TRADE.CREATE("trade.7002",E7004,A7004,"Receive")</f>
        <v>QSObject:SwapTrade:w1~trade.7002:24753</v>
      </c>
      <c r="G7004" s="3">
        <f>_xll.QS.EVALUATE(C7004,F7004)</f>
        <v>25003.321180050661</v>
      </c>
      <c r="H7004" s="5" t="s">
        <v>7045</v>
      </c>
      <c r="I7004" s="7">
        <v>1700200</v>
      </c>
      <c r="J7004" s="8">
        <v>3.5200000000000002E-2</v>
      </c>
    </row>
    <row r="7005" spans="1:10" x14ac:dyDescent="0.25">
      <c r="A7005" s="5" t="s">
        <v>7039</v>
      </c>
      <c r="B7005" s="5" t="s">
        <v>8872</v>
      </c>
      <c r="C7005" s="6" t="str">
        <f>_xll.QS.CONTEXT.CREATE("market.7003",A7005,"USD","SOFR")</f>
        <v>QSObject:PricingContext:w1~market.7003:6073</v>
      </c>
      <c r="D7005" s="6" t="str">
        <f>_xll.QS.CONTEXT.ADD.CURVE(C7005,"SOFR",$K$2:$K$7,$L$2:$L$7,,,"Actual360","LogLinear",TRUE)</f>
        <v>QSObject:ContextInput:w1~input.qs_context_add_curve.2359132437744.7004.3.0:33458</v>
      </c>
      <c r="E7005" s="6" t="str">
        <f>_xll.QS.INSTRUMENT.SWAP("swap.7003",H7005,B7005,"USD","SOFR",I7005,J7005,0,"Actual360","Simple","Annual","Annual","Annual")</f>
        <v>QSObject:Swap:w1~swap.7003:6072</v>
      </c>
      <c r="F7005" s="6" t="str">
        <f>_xll.QS.TRADE.CREATE("trade.7003",E7005,A7005,"Receive")</f>
        <v>QSObject:SwapTrade:w1~trade.7003:24752</v>
      </c>
      <c r="G7005" s="3">
        <f>_xll.QS.EVALUATE(C7005,F7005)</f>
        <v>25862.947361656778</v>
      </c>
      <c r="H7005" s="5" t="s">
        <v>7046</v>
      </c>
      <c r="I7005" s="7">
        <v>1700300</v>
      </c>
      <c r="J7005" s="8">
        <v>3.5299999999999998E-2</v>
      </c>
    </row>
    <row r="7006" spans="1:10" x14ac:dyDescent="0.25">
      <c r="A7006" s="5" t="s">
        <v>7040</v>
      </c>
      <c r="B7006" s="5" t="s">
        <v>8873</v>
      </c>
      <c r="C7006" s="6" t="str">
        <f>_xll.QS.CONTEXT.CREATE("market.7004",A7006,"USD","SOFR")</f>
        <v>QSObject:PricingContext:w1~market.7004:6071</v>
      </c>
      <c r="D7006" s="6" t="str">
        <f>_xll.QS.CONTEXT.ADD.CURVE(C7006,"SOFR",$K$2:$K$7,$L$2:$L$7,,,"Actual360","LogLinear",TRUE)</f>
        <v>QSObject:ContextInput:w1~input.qs_context_add_curve.2359132437744.7005.3.0:33457</v>
      </c>
      <c r="E7006" s="6" t="str">
        <f>_xll.QS.INSTRUMENT.SWAP("swap.7004",H7006,B7006,"USD","SOFR",I7006,J7006,0,"Actual360","Simple","Annual","Annual","Annual")</f>
        <v>QSObject:Swap:w1~swap.7004:6070</v>
      </c>
      <c r="F7006" s="6" t="str">
        <f>_xll.QS.TRADE.CREATE("trade.7004",E7006,A7006,"Receive")</f>
        <v>QSObject:SwapTrade:w1~trade.7004:24751</v>
      </c>
      <c r="G7006" s="3">
        <f>_xll.QS.EVALUATE(C7006,F7006)</f>
        <v>26583.379256357221</v>
      </c>
      <c r="H7006" s="5" t="s">
        <v>7047</v>
      </c>
      <c r="I7006" s="7">
        <v>1700400</v>
      </c>
      <c r="J7006" s="8">
        <v>3.5400000000000001E-2</v>
      </c>
    </row>
    <row r="7007" spans="1:10" x14ac:dyDescent="0.25">
      <c r="A7007" s="5" t="s">
        <v>7041</v>
      </c>
      <c r="B7007" s="5" t="s">
        <v>8874</v>
      </c>
      <c r="C7007" s="6" t="str">
        <f>_xll.QS.CONTEXT.CREATE("market.7005",A7007,"USD","SOFR")</f>
        <v>QSObject:PricingContext:w1~market.7005:6069</v>
      </c>
      <c r="D7007" s="6" t="str">
        <f>_xll.QS.CONTEXT.ADD.CURVE(C7007,"SOFR",$K$2:$K$7,$L$2:$L$7,,,"Actual360","LogLinear",TRUE)</f>
        <v>QSObject:ContextInput:w1~input.qs_context_add_curve.2359132437744.7006.3.0:33456</v>
      </c>
      <c r="E7007" s="6" t="str">
        <f>_xll.QS.INSTRUMENT.SWAP("swap.7005",H7007,B7007,"USD","SOFR",I7007,J7007,0,"Actual360","Simple","Annual","Annual","Annual")</f>
        <v>QSObject:Swap:w1~swap.7005:6068</v>
      </c>
      <c r="F7007" s="6" t="str">
        <f>_xll.QS.TRADE.CREATE("trade.7005",E7007,A7007,"Receive")</f>
        <v>QSObject:SwapTrade:w1~trade.7005:24750</v>
      </c>
      <c r="G7007" s="3">
        <f>_xll.QS.EVALUATE(C7007,F7007)</f>
        <v>27265.197579234016</v>
      </c>
      <c r="H7007" s="5" t="s">
        <v>7048</v>
      </c>
      <c r="I7007" s="7">
        <v>1700500</v>
      </c>
      <c r="J7007" s="8">
        <v>3.5499999999999997E-2</v>
      </c>
    </row>
    <row r="7008" spans="1:10" x14ac:dyDescent="0.25">
      <c r="A7008" s="5" t="s">
        <v>7042</v>
      </c>
      <c r="B7008" s="5" t="s">
        <v>8875</v>
      </c>
      <c r="C7008" s="6" t="str">
        <f>_xll.QS.CONTEXT.CREATE("market.7006",A7008,"USD","SOFR")</f>
        <v>QSObject:PricingContext:w1~market.7006:6067</v>
      </c>
      <c r="D7008" s="6" t="str">
        <f>_xll.QS.CONTEXT.ADD.CURVE(C7008,"SOFR",$K$2:$K$7,$L$2:$L$7,,,"Actual360","LogLinear",TRUE)</f>
        <v>QSObject:ContextInput:w1~input.qs_context_add_curve.2359132437744.7007.3.0:32899</v>
      </c>
      <c r="E7008" s="6" t="str">
        <f>_xll.QS.INSTRUMENT.SWAP("swap.7006",H7008,B7008,"USD","SOFR",I7008,J7008,0,"Actual360","Simple","Annual","Annual","Annual")</f>
        <v>QSObject:Swap:w1~swap.7006:6066</v>
      </c>
      <c r="F7008" s="6" t="str">
        <f>_xll.QS.TRADE.CREATE("trade.7006",E7008,A7008,"Receive")</f>
        <v>QSObject:SwapTrade:w1~trade.7006:24749</v>
      </c>
      <c r="G7008" s="3">
        <f>_xll.QS.EVALUATE(C7008,F7008)</f>
        <v>27900.551247148614</v>
      </c>
      <c r="H7008" s="5" t="s">
        <v>7049</v>
      </c>
      <c r="I7008" s="7">
        <v>1700600</v>
      </c>
      <c r="J7008" s="8">
        <v>3.5600000000000007E-2</v>
      </c>
    </row>
    <row r="7009" spans="1:10" x14ac:dyDescent="0.25">
      <c r="A7009" s="5" t="s">
        <v>7043</v>
      </c>
      <c r="B7009" s="5" t="s">
        <v>8876</v>
      </c>
      <c r="C7009" s="6" t="str">
        <f>_xll.QS.CONTEXT.CREATE("market.7007",A7009,"USD","SOFR")</f>
        <v>QSObject:PricingContext:w1~market.7007:6065</v>
      </c>
      <c r="D7009" s="6" t="str">
        <f>_xll.QS.CONTEXT.ADD.CURVE(C7009,"SOFR",$K$2:$K$7,$L$2:$L$7,,,"Actual360","LogLinear",TRUE)</f>
        <v>QSObject:ContextInput:w1~input.qs_context_add_curve.2359132437744.7008.3.0:32898</v>
      </c>
      <c r="E7009" s="6" t="str">
        <f>_xll.QS.INSTRUMENT.SWAP("swap.7007",H7009,B7009,"USD","SOFR",I7009,J7009,0,"Actual360","Simple","Annual","Annual","Annual")</f>
        <v>QSObject:Swap:w1~swap.7007:6064</v>
      </c>
      <c r="F7009" s="6" t="str">
        <f>_xll.QS.TRADE.CREATE("trade.7007",E7009,A7009,"Receive")</f>
        <v>QSObject:SwapTrade:w1~trade.7007:24748</v>
      </c>
      <c r="G7009" s="3">
        <f>_xll.QS.EVALUATE(C7009,F7009)</f>
        <v>28756.8223828259</v>
      </c>
      <c r="H7009" s="5" t="s">
        <v>7050</v>
      </c>
      <c r="I7009" s="7">
        <v>1700700</v>
      </c>
      <c r="J7009" s="8">
        <v>3.5700000000000003E-2</v>
      </c>
    </row>
    <row r="7010" spans="1:10" x14ac:dyDescent="0.25">
      <c r="A7010" s="5" t="s">
        <v>7044</v>
      </c>
      <c r="B7010" s="5" t="s">
        <v>8877</v>
      </c>
      <c r="C7010" s="6" t="str">
        <f>_xll.QS.CONTEXT.CREATE("market.7008",A7010,"USD","SOFR")</f>
        <v>QSObject:PricingContext:w1~market.7008:6063</v>
      </c>
      <c r="D7010" s="6" t="str">
        <f>_xll.QS.CONTEXT.ADD.CURVE(C7010,"SOFR",$K$2:$K$7,$L$2:$L$7,,,"Actual360","LogLinear",TRUE)</f>
        <v>QSObject:ContextInput:w1~input.qs_context_add_curve.2359132437744.7009.3.0:33455</v>
      </c>
      <c r="E7010" s="6" t="str">
        <f>_xll.QS.INSTRUMENT.SWAP("swap.7008",H7010,B7010,"USD","SOFR",I7010,J7010,0,"Actual360","Simple","Annual","Annual","Annual")</f>
        <v>QSObject:Swap:w1~swap.7008:6062</v>
      </c>
      <c r="F7010" s="6" t="str">
        <f>_xll.QS.TRADE.CREATE("trade.7008",E7010,A7010,"Receive")</f>
        <v>QSObject:SwapTrade:w1~trade.7008:24747</v>
      </c>
      <c r="G7010" s="3">
        <f>_xll.QS.EVALUATE(C7010,F7010)</f>
        <v>29593.600950793363</v>
      </c>
      <c r="H7010" s="5" t="s">
        <v>7051</v>
      </c>
      <c r="I7010" s="7">
        <v>1700800</v>
      </c>
      <c r="J7010" s="8">
        <v>3.5800000000000012E-2</v>
      </c>
    </row>
    <row r="7011" spans="1:10" x14ac:dyDescent="0.25">
      <c r="A7011" s="5" t="s">
        <v>7045</v>
      </c>
      <c r="B7011" s="5" t="s">
        <v>8878</v>
      </c>
      <c r="C7011" s="6" t="str">
        <f>_xll.QS.CONTEXT.CREATE("market.7009",A7011,"USD","SOFR")</f>
        <v>QSObject:PricingContext:w1~market.7009:6061</v>
      </c>
      <c r="D7011" s="6" t="str">
        <f>_xll.QS.CONTEXT.ADD.CURVE(C7011,"SOFR",$K$2:$K$7,$L$2:$L$7,,,"Actual360","LogLinear",TRUE)</f>
        <v>QSObject:ContextInput:w1~input.qs_context_add_curve.2359132437744.7010.3.0:33454</v>
      </c>
      <c r="E7011" s="6" t="str">
        <f>_xll.QS.INSTRUMENT.SWAP("swap.7009",H7011,B7011,"USD","SOFR",I7011,J7011,0,"Actual360","Simple","Annual","Annual","Annual")</f>
        <v>QSObject:Swap:w1~swap.7009:6060</v>
      </c>
      <c r="F7011" s="6" t="str">
        <f>_xll.QS.TRADE.CREATE("trade.7009",E7011,A7011,"Receive")</f>
        <v>QSObject:SwapTrade:w1~trade.7009:24746</v>
      </c>
      <c r="G7011" s="3">
        <f>_xll.QS.EVALUATE(C7011,F7011)</f>
        <v>30504.073511874674</v>
      </c>
      <c r="H7011" s="5" t="s">
        <v>7052</v>
      </c>
      <c r="I7011" s="7">
        <v>1700900</v>
      </c>
      <c r="J7011" s="8">
        <v>3.5900000000000001E-2</v>
      </c>
    </row>
    <row r="7012" spans="1:10" x14ac:dyDescent="0.25">
      <c r="A7012" s="5" t="s">
        <v>7046</v>
      </c>
      <c r="B7012" s="5" t="s">
        <v>8879</v>
      </c>
      <c r="C7012" s="6" t="str">
        <f>_xll.QS.CONTEXT.CREATE("market.7010",A7012,"USD","SOFR")</f>
        <v>QSObject:PricingContext:w1~market.7010:6059</v>
      </c>
      <c r="D7012" s="6" t="str">
        <f>_xll.QS.CONTEXT.ADD.CURVE(C7012,"SOFR",$K$2:$K$7,$L$2:$L$7,,,"Actual360","LogLinear",TRUE)</f>
        <v>QSObject:ContextInput:w1~input.qs_context_add_curve.2359132437744.7011.3.0:33453</v>
      </c>
      <c r="E7012" s="6" t="str">
        <f>_xll.QS.INSTRUMENT.SWAP("swap.7010",H7012,B7012,"USD","SOFR",I7012,J7012,0,"Actual360","Simple","Annual","Annual","Annual")</f>
        <v>QSObject:Swap:w1~swap.7010:6058</v>
      </c>
      <c r="F7012" s="6" t="str">
        <f>_xll.QS.TRADE.CREATE("trade.7010",E7012,A7012,"Receive")</f>
        <v>QSObject:SwapTrade:w1~trade.7010:24745</v>
      </c>
      <c r="G7012" s="3">
        <f>_xll.QS.EVALUATE(C7012,F7012)</f>
        <v>31364.43881432456</v>
      </c>
      <c r="H7012" s="5" t="s">
        <v>7053</v>
      </c>
      <c r="I7012" s="7">
        <v>1701000</v>
      </c>
      <c r="J7012" s="8">
        <v>3.5999999999999997E-2</v>
      </c>
    </row>
    <row r="7013" spans="1:10" x14ac:dyDescent="0.25">
      <c r="A7013" s="5" t="s">
        <v>7047</v>
      </c>
      <c r="B7013" s="5" t="s">
        <v>8880</v>
      </c>
      <c r="C7013" s="6" t="str">
        <f>_xll.QS.CONTEXT.CREATE("market.7011",A7013,"USD","SOFR")</f>
        <v>QSObject:PricingContext:w1~market.7011:6057</v>
      </c>
      <c r="D7013" s="6" t="str">
        <f>_xll.QS.CONTEXT.ADD.CURVE(C7013,"SOFR",$K$2:$K$7,$L$2:$L$7,,,"Actual360","LogLinear",TRUE)</f>
        <v>QSObject:ContextInput:w1~input.qs_context_add_curve.2359132437744.7012.3.0:32897</v>
      </c>
      <c r="E7013" s="6" t="str">
        <f>_xll.QS.INSTRUMENT.SWAP("swap.7011",H7013,B7013,"USD","SOFR",I7013,J7013,0,"Actual360","Simple","Annual","Annual","Annual")</f>
        <v>QSObject:Swap:w1~swap.7011:6056</v>
      </c>
      <c r="F7013" s="6" t="str">
        <f>_xll.QS.TRADE.CREATE("trade.7011",E7013,A7013,"Receive")</f>
        <v>QSObject:SwapTrade:w1~trade.7011:24744</v>
      </c>
      <c r="G7013" s="3">
        <f>_xll.QS.EVALUATE(C7013,F7013)</f>
        <v>32085.42913890929</v>
      </c>
      <c r="H7013" s="5" t="s">
        <v>7054</v>
      </c>
      <c r="I7013" s="7">
        <v>1701100</v>
      </c>
      <c r="J7013" s="8">
        <v>3.61E-2</v>
      </c>
    </row>
    <row r="7014" spans="1:10" x14ac:dyDescent="0.25">
      <c r="A7014" s="5" t="s">
        <v>7048</v>
      </c>
      <c r="B7014" s="5" t="s">
        <v>8881</v>
      </c>
      <c r="C7014" s="6" t="str">
        <f>_xll.QS.CONTEXT.CREATE("market.7012",A7014,"USD","SOFR")</f>
        <v>QSObject:PricingContext:w1~market.7012:6055</v>
      </c>
      <c r="D7014" s="6" t="str">
        <f>_xll.QS.CONTEXT.ADD.CURVE(C7014,"SOFR",$K$2:$K$7,$L$2:$L$7,,,"Actual360","LogLinear",TRUE)</f>
        <v>QSObject:ContextInput:w1~input.qs_context_add_curve.2359132437744.7013.3.0:32896</v>
      </c>
      <c r="E7014" s="6" t="str">
        <f>_xll.QS.INSTRUMENT.SWAP("swap.7012",H7014,B7014,"USD","SOFR",I7014,J7014,0,"Actual360","Simple","Annual","Annual","Annual")</f>
        <v>QSObject:Swap:w1~swap.7012:6054</v>
      </c>
      <c r="F7014" s="6" t="str">
        <f>_xll.QS.TRADE.CREATE("trade.7012",E7014,A7014,"Receive")</f>
        <v>QSObject:SwapTrade:w1~trade.7012:24743</v>
      </c>
      <c r="G7014" s="3">
        <f>_xll.QS.EVALUATE(C7014,F7014)</f>
        <v>32761.383272417021</v>
      </c>
      <c r="H7014" s="5" t="s">
        <v>7055</v>
      </c>
      <c r="I7014" s="7">
        <v>1701200</v>
      </c>
      <c r="J7014" s="8">
        <v>3.6200000000000003E-2</v>
      </c>
    </row>
    <row r="7015" spans="1:10" x14ac:dyDescent="0.25">
      <c r="A7015" s="5" t="s">
        <v>7049</v>
      </c>
      <c r="B7015" s="5" t="s">
        <v>8882</v>
      </c>
      <c r="C7015" s="6" t="str">
        <f>_xll.QS.CONTEXT.CREATE("market.7013",A7015,"USD","SOFR")</f>
        <v>QSObject:PricingContext:w1~market.7013:6053</v>
      </c>
      <c r="D7015" s="6" t="str">
        <f>_xll.QS.CONTEXT.ADD.CURVE(C7015,"SOFR",$K$2:$K$7,$L$2:$L$7,,,"Actual360","LogLinear",TRUE)</f>
        <v>QSObject:ContextInput:w1~input.qs_context_add_curve.2359132437744.7014.3.0:33452</v>
      </c>
      <c r="E7015" s="6" t="str">
        <f>_xll.QS.INSTRUMENT.SWAP("swap.7013",H7015,B7015,"USD","SOFR",I7015,J7015,0,"Actual360","Simple","Annual","Annual","Annual")</f>
        <v>QSObject:Swap:w1~swap.7013:6052</v>
      </c>
      <c r="F7015" s="6" t="str">
        <f>_xll.QS.TRADE.CREATE("trade.7013",E7015,A7015,"Receive")</f>
        <v>QSObject:SwapTrade:w1~trade.7013:24742</v>
      </c>
      <c r="G7015" s="3">
        <f>_xll.QS.EVALUATE(C7015,F7015)</f>
        <v>33405.834237035211</v>
      </c>
      <c r="H7015" s="5" t="s">
        <v>7056</v>
      </c>
      <c r="I7015" s="7">
        <v>1701300</v>
      </c>
      <c r="J7015" s="8">
        <v>3.6300000000000013E-2</v>
      </c>
    </row>
    <row r="7016" spans="1:10" x14ac:dyDescent="0.25">
      <c r="A7016" s="5" t="s">
        <v>7050</v>
      </c>
      <c r="B7016" s="5" t="s">
        <v>8883</v>
      </c>
      <c r="C7016" s="6" t="str">
        <f>_xll.QS.CONTEXT.CREATE("market.7014",A7016,"USD","SOFR")</f>
        <v>QSObject:PricingContext:w1~market.7014:6051</v>
      </c>
      <c r="D7016" s="6" t="str">
        <f>_xll.QS.CONTEXT.ADD.CURVE(C7016,"SOFR",$K$2:$K$7,$L$2:$L$7,,,"Actual360","LogLinear",TRUE)</f>
        <v>QSObject:ContextInput:w1~input.qs_context_add_curve.2359132437744.7015.3.0:33451</v>
      </c>
      <c r="E7016" s="6" t="str">
        <f>_xll.QS.INSTRUMENT.SWAP("swap.7014",H7016,B7016,"USD","SOFR",I7016,J7016,0,"Actual360","Simple","Annual","Annual","Annual")</f>
        <v>QSObject:Swap:w1~swap.7014:6050</v>
      </c>
      <c r="F7016" s="6" t="str">
        <f>_xll.QS.TRADE.CREATE("trade.7014",E7016,A7016,"Receive")</f>
        <v>QSObject:SwapTrade:w1~trade.7014:24741</v>
      </c>
      <c r="G7016" s="3">
        <f>_xll.QS.EVALUATE(C7016,F7016)</f>
        <v>34263.312251490817</v>
      </c>
      <c r="H7016" s="5" t="s">
        <v>7057</v>
      </c>
      <c r="I7016" s="7">
        <v>1701400</v>
      </c>
      <c r="J7016" s="8">
        <v>3.6400000000000002E-2</v>
      </c>
    </row>
    <row r="7017" spans="1:10" x14ac:dyDescent="0.25">
      <c r="A7017" s="5" t="s">
        <v>7051</v>
      </c>
      <c r="B7017" s="5" t="s">
        <v>8884</v>
      </c>
      <c r="C7017" s="6" t="str">
        <f>_xll.QS.CONTEXT.CREATE("market.7015",A7017,"USD","SOFR")</f>
        <v>QSObject:PricingContext:w1~market.7015:6049</v>
      </c>
      <c r="D7017" s="6" t="str">
        <f>_xll.QS.CONTEXT.ADD.CURVE(C7017,"SOFR",$K$2:$K$7,$L$2:$L$7,,,"Actual360","LogLinear",TRUE)</f>
        <v>QSObject:ContextInput:w1~input.qs_context_add_curve.2359132437744.7016.3.0:32895</v>
      </c>
      <c r="E7017" s="6" t="str">
        <f>_xll.QS.INSTRUMENT.SWAP("swap.7015",H7017,B7017,"USD","SOFR",I7017,J7017,0,"Actual360","Simple","Annual","Annual","Annual")</f>
        <v>QSObject:Swap:w1~swap.7015:6048</v>
      </c>
      <c r="F7017" s="6" t="str">
        <f>_xll.QS.TRADE.CREATE("trade.7015",E7017,A7017,"Receive")</f>
        <v>QSObject:SwapTrade:w1~trade.7015:24740</v>
      </c>
      <c r="G7017" s="3">
        <f>_xll.QS.EVALUATE(C7017,F7017)</f>
        <v>35098.088745763853</v>
      </c>
      <c r="H7017" s="5" t="s">
        <v>7058</v>
      </c>
      <c r="I7017" s="7">
        <v>1701500</v>
      </c>
      <c r="J7017" s="8">
        <v>3.6499999999999998E-2</v>
      </c>
    </row>
    <row r="7018" spans="1:10" x14ac:dyDescent="0.25">
      <c r="A7018" s="5" t="s">
        <v>7052</v>
      </c>
      <c r="B7018" s="5" t="s">
        <v>8885</v>
      </c>
      <c r="C7018" s="6" t="str">
        <f>_xll.QS.CONTEXT.CREATE("market.7016",A7018,"USD","SOFR")</f>
        <v>QSObject:PricingContext:w1~market.7016:6047</v>
      </c>
      <c r="D7018" s="6" t="str">
        <f>_xll.QS.CONTEXT.ADD.CURVE(C7018,"SOFR",$K$2:$K$7,$L$2:$L$7,,,"Actual360","LogLinear",TRUE)</f>
        <v>QSObject:ContextInput:w1~input.qs_context_add_curve.2359132437744.7017.3.0:33450</v>
      </c>
      <c r="E7018" s="6" t="str">
        <f>_xll.QS.INSTRUMENT.SWAP("swap.7016",H7018,B7018,"USD","SOFR",I7018,J7018,0,"Actual360","Simple","Annual","Annual","Annual")</f>
        <v>QSObject:Swap:w1~swap.7016:6046</v>
      </c>
      <c r="F7018" s="6" t="str">
        <f>_xll.QS.TRADE.CREATE("trade.7016",E7018,A7018,"Receive")</f>
        <v>QSObject:SwapTrade:w1~trade.7016:24739</v>
      </c>
      <c r="G7018" s="3">
        <f>_xll.QS.EVALUATE(C7018,F7018)</f>
        <v>36009.345004896044</v>
      </c>
      <c r="H7018" s="5" t="s">
        <v>7059</v>
      </c>
      <c r="I7018" s="7">
        <v>1701600</v>
      </c>
      <c r="J7018" s="8">
        <v>3.6600000000000001E-2</v>
      </c>
    </row>
    <row r="7019" spans="1:10" x14ac:dyDescent="0.25">
      <c r="A7019" s="5" t="s">
        <v>7053</v>
      </c>
      <c r="B7019" s="5" t="s">
        <v>8886</v>
      </c>
      <c r="C7019" s="6" t="str">
        <f>_xll.QS.CONTEXT.CREATE("market.7017",A7019,"USD","SOFR")</f>
        <v>QSObject:PricingContext:w1~market.7017:6045</v>
      </c>
      <c r="D7019" s="6" t="str">
        <f>_xll.QS.CONTEXT.ADD.CURVE(C7019,"SOFR",$K$2:$K$7,$L$2:$L$7,,,"Actual360","LogLinear",TRUE)</f>
        <v>QSObject:ContextInput:w1~input.qs_context_add_curve.2359132437744.7018.3.0:33449</v>
      </c>
      <c r="E7019" s="6" t="str">
        <f>_xll.QS.INSTRUMENT.SWAP("swap.7017",H7019,B7019,"USD","SOFR",I7019,J7019,0,"Actual360","Simple","Annual","Annual","Annual")</f>
        <v>QSObject:Swap:w1~swap.7017:6044</v>
      </c>
      <c r="F7019" s="6" t="str">
        <f>_xll.QS.TRADE.CREATE("trade.7017",E7019,A7019,"Receive")</f>
        <v>QSObject:SwapTrade:w1~trade.7017:24738</v>
      </c>
      <c r="G7019" s="3">
        <f>_xll.QS.EVALUATE(C7019,F7019)</f>
        <v>36870.449480064337</v>
      </c>
      <c r="H7019" s="5" t="s">
        <v>7060</v>
      </c>
      <c r="I7019" s="7">
        <v>1701700</v>
      </c>
      <c r="J7019" s="8">
        <v>3.6700000000000003E-2</v>
      </c>
    </row>
    <row r="7020" spans="1:10" x14ac:dyDescent="0.25">
      <c r="A7020" s="5" t="s">
        <v>7054</v>
      </c>
      <c r="B7020" s="5" t="s">
        <v>8887</v>
      </c>
      <c r="C7020" s="6" t="str">
        <f>_xll.QS.CONTEXT.CREATE("market.7018",A7020,"USD","SOFR")</f>
        <v>QSObject:PricingContext:w1~market.7018:6043</v>
      </c>
      <c r="D7020" s="6" t="str">
        <f>_xll.QS.CONTEXT.ADD.CURVE(C7020,"SOFR",$K$2:$K$7,$L$2:$L$7,,,"Actual360","LogLinear",TRUE)</f>
        <v>QSObject:ContextInput:w1~input.qs_context_add_curve.2359132437744.7019.3.0:32894</v>
      </c>
      <c r="E7020" s="6" t="str">
        <f>_xll.QS.INSTRUMENT.SWAP("swap.7018",H7020,B7020,"USD","SOFR",I7020,J7020,0,"Actual360","Simple","Annual","Annual","Annual")</f>
        <v>QSObject:Swap:w1~swap.7018:6042</v>
      </c>
      <c r="F7020" s="6" t="str">
        <f>_xll.QS.TRADE.CREATE("trade.7018",E7020,A7020,"Receive")</f>
        <v>QSObject:SwapTrade:w1~trade.7018:24737</v>
      </c>
      <c r="G7020" s="3">
        <f>_xll.QS.EVALUATE(C7020,F7020)</f>
        <v>37591.997233202746</v>
      </c>
      <c r="H7020" s="5" t="s">
        <v>7061</v>
      </c>
      <c r="I7020" s="7">
        <v>1701800</v>
      </c>
      <c r="J7020" s="8">
        <v>3.6800000000000013E-2</v>
      </c>
    </row>
    <row r="7021" spans="1:10" x14ac:dyDescent="0.25">
      <c r="A7021" s="5" t="s">
        <v>7055</v>
      </c>
      <c r="B7021" s="5" t="s">
        <v>8888</v>
      </c>
      <c r="C7021" s="6" t="str">
        <f>_xll.QS.CONTEXT.CREATE("market.7019",A7021,"USD","SOFR")</f>
        <v>QSObject:PricingContext:w1~market.7019:6041</v>
      </c>
      <c r="D7021" s="6" t="str">
        <f>_xll.QS.CONTEXT.ADD.CURVE(C7021,"SOFR",$K$2:$K$7,$L$2:$L$7,,,"Actual360","LogLinear",TRUE)</f>
        <v>QSObject:ContextInput:w1~input.qs_context_add_curve.2359132437744.7020.3.0:33448</v>
      </c>
      <c r="E7021" s="6" t="str">
        <f>_xll.QS.INSTRUMENT.SWAP("swap.7019",H7021,B7021,"USD","SOFR",I7021,J7021,0,"Actual360","Simple","Annual","Annual","Annual")</f>
        <v>QSObject:Swap:w1~swap.7019:6040</v>
      </c>
      <c r="F7021" s="6" t="str">
        <f>_xll.QS.TRADE.CREATE("trade.7019",E7021,A7021,"Receive")</f>
        <v>QSObject:SwapTrade:w1~trade.7019:24736</v>
      </c>
      <c r="G7021" s="3">
        <f>_xll.QS.EVALUATE(C7021,F7021)</f>
        <v>38262.08090342694</v>
      </c>
      <c r="H7021" s="5" t="s">
        <v>7062</v>
      </c>
      <c r="I7021" s="7">
        <v>1701900</v>
      </c>
      <c r="J7021" s="8">
        <v>3.6900000000000002E-2</v>
      </c>
    </row>
    <row r="7022" spans="1:10" x14ac:dyDescent="0.25">
      <c r="A7022" s="5" t="s">
        <v>7056</v>
      </c>
      <c r="B7022" s="5" t="s">
        <v>8889</v>
      </c>
      <c r="C7022" s="6" t="str">
        <f>_xll.QS.CONTEXT.CREATE("market.7020",A7022,"USD","SOFR")</f>
        <v>QSObject:PricingContext:w1~market.7020:6039</v>
      </c>
      <c r="D7022" s="6" t="str">
        <f>_xll.QS.CONTEXT.ADD.CURVE(C7022,"SOFR",$K$2:$K$7,$L$2:$L$7,,,"Actual360","LogLinear",TRUE)</f>
        <v>QSObject:ContextInput:w1~input.qs_context_add_curve.2359132437744.7021.3.0:33447</v>
      </c>
      <c r="E7022" s="6" t="str">
        <f>_xll.QS.INSTRUMENT.SWAP("swap.7020",H7022,B7022,"USD","SOFR",I7022,J7022,0,"Actual360","Simple","Annual","Annual","Annual")</f>
        <v>QSObject:Swap:w1~swap.7020:6038</v>
      </c>
      <c r="F7022" s="6" t="str">
        <f>_xll.QS.TRADE.CREATE("trade.7020",E7022,A7022,"Receive")</f>
        <v>QSObject:SwapTrade:w1~trade.7020:24735</v>
      </c>
      <c r="G7022" s="3">
        <f>_xll.QS.EVALUATE(C7022,F7022)</f>
        <v>38915.640542440422</v>
      </c>
      <c r="H7022" s="5" t="s">
        <v>7063</v>
      </c>
      <c r="I7022" s="7">
        <v>1702000</v>
      </c>
      <c r="J7022" s="8">
        <v>3.7000000000000012E-2</v>
      </c>
    </row>
    <row r="7023" spans="1:10" x14ac:dyDescent="0.25">
      <c r="A7023" s="5" t="s">
        <v>7057</v>
      </c>
      <c r="B7023" s="5" t="s">
        <v>8890</v>
      </c>
      <c r="C7023" s="6" t="str">
        <f>_xll.QS.CONTEXT.CREATE("market.7021",A7023,"USD","SOFR")</f>
        <v>QSObject:PricingContext:w1~market.7021:6037</v>
      </c>
      <c r="D7023" s="6" t="str">
        <f>_xll.QS.CONTEXT.ADD.CURVE(C7023,"SOFR",$K$2:$K$7,$L$2:$L$7,,,"Actual360","LogLinear",TRUE)</f>
        <v>QSObject:ContextInput:w1~input.qs_context_add_curve.2359132437744.7022.3.0:32893</v>
      </c>
      <c r="E7023" s="6" t="str">
        <f>_xll.QS.INSTRUMENT.SWAP("swap.7021",H7023,B7023,"USD","SOFR",I7023,J7023,0,"Actual360","Simple","Annual","Annual","Annual")</f>
        <v>QSObject:Swap:w1~swap.7021:6036</v>
      </c>
      <c r="F7023" s="6" t="str">
        <f>_xll.QS.TRADE.CREATE("trade.7021",E7023,A7023,"Receive")</f>
        <v>QSObject:SwapTrade:w1~trade.7021:24734</v>
      </c>
      <c r="G7023" s="3">
        <f>_xll.QS.EVALUATE(C7023,F7023)</f>
        <v>39774.491742030463</v>
      </c>
      <c r="H7023" s="5" t="s">
        <v>7064</v>
      </c>
      <c r="I7023" s="7">
        <v>1702100</v>
      </c>
      <c r="J7023" s="8">
        <v>3.7100000000000001E-2</v>
      </c>
    </row>
    <row r="7024" spans="1:10" x14ac:dyDescent="0.25">
      <c r="A7024" s="5" t="s">
        <v>7058</v>
      </c>
      <c r="B7024" s="5" t="s">
        <v>8891</v>
      </c>
      <c r="C7024" s="6" t="str">
        <f>_xll.QS.CONTEXT.CREATE("market.7022",A7024,"USD","SOFR")</f>
        <v>QSObject:PricingContext:w1~market.7022:6035</v>
      </c>
      <c r="D7024" s="6" t="str">
        <f>_xll.QS.CONTEXT.ADD.CURVE(C7024,"SOFR",$K$2:$K$7,$L$2:$L$7,,,"Actual360","LogLinear",TRUE)</f>
        <v>QSObject:ContextInput:w1~input.qs_context_add_curve.2359132437744.7023.3.0:33446</v>
      </c>
      <c r="E7024" s="6" t="str">
        <f>_xll.QS.INSTRUMENT.SWAP("swap.7022",H7024,B7024,"USD","SOFR",I7024,J7024,0,"Actual360","Simple","Annual","Annual","Annual")</f>
        <v>QSObject:Swap:w1~swap.7022:6034</v>
      </c>
      <c r="F7024" s="6" t="str">
        <f>_xll.QS.TRADE.CREATE("trade.7022",E7024,A7024,"Receive")</f>
        <v>QSObject:SwapTrade:w1~trade.7022:24733</v>
      </c>
      <c r="G7024" s="3">
        <f>_xll.QS.EVALUATE(C7024,F7024)</f>
        <v>40607.564535959587</v>
      </c>
      <c r="H7024" s="5" t="s">
        <v>7065</v>
      </c>
      <c r="I7024" s="7">
        <v>1702200</v>
      </c>
      <c r="J7024" s="8">
        <v>3.7199999999999997E-2</v>
      </c>
    </row>
    <row r="7025" spans="1:10" x14ac:dyDescent="0.25">
      <c r="A7025" s="5" t="s">
        <v>7059</v>
      </c>
      <c r="B7025" s="5" t="s">
        <v>8892</v>
      </c>
      <c r="C7025" s="6" t="str">
        <f>_xll.QS.CONTEXT.CREATE("market.7023",A7025,"USD","SOFR")</f>
        <v>QSObject:PricingContext:w1~market.7023:6033</v>
      </c>
      <c r="D7025" s="6" t="str">
        <f>_xll.QS.CONTEXT.ADD.CURVE(C7025,"SOFR",$K$2:$K$7,$L$2:$L$7,,,"Actual360","LogLinear",TRUE)</f>
        <v>QSObject:ContextInput:w1~input.qs_context_add_curve.2359132437744.7024.3.0:32892</v>
      </c>
      <c r="E7025" s="6" t="str">
        <f>_xll.QS.INSTRUMENT.SWAP("swap.7023",H7025,B7025,"USD","SOFR",I7025,J7025,0,"Actual360","Simple","Annual","Annual","Annual")</f>
        <v>QSObject:Swap:w1~swap.7023:6032</v>
      </c>
      <c r="F7025" s="6" t="str">
        <f>_xll.QS.TRADE.CREATE("trade.7023",E7025,A7025,"Receive")</f>
        <v>QSObject:SwapTrade:w1~trade.7023:24732</v>
      </c>
      <c r="G7025" s="3">
        <f>_xll.QS.EVALUATE(C7025,F7025)</f>
        <v>41519.138248397605</v>
      </c>
      <c r="H7025" s="5" t="s">
        <v>7066</v>
      </c>
      <c r="I7025" s="7">
        <v>1702300</v>
      </c>
      <c r="J7025" s="8">
        <v>3.73E-2</v>
      </c>
    </row>
    <row r="7026" spans="1:10" x14ac:dyDescent="0.25">
      <c r="A7026" s="5" t="s">
        <v>7060</v>
      </c>
      <c r="B7026" s="5" t="s">
        <v>8893</v>
      </c>
      <c r="C7026" s="6" t="str">
        <f>_xll.QS.CONTEXT.CREATE("market.7024",A7026,"USD","SOFR")</f>
        <v>QSObject:PricingContext:w1~market.7024:6031</v>
      </c>
      <c r="D7026" s="6" t="str">
        <f>_xll.QS.CONTEXT.ADD.CURVE(C7026,"SOFR",$K$2:$K$7,$L$2:$L$7,,,"Actual360","LogLinear",TRUE)</f>
        <v>QSObject:ContextInput:w1~input.qs_context_add_curve.2359132437744.7025.3.0:33445</v>
      </c>
      <c r="E7026" s="6" t="str">
        <f>_xll.QS.INSTRUMENT.SWAP("swap.7024",H7026,B7026,"USD","SOFR",I7026,J7026,0,"Actual360","Simple","Annual","Annual","Annual")</f>
        <v>QSObject:Swap:w1~swap.7024:6030</v>
      </c>
      <c r="F7026" s="6" t="str">
        <f>_xll.QS.TRADE.CREATE("trade.7024",E7026,A7026,"Receive")</f>
        <v>QSObject:SwapTrade:w1~trade.7024:24731</v>
      </c>
      <c r="G7026" s="3">
        <f>_xll.QS.EVALUATE(C7026,F7026)</f>
        <v>42380.428062276609</v>
      </c>
      <c r="H7026" s="5" t="s">
        <v>7067</v>
      </c>
      <c r="I7026" s="7">
        <v>1702400</v>
      </c>
      <c r="J7026" s="8">
        <v>3.7400000000000003E-2</v>
      </c>
    </row>
    <row r="7027" spans="1:10" x14ac:dyDescent="0.25">
      <c r="A7027" s="5" t="s">
        <v>7061</v>
      </c>
      <c r="B7027" s="5" t="s">
        <v>8894</v>
      </c>
      <c r="C7027" s="6" t="str">
        <f>_xll.QS.CONTEXT.CREATE("market.7025",A7027,"USD","SOFR")</f>
        <v>QSObject:PricingContext:w1~market.7025:6029</v>
      </c>
      <c r="D7027" s="6" t="str">
        <f>_xll.QS.CONTEXT.ADD.CURVE(C7027,"SOFR",$K$2:$K$7,$L$2:$L$7,,,"Actual360","LogLinear",TRUE)</f>
        <v>QSObject:ContextInput:w1~input.qs_context_add_curve.2359132437744.7026.3.0:32891</v>
      </c>
      <c r="E7027" s="6" t="str">
        <f>_xll.QS.INSTRUMENT.SWAP("swap.7025",H7027,B7027,"USD","SOFR",I7027,J7027,0,"Actual360","Simple","Annual","Annual","Annual")</f>
        <v>QSObject:Swap:w1~swap.7025:6028</v>
      </c>
      <c r="F7027" s="6" t="str">
        <f>_xll.QS.TRADE.CREATE("trade.7025",E7027,A7027,"Receive")</f>
        <v>QSObject:SwapTrade:w1~trade.7025:24730</v>
      </c>
      <c r="G7027" s="3">
        <f>_xll.QS.EVALUATE(C7027,F7027)</f>
        <v>43104.019553253434</v>
      </c>
      <c r="H7027" s="5" t="s">
        <v>7068</v>
      </c>
      <c r="I7027" s="7">
        <v>1702500</v>
      </c>
      <c r="J7027" s="8">
        <v>3.7500000000000012E-2</v>
      </c>
    </row>
    <row r="7028" spans="1:10" x14ac:dyDescent="0.25">
      <c r="A7028" s="5" t="s">
        <v>7062</v>
      </c>
      <c r="B7028" s="5" t="s">
        <v>8895</v>
      </c>
      <c r="C7028" s="6" t="str">
        <f>_xll.QS.CONTEXT.CREATE("market.7026",A7028,"USD","SOFR")</f>
        <v>QSObject:PricingContext:w1~market.7026:6027</v>
      </c>
      <c r="D7028" s="6" t="str">
        <f>_xll.QS.CONTEXT.ADD.CURVE(C7028,"SOFR",$K$2:$K$7,$L$2:$L$7,,,"Actual360","LogLinear",TRUE)</f>
        <v>QSObject:ContextInput:w1~input.qs_context_add_curve.2359132437744.7027.3.0:32890</v>
      </c>
      <c r="E7028" s="6" t="str">
        <f>_xll.QS.INSTRUMENT.SWAP("swap.7026",H7028,B7028,"USD","SOFR",I7028,J7028,0,"Actual360","Simple","Annual","Annual","Annual")</f>
        <v>QSObject:Swap:w1~swap.7026:6026</v>
      </c>
      <c r="F7028" s="6" t="str">
        <f>_xll.QS.TRADE.CREATE("trade.7026",E7028,A7028,"Receive")</f>
        <v>QSObject:SwapTrade:w1~trade.7026:24729</v>
      </c>
      <c r="G7028" s="3">
        <f>_xll.QS.EVALUATE(C7028,F7028)</f>
        <v>43768.16695206079</v>
      </c>
      <c r="H7028" s="5" t="s">
        <v>7069</v>
      </c>
      <c r="I7028" s="7">
        <v>1702600</v>
      </c>
      <c r="J7028" s="8">
        <v>3.7600000000000001E-2</v>
      </c>
    </row>
    <row r="7029" spans="1:10" x14ac:dyDescent="0.25">
      <c r="A7029" s="5" t="s">
        <v>7063</v>
      </c>
      <c r="B7029" s="5" t="s">
        <v>8896</v>
      </c>
      <c r="C7029" s="6" t="str">
        <f>_xll.QS.CONTEXT.CREATE("market.7027",A7029,"USD","SOFR")</f>
        <v>QSObject:PricingContext:w1~market.7027:6025</v>
      </c>
      <c r="D7029" s="6" t="str">
        <f>_xll.QS.CONTEXT.ADD.CURVE(C7029,"SOFR",$K$2:$K$7,$L$2:$L$7,,,"Actual360","LogLinear",TRUE)</f>
        <v>QSObject:ContextInput:w1~input.qs_context_add_curve.2359132437744.7028.3.0:32889</v>
      </c>
      <c r="E7029" s="6" t="str">
        <f>_xll.QS.INSTRUMENT.SWAP("swap.7027",H7029,B7029,"USD","SOFR",I7029,J7029,0,"Actual360","Simple","Annual","Annual","Annual")</f>
        <v>QSObject:Swap:w1~swap.7027:6024</v>
      </c>
      <c r="F7029" s="6" t="str">
        <f>_xll.QS.TRADE.CREATE("trade.7027",E7029,A7029,"Receive")</f>
        <v>QSObject:SwapTrade:w1~trade.7027:24728</v>
      </c>
      <c r="G7029" s="3">
        <f>_xll.QS.EVALUATE(C7029,F7029)</f>
        <v>44430.666071270738</v>
      </c>
      <c r="H7029" s="5" t="s">
        <v>7070</v>
      </c>
      <c r="I7029" s="7">
        <v>1702700</v>
      </c>
      <c r="J7029" s="8">
        <v>3.7699999999999997E-2</v>
      </c>
    </row>
    <row r="7030" spans="1:10" x14ac:dyDescent="0.25">
      <c r="A7030" s="5" t="s">
        <v>7064</v>
      </c>
      <c r="B7030" s="5" t="s">
        <v>8897</v>
      </c>
      <c r="C7030" s="6" t="str">
        <f>_xll.QS.CONTEXT.CREATE("market.7028",A7030,"USD","SOFR")</f>
        <v>QSObject:PricingContext:w1~market.7028:6023</v>
      </c>
      <c r="D7030" s="6" t="str">
        <f>_xll.QS.CONTEXT.ADD.CURVE(C7030,"SOFR",$K$2:$K$7,$L$2:$L$7,,,"Actual360","LogLinear",TRUE)</f>
        <v>QSObject:ContextInput:w1~input.qs_context_add_curve.2359132437744.7029.3.0:32888</v>
      </c>
      <c r="E7030" s="6" t="str">
        <f>_xll.QS.INSTRUMENT.SWAP("swap.7028",H7030,B7030,"USD","SOFR",I7030,J7030,0,"Actual360","Simple","Annual","Annual","Annual")</f>
        <v>QSObject:Swap:w1~swap.7028:6022</v>
      </c>
      <c r="F7030" s="6" t="str">
        <f>_xll.QS.TRADE.CREATE("trade.7028",E7030,A7030,"Receive")</f>
        <v>QSObject:SwapTrade:w1~trade.7028:24727</v>
      </c>
      <c r="G7030" s="3">
        <f>_xll.QS.EVALUATE(C7030,F7030)</f>
        <v>45290.005729053642</v>
      </c>
      <c r="H7030" s="5" t="s">
        <v>7071</v>
      </c>
      <c r="I7030" s="7">
        <v>1702800</v>
      </c>
      <c r="J7030" s="8">
        <v>3.78E-2</v>
      </c>
    </row>
    <row r="7031" spans="1:10" x14ac:dyDescent="0.25">
      <c r="A7031" s="5" t="s">
        <v>7065</v>
      </c>
      <c r="B7031" s="5" t="s">
        <v>8898</v>
      </c>
      <c r="C7031" s="6" t="str">
        <f>_xll.QS.CONTEXT.CREATE("market.7029",A7031,"USD","SOFR")</f>
        <v>QSObject:PricingContext:w1~market.7029:6021</v>
      </c>
      <c r="D7031" s="6" t="str">
        <f>_xll.QS.CONTEXT.ADD.CURVE(C7031,"SOFR",$K$2:$K$7,$L$2:$L$7,,,"Actual360","LogLinear",TRUE)</f>
        <v>QSObject:ContextInput:w1~input.qs_context_add_curve.2359132437744.7030.3.0:33444</v>
      </c>
      <c r="E7031" s="6" t="str">
        <f>_xll.QS.INSTRUMENT.SWAP("swap.7029",H7031,B7031,"USD","SOFR",I7031,J7031,0,"Actual360","Simple","Annual","Annual","Annual")</f>
        <v>QSObject:Swap:w1~swap.7029:6020</v>
      </c>
      <c r="F7031" s="6" t="str">
        <f>_xll.QS.TRADE.CREATE("trade.7029",E7031,A7031,"Receive")</f>
        <v>QSObject:SwapTrade:w1~trade.7029:24726</v>
      </c>
      <c r="G7031" s="3">
        <f>_xll.QS.EVALUATE(C7031,F7031)</f>
        <v>46119.994096992028</v>
      </c>
      <c r="H7031" s="5" t="s">
        <v>7072</v>
      </c>
      <c r="I7031" s="7">
        <v>1702900</v>
      </c>
      <c r="J7031" s="8">
        <v>3.7900000000000003E-2</v>
      </c>
    </row>
    <row r="7032" spans="1:10" x14ac:dyDescent="0.25">
      <c r="A7032" s="5" t="s">
        <v>7066</v>
      </c>
      <c r="B7032" s="5" t="s">
        <v>8899</v>
      </c>
      <c r="C7032" s="6" t="str">
        <f>_xll.QS.CONTEXT.CREATE("market.7030",A7032,"USD","SOFR")</f>
        <v>QSObject:PricingContext:w1~market.7030:6019</v>
      </c>
      <c r="D7032" s="6" t="str">
        <f>_xll.QS.CONTEXT.ADD.CURVE(C7032,"SOFR",$K$2:$K$7,$L$2:$L$7,,,"Actual360","LogLinear",TRUE)</f>
        <v>QSObject:ContextInput:w1~input.qs_context_add_curve.2359132437744.7031.3.0:33443</v>
      </c>
      <c r="E7032" s="6" t="str">
        <f>_xll.QS.INSTRUMENT.SWAP("swap.7030",H7032,B7032,"USD","SOFR",I7032,J7032,0,"Actual360","Simple","Annual","Annual","Annual")</f>
        <v>QSObject:Swap:w1~swap.7030:6018</v>
      </c>
      <c r="F7032" s="6" t="str">
        <f>_xll.QS.TRADE.CREATE("trade.7030",E7032,A7032,"Receive")</f>
        <v>QSObject:SwapTrade:w1~trade.7030:24725</v>
      </c>
      <c r="G7032" s="3">
        <f>_xll.QS.EVALUATE(C7032,F7032)</f>
        <v>47033.447790776838</v>
      </c>
      <c r="H7032" s="5" t="s">
        <v>7073</v>
      </c>
      <c r="I7032" s="7">
        <v>1703000</v>
      </c>
      <c r="J7032" s="8">
        <v>3.8000000000000013E-2</v>
      </c>
    </row>
    <row r="7033" spans="1:10" x14ac:dyDescent="0.25">
      <c r="A7033" s="5" t="s">
        <v>7067</v>
      </c>
      <c r="B7033" s="5" t="s">
        <v>8900</v>
      </c>
      <c r="C7033" s="6" t="str">
        <f>_xll.QS.CONTEXT.CREATE("market.7031",A7033,"USD","SOFR")</f>
        <v>QSObject:PricingContext:w1~market.7031:6017</v>
      </c>
      <c r="D7033" s="6" t="str">
        <f>_xll.QS.CONTEXT.ADD.CURVE(C7033,"SOFR",$K$2:$K$7,$L$2:$L$7,,,"Actual360","LogLinear",TRUE)</f>
        <v>QSObject:ContextInput:w1~input.qs_context_add_curve.2359132437744.7032.3.0:33442</v>
      </c>
      <c r="E7033" s="6" t="str">
        <f>_xll.QS.INSTRUMENT.SWAP("swap.7031",H7033,B7033,"USD","SOFR",I7033,J7033,0,"Actual360","Simple","Annual","Annual","Annual")</f>
        <v>QSObject:Swap:w1~swap.7031:6016</v>
      </c>
      <c r="F7033" s="6" t="str">
        <f>_xll.QS.TRADE.CREATE("trade.7031",E7033,A7033,"Receive")</f>
        <v>QSObject:SwapTrade:w1~trade.7031:24724</v>
      </c>
      <c r="G7033" s="3">
        <f>_xll.QS.EVALUATE(C7033,F7033)</f>
        <v>47896.314125133249</v>
      </c>
      <c r="H7033" s="5" t="s">
        <v>7074</v>
      </c>
      <c r="I7033" s="7">
        <v>1703100</v>
      </c>
      <c r="J7033" s="8">
        <v>3.8100000000000002E-2</v>
      </c>
    </row>
    <row r="7034" spans="1:10" x14ac:dyDescent="0.25">
      <c r="A7034" s="5" t="s">
        <v>7068</v>
      </c>
      <c r="B7034" s="5" t="s">
        <v>8901</v>
      </c>
      <c r="C7034" s="6" t="str">
        <f>_xll.QS.CONTEXT.CREATE("market.7032",A7034,"USD","SOFR")</f>
        <v>QSObject:PricingContext:w1~market.7032:6015</v>
      </c>
      <c r="D7034" s="6" t="str">
        <f>_xll.QS.CONTEXT.ADD.CURVE(C7034,"SOFR",$K$2:$K$7,$L$2:$L$7,,,"Actual360","LogLinear",TRUE)</f>
        <v>QSObject:ContextInput:w1~input.qs_context_add_curve.2359132437744.7033.3.0:33441</v>
      </c>
      <c r="E7034" s="6" t="str">
        <f>_xll.QS.INSTRUMENT.SWAP("swap.7032",H7034,B7034,"USD","SOFR",I7034,J7034,0,"Actual360","Simple","Annual","Annual","Annual")</f>
        <v>QSObject:Swap:w1~swap.7032:6014</v>
      </c>
      <c r="F7034" s="6" t="str">
        <f>_xll.QS.TRADE.CREATE("trade.7032",E7034,A7034,"Receive")</f>
        <v>QSObject:SwapTrade:w1~trade.7032:24723</v>
      </c>
      <c r="G7034" s="3">
        <f>_xll.QS.EVALUATE(C7034,F7034)</f>
        <v>48526.348128608224</v>
      </c>
      <c r="H7034" s="5" t="s">
        <v>7075</v>
      </c>
      <c r="I7034" s="7">
        <v>1703200</v>
      </c>
      <c r="J7034" s="8">
        <v>3.8199999999999998E-2</v>
      </c>
    </row>
    <row r="7035" spans="1:10" x14ac:dyDescent="0.25">
      <c r="A7035" s="5" t="s">
        <v>7069</v>
      </c>
      <c r="B7035" s="5" t="s">
        <v>8902</v>
      </c>
      <c r="C7035" s="6" t="str">
        <f>_xll.QS.CONTEXT.CREATE("market.7033",A7035,"USD","SOFR")</f>
        <v>QSObject:PricingContext:w1~market.7033:6013</v>
      </c>
      <c r="D7035" s="6" t="str">
        <f>_xll.QS.CONTEXT.ADD.CURVE(C7035,"SOFR",$K$2:$K$7,$L$2:$L$7,,,"Actual360","LogLinear",TRUE)</f>
        <v>QSObject:ContextInput:w1~input.qs_context_add_curve.2359132437744.7034.3.0:33440</v>
      </c>
      <c r="E7035" s="6" t="str">
        <f>_xll.QS.INSTRUMENT.SWAP("swap.7033",H7035,B7035,"USD","SOFR",I7035,J7035,0,"Actual360","Simple","Annual","Annual","Annual")</f>
        <v>QSObject:Swap:w1~swap.7033:6012</v>
      </c>
      <c r="F7035" s="6" t="str">
        <f>_xll.QS.TRADE.CREATE("trade.7033",E7035,A7035,"Receive")</f>
        <v>QSObject:SwapTrade:w1~trade.7033:24722</v>
      </c>
      <c r="G7035" s="3">
        <f>_xll.QS.EVALUATE(C7035,F7035)</f>
        <v>49277.023400428065</v>
      </c>
      <c r="H7035" s="5" t="s">
        <v>7076</v>
      </c>
      <c r="I7035" s="7">
        <v>1703300</v>
      </c>
      <c r="J7035" s="8">
        <v>3.8300000000000001E-2</v>
      </c>
    </row>
    <row r="7036" spans="1:10" x14ac:dyDescent="0.25">
      <c r="A7036" s="5" t="s">
        <v>7070</v>
      </c>
      <c r="B7036" s="5" t="s">
        <v>8903</v>
      </c>
      <c r="C7036" s="6" t="str">
        <f>_xll.QS.CONTEXT.CREATE("market.7034",A7036,"USD","SOFR")</f>
        <v>QSObject:PricingContext:w1~market.7034:6011</v>
      </c>
      <c r="D7036" s="6" t="str">
        <f>_xll.QS.CONTEXT.ADD.CURVE(C7036,"SOFR",$K$2:$K$7,$L$2:$L$7,,,"Actual360","LogLinear",TRUE)</f>
        <v>QSObject:ContextInput:w1~input.qs_context_add_curve.2359132437744.7035.3.0:33439</v>
      </c>
      <c r="E7036" s="6" t="str">
        <f>_xll.QS.INSTRUMENT.SWAP("swap.7034",H7036,B7036,"USD","SOFR",I7036,J7036,0,"Actual360","Simple","Annual","Annual","Annual")</f>
        <v>QSObject:Swap:w1~swap.7034:6010</v>
      </c>
      <c r="F7036" s="6" t="str">
        <f>_xll.QS.TRADE.CREATE("trade.7034",E7036,A7036,"Receive")</f>
        <v>QSObject:SwapTrade:w1~trade.7034:24721</v>
      </c>
      <c r="G7036" s="3">
        <f>_xll.QS.EVALUATE(C7036,F7036)</f>
        <v>49948.80829226433</v>
      </c>
      <c r="H7036" s="5" t="s">
        <v>7077</v>
      </c>
      <c r="I7036" s="7">
        <v>1703400</v>
      </c>
      <c r="J7036" s="8">
        <v>3.8399999999999997E-2</v>
      </c>
    </row>
    <row r="7037" spans="1:10" x14ac:dyDescent="0.25">
      <c r="A7037" s="5" t="s">
        <v>7071</v>
      </c>
      <c r="B7037" s="5" t="s">
        <v>8904</v>
      </c>
      <c r="C7037" s="6" t="str">
        <f>_xll.QS.CONTEXT.CREATE("market.7035",A7037,"USD","SOFR")</f>
        <v>QSObject:PricingContext:w1~market.7035:6009</v>
      </c>
      <c r="D7037" s="6" t="str">
        <f>_xll.QS.CONTEXT.ADD.CURVE(C7037,"SOFR",$K$2:$K$7,$L$2:$L$7,,,"Actual360","LogLinear",TRUE)</f>
        <v>QSObject:ContextInput:w1~input.qs_context_add_curve.2359132437744.7036.3.0:33438</v>
      </c>
      <c r="E7037" s="6" t="str">
        <f>_xll.QS.INSTRUMENT.SWAP("swap.7035",H7037,B7037,"USD","SOFR",I7037,J7037,0,"Actual360","Simple","Annual","Annual","Annual")</f>
        <v>QSObject:Swap:w1~swap.7035:6008</v>
      </c>
      <c r="F7037" s="6" t="str">
        <f>_xll.QS.TRADE.CREATE("trade.7035",E7037,A7037,"Receive")</f>
        <v>QSObject:SwapTrade:w1~trade.7035:24720</v>
      </c>
      <c r="G7037" s="3">
        <f>_xll.QS.EVALUATE(C7037,F7037)</f>
        <v>50809.909570582684</v>
      </c>
      <c r="H7037" s="5" t="s">
        <v>7078</v>
      </c>
      <c r="I7037" s="7">
        <v>1703500</v>
      </c>
      <c r="J7037" s="8">
        <v>3.8500000000000013E-2</v>
      </c>
    </row>
    <row r="7038" spans="1:10" x14ac:dyDescent="0.25">
      <c r="A7038" s="5" t="s">
        <v>7072</v>
      </c>
      <c r="B7038" s="5" t="s">
        <v>8905</v>
      </c>
      <c r="C7038" s="6" t="str">
        <f>_xll.QS.CONTEXT.CREATE("market.7036",A7038,"USD","SOFR")</f>
        <v>QSObject:PricingContext:w1~market.7036:6007</v>
      </c>
      <c r="D7038" s="6" t="str">
        <f>_xll.QS.CONTEXT.ADD.CURVE(C7038,"SOFR",$K$2:$K$7,$L$2:$L$7,,,"Actual360","LogLinear",TRUE)</f>
        <v>QSObject:ContextInput:w1~input.qs_context_add_curve.2359132437744.7037.3.0:32887</v>
      </c>
      <c r="E7038" s="6" t="str">
        <f>_xll.QS.INSTRUMENT.SWAP("swap.7036",H7038,B7038,"USD","SOFR",I7038,J7038,0,"Actual360","Simple","Annual","Annual","Annual")</f>
        <v>QSObject:Swap:w1~swap.7036:6006</v>
      </c>
      <c r="F7038" s="6" t="str">
        <f>_xll.QS.TRADE.CREATE("trade.7036",E7038,A7038,"Receive")</f>
        <v>QSObject:SwapTrade:w1~trade.7036:24719</v>
      </c>
      <c r="G7038" s="3">
        <f>_xll.QS.EVALUATE(C7038,F7038)</f>
        <v>51638.66666877814</v>
      </c>
      <c r="H7038" s="5" t="s">
        <v>7079</v>
      </c>
      <c r="I7038" s="7">
        <v>1703600</v>
      </c>
      <c r="J7038" s="8">
        <v>3.8600000000000002E-2</v>
      </c>
    </row>
    <row r="7039" spans="1:10" x14ac:dyDescent="0.25">
      <c r="A7039" s="5" t="s">
        <v>7073</v>
      </c>
      <c r="B7039" s="5" t="s">
        <v>8906</v>
      </c>
      <c r="C7039" s="6" t="str">
        <f>_xll.QS.CONTEXT.CREATE("market.7037",A7039,"USD","SOFR")</f>
        <v>QSObject:PricingContext:w1~market.7037:6005</v>
      </c>
      <c r="D7039" s="6" t="str">
        <f>_xll.QS.CONTEXT.ADD.CURVE(C7039,"SOFR",$K$2:$K$7,$L$2:$L$7,,,"Actual360","LogLinear",TRUE)</f>
        <v>QSObject:ContextInput:w1~input.qs_context_add_curve.2359132437744.7038.3.0:32886</v>
      </c>
      <c r="E7039" s="6" t="str">
        <f>_xll.QS.INSTRUMENT.SWAP("swap.7037",H7039,B7039,"USD","SOFR",I7039,J7039,0,"Actual360","Simple","Annual","Annual","Annual")</f>
        <v>QSObject:Swap:w1~swap.7037:6004</v>
      </c>
      <c r="F7039" s="6" t="str">
        <f>_xll.QS.TRADE.CREATE("trade.7037",E7039,A7039,"Receive")</f>
        <v>QSObject:SwapTrade:w1~trade.7037:24718</v>
      </c>
      <c r="G7039" s="3">
        <f>_xll.QS.EVALUATE(C7039,F7039)</f>
        <v>52631.794350051474</v>
      </c>
      <c r="H7039" s="5" t="s">
        <v>7080</v>
      </c>
      <c r="I7039" s="7">
        <v>1703700</v>
      </c>
      <c r="J7039" s="8">
        <v>3.8700000000000012E-2</v>
      </c>
    </row>
    <row r="7040" spans="1:10" x14ac:dyDescent="0.25">
      <c r="A7040" s="5" t="s">
        <v>7074</v>
      </c>
      <c r="B7040" s="5" t="s">
        <v>8907</v>
      </c>
      <c r="C7040" s="6" t="str">
        <f>_xll.QS.CONTEXT.CREATE("market.7038",A7040,"USD","SOFR")</f>
        <v>QSObject:PricingContext:w1~market.7038:6003</v>
      </c>
      <c r="D7040" s="6" t="str">
        <f>_xll.QS.CONTEXT.ADD.CURVE(C7040,"SOFR",$K$2:$K$7,$L$2:$L$7,,,"Actual360","LogLinear",TRUE)</f>
        <v>QSObject:ContextInput:w1~input.qs_context_add_curve.2359132437744.7039.3.0:33437</v>
      </c>
      <c r="E7040" s="6" t="str">
        <f>_xll.QS.INSTRUMENT.SWAP("swap.7038",H7040,B7040,"USD","SOFR",I7040,J7040,0,"Actual360","Simple","Annual","Annual","Annual")</f>
        <v>QSObject:Swap:w1~swap.7038:6002</v>
      </c>
      <c r="F7040" s="6" t="str">
        <f>_xll.QS.TRADE.CREATE("trade.7038",E7040,A7040,"Receive")</f>
        <v>QSObject:SwapTrade:w1~trade.7038:24717</v>
      </c>
      <c r="G7040" s="3">
        <f>_xll.QS.EVALUATE(C7040,F7040)</f>
        <v>53417.80490852458</v>
      </c>
      <c r="H7040" s="5" t="s">
        <v>7081</v>
      </c>
      <c r="I7040" s="7">
        <v>1703800</v>
      </c>
      <c r="J7040" s="8">
        <v>3.8800000000000001E-2</v>
      </c>
    </row>
    <row r="7041" spans="1:10" x14ac:dyDescent="0.25">
      <c r="A7041" s="5" t="s">
        <v>7075</v>
      </c>
      <c r="B7041" s="5" t="s">
        <v>8908</v>
      </c>
      <c r="C7041" s="6" t="str">
        <f>_xll.QS.CONTEXT.CREATE("market.7039",A7041,"USD","SOFR")</f>
        <v>QSObject:PricingContext:w1~market.7039:6001</v>
      </c>
      <c r="D7041" s="6" t="str">
        <f>_xll.QS.CONTEXT.ADD.CURVE(C7041,"SOFR",$K$2:$K$7,$L$2:$L$7,,,"Actual360","LogLinear",TRUE)</f>
        <v>QSObject:ContextInput:w1~input.qs_context_add_curve.2359132437744.7040.3.0:32885</v>
      </c>
      <c r="E7041" s="6" t="str">
        <f>_xll.QS.INSTRUMENT.SWAP("swap.7039",H7041,B7041,"USD","SOFR",I7041,J7041,0,"Actual360","Simple","Annual","Annual","Annual")</f>
        <v>QSObject:Swap:w1~swap.7039:6000</v>
      </c>
      <c r="F7041" s="6" t="str">
        <f>_xll.QS.TRADE.CREATE("trade.7039",E7041,A7041,"Receive")</f>
        <v>QSObject:SwapTrade:w1~trade.7039:24716</v>
      </c>
      <c r="G7041" s="3">
        <f>_xll.QS.EVALUATE(C7041,F7041)</f>
        <v>54138.822440821095</v>
      </c>
      <c r="H7041" s="5" t="s">
        <v>7082</v>
      </c>
      <c r="I7041" s="7">
        <v>1703900</v>
      </c>
      <c r="J7041" s="8">
        <v>3.8899999999999997E-2</v>
      </c>
    </row>
    <row r="7042" spans="1:10" x14ac:dyDescent="0.25">
      <c r="A7042" s="5" t="s">
        <v>7076</v>
      </c>
      <c r="B7042" s="5" t="s">
        <v>8909</v>
      </c>
      <c r="C7042" s="6" t="str">
        <f>_xll.QS.CONTEXT.CREATE("market.7040",A7042,"USD","SOFR")</f>
        <v>QSObject:PricingContext:w1~market.7040:5999</v>
      </c>
      <c r="D7042" s="6" t="str">
        <f>_xll.QS.CONTEXT.ADD.CURVE(C7042,"SOFR",$K$2:$K$7,$L$2:$L$7,,,"Actual360","LogLinear",TRUE)</f>
        <v>QSObject:ContextInput:w1~input.qs_context_add_curve.2359132437744.7041.3.0:32884</v>
      </c>
      <c r="E7042" s="6" t="str">
        <f>_xll.QS.INSTRUMENT.SWAP("swap.7040",H7042,B7042,"USD","SOFR",I7042,J7042,0,"Actual360","Simple","Annual","Annual","Annual")</f>
        <v>QSObject:Swap:w1~swap.7040:5998</v>
      </c>
      <c r="F7042" s="6" t="str">
        <f>_xll.QS.TRADE.CREATE("trade.7040",E7042,A7042,"Receive")</f>
        <v>QSObject:SwapTrade:w1~trade.7040:24715</v>
      </c>
      <c r="G7042" s="3">
        <f>_xll.QS.EVALUATE(C7042,F7042)</f>
        <v>54678.399042927456</v>
      </c>
      <c r="H7042" s="5" t="s">
        <v>7083</v>
      </c>
      <c r="I7042" s="7">
        <v>1704000</v>
      </c>
      <c r="J7042" s="8">
        <v>3.9000000000000007E-2</v>
      </c>
    </row>
    <row r="7043" spans="1:10" x14ac:dyDescent="0.25">
      <c r="A7043" s="5" t="s">
        <v>7077</v>
      </c>
      <c r="B7043" s="5" t="s">
        <v>8910</v>
      </c>
      <c r="C7043" s="6" t="str">
        <f>_xll.QS.CONTEXT.CREATE("market.7041",A7043,"USD","SOFR")</f>
        <v>QSObject:PricingContext:w1~market.7041:5997</v>
      </c>
      <c r="D7043" s="6" t="str">
        <f>_xll.QS.CONTEXT.ADD.CURVE(C7043,"SOFR",$K$2:$K$7,$L$2:$L$7,,,"Actual360","LogLinear",TRUE)</f>
        <v>QSObject:ContextInput:w1~input.qs_context_add_curve.2359132437744.7042.3.0:32883</v>
      </c>
      <c r="E7043" s="6" t="str">
        <f>_xll.QS.INSTRUMENT.SWAP("swap.7041",H7043,B7043,"USD","SOFR",I7043,J7043,0,"Actual360","Simple","Annual","Annual","Annual")</f>
        <v>QSObject:Swap:w1~swap.7041:5996</v>
      </c>
      <c r="F7043" s="6" t="str">
        <f>_xll.QS.TRADE.CREATE("trade.7041",E7043,A7043,"Receive")</f>
        <v>QSObject:SwapTrade:w1~trade.7041:24714</v>
      </c>
      <c r="G7043" s="3">
        <f>_xll.QS.EVALUATE(C7043,F7043)</f>
        <v>55472.185361607728</v>
      </c>
      <c r="H7043" s="5" t="s">
        <v>7084</v>
      </c>
      <c r="I7043" s="7">
        <v>1704100</v>
      </c>
      <c r="J7043" s="8">
        <v>3.9100000000000003E-2</v>
      </c>
    </row>
    <row r="7044" spans="1:10" x14ac:dyDescent="0.25">
      <c r="A7044" s="5" t="s">
        <v>7078</v>
      </c>
      <c r="B7044" s="5" t="s">
        <v>8911</v>
      </c>
      <c r="C7044" s="6" t="str">
        <f>_xll.QS.CONTEXT.CREATE("market.7042",A7044,"USD","SOFR")</f>
        <v>QSObject:PricingContext:w1~market.7042:5995</v>
      </c>
      <c r="D7044" s="6" t="str">
        <f>_xll.QS.CONTEXT.ADD.CURVE(C7044,"SOFR",$K$2:$K$7,$L$2:$L$7,,,"Actual360","LogLinear",TRUE)</f>
        <v>QSObject:ContextInput:w1~input.qs_context_add_curve.2359132437744.7043.3.0:32882</v>
      </c>
      <c r="E7044" s="6" t="str">
        <f>_xll.QS.INSTRUMENT.SWAP("swap.7042",H7044,B7044,"USD","SOFR",I7044,J7044,0,"Actual360","Simple","Annual","Annual","Annual")</f>
        <v>QSObject:Swap:w1~swap.7042:5994</v>
      </c>
      <c r="F7044" s="6" t="str">
        <f>_xll.QS.TRADE.CREATE("trade.7042",E7044,A7044,"Receive")</f>
        <v>QSObject:SwapTrade:w1~trade.7042:24713</v>
      </c>
      <c r="G7044" s="3">
        <f>_xll.QS.EVALUATE(C7044,F7044)</f>
        <v>56334.484581312041</v>
      </c>
      <c r="H7044" s="5" t="s">
        <v>7085</v>
      </c>
      <c r="I7044" s="7">
        <v>1704200</v>
      </c>
      <c r="J7044" s="8">
        <v>3.9200000000000013E-2</v>
      </c>
    </row>
    <row r="7045" spans="1:10" x14ac:dyDescent="0.25">
      <c r="A7045" s="5" t="s">
        <v>7079</v>
      </c>
      <c r="B7045" s="5" t="s">
        <v>8912</v>
      </c>
      <c r="C7045" s="6" t="str">
        <f>_xll.QS.CONTEXT.CREATE("market.7043",A7045,"USD","SOFR")</f>
        <v>QSObject:PricingContext:w1~market.7043:5993</v>
      </c>
      <c r="D7045" s="6" t="str">
        <f>_xll.QS.CONTEXT.ADD.CURVE(C7045,"SOFR",$K$2:$K$7,$L$2:$L$7,,,"Actual360","LogLinear",TRUE)</f>
        <v>QSObject:ContextInput:w1~input.qs_context_add_curve.2359132437744.7044.3.0:32881</v>
      </c>
      <c r="E7045" s="6" t="str">
        <f>_xll.QS.INSTRUMENT.SWAP("swap.7043",H7045,B7045,"USD","SOFR",I7045,J7045,0,"Actual360","Simple","Annual","Annual","Annual")</f>
        <v>QSObject:Swap:w1~swap.7043:5992</v>
      </c>
      <c r="F7045" s="6" t="str">
        <f>_xll.QS.TRADE.CREATE("trade.7043",E7045,A7045,"Receive")</f>
        <v>QSObject:SwapTrade:w1~trade.7043:24712</v>
      </c>
      <c r="G7045" s="3">
        <f>_xll.QS.EVALUATE(C7045,F7045)</f>
        <v>57349.929744722096</v>
      </c>
      <c r="H7045" s="5" t="s">
        <v>7086</v>
      </c>
      <c r="I7045" s="7">
        <v>1704300</v>
      </c>
      <c r="J7045" s="8">
        <v>3.9300000000000002E-2</v>
      </c>
    </row>
    <row r="7046" spans="1:10" x14ac:dyDescent="0.25">
      <c r="A7046" s="5" t="s">
        <v>7080</v>
      </c>
      <c r="B7046" s="5" t="s">
        <v>8913</v>
      </c>
      <c r="C7046" s="6" t="str">
        <f>_xll.QS.CONTEXT.CREATE("market.7044",A7046,"USD","SOFR")</f>
        <v>QSObject:PricingContext:w1~market.7044:5991</v>
      </c>
      <c r="D7046" s="6" t="str">
        <f>_xll.QS.CONTEXT.ADD.CURVE(C7046,"SOFR",$K$2:$K$7,$L$2:$L$7,,,"Actual360","LogLinear",TRUE)</f>
        <v>QSObject:ContextInput:w1~input.qs_context_add_curve.2359132437744.7045.3.0:33436</v>
      </c>
      <c r="E7046" s="6" t="str">
        <f>_xll.QS.INSTRUMENT.SWAP("swap.7044",H7046,B7046,"USD","SOFR",I7046,J7046,0,"Actual360","Simple","Annual","Annual","Annual")</f>
        <v>QSObject:Swap:w1~swap.7044:5990</v>
      </c>
      <c r="F7046" s="6" t="str">
        <f>_xll.QS.TRADE.CREATE("trade.7044",E7046,A7046,"Receive")</f>
        <v>QSObject:SwapTrade:w1~trade.7044:24711</v>
      </c>
      <c r="G7046" s="3">
        <f>_xll.QS.EVALUATE(C7046,F7046)</f>
        <v>58138.307272963058</v>
      </c>
      <c r="H7046" s="5" t="s">
        <v>7087</v>
      </c>
      <c r="I7046" s="7">
        <v>1704400</v>
      </c>
      <c r="J7046" s="8">
        <v>3.9399999999999998E-2</v>
      </c>
    </row>
    <row r="7047" spans="1:10" x14ac:dyDescent="0.25">
      <c r="A7047" s="5" t="s">
        <v>7081</v>
      </c>
      <c r="B7047" s="5" t="s">
        <v>8914</v>
      </c>
      <c r="C7047" s="6" t="str">
        <f>_xll.QS.CONTEXT.CREATE("market.7045",A7047,"USD","SOFR")</f>
        <v>QSObject:PricingContext:w1~market.7045:5989</v>
      </c>
      <c r="D7047" s="6" t="str">
        <f>_xll.QS.CONTEXT.ADD.CURVE(C7047,"SOFR",$K$2:$K$7,$L$2:$L$7,,,"Actual360","LogLinear",TRUE)</f>
        <v>QSObject:ContextInput:w1~input.qs_context_add_curve.2359132437744.7046.3.0:32880</v>
      </c>
      <c r="E7047" s="6" t="str">
        <f>_xll.QS.INSTRUMENT.SWAP("swap.7045",H7047,B7047,"USD","SOFR",I7047,J7047,0,"Actual360","Simple","Annual","Annual","Annual")</f>
        <v>QSObject:Swap:w1~swap.7045:5988</v>
      </c>
      <c r="F7047" s="6" t="str">
        <f>_xll.QS.TRADE.CREATE("trade.7045",E7047,A7047,"Receive")</f>
        <v>QSObject:SwapTrade:w1~trade.7045:24710</v>
      </c>
      <c r="G7047" s="3">
        <f>_xll.QS.EVALUATE(C7047,F7047)</f>
        <v>58938.608212971994</v>
      </c>
      <c r="H7047" s="5" t="s">
        <v>7088</v>
      </c>
      <c r="I7047" s="7">
        <v>1704500</v>
      </c>
      <c r="J7047" s="8">
        <v>3.9500000000000007E-2</v>
      </c>
    </row>
    <row r="7048" spans="1:10" x14ac:dyDescent="0.25">
      <c r="A7048" s="5" t="s">
        <v>7082</v>
      </c>
      <c r="B7048" s="5" t="s">
        <v>8915</v>
      </c>
      <c r="C7048" s="6" t="str">
        <f>_xll.QS.CONTEXT.CREATE("market.7046",A7048,"USD","SOFR")</f>
        <v>QSObject:PricingContext:w1~market.7046:5987</v>
      </c>
      <c r="D7048" s="6" t="str">
        <f>_xll.QS.CONTEXT.ADD.CURVE(C7048,"SOFR",$K$2:$K$7,$L$2:$L$7,,,"Actual360","LogLinear",TRUE)</f>
        <v>QSObject:ContextInput:w1~input.qs_context_add_curve.2359132437744.7047.3.0:32879</v>
      </c>
      <c r="E7048" s="6" t="str">
        <f>_xll.QS.INSTRUMENT.SWAP("swap.7046",H7048,B7048,"USD","SOFR",I7048,J7048,0,"Actual360","Simple","Annual","Annual","Annual")</f>
        <v>QSObject:Swap:w1~swap.7046:5986</v>
      </c>
      <c r="F7048" s="6" t="str">
        <f>_xll.QS.TRADE.CREATE("trade.7046",E7048,A7048,"Receive")</f>
        <v>QSObject:SwapTrade:w1~trade.7046:24709</v>
      </c>
      <c r="G7048" s="3">
        <f>_xll.QS.EVALUATE(C7048,F7048)</f>
        <v>59663.288978791206</v>
      </c>
      <c r="H7048" s="5" t="s">
        <v>7089</v>
      </c>
      <c r="I7048" s="7">
        <v>1704600</v>
      </c>
      <c r="J7048" s="8">
        <v>3.9600000000000003E-2</v>
      </c>
    </row>
    <row r="7049" spans="1:10" x14ac:dyDescent="0.25">
      <c r="A7049" s="5" t="s">
        <v>7083</v>
      </c>
      <c r="B7049" s="5" t="s">
        <v>8916</v>
      </c>
      <c r="C7049" s="6" t="str">
        <f>_xll.QS.CONTEXT.CREATE("market.7047",A7049,"USD","SOFR")</f>
        <v>QSObject:PricingContext:w1~market.7047:5985</v>
      </c>
      <c r="D7049" s="6" t="str">
        <f>_xll.QS.CONTEXT.ADD.CURVE(C7049,"SOFR",$K$2:$K$7,$L$2:$L$7,,,"Actual360","LogLinear",TRUE)</f>
        <v>QSObject:ContextInput:w1~input.qs_context_add_curve.2359132437744.7048.3.0:33435</v>
      </c>
      <c r="E7049" s="6" t="str">
        <f>_xll.QS.INSTRUMENT.SWAP("swap.7047",H7049,B7049,"USD","SOFR",I7049,J7049,0,"Actual360","Simple","Annual","Annual","Annual")</f>
        <v>QSObject:Swap:w1~swap.7047:5984</v>
      </c>
      <c r="F7049" s="6" t="str">
        <f>_xll.QS.TRADE.CREATE("trade.7047",E7049,A7049,"Receive")</f>
        <v>QSObject:SwapTrade:w1~trade.7047:24708</v>
      </c>
      <c r="G7049" s="3">
        <f>_xll.QS.EVALUATE(C7049,F7049)</f>
        <v>60309.842527232009</v>
      </c>
      <c r="H7049" s="5" t="s">
        <v>7090</v>
      </c>
      <c r="I7049" s="7">
        <v>1704700</v>
      </c>
      <c r="J7049" s="8">
        <v>3.9700000000000013E-2</v>
      </c>
    </row>
    <row r="7050" spans="1:10" x14ac:dyDescent="0.25">
      <c r="A7050" s="5" t="s">
        <v>7084</v>
      </c>
      <c r="B7050" s="5" t="s">
        <v>8917</v>
      </c>
      <c r="C7050" s="6" t="str">
        <f>_xll.QS.CONTEXT.CREATE("market.7048",A7050,"USD","SOFR")</f>
        <v>QSObject:PricingContext:w1~market.7048:5983</v>
      </c>
      <c r="D7050" s="6" t="str">
        <f>_xll.QS.CONTEXT.ADD.CURVE(C7050,"SOFR",$K$2:$K$7,$L$2:$L$7,,,"Actual360","LogLinear",TRUE)</f>
        <v>QSObject:ContextInput:w1~input.qs_context_add_curve.2359132437744.7049.3.0:33434</v>
      </c>
      <c r="E7050" s="6" t="str">
        <f>_xll.QS.INSTRUMENT.SWAP("swap.7048",H7050,B7050,"USD","SOFR",I7050,J7050,0,"Actual360","Simple","Annual","Annual","Annual")</f>
        <v>QSObject:Swap:w1~swap.7048:5982</v>
      </c>
      <c r="F7050" s="6" t="str">
        <f>_xll.QS.TRADE.CREATE("trade.7048",E7050,A7050,"Receive")</f>
        <v>QSObject:SwapTrade:w1~trade.7048:24707</v>
      </c>
      <c r="G7050" s="3">
        <f>_xll.QS.EVALUATE(C7050,F7050)</f>
        <v>60999.70490005843</v>
      </c>
      <c r="H7050" s="5" t="s">
        <v>7091</v>
      </c>
      <c r="I7050" s="7">
        <v>1704800</v>
      </c>
      <c r="J7050" s="8">
        <v>3.9800000000000002E-2</v>
      </c>
    </row>
    <row r="7051" spans="1:10" x14ac:dyDescent="0.25">
      <c r="A7051" s="5" t="s">
        <v>7085</v>
      </c>
      <c r="B7051" s="5" t="s">
        <v>8918</v>
      </c>
      <c r="C7051" s="6" t="str">
        <f>_xll.QS.CONTEXT.CREATE("market.7049",A7051,"USD","SOFR")</f>
        <v>QSObject:PricingContext:w1~market.7049:5981</v>
      </c>
      <c r="D7051" s="6" t="str">
        <f>_xll.QS.CONTEXT.ADD.CURVE(C7051,"SOFR",$K$2:$K$7,$L$2:$L$7,,,"Actual360","LogLinear",TRUE)</f>
        <v>QSObject:ContextInput:w1~input.qs_context_add_curve.2359132437744.7050.3.0:33433</v>
      </c>
      <c r="E7051" s="6" t="str">
        <f>_xll.QS.INSTRUMENT.SWAP("swap.7049",H7051,B7051,"USD","SOFR",I7051,J7051,0,"Actual360","Simple","Annual","Annual","Annual")</f>
        <v>QSObject:Swap:w1~swap.7049:5980</v>
      </c>
      <c r="F7051" s="6" t="str">
        <f>_xll.QS.TRADE.CREATE("trade.7049",E7051,A7051,"Receive")</f>
        <v>QSObject:SwapTrade:w1~trade.7049:24706</v>
      </c>
      <c r="G7051" s="3">
        <f>_xll.QS.EVALUATE(C7051,F7051)</f>
        <v>61864.646044198591</v>
      </c>
      <c r="H7051" s="5" t="s">
        <v>7092</v>
      </c>
      <c r="I7051" s="7">
        <v>1704900</v>
      </c>
      <c r="J7051" s="8">
        <v>3.9899999999999998E-2</v>
      </c>
    </row>
    <row r="7052" spans="1:10" x14ac:dyDescent="0.25">
      <c r="A7052" s="5" t="s">
        <v>7086</v>
      </c>
      <c r="B7052" s="5" t="s">
        <v>8919</v>
      </c>
      <c r="C7052" s="6" t="str">
        <f>_xll.QS.CONTEXT.CREATE("market.7050",A7052,"USD","SOFR")</f>
        <v>QSObject:PricingContext:w1~market.7050:5979</v>
      </c>
      <c r="D7052" s="6" t="str">
        <f>_xll.QS.CONTEXT.ADD.CURVE(C7052,"SOFR",$K$2:$K$7,$L$2:$L$7,,,"Actual360","LogLinear",TRUE)</f>
        <v>QSObject:ContextInput:w1~input.qs_context_add_curve.2359132437744.7051.3.0:33432</v>
      </c>
      <c r="E7052" s="6" t="str">
        <f>_xll.QS.INSTRUMENT.SWAP("swap.7050",H7052,B7052,"USD","SOFR",I7052,J7052,0,"Actual360","Simple","Annual","Annual","Annual")</f>
        <v>QSObject:Swap:w1~swap.7050:5978</v>
      </c>
      <c r="F7052" s="6" t="str">
        <f>_xll.QS.TRADE.CREATE("trade.7050",E7052,A7052,"Receive")</f>
        <v>QSObject:SwapTrade:w1~trade.7050:24705</v>
      </c>
      <c r="G7052" s="3">
        <f>_xll.QS.EVALUATE(C7052,F7052)</f>
        <v>23376.845133791896</v>
      </c>
      <c r="H7052" s="5" t="s">
        <v>7093</v>
      </c>
      <c r="I7052" s="7">
        <v>1705000</v>
      </c>
      <c r="J7052" s="8">
        <v>3.5000000000000003E-2</v>
      </c>
    </row>
    <row r="7053" spans="1:10" x14ac:dyDescent="0.25">
      <c r="A7053" s="5" t="s">
        <v>7087</v>
      </c>
      <c r="B7053" s="5" t="s">
        <v>8920</v>
      </c>
      <c r="C7053" s="6" t="str">
        <f>_xll.QS.CONTEXT.CREATE("market.7051",A7053,"USD","SOFR")</f>
        <v>QSObject:PricingContext:w1~market.7051:5977</v>
      </c>
      <c r="D7053" s="6" t="str">
        <f>_xll.QS.CONTEXT.ADD.CURVE(C7053,"SOFR",$K$2:$K$7,$L$2:$L$7,,,"Actual360","LogLinear",TRUE)</f>
        <v>QSObject:ContextInput:w1~input.qs_context_add_curve.2359132437744.7052.3.0:33431</v>
      </c>
      <c r="E7053" s="6" t="str">
        <f>_xll.QS.INSTRUMENT.SWAP("swap.7051",H7053,B7053,"USD","SOFR",I7053,J7053,0,"Actual360","Simple","Annual","Annual","Annual")</f>
        <v>QSObject:Swap:w1~swap.7051:5976</v>
      </c>
      <c r="F7053" s="6" t="str">
        <f>_xll.QS.TRADE.CREATE("trade.7051",E7053,A7053,"Receive")</f>
        <v>QSObject:SwapTrade:w1~trade.7051:24704</v>
      </c>
      <c r="G7053" s="3">
        <f>_xll.QS.EVALUATE(C7053,F7053)</f>
        <v>24289.093164282109</v>
      </c>
      <c r="H7053" s="5" t="s">
        <v>7094</v>
      </c>
      <c r="I7053" s="7">
        <v>1705100</v>
      </c>
      <c r="J7053" s="8">
        <v>3.5100000000000013E-2</v>
      </c>
    </row>
    <row r="7054" spans="1:10" x14ac:dyDescent="0.25">
      <c r="A7054" s="5" t="s">
        <v>7088</v>
      </c>
      <c r="B7054" s="5" t="s">
        <v>8921</v>
      </c>
      <c r="C7054" s="6" t="str">
        <f>_xll.QS.CONTEXT.CREATE("market.7052",A7054,"USD","SOFR")</f>
        <v>QSObject:PricingContext:w1~market.7052:5975</v>
      </c>
      <c r="D7054" s="6" t="str">
        <f>_xll.QS.CONTEXT.ADD.CURVE(C7054,"SOFR",$K$2:$K$7,$L$2:$L$7,,,"Actual360","LogLinear",TRUE)</f>
        <v>QSObject:ContextInput:w1~input.qs_context_add_curve.2359132437744.7053.3.0:33430</v>
      </c>
      <c r="E7054" s="6" t="str">
        <f>_xll.QS.INSTRUMENT.SWAP("swap.7052",H7054,B7054,"USD","SOFR",I7054,J7054,0,"Actual360","Simple","Annual","Annual","Annual")</f>
        <v>QSObject:Swap:w1~swap.7052:5974</v>
      </c>
      <c r="F7054" s="6" t="str">
        <f>_xll.QS.TRADE.CREATE("trade.7052",E7054,A7054,"Receive")</f>
        <v>QSObject:SwapTrade:w1~trade.7052:24703</v>
      </c>
      <c r="G7054" s="3">
        <f>_xll.QS.EVALUATE(C7054,F7054)</f>
        <v>25151.374381865477</v>
      </c>
      <c r="H7054" s="5" t="s">
        <v>7095</v>
      </c>
      <c r="I7054" s="7">
        <v>1705200</v>
      </c>
      <c r="J7054" s="8">
        <v>3.5200000000000002E-2</v>
      </c>
    </row>
    <row r="7055" spans="1:10" x14ac:dyDescent="0.25">
      <c r="A7055" s="5" t="s">
        <v>7089</v>
      </c>
      <c r="B7055" s="5" t="s">
        <v>8922</v>
      </c>
      <c r="C7055" s="6" t="str">
        <f>_xll.QS.CONTEXT.CREATE("market.7053",A7055,"USD","SOFR")</f>
        <v>QSObject:PricingContext:w1~market.7053:5973</v>
      </c>
      <c r="D7055" s="6" t="str">
        <f>_xll.QS.CONTEXT.ADD.CURVE(C7055,"SOFR",$K$2:$K$7,$L$2:$L$7,,,"Actual360","LogLinear",TRUE)</f>
        <v>QSObject:ContextInput:w1~input.qs_context_add_curve.2359132437744.7054.3.0:33429</v>
      </c>
      <c r="E7055" s="6" t="str">
        <f>_xll.QS.INSTRUMENT.SWAP("swap.7053",H7055,B7055,"USD","SOFR",I7055,J7055,0,"Actual360","Simple","Annual","Annual","Annual")</f>
        <v>QSObject:Swap:w1~swap.7053:5972</v>
      </c>
      <c r="F7055" s="6" t="str">
        <f>_xll.QS.TRADE.CREATE("trade.7053",E7055,A7055,"Receive")</f>
        <v>QSObject:SwapTrade:w1~trade.7053:24702</v>
      </c>
      <c r="G7055" s="3">
        <f>_xll.QS.EVALUATE(C7055,F7055)</f>
        <v>25873.603363055881</v>
      </c>
      <c r="H7055" s="5" t="s">
        <v>7096</v>
      </c>
      <c r="I7055" s="7">
        <v>1705300</v>
      </c>
      <c r="J7055" s="8">
        <v>3.5299999999999998E-2</v>
      </c>
    </row>
    <row r="7056" spans="1:10" x14ac:dyDescent="0.25">
      <c r="A7056" s="5" t="s">
        <v>7090</v>
      </c>
      <c r="B7056" s="5" t="s">
        <v>8923</v>
      </c>
      <c r="C7056" s="6" t="str">
        <f>_xll.QS.CONTEXT.CREATE("market.7054",A7056,"USD","SOFR")</f>
        <v>QSObject:PricingContext:w1~market.7054:5971</v>
      </c>
      <c r="D7056" s="6" t="str">
        <f>_xll.QS.CONTEXT.ADD.CURVE(C7056,"SOFR",$K$2:$K$7,$L$2:$L$7,,,"Actual360","LogLinear",TRUE)</f>
        <v>QSObject:ContextInput:w1~input.qs_context_add_curve.2359132437744.7055.3.0:33428</v>
      </c>
      <c r="E7056" s="6" t="str">
        <f>_xll.QS.INSTRUMENT.SWAP("swap.7054",H7056,B7056,"USD","SOFR",I7056,J7056,0,"Actual360","Simple","Annual","Annual","Annual")</f>
        <v>QSObject:Swap:w1~swap.7054:5970</v>
      </c>
      <c r="F7056" s="6" t="str">
        <f>_xll.QS.TRADE.CREATE("trade.7054",E7056,A7056,"Receive")</f>
        <v>QSObject:SwapTrade:w1~trade.7054:24701</v>
      </c>
      <c r="G7056" s="3">
        <f>_xll.QS.EVALUATE(C7056,F7056)</f>
        <v>26558.261869741837</v>
      </c>
      <c r="H7056" s="5" t="s">
        <v>7097</v>
      </c>
      <c r="I7056" s="7">
        <v>1705400</v>
      </c>
      <c r="J7056" s="8">
        <v>3.5400000000000001E-2</v>
      </c>
    </row>
    <row r="7057" spans="1:10" x14ac:dyDescent="0.25">
      <c r="A7057" s="5" t="s">
        <v>7091</v>
      </c>
      <c r="B7057" s="5" t="s">
        <v>8924</v>
      </c>
      <c r="C7057" s="6" t="str">
        <f>_xll.QS.CONTEXT.CREATE("market.7055",A7057,"USD","SOFR")</f>
        <v>QSObject:PricingContext:w1~market.7055:5969</v>
      </c>
      <c r="D7057" s="6" t="str">
        <f>_xll.QS.CONTEXT.ADD.CURVE(C7057,"SOFR",$K$2:$K$7,$L$2:$L$7,,,"Actual360","LogLinear",TRUE)</f>
        <v>QSObject:ContextInput:w1~input.qs_context_add_curve.2359132437744.7056.3.0:33427</v>
      </c>
      <c r="E7057" s="6" t="str">
        <f>_xll.QS.INSTRUMENT.SWAP("swap.7055",H7057,B7057,"USD","SOFR",I7057,J7057,0,"Actual360","Simple","Annual","Annual","Annual")</f>
        <v>QSObject:Swap:w1~swap.7055:5968</v>
      </c>
      <c r="F7057" s="6" t="str">
        <f>_xll.QS.TRADE.CREATE("trade.7055",E7057,A7057,"Receive")</f>
        <v>QSObject:SwapTrade:w1~trade.7055:24700</v>
      </c>
      <c r="G7057" s="3">
        <f>_xll.QS.EVALUATE(C7057,F7057)</f>
        <v>27194.176235034429</v>
      </c>
      <c r="H7057" s="5" t="s">
        <v>7098</v>
      </c>
      <c r="I7057" s="7">
        <v>1705500</v>
      </c>
      <c r="J7057" s="8">
        <v>3.5499999999999997E-2</v>
      </c>
    </row>
    <row r="7058" spans="1:10" x14ac:dyDescent="0.25">
      <c r="A7058" s="5" t="s">
        <v>7092</v>
      </c>
      <c r="B7058" s="5" t="s">
        <v>8925</v>
      </c>
      <c r="C7058" s="6" t="str">
        <f>_xll.QS.CONTEXT.CREATE("market.7056",A7058,"USD","SOFR")</f>
        <v>QSObject:PricingContext:w1~market.7056:5967</v>
      </c>
      <c r="D7058" s="6" t="str">
        <f>_xll.QS.CONTEXT.ADD.CURVE(C7058,"SOFR",$K$2:$K$7,$L$2:$L$7,,,"Actual360","LogLinear",TRUE)</f>
        <v>QSObject:ContextInput:w1~input.qs_context_add_curve.2359132437744.7057.3.0:33426</v>
      </c>
      <c r="E7058" s="6" t="str">
        <f>_xll.QS.INSTRUMENT.SWAP("swap.7056",H7058,B7058,"USD","SOFR",I7058,J7058,0,"Actual360","Simple","Annual","Annual","Annual")</f>
        <v>QSObject:Swap:w1~swap.7056:5966</v>
      </c>
      <c r="F7058" s="6" t="str">
        <f>_xll.QS.TRADE.CREATE("trade.7056",E7058,A7058,"Receive")</f>
        <v>QSObject:SwapTrade:w1~trade.7056:24699</v>
      </c>
      <c r="G7058" s="3">
        <f>_xll.QS.EVALUATE(C7058,F7058)</f>
        <v>28052.778975854337</v>
      </c>
      <c r="H7058" s="5" t="s">
        <v>7099</v>
      </c>
      <c r="I7058" s="7">
        <v>1705600</v>
      </c>
      <c r="J7058" s="8">
        <v>3.5600000000000007E-2</v>
      </c>
    </row>
    <row r="7059" spans="1:10" x14ac:dyDescent="0.25">
      <c r="A7059" s="5" t="s">
        <v>7093</v>
      </c>
      <c r="B7059" s="5" t="s">
        <v>8926</v>
      </c>
      <c r="C7059" s="6" t="str">
        <f>_xll.QS.CONTEXT.CREATE("market.7057",A7059,"USD","SOFR")</f>
        <v>QSObject:PricingContext:w1~market.7057:5965</v>
      </c>
      <c r="D7059" s="6" t="str">
        <f>_xll.QS.CONTEXT.ADD.CURVE(C7059,"SOFR",$K$2:$K$7,$L$2:$L$7,,,"Actual360","LogLinear",TRUE)</f>
        <v>QSObject:ContextInput:w1~input.qs_context_add_curve.2359132437744.7058.3.0:33425</v>
      </c>
      <c r="E7059" s="6" t="str">
        <f>_xll.QS.INSTRUMENT.SWAP("swap.7057",H7059,B7059,"USD","SOFR",I7059,J7059,0,"Actual360","Simple","Annual","Annual","Annual")</f>
        <v>QSObject:Swap:w1~swap.7057:5964</v>
      </c>
      <c r="F7059" s="6" t="str">
        <f>_xll.QS.TRADE.CREATE("trade.7057",E7059,A7059,"Receive")</f>
        <v>QSObject:SwapTrade:w1~trade.7057:24698</v>
      </c>
      <c r="G7059" s="3">
        <f>_xll.QS.EVALUATE(C7059,F7059)</f>
        <v>28891.398096207871</v>
      </c>
      <c r="H7059" s="5" t="s">
        <v>7100</v>
      </c>
      <c r="I7059" s="7">
        <v>1705700</v>
      </c>
      <c r="J7059" s="8">
        <v>3.5700000000000003E-2</v>
      </c>
    </row>
    <row r="7060" spans="1:10" x14ac:dyDescent="0.25">
      <c r="A7060" s="5" t="s">
        <v>7094</v>
      </c>
      <c r="B7060" s="5" t="s">
        <v>8927</v>
      </c>
      <c r="C7060" s="6" t="str">
        <f>_xll.QS.CONTEXT.CREATE("market.7058",A7060,"USD","SOFR")</f>
        <v>QSObject:PricingContext:w1~market.7058:5963</v>
      </c>
      <c r="D7060" s="6" t="str">
        <f>_xll.QS.CONTEXT.ADD.CURVE(C7060,"SOFR",$K$2:$K$7,$L$2:$L$7,,,"Actual360","LogLinear",TRUE)</f>
        <v>QSObject:ContextInput:w1~input.qs_context_add_curve.2359132437744.7059.3.0:33424</v>
      </c>
      <c r="E7060" s="6" t="str">
        <f>_xll.QS.INSTRUMENT.SWAP("swap.7058",H7060,B7060,"USD","SOFR",I7060,J7060,0,"Actual360","Simple","Annual","Annual","Annual")</f>
        <v>QSObject:Swap:w1~swap.7058:5962</v>
      </c>
      <c r="F7060" s="6" t="str">
        <f>_xll.QS.TRADE.CREATE("trade.7058",E7060,A7060,"Receive")</f>
        <v>QSObject:SwapTrade:w1~trade.7058:24697</v>
      </c>
      <c r="G7060" s="3">
        <f>_xll.QS.EVALUATE(C7060,F7060)</f>
        <v>29805.339763068972</v>
      </c>
      <c r="H7060" s="5" t="s">
        <v>7101</v>
      </c>
      <c r="I7060" s="7">
        <v>1705800</v>
      </c>
      <c r="J7060" s="8">
        <v>3.5800000000000012E-2</v>
      </c>
    </row>
    <row r="7061" spans="1:10" x14ac:dyDescent="0.25">
      <c r="A7061" s="5" t="s">
        <v>7095</v>
      </c>
      <c r="B7061" s="5" t="s">
        <v>8928</v>
      </c>
      <c r="C7061" s="6" t="str">
        <f>_xll.QS.CONTEXT.CREATE("market.7059",A7061,"USD","SOFR")</f>
        <v>QSObject:PricingContext:w1~market.7059:5961</v>
      </c>
      <c r="D7061" s="6" t="str">
        <f>_xll.QS.CONTEXT.ADD.CURVE(C7061,"SOFR",$K$2:$K$7,$L$2:$L$7,,,"Actual360","LogLinear",TRUE)</f>
        <v>QSObject:ContextInput:w1~input.qs_context_add_curve.2359132437744.7060.3.0:33423</v>
      </c>
      <c r="E7061" s="6" t="str">
        <f>_xll.QS.INSTRUMENT.SWAP("swap.7059",H7061,B7061,"USD","SOFR",I7061,J7061,0,"Actual360","Simple","Annual","Annual","Annual")</f>
        <v>QSObject:Swap:w1~swap.7059:5960</v>
      </c>
      <c r="F7061" s="6" t="str">
        <f>_xll.QS.TRADE.CREATE("trade.7059",E7061,A7061,"Receive")</f>
        <v>QSObject:SwapTrade:w1~trade.7059:24696</v>
      </c>
      <c r="G7061" s="3">
        <f>_xll.QS.EVALUATE(C7061,F7061)</f>
        <v>30668.12317409354</v>
      </c>
      <c r="H7061" s="5" t="s">
        <v>7102</v>
      </c>
      <c r="I7061" s="7">
        <v>1705900</v>
      </c>
      <c r="J7061" s="8">
        <v>3.5900000000000001E-2</v>
      </c>
    </row>
    <row r="7062" spans="1:10" x14ac:dyDescent="0.25">
      <c r="A7062" s="5" t="s">
        <v>7096</v>
      </c>
      <c r="B7062" s="5" t="s">
        <v>8929</v>
      </c>
      <c r="C7062" s="6" t="str">
        <f>_xll.QS.CONTEXT.CREATE("market.7060",A7062,"USD","SOFR")</f>
        <v>QSObject:PricingContext:w1~market.7060:5959</v>
      </c>
      <c r="D7062" s="6" t="str">
        <f>_xll.QS.CONTEXT.ADD.CURVE(C7062,"SOFR",$K$2:$K$7,$L$2:$L$7,,,"Actual360","LogLinear",TRUE)</f>
        <v>QSObject:ContextInput:w1~input.qs_context_add_curve.2359132437744.7061.3.0:33422</v>
      </c>
      <c r="E7062" s="6" t="str">
        <f>_xll.QS.INSTRUMENT.SWAP("swap.7060",H7062,B7062,"USD","SOFR",I7062,J7062,0,"Actual360","Simple","Annual","Annual","Annual")</f>
        <v>QSObject:Swap:w1~swap.7060:5958</v>
      </c>
      <c r="F7062" s="6" t="str">
        <f>_xll.QS.TRADE.CREATE("trade.7060",E7062,A7062,"Receive")</f>
        <v>QSObject:SwapTrade:w1~trade.7060:24695</v>
      </c>
      <c r="G7062" s="3">
        <f>_xll.QS.EVALUATE(C7062,F7062)</f>
        <v>31391.14752021162</v>
      </c>
      <c r="H7062" s="5" t="s">
        <v>7103</v>
      </c>
      <c r="I7062" s="7">
        <v>1706000</v>
      </c>
      <c r="J7062" s="8">
        <v>3.5999999999999997E-2</v>
      </c>
    </row>
    <row r="7063" spans="1:10" x14ac:dyDescent="0.25">
      <c r="A7063" s="5" t="s">
        <v>7097</v>
      </c>
      <c r="B7063" s="5" t="s">
        <v>8930</v>
      </c>
      <c r="C7063" s="6" t="str">
        <f>_xll.QS.CONTEXT.CREATE("market.7061",A7063,"USD","SOFR")</f>
        <v>QSObject:PricingContext:w1~market.7061:5957</v>
      </c>
      <c r="D7063" s="6" t="str">
        <f>_xll.QS.CONTEXT.ADD.CURVE(C7063,"SOFR",$K$2:$K$7,$L$2:$L$7,,,"Actual360","LogLinear",TRUE)</f>
        <v>QSObject:ContextInput:w1~input.qs_context_add_curve.2359132437744.7062.3.0:33421</v>
      </c>
      <c r="E7063" s="6" t="str">
        <f>_xll.QS.INSTRUMENT.SWAP("swap.7061",H7063,B7063,"USD","SOFR",I7063,J7063,0,"Actual360","Simple","Annual","Annual","Annual")</f>
        <v>QSObject:Swap:w1~swap.7061:5956</v>
      </c>
      <c r="F7063" s="6" t="str">
        <f>_xll.QS.TRADE.CREATE("trade.7061",E7063,A7063,"Receive")</f>
        <v>QSObject:SwapTrade:w1~trade.7061:24694</v>
      </c>
      <c r="G7063" s="3">
        <f>_xll.QS.EVALUATE(C7063,F7063)</f>
        <v>32069.923590617756</v>
      </c>
      <c r="H7063" s="5" t="s">
        <v>7104</v>
      </c>
      <c r="I7063" s="7">
        <v>1706100</v>
      </c>
      <c r="J7063" s="8">
        <v>3.61E-2</v>
      </c>
    </row>
    <row r="7064" spans="1:10" x14ac:dyDescent="0.25">
      <c r="A7064" s="5" t="s">
        <v>7098</v>
      </c>
      <c r="B7064" s="5" t="s">
        <v>8931</v>
      </c>
      <c r="C7064" s="6" t="str">
        <f>_xll.QS.CONTEXT.CREATE("market.7062",A7064,"USD","SOFR")</f>
        <v>QSObject:PricingContext:w1~market.7062:5955</v>
      </c>
      <c r="D7064" s="6" t="str">
        <f>_xll.QS.CONTEXT.ADD.CURVE(C7064,"SOFR",$K$2:$K$7,$L$2:$L$7,,,"Actual360","LogLinear",TRUE)</f>
        <v>QSObject:ContextInput:w1~input.qs_context_add_curve.2359132437744.7063.3.0:33420</v>
      </c>
      <c r="E7064" s="6" t="str">
        <f>_xll.QS.INSTRUMENT.SWAP("swap.7062",H7064,B7064,"USD","SOFR",I7064,J7064,0,"Actual360","Simple","Annual","Annual","Annual")</f>
        <v>QSObject:Swap:w1~swap.7062:5954</v>
      </c>
      <c r="F7064" s="6" t="str">
        <f>_xll.QS.TRADE.CREATE("trade.7062",E7064,A7064,"Receive")</f>
        <v>QSObject:SwapTrade:w1~trade.7062:24693</v>
      </c>
      <c r="G7064" s="3">
        <f>_xll.QS.EVALUATE(C7064,F7064)</f>
        <v>32714.959273817782</v>
      </c>
      <c r="H7064" s="5" t="s">
        <v>7105</v>
      </c>
      <c r="I7064" s="7">
        <v>1706200</v>
      </c>
      <c r="J7064" s="8">
        <v>3.6200000000000003E-2</v>
      </c>
    </row>
    <row r="7065" spans="1:10" x14ac:dyDescent="0.25">
      <c r="A7065" s="5" t="s">
        <v>7099</v>
      </c>
      <c r="B7065" s="5" t="s">
        <v>8932</v>
      </c>
      <c r="C7065" s="6" t="str">
        <f>_xll.QS.CONTEXT.CREATE("market.7063",A7065,"USD","SOFR")</f>
        <v>QSObject:PricingContext:w1~market.7063:5953</v>
      </c>
      <c r="D7065" s="6" t="str">
        <f>_xll.QS.CONTEXT.ADD.CURVE(C7065,"SOFR",$K$2:$K$7,$L$2:$L$7,,,"Actual360","LogLinear",TRUE)</f>
        <v>QSObject:ContextInput:w1~input.qs_context_add_curve.2359132437744.7064.3.0:33419</v>
      </c>
      <c r="E7065" s="6" t="str">
        <f>_xll.QS.INSTRUMENT.SWAP("swap.7063",H7065,B7065,"USD","SOFR",I7065,J7065,0,"Actual360","Simple","Annual","Annual","Annual")</f>
        <v>QSObject:Swap:w1~swap.7063:5952</v>
      </c>
      <c r="F7065" s="6" t="str">
        <f>_xll.QS.TRADE.CREATE("trade.7063",E7065,A7065,"Receive")</f>
        <v>QSObject:SwapTrade:w1~trade.7063:24692</v>
      </c>
      <c r="G7065" s="3">
        <f>_xll.QS.EVALUATE(C7065,F7065)</f>
        <v>33574.778775324157</v>
      </c>
      <c r="H7065" s="5" t="s">
        <v>7106</v>
      </c>
      <c r="I7065" s="7">
        <v>1706300</v>
      </c>
      <c r="J7065" s="8">
        <v>3.6300000000000013E-2</v>
      </c>
    </row>
    <row r="7066" spans="1:10" x14ac:dyDescent="0.25">
      <c r="A7066" s="5" t="s">
        <v>7100</v>
      </c>
      <c r="B7066" s="5" t="s">
        <v>8933</v>
      </c>
      <c r="C7066" s="6" t="str">
        <f>_xll.QS.CONTEXT.CREATE("market.7064",A7066,"USD","SOFR")</f>
        <v>QSObject:PricingContext:w1~market.7064:5951</v>
      </c>
      <c r="D7066" s="6" t="str">
        <f>_xll.QS.CONTEXT.ADD.CURVE(C7066,"SOFR",$K$2:$K$7,$L$2:$L$7,,,"Actual360","LogLinear",TRUE)</f>
        <v>QSObject:ContextInput:w1~input.qs_context_add_curve.2359132437744.7065.3.0:33418</v>
      </c>
      <c r="E7066" s="6" t="str">
        <f>_xll.QS.INSTRUMENT.SWAP("swap.7064",H7066,B7066,"USD","SOFR",I7066,J7066,0,"Actual360","Simple","Annual","Annual","Annual")</f>
        <v>QSObject:Swap:w1~swap.7064:5950</v>
      </c>
      <c r="F7066" s="6" t="str">
        <f>_xll.QS.TRADE.CREATE("trade.7064",E7066,A7066,"Receive")</f>
        <v>QSObject:SwapTrade:w1~trade.7064:24691</v>
      </c>
      <c r="G7066" s="3">
        <f>_xll.QS.EVALUATE(C7066,F7066)</f>
        <v>34412.289677594927</v>
      </c>
      <c r="H7066" s="5" t="s">
        <v>7107</v>
      </c>
      <c r="I7066" s="7">
        <v>1706400</v>
      </c>
      <c r="J7066" s="8">
        <v>3.6400000000000002E-2</v>
      </c>
    </row>
    <row r="7067" spans="1:10" x14ac:dyDescent="0.25">
      <c r="A7067" s="5" t="s">
        <v>7101</v>
      </c>
      <c r="B7067" s="5" t="s">
        <v>8934</v>
      </c>
      <c r="C7067" s="6" t="str">
        <f>_xll.QS.CONTEXT.CREATE("market.7065",A7067,"USD","SOFR")</f>
        <v>QSObject:PricingContext:w1~market.7065:5949</v>
      </c>
      <c r="D7067" s="6" t="str">
        <f>_xll.QS.CONTEXT.ADD.CURVE(C7067,"SOFR",$K$2:$K$7,$L$2:$L$7,,,"Actual360","LogLinear",TRUE)</f>
        <v>QSObject:ContextInput:w1~input.qs_context_add_curve.2359132437744.7066.3.0:33417</v>
      </c>
      <c r="E7067" s="6" t="str">
        <f>_xll.QS.INSTRUMENT.SWAP("swap.7065",H7067,B7067,"USD","SOFR",I7067,J7067,0,"Actual360","Simple","Annual","Annual","Annual")</f>
        <v>QSObject:Swap:w1~swap.7065:5948</v>
      </c>
      <c r="F7067" s="6" t="str">
        <f>_xll.QS.TRADE.CREATE("trade.7065",E7067,A7067,"Receive")</f>
        <v>QSObject:SwapTrade:w1~trade.7065:24690</v>
      </c>
      <c r="G7067" s="3">
        <f>_xll.QS.EVALUATE(C7067,F7067)</f>
        <v>35326.10552305296</v>
      </c>
      <c r="H7067" s="5" t="s">
        <v>7108</v>
      </c>
      <c r="I7067" s="7">
        <v>1706500</v>
      </c>
      <c r="J7067" s="8">
        <v>3.6499999999999998E-2</v>
      </c>
    </row>
    <row r="7068" spans="1:10" x14ac:dyDescent="0.25">
      <c r="A7068" s="5" t="s">
        <v>7102</v>
      </c>
      <c r="B7068" s="5" t="s">
        <v>8935</v>
      </c>
      <c r="C7068" s="6" t="str">
        <f>_xll.QS.CONTEXT.CREATE("market.7066",A7068,"USD","SOFR")</f>
        <v>QSObject:PricingContext:w1~market.7066:5947</v>
      </c>
      <c r="D7068" s="6" t="str">
        <f>_xll.QS.CONTEXT.ADD.CURVE(C7068,"SOFR",$K$2:$K$7,$L$2:$L$7,,,"Actual360","LogLinear",TRUE)</f>
        <v>QSObject:ContextInput:w1~input.qs_context_add_curve.2359132437744.7067.3.0:33416</v>
      </c>
      <c r="E7068" s="6" t="str">
        <f>_xll.QS.INSTRUMENT.SWAP("swap.7066",H7068,B7068,"USD","SOFR",I7068,J7068,0,"Actual360","Simple","Annual","Annual","Annual")</f>
        <v>QSObject:Swap:w1~swap.7066:5946</v>
      </c>
      <c r="F7068" s="6" t="str">
        <f>_xll.QS.TRADE.CREATE("trade.7066",E7068,A7068,"Receive")</f>
        <v>QSObject:SwapTrade:w1~trade.7066:24689</v>
      </c>
      <c r="G7068" s="3">
        <f>_xll.QS.EVALUATE(C7068,F7068)</f>
        <v>36189.628284652514</v>
      </c>
      <c r="H7068" s="5" t="s">
        <v>7109</v>
      </c>
      <c r="I7068" s="7">
        <v>1706600</v>
      </c>
      <c r="J7068" s="8">
        <v>3.6600000000000001E-2</v>
      </c>
    </row>
    <row r="7069" spans="1:10" x14ac:dyDescent="0.25">
      <c r="A7069" s="5" t="s">
        <v>7103</v>
      </c>
      <c r="B7069" s="5" t="s">
        <v>8936</v>
      </c>
      <c r="C7069" s="6" t="str">
        <f>_xll.QS.CONTEXT.CREATE("market.7067",A7069,"USD","SOFR")</f>
        <v>QSObject:PricingContext:w1~market.7067:5945</v>
      </c>
      <c r="D7069" s="6" t="str">
        <f>_xll.QS.CONTEXT.ADD.CURVE(C7069,"SOFR",$K$2:$K$7,$L$2:$L$7,,,"Actual360","LogLinear",TRUE)</f>
        <v>QSObject:ContextInput:w1~input.qs_context_add_curve.2359132437744.7068.3.0:33415</v>
      </c>
      <c r="E7069" s="6" t="str">
        <f>_xll.QS.INSTRUMENT.SWAP("swap.7067",H7069,B7069,"USD","SOFR",I7069,J7069,0,"Actual360","Simple","Annual","Annual","Annual")</f>
        <v>QSObject:Swap:w1~swap.7067:5944</v>
      </c>
      <c r="F7069" s="6" t="str">
        <f>_xll.QS.TRADE.CREATE("trade.7067",E7069,A7069,"Receive")</f>
        <v>QSObject:SwapTrade:w1~trade.7067:24688</v>
      </c>
      <c r="G7069" s="3">
        <f>_xll.QS.EVALUATE(C7069,F7069)</f>
        <v>36913.210840793821</v>
      </c>
      <c r="H7069" s="5" t="s">
        <v>7110</v>
      </c>
      <c r="I7069" s="7">
        <v>1706700</v>
      </c>
      <c r="J7069" s="8">
        <v>3.6700000000000003E-2</v>
      </c>
    </row>
    <row r="7070" spans="1:10" x14ac:dyDescent="0.25">
      <c r="A7070" s="5" t="s">
        <v>7104</v>
      </c>
      <c r="B7070" s="5" t="s">
        <v>8937</v>
      </c>
      <c r="C7070" s="6" t="str">
        <f>_xll.QS.CONTEXT.CREATE("market.7068",A7070,"USD","SOFR")</f>
        <v>QSObject:PricingContext:w1~market.7068:5943</v>
      </c>
      <c r="D7070" s="6" t="str">
        <f>_xll.QS.CONTEXT.ADD.CURVE(C7070,"SOFR",$K$2:$K$7,$L$2:$L$7,,,"Actual360","LogLinear",TRUE)</f>
        <v>QSObject:ContextInput:w1~input.qs_context_add_curve.2359132437744.7069.3.0:33414</v>
      </c>
      <c r="E7070" s="6" t="str">
        <f>_xll.QS.INSTRUMENT.SWAP("swap.7068",H7070,B7070,"USD","SOFR",I7070,J7070,0,"Actual360","Simple","Annual","Annual","Annual")</f>
        <v>QSObject:Swap:w1~swap.7068:5942</v>
      </c>
      <c r="F7070" s="6" t="str">
        <f>_xll.QS.TRADE.CREATE("trade.7068",E7070,A7070,"Receive")</f>
        <v>QSObject:SwapTrade:w1~trade.7068:24687</v>
      </c>
      <c r="G7070" s="3">
        <f>_xll.QS.EVALUATE(C7070,F7070)</f>
        <v>37586.09915290388</v>
      </c>
      <c r="H7070" s="5" t="s">
        <v>7111</v>
      </c>
      <c r="I7070" s="7">
        <v>1706800</v>
      </c>
      <c r="J7070" s="8">
        <v>3.6800000000000013E-2</v>
      </c>
    </row>
    <row r="7071" spans="1:10" x14ac:dyDescent="0.25">
      <c r="A7071" s="5" t="s">
        <v>7105</v>
      </c>
      <c r="B7071" s="5" t="s">
        <v>8938</v>
      </c>
      <c r="C7071" s="6" t="str">
        <f>_xll.QS.CONTEXT.CREATE("market.7069",A7071,"USD","SOFR")</f>
        <v>QSObject:PricingContext:w1~market.7069:5941</v>
      </c>
      <c r="D7071" s="6" t="str">
        <f>_xll.QS.CONTEXT.ADD.CURVE(C7071,"SOFR",$K$2:$K$7,$L$2:$L$7,,,"Actual360","LogLinear",TRUE)</f>
        <v>QSObject:ContextInput:w1~input.qs_context_add_curve.2359132437744.7070.3.0:33413</v>
      </c>
      <c r="E7071" s="6" t="str">
        <f>_xll.QS.INSTRUMENT.SWAP("swap.7069",H7071,B7071,"USD","SOFR",I7071,J7071,0,"Actual360","Simple","Annual","Annual","Annual")</f>
        <v>QSObject:Swap:w1~swap.7069:5940</v>
      </c>
      <c r="F7071" s="6" t="str">
        <f>_xll.QS.TRADE.CREATE("trade.7069",E7071,A7071,"Receive")</f>
        <v>QSObject:SwapTrade:w1~trade.7069:24686</v>
      </c>
      <c r="G7071" s="3">
        <f>_xll.QS.EVALUATE(C7071,F7071)</f>
        <v>38240.263160196228</v>
      </c>
      <c r="H7071" s="5" t="s">
        <v>7112</v>
      </c>
      <c r="I7071" s="7">
        <v>1706900</v>
      </c>
      <c r="J7071" s="8">
        <v>3.6900000000000002E-2</v>
      </c>
    </row>
    <row r="7072" spans="1:10" x14ac:dyDescent="0.25">
      <c r="A7072" s="5" t="s">
        <v>7106</v>
      </c>
      <c r="B7072" s="5" t="s">
        <v>8939</v>
      </c>
      <c r="C7072" s="6" t="str">
        <f>_xll.QS.CONTEXT.CREATE("market.7070",A7072,"USD","SOFR")</f>
        <v>QSObject:PricingContext:w1~market.7070:5939</v>
      </c>
      <c r="D7072" s="6" t="str">
        <f>_xll.QS.CONTEXT.ADD.CURVE(C7072,"SOFR",$K$2:$K$7,$L$2:$L$7,,,"Actual360","LogLinear",TRUE)</f>
        <v>QSObject:ContextInput:w1~input.qs_context_add_curve.2359132437744.7071.3.0:33412</v>
      </c>
      <c r="E7072" s="6" t="str">
        <f>_xll.QS.INSTRUMENT.SWAP("swap.7070",H7072,B7072,"USD","SOFR",I7072,J7072,0,"Actual360","Simple","Annual","Annual","Annual")</f>
        <v>QSObject:Swap:w1~swap.7070:5938</v>
      </c>
      <c r="F7072" s="6" t="str">
        <f>_xll.QS.TRADE.CREATE("trade.7070",E7072,A7072,"Receive")</f>
        <v>QSObject:SwapTrade:w1~trade.7070:24685</v>
      </c>
      <c r="G7072" s="3">
        <f>_xll.QS.EVALUATE(C7072,F7072)</f>
        <v>39101.291479846113</v>
      </c>
      <c r="H7072" s="5" t="s">
        <v>7113</v>
      </c>
      <c r="I7072" s="7">
        <v>1707000</v>
      </c>
      <c r="J7072" s="8">
        <v>3.7000000000000012E-2</v>
      </c>
    </row>
    <row r="7073" spans="1:10" x14ac:dyDescent="0.25">
      <c r="A7073" s="5" t="s">
        <v>7107</v>
      </c>
      <c r="B7073" s="5" t="s">
        <v>8940</v>
      </c>
      <c r="C7073" s="6" t="str">
        <f>_xll.QS.CONTEXT.CREATE("market.7071",A7073,"USD","SOFR")</f>
        <v>QSObject:PricingContext:w1~market.7071:5937</v>
      </c>
      <c r="D7073" s="6" t="str">
        <f>_xll.QS.CONTEXT.ADD.CURVE(C7073,"SOFR",$K$2:$K$7,$L$2:$L$7,,,"Actual360","LogLinear",TRUE)</f>
        <v>QSObject:ContextInput:w1~input.qs_context_add_curve.2359132437744.7072.3.0:33411</v>
      </c>
      <c r="E7073" s="6" t="str">
        <f>_xll.QS.INSTRUMENT.SWAP("swap.7071",H7073,B7073,"USD","SOFR",I7073,J7073,0,"Actual360","Simple","Annual","Annual","Annual")</f>
        <v>QSObject:Swap:w1~swap.7071:5936</v>
      </c>
      <c r="F7073" s="6" t="str">
        <f>_xll.QS.TRADE.CREATE("trade.7071",E7073,A7073,"Receive")</f>
        <v>QSObject:SwapTrade:w1~trade.7071:24684</v>
      </c>
      <c r="G7073" s="3">
        <f>_xll.QS.EVALUATE(C7073,F7073)</f>
        <v>39936.790584021917</v>
      </c>
      <c r="H7073" s="5" t="s">
        <v>7114</v>
      </c>
      <c r="I7073" s="7">
        <v>1707100</v>
      </c>
      <c r="J7073" s="8">
        <v>3.7100000000000001E-2</v>
      </c>
    </row>
    <row r="7074" spans="1:10" x14ac:dyDescent="0.25">
      <c r="A7074" s="5" t="s">
        <v>7108</v>
      </c>
      <c r="B7074" s="5" t="s">
        <v>8941</v>
      </c>
      <c r="C7074" s="6" t="str">
        <f>_xll.QS.CONTEXT.CREATE("market.7072",A7074,"USD","SOFR")</f>
        <v>QSObject:PricingContext:w1~market.7072:5935</v>
      </c>
      <c r="D7074" s="6" t="str">
        <f>_xll.QS.CONTEXT.ADD.CURVE(C7074,"SOFR",$K$2:$K$7,$L$2:$L$7,,,"Actual360","LogLinear",TRUE)</f>
        <v>QSObject:ContextInput:w1~input.qs_context_add_curve.2359132437744.7073.3.0:33410</v>
      </c>
      <c r="E7074" s="6" t="str">
        <f>_xll.QS.INSTRUMENT.SWAP("swap.7072",H7074,B7074,"USD","SOFR",I7074,J7074,0,"Actual360","Simple","Annual","Annual","Annual")</f>
        <v>QSObject:Swap:w1~swap.7072:5934</v>
      </c>
      <c r="F7074" s="6" t="str">
        <f>_xll.QS.TRADE.CREATE("trade.7072",E7074,A7074,"Receive")</f>
        <v>QSObject:SwapTrade:w1~trade.7072:24683</v>
      </c>
      <c r="G7074" s="3">
        <f>_xll.QS.EVALUATE(C7074,F7074)</f>
        <v>40851.390444234763</v>
      </c>
      <c r="H7074" s="5" t="s">
        <v>7115</v>
      </c>
      <c r="I7074" s="7">
        <v>1707200</v>
      </c>
      <c r="J7074" s="8">
        <v>3.7199999999999997E-2</v>
      </c>
    </row>
    <row r="7075" spans="1:10" x14ac:dyDescent="0.25">
      <c r="A7075" s="5" t="s">
        <v>7109</v>
      </c>
      <c r="B7075" s="5" t="s">
        <v>8942</v>
      </c>
      <c r="C7075" s="6" t="str">
        <f>_xll.QS.CONTEXT.CREATE("market.7073",A7075,"USD","SOFR")</f>
        <v>QSObject:PricingContext:w1~market.7073:5933</v>
      </c>
      <c r="D7075" s="6" t="str">
        <f>_xll.QS.CONTEXT.ADD.CURVE(C7075,"SOFR",$K$2:$K$7,$L$2:$L$7,,,"Actual360","LogLinear",TRUE)</f>
        <v>QSObject:ContextInput:w1~input.qs_context_add_curve.2359132437744.7074.3.0:33409</v>
      </c>
      <c r="E7075" s="6" t="str">
        <f>_xll.QS.INSTRUMENT.SWAP("swap.7073",H7075,B7075,"USD","SOFR",I7075,J7075,0,"Actual360","Simple","Annual","Annual","Annual")</f>
        <v>QSObject:Swap:w1~swap.7073:5932</v>
      </c>
      <c r="F7075" s="6" t="str">
        <f>_xll.QS.TRADE.CREATE("trade.7073",E7075,A7075,"Receive")</f>
        <v>QSObject:SwapTrade:w1~trade.7073:24682</v>
      </c>
      <c r="G7075" s="3">
        <f>_xll.QS.EVALUATE(C7075,F7075)</f>
        <v>41715.652608283759</v>
      </c>
      <c r="H7075" s="5" t="s">
        <v>7116</v>
      </c>
      <c r="I7075" s="7">
        <v>1707300</v>
      </c>
      <c r="J7075" s="8">
        <v>3.73E-2</v>
      </c>
    </row>
    <row r="7076" spans="1:10" x14ac:dyDescent="0.25">
      <c r="A7076" s="5" t="s">
        <v>7110</v>
      </c>
      <c r="B7076" s="5" t="s">
        <v>8943</v>
      </c>
      <c r="C7076" s="6" t="str">
        <f>_xll.QS.CONTEXT.CREATE("market.7074",A7076,"USD","SOFR")</f>
        <v>QSObject:PricingContext:w1~market.7074:5931</v>
      </c>
      <c r="D7076" s="6" t="str">
        <f>_xll.QS.CONTEXT.ADD.CURVE(C7076,"SOFR",$K$2:$K$7,$L$2:$L$7,,,"Actual360","LogLinear",TRUE)</f>
        <v>QSObject:ContextInput:w1~input.qs_context_add_curve.2359132437744.7075.3.0:33408</v>
      </c>
      <c r="E7076" s="6" t="str">
        <f>_xll.QS.INSTRUMENT.SWAP("swap.7074",H7076,B7076,"USD","SOFR",I7076,J7076,0,"Actual360","Simple","Annual","Annual","Annual")</f>
        <v>QSObject:Swap:w1~swap.7074:5930</v>
      </c>
      <c r="F7076" s="6" t="str">
        <f>_xll.QS.TRADE.CREATE("trade.7074",E7076,A7076,"Receive")</f>
        <v>QSObject:SwapTrade:w1~trade.7074:24681</v>
      </c>
      <c r="G7076" s="3">
        <f>_xll.QS.EVALUATE(C7076,F7076)</f>
        <v>42439.793324802056</v>
      </c>
      <c r="H7076" s="5" t="s">
        <v>7117</v>
      </c>
      <c r="I7076" s="7">
        <v>1707400</v>
      </c>
      <c r="J7076" s="8">
        <v>3.7400000000000003E-2</v>
      </c>
    </row>
    <row r="7077" spans="1:10" x14ac:dyDescent="0.25">
      <c r="A7077" s="5" t="s">
        <v>7111</v>
      </c>
      <c r="B7077" s="5" t="s">
        <v>8944</v>
      </c>
      <c r="C7077" s="6" t="str">
        <f>_xll.QS.CONTEXT.CREATE("market.7075",A7077,"USD","SOFR")</f>
        <v>QSObject:PricingContext:w1~market.7075:5929</v>
      </c>
      <c r="D7077" s="6" t="str">
        <f>_xll.QS.CONTEXT.ADD.CURVE(C7077,"SOFR",$K$2:$K$7,$L$2:$L$7,,,"Actual360","LogLinear",TRUE)</f>
        <v>QSObject:ContextInput:w1~input.qs_context_add_curve.2359132437744.7076.3.0:33407</v>
      </c>
      <c r="E7077" s="6" t="str">
        <f>_xll.QS.INSTRUMENT.SWAP("swap.7075",H7077,B7077,"USD","SOFR",I7077,J7077,0,"Actual360","Simple","Annual","Annual","Annual")</f>
        <v>QSObject:Swap:w1~swap.7075:5928</v>
      </c>
      <c r="F7077" s="6" t="str">
        <f>_xll.QS.TRADE.CREATE("trade.7075",E7077,A7077,"Receive")</f>
        <v>QSObject:SwapTrade:w1~trade.7075:24680</v>
      </c>
      <c r="G7077" s="3">
        <f>_xll.QS.EVALUATE(C7077,F7077)</f>
        <v>43079.118544593883</v>
      </c>
      <c r="H7077" s="5" t="s">
        <v>7118</v>
      </c>
      <c r="I7077" s="7">
        <v>1707500</v>
      </c>
      <c r="J7077" s="8">
        <v>3.7500000000000012E-2</v>
      </c>
    </row>
    <row r="7078" spans="1:10" x14ac:dyDescent="0.25">
      <c r="A7078" s="5" t="s">
        <v>7112</v>
      </c>
      <c r="B7078" s="5" t="s">
        <v>8945</v>
      </c>
      <c r="C7078" s="6" t="str">
        <f>_xll.QS.CONTEXT.CREATE("market.7076",A7078,"USD","SOFR")</f>
        <v>QSObject:PricingContext:w1~market.7076:5927</v>
      </c>
      <c r="D7078" s="6" t="str">
        <f>_xll.QS.CONTEXT.ADD.CURVE(C7078,"SOFR",$K$2:$K$7,$L$2:$L$7,,,"Actual360","LogLinear",TRUE)</f>
        <v>QSObject:ContextInput:w1~input.qs_context_add_curve.2359132437744.7077.3.0:33406</v>
      </c>
      <c r="E7078" s="6" t="str">
        <f>_xll.QS.INSTRUMENT.SWAP("swap.7076",H7078,B7078,"USD","SOFR",I7078,J7078,0,"Actual360","Simple","Annual","Annual","Annual")</f>
        <v>QSObject:Swap:w1~swap.7076:5926</v>
      </c>
      <c r="F7078" s="6" t="str">
        <f>_xll.QS.TRADE.CREATE("trade.7076",E7078,A7078,"Receive")</f>
        <v>QSObject:SwapTrade:w1~trade.7076:24679</v>
      </c>
      <c r="G7078" s="3">
        <f>_xll.QS.EVALUATE(C7078,F7078)</f>
        <v>43698.849814630121</v>
      </c>
      <c r="H7078" s="5" t="s">
        <v>7119</v>
      </c>
      <c r="I7078" s="7">
        <v>1707600</v>
      </c>
      <c r="J7078" s="8">
        <v>3.7600000000000001E-2</v>
      </c>
    </row>
    <row r="7079" spans="1:10" x14ac:dyDescent="0.25">
      <c r="A7079" s="5" t="s">
        <v>7113</v>
      </c>
      <c r="B7079" s="5" t="s">
        <v>8946</v>
      </c>
      <c r="C7079" s="6" t="str">
        <f>_xll.QS.CONTEXT.CREATE("market.7077",A7079,"USD","SOFR")</f>
        <v>QSObject:PricingContext:w1~market.7077:5925</v>
      </c>
      <c r="D7079" s="6" t="str">
        <f>_xll.QS.CONTEXT.ADD.CURVE(C7079,"SOFR",$K$2:$K$7,$L$2:$L$7,,,"Actual360","LogLinear",TRUE)</f>
        <v>QSObject:ContextInput:w1~input.qs_context_add_curve.2359132437744.7078.3.0:33405</v>
      </c>
      <c r="E7079" s="6" t="str">
        <f>_xll.QS.INSTRUMENT.SWAP("swap.7077",H7079,B7079,"USD","SOFR",I7079,J7079,0,"Actual360","Simple","Annual","Annual","Annual")</f>
        <v>QSObject:Swap:w1~swap.7077:5924</v>
      </c>
      <c r="F7079" s="6" t="str">
        <f>_xll.QS.TRADE.CREATE("trade.7077",E7079,A7079,"Receive")</f>
        <v>QSObject:SwapTrade:w1~trade.7077:24678</v>
      </c>
      <c r="G7079" s="3">
        <f>_xll.QS.EVALUATE(C7079,F7079)</f>
        <v>44560.96771118715</v>
      </c>
      <c r="H7079" s="5" t="s">
        <v>7120</v>
      </c>
      <c r="I7079" s="7">
        <v>1707700</v>
      </c>
      <c r="J7079" s="8">
        <v>3.7699999999999997E-2</v>
      </c>
    </row>
    <row r="7080" spans="1:10" x14ac:dyDescent="0.25">
      <c r="A7080" s="5" t="s">
        <v>7114</v>
      </c>
      <c r="B7080" s="5" t="s">
        <v>8947</v>
      </c>
      <c r="C7080" s="6" t="str">
        <f>_xll.QS.CONTEXT.CREATE("market.7078",A7080,"USD","SOFR")</f>
        <v>QSObject:PricingContext:w1~market.7078:5923</v>
      </c>
      <c r="D7080" s="6" t="str">
        <f>_xll.QS.CONTEXT.ADD.CURVE(C7080,"SOFR",$K$2:$K$7,$L$2:$L$7,,,"Actual360","LogLinear",TRUE)</f>
        <v>QSObject:ContextInput:w1~input.qs_context_add_curve.2359132437744.7079.3.0:33404</v>
      </c>
      <c r="E7080" s="6" t="str">
        <f>_xll.QS.INSTRUMENT.SWAP("swap.7078",H7080,B7080,"USD","SOFR",I7080,J7080,0,"Actual360","Simple","Annual","Annual","Annual")</f>
        <v>QSObject:Swap:w1~swap.7078:5922</v>
      </c>
      <c r="F7080" s="6" t="str">
        <f>_xll.QS.TRADE.CREATE("trade.7078",E7080,A7080,"Receive")</f>
        <v>QSObject:SwapTrade:w1~trade.7078:24677</v>
      </c>
      <c r="G7080" s="3">
        <f>_xll.QS.EVALUATE(C7080,F7080)</f>
        <v>45423.304857694515</v>
      </c>
      <c r="H7080" s="5" t="s">
        <v>7121</v>
      </c>
      <c r="I7080" s="7">
        <v>1707800</v>
      </c>
      <c r="J7080" s="8">
        <v>3.78E-2</v>
      </c>
    </row>
    <row r="7081" spans="1:10" x14ac:dyDescent="0.25">
      <c r="A7081" s="5" t="s">
        <v>7115</v>
      </c>
      <c r="B7081" s="5" t="s">
        <v>8948</v>
      </c>
      <c r="C7081" s="6" t="str">
        <f>_xll.QS.CONTEXT.CREATE("market.7079",A7081,"USD","SOFR")</f>
        <v>QSObject:PricingContext:w1~market.7079:5921</v>
      </c>
      <c r="D7081" s="6" t="str">
        <f>_xll.QS.CONTEXT.ADD.CURVE(C7081,"SOFR",$K$2:$K$7,$L$2:$L$7,,,"Actual360","LogLinear",TRUE)</f>
        <v>QSObject:ContextInput:w1~input.qs_context_add_curve.2359132437744.7080.3.0:33403</v>
      </c>
      <c r="E7081" s="6" t="str">
        <f>_xll.QS.INSTRUMENT.SWAP("swap.7079",H7081,B7081,"USD","SOFR",I7081,J7081,0,"Actual360","Simple","Annual","Annual","Annual")</f>
        <v>QSObject:Swap:w1~swap.7079:5920</v>
      </c>
      <c r="F7081" s="6" t="str">
        <f>_xll.QS.TRADE.CREATE("trade.7079",E7081,A7081,"Receive")</f>
        <v>QSObject:SwapTrade:w1~trade.7079:24676</v>
      </c>
      <c r="G7081" s="3">
        <f>_xll.QS.EVALUATE(C7081,F7081)</f>
        <v>46444.022950066996</v>
      </c>
      <c r="H7081" s="5" t="s">
        <v>7122</v>
      </c>
      <c r="I7081" s="7">
        <v>1707900</v>
      </c>
      <c r="J7081" s="8">
        <v>3.7900000000000003E-2</v>
      </c>
    </row>
    <row r="7082" spans="1:10" x14ac:dyDescent="0.25">
      <c r="A7082" s="5" t="s">
        <v>7116</v>
      </c>
      <c r="B7082" s="5" t="s">
        <v>8949</v>
      </c>
      <c r="C7082" s="6" t="str">
        <f>_xll.QS.CONTEXT.CREATE("market.7080",A7082,"USD","SOFR")</f>
        <v>QSObject:PricingContext:w1~market.7080:5919</v>
      </c>
      <c r="D7082" s="6" t="str">
        <f>_xll.QS.CONTEXT.ADD.CURVE(C7082,"SOFR",$K$2:$K$7,$L$2:$L$7,,,"Actual360","LogLinear",TRUE)</f>
        <v>QSObject:ContextInput:w1~input.qs_context_add_curve.2359132437744.7081.3.0:33402</v>
      </c>
      <c r="E7082" s="6" t="str">
        <f>_xll.QS.INSTRUMENT.SWAP("swap.7080",H7082,B7082,"USD","SOFR",I7082,J7082,0,"Actual360","Simple","Annual","Annual","Annual")</f>
        <v>QSObject:Swap:w1~swap.7080:5918</v>
      </c>
      <c r="F7082" s="6" t="str">
        <f>_xll.QS.TRADE.CREATE("trade.7080",E7082,A7082,"Receive")</f>
        <v>QSObject:SwapTrade:w1~trade.7080:24675</v>
      </c>
      <c r="G7082" s="3">
        <f>_xll.QS.EVALUATE(C7082,F7082)</f>
        <v>47250.10993695831</v>
      </c>
      <c r="H7082" s="5" t="s">
        <v>7123</v>
      </c>
      <c r="I7082" s="7">
        <v>1708000</v>
      </c>
      <c r="J7082" s="8">
        <v>3.8000000000000013E-2</v>
      </c>
    </row>
    <row r="7083" spans="1:10" x14ac:dyDescent="0.25">
      <c r="A7083" s="5" t="s">
        <v>7117</v>
      </c>
      <c r="B7083" s="5" t="s">
        <v>8950</v>
      </c>
      <c r="C7083" s="6" t="str">
        <f>_xll.QS.CONTEXT.CREATE("market.7081",A7083,"USD","SOFR")</f>
        <v>QSObject:PricingContext:w1~market.7081:5917</v>
      </c>
      <c r="D7083" s="6" t="str">
        <f>_xll.QS.CONTEXT.ADD.CURVE(C7083,"SOFR",$K$2:$K$7,$L$2:$L$7,,,"Actual360","LogLinear",TRUE)</f>
        <v>QSObject:ContextInput:w1~input.qs_context_add_curve.2359132437744.7082.3.0:33401</v>
      </c>
      <c r="E7083" s="6" t="str">
        <f>_xll.QS.INSTRUMENT.SWAP("swap.7081",H7083,B7083,"USD","SOFR",I7083,J7083,0,"Actual360","Simple","Annual","Annual","Annual")</f>
        <v>QSObject:Swap:w1~swap.7081:5916</v>
      </c>
      <c r="F7083" s="6" t="str">
        <f>_xll.QS.TRADE.CREATE("trade.7081",E7083,A7083,"Receive")</f>
        <v>QSObject:SwapTrade:w1~trade.7081:24674</v>
      </c>
      <c r="G7083" s="3">
        <f>_xll.QS.EVALUATE(C7083,F7083)</f>
        <v>48038.80378104742</v>
      </c>
      <c r="H7083" s="5" t="s">
        <v>7124</v>
      </c>
      <c r="I7083" s="7">
        <v>1708100</v>
      </c>
      <c r="J7083" s="8">
        <v>3.8100000000000002E-2</v>
      </c>
    </row>
    <row r="7084" spans="1:10" x14ac:dyDescent="0.25">
      <c r="A7084" s="5" t="s">
        <v>7118</v>
      </c>
      <c r="B7084" s="5" t="s">
        <v>8951</v>
      </c>
      <c r="C7084" s="6" t="str">
        <f>_xll.QS.CONTEXT.CREATE("market.7082",A7084,"USD","SOFR")</f>
        <v>QSObject:PricingContext:w1~market.7082:5915</v>
      </c>
      <c r="D7084" s="6" t="str">
        <f>_xll.QS.CONTEXT.ADD.CURVE(C7084,"SOFR",$K$2:$K$7,$L$2:$L$7,,,"Actual360","LogLinear",TRUE)</f>
        <v>QSObject:ContextInput:w1~input.qs_context_add_curve.2359132437744.7083.3.0:33400</v>
      </c>
      <c r="E7084" s="6" t="str">
        <f>_xll.QS.INSTRUMENT.SWAP("swap.7082",H7084,B7084,"USD","SOFR",I7084,J7084,0,"Actual360","Simple","Annual","Annual","Annual")</f>
        <v>QSObject:Swap:w1~swap.7082:5914</v>
      </c>
      <c r="F7084" s="6" t="str">
        <f>_xll.QS.TRADE.CREATE("trade.7082",E7084,A7084,"Receive")</f>
        <v>QSObject:SwapTrade:w1~trade.7082:24673</v>
      </c>
      <c r="G7084" s="3">
        <f>_xll.QS.EVALUATE(C7084,F7084)</f>
        <v>48792.552700103603</v>
      </c>
      <c r="H7084" s="5" t="s">
        <v>7125</v>
      </c>
      <c r="I7084" s="7">
        <v>1708200</v>
      </c>
      <c r="J7084" s="8">
        <v>3.8199999999999998E-2</v>
      </c>
    </row>
    <row r="7085" spans="1:10" x14ac:dyDescent="0.25">
      <c r="A7085" s="5" t="s">
        <v>7119</v>
      </c>
      <c r="B7085" s="5" t="s">
        <v>8952</v>
      </c>
      <c r="C7085" s="6" t="str">
        <f>_xll.QS.CONTEXT.CREATE("market.7083",A7085,"USD","SOFR")</f>
        <v>QSObject:PricingContext:w1~market.7083:5913</v>
      </c>
      <c r="D7085" s="6" t="str">
        <f>_xll.QS.CONTEXT.ADD.CURVE(C7085,"SOFR",$K$2:$K$7,$L$2:$L$7,,,"Actual360","LogLinear",TRUE)</f>
        <v>QSObject:ContextInput:w1~input.qs_context_add_curve.2359132437744.7084.3.0:33399</v>
      </c>
      <c r="E7085" s="6" t="str">
        <f>_xll.QS.INSTRUMENT.SWAP("swap.7083",H7085,B7085,"USD","SOFR",I7085,J7085,0,"Actual360","Simple","Annual","Annual","Annual")</f>
        <v>QSObject:Swap:w1~swap.7083:5912</v>
      </c>
      <c r="F7085" s="6" t="str">
        <f>_xll.QS.TRADE.CREATE("trade.7083",E7085,A7085,"Receive")</f>
        <v>QSObject:SwapTrade:w1~trade.7083:24672</v>
      </c>
      <c r="G7085" s="3">
        <f>_xll.QS.EVALUATE(C7085,F7085)</f>
        <v>49587.665274023435</v>
      </c>
      <c r="H7085" s="5" t="s">
        <v>7126</v>
      </c>
      <c r="I7085" s="7">
        <v>1708300</v>
      </c>
      <c r="J7085" s="8">
        <v>3.8300000000000001E-2</v>
      </c>
    </row>
    <row r="7086" spans="1:10" x14ac:dyDescent="0.25">
      <c r="A7086" s="5" t="s">
        <v>7120</v>
      </c>
      <c r="B7086" s="5" t="s">
        <v>8953</v>
      </c>
      <c r="C7086" s="6" t="str">
        <f>_xll.QS.CONTEXT.CREATE("market.7084",A7086,"USD","SOFR")</f>
        <v>QSObject:PricingContext:w1~market.7084:5911</v>
      </c>
      <c r="D7086" s="6" t="str">
        <f>_xll.QS.CONTEXT.ADD.CURVE(C7086,"SOFR",$K$2:$K$7,$L$2:$L$7,,,"Actual360","LogLinear",TRUE)</f>
        <v>QSObject:ContextInput:w1~input.qs_context_add_curve.2359132437744.7085.3.0:33398</v>
      </c>
      <c r="E7086" s="6" t="str">
        <f>_xll.QS.INSTRUMENT.SWAP("swap.7084",H7086,B7086,"USD","SOFR",I7086,J7086,0,"Actual360","Simple","Annual","Annual","Annual")</f>
        <v>QSObject:Swap:w1~swap.7084:5910</v>
      </c>
      <c r="F7086" s="6" t="str">
        <f>_xll.QS.TRADE.CREATE("trade.7084",E7086,A7086,"Receive")</f>
        <v>QSObject:SwapTrade:w1~trade.7084:24671</v>
      </c>
      <c r="G7086" s="3">
        <f>_xll.QS.EVALUATE(C7086,F7086)</f>
        <v>50168.281221988153</v>
      </c>
      <c r="H7086" s="5" t="s">
        <v>7127</v>
      </c>
      <c r="I7086" s="7">
        <v>1708400</v>
      </c>
      <c r="J7086" s="8">
        <v>3.8399999999999997E-2</v>
      </c>
    </row>
    <row r="7087" spans="1:10" x14ac:dyDescent="0.25">
      <c r="A7087" s="5" t="s">
        <v>7121</v>
      </c>
      <c r="B7087" s="5" t="s">
        <v>8954</v>
      </c>
      <c r="C7087" s="6" t="str">
        <f>_xll.QS.CONTEXT.CREATE("market.7085",A7087,"USD","SOFR")</f>
        <v>QSObject:PricingContext:w1~market.7085:5909</v>
      </c>
      <c r="D7087" s="6" t="str">
        <f>_xll.QS.CONTEXT.ADD.CURVE(C7087,"SOFR",$K$2:$K$7,$L$2:$L$7,,,"Actual360","LogLinear",TRUE)</f>
        <v>QSObject:ContextInput:w1~input.qs_context_add_curve.2359132437744.7086.3.0:33397</v>
      </c>
      <c r="E7087" s="6" t="str">
        <f>_xll.QS.INSTRUMENT.SWAP("swap.7085",H7087,B7087,"USD","SOFR",I7087,J7087,0,"Actual360","Simple","Annual","Annual","Annual")</f>
        <v>QSObject:Swap:w1~swap.7085:5908</v>
      </c>
      <c r="F7087" s="6" t="str">
        <f>_xll.QS.TRADE.CREATE("trade.7085",E7087,A7087,"Receive")</f>
        <v>QSObject:SwapTrade:w1~trade.7085:24670</v>
      </c>
      <c r="G7087" s="3">
        <f>_xll.QS.EVALUATE(C7087,F7087)</f>
        <v>51000.055928380098</v>
      </c>
      <c r="H7087" s="5" t="s">
        <v>7128</v>
      </c>
      <c r="I7087" s="7">
        <v>1708500</v>
      </c>
      <c r="J7087" s="8">
        <v>3.8500000000000013E-2</v>
      </c>
    </row>
    <row r="7088" spans="1:10" x14ac:dyDescent="0.25">
      <c r="A7088" s="5" t="s">
        <v>7122</v>
      </c>
      <c r="B7088" s="5" t="s">
        <v>8955</v>
      </c>
      <c r="C7088" s="6" t="str">
        <f>_xll.QS.CONTEXT.CREATE("market.7086",A7088,"USD","SOFR")</f>
        <v>QSObject:PricingContext:w1~market.7086:5907</v>
      </c>
      <c r="D7088" s="6" t="str">
        <f>_xll.QS.CONTEXT.ADD.CURVE(C7088,"SOFR",$K$2:$K$7,$L$2:$L$7,,,"Actual360","LogLinear",TRUE)</f>
        <v>QSObject:ContextInput:w1~input.qs_context_add_curve.2359132437744.7087.3.0:33396</v>
      </c>
      <c r="E7088" s="6" t="str">
        <f>_xll.QS.INSTRUMENT.SWAP("swap.7086",H7088,B7088,"USD","SOFR",I7088,J7088,0,"Actual360","Simple","Annual","Annual","Annual")</f>
        <v>QSObject:Swap:w1~swap.7086:5906</v>
      </c>
      <c r="F7088" s="6" t="str">
        <f>_xll.QS.TRADE.CREATE("trade.7086",E7088,A7088,"Receive")</f>
        <v>QSObject:SwapTrade:w1~trade.7086:24669</v>
      </c>
      <c r="G7088" s="3">
        <f>_xll.QS.EVALUATE(C7088,F7088)</f>
        <v>51982.287000965916</v>
      </c>
      <c r="H7088" s="5" t="s">
        <v>7129</v>
      </c>
      <c r="I7088" s="7">
        <v>1708600</v>
      </c>
      <c r="J7088" s="8">
        <v>3.8600000000000002E-2</v>
      </c>
    </row>
    <row r="7089" spans="1:10" x14ac:dyDescent="0.25">
      <c r="A7089" s="5" t="s">
        <v>7123</v>
      </c>
      <c r="B7089" s="5" t="s">
        <v>8956</v>
      </c>
      <c r="C7089" s="6" t="str">
        <f>_xll.QS.CONTEXT.CREATE("market.7087",A7089,"USD","SOFR")</f>
        <v>QSObject:PricingContext:w1~market.7087:5905</v>
      </c>
      <c r="D7089" s="6" t="str">
        <f>_xll.QS.CONTEXT.ADD.CURVE(C7089,"SOFR",$K$2:$K$7,$L$2:$L$7,,,"Actual360","LogLinear",TRUE)</f>
        <v>QSObject:ContextInput:w1~input.qs_context_add_curve.2359132437744.7088.3.0:33395</v>
      </c>
      <c r="E7089" s="6" t="str">
        <f>_xll.QS.INSTRUMENT.SWAP("swap.7087",H7089,B7089,"USD","SOFR",I7089,J7089,0,"Actual360","Simple","Annual","Annual","Annual")</f>
        <v>QSObject:Swap:w1~swap.7087:5904</v>
      </c>
      <c r="F7089" s="6" t="str">
        <f>_xll.QS.TRADE.CREATE("trade.7087",E7089,A7089,"Receive")</f>
        <v>QSObject:SwapTrade:w1~trade.7087:24668</v>
      </c>
      <c r="G7089" s="3">
        <f>_xll.QS.EVALUATE(C7089,F7089)</f>
        <v>52781.25889476273</v>
      </c>
      <c r="H7089" s="5" t="s">
        <v>7130</v>
      </c>
      <c r="I7089" s="7">
        <v>1708700</v>
      </c>
      <c r="J7089" s="8">
        <v>3.8700000000000012E-2</v>
      </c>
    </row>
    <row r="7090" spans="1:10" x14ac:dyDescent="0.25">
      <c r="A7090" s="5" t="s">
        <v>7124</v>
      </c>
      <c r="B7090" s="5" t="s">
        <v>8957</v>
      </c>
      <c r="C7090" s="6" t="str">
        <f>_xll.QS.CONTEXT.CREATE("market.7088",A7090,"USD","SOFR")</f>
        <v>QSObject:PricingContext:w1~market.7088:5903</v>
      </c>
      <c r="D7090" s="6" t="str">
        <f>_xll.QS.CONTEXT.ADD.CURVE(C7090,"SOFR",$K$2:$K$7,$L$2:$L$7,,,"Actual360","LogLinear",TRUE)</f>
        <v>QSObject:ContextInput:w1~input.qs_context_add_curve.2359132437744.7089.3.0:33394</v>
      </c>
      <c r="E7090" s="6" t="str">
        <f>_xll.QS.INSTRUMENT.SWAP("swap.7088",H7090,B7090,"USD","SOFR",I7090,J7090,0,"Actual360","Simple","Annual","Annual","Annual")</f>
        <v>QSObject:Swap:w1~swap.7088:5902</v>
      </c>
      <c r="F7090" s="6" t="str">
        <f>_xll.QS.TRADE.CREATE("trade.7088",E7090,A7090,"Receive")</f>
        <v>QSObject:SwapTrade:w1~trade.7088:24667</v>
      </c>
      <c r="G7090" s="3">
        <f>_xll.QS.EVALUATE(C7090,F7090)</f>
        <v>53506.515783096816</v>
      </c>
      <c r="H7090" s="5" t="s">
        <v>7131</v>
      </c>
      <c r="I7090" s="7">
        <v>1708800</v>
      </c>
      <c r="J7090" s="8">
        <v>3.8800000000000001E-2</v>
      </c>
    </row>
    <row r="7091" spans="1:10" x14ac:dyDescent="0.25">
      <c r="A7091" s="5" t="s">
        <v>7125</v>
      </c>
      <c r="B7091" s="5" t="s">
        <v>8958</v>
      </c>
      <c r="C7091" s="6" t="str">
        <f>_xll.QS.CONTEXT.CREATE("market.7089",A7091,"USD","SOFR")</f>
        <v>QSObject:PricingContext:w1~market.7089:5901</v>
      </c>
      <c r="D7091" s="6" t="str">
        <f>_xll.QS.CONTEXT.ADD.CURVE(C7091,"SOFR",$K$2:$K$7,$L$2:$L$7,,,"Actual360","LogLinear",TRUE)</f>
        <v>QSObject:ContextInput:w1~input.qs_context_add_curve.2359132437744.7090.3.0:33393</v>
      </c>
      <c r="E7091" s="6" t="str">
        <f>_xll.QS.INSTRUMENT.SWAP("swap.7089",H7091,B7091,"USD","SOFR",I7091,J7091,0,"Actual360","Simple","Annual","Annual","Annual")</f>
        <v>QSObject:Swap:w1~swap.7089:5900</v>
      </c>
      <c r="F7091" s="6" t="str">
        <f>_xll.QS.TRADE.CREATE("trade.7089",E7091,A7091,"Receive")</f>
        <v>QSObject:SwapTrade:w1~trade.7089:24666</v>
      </c>
      <c r="G7091" s="3">
        <f>_xll.QS.EVALUATE(C7091,F7091)</f>
        <v>54161.708888225039</v>
      </c>
      <c r="H7091" s="5" t="s">
        <v>7132</v>
      </c>
      <c r="I7091" s="7">
        <v>1708900</v>
      </c>
      <c r="J7091" s="8">
        <v>3.8899999999999997E-2</v>
      </c>
    </row>
    <row r="7092" spans="1:10" x14ac:dyDescent="0.25">
      <c r="A7092" s="5" t="s">
        <v>7126</v>
      </c>
      <c r="B7092" s="5" t="s">
        <v>8959</v>
      </c>
      <c r="C7092" s="6" t="str">
        <f>_xll.QS.CONTEXT.CREATE("market.7090",A7092,"USD","SOFR")</f>
        <v>QSObject:PricingContext:w1~market.7090:5899</v>
      </c>
      <c r="D7092" s="6" t="str">
        <f>_xll.QS.CONTEXT.ADD.CURVE(C7092,"SOFR",$K$2:$K$7,$L$2:$L$7,,,"Actual360","LogLinear",TRUE)</f>
        <v>QSObject:ContextInput:w1~input.qs_context_add_curve.2359132437744.7091.3.0:33392</v>
      </c>
      <c r="E7092" s="6" t="str">
        <f>_xll.QS.INSTRUMENT.SWAP("swap.7090",H7092,B7092,"USD","SOFR",I7092,J7092,0,"Actual360","Simple","Annual","Annual","Annual")</f>
        <v>QSObject:Swap:w1~swap.7090:5898</v>
      </c>
      <c r="F7092" s="6" t="str">
        <f>_xll.QS.TRADE.CREATE("trade.7090",E7092,A7092,"Receive")</f>
        <v>QSObject:SwapTrade:w1~trade.7090:24665</v>
      </c>
      <c r="G7092" s="3">
        <f>_xll.QS.EVALUATE(C7092,F7092)</f>
        <v>54843.299904901258</v>
      </c>
      <c r="H7092" s="5" t="s">
        <v>7133</v>
      </c>
      <c r="I7092" s="7">
        <v>1709000</v>
      </c>
      <c r="J7092" s="8">
        <v>3.9000000000000007E-2</v>
      </c>
    </row>
    <row r="7093" spans="1:10" x14ac:dyDescent="0.25">
      <c r="A7093" s="5" t="s">
        <v>7127</v>
      </c>
      <c r="B7093" s="5" t="s">
        <v>8960</v>
      </c>
      <c r="C7093" s="6" t="str">
        <f>_xll.QS.CONTEXT.CREATE("market.7091",A7093,"USD","SOFR")</f>
        <v>QSObject:PricingContext:w1~market.7091:5897</v>
      </c>
      <c r="D7093" s="6" t="str">
        <f>_xll.QS.CONTEXT.ADD.CURVE(C7093,"SOFR",$K$2:$K$7,$L$2:$L$7,,,"Actual360","LogLinear",TRUE)</f>
        <v>QSObject:ContextInput:w1~input.qs_context_add_curve.2359132437744.7092.3.0:33391</v>
      </c>
      <c r="E7093" s="6" t="str">
        <f>_xll.QS.INSTRUMENT.SWAP("swap.7091",H7093,B7093,"USD","SOFR",I7093,J7093,0,"Actual360","Simple","Annual","Annual","Annual")</f>
        <v>QSObject:Swap:w1~swap.7091:5896</v>
      </c>
      <c r="F7093" s="6" t="str">
        <f>_xll.QS.TRADE.CREATE("trade.7091",E7093,A7093,"Receive")</f>
        <v>QSObject:SwapTrade:w1~trade.7091:24664</v>
      </c>
      <c r="G7093" s="3">
        <f>_xll.QS.EVALUATE(C7093,F7093)</f>
        <v>55707.957306508011</v>
      </c>
      <c r="H7093" s="5" t="s">
        <v>7134</v>
      </c>
      <c r="I7093" s="7">
        <v>1709100</v>
      </c>
      <c r="J7093" s="8">
        <v>3.9100000000000003E-2</v>
      </c>
    </row>
    <row r="7094" spans="1:10" x14ac:dyDescent="0.25">
      <c r="A7094" s="5" t="s">
        <v>7128</v>
      </c>
      <c r="B7094" s="5" t="s">
        <v>8961</v>
      </c>
      <c r="C7094" s="6" t="str">
        <f>_xll.QS.CONTEXT.CREATE("market.7092",A7094,"USD","SOFR")</f>
        <v>QSObject:PricingContext:w1~market.7092:5895</v>
      </c>
      <c r="D7094" s="6" t="str">
        <f>_xll.QS.CONTEXT.ADD.CURVE(C7094,"SOFR",$K$2:$K$7,$L$2:$L$7,,,"Actual360","LogLinear",TRUE)</f>
        <v>QSObject:ContextInput:w1~input.qs_context_add_curve.2359132437744.7093.3.0:33390</v>
      </c>
      <c r="E7094" s="6" t="str">
        <f>_xll.QS.INSTRUMENT.SWAP("swap.7092",H7094,B7094,"USD","SOFR",I7094,J7094,0,"Actual360","Simple","Annual","Annual","Annual")</f>
        <v>QSObject:Swap:w1~swap.7092:5894</v>
      </c>
      <c r="F7094" s="6" t="str">
        <f>_xll.QS.TRADE.CREATE("trade.7092",E7094,A7094,"Receive")</f>
        <v>QSObject:SwapTrade:w1~trade.7092:24663</v>
      </c>
      <c r="G7094" s="3">
        <f>_xll.QS.EVALUATE(C7094,F7094)</f>
        <v>56537.407841405126</v>
      </c>
      <c r="H7094" s="5" t="s">
        <v>7135</v>
      </c>
      <c r="I7094" s="7">
        <v>1709200</v>
      </c>
      <c r="J7094" s="8">
        <v>3.9200000000000013E-2</v>
      </c>
    </row>
    <row r="7095" spans="1:10" x14ac:dyDescent="0.25">
      <c r="A7095" s="5" t="s">
        <v>7129</v>
      </c>
      <c r="B7095" s="5" t="s">
        <v>8962</v>
      </c>
      <c r="C7095" s="6" t="str">
        <f>_xll.QS.CONTEXT.CREATE("market.7093",A7095,"USD","SOFR")</f>
        <v>QSObject:PricingContext:w1~market.7093:5893</v>
      </c>
      <c r="D7095" s="6" t="str">
        <f>_xll.QS.CONTEXT.ADD.CURVE(C7095,"SOFR",$K$2:$K$7,$L$2:$L$7,,,"Actual360","LogLinear",TRUE)</f>
        <v>QSObject:ContextInput:w1~input.qs_context_add_curve.2359132437744.7094.3.0:33389</v>
      </c>
      <c r="E7095" s="6" t="str">
        <f>_xll.QS.INSTRUMENT.SWAP("swap.7093",H7095,B7095,"USD","SOFR",I7095,J7095,0,"Actual360","Simple","Annual","Annual","Annual")</f>
        <v>QSObject:Swap:w1~swap.7093:5892</v>
      </c>
      <c r="F7095" s="6" t="str">
        <f>_xll.QS.TRADE.CREATE("trade.7093",E7095,A7095,"Receive")</f>
        <v>QSObject:SwapTrade:w1~trade.7093:24662</v>
      </c>
      <c r="G7095" s="3">
        <f>_xll.QS.EVALUATE(C7095,F7095)</f>
        <v>57454.360174964859</v>
      </c>
      <c r="H7095" s="5" t="s">
        <v>7136</v>
      </c>
      <c r="I7095" s="7">
        <v>1709300</v>
      </c>
      <c r="J7095" s="8">
        <v>3.9300000000000002E-2</v>
      </c>
    </row>
    <row r="7096" spans="1:10" x14ac:dyDescent="0.25">
      <c r="A7096" s="5" t="s">
        <v>7130</v>
      </c>
      <c r="B7096" s="5" t="s">
        <v>8963</v>
      </c>
      <c r="C7096" s="6" t="str">
        <f>_xll.QS.CONTEXT.CREATE("market.7094",A7096,"USD","SOFR")</f>
        <v>QSObject:PricingContext:w1~market.7094:5891</v>
      </c>
      <c r="D7096" s="6" t="str">
        <f>_xll.QS.CONTEXT.ADD.CURVE(C7096,"SOFR",$K$2:$K$7,$L$2:$L$7,,,"Actual360","LogLinear",TRUE)</f>
        <v>QSObject:ContextInput:w1~input.qs_context_add_curve.2359132437744.7095.3.0:33388</v>
      </c>
      <c r="E7096" s="6" t="str">
        <f>_xll.QS.INSTRUMENT.SWAP("swap.7094",H7096,B7096,"USD","SOFR",I7096,J7096,0,"Actual360","Simple","Annual","Annual","Annual")</f>
        <v>QSObject:Swap:w1~swap.7094:5890</v>
      </c>
      <c r="F7096" s="6" t="str">
        <f>_xll.QS.TRADE.CREATE("trade.7094",E7096,A7096,"Receive")</f>
        <v>QSObject:SwapTrade:w1~trade.7094:24661</v>
      </c>
      <c r="G7096" s="3">
        <f>_xll.QS.EVALUATE(C7096,F7096)</f>
        <v>58320.840857610485</v>
      </c>
      <c r="H7096" s="5" t="s">
        <v>7137</v>
      </c>
      <c r="I7096" s="7">
        <v>1709400</v>
      </c>
      <c r="J7096" s="8">
        <v>3.9399999999999998E-2</v>
      </c>
    </row>
    <row r="7097" spans="1:10" x14ac:dyDescent="0.25">
      <c r="A7097" s="5" t="s">
        <v>7131</v>
      </c>
      <c r="B7097" s="5" t="s">
        <v>8964</v>
      </c>
      <c r="C7097" s="6" t="str">
        <f>_xll.QS.CONTEXT.CREATE("market.7095",A7097,"USD","SOFR")</f>
        <v>QSObject:PricingContext:w1~market.7095:5889</v>
      </c>
      <c r="D7097" s="6" t="str">
        <f>_xll.QS.CONTEXT.ADD.CURVE(C7097,"SOFR",$K$2:$K$7,$L$2:$L$7,,,"Actual360","LogLinear",TRUE)</f>
        <v>QSObject:ContextInput:w1~input.qs_context_add_curve.2359132437744.7096.3.0:33387</v>
      </c>
      <c r="E7097" s="6" t="str">
        <f>_xll.QS.INSTRUMENT.SWAP("swap.7095",H7097,B7097,"USD","SOFR",I7097,J7097,0,"Actual360","Simple","Annual","Annual","Annual")</f>
        <v>QSObject:Swap:w1~swap.7095:5888</v>
      </c>
      <c r="F7097" s="6" t="str">
        <f>_xll.QS.TRADE.CREATE("trade.7095",E7097,A7097,"Receive")</f>
        <v>QSObject:SwapTrade:w1~trade.7095:24660</v>
      </c>
      <c r="G7097" s="3">
        <f>_xll.QS.EVALUATE(C7097,F7097)</f>
        <v>59046.655757383545</v>
      </c>
      <c r="H7097" s="5" t="s">
        <v>7138</v>
      </c>
      <c r="I7097" s="7">
        <v>1709500</v>
      </c>
      <c r="J7097" s="8">
        <v>3.9500000000000007E-2</v>
      </c>
    </row>
    <row r="7098" spans="1:10" x14ac:dyDescent="0.25">
      <c r="A7098" s="5" t="s">
        <v>7132</v>
      </c>
      <c r="B7098" s="5" t="s">
        <v>8965</v>
      </c>
      <c r="C7098" s="6" t="str">
        <f>_xll.QS.CONTEXT.CREATE("market.7096",A7098,"USD","SOFR")</f>
        <v>QSObject:PricingContext:w1~market.7096:5887</v>
      </c>
      <c r="D7098" s="6" t="str">
        <f>_xll.QS.CONTEXT.ADD.CURVE(C7098,"SOFR",$K$2:$K$7,$L$2:$L$7,,,"Actual360","LogLinear",TRUE)</f>
        <v>QSObject:ContextInput:w1~input.qs_context_add_curve.2359132437744.7097.3.0:33386</v>
      </c>
      <c r="E7098" s="6" t="str">
        <f>_xll.QS.INSTRUMENT.SWAP("swap.7096",H7098,B7098,"USD","SOFR",I7098,J7098,0,"Actual360","Simple","Annual","Annual","Annual")</f>
        <v>QSObject:Swap:w1~swap.7096:5886</v>
      </c>
      <c r="F7098" s="6" t="str">
        <f>_xll.QS.TRADE.CREATE("trade.7096",E7098,A7098,"Receive")</f>
        <v>QSObject:SwapTrade:w1~trade.7096:24659</v>
      </c>
      <c r="G7098" s="3">
        <f>_xll.QS.EVALUATE(C7098,F7098)</f>
        <v>59695.939816152983</v>
      </c>
      <c r="H7098" s="5" t="s">
        <v>7139</v>
      </c>
      <c r="I7098" s="7">
        <v>1709600</v>
      </c>
      <c r="J7098" s="8">
        <v>3.9600000000000003E-2</v>
      </c>
    </row>
    <row r="7099" spans="1:10" x14ac:dyDescent="0.25">
      <c r="A7099" s="5" t="s">
        <v>7133</v>
      </c>
      <c r="B7099" s="5" t="s">
        <v>8966</v>
      </c>
      <c r="C7099" s="6" t="str">
        <f>_xll.QS.CONTEXT.CREATE("market.7097",A7099,"USD","SOFR")</f>
        <v>QSObject:PricingContext:w1~market.7097:5885</v>
      </c>
      <c r="D7099" s="6" t="str">
        <f>_xll.QS.CONTEXT.ADD.CURVE(C7099,"SOFR",$K$2:$K$7,$L$2:$L$7,,,"Actual360","LogLinear",TRUE)</f>
        <v>QSObject:ContextInput:w1~input.qs_context_add_curve.2359132437744.7098.3.0:33385</v>
      </c>
      <c r="E7099" s="6" t="str">
        <f>_xll.QS.INSTRUMENT.SWAP("swap.7097",H7099,B7099,"USD","SOFR",I7099,J7099,0,"Actual360","Simple","Annual","Annual","Annual")</f>
        <v>QSObject:Swap:w1~swap.7097:5884</v>
      </c>
      <c r="F7099" s="6" t="str">
        <f>_xll.QS.TRADE.CREATE("trade.7097",E7099,A7099,"Receive")</f>
        <v>QSObject:SwapTrade:w1~trade.7097:24658</v>
      </c>
      <c r="G7099" s="3">
        <f>_xll.QS.EVALUATE(C7099,F7099)</f>
        <v>60386.687181659749</v>
      </c>
      <c r="H7099" s="5" t="s">
        <v>7140</v>
      </c>
      <c r="I7099" s="7">
        <v>1709700</v>
      </c>
      <c r="J7099" s="8">
        <v>3.9700000000000013E-2</v>
      </c>
    </row>
    <row r="7100" spans="1:10" x14ac:dyDescent="0.25">
      <c r="A7100" s="5" t="s">
        <v>7134</v>
      </c>
      <c r="B7100" s="5" t="s">
        <v>8967</v>
      </c>
      <c r="C7100" s="6" t="str">
        <f>_xll.QS.CONTEXT.CREATE("market.7098",A7100,"USD","SOFR")</f>
        <v>QSObject:PricingContext:w1~market.7098:5883</v>
      </c>
      <c r="D7100" s="6" t="str">
        <f>_xll.QS.CONTEXT.ADD.CURVE(C7100,"SOFR",$K$2:$K$7,$L$2:$L$7,,,"Actual360","LogLinear",TRUE)</f>
        <v>QSObject:ContextInput:w1~input.qs_context_add_curve.2359132437744.7099.3.0:33384</v>
      </c>
      <c r="E7100" s="6" t="str">
        <f>_xll.QS.INSTRUMENT.SWAP("swap.7098",H7100,B7100,"USD","SOFR",I7100,J7100,0,"Actual360","Simple","Annual","Annual","Annual")</f>
        <v>QSObject:Swap:w1~swap.7098:5882</v>
      </c>
      <c r="F7100" s="6" t="str">
        <f>_xll.QS.TRADE.CREATE("trade.7098",E7100,A7100,"Receive")</f>
        <v>QSObject:SwapTrade:w1~trade.7098:24657</v>
      </c>
      <c r="G7100" s="3">
        <f>_xll.QS.EVALUATE(C7100,F7100)</f>
        <v>61252.555153094378</v>
      </c>
      <c r="H7100" s="5" t="s">
        <v>7141</v>
      </c>
      <c r="I7100" s="7">
        <v>1709800</v>
      </c>
      <c r="J7100" s="8">
        <v>3.9800000000000002E-2</v>
      </c>
    </row>
    <row r="7101" spans="1:10" x14ac:dyDescent="0.25">
      <c r="A7101" s="5" t="s">
        <v>7135</v>
      </c>
      <c r="B7101" s="5" t="s">
        <v>8968</v>
      </c>
      <c r="C7101" s="6" t="str">
        <f>_xll.QS.CONTEXT.CREATE("market.7099",A7101,"USD","SOFR")</f>
        <v>QSObject:PricingContext:w1~market.7099:5881</v>
      </c>
      <c r="D7101" s="6" t="str">
        <f>_xll.QS.CONTEXT.ADD.CURVE(C7101,"SOFR",$K$2:$K$7,$L$2:$L$7,,,"Actual360","LogLinear",TRUE)</f>
        <v>QSObject:ContextInput:w1~input.qs_context_add_curve.2359132437744.7100.3.0:33383</v>
      </c>
      <c r="E7101" s="6" t="str">
        <f>_xll.QS.INSTRUMENT.SWAP("swap.7099",H7101,B7101,"USD","SOFR",I7101,J7101,0,"Actual360","Simple","Annual","Annual","Annual")</f>
        <v>QSObject:Swap:w1~swap.7099:5880</v>
      </c>
      <c r="F7101" s="6" t="str">
        <f>_xll.QS.TRADE.CREATE("trade.7099",E7101,A7101,"Receive")</f>
        <v>QSObject:SwapTrade:w1~trade.7099:24656</v>
      </c>
      <c r="G7101" s="3">
        <f>_xll.QS.EVALUATE(C7101,F7101)</f>
        <v>62079.98510656695</v>
      </c>
      <c r="H7101" s="5" t="s">
        <v>7142</v>
      </c>
      <c r="I7101" s="7">
        <v>1709900</v>
      </c>
      <c r="J7101" s="8">
        <v>3.9899999999999998E-2</v>
      </c>
    </row>
    <row r="7102" spans="1:10" x14ac:dyDescent="0.25">
      <c r="A7102" s="5" t="s">
        <v>7136</v>
      </c>
      <c r="B7102" s="5" t="s">
        <v>8969</v>
      </c>
      <c r="C7102" s="6" t="str">
        <f>_xll.QS.CONTEXT.CREATE("market.7100",A7102,"USD","SOFR")</f>
        <v>QSObject:PricingContext:w1~market.7100:5879</v>
      </c>
      <c r="D7102" s="6" t="str">
        <f>_xll.QS.CONTEXT.ADD.CURVE(C7102,"SOFR",$K$2:$K$7,$L$2:$L$7,,,"Actual360","LogLinear",TRUE)</f>
        <v>QSObject:ContextInput:w1~input.qs_context_add_curve.2359132437744.7101.3.0:33382</v>
      </c>
      <c r="E7102" s="6" t="str">
        <f>_xll.QS.INSTRUMENT.SWAP("swap.7100",H7102,B7102,"USD","SOFR",I7102,J7102,0,"Actual360","Simple","Annual","Annual","Annual")</f>
        <v>QSObject:Swap:w1~swap.7100:5878</v>
      </c>
      <c r="F7102" s="6" t="str">
        <f>_xll.QS.TRADE.CREATE("trade.7100",E7102,A7102,"Receive")</f>
        <v>QSObject:SwapTrade:w1~trade.7100:24655</v>
      </c>
      <c r="G7102" s="3">
        <f>_xll.QS.EVALUATE(C7102,F7102)</f>
        <v>23570.345987315915</v>
      </c>
      <c r="H7102" s="5" t="s">
        <v>7143</v>
      </c>
      <c r="I7102" s="7">
        <v>1710000</v>
      </c>
      <c r="J7102" s="8">
        <v>3.5000000000000003E-2</v>
      </c>
    </row>
    <row r="7103" spans="1:10" x14ac:dyDescent="0.25">
      <c r="A7103" s="5" t="s">
        <v>7137</v>
      </c>
      <c r="B7103" s="5" t="s">
        <v>8970</v>
      </c>
      <c r="C7103" s="6" t="str">
        <f>_xll.QS.CONTEXT.CREATE("market.7101",A7103,"USD","SOFR")</f>
        <v>QSObject:PricingContext:w1~market.7101:5877</v>
      </c>
      <c r="D7103" s="6" t="str">
        <f>_xll.QS.CONTEXT.ADD.CURVE(C7103,"SOFR",$K$2:$K$7,$L$2:$L$7,,,"Actual360","LogLinear",TRUE)</f>
        <v>QSObject:ContextInput:w1~input.qs_context_add_curve.2359132437744.7102.3.0:33381</v>
      </c>
      <c r="E7103" s="6" t="str">
        <f>_xll.QS.INSTRUMENT.SWAP("swap.7101",H7103,B7103,"USD","SOFR",I7103,J7103,0,"Actual360","Simple","Annual","Annual","Annual")</f>
        <v>QSObject:Swap:w1~swap.7101:5876</v>
      </c>
      <c r="F7103" s="6" t="str">
        <f>_xll.QS.TRADE.CREATE("trade.7101",E7103,A7103,"Receive")</f>
        <v>QSObject:SwapTrade:w1~trade.7101:24654</v>
      </c>
      <c r="G7103" s="3">
        <f>_xll.QS.EVALUATE(C7103,F7103)</f>
        <v>24434.807978484903</v>
      </c>
      <c r="H7103" s="5" t="s">
        <v>7144</v>
      </c>
      <c r="I7103" s="7">
        <v>1710100</v>
      </c>
      <c r="J7103" s="8">
        <v>3.5100000000000013E-2</v>
      </c>
    </row>
    <row r="7104" spans="1:10" x14ac:dyDescent="0.25">
      <c r="A7104" s="5" t="s">
        <v>7138</v>
      </c>
      <c r="B7104" s="5" t="s">
        <v>8971</v>
      </c>
      <c r="C7104" s="6" t="str">
        <f>_xll.QS.CONTEXT.CREATE("market.7102",A7104,"USD","SOFR")</f>
        <v>QSObject:PricingContext:w1~market.7102:5875</v>
      </c>
      <c r="D7104" s="6" t="str">
        <f>_xll.QS.CONTEXT.ADD.CURVE(C7104,"SOFR",$K$2:$K$7,$L$2:$L$7,,,"Actual360","LogLinear",TRUE)</f>
        <v>QSObject:ContextInput:w1~input.qs_context_add_curve.2359132437744.7103.3.0:33380</v>
      </c>
      <c r="E7104" s="6" t="str">
        <f>_xll.QS.INSTRUMENT.SWAP("swap.7102",H7104,B7104,"USD","SOFR",I7104,J7104,0,"Actual360","Simple","Annual","Annual","Annual")</f>
        <v>QSObject:Swap:w1~swap.7102:5874</v>
      </c>
      <c r="F7104" s="6" t="str">
        <f>_xll.QS.TRADE.CREATE("trade.7102",E7104,A7104,"Receive")</f>
        <v>QSObject:SwapTrade:w1~trade.7102:24653</v>
      </c>
      <c r="G7104" s="3">
        <f>_xll.QS.EVALUATE(C7104,F7104)</f>
        <v>25159.308306328276</v>
      </c>
      <c r="H7104" s="5" t="s">
        <v>7145</v>
      </c>
      <c r="I7104" s="7">
        <v>1710200</v>
      </c>
      <c r="J7104" s="8">
        <v>3.5200000000000002E-2</v>
      </c>
    </row>
    <row r="7105" spans="1:10" x14ac:dyDescent="0.25">
      <c r="A7105" s="5" t="s">
        <v>7139</v>
      </c>
      <c r="B7105" s="5" t="s">
        <v>8972</v>
      </c>
      <c r="C7105" s="6" t="str">
        <f>_xll.QS.CONTEXT.CREATE("market.7103",A7105,"USD","SOFR")</f>
        <v>QSObject:PricingContext:w1~market.7103:5873</v>
      </c>
      <c r="D7105" s="6" t="str">
        <f>_xll.QS.CONTEXT.ADD.CURVE(C7105,"SOFR",$K$2:$K$7,$L$2:$L$7,,,"Actual360","LogLinear",TRUE)</f>
        <v>QSObject:ContextInput:w1~input.qs_context_add_curve.2359132437744.7104.3.0:33379</v>
      </c>
      <c r="E7105" s="6" t="str">
        <f>_xll.QS.INSTRUMENT.SWAP("swap.7103",H7105,B7105,"USD","SOFR",I7105,J7105,0,"Actual360","Simple","Annual","Annual","Annual")</f>
        <v>QSObject:Swap:w1~swap.7103:5872</v>
      </c>
      <c r="F7105" s="6" t="str">
        <f>_xll.QS.TRADE.CREATE("trade.7103",E7105,A7105,"Receive")</f>
        <v>QSObject:SwapTrade:w1~trade.7103:24652</v>
      </c>
      <c r="G7105" s="3">
        <f>_xll.QS.EVALUATE(C7105,F7105)</f>
        <v>25846.812318839242</v>
      </c>
      <c r="H7105" s="5" t="s">
        <v>7146</v>
      </c>
      <c r="I7105" s="7">
        <v>1710300</v>
      </c>
      <c r="J7105" s="8">
        <v>3.5299999999999998E-2</v>
      </c>
    </row>
    <row r="7106" spans="1:10" x14ac:dyDescent="0.25">
      <c r="A7106" s="5" t="s">
        <v>7140</v>
      </c>
      <c r="B7106" s="5" t="s">
        <v>8973</v>
      </c>
      <c r="C7106" s="6" t="str">
        <f>_xll.QS.CONTEXT.CREATE("market.7104",A7106,"USD","SOFR")</f>
        <v>QSObject:PricingContext:w1~market.7104:5871</v>
      </c>
      <c r="D7106" s="6" t="str">
        <f>_xll.QS.CONTEXT.ADD.CURVE(C7106,"SOFR",$K$2:$K$7,$L$2:$L$7,,,"Actual360","LogLinear",TRUE)</f>
        <v>QSObject:ContextInput:w1~input.qs_context_add_curve.2359132437744.7105.3.0:33378</v>
      </c>
      <c r="E7106" s="6" t="str">
        <f>_xll.QS.INSTRUMENT.SWAP("swap.7104",H7106,B7106,"USD","SOFR",I7106,J7106,0,"Actual360","Simple","Annual","Annual","Annual")</f>
        <v>QSObject:Swap:w1~swap.7104:5870</v>
      </c>
      <c r="F7106" s="6" t="str">
        <f>_xll.QS.TRADE.CREATE("trade.7104",E7106,A7106,"Receive")</f>
        <v>QSObject:SwapTrade:w1~trade.7104:24651</v>
      </c>
      <c r="G7106" s="3">
        <f>_xll.QS.EVALUATE(C7106,F7106)</f>
        <v>26483.280375325136</v>
      </c>
      <c r="H7106" s="5" t="s">
        <v>7147</v>
      </c>
      <c r="I7106" s="7">
        <v>1710400</v>
      </c>
      <c r="J7106" s="8">
        <v>3.5400000000000001E-2</v>
      </c>
    </row>
    <row r="7107" spans="1:10" x14ac:dyDescent="0.25">
      <c r="A7107" s="5" t="s">
        <v>7141</v>
      </c>
      <c r="B7107" s="5" t="s">
        <v>8974</v>
      </c>
      <c r="C7107" s="6" t="str">
        <f>_xll.QS.CONTEXT.CREATE("market.7105",A7107,"USD","SOFR")</f>
        <v>QSObject:PricingContext:w1~market.7105:5869</v>
      </c>
      <c r="D7107" s="6" t="str">
        <f>_xll.QS.CONTEXT.ADD.CURVE(C7107,"SOFR",$K$2:$K$7,$L$2:$L$7,,,"Actual360","LogLinear",TRUE)</f>
        <v>QSObject:ContextInput:w1~input.qs_context_add_curve.2359132437744.7106.3.0:33377</v>
      </c>
      <c r="E7107" s="6" t="str">
        <f>_xll.QS.INSTRUMENT.SWAP("swap.7105",H7107,B7107,"USD","SOFR",I7107,J7107,0,"Actual360","Simple","Annual","Annual","Annual")</f>
        <v>QSObject:Swap:w1~swap.7105:5868</v>
      </c>
      <c r="F7107" s="6" t="str">
        <f>_xll.QS.TRADE.CREATE("trade.7105",E7107,A7107,"Receive")</f>
        <v>QSObject:SwapTrade:w1~trade.7105:24650</v>
      </c>
      <c r="G7107" s="3">
        <f>_xll.QS.EVALUATE(C7107,F7107)</f>
        <v>27344.231044294305</v>
      </c>
      <c r="H7107" s="5" t="s">
        <v>7148</v>
      </c>
      <c r="I7107" s="7">
        <v>1710500</v>
      </c>
      <c r="J7107" s="8">
        <v>3.5499999999999997E-2</v>
      </c>
    </row>
    <row r="7108" spans="1:10" x14ac:dyDescent="0.25">
      <c r="A7108" s="5" t="s">
        <v>7142</v>
      </c>
      <c r="B7108" s="5" t="s">
        <v>8975</v>
      </c>
      <c r="C7108" s="6" t="str">
        <f>_xll.QS.CONTEXT.CREATE("market.7106",A7108,"USD","SOFR")</f>
        <v>QSObject:PricingContext:w1~market.7106:5867</v>
      </c>
      <c r="D7108" s="6" t="str">
        <f>_xll.QS.CONTEXT.ADD.CURVE(C7108,"SOFR",$K$2:$K$7,$L$2:$L$7,,,"Actual360","LogLinear",TRUE)</f>
        <v>QSObject:ContextInput:w1~input.qs_context_add_curve.2359132437744.7107.3.0:33376</v>
      </c>
      <c r="E7108" s="6" t="str">
        <f>_xll.QS.INSTRUMENT.SWAP("swap.7106",H7108,B7108,"USD","SOFR",I7108,J7108,0,"Actual360","Simple","Annual","Annual","Annual")</f>
        <v>QSObject:Swap:w1~swap.7106:5866</v>
      </c>
      <c r="F7108" s="6" t="str">
        <f>_xll.QS.TRADE.CREATE("trade.7106",E7108,A7108,"Receive")</f>
        <v>QSObject:SwapTrade:w1~trade.7106:24649</v>
      </c>
      <c r="G7108" s="3">
        <f>_xll.QS.EVALUATE(C7108,F7108)</f>
        <v>28186.495681226144</v>
      </c>
      <c r="H7108" s="5" t="s">
        <v>7149</v>
      </c>
      <c r="I7108" s="7">
        <v>1710600</v>
      </c>
      <c r="J7108" s="8">
        <v>3.5600000000000007E-2</v>
      </c>
    </row>
    <row r="7109" spans="1:10" x14ac:dyDescent="0.25">
      <c r="A7109" s="5" t="s">
        <v>7143</v>
      </c>
      <c r="B7109" s="5" t="s">
        <v>8976</v>
      </c>
      <c r="C7109" s="6" t="str">
        <f>_xll.QS.CONTEXT.CREATE("market.7107",A7109,"USD","SOFR")</f>
        <v>QSObject:PricingContext:w1~market.7107:5865</v>
      </c>
      <c r="D7109" s="6" t="str">
        <f>_xll.QS.CONTEXT.ADD.CURVE(C7109,"SOFR",$K$2:$K$7,$L$2:$L$7,,,"Actual360","LogLinear",TRUE)</f>
        <v>QSObject:ContextInput:w1~input.qs_context_add_curve.2359132437744.7108.3.0:33375</v>
      </c>
      <c r="E7109" s="6" t="str">
        <f>_xll.QS.INSTRUMENT.SWAP("swap.7107",H7109,B7109,"USD","SOFR",I7109,J7109,0,"Actual360","Simple","Annual","Annual","Annual")</f>
        <v>QSObject:Swap:w1~swap.7107:5864</v>
      </c>
      <c r="F7109" s="6" t="str">
        <f>_xll.QS.TRADE.CREATE("trade.7107",E7109,A7109,"Receive")</f>
        <v>QSObject:SwapTrade:w1~trade.7107:24648</v>
      </c>
      <c r="G7109" s="3">
        <f>_xll.QS.EVALUATE(C7109,F7109)</f>
        <v>29102.086853065412</v>
      </c>
      <c r="H7109" s="5" t="s">
        <v>7150</v>
      </c>
      <c r="I7109" s="7">
        <v>1710700</v>
      </c>
      <c r="J7109" s="8">
        <v>3.5700000000000003E-2</v>
      </c>
    </row>
    <row r="7110" spans="1:10" x14ac:dyDescent="0.25">
      <c r="A7110" s="5" t="s">
        <v>7144</v>
      </c>
      <c r="B7110" s="5" t="s">
        <v>8977</v>
      </c>
      <c r="C7110" s="6" t="str">
        <f>_xll.QS.CONTEXT.CREATE("market.7108",A7110,"USD","SOFR")</f>
        <v>QSObject:PricingContext:w1~market.7108:5863</v>
      </c>
      <c r="D7110" s="6" t="str">
        <f>_xll.QS.CONTEXT.ADD.CURVE(C7110,"SOFR",$K$2:$K$7,$L$2:$L$7,,,"Actual360","LogLinear",TRUE)</f>
        <v>QSObject:ContextInput:w1~input.qs_context_add_curve.2359132437744.7109.3.0:33374</v>
      </c>
      <c r="E7110" s="6" t="str">
        <f>_xll.QS.INSTRUMENT.SWAP("swap.7108",H7110,B7110,"USD","SOFR",I7110,J7110,0,"Actual360","Simple","Annual","Annual","Annual")</f>
        <v>QSObject:Swap:w1~swap.7108:5862</v>
      </c>
      <c r="F7110" s="6" t="str">
        <f>_xll.QS.TRADE.CREATE("trade.7108",E7110,A7110,"Receive")</f>
        <v>QSObject:SwapTrade:w1~trade.7108:24647</v>
      </c>
      <c r="G7110" s="3">
        <f>_xll.QS.EVALUATE(C7110,F7110)</f>
        <v>29967.288320790496</v>
      </c>
      <c r="H7110" s="5" t="s">
        <v>7151</v>
      </c>
      <c r="I7110" s="7">
        <v>1710800</v>
      </c>
      <c r="J7110" s="8">
        <v>3.5800000000000012E-2</v>
      </c>
    </row>
    <row r="7111" spans="1:10" x14ac:dyDescent="0.25">
      <c r="A7111" s="5" t="s">
        <v>7145</v>
      </c>
      <c r="B7111" s="5" t="s">
        <v>8978</v>
      </c>
      <c r="C7111" s="6" t="str">
        <f>_xll.QS.CONTEXT.CREATE("market.7109",A7111,"USD","SOFR")</f>
        <v>QSObject:PricingContext:w1~market.7109:5861</v>
      </c>
      <c r="D7111" s="6" t="str">
        <f>_xll.QS.CONTEXT.ADD.CURVE(C7111,"SOFR",$K$2:$K$7,$L$2:$L$7,,,"Actual360","LogLinear",TRUE)</f>
        <v>QSObject:ContextInput:w1~input.qs_context_add_curve.2359132437744.7110.3.0:33373</v>
      </c>
      <c r="E7111" s="6" t="str">
        <f>_xll.QS.INSTRUMENT.SWAP("swap.7109",H7111,B7111,"USD","SOFR",I7111,J7111,0,"Actual360","Simple","Annual","Annual","Annual")</f>
        <v>QSObject:Swap:w1~swap.7109:5860</v>
      </c>
      <c r="F7111" s="6" t="str">
        <f>_xll.QS.TRADE.CREATE("trade.7109",E7111,A7111,"Receive")</f>
        <v>QSObject:SwapTrade:w1~trade.7109:24646</v>
      </c>
      <c r="G7111" s="3">
        <f>_xll.QS.EVALUATE(C7111,F7111)</f>
        <v>30692.346738088127</v>
      </c>
      <c r="H7111" s="5" t="s">
        <v>7152</v>
      </c>
      <c r="I7111" s="7">
        <v>1710900</v>
      </c>
      <c r="J7111" s="8">
        <v>3.5900000000000001E-2</v>
      </c>
    </row>
    <row r="7112" spans="1:10" x14ac:dyDescent="0.25">
      <c r="A7112" s="5" t="s">
        <v>7146</v>
      </c>
      <c r="B7112" s="5" t="s">
        <v>8979</v>
      </c>
      <c r="C7112" s="6" t="str">
        <f>_xll.QS.CONTEXT.CREATE("market.7110",A7112,"USD","SOFR")</f>
        <v>QSObject:PricingContext:w1~market.7110:5859</v>
      </c>
      <c r="D7112" s="6" t="str">
        <f>_xll.QS.CONTEXT.ADD.CURVE(C7112,"SOFR",$K$2:$K$7,$L$2:$L$7,,,"Actual360","LogLinear",TRUE)</f>
        <v>QSObject:ContextInput:w1~input.qs_context_add_curve.2359132437744.7111.3.0:33372</v>
      </c>
      <c r="E7112" s="6" t="str">
        <f>_xll.QS.INSTRUMENT.SWAP("swap.7110",H7112,B7112,"USD","SOFR",I7112,J7112,0,"Actual360","Simple","Annual","Annual","Annual")</f>
        <v>QSObject:Swap:w1~swap.7110:5858</v>
      </c>
      <c r="F7112" s="6" t="str">
        <f>_xll.QS.TRADE.CREATE("trade.7110",E7112,A7112,"Receive")</f>
        <v>QSObject:SwapTrade:w1~trade.7110:24645</v>
      </c>
      <c r="G7112" s="3">
        <f>_xll.QS.EVALUATE(C7112,F7112)</f>
        <v>31373.950067408099</v>
      </c>
      <c r="H7112" s="5" t="s">
        <v>7153</v>
      </c>
      <c r="I7112" s="7">
        <v>1711000</v>
      </c>
      <c r="J7112" s="8">
        <v>3.5999999999999997E-2</v>
      </c>
    </row>
    <row r="7113" spans="1:10" x14ac:dyDescent="0.25">
      <c r="A7113" s="5" t="s">
        <v>7147</v>
      </c>
      <c r="B7113" s="5" t="s">
        <v>8980</v>
      </c>
      <c r="C7113" s="6" t="str">
        <f>_xll.QS.CONTEXT.CREATE("market.7111",A7113,"USD","SOFR")</f>
        <v>QSObject:PricingContext:w1~market.7111:5857</v>
      </c>
      <c r="D7113" s="6" t="str">
        <f>_xll.QS.CONTEXT.ADD.CURVE(C7113,"SOFR",$K$2:$K$7,$L$2:$L$7,,,"Actual360","LogLinear",TRUE)</f>
        <v>QSObject:ContextInput:w1~input.qs_context_add_curve.2359132437744.7112.3.0:33371</v>
      </c>
      <c r="E7113" s="6" t="str">
        <f>_xll.QS.INSTRUMENT.SWAP("swap.7111",H7113,B7113,"USD","SOFR",I7113,J7113,0,"Actual360","Simple","Annual","Annual","Annual")</f>
        <v>QSObject:Swap:w1~swap.7111:5856</v>
      </c>
      <c r="F7113" s="6" t="str">
        <f>_xll.QS.TRADE.CREATE("trade.7111",E7113,A7113,"Receive")</f>
        <v>QSObject:SwapTrade:w1~trade.7111:24644</v>
      </c>
      <c r="G7113" s="3">
        <f>_xll.QS.EVALUATE(C7113,F7113)</f>
        <v>32019.563463005536</v>
      </c>
      <c r="H7113" s="5" t="s">
        <v>7154</v>
      </c>
      <c r="I7113" s="7">
        <v>1711100</v>
      </c>
      <c r="J7113" s="8">
        <v>3.61E-2</v>
      </c>
    </row>
    <row r="7114" spans="1:10" x14ac:dyDescent="0.25">
      <c r="A7114" s="5" t="s">
        <v>7148</v>
      </c>
      <c r="B7114" s="5" t="s">
        <v>8981</v>
      </c>
      <c r="C7114" s="6" t="str">
        <f>_xll.QS.CONTEXT.CREATE("market.7112",A7114,"USD","SOFR")</f>
        <v>QSObject:PricingContext:w1~market.7112:5855</v>
      </c>
      <c r="D7114" s="6" t="str">
        <f>_xll.QS.CONTEXT.ADD.CURVE(C7114,"SOFR",$K$2:$K$7,$L$2:$L$7,,,"Actual360","LogLinear",TRUE)</f>
        <v>QSObject:ContextInput:w1~input.qs_context_add_curve.2359132437744.7113.3.0:33370</v>
      </c>
      <c r="E7114" s="6" t="str">
        <f>_xll.QS.INSTRUMENT.SWAP("swap.7112",H7114,B7114,"USD","SOFR",I7114,J7114,0,"Actual360","Simple","Annual","Annual","Annual")</f>
        <v>QSObject:Swap:w1~swap.7112:5854</v>
      </c>
      <c r="F7114" s="6" t="str">
        <f>_xll.QS.TRADE.CREATE("trade.7112",E7114,A7114,"Receive")</f>
        <v>QSObject:SwapTrade:w1~trade.7112:24643</v>
      </c>
      <c r="G7114" s="3">
        <f>_xll.QS.EVALUATE(C7114,F7114)</f>
        <v>32881.880234593475</v>
      </c>
      <c r="H7114" s="5" t="s">
        <v>7155</v>
      </c>
      <c r="I7114" s="7">
        <v>1711200</v>
      </c>
      <c r="J7114" s="8">
        <v>3.6200000000000003E-2</v>
      </c>
    </row>
    <row r="7115" spans="1:10" x14ac:dyDescent="0.25">
      <c r="A7115" s="5" t="s">
        <v>7149</v>
      </c>
      <c r="B7115" s="5" t="s">
        <v>8982</v>
      </c>
      <c r="C7115" s="6" t="str">
        <f>_xll.QS.CONTEXT.CREATE("market.7113",A7115,"USD","SOFR")</f>
        <v>QSObject:PricingContext:w1~market.7113:5853</v>
      </c>
      <c r="D7115" s="6" t="str">
        <f>_xll.QS.CONTEXT.ADD.CURVE(C7115,"SOFR",$K$2:$K$7,$L$2:$L$7,,,"Actual360","LogLinear",TRUE)</f>
        <v>QSObject:ContextInput:w1~input.qs_context_add_curve.2359132437744.7114.3.0:33369</v>
      </c>
      <c r="E7115" s="6" t="str">
        <f>_xll.QS.INSTRUMENT.SWAP("swap.7113",H7115,B7115,"USD","SOFR",I7115,J7115,0,"Actual360","Simple","Annual","Annual","Annual")</f>
        <v>QSObject:Swap:w1~swap.7113:5852</v>
      </c>
      <c r="F7115" s="6" t="str">
        <f>_xll.QS.TRADE.CREATE("trade.7113",E7115,A7115,"Receive")</f>
        <v>QSObject:SwapTrade:w1~trade.7113:24642</v>
      </c>
      <c r="G7115" s="3">
        <f>_xll.QS.EVALUATE(C7115,F7115)</f>
        <v>33722.425416677193</v>
      </c>
      <c r="H7115" s="5" t="s">
        <v>7156</v>
      </c>
      <c r="I7115" s="7">
        <v>1711300</v>
      </c>
      <c r="J7115" s="8">
        <v>3.6300000000000013E-2</v>
      </c>
    </row>
    <row r="7116" spans="1:10" x14ac:dyDescent="0.25">
      <c r="A7116" s="5" t="s">
        <v>7150</v>
      </c>
      <c r="B7116" s="5" t="s">
        <v>8983</v>
      </c>
      <c r="C7116" s="6" t="str">
        <f>_xll.QS.CONTEXT.CREATE("market.7114",A7116,"USD","SOFR")</f>
        <v>QSObject:PricingContext:w1~market.7114:5851</v>
      </c>
      <c r="D7116" s="6" t="str">
        <f>_xll.QS.CONTEXT.ADD.CURVE(C7116,"SOFR",$K$2:$K$7,$L$2:$L$7,,,"Actual360","LogLinear",TRUE)</f>
        <v>QSObject:ContextInput:w1~input.qs_context_add_curve.2359132437744.7115.3.0:33368</v>
      </c>
      <c r="E7116" s="6" t="str">
        <f>_xll.QS.INSTRUMENT.SWAP("swap.7114",H7116,B7116,"USD","SOFR",I7116,J7116,0,"Actual360","Simple","Annual","Annual","Annual")</f>
        <v>QSObject:Swap:w1~swap.7114:5850</v>
      </c>
      <c r="F7116" s="6" t="str">
        <f>_xll.QS.TRADE.CREATE("trade.7114",E7116,A7116,"Receive")</f>
        <v>QSObject:SwapTrade:w1~trade.7114:24641</v>
      </c>
      <c r="G7116" s="3">
        <f>_xll.QS.EVALUATE(C7116,F7116)</f>
        <v>34638.346880012563</v>
      </c>
      <c r="H7116" s="5" t="s">
        <v>7157</v>
      </c>
      <c r="I7116" s="7">
        <v>1711400</v>
      </c>
      <c r="J7116" s="8">
        <v>3.6400000000000002E-2</v>
      </c>
    </row>
    <row r="7117" spans="1:10" x14ac:dyDescent="0.25">
      <c r="A7117" s="5" t="s">
        <v>7151</v>
      </c>
      <c r="B7117" s="5" t="s">
        <v>8984</v>
      </c>
      <c r="C7117" s="6" t="str">
        <f>_xll.QS.CONTEXT.CREATE("market.7115",A7117,"USD","SOFR")</f>
        <v>QSObject:PricingContext:w1~market.7115:5849</v>
      </c>
      <c r="D7117" s="6" t="str">
        <f>_xll.QS.CONTEXT.ADD.CURVE(C7117,"SOFR",$K$2:$K$7,$L$2:$L$7,,,"Actual360","LogLinear",TRUE)</f>
        <v>QSObject:ContextInput:w1~input.qs_context_add_curve.2359132437744.7116.3.0:33367</v>
      </c>
      <c r="E7117" s="6" t="str">
        <f>_xll.QS.INSTRUMENT.SWAP("swap.7115",H7117,B7117,"USD","SOFR",I7117,J7117,0,"Actual360","Simple","Annual","Annual","Annual")</f>
        <v>QSObject:Swap:w1~swap.7115:5848</v>
      </c>
      <c r="F7117" s="6" t="str">
        <f>_xll.QS.TRADE.CREATE("trade.7115",E7117,A7117,"Receive")</f>
        <v>QSObject:SwapTrade:w1~trade.7115:24640</v>
      </c>
      <c r="G7117" s="3">
        <f>_xll.QS.EVALUATE(C7117,F7117)</f>
        <v>35503.945634011296</v>
      </c>
      <c r="H7117" s="5" t="s">
        <v>7158</v>
      </c>
      <c r="I7117" s="7">
        <v>1711500</v>
      </c>
      <c r="J7117" s="8">
        <v>3.6499999999999998E-2</v>
      </c>
    </row>
    <row r="7118" spans="1:10" x14ac:dyDescent="0.25">
      <c r="A7118" s="5" t="s">
        <v>7152</v>
      </c>
      <c r="B7118" s="5" t="s">
        <v>8985</v>
      </c>
      <c r="C7118" s="6" t="str">
        <f>_xll.QS.CONTEXT.CREATE("market.7116",A7118,"USD","SOFR")</f>
        <v>QSObject:PricingContext:w1~market.7116:5847</v>
      </c>
      <c r="D7118" s="6" t="str">
        <f>_xll.QS.CONTEXT.ADD.CURVE(C7118,"SOFR",$K$2:$K$7,$L$2:$L$7,,,"Actual360","LogLinear",TRUE)</f>
        <v>QSObject:ContextInput:w1~input.qs_context_add_curve.2359132437744.7117.3.0:33366</v>
      </c>
      <c r="E7118" s="6" t="str">
        <f>_xll.QS.INSTRUMENT.SWAP("swap.7116",H7118,B7118,"USD","SOFR",I7118,J7118,0,"Actual360","Simple","Annual","Annual","Annual")</f>
        <v>QSObject:Swap:w1~swap.7116:5846</v>
      </c>
      <c r="F7118" s="6" t="str">
        <f>_xll.QS.TRADE.CREATE("trade.7116",E7118,A7118,"Receive")</f>
        <v>QSObject:SwapTrade:w1~trade.7116:24639</v>
      </c>
      <c r="G7118" s="3">
        <f>_xll.QS.EVALUATE(C7118,F7118)</f>
        <v>36158.193475506363</v>
      </c>
      <c r="H7118" s="5" t="s">
        <v>7159</v>
      </c>
      <c r="I7118" s="7">
        <v>1711600</v>
      </c>
      <c r="J7118" s="8">
        <v>3.6600000000000001E-2</v>
      </c>
    </row>
    <row r="7119" spans="1:10" x14ac:dyDescent="0.25">
      <c r="A7119" s="5" t="s">
        <v>7153</v>
      </c>
      <c r="B7119" s="5" t="s">
        <v>8986</v>
      </c>
      <c r="C7119" s="6" t="str">
        <f>_xll.QS.CONTEXT.CREATE("market.7117",A7119,"USD","SOFR")</f>
        <v>QSObject:PricingContext:w1~market.7117:5845</v>
      </c>
      <c r="D7119" s="6" t="str">
        <f>_xll.QS.CONTEXT.ADD.CURVE(C7119,"SOFR",$K$2:$K$7,$L$2:$L$7,,,"Actual360","LogLinear",TRUE)</f>
        <v>QSObject:ContextInput:w1~input.qs_context_add_curve.2359132437744.7118.3.0:33365</v>
      </c>
      <c r="E7119" s="6" t="str">
        <f>_xll.QS.INSTRUMENT.SWAP("swap.7117",H7119,B7119,"USD","SOFR",I7119,J7119,0,"Actual360","Simple","Annual","Annual","Annual")</f>
        <v>QSObject:Swap:w1~swap.7117:5844</v>
      </c>
      <c r="F7119" s="6" t="str">
        <f>_xll.QS.TRADE.CREATE("trade.7117",E7119,A7119,"Receive")</f>
        <v>QSObject:SwapTrade:w1~trade.7117:24638</v>
      </c>
      <c r="G7119" s="3">
        <f>_xll.QS.EVALUATE(C7119,F7119)</f>
        <v>36764.253003397404</v>
      </c>
      <c r="H7119" s="5" t="s">
        <v>7160</v>
      </c>
      <c r="I7119" s="7">
        <v>1711700</v>
      </c>
      <c r="J7119" s="8">
        <v>3.6700000000000003E-2</v>
      </c>
    </row>
    <row r="7120" spans="1:10" x14ac:dyDescent="0.25">
      <c r="A7120" s="5" t="s">
        <v>7154</v>
      </c>
      <c r="B7120" s="5" t="s">
        <v>8987</v>
      </c>
      <c r="C7120" s="6" t="str">
        <f>_xll.QS.CONTEXT.CREATE("market.7118",A7120,"USD","SOFR")</f>
        <v>QSObject:PricingContext:w1~market.7118:5843</v>
      </c>
      <c r="D7120" s="6" t="str">
        <f>_xll.QS.CONTEXT.ADD.CURVE(C7120,"SOFR",$K$2:$K$7,$L$2:$L$7,,,"Actual360","LogLinear",TRUE)</f>
        <v>QSObject:ContextInput:w1~input.qs_context_add_curve.2359132437744.7119.3.0:33364</v>
      </c>
      <c r="E7120" s="6" t="str">
        <f>_xll.QS.INSTRUMENT.SWAP("swap.7118",H7120,B7120,"USD","SOFR",I7120,J7120,0,"Actual360","Simple","Annual","Annual","Annual")</f>
        <v>QSObject:Swap:w1~swap.7118:5842</v>
      </c>
      <c r="F7120" s="6" t="str">
        <f>_xll.QS.TRADE.CREATE("trade.7118",E7120,A7120,"Receive")</f>
        <v>QSObject:SwapTrade:w1~trade.7118:24637</v>
      </c>
      <c r="G7120" s="3">
        <f>_xll.QS.EVALUATE(C7120,F7120)</f>
        <v>37559.189059518641</v>
      </c>
      <c r="H7120" s="5" t="s">
        <v>7161</v>
      </c>
      <c r="I7120" s="7">
        <v>1711800</v>
      </c>
      <c r="J7120" s="8">
        <v>3.6800000000000013E-2</v>
      </c>
    </row>
    <row r="7121" spans="1:10" x14ac:dyDescent="0.25">
      <c r="A7121" s="5" t="s">
        <v>7155</v>
      </c>
      <c r="B7121" s="5" t="s">
        <v>8988</v>
      </c>
      <c r="C7121" s="6" t="str">
        <f>_xll.QS.CONTEXT.CREATE("market.7119",A7121,"USD","SOFR")</f>
        <v>QSObject:PricingContext:w1~market.7119:5841</v>
      </c>
      <c r="D7121" s="6" t="str">
        <f>_xll.QS.CONTEXT.ADD.CURVE(C7121,"SOFR",$K$2:$K$7,$L$2:$L$7,,,"Actual360","LogLinear",TRUE)</f>
        <v>QSObject:ContextInput:w1~input.qs_context_add_curve.2359132437744.7120.3.0:33363</v>
      </c>
      <c r="E7121" s="6" t="str">
        <f>_xll.QS.INSTRUMENT.SWAP("swap.7119",H7121,B7121,"USD","SOFR",I7121,J7121,0,"Actual360","Simple","Annual","Annual","Annual")</f>
        <v>QSObject:Swap:w1~swap.7119:5840</v>
      </c>
      <c r="F7121" s="6" t="str">
        <f>_xll.QS.TRADE.CREATE("trade.7119",E7121,A7121,"Receive")</f>
        <v>QSObject:SwapTrade:w1~trade.7119:24636</v>
      </c>
      <c r="G7121" s="3">
        <f>_xll.QS.EVALUATE(C7121,F7121)</f>
        <v>38423.868142923013</v>
      </c>
      <c r="H7121" s="5" t="s">
        <v>7162</v>
      </c>
      <c r="I7121" s="7">
        <v>1711900</v>
      </c>
      <c r="J7121" s="8">
        <v>3.6900000000000002E-2</v>
      </c>
    </row>
    <row r="7122" spans="1:10" x14ac:dyDescent="0.25">
      <c r="A7122" s="5" t="s">
        <v>7156</v>
      </c>
      <c r="B7122" s="5" t="s">
        <v>8989</v>
      </c>
      <c r="C7122" s="6" t="str">
        <f>_xll.QS.CONTEXT.CREATE("market.7120",A7122,"USD","SOFR")</f>
        <v>QSObject:PricingContext:w1~market.7120:5839</v>
      </c>
      <c r="D7122" s="6" t="str">
        <f>_xll.QS.CONTEXT.ADD.CURVE(C7122,"SOFR",$K$2:$K$7,$L$2:$L$7,,,"Actual360","LogLinear",TRUE)</f>
        <v>QSObject:ContextInput:w1~input.qs_context_add_curve.2359132437744.7121.3.0:33362</v>
      </c>
      <c r="E7122" s="6" t="str">
        <f>_xll.QS.INSTRUMENT.SWAP("swap.7120",H7122,B7122,"USD","SOFR",I7122,J7122,0,"Actual360","Simple","Annual","Annual","Annual")</f>
        <v>QSObject:Swap:w1~swap.7120:5838</v>
      </c>
      <c r="F7122" s="6" t="str">
        <f>_xll.QS.TRADE.CREATE("trade.7120",E7122,A7122,"Receive")</f>
        <v>QSObject:SwapTrade:w1~trade.7120:24635</v>
      </c>
      <c r="G7122" s="3">
        <f>_xll.QS.EVALUATE(C7122,F7122)</f>
        <v>39451.713046349301</v>
      </c>
      <c r="H7122" s="5" t="s">
        <v>7163</v>
      </c>
      <c r="I7122" s="7">
        <v>1712000</v>
      </c>
      <c r="J7122" s="8">
        <v>3.7000000000000012E-2</v>
      </c>
    </row>
    <row r="7123" spans="1:10" x14ac:dyDescent="0.25">
      <c r="A7123" s="5" t="s">
        <v>7157</v>
      </c>
      <c r="B7123" s="5" t="s">
        <v>8990</v>
      </c>
      <c r="C7123" s="6" t="str">
        <f>_xll.QS.CONTEXT.CREATE("market.7121",A7123,"USD","SOFR")</f>
        <v>QSObject:PricingContext:w1~market.7121:5837</v>
      </c>
      <c r="D7123" s="6" t="str">
        <f>_xll.QS.CONTEXT.ADD.CURVE(C7123,"SOFR",$K$2:$K$7,$L$2:$L$7,,,"Actual360","LogLinear",TRUE)</f>
        <v>QSObject:ContextInput:w1~input.qs_context_add_curve.2359132437744.7122.3.0:33361</v>
      </c>
      <c r="E7123" s="6" t="str">
        <f>_xll.QS.INSTRUMENT.SWAP("swap.7121",H7123,B7123,"USD","SOFR",I7123,J7123,0,"Actual360","Simple","Annual","Annual","Annual")</f>
        <v>QSObject:Swap:w1~swap.7121:5836</v>
      </c>
      <c r="F7123" s="6" t="str">
        <f>_xll.QS.TRADE.CREATE("trade.7121",E7123,A7123,"Receive")</f>
        <v>QSObject:SwapTrade:w1~trade.7121:24634</v>
      </c>
      <c r="G7123" s="3">
        <f>_xll.QS.EVALUATE(C7123,F7123)</f>
        <v>40258.84778717607</v>
      </c>
      <c r="H7123" s="5" t="s">
        <v>7164</v>
      </c>
      <c r="I7123" s="7">
        <v>1712100</v>
      </c>
      <c r="J7123" s="8">
        <v>3.7100000000000001E-2</v>
      </c>
    </row>
    <row r="7124" spans="1:10" x14ac:dyDescent="0.25">
      <c r="A7124" s="5" t="s">
        <v>7158</v>
      </c>
      <c r="B7124" s="5" t="s">
        <v>8991</v>
      </c>
      <c r="C7124" s="6" t="str">
        <f>_xll.QS.CONTEXT.CREATE("market.7122",A7124,"USD","SOFR")</f>
        <v>QSObject:PricingContext:w1~market.7122:5835</v>
      </c>
      <c r="D7124" s="6" t="str">
        <f>_xll.QS.CONTEXT.ADD.CURVE(C7124,"SOFR",$K$2:$K$7,$L$2:$L$7,,,"Actual360","LogLinear",TRUE)</f>
        <v>QSObject:ContextInput:w1~input.qs_context_add_curve.2359132437744.7123.3.0:33360</v>
      </c>
      <c r="E7124" s="6" t="str">
        <f>_xll.QS.INSTRUMENT.SWAP("swap.7122",H7124,B7124,"USD","SOFR",I7124,J7124,0,"Actual360","Simple","Annual","Annual","Annual")</f>
        <v>QSObject:Swap:w1~swap.7122:5834</v>
      </c>
      <c r="F7124" s="6" t="str">
        <f>_xll.QS.TRADE.CREATE("trade.7122",E7124,A7124,"Receive")</f>
        <v>QSObject:SwapTrade:w1~trade.7122:24633</v>
      </c>
      <c r="G7124" s="3">
        <f>_xll.QS.EVALUATE(C7124,F7124)</f>
        <v>41048.020012993264</v>
      </c>
      <c r="H7124" s="5" t="s">
        <v>7165</v>
      </c>
      <c r="I7124" s="7">
        <v>1712200</v>
      </c>
      <c r="J7124" s="8">
        <v>3.7199999999999997E-2</v>
      </c>
    </row>
    <row r="7125" spans="1:10" x14ac:dyDescent="0.25">
      <c r="A7125" s="5" t="s">
        <v>7159</v>
      </c>
      <c r="B7125" s="5" t="s">
        <v>8992</v>
      </c>
      <c r="C7125" s="6" t="str">
        <f>_xll.QS.CONTEXT.CREATE("market.7123",A7125,"USD","SOFR")</f>
        <v>QSObject:PricingContext:w1~market.7123:5833</v>
      </c>
      <c r="D7125" s="6" t="str">
        <f>_xll.QS.CONTEXT.ADD.CURVE(C7125,"SOFR",$K$2:$K$7,$L$2:$L$7,,,"Actual360","LogLinear",TRUE)</f>
        <v>QSObject:ContextInput:w1~input.qs_context_add_curve.2359132437744.7124.3.0:33359</v>
      </c>
      <c r="E7125" s="6" t="str">
        <f>_xll.QS.INSTRUMENT.SWAP("swap.7123",H7125,B7125,"USD","SOFR",I7125,J7125,0,"Actual360","Simple","Annual","Annual","Annual")</f>
        <v>QSObject:Swap:w1~swap.7123:5832</v>
      </c>
      <c r="F7125" s="6" t="str">
        <f>_xll.QS.TRADE.CREATE("trade.7123",E7125,A7125,"Receive")</f>
        <v>QSObject:SwapTrade:w1~trade.7123:24632</v>
      </c>
      <c r="G7125" s="3">
        <f>_xll.QS.EVALUATE(C7125,F7125)</f>
        <v>41771.981091886199</v>
      </c>
      <c r="H7125" s="5" t="s">
        <v>7166</v>
      </c>
      <c r="I7125" s="7">
        <v>1712300</v>
      </c>
      <c r="J7125" s="8">
        <v>3.73E-2</v>
      </c>
    </row>
    <row r="7126" spans="1:10" x14ac:dyDescent="0.25">
      <c r="A7126" s="5" t="s">
        <v>7160</v>
      </c>
      <c r="B7126" s="5" t="s">
        <v>8993</v>
      </c>
      <c r="C7126" s="6" t="str">
        <f>_xll.QS.CONTEXT.CREATE("market.7124",A7126,"USD","SOFR")</f>
        <v>QSObject:PricingContext:w1~market.7124:5831</v>
      </c>
      <c r="D7126" s="6" t="str">
        <f>_xll.QS.CONTEXT.ADD.CURVE(C7126,"SOFR",$K$2:$K$7,$L$2:$L$7,,,"Actual360","LogLinear",TRUE)</f>
        <v>QSObject:ContextInput:w1~input.qs_context_add_curve.2359132437744.7125.3.0:33358</v>
      </c>
      <c r="E7126" s="6" t="str">
        <f>_xll.QS.INSTRUMENT.SWAP("swap.7124",H7126,B7126,"USD","SOFR",I7126,J7126,0,"Actual360","Simple","Annual","Annual","Annual")</f>
        <v>QSObject:Swap:w1~swap.7124:5830</v>
      </c>
      <c r="F7126" s="6" t="str">
        <f>_xll.QS.TRADE.CREATE("trade.7124",E7126,A7126,"Receive")</f>
        <v>QSObject:SwapTrade:w1~trade.7124:24631</v>
      </c>
      <c r="G7126" s="3">
        <f>_xll.QS.EVALUATE(C7126,F7126)</f>
        <v>42441.767088776745</v>
      </c>
      <c r="H7126" s="5" t="s">
        <v>7167</v>
      </c>
      <c r="I7126" s="7">
        <v>1712400</v>
      </c>
      <c r="J7126" s="8">
        <v>3.7400000000000003E-2</v>
      </c>
    </row>
    <row r="7127" spans="1:10" x14ac:dyDescent="0.25">
      <c r="A7127" s="5" t="s">
        <v>7161</v>
      </c>
      <c r="B7127" s="5" t="s">
        <v>8994</v>
      </c>
      <c r="C7127" s="6" t="str">
        <f>_xll.QS.CONTEXT.CREATE("market.7125",A7127,"USD","SOFR")</f>
        <v>QSObject:PricingContext:w1~market.7125:5829</v>
      </c>
      <c r="D7127" s="6" t="str">
        <f>_xll.QS.CONTEXT.ADD.CURVE(C7127,"SOFR",$K$2:$K$7,$L$2:$L$7,,,"Actual360","LogLinear",TRUE)</f>
        <v>QSObject:ContextInput:w1~input.qs_context_add_curve.2359132437744.7126.3.0:33357</v>
      </c>
      <c r="E7127" s="6" t="str">
        <f>_xll.QS.INSTRUMENT.SWAP("swap.7125",H7127,B7127,"USD","SOFR",I7127,J7127,0,"Actual360","Simple","Annual","Annual","Annual")</f>
        <v>QSObject:Swap:w1~swap.7125:5828</v>
      </c>
      <c r="F7127" s="6" t="str">
        <f>_xll.QS.TRADE.CREATE("trade.7125",E7127,A7127,"Receive")</f>
        <v>QSObject:SwapTrade:w1~trade.7125:24630</v>
      </c>
      <c r="G7127" s="3">
        <f>_xll.QS.EVALUATE(C7127,F7127)</f>
        <v>43105.692181151484</v>
      </c>
      <c r="H7127" s="5" t="s">
        <v>7168</v>
      </c>
      <c r="I7127" s="7">
        <v>1712500</v>
      </c>
      <c r="J7127" s="8">
        <v>3.7500000000000012E-2</v>
      </c>
    </row>
    <row r="7128" spans="1:10" x14ac:dyDescent="0.25">
      <c r="A7128" s="5" t="s">
        <v>7162</v>
      </c>
      <c r="B7128" s="5" t="s">
        <v>8995</v>
      </c>
      <c r="C7128" s="6" t="str">
        <f>_xll.QS.CONTEXT.CREATE("market.7126",A7128,"USD","SOFR")</f>
        <v>QSObject:PricingContext:w1~market.7126:5827</v>
      </c>
      <c r="D7128" s="6" t="str">
        <f>_xll.QS.CONTEXT.ADD.CURVE(C7128,"SOFR",$K$2:$K$7,$L$2:$L$7,,,"Actual360","LogLinear",TRUE)</f>
        <v>QSObject:ContextInput:w1~input.qs_context_add_curve.2359132437744.7127.3.0:33356</v>
      </c>
      <c r="E7128" s="6" t="str">
        <f>_xll.QS.INSTRUMENT.SWAP("swap.7126",H7128,B7128,"USD","SOFR",I7128,J7128,0,"Actual360","Simple","Annual","Annual","Annual")</f>
        <v>QSObject:Swap:w1~swap.7126:5826</v>
      </c>
      <c r="F7128" s="6" t="str">
        <f>_xll.QS.TRADE.CREATE("trade.7126",E7128,A7128,"Receive")</f>
        <v>QSObject:SwapTrade:w1~trade.7126:24629</v>
      </c>
      <c r="G7128" s="3">
        <f>_xll.QS.EVALUATE(C7128,F7128)</f>
        <v>43970.273808882506</v>
      </c>
      <c r="H7128" s="5" t="s">
        <v>7169</v>
      </c>
      <c r="I7128" s="7">
        <v>1712600</v>
      </c>
      <c r="J7128" s="8">
        <v>3.7600000000000001E-2</v>
      </c>
    </row>
    <row r="7129" spans="1:10" x14ac:dyDescent="0.25">
      <c r="A7129" s="5" t="s">
        <v>7163</v>
      </c>
      <c r="B7129" s="5" t="s">
        <v>8996</v>
      </c>
      <c r="C7129" s="6" t="str">
        <f>_xll.QS.CONTEXT.CREATE("market.7127",A7129,"USD","SOFR")</f>
        <v>QSObject:PricingContext:w1~market.7127:5825</v>
      </c>
      <c r="D7129" s="6" t="str">
        <f>_xll.QS.CONTEXT.ADD.CURVE(C7129,"SOFR",$K$2:$K$7,$L$2:$L$7,,,"Actual360","LogLinear",TRUE)</f>
        <v>QSObject:ContextInput:w1~input.qs_context_add_curve.2359132437744.7128.3.0:33355</v>
      </c>
      <c r="E7129" s="6" t="str">
        <f>_xll.QS.INSTRUMENT.SWAP("swap.7127",H7129,B7129,"USD","SOFR",I7129,J7129,0,"Actual360","Simple","Annual","Annual","Annual")</f>
        <v>QSObject:Swap:w1~swap.7127:5824</v>
      </c>
      <c r="F7129" s="6" t="str">
        <f>_xll.QS.TRADE.CREATE("trade.7127",E7129,A7129,"Receive")</f>
        <v>QSObject:SwapTrade:w1~trade.7127:24628</v>
      </c>
      <c r="G7129" s="3">
        <f>_xll.QS.EVALUATE(C7129,F7129)</f>
        <v>44806.480465825065</v>
      </c>
      <c r="H7129" s="5" t="s">
        <v>7170</v>
      </c>
      <c r="I7129" s="7">
        <v>1712700</v>
      </c>
      <c r="J7129" s="8">
        <v>3.7699999999999997E-2</v>
      </c>
    </row>
    <row r="7130" spans="1:10" x14ac:dyDescent="0.25">
      <c r="A7130" s="5" t="s">
        <v>7164</v>
      </c>
      <c r="B7130" s="5" t="s">
        <v>8997</v>
      </c>
      <c r="C7130" s="6" t="str">
        <f>_xll.QS.CONTEXT.CREATE("market.7128",A7130,"USD","SOFR")</f>
        <v>QSObject:PricingContext:w1~market.7128:5823</v>
      </c>
      <c r="D7130" s="6" t="str">
        <f>_xll.QS.CONTEXT.ADD.CURVE(C7130,"SOFR",$K$2:$K$7,$L$2:$L$7,,,"Actual360","LogLinear",TRUE)</f>
        <v>QSObject:ContextInput:w1~input.qs_context_add_curve.2359132437744.7129.3.0:33354</v>
      </c>
      <c r="E7130" s="6" t="str">
        <f>_xll.QS.INSTRUMENT.SWAP("swap.7128",H7130,B7130,"USD","SOFR",I7130,J7130,0,"Actual360","Simple","Annual","Annual","Annual")</f>
        <v>QSObject:Swap:w1~swap.7128:5822</v>
      </c>
      <c r="F7130" s="6" t="str">
        <f>_xll.QS.TRADE.CREATE("trade.7128",E7130,A7130,"Receive")</f>
        <v>QSObject:SwapTrade:w1~trade.7128:24627</v>
      </c>
      <c r="G7130" s="3">
        <f>_xll.QS.EVALUATE(C7130,F7130)</f>
        <v>45724.424417499031</v>
      </c>
      <c r="H7130" s="5" t="s">
        <v>7171</v>
      </c>
      <c r="I7130" s="7">
        <v>1712800</v>
      </c>
      <c r="J7130" s="8">
        <v>3.78E-2</v>
      </c>
    </row>
    <row r="7131" spans="1:10" x14ac:dyDescent="0.25">
      <c r="A7131" s="5" t="s">
        <v>7165</v>
      </c>
      <c r="B7131" s="5" t="s">
        <v>8998</v>
      </c>
      <c r="C7131" s="6" t="str">
        <f>_xll.QS.CONTEXT.CREATE("market.7129",A7131,"USD","SOFR")</f>
        <v>QSObject:PricingContext:w1~market.7129:5821</v>
      </c>
      <c r="D7131" s="6" t="str">
        <f>_xll.QS.CONTEXT.ADD.CURVE(C7131,"SOFR",$K$2:$K$7,$L$2:$L$7,,,"Actual360","LogLinear",TRUE)</f>
        <v>QSObject:ContextInput:w1~input.qs_context_add_curve.2359132437744.7130.3.0:33353</v>
      </c>
      <c r="E7131" s="6" t="str">
        <f>_xll.QS.INSTRUMENT.SWAP("swap.7129",H7131,B7131,"USD","SOFR",I7131,J7131,0,"Actual360","Simple","Annual","Annual","Annual")</f>
        <v>QSObject:Swap:w1~swap.7129:5820</v>
      </c>
      <c r="F7131" s="6" t="str">
        <f>_xll.QS.TRADE.CREATE("trade.7129",E7131,A7131,"Receive")</f>
        <v>QSObject:SwapTrade:w1~trade.7129:24626</v>
      </c>
      <c r="G7131" s="3">
        <f>_xll.QS.EVALUATE(C7131,F7131)</f>
        <v>46591.844626140948</v>
      </c>
      <c r="H7131" s="5" t="s">
        <v>7172</v>
      </c>
      <c r="I7131" s="7">
        <v>1712900</v>
      </c>
      <c r="J7131" s="8">
        <v>3.7900000000000003E-2</v>
      </c>
    </row>
    <row r="7132" spans="1:10" x14ac:dyDescent="0.25">
      <c r="A7132" s="5" t="s">
        <v>7166</v>
      </c>
      <c r="B7132" s="5" t="s">
        <v>8999</v>
      </c>
      <c r="C7132" s="6" t="str">
        <f>_xll.QS.CONTEXT.CREATE("market.7130",A7132,"USD","SOFR")</f>
        <v>QSObject:PricingContext:w1~market.7130:5819</v>
      </c>
      <c r="D7132" s="6" t="str">
        <f>_xll.QS.CONTEXT.ADD.CURVE(C7132,"SOFR",$K$2:$K$7,$L$2:$L$7,,,"Actual360","LogLinear",TRUE)</f>
        <v>QSObject:ContextInput:w1~input.qs_context_add_curve.2359132437744.7131.3.0:33352</v>
      </c>
      <c r="E7132" s="6" t="str">
        <f>_xll.QS.INSTRUMENT.SWAP("swap.7130",H7132,B7132,"USD","SOFR",I7132,J7132,0,"Actual360","Simple","Annual","Annual","Annual")</f>
        <v>QSObject:Swap:w1~swap.7130:5818</v>
      </c>
      <c r="F7132" s="6" t="str">
        <f>_xll.QS.TRADE.CREATE("trade.7130",E7132,A7132,"Receive")</f>
        <v>QSObject:SwapTrade:w1~trade.7130:24625</v>
      </c>
      <c r="G7132" s="3">
        <f>_xll.QS.EVALUATE(C7132,F7132)</f>
        <v>47318.577013924587</v>
      </c>
      <c r="H7132" s="5" t="s">
        <v>7173</v>
      </c>
      <c r="I7132" s="7">
        <v>1713000</v>
      </c>
      <c r="J7132" s="8">
        <v>3.8000000000000013E-2</v>
      </c>
    </row>
    <row r="7133" spans="1:10" x14ac:dyDescent="0.25">
      <c r="A7133" s="5" t="s">
        <v>7167</v>
      </c>
      <c r="B7133" s="5" t="s">
        <v>9000</v>
      </c>
      <c r="C7133" s="6" t="str">
        <f>_xll.QS.CONTEXT.CREATE("market.7131",A7133,"USD","SOFR")</f>
        <v>QSObject:PricingContext:w1~market.7131:5817</v>
      </c>
      <c r="D7133" s="6" t="str">
        <f>_xll.QS.CONTEXT.ADD.CURVE(C7133,"SOFR",$K$2:$K$7,$L$2:$L$7,,,"Actual360","LogLinear",TRUE)</f>
        <v>QSObject:ContextInput:w1~input.qs_context_add_curve.2359132437744.7132.3.0:33351</v>
      </c>
      <c r="E7133" s="6" t="str">
        <f>_xll.QS.INSTRUMENT.SWAP("swap.7131",H7133,B7133,"USD","SOFR",I7133,J7133,0,"Actual360","Simple","Annual","Annual","Annual")</f>
        <v>QSObject:Swap:w1~swap.7131:5816</v>
      </c>
      <c r="F7133" s="6" t="str">
        <f>_xll.QS.TRADE.CREATE("trade.7131",E7133,A7133,"Receive")</f>
        <v>QSObject:SwapTrade:w1~trade.7131:24624</v>
      </c>
      <c r="G7133" s="3">
        <f>_xll.QS.EVALUATE(C7133,F7133)</f>
        <v>47982.446361576534</v>
      </c>
      <c r="H7133" s="5" t="s">
        <v>7174</v>
      </c>
      <c r="I7133" s="7">
        <v>1713100</v>
      </c>
      <c r="J7133" s="8">
        <v>3.8100000000000002E-2</v>
      </c>
    </row>
    <row r="7134" spans="1:10" x14ac:dyDescent="0.25">
      <c r="A7134" s="5" t="s">
        <v>7168</v>
      </c>
      <c r="B7134" s="5" t="s">
        <v>9001</v>
      </c>
      <c r="C7134" s="6" t="str">
        <f>_xll.QS.CONTEXT.CREATE("market.7132",A7134,"USD","SOFR")</f>
        <v>QSObject:PricingContext:w1~market.7132:5815</v>
      </c>
      <c r="D7134" s="6" t="str">
        <f>_xll.QS.CONTEXT.ADD.CURVE(C7134,"SOFR",$K$2:$K$7,$L$2:$L$7,,,"Actual360","LogLinear",TRUE)</f>
        <v>QSObject:ContextInput:w1~input.qs_context_add_curve.2359132437744.7133.3.0:33350</v>
      </c>
      <c r="E7134" s="6" t="str">
        <f>_xll.QS.INSTRUMENT.SWAP("swap.7132",H7134,B7134,"USD","SOFR",I7134,J7134,0,"Actual360","Simple","Annual","Annual","Annual")</f>
        <v>QSObject:Swap:w1~swap.7132:5814</v>
      </c>
      <c r="F7134" s="6" t="str">
        <f>_xll.QS.TRADE.CREATE("trade.7132",E7134,A7134,"Receive")</f>
        <v>QSObject:SwapTrade:w1~trade.7132:24623</v>
      </c>
      <c r="G7134" s="3">
        <f>_xll.QS.EVALUATE(C7134,F7134)</f>
        <v>48655.537811616829</v>
      </c>
      <c r="H7134" s="5" t="s">
        <v>7175</v>
      </c>
      <c r="I7134" s="7">
        <v>1713200</v>
      </c>
      <c r="J7134" s="8">
        <v>3.8199999999999998E-2</v>
      </c>
    </row>
    <row r="7135" spans="1:10" x14ac:dyDescent="0.25">
      <c r="A7135" s="5" t="s">
        <v>7169</v>
      </c>
      <c r="B7135" s="5" t="s">
        <v>9002</v>
      </c>
      <c r="C7135" s="6" t="str">
        <f>_xll.QS.CONTEXT.CREATE("market.7133",A7135,"USD","SOFR")</f>
        <v>QSObject:PricingContext:w1~market.7133:5813</v>
      </c>
      <c r="D7135" s="6" t="str">
        <f>_xll.QS.CONTEXT.ADD.CURVE(C7135,"SOFR",$K$2:$K$7,$L$2:$L$7,,,"Actual360","LogLinear",TRUE)</f>
        <v>QSObject:ContextInput:w1~input.qs_context_add_curve.2359132437744.7134.3.0:33349</v>
      </c>
      <c r="E7135" s="6" t="str">
        <f>_xll.QS.INSTRUMENT.SWAP("swap.7133",H7135,B7135,"USD","SOFR",I7135,J7135,0,"Actual360","Simple","Annual","Annual","Annual")</f>
        <v>QSObject:Swap:w1~swap.7133:5812</v>
      </c>
      <c r="F7135" s="6" t="str">
        <f>_xll.QS.TRADE.CREATE("trade.7133",E7135,A7135,"Receive")</f>
        <v>QSObject:SwapTrade:w1~trade.7133:24622</v>
      </c>
      <c r="G7135" s="3">
        <f>_xll.QS.EVALUATE(C7135,F7135)</f>
        <v>49521.33063477742</v>
      </c>
      <c r="H7135" s="5" t="s">
        <v>7176</v>
      </c>
      <c r="I7135" s="7">
        <v>1713300</v>
      </c>
      <c r="J7135" s="8">
        <v>3.8300000000000001E-2</v>
      </c>
    </row>
    <row r="7136" spans="1:10" x14ac:dyDescent="0.25">
      <c r="A7136" s="5" t="s">
        <v>7170</v>
      </c>
      <c r="B7136" s="5" t="s">
        <v>9003</v>
      </c>
      <c r="C7136" s="6" t="str">
        <f>_xll.QS.CONTEXT.CREATE("market.7134",A7136,"USD","SOFR")</f>
        <v>QSObject:PricingContext:w1~market.7134:5811</v>
      </c>
      <c r="D7136" s="6" t="str">
        <f>_xll.QS.CONTEXT.ADD.CURVE(C7136,"SOFR",$K$2:$K$7,$L$2:$L$7,,,"Actual360","LogLinear",TRUE)</f>
        <v>QSObject:ContextInput:w1~input.qs_context_add_curve.2359132437744.7135.3.0:33348</v>
      </c>
      <c r="E7136" s="6" t="str">
        <f>_xll.QS.INSTRUMENT.SWAP("swap.7134",H7136,B7136,"USD","SOFR",I7136,J7136,0,"Actual360","Simple","Annual","Annual","Annual")</f>
        <v>QSObject:Swap:w1~swap.7134:5810</v>
      </c>
      <c r="F7136" s="6" t="str">
        <f>_xll.QS.TRADE.CREATE("trade.7134",E7136,A7136,"Receive")</f>
        <v>QSObject:SwapTrade:w1~trade.7134:24621</v>
      </c>
      <c r="G7136" s="3">
        <f>_xll.QS.EVALUATE(C7136,F7136)</f>
        <v>50355.513573392214</v>
      </c>
      <c r="H7136" s="5" t="s">
        <v>7177</v>
      </c>
      <c r="I7136" s="7">
        <v>1713400</v>
      </c>
      <c r="J7136" s="8">
        <v>3.8399999999999997E-2</v>
      </c>
    </row>
    <row r="7137" spans="1:10" x14ac:dyDescent="0.25">
      <c r="A7137" s="5" t="s">
        <v>7171</v>
      </c>
      <c r="B7137" s="5" t="s">
        <v>9004</v>
      </c>
      <c r="C7137" s="6" t="str">
        <f>_xll.QS.CONTEXT.CREATE("market.7135",A7137,"USD","SOFR")</f>
        <v>QSObject:PricingContext:w1~market.7135:5809</v>
      </c>
      <c r="D7137" s="6" t="str">
        <f>_xll.QS.CONTEXT.ADD.CURVE(C7137,"SOFR",$K$2:$K$7,$L$2:$L$7,,,"Actual360","LogLinear",TRUE)</f>
        <v>QSObject:ContextInput:w1~input.qs_context_add_curve.2359132437744.7136.3.0:33347</v>
      </c>
      <c r="E7137" s="6" t="str">
        <f>_xll.QS.INSTRUMENT.SWAP("swap.7135",H7137,B7137,"USD","SOFR",I7137,J7137,0,"Actual360","Simple","Annual","Annual","Annual")</f>
        <v>QSObject:Swap:w1~swap.7135:5808</v>
      </c>
      <c r="F7137" s="6" t="str">
        <f>_xll.QS.TRADE.CREATE("trade.7135",E7137,A7137,"Receive")</f>
        <v>QSObject:SwapTrade:w1~trade.7135:24620</v>
      </c>
      <c r="G7137" s="3">
        <f>_xll.QS.EVALUATE(C7137,F7137)</f>
        <v>51274.241928038668</v>
      </c>
      <c r="H7137" s="5" t="s">
        <v>7178</v>
      </c>
      <c r="I7137" s="7">
        <v>1713500</v>
      </c>
      <c r="J7137" s="8">
        <v>3.8500000000000013E-2</v>
      </c>
    </row>
    <row r="7138" spans="1:10" x14ac:dyDescent="0.25">
      <c r="A7138" s="5" t="s">
        <v>7172</v>
      </c>
      <c r="B7138" s="5" t="s">
        <v>9005</v>
      </c>
      <c r="C7138" s="6" t="str">
        <f>_xll.QS.CONTEXT.CREATE("market.7136",A7138,"USD","SOFR")</f>
        <v>QSObject:PricingContext:w1~market.7136:5807</v>
      </c>
      <c r="D7138" s="6" t="str">
        <f>_xll.QS.CONTEXT.ADD.CURVE(C7138,"SOFR",$K$2:$K$7,$L$2:$L$7,,,"Actual360","LogLinear",TRUE)</f>
        <v>QSObject:ContextInput:w1~input.qs_context_add_curve.2359132437744.7137.3.0:33346</v>
      </c>
      <c r="E7138" s="6" t="str">
        <f>_xll.QS.INSTRUMENT.SWAP("swap.7136",H7138,B7138,"USD","SOFR",I7138,J7138,0,"Actual360","Simple","Annual","Annual","Annual")</f>
        <v>QSObject:Swap:w1~swap.7136:5806</v>
      </c>
      <c r="F7138" s="6" t="str">
        <f>_xll.QS.TRADE.CREATE("trade.7136",E7138,A7138,"Receive")</f>
        <v>QSObject:SwapTrade:w1~trade.7136:24619</v>
      </c>
      <c r="G7138" s="3">
        <f>_xll.QS.EVALUATE(C7138,F7138)</f>
        <v>52142.401820735438</v>
      </c>
      <c r="H7138" s="5" t="s">
        <v>7179</v>
      </c>
      <c r="I7138" s="7">
        <v>1713600</v>
      </c>
      <c r="J7138" s="8">
        <v>3.8600000000000002E-2</v>
      </c>
    </row>
    <row r="7139" spans="1:10" x14ac:dyDescent="0.25">
      <c r="A7139" s="5" t="s">
        <v>7173</v>
      </c>
      <c r="B7139" s="5" t="s">
        <v>9006</v>
      </c>
      <c r="C7139" s="6" t="str">
        <f>_xll.QS.CONTEXT.CREATE("market.7137",A7139,"USD","SOFR")</f>
        <v>QSObject:PricingContext:w1~market.7137:5805</v>
      </c>
      <c r="D7139" s="6" t="str">
        <f>_xll.QS.CONTEXT.ADD.CURVE(C7139,"SOFR",$K$2:$K$7,$L$2:$L$7,,,"Actual360","LogLinear",TRUE)</f>
        <v>QSObject:ContextInput:w1~input.qs_context_add_curve.2359132437744.7138.3.0:33345</v>
      </c>
      <c r="E7139" s="6" t="str">
        <f>_xll.QS.INSTRUMENT.SWAP("swap.7137",H7139,B7139,"USD","SOFR",I7139,J7139,0,"Actual360","Simple","Annual","Annual","Annual")</f>
        <v>QSObject:Swap:w1~swap.7137:5804</v>
      </c>
      <c r="F7139" s="6" t="str">
        <f>_xll.QS.TRADE.CREATE("trade.7137",E7139,A7139,"Receive")</f>
        <v>QSObject:SwapTrade:w1~trade.7137:24618</v>
      </c>
      <c r="G7139" s="3">
        <f>_xll.QS.EVALUATE(C7139,F7139)</f>
        <v>52869.692099388951</v>
      </c>
      <c r="H7139" s="5" t="s">
        <v>7180</v>
      </c>
      <c r="I7139" s="7">
        <v>1713700</v>
      </c>
      <c r="J7139" s="8">
        <v>3.8700000000000012E-2</v>
      </c>
    </row>
    <row r="7140" spans="1:10" x14ac:dyDescent="0.25">
      <c r="A7140" s="5" t="s">
        <v>7174</v>
      </c>
      <c r="B7140" s="5" t="s">
        <v>9007</v>
      </c>
      <c r="C7140" s="6" t="str">
        <f>_xll.QS.CONTEXT.CREATE("market.7138",A7140,"USD","SOFR")</f>
        <v>QSObject:PricingContext:w1~market.7138:5803</v>
      </c>
      <c r="D7140" s="6" t="str">
        <f>_xll.QS.CONTEXT.ADD.CURVE(C7140,"SOFR",$K$2:$K$7,$L$2:$L$7,,,"Actual360","LogLinear",TRUE)</f>
        <v>QSObject:ContextInput:w1~input.qs_context_add_curve.2359132437744.7139.3.0:33344</v>
      </c>
      <c r="E7140" s="6" t="str">
        <f>_xll.QS.INSTRUMENT.SWAP("swap.7138",H7140,B7140,"USD","SOFR",I7140,J7140,0,"Actual360","Simple","Annual","Annual","Annual")</f>
        <v>QSObject:Swap:w1~swap.7138:5802</v>
      </c>
      <c r="F7140" s="6" t="str">
        <f>_xll.QS.TRADE.CREATE("trade.7138",E7140,A7140,"Receive")</f>
        <v>QSObject:SwapTrade:w1~trade.7138:24617</v>
      </c>
      <c r="G7140" s="3">
        <f>_xll.QS.EVALUATE(C7140,F7140)</f>
        <v>53527.639475786978</v>
      </c>
      <c r="H7140" s="5" t="s">
        <v>7181</v>
      </c>
      <c r="I7140" s="7">
        <v>1713800</v>
      </c>
      <c r="J7140" s="8">
        <v>3.8800000000000001E-2</v>
      </c>
    </row>
    <row r="7141" spans="1:10" x14ac:dyDescent="0.25">
      <c r="A7141" s="5" t="s">
        <v>7175</v>
      </c>
      <c r="B7141" s="5" t="s">
        <v>9008</v>
      </c>
      <c r="C7141" s="6" t="str">
        <f>_xll.QS.CONTEXT.CREATE("market.7139",A7141,"USD","SOFR")</f>
        <v>QSObject:PricingContext:w1~market.7139:5801</v>
      </c>
      <c r="D7141" s="6" t="str">
        <f>_xll.QS.CONTEXT.ADD.CURVE(C7141,"SOFR",$K$2:$K$7,$L$2:$L$7,,,"Actual360","LogLinear",TRUE)</f>
        <v>QSObject:ContextInput:w1~input.qs_context_add_curve.2359132437744.7140.3.0:33343</v>
      </c>
      <c r="E7141" s="6" t="str">
        <f>_xll.QS.INSTRUMENT.SWAP("swap.7139",H7141,B7141,"USD","SOFR",I7141,J7141,0,"Actual360","Simple","Annual","Annual","Annual")</f>
        <v>QSObject:Swap:w1~swap.7139:5800</v>
      </c>
      <c r="F7141" s="6" t="str">
        <f>_xll.QS.TRADE.CREATE("trade.7139",E7141,A7141,"Receive")</f>
        <v>QSObject:SwapTrade:w1~trade.7139:24616</v>
      </c>
      <c r="G7141" s="3">
        <f>_xll.QS.EVALUATE(C7141,F7141)</f>
        <v>54209.904289676997</v>
      </c>
      <c r="H7141" s="5" t="s">
        <v>7182</v>
      </c>
      <c r="I7141" s="7">
        <v>1713900</v>
      </c>
      <c r="J7141" s="8">
        <v>3.8899999999999997E-2</v>
      </c>
    </row>
    <row r="7142" spans="1:10" x14ac:dyDescent="0.25">
      <c r="A7142" s="5" t="s">
        <v>7176</v>
      </c>
      <c r="B7142" s="5" t="s">
        <v>9009</v>
      </c>
      <c r="C7142" s="6" t="str">
        <f>_xll.QS.CONTEXT.CREATE("market.7140",A7142,"USD","SOFR")</f>
        <v>QSObject:PricingContext:w1~market.7140:5799</v>
      </c>
      <c r="D7142" s="6" t="str">
        <f>_xll.QS.CONTEXT.ADD.CURVE(C7142,"SOFR",$K$2:$K$7,$L$2:$L$7,,,"Actual360","LogLinear",TRUE)</f>
        <v>QSObject:ContextInput:w1~input.qs_context_add_curve.2359132437744.7141.3.0:33342</v>
      </c>
      <c r="E7142" s="6" t="str">
        <f>_xll.QS.INSTRUMENT.SWAP("swap.7140",H7142,B7142,"USD","SOFR",I7142,J7142,0,"Actual360","Simple","Annual","Annual","Annual")</f>
        <v>QSObject:Swap:w1~swap.7140:5798</v>
      </c>
      <c r="F7142" s="6" t="str">
        <f>_xll.QS.TRADE.CREATE("trade.7140",E7142,A7142,"Receive")</f>
        <v>QSObject:SwapTrade:w1~trade.7140:24615</v>
      </c>
      <c r="G7142" s="3">
        <f>_xll.QS.EVALUATE(C7142,F7142)</f>
        <v>55076.908746188346</v>
      </c>
      <c r="H7142" s="5" t="s">
        <v>7183</v>
      </c>
      <c r="I7142" s="7">
        <v>1714000</v>
      </c>
      <c r="J7142" s="8">
        <v>3.9000000000000007E-2</v>
      </c>
    </row>
    <row r="7143" spans="1:10" x14ac:dyDescent="0.25">
      <c r="A7143" s="5" t="s">
        <v>7177</v>
      </c>
      <c r="B7143" s="5" t="s">
        <v>9010</v>
      </c>
      <c r="C7143" s="6" t="str">
        <f>_xll.QS.CONTEXT.CREATE("market.7141",A7143,"USD","SOFR")</f>
        <v>QSObject:PricingContext:w1~market.7141:5797</v>
      </c>
      <c r="D7143" s="6" t="str">
        <f>_xll.QS.CONTEXT.ADD.CURVE(C7143,"SOFR",$K$2:$K$7,$L$2:$L$7,,,"Actual360","LogLinear",TRUE)</f>
        <v>QSObject:ContextInput:w1~input.qs_context_add_curve.2359132437744.7142.3.0:33341</v>
      </c>
      <c r="E7143" s="6" t="str">
        <f>_xll.QS.INSTRUMENT.SWAP("swap.7141",H7143,B7143,"USD","SOFR",I7143,J7143,0,"Actual360","Simple","Annual","Annual","Annual")</f>
        <v>QSObject:Swap:w1~swap.7141:5796</v>
      </c>
      <c r="F7143" s="6" t="str">
        <f>_xll.QS.TRADE.CREATE("trade.7141",E7143,A7143,"Receive")</f>
        <v>QSObject:SwapTrade:w1~trade.7141:24614</v>
      </c>
      <c r="G7143" s="3">
        <f>_xll.QS.EVALUATE(C7143,F7143)</f>
        <v>55909.065770642825</v>
      </c>
      <c r="H7143" s="5" t="s">
        <v>7184</v>
      </c>
      <c r="I7143" s="7">
        <v>1714100</v>
      </c>
      <c r="J7143" s="8">
        <v>3.9100000000000003E-2</v>
      </c>
    </row>
    <row r="7144" spans="1:10" x14ac:dyDescent="0.25">
      <c r="A7144" s="5" t="s">
        <v>7178</v>
      </c>
      <c r="B7144" s="5" t="s">
        <v>9011</v>
      </c>
      <c r="C7144" s="6" t="str">
        <f>_xll.QS.CONTEXT.CREATE("market.7142",A7144,"USD","SOFR")</f>
        <v>QSObject:PricingContext:w1~market.7142:5795</v>
      </c>
      <c r="D7144" s="6" t="str">
        <f>_xll.QS.CONTEXT.ADD.CURVE(C7144,"SOFR",$K$2:$K$7,$L$2:$L$7,,,"Actual360","LogLinear",TRUE)</f>
        <v>QSObject:ContextInput:w1~input.qs_context_add_curve.2359132437744.7143.3.0:33340</v>
      </c>
      <c r="E7144" s="6" t="str">
        <f>_xll.QS.INSTRUMENT.SWAP("swap.7142",H7144,B7144,"USD","SOFR",I7144,J7144,0,"Actual360","Simple","Annual","Annual","Annual")</f>
        <v>QSObject:Swap:w1~swap.7142:5794</v>
      </c>
      <c r="F7144" s="6" t="str">
        <f>_xll.QS.TRADE.CREATE("trade.7142",E7144,A7144,"Receive")</f>
        <v>QSObject:SwapTrade:w1~trade.7142:24613</v>
      </c>
      <c r="G7144" s="3">
        <f>_xll.QS.EVALUATE(C7144,F7144)</f>
        <v>56828.578599775887</v>
      </c>
      <c r="H7144" s="5" t="s">
        <v>7185</v>
      </c>
      <c r="I7144" s="7">
        <v>1714200</v>
      </c>
      <c r="J7144" s="8">
        <v>3.9200000000000013E-2</v>
      </c>
    </row>
    <row r="7145" spans="1:10" x14ac:dyDescent="0.25">
      <c r="A7145" s="5" t="s">
        <v>7179</v>
      </c>
      <c r="B7145" s="5" t="s">
        <v>9012</v>
      </c>
      <c r="C7145" s="6" t="str">
        <f>_xll.QS.CONTEXT.CREATE("market.7143",A7145,"USD","SOFR")</f>
        <v>QSObject:PricingContext:w1~market.7143:5793</v>
      </c>
      <c r="D7145" s="6" t="str">
        <f>_xll.QS.CONTEXT.ADD.CURVE(C7145,"SOFR",$K$2:$K$7,$L$2:$L$7,,,"Actual360","LogLinear",TRUE)</f>
        <v>QSObject:ContextInput:w1~input.qs_context_add_curve.2359132437744.7144.3.0:33339</v>
      </c>
      <c r="E7145" s="6" t="str">
        <f>_xll.QS.INSTRUMENT.SWAP("swap.7143",H7145,B7145,"USD","SOFR",I7145,J7145,0,"Actual360","Simple","Annual","Annual","Annual")</f>
        <v>QSObject:Swap:w1~swap.7143:5792</v>
      </c>
      <c r="F7145" s="6" t="str">
        <f>_xll.QS.TRADE.CREATE("trade.7143",E7145,A7145,"Receive")</f>
        <v>QSObject:SwapTrade:w1~trade.7143:24612</v>
      </c>
      <c r="G7145" s="3">
        <f>_xll.QS.EVALUATE(C7145,F7145)</f>
        <v>57697.744363758189</v>
      </c>
      <c r="H7145" s="5" t="s">
        <v>7186</v>
      </c>
      <c r="I7145" s="7">
        <v>1714300</v>
      </c>
      <c r="J7145" s="8">
        <v>3.9300000000000002E-2</v>
      </c>
    </row>
    <row r="7146" spans="1:10" x14ac:dyDescent="0.25">
      <c r="A7146" s="5" t="s">
        <v>7180</v>
      </c>
      <c r="B7146" s="5" t="s">
        <v>9013</v>
      </c>
      <c r="C7146" s="6" t="str">
        <f>_xll.QS.CONTEXT.CREATE("market.7144",A7146,"USD","SOFR")</f>
        <v>QSObject:PricingContext:w1~market.7144:5791</v>
      </c>
      <c r="D7146" s="6" t="str">
        <f>_xll.QS.CONTEXT.ADD.CURVE(C7146,"SOFR",$K$2:$K$7,$L$2:$L$7,,,"Actual360","LogLinear",TRUE)</f>
        <v>QSObject:ContextInput:w1~input.qs_context_add_curve.2359132437744.7145.3.0:33338</v>
      </c>
      <c r="E7146" s="6" t="str">
        <f>_xll.QS.INSTRUMENT.SWAP("swap.7144",H7146,B7146,"USD","SOFR",I7146,J7146,0,"Actual360","Simple","Annual","Annual","Annual")</f>
        <v>QSObject:Swap:w1~swap.7144:5790</v>
      </c>
      <c r="F7146" s="6" t="str">
        <f>_xll.QS.TRADE.CREATE("trade.7144",E7146,A7146,"Receive")</f>
        <v>QSObject:SwapTrade:w1~trade.7144:24611</v>
      </c>
      <c r="G7146" s="3">
        <f>_xll.QS.EVALUATE(C7146,F7146)</f>
        <v>58426.384366536025</v>
      </c>
      <c r="H7146" s="5" t="s">
        <v>7187</v>
      </c>
      <c r="I7146" s="7">
        <v>1714400</v>
      </c>
      <c r="J7146" s="8">
        <v>3.9399999999999998E-2</v>
      </c>
    </row>
    <row r="7147" spans="1:10" x14ac:dyDescent="0.25">
      <c r="A7147" s="5" t="s">
        <v>7181</v>
      </c>
      <c r="B7147" s="5" t="s">
        <v>9014</v>
      </c>
      <c r="C7147" s="6" t="str">
        <f>_xll.QS.CONTEXT.CREATE("market.7145",A7147,"USD","SOFR")</f>
        <v>QSObject:PricingContext:w1~market.7145:5789</v>
      </c>
      <c r="D7147" s="6" t="str">
        <f>_xll.QS.CONTEXT.ADD.CURVE(C7147,"SOFR",$K$2:$K$7,$L$2:$L$7,,,"Actual360","LogLinear",TRUE)</f>
        <v>QSObject:ContextInput:w1~input.qs_context_add_curve.2359132437744.7146.3.0:33337</v>
      </c>
      <c r="E7147" s="6" t="str">
        <f>_xll.QS.INSTRUMENT.SWAP("swap.7145",H7147,B7147,"USD","SOFR",I7147,J7147,0,"Actual360","Simple","Annual","Annual","Annual")</f>
        <v>QSObject:Swap:w1~swap.7145:5788</v>
      </c>
      <c r="F7147" s="6" t="str">
        <f>_xll.QS.TRADE.CREATE("trade.7145",E7147,A7147,"Receive")</f>
        <v>QSObject:SwapTrade:w1~trade.7145:24610</v>
      </c>
      <c r="G7147" s="3">
        <f>_xll.QS.EVALUATE(C7147,F7147)</f>
        <v>59077.346431408034</v>
      </c>
      <c r="H7147" s="5" t="s">
        <v>7188</v>
      </c>
      <c r="I7147" s="7">
        <v>1714500</v>
      </c>
      <c r="J7147" s="8">
        <v>3.9500000000000007E-2</v>
      </c>
    </row>
    <row r="7148" spans="1:10" x14ac:dyDescent="0.25">
      <c r="A7148" s="5" t="s">
        <v>7182</v>
      </c>
      <c r="B7148" s="5" t="s">
        <v>9015</v>
      </c>
      <c r="C7148" s="6" t="str">
        <f>_xll.QS.CONTEXT.CREATE("market.7146",A7148,"USD","SOFR")</f>
        <v>QSObject:PricingContext:w1~market.7146:5787</v>
      </c>
      <c r="D7148" s="6" t="str">
        <f>_xll.QS.CONTEXT.ADD.CURVE(C7148,"SOFR",$K$2:$K$7,$L$2:$L$7,,,"Actual360","LogLinear",TRUE)</f>
        <v>QSObject:ContextInput:w1~input.qs_context_add_curve.2359132437744.7147.3.0:33336</v>
      </c>
      <c r="E7148" s="6" t="str">
        <f>_xll.QS.INSTRUMENT.SWAP("swap.7146",H7148,B7148,"USD","SOFR",I7148,J7148,0,"Actual360","Simple","Annual","Annual","Annual")</f>
        <v>QSObject:Swap:w1~swap.7146:5786</v>
      </c>
      <c r="F7148" s="6" t="str">
        <f>_xll.QS.TRADE.CREATE("trade.7146",E7148,A7148,"Receive")</f>
        <v>QSObject:SwapTrade:w1~trade.7146:24609</v>
      </c>
      <c r="G7148" s="3">
        <f>_xll.QS.EVALUATE(C7148,F7148)</f>
        <v>59768.791615332273</v>
      </c>
      <c r="H7148" s="5" t="s">
        <v>7189</v>
      </c>
      <c r="I7148" s="7">
        <v>1714600</v>
      </c>
      <c r="J7148" s="8">
        <v>3.9600000000000003E-2</v>
      </c>
    </row>
    <row r="7149" spans="1:10" x14ac:dyDescent="0.25">
      <c r="A7149" s="5" t="s">
        <v>7183</v>
      </c>
      <c r="B7149" s="5" t="s">
        <v>9016</v>
      </c>
      <c r="C7149" s="6" t="str">
        <f>_xll.QS.CONTEXT.CREATE("market.7147",A7149,"USD","SOFR")</f>
        <v>QSObject:PricingContext:w1~market.7147:5785</v>
      </c>
      <c r="D7149" s="6" t="str">
        <f>_xll.QS.CONTEXT.ADD.CURVE(C7149,"SOFR",$K$2:$K$7,$L$2:$L$7,,,"Actual360","LogLinear",TRUE)</f>
        <v>QSObject:ContextInput:w1~input.qs_context_add_curve.2359132437744.7148.3.0:33335</v>
      </c>
      <c r="E7149" s="6" t="str">
        <f>_xll.QS.INSTRUMENT.SWAP("swap.7147",H7149,B7149,"USD","SOFR",I7149,J7149,0,"Actual360","Simple","Annual","Annual","Annual")</f>
        <v>QSObject:Swap:w1~swap.7147:5784</v>
      </c>
      <c r="F7149" s="6" t="str">
        <f>_xll.QS.TRADE.CREATE("trade.7147",E7149,A7149,"Receive")</f>
        <v>QSObject:SwapTrade:w1~trade.7147:24608</v>
      </c>
      <c r="G7149" s="3">
        <f>_xll.QS.EVALUATE(C7149,F7149)</f>
        <v>60637.008143115236</v>
      </c>
      <c r="H7149" s="5" t="s">
        <v>7190</v>
      </c>
      <c r="I7149" s="7">
        <v>1714700</v>
      </c>
      <c r="J7149" s="8">
        <v>3.9700000000000013E-2</v>
      </c>
    </row>
    <row r="7150" spans="1:10" x14ac:dyDescent="0.25">
      <c r="A7150" s="5" t="s">
        <v>7184</v>
      </c>
      <c r="B7150" s="5" t="s">
        <v>9017</v>
      </c>
      <c r="C7150" s="6" t="str">
        <f>_xll.QS.CONTEXT.CREATE("market.7148",A7150,"USD","SOFR")</f>
        <v>QSObject:PricingContext:w1~market.7148:5783</v>
      </c>
      <c r="D7150" s="6" t="str">
        <f>_xll.QS.CONTEXT.ADD.CURVE(C7150,"SOFR",$K$2:$K$7,$L$2:$L$7,,,"Actual360","LogLinear",TRUE)</f>
        <v>QSObject:ContextInput:w1~input.qs_context_add_curve.2359132437744.7149.3.0:33334</v>
      </c>
      <c r="E7150" s="6" t="str">
        <f>_xll.QS.INSTRUMENT.SWAP("swap.7148",H7150,B7150,"USD","SOFR",I7150,J7150,0,"Actual360","Simple","Annual","Annual","Annual")</f>
        <v>QSObject:Swap:w1~swap.7148:5782</v>
      </c>
      <c r="F7150" s="6" t="str">
        <f>_xll.QS.TRADE.CREATE("trade.7148",E7150,A7150,"Receive")</f>
        <v>QSObject:SwapTrade:w1~trade.7148:24607</v>
      </c>
      <c r="G7150" s="3">
        <f>_xll.QS.EVALUATE(C7150,F7150)</f>
        <v>61466.098501227869</v>
      </c>
      <c r="H7150" s="5" t="s">
        <v>7191</v>
      </c>
      <c r="I7150" s="7">
        <v>1714800</v>
      </c>
      <c r="J7150" s="8">
        <v>3.9800000000000002E-2</v>
      </c>
    </row>
    <row r="7151" spans="1:10" x14ac:dyDescent="0.25">
      <c r="A7151" s="5" t="s">
        <v>7185</v>
      </c>
      <c r="B7151" s="5" t="s">
        <v>9018</v>
      </c>
      <c r="C7151" s="6" t="str">
        <f>_xll.QS.CONTEXT.CREATE("market.7149",A7151,"USD","SOFR")</f>
        <v>QSObject:PricingContext:w1~market.7149:5781</v>
      </c>
      <c r="D7151" s="6" t="str">
        <f>_xll.QS.CONTEXT.ADD.CURVE(C7151,"SOFR",$K$2:$K$7,$L$2:$L$7,,,"Actual360","LogLinear",TRUE)</f>
        <v>QSObject:ContextInput:w1~input.qs_context_add_curve.2359132437744.7150.3.0:33333</v>
      </c>
      <c r="E7151" s="6" t="str">
        <f>_xll.QS.INSTRUMENT.SWAP("swap.7149",H7151,B7151,"USD","SOFR",I7151,J7151,0,"Actual360","Simple","Annual","Annual","Annual")</f>
        <v>QSObject:Swap:w1~swap.7149:5780</v>
      </c>
      <c r="F7151" s="6" t="str">
        <f>_xll.QS.TRADE.CREATE("trade.7149",E7151,A7151,"Receive")</f>
        <v>QSObject:SwapTrade:w1~trade.7149:24606</v>
      </c>
      <c r="G7151" s="3">
        <f>_xll.QS.EVALUATE(C7151,F7151)</f>
        <v>62387.102841465836</v>
      </c>
      <c r="H7151" s="5" t="s">
        <v>7192</v>
      </c>
      <c r="I7151" s="7">
        <v>1714900</v>
      </c>
      <c r="J7151" s="8">
        <v>3.9899999999999998E-2</v>
      </c>
    </row>
    <row r="7152" spans="1:10" x14ac:dyDescent="0.25">
      <c r="A7152" s="5" t="s">
        <v>7186</v>
      </c>
      <c r="B7152" s="5" t="s">
        <v>9019</v>
      </c>
      <c r="C7152" s="6" t="str">
        <f>_xll.QS.CONTEXT.CREATE("market.7150",A7152,"USD","SOFR")</f>
        <v>QSObject:PricingContext:w1~market.7150:5779</v>
      </c>
      <c r="D7152" s="6" t="str">
        <f>_xll.QS.CONTEXT.ADD.CURVE(C7152,"SOFR",$K$2:$K$7,$L$2:$L$7,,,"Actual360","LogLinear",TRUE)</f>
        <v>QSObject:ContextInput:w1~input.qs_context_add_curve.2359132437744.7151.3.0:33332</v>
      </c>
      <c r="E7152" s="6" t="str">
        <f>_xll.QS.INSTRUMENT.SWAP("swap.7150",H7152,B7152,"USD","SOFR",I7152,J7152,0,"Actual360","Simple","Annual","Annual","Annual")</f>
        <v>QSObject:Swap:w1~swap.7150:5778</v>
      </c>
      <c r="F7152" s="6" t="str">
        <f>_xll.QS.TRADE.CREATE("trade.7150",E7152,A7152,"Receive")</f>
        <v>QSObject:SwapTrade:w1~trade.7150:24605</v>
      </c>
      <c r="G7152" s="3">
        <f>_xll.QS.EVALUATE(C7152,F7152)</f>
        <v>23713.959467290399</v>
      </c>
      <c r="H7152" s="5" t="s">
        <v>7193</v>
      </c>
      <c r="I7152" s="7">
        <v>1715000</v>
      </c>
      <c r="J7152" s="8">
        <v>3.5000000000000003E-2</v>
      </c>
    </row>
    <row r="7153" spans="1:10" x14ac:dyDescent="0.25">
      <c r="A7153" s="5" t="s">
        <v>7187</v>
      </c>
      <c r="B7153" s="5" t="s">
        <v>9020</v>
      </c>
      <c r="C7153" s="6" t="str">
        <f>_xll.QS.CONTEXT.CREATE("market.7151",A7153,"USD","SOFR")</f>
        <v>QSObject:PricingContext:w1~market.7151:5777</v>
      </c>
      <c r="D7153" s="6" t="str">
        <f>_xll.QS.CONTEXT.ADD.CURVE(C7153,"SOFR",$K$2:$K$7,$L$2:$L$7,,,"Actual360","LogLinear",TRUE)</f>
        <v>QSObject:ContextInput:w1~input.qs_context_add_curve.2359132437744.7152.3.0:33331</v>
      </c>
      <c r="E7153" s="6" t="str">
        <f>_xll.QS.INSTRUMENT.SWAP("swap.7151",H7153,B7153,"USD","SOFR",I7153,J7153,0,"Actual360","Simple","Annual","Annual","Annual")</f>
        <v>QSObject:Swap:w1~swap.7151:5776</v>
      </c>
      <c r="F7153" s="6" t="str">
        <f>_xll.QS.TRADE.CREATE("trade.7151",E7153,A7153,"Receive")</f>
        <v>QSObject:SwapTrade:w1~trade.7151:24604</v>
      </c>
      <c r="G7153" s="3">
        <f>_xll.QS.EVALUATE(C7153,F7153)</f>
        <v>24440.494086174702</v>
      </c>
      <c r="H7153" s="5" t="s">
        <v>7194</v>
      </c>
      <c r="I7153" s="7">
        <v>1715100</v>
      </c>
      <c r="J7153" s="8">
        <v>3.5100000000000013E-2</v>
      </c>
    </row>
    <row r="7154" spans="1:10" x14ac:dyDescent="0.25">
      <c r="A7154" s="5" t="s">
        <v>7188</v>
      </c>
      <c r="B7154" s="5" t="s">
        <v>9021</v>
      </c>
      <c r="C7154" s="6" t="str">
        <f>_xll.QS.CONTEXT.CREATE("market.7152",A7154,"USD","SOFR")</f>
        <v>QSObject:PricingContext:w1~market.7152:5775</v>
      </c>
      <c r="D7154" s="6" t="str">
        <f>_xll.QS.CONTEXT.ADD.CURVE(C7154,"SOFR",$K$2:$K$7,$L$2:$L$7,,,"Actual360","LogLinear",TRUE)</f>
        <v>QSObject:ContextInput:w1~input.qs_context_add_curve.2359132437744.7153.3.0:33330</v>
      </c>
      <c r="E7154" s="6" t="str">
        <f>_xll.QS.INSTRUMENT.SWAP("swap.7152",H7154,B7154,"USD","SOFR",I7154,J7154,0,"Actual360","Simple","Annual","Annual","Annual")</f>
        <v>QSObject:Swap:w1~swap.7152:5774</v>
      </c>
      <c r="F7154" s="6" t="str">
        <f>_xll.QS.TRADE.CREATE("trade.7152",E7154,A7154,"Receive")</f>
        <v>QSObject:SwapTrade:w1~trade.7152:24603</v>
      </c>
      <c r="G7154" s="3">
        <f>_xll.QS.EVALUATE(C7154,F7154)</f>
        <v>25130.848926526291</v>
      </c>
      <c r="H7154" s="5" t="s">
        <v>7195</v>
      </c>
      <c r="I7154" s="7">
        <v>1715200</v>
      </c>
      <c r="J7154" s="8">
        <v>3.5200000000000002E-2</v>
      </c>
    </row>
    <row r="7155" spans="1:10" x14ac:dyDescent="0.25">
      <c r="A7155" s="5" t="s">
        <v>7189</v>
      </c>
      <c r="B7155" s="5" t="s">
        <v>9022</v>
      </c>
      <c r="C7155" s="6" t="str">
        <f>_xll.QS.CONTEXT.CREATE("market.7153",A7155,"USD","SOFR")</f>
        <v>QSObject:PricingContext:w1~market.7153:5773</v>
      </c>
      <c r="D7155" s="6" t="str">
        <f>_xll.QS.CONTEXT.ADD.CURVE(C7155,"SOFR",$K$2:$K$7,$L$2:$L$7,,,"Actual360","LogLinear",TRUE)</f>
        <v>QSObject:ContextInput:w1~input.qs_context_add_curve.2359132437744.7154.3.0:33329</v>
      </c>
      <c r="E7155" s="6" t="str">
        <f>_xll.QS.INSTRUMENT.SWAP("swap.7153",H7155,B7155,"USD","SOFR",I7155,J7155,0,"Actual360","Simple","Annual","Annual","Annual")</f>
        <v>QSObject:Swap:w1~swap.7153:5772</v>
      </c>
      <c r="F7155" s="6" t="str">
        <f>_xll.QS.TRADE.CREATE("trade.7153",E7155,A7155,"Receive")</f>
        <v>QSObject:SwapTrade:w1~trade.7153:24602</v>
      </c>
      <c r="G7155" s="3">
        <f>_xll.QS.EVALUATE(C7155,F7155)</f>
        <v>25767.863668020829</v>
      </c>
      <c r="H7155" s="5" t="s">
        <v>7196</v>
      </c>
      <c r="I7155" s="7">
        <v>1715300</v>
      </c>
      <c r="J7155" s="8">
        <v>3.5299999999999998E-2</v>
      </c>
    </row>
    <row r="7156" spans="1:10" x14ac:dyDescent="0.25">
      <c r="A7156" s="5" t="s">
        <v>7190</v>
      </c>
      <c r="B7156" s="5" t="s">
        <v>9023</v>
      </c>
      <c r="C7156" s="6" t="str">
        <f>_xll.QS.CONTEXT.CREATE("market.7154",A7156,"USD","SOFR")</f>
        <v>QSObject:PricingContext:w1~market.7154:5771</v>
      </c>
      <c r="D7156" s="6" t="str">
        <f>_xll.QS.CONTEXT.ADD.CURVE(C7156,"SOFR",$K$2:$K$7,$L$2:$L$7,,,"Actual360","LogLinear",TRUE)</f>
        <v>QSObject:ContextInput:w1~input.qs_context_add_curve.2359132437744.7155.3.0:33328</v>
      </c>
      <c r="E7156" s="6" t="str">
        <f>_xll.QS.INSTRUMENT.SWAP("swap.7154",H7156,B7156,"USD","SOFR",I7156,J7156,0,"Actual360","Simple","Annual","Annual","Annual")</f>
        <v>QSObject:Swap:w1~swap.7154:5770</v>
      </c>
      <c r="F7156" s="6" t="str">
        <f>_xll.QS.TRADE.CREATE("trade.7154",E7156,A7156,"Receive")</f>
        <v>QSObject:SwapTrade:w1~trade.7154:24601</v>
      </c>
      <c r="G7156" s="3">
        <f>_xll.QS.EVALUATE(C7156,F7156)</f>
        <v>26631.153446754637</v>
      </c>
      <c r="H7156" s="5" t="s">
        <v>7197</v>
      </c>
      <c r="I7156" s="7">
        <v>1715400</v>
      </c>
      <c r="J7156" s="8">
        <v>3.5400000000000001E-2</v>
      </c>
    </row>
    <row r="7157" spans="1:10" x14ac:dyDescent="0.25">
      <c r="A7157" s="5" t="s">
        <v>7191</v>
      </c>
      <c r="B7157" s="5" t="s">
        <v>9024</v>
      </c>
      <c r="C7157" s="6" t="str">
        <f>_xll.QS.CONTEXT.CREATE("market.7155",A7157,"USD","SOFR")</f>
        <v>QSObject:PricingContext:w1~market.7155:5769</v>
      </c>
      <c r="D7157" s="6" t="str">
        <f>_xll.QS.CONTEXT.ADD.CURVE(C7157,"SOFR",$K$2:$K$7,$L$2:$L$7,,,"Actual360","LogLinear",TRUE)</f>
        <v>QSObject:ContextInput:w1~input.qs_context_add_curve.2359132437744.7156.3.0:33327</v>
      </c>
      <c r="E7157" s="6" t="str">
        <f>_xll.QS.INSTRUMENT.SWAP("swap.7155",H7157,B7157,"USD","SOFR",I7157,J7157,0,"Actual360","Simple","Annual","Annual","Annual")</f>
        <v>QSObject:Swap:w1~swap.7155:5768</v>
      </c>
      <c r="F7157" s="6" t="str">
        <f>_xll.QS.TRADE.CREATE("trade.7155",E7157,A7157,"Receive")</f>
        <v>QSObject:SwapTrade:w1~trade.7155:24600</v>
      </c>
      <c r="G7157" s="3">
        <f>_xll.QS.EVALUATE(C7157,F7157)</f>
        <v>27476.164411917001</v>
      </c>
      <c r="H7157" s="5" t="s">
        <v>7198</v>
      </c>
      <c r="I7157" s="7">
        <v>1715500</v>
      </c>
      <c r="J7157" s="8">
        <v>3.5499999999999997E-2</v>
      </c>
    </row>
    <row r="7158" spans="1:10" x14ac:dyDescent="0.25">
      <c r="A7158" s="5" t="s">
        <v>7192</v>
      </c>
      <c r="B7158" s="5" t="s">
        <v>9025</v>
      </c>
      <c r="C7158" s="6" t="str">
        <f>_xll.QS.CONTEXT.CREATE("market.7156",A7158,"USD","SOFR")</f>
        <v>QSObject:PricingContext:w1~market.7156:5767</v>
      </c>
      <c r="D7158" s="6" t="str">
        <f>_xll.QS.CONTEXT.ADD.CURVE(C7158,"SOFR",$K$2:$K$7,$L$2:$L$7,,,"Actual360","LogLinear",TRUE)</f>
        <v>QSObject:ContextInput:w1~input.qs_context_add_curve.2359132437744.7157.3.0:33326</v>
      </c>
      <c r="E7158" s="6" t="str">
        <f>_xll.QS.INSTRUMENT.SWAP("swap.7156",H7158,B7158,"USD","SOFR",I7158,J7158,0,"Actual360","Simple","Annual","Annual","Annual")</f>
        <v>QSObject:Swap:w1~swap.7156:5766</v>
      </c>
      <c r="F7158" s="6" t="str">
        <f>_xll.QS.TRADE.CREATE("trade.7156",E7158,A7158,"Receive")</f>
        <v>QSObject:SwapTrade:w1~trade.7156:24599</v>
      </c>
      <c r="G7158" s="3">
        <f>_xll.QS.EVALUATE(C7158,F7158)</f>
        <v>28394.314781864807</v>
      </c>
      <c r="H7158" s="5" t="s">
        <v>7199</v>
      </c>
      <c r="I7158" s="7">
        <v>1715600</v>
      </c>
      <c r="J7158" s="8">
        <v>3.5600000000000007E-2</v>
      </c>
    </row>
    <row r="7159" spans="1:10" x14ac:dyDescent="0.25">
      <c r="A7159" s="5" t="s">
        <v>7193</v>
      </c>
      <c r="B7159" s="5" t="s">
        <v>9026</v>
      </c>
      <c r="C7159" s="6" t="str">
        <f>_xll.QS.CONTEXT.CREATE("market.7157",A7159,"USD","SOFR")</f>
        <v>QSObject:PricingContext:w1~market.7157:5765</v>
      </c>
      <c r="D7159" s="6" t="str">
        <f>_xll.QS.CONTEXT.ADD.CURVE(C7159,"SOFR",$K$2:$K$7,$L$2:$L$7,,,"Actual360","LogLinear",TRUE)</f>
        <v>QSObject:ContextInput:w1~input.qs_context_add_curve.2359132437744.7158.3.0:33325</v>
      </c>
      <c r="E7159" s="6" t="str">
        <f>_xll.QS.INSTRUMENT.SWAP("swap.7157",H7159,B7159,"USD","SOFR",I7159,J7159,0,"Actual360","Simple","Annual","Annual","Annual")</f>
        <v>QSObject:Swap:w1~swap.7157:5764</v>
      </c>
      <c r="F7159" s="6" t="str">
        <f>_xll.QS.TRADE.CREATE("trade.7157",E7159,A7159,"Receive")</f>
        <v>QSObject:SwapTrade:w1~trade.7157:24598</v>
      </c>
      <c r="G7159" s="3">
        <f>_xll.QS.EVALUATE(C7159,F7159)</f>
        <v>29261.93425441502</v>
      </c>
      <c r="H7159" s="5" t="s">
        <v>7200</v>
      </c>
      <c r="I7159" s="7">
        <v>1715700</v>
      </c>
      <c r="J7159" s="8">
        <v>3.5700000000000003E-2</v>
      </c>
    </row>
    <row r="7160" spans="1:10" x14ac:dyDescent="0.25">
      <c r="A7160" s="5" t="s">
        <v>7194</v>
      </c>
      <c r="B7160" s="5" t="s">
        <v>9027</v>
      </c>
      <c r="C7160" s="6" t="str">
        <f>_xll.QS.CONTEXT.CREATE("market.7158",A7160,"USD","SOFR")</f>
        <v>QSObject:PricingContext:w1~market.7158:5763</v>
      </c>
      <c r="D7160" s="6" t="str">
        <f>_xll.QS.CONTEXT.ADD.CURVE(C7160,"SOFR",$K$2:$K$7,$L$2:$L$7,,,"Actual360","LogLinear",TRUE)</f>
        <v>QSObject:ContextInput:w1~input.qs_context_add_curve.2359132437744.7159.3.0:33324</v>
      </c>
      <c r="E7160" s="6" t="str">
        <f>_xll.QS.INSTRUMENT.SWAP("swap.7158",H7160,B7160,"USD","SOFR",I7160,J7160,0,"Actual360","Simple","Annual","Annual","Annual")</f>
        <v>QSObject:Swap:w1~swap.7158:5762</v>
      </c>
      <c r="F7160" s="6" t="str">
        <f>_xll.QS.TRADE.CREATE("trade.7158",E7160,A7160,"Receive")</f>
        <v>QSObject:SwapTrade:w1~trade.7158:24597</v>
      </c>
      <c r="G7160" s="3">
        <f>_xll.QS.EVALUATE(C7160,F7160)</f>
        <v>29989.026792538483</v>
      </c>
      <c r="H7160" s="5" t="s">
        <v>7201</v>
      </c>
      <c r="I7160" s="7">
        <v>1715800</v>
      </c>
      <c r="J7160" s="8">
        <v>3.5800000000000012E-2</v>
      </c>
    </row>
    <row r="7161" spans="1:10" x14ac:dyDescent="0.25">
      <c r="A7161" s="5" t="s">
        <v>7195</v>
      </c>
      <c r="B7161" s="5" t="s">
        <v>9028</v>
      </c>
      <c r="C7161" s="6" t="str">
        <f>_xll.QS.CONTEXT.CREATE("market.7159",A7161,"USD","SOFR")</f>
        <v>QSObject:PricingContext:w1~market.7159:5761</v>
      </c>
      <c r="D7161" s="6" t="str">
        <f>_xll.QS.CONTEXT.ADD.CURVE(C7161,"SOFR",$K$2:$K$7,$L$2:$L$7,,,"Actual360","LogLinear",TRUE)</f>
        <v>QSObject:ContextInput:w1~input.qs_context_add_curve.2359132437744.7160.3.0:33323</v>
      </c>
      <c r="E7161" s="6" t="str">
        <f>_xll.QS.INSTRUMENT.SWAP("swap.7159",H7161,B7161,"USD","SOFR",I7161,J7161,0,"Actual360","Simple","Annual","Annual","Annual")</f>
        <v>QSObject:Swap:w1~swap.7159:5760</v>
      </c>
      <c r="F7161" s="6" t="str">
        <f>_xll.QS.TRADE.CREATE("trade.7159",E7161,A7161,"Receive")</f>
        <v>QSObject:SwapTrade:w1~trade.7159:24596</v>
      </c>
      <c r="G7161" s="3">
        <f>_xll.QS.EVALUATE(C7161,F7161)</f>
        <v>30673.462702788005</v>
      </c>
      <c r="H7161" s="5" t="s">
        <v>7202</v>
      </c>
      <c r="I7161" s="7">
        <v>1715900</v>
      </c>
      <c r="J7161" s="8">
        <v>3.5900000000000001E-2</v>
      </c>
    </row>
    <row r="7162" spans="1:10" x14ac:dyDescent="0.25">
      <c r="A7162" s="5" t="s">
        <v>7196</v>
      </c>
      <c r="B7162" s="5" t="s">
        <v>9029</v>
      </c>
      <c r="C7162" s="6" t="str">
        <f>_xll.QS.CONTEXT.CREATE("market.7160",A7162,"USD","SOFR")</f>
        <v>QSObject:PricingContext:w1~market.7160:5759</v>
      </c>
      <c r="D7162" s="6" t="str">
        <f>_xll.QS.CONTEXT.ADD.CURVE(C7162,"SOFR",$K$2:$K$7,$L$2:$L$7,,,"Actual360","LogLinear",TRUE)</f>
        <v>QSObject:ContextInput:w1~input.qs_context_add_curve.2359132437744.7161.3.0:33322</v>
      </c>
      <c r="E7162" s="6" t="str">
        <f>_xll.QS.INSTRUMENT.SWAP("swap.7160",H7162,B7162,"USD","SOFR",I7162,J7162,0,"Actual360","Simple","Annual","Annual","Annual")</f>
        <v>QSObject:Swap:w1~swap.7160:5758</v>
      </c>
      <c r="F7162" s="6" t="str">
        <f>_xll.QS.TRADE.CREATE("trade.7160",E7162,A7162,"Receive")</f>
        <v>QSObject:SwapTrade:w1~trade.7160:24595</v>
      </c>
      <c r="G7162" s="3">
        <f>_xll.QS.EVALUATE(C7162,F7162)</f>
        <v>31319.646804598437</v>
      </c>
      <c r="H7162" s="5" t="s">
        <v>7203</v>
      </c>
      <c r="I7162" s="7">
        <v>1716000</v>
      </c>
      <c r="J7162" s="8">
        <v>3.5999999999999997E-2</v>
      </c>
    </row>
    <row r="7163" spans="1:10" x14ac:dyDescent="0.25">
      <c r="A7163" s="5" t="s">
        <v>7197</v>
      </c>
      <c r="B7163" s="5" t="s">
        <v>9030</v>
      </c>
      <c r="C7163" s="6" t="str">
        <f>_xll.QS.CONTEXT.CREATE("market.7161",A7163,"USD","SOFR")</f>
        <v>QSObject:PricingContext:w1~market.7161:5757</v>
      </c>
      <c r="D7163" s="6" t="str">
        <f>_xll.QS.CONTEXT.ADD.CURVE(C7163,"SOFR",$K$2:$K$7,$L$2:$L$7,,,"Actual360","LogLinear",TRUE)</f>
        <v>QSObject:ContextInput:w1~input.qs_context_add_curve.2359132437744.7162.3.0:33321</v>
      </c>
      <c r="E7163" s="6" t="str">
        <f>_xll.QS.INSTRUMENT.SWAP("swap.7161",H7163,B7163,"USD","SOFR",I7163,J7163,0,"Actual360","Simple","Annual","Annual","Annual")</f>
        <v>QSObject:Swap:w1~swap.7161:5756</v>
      </c>
      <c r="F7163" s="6" t="str">
        <f>_xll.QS.TRADE.CREATE("trade.7161",E7163,A7163,"Receive")</f>
        <v>QSObject:SwapTrade:w1~trade.7161:24594</v>
      </c>
      <c r="G7163" s="3">
        <f>_xll.QS.EVALUATE(C7163,F7163)</f>
        <v>32184.147966441946</v>
      </c>
      <c r="H7163" s="5" t="s">
        <v>7204</v>
      </c>
      <c r="I7163" s="7">
        <v>1716100</v>
      </c>
      <c r="J7163" s="8">
        <v>3.61E-2</v>
      </c>
    </row>
    <row r="7164" spans="1:10" x14ac:dyDescent="0.25">
      <c r="A7164" s="5" t="s">
        <v>7198</v>
      </c>
      <c r="B7164" s="5" t="s">
        <v>9031</v>
      </c>
      <c r="C7164" s="6" t="str">
        <f>_xll.QS.CONTEXT.CREATE("market.7162",A7164,"USD","SOFR")</f>
        <v>QSObject:PricingContext:w1~market.7162:5755</v>
      </c>
      <c r="D7164" s="6" t="str">
        <f>_xll.QS.CONTEXT.ADD.CURVE(C7164,"SOFR",$K$2:$K$7,$L$2:$L$7,,,"Actual360","LogLinear",TRUE)</f>
        <v>QSObject:ContextInput:w1~input.qs_context_add_curve.2359132437744.7163.3.0:33320</v>
      </c>
      <c r="E7164" s="6" t="str">
        <f>_xll.QS.INSTRUMENT.SWAP("swap.7162",H7164,B7164,"USD","SOFR",I7164,J7164,0,"Actual360","Simple","Annual","Annual","Annual")</f>
        <v>QSObject:Swap:w1~swap.7162:5754</v>
      </c>
      <c r="F7164" s="6" t="str">
        <f>_xll.QS.TRADE.CREATE("trade.7162",E7164,A7164,"Receive")</f>
        <v>QSObject:SwapTrade:w1~trade.7162:24593</v>
      </c>
      <c r="G7164" s="3">
        <f>_xll.QS.EVALUATE(C7164,F7164)</f>
        <v>33027.134272205643</v>
      </c>
      <c r="H7164" s="5" t="s">
        <v>7205</v>
      </c>
      <c r="I7164" s="7">
        <v>1716200</v>
      </c>
      <c r="J7164" s="8">
        <v>3.6200000000000003E-2</v>
      </c>
    </row>
    <row r="7165" spans="1:10" x14ac:dyDescent="0.25">
      <c r="A7165" s="5" t="s">
        <v>7199</v>
      </c>
      <c r="B7165" s="5" t="s">
        <v>9032</v>
      </c>
      <c r="C7165" s="6" t="str">
        <f>_xll.QS.CONTEXT.CREATE("market.7163",A7165,"USD","SOFR")</f>
        <v>QSObject:PricingContext:w1~market.7163:5753</v>
      </c>
      <c r="D7165" s="6" t="str">
        <f>_xll.QS.CONTEXT.ADD.CURVE(C7165,"SOFR",$K$2:$K$7,$L$2:$L$7,,,"Actual360","LogLinear",TRUE)</f>
        <v>QSObject:ContextInput:w1~input.qs_context_add_curve.2359132437744.7164.3.0:33319</v>
      </c>
      <c r="E7165" s="6" t="str">
        <f>_xll.QS.INSTRUMENT.SWAP("swap.7163",H7165,B7165,"USD","SOFR",I7165,J7165,0,"Actual360","Simple","Annual","Annual","Annual")</f>
        <v>QSObject:Swap:w1~swap.7163:5752</v>
      </c>
      <c r="F7165" s="6" t="str">
        <f>_xll.QS.TRADE.CREATE("trade.7163",E7165,A7165,"Receive")</f>
        <v>QSObject:SwapTrade:w1~trade.7163:24592</v>
      </c>
      <c r="G7165" s="3">
        <f>_xll.QS.EVALUATE(C7165,F7165)</f>
        <v>33946.069075774481</v>
      </c>
      <c r="H7165" s="5" t="s">
        <v>7206</v>
      </c>
      <c r="I7165" s="7">
        <v>1716300</v>
      </c>
      <c r="J7165" s="8">
        <v>3.6300000000000013E-2</v>
      </c>
    </row>
    <row r="7166" spans="1:10" x14ac:dyDescent="0.25">
      <c r="A7166" s="5" t="s">
        <v>7200</v>
      </c>
      <c r="B7166" s="5" t="s">
        <v>9033</v>
      </c>
      <c r="C7166" s="6" t="str">
        <f>_xll.QS.CONTEXT.CREATE("market.7164",A7166,"USD","SOFR")</f>
        <v>QSObject:PricingContext:w1~market.7164:5751</v>
      </c>
      <c r="D7166" s="6" t="str">
        <f>_xll.QS.CONTEXT.ADD.CURVE(C7166,"SOFR",$K$2:$K$7,$L$2:$L$7,,,"Actual360","LogLinear",TRUE)</f>
        <v>QSObject:ContextInput:w1~input.qs_context_add_curve.2359132437744.7165.3.0:33318</v>
      </c>
      <c r="E7166" s="6" t="str">
        <f>_xll.QS.INSTRUMENT.SWAP("swap.7164",H7166,B7166,"USD","SOFR",I7166,J7166,0,"Actual360","Simple","Annual","Annual","Annual")</f>
        <v>QSObject:Swap:w1~swap.7164:5750</v>
      </c>
      <c r="F7166" s="6" t="str">
        <f>_xll.QS.TRADE.CREATE("trade.7164",E7166,A7166,"Receive")</f>
        <v>QSObject:SwapTrade:w1~trade.7164:24591</v>
      </c>
      <c r="G7166" s="3">
        <f>_xll.QS.EVALUATE(C7166,F7166)</f>
        <v>34814.428254612023</v>
      </c>
      <c r="H7166" s="5" t="s">
        <v>7207</v>
      </c>
      <c r="I7166" s="7">
        <v>1716400</v>
      </c>
      <c r="J7166" s="8">
        <v>3.6400000000000002E-2</v>
      </c>
    </row>
    <row r="7167" spans="1:10" x14ac:dyDescent="0.25">
      <c r="A7167" s="5" t="s">
        <v>7201</v>
      </c>
      <c r="B7167" s="5" t="s">
        <v>9034</v>
      </c>
      <c r="C7167" s="6" t="str">
        <f>_xll.QS.CONTEXT.CREATE("market.7165",A7167,"USD","SOFR")</f>
        <v>QSObject:PricingContext:w1~market.7165:5749</v>
      </c>
      <c r="D7167" s="6" t="str">
        <f>_xll.QS.CONTEXT.ADD.CURVE(C7167,"SOFR",$K$2:$K$7,$L$2:$L$7,,,"Actual360","LogLinear",TRUE)</f>
        <v>QSObject:ContextInput:w1~input.qs_context_add_curve.2359132437744.7166.3.0:33317</v>
      </c>
      <c r="E7167" s="6" t="str">
        <f>_xll.QS.INSTRUMENT.SWAP("swap.7165",H7167,B7167,"USD","SOFR",I7167,J7167,0,"Actual360","Simple","Annual","Annual","Annual")</f>
        <v>QSObject:Swap:w1~swap.7165:5748</v>
      </c>
      <c r="F7167" s="6" t="str">
        <f>_xll.QS.TRADE.CREATE("trade.7165",E7167,A7167,"Receive")</f>
        <v>QSObject:SwapTrade:w1~trade.7165:24590</v>
      </c>
      <c r="G7167" s="3">
        <f>_xll.QS.EVALUATE(C7167,F7167)</f>
        <v>35542.078662328226</v>
      </c>
      <c r="H7167" s="5" t="s">
        <v>7208</v>
      </c>
      <c r="I7167" s="7">
        <v>1716500</v>
      </c>
      <c r="J7167" s="8">
        <v>3.6499999999999998E-2</v>
      </c>
    </row>
    <row r="7168" spans="1:10" x14ac:dyDescent="0.25">
      <c r="A7168" s="5" t="s">
        <v>7202</v>
      </c>
      <c r="B7168" s="5" t="s">
        <v>9035</v>
      </c>
      <c r="C7168" s="6" t="str">
        <f>_xll.QS.CONTEXT.CREATE("market.7166",A7168,"USD","SOFR")</f>
        <v>QSObject:PricingContext:w1~market.7166:5747</v>
      </c>
      <c r="D7168" s="6" t="str">
        <f>_xll.QS.CONTEXT.ADD.CURVE(C7168,"SOFR",$K$2:$K$7,$L$2:$L$7,,,"Actual360","LogLinear",TRUE)</f>
        <v>QSObject:ContextInput:w1~input.qs_context_add_curve.2359132437744.7167.3.0:33316</v>
      </c>
      <c r="E7168" s="6" t="str">
        <f>_xll.QS.INSTRUMENT.SWAP("swap.7166",H7168,B7168,"USD","SOFR",I7168,J7168,0,"Actual360","Simple","Annual","Annual","Annual")</f>
        <v>QSObject:Swap:w1~swap.7166:5746</v>
      </c>
      <c r="F7168" s="6" t="str">
        <f>_xll.QS.TRADE.CREATE("trade.7166",E7168,A7168,"Receive")</f>
        <v>QSObject:SwapTrade:w1~trade.7166:24589</v>
      </c>
      <c r="G7168" s="3">
        <f>_xll.QS.EVALUATE(C7168,F7168)</f>
        <v>36220.590320459931</v>
      </c>
      <c r="H7168" s="5" t="s">
        <v>7209</v>
      </c>
      <c r="I7168" s="7">
        <v>1716600</v>
      </c>
      <c r="J7168" s="8">
        <v>3.6600000000000001E-2</v>
      </c>
    </row>
    <row r="7169" spans="1:10" x14ac:dyDescent="0.25">
      <c r="A7169" s="5" t="s">
        <v>7203</v>
      </c>
      <c r="B7169" s="5" t="s">
        <v>9036</v>
      </c>
      <c r="C7169" s="6" t="str">
        <f>_xll.QS.CONTEXT.CREATE("market.7167",A7169,"USD","SOFR")</f>
        <v>QSObject:PricingContext:w1~market.7167:5745</v>
      </c>
      <c r="D7169" s="6" t="str">
        <f>_xll.QS.CONTEXT.ADD.CURVE(C7169,"SOFR",$K$2:$K$7,$L$2:$L$7,,,"Actual360","LogLinear",TRUE)</f>
        <v>QSObject:ContextInput:w1~input.qs_context_add_curve.2359132437744.7168.3.0:33315</v>
      </c>
      <c r="E7169" s="6" t="str">
        <f>_xll.QS.INSTRUMENT.SWAP("swap.7167",H7169,B7169,"USD","SOFR",I7169,J7169,0,"Actual360","Simple","Annual","Annual","Annual")</f>
        <v>QSObject:Swap:w1~swap.7167:5744</v>
      </c>
      <c r="F7169" s="6" t="str">
        <f>_xll.QS.TRADE.CREATE("trade.7167",E7169,A7169,"Receive")</f>
        <v>QSObject:SwapTrade:w1~trade.7167:24588</v>
      </c>
      <c r="G7169" s="3">
        <f>_xll.QS.EVALUATE(C7169,F7169)</f>
        <v>36875.950788770919</v>
      </c>
      <c r="H7169" s="5" t="s">
        <v>7210</v>
      </c>
      <c r="I7169" s="7">
        <v>1716700</v>
      </c>
      <c r="J7169" s="8">
        <v>3.6700000000000003E-2</v>
      </c>
    </row>
    <row r="7170" spans="1:10" x14ac:dyDescent="0.25">
      <c r="A7170" s="5" t="s">
        <v>7204</v>
      </c>
      <c r="B7170" s="5" t="s">
        <v>9037</v>
      </c>
      <c r="C7170" s="6" t="str">
        <f>_xll.QS.CONTEXT.CREATE("market.7168",A7170,"USD","SOFR")</f>
        <v>QSObject:PricingContext:w1~market.7168:5743</v>
      </c>
      <c r="D7170" s="6" t="str">
        <f>_xll.QS.CONTEXT.ADD.CURVE(C7170,"SOFR",$K$2:$K$7,$L$2:$L$7,,,"Actual360","LogLinear",TRUE)</f>
        <v>QSObject:ContextInput:w1~input.qs_context_add_curve.2359132437744.7169.3.0:33314</v>
      </c>
      <c r="E7170" s="6" t="str">
        <f>_xll.QS.INSTRUMENT.SWAP("swap.7168",H7170,B7170,"USD","SOFR",I7170,J7170,0,"Actual360","Simple","Annual","Annual","Annual")</f>
        <v>QSObject:Swap:w1~swap.7168:5742</v>
      </c>
      <c r="F7170" s="6" t="str">
        <f>_xll.QS.TRADE.CREATE("trade.7168",E7170,A7170,"Receive")</f>
        <v>QSObject:SwapTrade:w1~trade.7168:24587</v>
      </c>
      <c r="G7170" s="3">
        <f>_xll.QS.EVALUATE(C7170,F7170)</f>
        <v>37741.663771645515</v>
      </c>
      <c r="H7170" s="5" t="s">
        <v>7211</v>
      </c>
      <c r="I7170" s="7">
        <v>1716800</v>
      </c>
      <c r="J7170" s="8">
        <v>3.6800000000000013E-2</v>
      </c>
    </row>
    <row r="7171" spans="1:10" x14ac:dyDescent="0.25">
      <c r="A7171" s="5" t="s">
        <v>7205</v>
      </c>
      <c r="B7171" s="5" t="s">
        <v>9038</v>
      </c>
      <c r="C7171" s="6" t="str">
        <f>_xll.QS.CONTEXT.CREATE("market.7169",A7171,"USD","SOFR")</f>
        <v>QSObject:PricingContext:w1~market.7169:5741</v>
      </c>
      <c r="D7171" s="6" t="str">
        <f>_xll.QS.CONTEXT.ADD.CURVE(C7171,"SOFR",$K$2:$K$7,$L$2:$L$7,,,"Actual360","LogLinear",TRUE)</f>
        <v>QSObject:ContextInput:w1~input.qs_context_add_curve.2359132437744.7170.3.0:33313</v>
      </c>
      <c r="E7171" s="6" t="str">
        <f>_xll.QS.INSTRUMENT.SWAP("swap.7169",H7171,B7171,"USD","SOFR",I7171,J7171,0,"Actual360","Simple","Annual","Annual","Annual")</f>
        <v>QSObject:Swap:w1~swap.7169:5740</v>
      </c>
      <c r="F7171" s="6" t="str">
        <f>_xll.QS.TRADE.CREATE("trade.7169",E7171,A7171,"Receive")</f>
        <v>QSObject:SwapTrade:w1~trade.7169:24586</v>
      </c>
      <c r="G7171" s="3">
        <f>_xll.QS.EVALUATE(C7171,F7171)</f>
        <v>38582.623222177921</v>
      </c>
      <c r="H7171" s="5" t="s">
        <v>7212</v>
      </c>
      <c r="I7171" s="7">
        <v>1716900</v>
      </c>
      <c r="J7171" s="8">
        <v>3.6900000000000002E-2</v>
      </c>
    </row>
    <row r="7172" spans="1:10" x14ac:dyDescent="0.25">
      <c r="A7172" s="5" t="s">
        <v>7206</v>
      </c>
      <c r="B7172" s="5" t="s">
        <v>9039</v>
      </c>
      <c r="C7172" s="6" t="str">
        <f>_xll.QS.CONTEXT.CREATE("market.7170",A7172,"USD","SOFR")</f>
        <v>QSObject:PricingContext:w1~market.7170:5739</v>
      </c>
      <c r="D7172" s="6" t="str">
        <f>_xll.QS.CONTEXT.ADD.CURVE(C7172,"SOFR",$K$2:$K$7,$L$2:$L$7,,,"Actual360","LogLinear",TRUE)</f>
        <v>QSObject:ContextInput:w1~input.qs_context_add_curve.2359132437744.7171.3.0:33312</v>
      </c>
      <c r="E7172" s="6" t="str">
        <f>_xll.QS.INSTRUMENT.SWAP("swap.7170",H7172,B7172,"USD","SOFR",I7172,J7172,0,"Actual360","Simple","Annual","Annual","Annual")</f>
        <v>QSObject:Swap:w1~swap.7170:5738</v>
      </c>
      <c r="F7172" s="6" t="str">
        <f>_xll.QS.TRADE.CREATE("trade.7170",E7172,A7172,"Receive")</f>
        <v>QSObject:SwapTrade:w1~trade.7170:24585</v>
      </c>
      <c r="G7172" s="3">
        <f>_xll.QS.EVALUATE(C7172,F7172)</f>
        <v>39502.342530882059</v>
      </c>
      <c r="H7172" s="5" t="s">
        <v>7213</v>
      </c>
      <c r="I7172" s="7">
        <v>1717000</v>
      </c>
      <c r="J7172" s="8">
        <v>3.7000000000000012E-2</v>
      </c>
    </row>
    <row r="7173" spans="1:10" x14ac:dyDescent="0.25">
      <c r="A7173" s="5" t="s">
        <v>7207</v>
      </c>
      <c r="B7173" s="5" t="s">
        <v>9040</v>
      </c>
      <c r="C7173" s="6" t="str">
        <f>_xll.QS.CONTEXT.CREATE("market.7171",A7173,"USD","SOFR")</f>
        <v>QSObject:PricingContext:w1~market.7171:5737</v>
      </c>
      <c r="D7173" s="6" t="str">
        <f>_xll.QS.CONTEXT.ADD.CURVE(C7173,"SOFR",$K$2:$K$7,$L$2:$L$7,,,"Actual360","LogLinear",TRUE)</f>
        <v>QSObject:ContextInput:w1~input.qs_context_add_curve.2359132437744.7172.3.0:33311</v>
      </c>
      <c r="E7173" s="6" t="str">
        <f>_xll.QS.INSTRUMENT.SWAP("swap.7171",H7173,B7173,"USD","SOFR",I7173,J7173,0,"Actual360","Simple","Annual","Annual","Annual")</f>
        <v>QSObject:Swap:w1~swap.7171:5736</v>
      </c>
      <c r="F7173" s="6" t="str">
        <f>_xll.QS.TRADE.CREATE("trade.7171",E7173,A7173,"Receive")</f>
        <v>QSObject:SwapTrade:w1~trade.7171:24584</v>
      </c>
      <c r="G7173" s="3">
        <f>_xll.QS.EVALUATE(C7173,F7173)</f>
        <v>40371.44146788113</v>
      </c>
      <c r="H7173" s="5" t="s">
        <v>7214</v>
      </c>
      <c r="I7173" s="7">
        <v>1717100</v>
      </c>
      <c r="J7173" s="8">
        <v>3.7100000000000001E-2</v>
      </c>
    </row>
    <row r="7174" spans="1:10" x14ac:dyDescent="0.25">
      <c r="A7174" s="5" t="s">
        <v>7208</v>
      </c>
      <c r="B7174" s="5" t="s">
        <v>9041</v>
      </c>
      <c r="C7174" s="6" t="str">
        <f>_xll.QS.CONTEXT.CREATE("market.7172",A7174,"USD","SOFR")</f>
        <v>QSObject:PricingContext:w1~market.7172:5735</v>
      </c>
      <c r="D7174" s="6" t="str">
        <f>_xll.QS.CONTEXT.ADD.CURVE(C7174,"SOFR",$K$2:$K$7,$L$2:$L$7,,,"Actual360","LogLinear",TRUE)</f>
        <v>QSObject:ContextInput:w1~input.qs_context_add_curve.2359132437744.7173.3.0:33310</v>
      </c>
      <c r="E7174" s="6" t="str">
        <f>_xll.QS.INSTRUMENT.SWAP("swap.7172",H7174,B7174,"USD","SOFR",I7174,J7174,0,"Actual360","Simple","Annual","Annual","Annual")</f>
        <v>QSObject:Swap:w1~swap.7172:5734</v>
      </c>
      <c r="F7174" s="6" t="str">
        <f>_xll.QS.TRADE.CREATE("trade.7172",E7174,A7174,"Receive")</f>
        <v>QSObject:SwapTrade:w1~trade.7172:24583</v>
      </c>
      <c r="G7174" s="3">
        <f>_xll.QS.EVALUATE(C7174,F7174)</f>
        <v>41099.649695544278</v>
      </c>
      <c r="H7174" s="5" t="s">
        <v>7215</v>
      </c>
      <c r="I7174" s="7">
        <v>1717200</v>
      </c>
      <c r="J7174" s="8">
        <v>3.7199999999999997E-2</v>
      </c>
    </row>
    <row r="7175" spans="1:10" x14ac:dyDescent="0.25">
      <c r="A7175" s="5" t="s">
        <v>7209</v>
      </c>
      <c r="B7175" s="5" t="s">
        <v>9042</v>
      </c>
      <c r="C7175" s="6" t="str">
        <f>_xll.QS.CONTEXT.CREATE("market.7173",A7175,"USD","SOFR")</f>
        <v>QSObject:PricingContext:w1~market.7173:5733</v>
      </c>
      <c r="D7175" s="6" t="str">
        <f>_xll.QS.CONTEXT.ADD.CURVE(C7175,"SOFR",$K$2:$K$7,$L$2:$L$7,,,"Actual360","LogLinear",TRUE)</f>
        <v>QSObject:ContextInput:w1~input.qs_context_add_curve.2359132437744.7174.3.0:33309</v>
      </c>
      <c r="E7175" s="6" t="str">
        <f>_xll.QS.INSTRUMENT.SWAP("swap.7173",H7175,B7175,"USD","SOFR",I7175,J7175,0,"Actual360","Simple","Annual","Annual","Annual")</f>
        <v>QSObject:Swap:w1~swap.7173:5732</v>
      </c>
      <c r="F7175" s="6" t="str">
        <f>_xll.QS.TRADE.CREATE("trade.7173",E7175,A7175,"Receive")</f>
        <v>QSObject:SwapTrade:w1~trade.7173:24582</v>
      </c>
      <c r="G7175" s="3">
        <f>_xll.QS.EVALUATE(C7175,F7175)</f>
        <v>41772.231779542453</v>
      </c>
      <c r="H7175" s="5" t="s">
        <v>7216</v>
      </c>
      <c r="I7175" s="7">
        <v>1717300</v>
      </c>
      <c r="J7175" s="8">
        <v>3.73E-2</v>
      </c>
    </row>
    <row r="7176" spans="1:10" x14ac:dyDescent="0.25">
      <c r="A7176" s="5" t="s">
        <v>7210</v>
      </c>
      <c r="B7176" s="5" t="s">
        <v>9043</v>
      </c>
      <c r="C7176" s="6" t="str">
        <f>_xll.QS.CONTEXT.CREATE("market.7174",A7176,"USD","SOFR")</f>
        <v>QSObject:PricingContext:w1~market.7174:5731</v>
      </c>
      <c r="D7176" s="6" t="str">
        <f>_xll.QS.CONTEXT.ADD.CURVE(C7176,"SOFR",$K$2:$K$7,$L$2:$L$7,,,"Actual360","LogLinear",TRUE)</f>
        <v>QSObject:ContextInput:w1~input.qs_context_add_curve.2359132437744.7175.3.0:33308</v>
      </c>
      <c r="E7176" s="6" t="str">
        <f>_xll.QS.INSTRUMENT.SWAP("swap.7174",H7176,B7176,"USD","SOFR",I7176,J7176,0,"Actual360","Simple","Annual","Annual","Annual")</f>
        <v>QSObject:Swap:w1~swap.7174:5730</v>
      </c>
      <c r="F7176" s="6" t="str">
        <f>_xll.QS.TRADE.CREATE("trade.7174",E7176,A7176,"Receive")</f>
        <v>QSObject:SwapTrade:w1~trade.7174:24581</v>
      </c>
      <c r="G7176" s="3">
        <f>_xll.QS.EVALUATE(C7176,F7176)</f>
        <v>42569.069183240957</v>
      </c>
      <c r="H7176" s="5" t="s">
        <v>7217</v>
      </c>
      <c r="I7176" s="7">
        <v>1717400</v>
      </c>
      <c r="J7176" s="8">
        <v>3.7400000000000003E-2</v>
      </c>
    </row>
    <row r="7177" spans="1:10" x14ac:dyDescent="0.25">
      <c r="A7177" s="5" t="s">
        <v>7211</v>
      </c>
      <c r="B7177" s="5" t="s">
        <v>9044</v>
      </c>
      <c r="C7177" s="6" t="str">
        <f>_xll.QS.CONTEXT.CREATE("market.7175",A7177,"USD","SOFR")</f>
        <v>QSObject:PricingContext:w1~market.7175:5729</v>
      </c>
      <c r="D7177" s="6" t="str">
        <f>_xll.QS.CONTEXT.ADD.CURVE(C7177,"SOFR",$K$2:$K$7,$L$2:$L$7,,,"Actual360","LogLinear",TRUE)</f>
        <v>QSObject:ContextInput:w1~input.qs_context_add_curve.2359132437744.7176.3.0:33307</v>
      </c>
      <c r="E7177" s="6" t="str">
        <f>_xll.QS.INSTRUMENT.SWAP("swap.7175",H7177,B7177,"USD","SOFR",I7177,J7177,0,"Actual360","Simple","Annual","Annual","Annual")</f>
        <v>QSObject:Swap:w1~swap.7175:5728</v>
      </c>
      <c r="F7177" s="6" t="str">
        <f>_xll.QS.TRADE.CREATE("trade.7175",E7177,A7177,"Receive")</f>
        <v>QSObject:SwapTrade:w1~trade.7175:24580</v>
      </c>
      <c r="G7177" s="3">
        <f>_xll.QS.EVALUATE(C7177,F7177)</f>
        <v>43435.067946331495</v>
      </c>
      <c r="H7177" s="5" t="s">
        <v>7218</v>
      </c>
      <c r="I7177" s="7">
        <v>1717500</v>
      </c>
      <c r="J7177" s="8">
        <v>3.7500000000000012E-2</v>
      </c>
    </row>
    <row r="7178" spans="1:10" x14ac:dyDescent="0.25">
      <c r="A7178" s="5" t="s">
        <v>7212</v>
      </c>
      <c r="B7178" s="5" t="s">
        <v>9045</v>
      </c>
      <c r="C7178" s="6" t="str">
        <f>_xll.QS.CONTEXT.CREATE("market.7176",A7178,"USD","SOFR")</f>
        <v>QSObject:PricingContext:w1~market.7176:5727</v>
      </c>
      <c r="D7178" s="6" t="str">
        <f>_xll.QS.CONTEXT.ADD.CURVE(C7178,"SOFR",$K$2:$K$7,$L$2:$L$7,,,"Actual360","LogLinear",TRUE)</f>
        <v>QSObject:ContextInput:w1~input.qs_context_add_curve.2359132437744.7177.3.0:33306</v>
      </c>
      <c r="E7178" s="6" t="str">
        <f>_xll.QS.INSTRUMENT.SWAP("swap.7176",H7178,B7178,"USD","SOFR",I7178,J7178,0,"Actual360","Simple","Annual","Annual","Annual")</f>
        <v>QSObject:Swap:w1~swap.7176:5726</v>
      </c>
      <c r="F7178" s="6" t="str">
        <f>_xll.QS.TRADE.CREATE("trade.7176",E7178,A7178,"Receive")</f>
        <v>QSObject:SwapTrade:w1~trade.7176:24579</v>
      </c>
      <c r="G7178" s="3">
        <f>_xll.QS.EVALUATE(C7178,F7178)</f>
        <v>44099.112209745013</v>
      </c>
      <c r="H7178" s="5" t="s">
        <v>7219</v>
      </c>
      <c r="I7178" s="7">
        <v>1717600</v>
      </c>
      <c r="J7178" s="8">
        <v>3.7600000000000001E-2</v>
      </c>
    </row>
    <row r="7179" spans="1:10" x14ac:dyDescent="0.25">
      <c r="A7179" s="5" t="s">
        <v>7213</v>
      </c>
      <c r="B7179" s="5" t="s">
        <v>9046</v>
      </c>
      <c r="C7179" s="6" t="str">
        <f>_xll.QS.CONTEXT.CREATE("market.7177",A7179,"USD","SOFR")</f>
        <v>QSObject:PricingContext:w1~market.7177:5725</v>
      </c>
      <c r="D7179" s="6" t="str">
        <f>_xll.QS.CONTEXT.ADD.CURVE(C7179,"SOFR",$K$2:$K$7,$L$2:$L$7,,,"Actual360","LogLinear",TRUE)</f>
        <v>QSObject:ContextInput:w1~input.qs_context_add_curve.2359132437744.7178.3.0:33305</v>
      </c>
      <c r="E7179" s="6" t="str">
        <f>_xll.QS.INSTRUMENT.SWAP("swap.7177",H7179,B7179,"USD","SOFR",I7179,J7179,0,"Actual360","Simple","Annual","Annual","Annual")</f>
        <v>QSObject:Swap:w1~swap.7177:5724</v>
      </c>
      <c r="F7179" s="6" t="str">
        <f>_xll.QS.TRADE.CREATE("trade.7177",E7179,A7179,"Receive")</f>
        <v>QSObject:SwapTrade:w1~trade.7177:24578</v>
      </c>
      <c r="G7179" s="3">
        <f>_xll.QS.EVALUATE(C7179,F7179)</f>
        <v>45126.312788453914</v>
      </c>
      <c r="H7179" s="5" t="s">
        <v>7220</v>
      </c>
      <c r="I7179" s="7">
        <v>1717700</v>
      </c>
      <c r="J7179" s="8">
        <v>3.7699999999999997E-2</v>
      </c>
    </row>
    <row r="7180" spans="1:10" x14ac:dyDescent="0.25">
      <c r="A7180" s="5" t="s">
        <v>7214</v>
      </c>
      <c r="B7180" s="5" t="s">
        <v>9047</v>
      </c>
      <c r="C7180" s="6" t="str">
        <f>_xll.QS.CONTEXT.CREATE("market.7178",A7180,"USD","SOFR")</f>
        <v>QSObject:PricingContext:w1~market.7178:5723</v>
      </c>
      <c r="D7180" s="6" t="str">
        <f>_xll.QS.CONTEXT.ADD.CURVE(C7180,"SOFR",$K$2:$K$7,$L$2:$L$7,,,"Actual360","LogLinear",TRUE)</f>
        <v>QSObject:ContextInput:w1~input.qs_context_add_curve.2359132437744.7179.3.0:33304</v>
      </c>
      <c r="E7180" s="6" t="str">
        <f>_xll.QS.INSTRUMENT.SWAP("swap.7178",H7180,B7180,"USD","SOFR",I7180,J7180,0,"Actual360","Simple","Annual","Annual","Annual")</f>
        <v>QSObject:Swap:w1~swap.7178:5722</v>
      </c>
      <c r="F7180" s="6" t="str">
        <f>_xll.QS.TRADE.CREATE("trade.7178",E7180,A7180,"Receive")</f>
        <v>QSObject:SwapTrade:w1~trade.7178:24577</v>
      </c>
      <c r="G7180" s="3">
        <f>_xll.QS.EVALUATE(C7180,F7180)</f>
        <v>45926.212453695873</v>
      </c>
      <c r="H7180" s="5" t="s">
        <v>7221</v>
      </c>
      <c r="I7180" s="7">
        <v>1717800</v>
      </c>
      <c r="J7180" s="8">
        <v>3.78E-2</v>
      </c>
    </row>
    <row r="7181" spans="1:10" x14ac:dyDescent="0.25">
      <c r="A7181" s="5" t="s">
        <v>7215</v>
      </c>
      <c r="B7181" s="5" t="s">
        <v>9048</v>
      </c>
      <c r="C7181" s="6" t="str">
        <f>_xll.QS.CONTEXT.CREATE("market.7179",A7181,"USD","SOFR")</f>
        <v>QSObject:PricingContext:w1~market.7179:5721</v>
      </c>
      <c r="D7181" s="6" t="str">
        <f>_xll.QS.CONTEXT.ADD.CURVE(C7181,"SOFR",$K$2:$K$7,$L$2:$L$7,,,"Actual360","LogLinear",TRUE)</f>
        <v>QSObject:ContextInput:w1~input.qs_context_add_curve.2359132437744.7180.3.0:33303</v>
      </c>
      <c r="E7181" s="6" t="str">
        <f>_xll.QS.INSTRUMENT.SWAP("swap.7179",H7181,B7181,"USD","SOFR",I7181,J7181,0,"Actual360","Simple","Annual","Annual","Annual")</f>
        <v>QSObject:Swap:w1~swap.7179:5720</v>
      </c>
      <c r="F7181" s="6" t="str">
        <f>_xll.QS.TRADE.CREATE("trade.7179",E7181,A7181,"Receive")</f>
        <v>QSObject:SwapTrade:w1~trade.7179:24576</v>
      </c>
      <c r="G7181" s="3">
        <f>_xll.QS.EVALUATE(C7181,F7181)</f>
        <v>46726.766636862645</v>
      </c>
      <c r="H7181" s="5" t="s">
        <v>7222</v>
      </c>
      <c r="I7181" s="7">
        <v>1717900</v>
      </c>
      <c r="J7181" s="8">
        <v>3.7900000000000003E-2</v>
      </c>
    </row>
    <row r="7182" spans="1:10" x14ac:dyDescent="0.25">
      <c r="A7182" s="5" t="s">
        <v>7216</v>
      </c>
      <c r="B7182" s="5" t="s">
        <v>9049</v>
      </c>
      <c r="C7182" s="6" t="str">
        <f>_xll.QS.CONTEXT.CREATE("market.7180",A7182,"USD","SOFR")</f>
        <v>QSObject:PricingContext:w1~market.7180:5719</v>
      </c>
      <c r="D7182" s="6" t="str">
        <f>_xll.QS.CONTEXT.ADD.CURVE(C7182,"SOFR",$K$2:$K$7,$L$2:$L$7,,,"Actual360","LogLinear",TRUE)</f>
        <v>QSObject:ContextInput:w1~input.qs_context_add_curve.2359132437744.7181.3.0:33302</v>
      </c>
      <c r="E7182" s="6" t="str">
        <f>_xll.QS.INSTRUMENT.SWAP("swap.7180",H7182,B7182,"USD","SOFR",I7182,J7182,0,"Actual360","Simple","Annual","Annual","Annual")</f>
        <v>QSObject:Swap:w1~swap.7180:5718</v>
      </c>
      <c r="F7182" s="6" t="str">
        <f>_xll.QS.TRADE.CREATE("trade.7180",E7182,A7182,"Receive")</f>
        <v>QSObject:SwapTrade:w1~trade.7180:24575</v>
      </c>
      <c r="G7182" s="3">
        <f>_xll.QS.EVALUATE(C7182,F7182)</f>
        <v>47363.323747622177</v>
      </c>
      <c r="H7182" s="5" t="s">
        <v>7223</v>
      </c>
      <c r="I7182" s="7">
        <v>1718000</v>
      </c>
      <c r="J7182" s="8">
        <v>3.8000000000000013E-2</v>
      </c>
    </row>
    <row r="7183" spans="1:10" x14ac:dyDescent="0.25">
      <c r="A7183" s="5" t="s">
        <v>7217</v>
      </c>
      <c r="B7183" s="5" t="s">
        <v>9050</v>
      </c>
      <c r="C7183" s="6" t="str">
        <f>_xll.QS.CONTEXT.CREATE("market.7181",A7183,"USD","SOFR")</f>
        <v>QSObject:PricingContext:w1~market.7181:5717</v>
      </c>
      <c r="D7183" s="6" t="str">
        <f>_xll.QS.CONTEXT.ADD.CURVE(C7183,"SOFR",$K$2:$K$7,$L$2:$L$7,,,"Actual360","LogLinear",TRUE)</f>
        <v>QSObject:ContextInput:w1~input.qs_context_add_curve.2359132437744.7182.3.0:33301</v>
      </c>
      <c r="E7183" s="6" t="str">
        <f>_xll.QS.INSTRUMENT.SWAP("swap.7181",H7183,B7183,"USD","SOFR",I7183,J7183,0,"Actual360","Simple","Annual","Annual","Annual")</f>
        <v>QSObject:Swap:w1~swap.7181:5716</v>
      </c>
      <c r="F7183" s="6" t="str">
        <f>_xll.QS.TRADE.CREATE("trade.7181",E7183,A7183,"Receive")</f>
        <v>QSObject:SwapTrade:w1~trade.7181:24574</v>
      </c>
      <c r="G7183" s="3">
        <f>_xll.QS.EVALUATE(C7183,F7183)</f>
        <v>48036.598901396297</v>
      </c>
      <c r="H7183" s="5" t="s">
        <v>7224</v>
      </c>
      <c r="I7183" s="7">
        <v>1718100</v>
      </c>
      <c r="J7183" s="8">
        <v>3.8100000000000002E-2</v>
      </c>
    </row>
    <row r="7184" spans="1:10" x14ac:dyDescent="0.25">
      <c r="A7184" s="5" t="s">
        <v>7218</v>
      </c>
      <c r="B7184" s="5" t="s">
        <v>9051</v>
      </c>
      <c r="C7184" s="6" t="str">
        <f>_xll.QS.CONTEXT.CREATE("market.7182",A7184,"USD","SOFR")</f>
        <v>QSObject:PricingContext:w1~market.7182:5715</v>
      </c>
      <c r="D7184" s="6" t="str">
        <f>_xll.QS.CONTEXT.ADD.CURVE(C7184,"SOFR",$K$2:$K$7,$L$2:$L$7,,,"Actual360","LogLinear",TRUE)</f>
        <v>QSObject:ContextInput:w1~input.qs_context_add_curve.2359132437744.7183.3.0:33300</v>
      </c>
      <c r="E7184" s="6" t="str">
        <f>_xll.QS.INSTRUMENT.SWAP("swap.7182",H7184,B7184,"USD","SOFR",I7184,J7184,0,"Actual360","Simple","Annual","Annual","Annual")</f>
        <v>QSObject:Swap:w1~swap.7182:5714</v>
      </c>
      <c r="F7184" s="6" t="str">
        <f>_xll.QS.TRADE.CREATE("trade.7182",E7184,A7184,"Receive")</f>
        <v>QSObject:SwapTrade:w1~trade.7182:24573</v>
      </c>
      <c r="G7184" s="3">
        <f>_xll.QS.EVALUATE(C7184,F7184)</f>
        <v>48839.588379408531</v>
      </c>
      <c r="H7184" s="5" t="s">
        <v>7225</v>
      </c>
      <c r="I7184" s="7">
        <v>1718200</v>
      </c>
      <c r="J7184" s="8">
        <v>3.8199999999999998E-2</v>
      </c>
    </row>
    <row r="7185" spans="1:10" x14ac:dyDescent="0.25">
      <c r="A7185" s="5" t="s">
        <v>7219</v>
      </c>
      <c r="B7185" s="5" t="s">
        <v>9052</v>
      </c>
      <c r="C7185" s="6" t="str">
        <f>_xll.QS.CONTEXT.CREATE("market.7183",A7185,"USD","SOFR")</f>
        <v>QSObject:PricingContext:w1~market.7183:5713</v>
      </c>
      <c r="D7185" s="6" t="str">
        <f>_xll.QS.CONTEXT.ADD.CURVE(C7185,"SOFR",$K$2:$K$7,$L$2:$L$7,,,"Actual360","LogLinear",TRUE)</f>
        <v>QSObject:ContextInput:w1~input.qs_context_add_curve.2359132437744.7184.3.0:33299</v>
      </c>
      <c r="E7185" s="6" t="str">
        <f>_xll.QS.INSTRUMENT.SWAP("swap.7183",H7185,B7185,"USD","SOFR",I7185,J7185,0,"Actual360","Simple","Annual","Annual","Annual")</f>
        <v>QSObject:Swap:w1~swap.7183:5712</v>
      </c>
      <c r="F7185" s="6" t="str">
        <f>_xll.QS.TRADE.CREATE("trade.7183",E7185,A7185,"Receive")</f>
        <v>QSObject:SwapTrade:w1~trade.7183:24572</v>
      </c>
      <c r="G7185" s="3">
        <f>_xll.QS.EVALUATE(C7185,F7185)</f>
        <v>49707.862847412434</v>
      </c>
      <c r="H7185" s="5" t="s">
        <v>7226</v>
      </c>
      <c r="I7185" s="7">
        <v>1718300</v>
      </c>
      <c r="J7185" s="8">
        <v>3.8300000000000001E-2</v>
      </c>
    </row>
    <row r="7186" spans="1:10" x14ac:dyDescent="0.25">
      <c r="A7186" s="5" t="s">
        <v>7220</v>
      </c>
      <c r="B7186" s="5" t="s">
        <v>9053</v>
      </c>
      <c r="C7186" s="6" t="str">
        <f>_xll.QS.CONTEXT.CREATE("market.7184",A7186,"USD","SOFR")</f>
        <v>QSObject:PricingContext:w1~market.7184:5711</v>
      </c>
      <c r="D7186" s="6" t="str">
        <f>_xll.QS.CONTEXT.ADD.CURVE(C7186,"SOFR",$K$2:$K$7,$L$2:$L$7,,,"Actual360","LogLinear",TRUE)</f>
        <v>QSObject:ContextInput:w1~input.qs_context_add_curve.2359132437744.7185.3.0:33298</v>
      </c>
      <c r="E7186" s="6" t="str">
        <f>_xll.QS.INSTRUMENT.SWAP("swap.7184",H7186,B7186,"USD","SOFR",I7186,J7186,0,"Actual360","Simple","Annual","Annual","Annual")</f>
        <v>QSObject:Swap:w1~swap.7184:5710</v>
      </c>
      <c r="F7186" s="6" t="str">
        <f>_xll.QS.TRADE.CREATE("trade.7184",E7186,A7186,"Receive")</f>
        <v>QSObject:SwapTrade:w1~trade.7184:24571</v>
      </c>
      <c r="G7186" s="3">
        <f>_xll.QS.EVALUATE(C7186,F7186)</f>
        <v>50628.6915415779</v>
      </c>
      <c r="H7186" s="5" t="s">
        <v>7227</v>
      </c>
      <c r="I7186" s="7">
        <v>1718400</v>
      </c>
      <c r="J7186" s="8">
        <v>3.8399999999999997E-2</v>
      </c>
    </row>
    <row r="7187" spans="1:10" x14ac:dyDescent="0.25">
      <c r="A7187" s="5" t="s">
        <v>7221</v>
      </c>
      <c r="B7187" s="5" t="s">
        <v>9054</v>
      </c>
      <c r="C7187" s="6" t="str">
        <f>_xll.QS.CONTEXT.CREATE("market.7185",A7187,"USD","SOFR")</f>
        <v>QSObject:PricingContext:w1~market.7185:5709</v>
      </c>
      <c r="D7187" s="6" t="str">
        <f>_xll.QS.CONTEXT.ADD.CURVE(C7187,"SOFR",$K$2:$K$7,$L$2:$L$7,,,"Actual360","LogLinear",TRUE)</f>
        <v>QSObject:ContextInput:w1~input.qs_context_add_curve.2359132437744.7186.3.0:33297</v>
      </c>
      <c r="E7187" s="6" t="str">
        <f>_xll.QS.INSTRUMENT.SWAP("swap.7185",H7187,B7187,"USD","SOFR",I7187,J7187,0,"Actual360","Simple","Annual","Annual","Annual")</f>
        <v>QSObject:Swap:w1~swap.7185:5708</v>
      </c>
      <c r="F7187" s="6" t="str">
        <f>_xll.QS.TRADE.CREATE("trade.7185",E7187,A7187,"Receive")</f>
        <v>QSObject:SwapTrade:w1~trade.7185:24570</v>
      </c>
      <c r="G7187" s="3">
        <f>_xll.QS.EVALUATE(C7187,F7187)</f>
        <v>51501.251670665668</v>
      </c>
      <c r="H7187" s="5" t="s">
        <v>7228</v>
      </c>
      <c r="I7187" s="7">
        <v>1718500</v>
      </c>
      <c r="J7187" s="8">
        <v>3.8500000000000013E-2</v>
      </c>
    </row>
    <row r="7188" spans="1:10" x14ac:dyDescent="0.25">
      <c r="A7188" s="5" t="s">
        <v>7222</v>
      </c>
      <c r="B7188" s="5" t="s">
        <v>9055</v>
      </c>
      <c r="C7188" s="6" t="str">
        <f>_xll.QS.CONTEXT.CREATE("market.7186",A7188,"USD","SOFR")</f>
        <v>QSObject:PricingContext:w1~market.7186:5707</v>
      </c>
      <c r="D7188" s="6" t="str">
        <f>_xll.QS.CONTEXT.ADD.CURVE(C7188,"SOFR",$K$2:$K$7,$L$2:$L$7,,,"Actual360","LogLinear",TRUE)</f>
        <v>QSObject:ContextInput:w1~input.qs_context_add_curve.2359132437744.7187.3.0:33296</v>
      </c>
      <c r="E7188" s="6" t="str">
        <f>_xll.QS.INSTRUMENT.SWAP("swap.7186",H7188,B7188,"USD","SOFR",I7188,J7188,0,"Actual360","Simple","Annual","Annual","Annual")</f>
        <v>QSObject:Swap:w1~swap.7186:5706</v>
      </c>
      <c r="F7188" s="6" t="str">
        <f>_xll.QS.TRADE.CREATE("trade.7186",E7188,A7188,"Receive")</f>
        <v>QSObject:SwapTrade:w1~trade.7186:24569</v>
      </c>
      <c r="G7188" s="3">
        <f>_xll.QS.EVALUATE(C7188,F7188)</f>
        <v>52297.674150075618</v>
      </c>
      <c r="H7188" s="5" t="s">
        <v>7229</v>
      </c>
      <c r="I7188" s="7">
        <v>1718600</v>
      </c>
      <c r="J7188" s="8">
        <v>3.8600000000000002E-2</v>
      </c>
    </row>
    <row r="7189" spans="1:10" x14ac:dyDescent="0.25">
      <c r="A7189" s="5" t="s">
        <v>7223</v>
      </c>
      <c r="B7189" s="5" t="s">
        <v>9056</v>
      </c>
      <c r="C7189" s="6" t="str">
        <f>_xll.QS.CONTEXT.CREATE("market.7187",A7189,"USD","SOFR")</f>
        <v>QSObject:PricingContext:w1~market.7187:5705</v>
      </c>
      <c r="D7189" s="6" t="str">
        <f>_xll.QS.CONTEXT.ADD.CURVE(C7189,"SOFR",$K$2:$K$7,$L$2:$L$7,,,"Actual360","LogLinear",TRUE)</f>
        <v>QSObject:ContextInput:w1~input.qs_context_add_curve.2359132437744.7188.3.0:33295</v>
      </c>
      <c r="E7189" s="6" t="str">
        <f>_xll.QS.INSTRUMENT.SWAP("swap.7187",H7189,B7189,"USD","SOFR",I7189,J7189,0,"Actual360","Simple","Annual","Annual","Annual")</f>
        <v>QSObject:Swap:w1~swap.7187:5704</v>
      </c>
      <c r="F7189" s="6" t="str">
        <f>_xll.QS.TRADE.CREATE("trade.7187",E7189,A7189,"Receive")</f>
        <v>QSObject:SwapTrade:w1~trade.7187:24568</v>
      </c>
      <c r="G7189" s="3">
        <f>_xll.QS.EVALUATE(C7189,F7189)</f>
        <v>52958.369046529733</v>
      </c>
      <c r="H7189" s="5" t="s">
        <v>7230</v>
      </c>
      <c r="I7189" s="7">
        <v>1718700</v>
      </c>
      <c r="J7189" s="8">
        <v>3.8700000000000012E-2</v>
      </c>
    </row>
    <row r="7190" spans="1:10" x14ac:dyDescent="0.25">
      <c r="A7190" s="5" t="s">
        <v>7224</v>
      </c>
      <c r="B7190" s="5" t="s">
        <v>9057</v>
      </c>
      <c r="C7190" s="6" t="str">
        <f>_xll.QS.CONTEXT.CREATE("market.7188",A7190,"USD","SOFR")</f>
        <v>QSObject:PricingContext:w1~market.7188:5703</v>
      </c>
      <c r="D7190" s="6" t="str">
        <f>_xll.QS.CONTEXT.ADD.CURVE(C7190,"SOFR",$K$2:$K$7,$L$2:$L$7,,,"Actual360","LogLinear",TRUE)</f>
        <v>QSObject:ContextInput:w1~input.qs_context_add_curve.2359132437744.7189.3.0:33294</v>
      </c>
      <c r="E7190" s="6" t="str">
        <f>_xll.QS.INSTRUMENT.SWAP("swap.7188",H7190,B7190,"USD","SOFR",I7190,J7190,0,"Actual360","Simple","Annual","Annual","Annual")</f>
        <v>QSObject:Swap:w1~swap.7188:5702</v>
      </c>
      <c r="F7190" s="6" t="str">
        <f>_xll.QS.TRADE.CREATE("trade.7188",E7190,A7190,"Receive")</f>
        <v>QSObject:SwapTrade:w1~trade.7188:24567</v>
      </c>
      <c r="G7190" s="3">
        <f>_xll.QS.EVALUATE(C7190,F7190)</f>
        <v>53641.081696499386</v>
      </c>
      <c r="H7190" s="5" t="s">
        <v>7231</v>
      </c>
      <c r="I7190" s="7">
        <v>1718800</v>
      </c>
      <c r="J7190" s="8">
        <v>3.8800000000000001E-2</v>
      </c>
    </row>
    <row r="7191" spans="1:10" x14ac:dyDescent="0.25">
      <c r="A7191" s="5" t="s">
        <v>7225</v>
      </c>
      <c r="B7191" s="5" t="s">
        <v>9058</v>
      </c>
      <c r="C7191" s="6" t="str">
        <f>_xll.QS.CONTEXT.CREATE("market.7189",A7191,"USD","SOFR")</f>
        <v>QSObject:PricingContext:w1~market.7189:5701</v>
      </c>
      <c r="D7191" s="6" t="str">
        <f>_xll.QS.CONTEXT.ADD.CURVE(C7191,"SOFR",$K$2:$K$7,$L$2:$L$7,,,"Actual360","LogLinear",TRUE)</f>
        <v>QSObject:ContextInput:w1~input.qs_context_add_curve.2359132437744.7190.3.0:33293</v>
      </c>
      <c r="E7191" s="6" t="str">
        <f>_xll.QS.INSTRUMENT.SWAP("swap.7189",H7191,B7191,"USD","SOFR",I7191,J7191,0,"Actual360","Simple","Annual","Annual","Annual")</f>
        <v>QSObject:Swap:w1~swap.7189:5700</v>
      </c>
      <c r="F7191" s="6" t="str">
        <f>_xll.QS.TRADE.CREATE("trade.7189",E7191,A7191,"Receive")</f>
        <v>QSObject:SwapTrade:w1~trade.7189:24566</v>
      </c>
      <c r="G7191" s="3">
        <f>_xll.QS.EVALUATE(C7191,F7191)</f>
        <v>54441.338900352195</v>
      </c>
      <c r="H7191" s="5" t="s">
        <v>7232</v>
      </c>
      <c r="I7191" s="7">
        <v>1718900</v>
      </c>
      <c r="J7191" s="8">
        <v>3.8899999999999997E-2</v>
      </c>
    </row>
    <row r="7192" spans="1:10" x14ac:dyDescent="0.25">
      <c r="A7192" s="5" t="s">
        <v>7226</v>
      </c>
      <c r="B7192" s="5" t="s">
        <v>9059</v>
      </c>
      <c r="C7192" s="6" t="str">
        <f>_xll.QS.CONTEXT.CREATE("market.7190",A7192,"USD","SOFR")</f>
        <v>QSObject:PricingContext:w1~market.7190:5699</v>
      </c>
      <c r="D7192" s="6" t="str">
        <f>_xll.QS.CONTEXT.ADD.CURVE(C7192,"SOFR",$K$2:$K$7,$L$2:$L$7,,,"Actual360","LogLinear",TRUE)</f>
        <v>QSObject:ContextInput:w1~input.qs_context_add_curve.2359132437744.7191.3.0:33292</v>
      </c>
      <c r="E7192" s="6" t="str">
        <f>_xll.QS.INSTRUMENT.SWAP("swap.7190",H7192,B7192,"USD","SOFR",I7192,J7192,0,"Actual360","Simple","Annual","Annual","Annual")</f>
        <v>QSObject:Swap:w1~swap.7190:5698</v>
      </c>
      <c r="F7192" s="6" t="str">
        <f>_xll.QS.TRADE.CREATE("trade.7190",E7192,A7192,"Receive")</f>
        <v>QSObject:SwapTrade:w1~trade.7190:24565</v>
      </c>
      <c r="G7192" s="3">
        <f>_xll.QS.EVALUATE(C7192,F7192)</f>
        <v>55276.204610197135</v>
      </c>
      <c r="H7192" s="5" t="s">
        <v>7233</v>
      </c>
      <c r="I7192" s="7">
        <v>1719000</v>
      </c>
      <c r="J7192" s="8">
        <v>3.9000000000000007E-2</v>
      </c>
    </row>
    <row r="7193" spans="1:10" x14ac:dyDescent="0.25">
      <c r="A7193" s="5" t="s">
        <v>7227</v>
      </c>
      <c r="B7193" s="5" t="s">
        <v>9060</v>
      </c>
      <c r="C7193" s="6" t="str">
        <f>_xll.QS.CONTEXT.CREATE("market.7191",A7193,"USD","SOFR")</f>
        <v>QSObject:PricingContext:w1~market.7191:5697</v>
      </c>
      <c r="D7193" s="6" t="str">
        <f>_xll.QS.CONTEXT.ADD.CURVE(C7193,"SOFR",$K$2:$K$7,$L$2:$L$7,,,"Actual360","LogLinear",TRUE)</f>
        <v>QSObject:ContextInput:w1~input.qs_context_add_curve.2359132437744.7192.3.0:33291</v>
      </c>
      <c r="E7193" s="6" t="str">
        <f>_xll.QS.INSTRUMENT.SWAP("swap.7191",H7193,B7193,"USD","SOFR",I7193,J7193,0,"Actual360","Simple","Annual","Annual","Annual")</f>
        <v>QSObject:Swap:w1~swap.7191:5696</v>
      </c>
      <c r="F7193" s="6" t="str">
        <f>_xll.QS.TRADE.CREATE("trade.7191",E7193,A7193,"Receive")</f>
        <v>QSObject:SwapTrade:w1~trade.7191:24564</v>
      </c>
      <c r="G7193" s="3">
        <f>_xll.QS.EVALUATE(C7193,F7193)</f>
        <v>56198.277863389099</v>
      </c>
      <c r="H7193" s="5" t="s">
        <v>7234</v>
      </c>
      <c r="I7193" s="7">
        <v>1719100</v>
      </c>
      <c r="J7193" s="8">
        <v>3.9100000000000003E-2</v>
      </c>
    </row>
    <row r="7194" spans="1:10" x14ac:dyDescent="0.25">
      <c r="A7194" s="5" t="s">
        <v>7228</v>
      </c>
      <c r="B7194" s="5" t="s">
        <v>9061</v>
      </c>
      <c r="C7194" s="6" t="str">
        <f>_xll.QS.CONTEXT.CREATE("market.7192",A7194,"USD","SOFR")</f>
        <v>QSObject:PricingContext:w1~market.7192:5695</v>
      </c>
      <c r="D7194" s="6" t="str">
        <f>_xll.QS.CONTEXT.ADD.CURVE(C7194,"SOFR",$K$2:$K$7,$L$2:$L$7,,,"Actual360","LogLinear",TRUE)</f>
        <v>QSObject:ContextInput:w1~input.qs_context_add_curve.2359132437744.7193.3.0:33290</v>
      </c>
      <c r="E7194" s="6" t="str">
        <f>_xll.QS.INSTRUMENT.SWAP("swap.7192",H7194,B7194,"USD","SOFR",I7194,J7194,0,"Actual360","Simple","Annual","Annual","Annual")</f>
        <v>QSObject:Swap:w1~swap.7192:5694</v>
      </c>
      <c r="F7194" s="6" t="str">
        <f>_xll.QS.TRADE.CREATE("trade.7192",E7194,A7194,"Receive")</f>
        <v>QSObject:SwapTrade:w1~trade.7192:24563</v>
      </c>
      <c r="G7194" s="3">
        <f>_xll.QS.EVALUATE(C7194,F7194)</f>
        <v>57069.596386122219</v>
      </c>
      <c r="H7194" s="5" t="s">
        <v>7235</v>
      </c>
      <c r="I7194" s="7">
        <v>1719200</v>
      </c>
      <c r="J7194" s="8">
        <v>3.9200000000000013E-2</v>
      </c>
    </row>
    <row r="7195" spans="1:10" x14ac:dyDescent="0.25">
      <c r="A7195" s="5" t="s">
        <v>7229</v>
      </c>
      <c r="B7195" s="5" t="s">
        <v>9062</v>
      </c>
      <c r="C7195" s="6" t="str">
        <f>_xll.QS.CONTEXT.CREATE("market.7193",A7195,"USD","SOFR")</f>
        <v>QSObject:PricingContext:w1~market.7193:5693</v>
      </c>
      <c r="D7195" s="6" t="str">
        <f>_xll.QS.CONTEXT.ADD.CURVE(C7195,"SOFR",$K$2:$K$7,$L$2:$L$7,,,"Actual360","LogLinear",TRUE)</f>
        <v>QSObject:ContextInput:w1~input.qs_context_add_curve.2359132437744.7194.3.0:33289</v>
      </c>
      <c r="E7195" s="6" t="str">
        <f>_xll.QS.INSTRUMENT.SWAP("swap.7193",H7195,B7195,"USD","SOFR",I7195,J7195,0,"Actual360","Simple","Annual","Annual","Annual")</f>
        <v>QSObject:Swap:w1~swap.7193:5692</v>
      </c>
      <c r="F7195" s="6" t="str">
        <f>_xll.QS.TRADE.CREATE("trade.7193",E7195,A7195,"Receive")</f>
        <v>QSObject:SwapTrade:w1~trade.7193:24562</v>
      </c>
      <c r="G7195" s="3">
        <f>_xll.QS.EVALUATE(C7195,F7195)</f>
        <v>57799.477775749401</v>
      </c>
      <c r="H7195" s="5" t="s">
        <v>7236</v>
      </c>
      <c r="I7195" s="7">
        <v>1719300</v>
      </c>
      <c r="J7195" s="8">
        <v>3.9300000000000002E-2</v>
      </c>
    </row>
    <row r="7196" spans="1:10" x14ac:dyDescent="0.25">
      <c r="A7196" s="5" t="s">
        <v>7230</v>
      </c>
      <c r="B7196" s="5" t="s">
        <v>9063</v>
      </c>
      <c r="C7196" s="6" t="str">
        <f>_xll.QS.CONTEXT.CREATE("market.7194",A7196,"USD","SOFR")</f>
        <v>QSObject:PricingContext:w1~market.7194:5691</v>
      </c>
      <c r="D7196" s="6" t="str">
        <f>_xll.QS.CONTEXT.ADD.CURVE(C7196,"SOFR",$K$2:$K$7,$L$2:$L$7,,,"Actual360","LogLinear",TRUE)</f>
        <v>QSObject:ContextInput:w1~input.qs_context_add_curve.2359132437744.7195.3.0:33288</v>
      </c>
      <c r="E7196" s="6" t="str">
        <f>_xll.QS.INSTRUMENT.SWAP("swap.7194",H7196,B7196,"USD","SOFR",I7196,J7196,0,"Actual360","Simple","Annual","Annual","Annual")</f>
        <v>QSObject:Swap:w1~swap.7194:5690</v>
      </c>
      <c r="F7196" s="6" t="str">
        <f>_xll.QS.TRADE.CREATE("trade.7194",E7196,A7196,"Receive")</f>
        <v>QSObject:SwapTrade:w1~trade.7194:24561</v>
      </c>
      <c r="G7196" s="3">
        <f>_xll.QS.EVALUATE(C7196,F7196)</f>
        <v>58454.239205252263</v>
      </c>
      <c r="H7196" s="5" t="s">
        <v>7237</v>
      </c>
      <c r="I7196" s="7">
        <v>1719400</v>
      </c>
      <c r="J7196" s="8">
        <v>3.9399999999999998E-2</v>
      </c>
    </row>
    <row r="7197" spans="1:10" x14ac:dyDescent="0.25">
      <c r="A7197" s="5" t="s">
        <v>7231</v>
      </c>
      <c r="B7197" s="5" t="s">
        <v>9064</v>
      </c>
      <c r="C7197" s="6" t="str">
        <f>_xll.QS.CONTEXT.CREATE("market.7195",A7197,"USD","SOFR")</f>
        <v>QSObject:PricingContext:w1~market.7195:5689</v>
      </c>
      <c r="D7197" s="6" t="str">
        <f>_xll.QS.CONTEXT.ADD.CURVE(C7197,"SOFR",$K$2:$K$7,$L$2:$L$7,,,"Actual360","LogLinear",TRUE)</f>
        <v>QSObject:ContextInput:w1~input.qs_context_add_curve.2359132437744.7196.3.0:33287</v>
      </c>
      <c r="E7197" s="6" t="str">
        <f>_xll.QS.INSTRUMENT.SWAP("swap.7195",H7197,B7197,"USD","SOFR",I7197,J7197,0,"Actual360","Simple","Annual","Annual","Annual")</f>
        <v>QSObject:Swap:w1~swap.7195:5688</v>
      </c>
      <c r="F7197" s="6" t="str">
        <f>_xll.QS.TRADE.CREATE("trade.7195",E7197,A7197,"Receive")</f>
        <v>QSObject:SwapTrade:w1~trade.7195:24560</v>
      </c>
      <c r="G7197" s="3">
        <f>_xll.QS.EVALUATE(C7197,F7197)</f>
        <v>59146.375201410119</v>
      </c>
      <c r="H7197" s="5" t="s">
        <v>7238</v>
      </c>
      <c r="I7197" s="7">
        <v>1719500</v>
      </c>
      <c r="J7197" s="8">
        <v>3.9500000000000007E-2</v>
      </c>
    </row>
    <row r="7198" spans="1:10" x14ac:dyDescent="0.25">
      <c r="A7198" s="5" t="s">
        <v>7232</v>
      </c>
      <c r="B7198" s="5" t="s">
        <v>9065</v>
      </c>
      <c r="C7198" s="6" t="str">
        <f>_xll.QS.CONTEXT.CREATE("market.7196",A7198,"USD","SOFR")</f>
        <v>QSObject:PricingContext:w1~market.7196:5687</v>
      </c>
      <c r="D7198" s="6" t="str">
        <f>_xll.QS.CONTEXT.ADD.CURVE(C7198,"SOFR",$K$2:$K$7,$L$2:$L$7,,,"Actual360","LogLinear",TRUE)</f>
        <v>QSObject:ContextInput:w1~input.qs_context_add_curve.2359132437744.7197.3.0:33286</v>
      </c>
      <c r="E7198" s="6" t="str">
        <f>_xll.QS.INSTRUMENT.SWAP("swap.7196",H7198,B7198,"USD","SOFR",I7198,J7198,0,"Actual360","Simple","Annual","Annual","Annual")</f>
        <v>QSObject:Swap:w1~swap.7196:5686</v>
      </c>
      <c r="F7198" s="6" t="str">
        <f>_xll.QS.TRADE.CREATE("trade.7196",E7198,A7198,"Receive")</f>
        <v>QSObject:SwapTrade:w1~trade.7196:24559</v>
      </c>
      <c r="G7198" s="3">
        <f>_xll.QS.EVALUATE(C7198,F7198)</f>
        <v>60016.939847620117</v>
      </c>
      <c r="H7198" s="5" t="s">
        <v>7239</v>
      </c>
      <c r="I7198" s="7">
        <v>1719600</v>
      </c>
      <c r="J7198" s="8">
        <v>3.9600000000000003E-2</v>
      </c>
    </row>
    <row r="7199" spans="1:10" x14ac:dyDescent="0.25">
      <c r="A7199" s="5" t="s">
        <v>7233</v>
      </c>
      <c r="B7199" s="5" t="s">
        <v>9066</v>
      </c>
      <c r="C7199" s="6" t="str">
        <f>_xll.QS.CONTEXT.CREATE("market.7197",A7199,"USD","SOFR")</f>
        <v>QSObject:PricingContext:w1~market.7197:5685</v>
      </c>
      <c r="D7199" s="6" t="str">
        <f>_xll.QS.CONTEXT.ADD.CURVE(C7199,"SOFR",$K$2:$K$7,$L$2:$L$7,,,"Actual360","LogLinear",TRUE)</f>
        <v>QSObject:ContextInput:w1~input.qs_context_add_curve.2359132437744.7198.3.0:33285</v>
      </c>
      <c r="E7199" s="6" t="str">
        <f>_xll.QS.INSTRUMENT.SWAP("swap.7197",H7199,B7199,"USD","SOFR",I7199,J7199,0,"Actual360","Simple","Annual","Annual","Annual")</f>
        <v>QSObject:Swap:w1~swap.7197:5684</v>
      </c>
      <c r="F7199" s="6" t="str">
        <f>_xll.QS.TRADE.CREATE("trade.7197",E7199,A7199,"Receive")</f>
        <v>QSObject:SwapTrade:w1~trade.7197:24558</v>
      </c>
      <c r="G7199" s="3">
        <f>_xll.QS.EVALUATE(C7199,F7199)</f>
        <v>60849.769918904276</v>
      </c>
      <c r="H7199" s="5" t="s">
        <v>7240</v>
      </c>
      <c r="I7199" s="7">
        <v>1719700</v>
      </c>
      <c r="J7199" s="8">
        <v>3.9700000000000013E-2</v>
      </c>
    </row>
    <row r="7200" spans="1:10" x14ac:dyDescent="0.25">
      <c r="A7200" s="5" t="s">
        <v>7234</v>
      </c>
      <c r="B7200" s="5" t="s">
        <v>9067</v>
      </c>
      <c r="C7200" s="6" t="str">
        <f>_xll.QS.CONTEXT.CREATE("market.7198",A7200,"USD","SOFR")</f>
        <v>QSObject:PricingContext:w1~market.7198:5683</v>
      </c>
      <c r="D7200" s="6" t="str">
        <f>_xll.QS.CONTEXT.ADD.CURVE(C7200,"SOFR",$K$2:$K$7,$L$2:$L$7,,,"Actual360","LogLinear",TRUE)</f>
        <v>QSObject:ContextInput:w1~input.qs_context_add_curve.2359132437744.7199.3.0:33284</v>
      </c>
      <c r="E7200" s="6" t="str">
        <f>_xll.QS.INSTRUMENT.SWAP("swap.7198",H7200,B7200,"USD","SOFR",I7200,J7200,0,"Actual360","Simple","Annual","Annual","Annual")</f>
        <v>QSObject:Swap:w1~swap.7198:5682</v>
      </c>
      <c r="F7200" s="6" t="str">
        <f>_xll.QS.TRADE.CREATE("trade.7198",E7200,A7200,"Receive")</f>
        <v>QSObject:SwapTrade:w1~trade.7198:24557</v>
      </c>
      <c r="G7200" s="3">
        <f>_xll.QS.EVALUATE(C7200,F7200)</f>
        <v>61772.627963286315</v>
      </c>
      <c r="H7200" s="5" t="s">
        <v>7241</v>
      </c>
      <c r="I7200" s="7">
        <v>1719800</v>
      </c>
      <c r="J7200" s="8">
        <v>3.9800000000000002E-2</v>
      </c>
    </row>
    <row r="7201" spans="1:10" x14ac:dyDescent="0.25">
      <c r="A7201" s="5" t="s">
        <v>7235</v>
      </c>
      <c r="B7201" s="5" t="s">
        <v>9068</v>
      </c>
      <c r="C7201" s="6" t="str">
        <f>_xll.QS.CONTEXT.CREATE("market.7199",A7201,"USD","SOFR")</f>
        <v>QSObject:PricingContext:w1~market.7199:5681</v>
      </c>
      <c r="D7201" s="6" t="str">
        <f>_xll.QS.CONTEXT.ADD.CURVE(C7201,"SOFR",$K$2:$K$7,$L$2:$L$7,,,"Actual360","LogLinear",TRUE)</f>
        <v>QSObject:ContextInput:w1~input.qs_context_add_curve.2359132437744.7200.3.0:33283</v>
      </c>
      <c r="E7201" s="6" t="str">
        <f>_xll.QS.INSTRUMENT.SWAP("swap.7199",H7201,B7201,"USD","SOFR",I7201,J7201,0,"Actual360","Simple","Annual","Annual","Annual")</f>
        <v>QSObject:Swap:w1~swap.7199:5680</v>
      </c>
      <c r="F7201" s="6" t="str">
        <f>_xll.QS.TRADE.CREATE("trade.7199",E7201,A7201,"Receive")</f>
        <v>QSObject:SwapTrade:w1~trade.7199:24556</v>
      </c>
      <c r="G7201" s="3">
        <f>_xll.QS.EVALUATE(C7201,F7201)</f>
        <v>62644.6864516801</v>
      </c>
      <c r="H7201" s="5" t="s">
        <v>7242</v>
      </c>
      <c r="I7201" s="7">
        <v>1719900</v>
      </c>
      <c r="J7201" s="8">
        <v>3.9899999999999998E-2</v>
      </c>
    </row>
    <row r="7202" spans="1:10" x14ac:dyDescent="0.25">
      <c r="A7202" s="5" t="s">
        <v>7236</v>
      </c>
      <c r="B7202" s="5" t="s">
        <v>9069</v>
      </c>
      <c r="C7202" s="6" t="str">
        <f>_xll.QS.CONTEXT.CREATE("market.7200",A7202,"USD","SOFR")</f>
        <v>QSObject:PricingContext:w1~market.7200:5679</v>
      </c>
      <c r="D7202" s="6" t="str">
        <f>_xll.QS.CONTEXT.ADD.CURVE(C7202,"SOFR",$K$2:$K$7,$L$2:$L$7,,,"Actual360","LogLinear",TRUE)</f>
        <v>QSObject:ContextInput:w1~input.qs_context_add_curve.2359132437744.7201.3.0:33282</v>
      </c>
      <c r="E7202" s="6" t="str">
        <f>_xll.QS.INSTRUMENT.SWAP("swap.7200",H7202,B7202,"USD","SOFR",I7202,J7202,0,"Actual360","Simple","Annual","Annual","Annual")</f>
        <v>QSObject:Swap:w1~swap.7200:5678</v>
      </c>
      <c r="F7202" s="6" t="str">
        <f>_xll.QS.TRADE.CREATE("trade.7200",E7202,A7202,"Receive")</f>
        <v>QSObject:SwapTrade:w1~trade.7200:24555</v>
      </c>
      <c r="G7202" s="3">
        <f>_xll.QS.EVALUATE(C7202,F7202)</f>
        <v>23717.160702594592</v>
      </c>
      <c r="H7202" s="5" t="s">
        <v>7243</v>
      </c>
      <c r="I7202" s="7">
        <v>1720000</v>
      </c>
      <c r="J7202" s="8">
        <v>3.5000000000000003E-2</v>
      </c>
    </row>
    <row r="7203" spans="1:10" x14ac:dyDescent="0.25">
      <c r="A7203" s="5" t="s">
        <v>7237</v>
      </c>
      <c r="B7203" s="5" t="s">
        <v>9070</v>
      </c>
      <c r="C7203" s="6" t="str">
        <f>_xll.QS.CONTEXT.CREATE("market.7201",A7203,"USD","SOFR")</f>
        <v>QSObject:PricingContext:w1~market.7201:5677</v>
      </c>
      <c r="D7203" s="6" t="str">
        <f>_xll.QS.CONTEXT.ADD.CURVE(C7203,"SOFR",$K$2:$K$7,$L$2:$L$7,,,"Actual360","LogLinear",TRUE)</f>
        <v>QSObject:ContextInput:w1~input.qs_context_add_curve.2359132437744.7202.3.0:33281</v>
      </c>
      <c r="E7203" s="6" t="str">
        <f>_xll.QS.INSTRUMENT.SWAP("swap.7201",H7203,B7203,"USD","SOFR",I7203,J7203,0,"Actual360","Simple","Annual","Annual","Annual")</f>
        <v>QSObject:Swap:w1~swap.7201:5676</v>
      </c>
      <c r="F7203" s="6" t="str">
        <f>_xll.QS.TRADE.CREATE("trade.7201",E7203,A7203,"Receive")</f>
        <v>QSObject:SwapTrade:w1~trade.7201:24554</v>
      </c>
      <c r="G7203" s="3">
        <f>_xll.QS.EVALUATE(C7203,F7203)</f>
        <v>24410.371692803114</v>
      </c>
      <c r="H7203" s="5" t="s">
        <v>7244</v>
      </c>
      <c r="I7203" s="7">
        <v>1720100</v>
      </c>
      <c r="J7203" s="8">
        <v>3.5100000000000013E-2</v>
      </c>
    </row>
    <row r="7204" spans="1:10" x14ac:dyDescent="0.25">
      <c r="A7204" s="5" t="s">
        <v>7238</v>
      </c>
      <c r="B7204" s="5" t="s">
        <v>9071</v>
      </c>
      <c r="C7204" s="6" t="str">
        <f>_xll.QS.CONTEXT.CREATE("market.7202",A7204,"USD","SOFR")</f>
        <v>QSObject:PricingContext:w1~market.7202:5675</v>
      </c>
      <c r="D7204" s="6" t="str">
        <f>_xll.QS.CONTEXT.ADD.CURVE(C7204,"SOFR",$K$2:$K$7,$L$2:$L$7,,,"Actual360","LogLinear",TRUE)</f>
        <v>QSObject:ContextInput:w1~input.qs_context_add_curve.2359132437744.7203.3.0:33280</v>
      </c>
      <c r="E7204" s="6" t="str">
        <f>_xll.QS.INSTRUMENT.SWAP("swap.7202",H7204,B7204,"USD","SOFR",I7204,J7204,0,"Actual360","Simple","Annual","Annual","Annual")</f>
        <v>QSObject:Swap:w1~swap.7202:5674</v>
      </c>
      <c r="F7204" s="6" t="str">
        <f>_xll.QS.TRADE.CREATE("trade.7202",E7204,A7204,"Receive")</f>
        <v>QSObject:SwapTrade:w1~trade.7202:24553</v>
      </c>
      <c r="G7204" s="3">
        <f>_xll.QS.EVALUATE(C7204,F7204)</f>
        <v>25047.926113121932</v>
      </c>
      <c r="H7204" s="5" t="s">
        <v>7245</v>
      </c>
      <c r="I7204" s="7">
        <v>1720200</v>
      </c>
      <c r="J7204" s="8">
        <v>3.5200000000000002E-2</v>
      </c>
    </row>
    <row r="7205" spans="1:10" x14ac:dyDescent="0.25">
      <c r="A7205" s="5" t="s">
        <v>7239</v>
      </c>
      <c r="B7205" s="5" t="s">
        <v>9072</v>
      </c>
      <c r="C7205" s="6" t="str">
        <f>_xll.QS.CONTEXT.CREATE("market.7203",A7205,"USD","SOFR")</f>
        <v>QSObject:PricingContext:w1~market.7203:5673</v>
      </c>
      <c r="D7205" s="6" t="str">
        <f>_xll.QS.CONTEXT.ADD.CURVE(C7205,"SOFR",$K$2:$K$7,$L$2:$L$7,,,"Actual360","LogLinear",TRUE)</f>
        <v>QSObject:ContextInput:w1~input.qs_context_add_curve.2359132437744.7204.3.0:33279</v>
      </c>
      <c r="E7205" s="6" t="str">
        <f>_xll.QS.INSTRUMENT.SWAP("swap.7203",H7205,B7205,"USD","SOFR",I7205,J7205,0,"Actual360","Simple","Annual","Annual","Annual")</f>
        <v>QSObject:Swap:w1~swap.7203:5672</v>
      </c>
      <c r="F7205" s="6" t="str">
        <f>_xll.QS.TRADE.CREATE("trade.7203",E7205,A7205,"Receive")</f>
        <v>QSObject:SwapTrade:w1~trade.7203:24552</v>
      </c>
      <c r="G7205" s="3">
        <f>_xll.QS.EVALUATE(C7205,F7205)</f>
        <v>25913.554563698781</v>
      </c>
      <c r="H7205" s="5" t="s">
        <v>7246</v>
      </c>
      <c r="I7205" s="7">
        <v>1720300</v>
      </c>
      <c r="J7205" s="8">
        <v>3.5299999999999998E-2</v>
      </c>
    </row>
    <row r="7206" spans="1:10" x14ac:dyDescent="0.25">
      <c r="A7206" s="5" t="s">
        <v>7240</v>
      </c>
      <c r="B7206" s="5" t="s">
        <v>9073</v>
      </c>
      <c r="C7206" s="6" t="str">
        <f>_xll.QS.CONTEXT.CREATE("market.7204",A7206,"USD","SOFR")</f>
        <v>QSObject:PricingContext:w1~market.7204:5671</v>
      </c>
      <c r="D7206" s="6" t="str">
        <f>_xll.QS.CONTEXT.ADD.CURVE(C7206,"SOFR",$K$2:$K$7,$L$2:$L$7,,,"Actual360","LogLinear",TRUE)</f>
        <v>QSObject:ContextInput:w1~input.qs_context_add_curve.2359132437744.7205.3.0:33278</v>
      </c>
      <c r="E7206" s="6" t="str">
        <f>_xll.QS.INSTRUMENT.SWAP("swap.7204",H7206,B7206,"USD","SOFR",I7206,J7206,0,"Actual360","Simple","Annual","Annual","Annual")</f>
        <v>QSObject:Swap:w1~swap.7204:5670</v>
      </c>
      <c r="F7206" s="6" t="str">
        <f>_xll.QS.TRADE.CREATE("trade.7204",E7206,A7206,"Receive")</f>
        <v>QSObject:SwapTrade:w1~trade.7204:24551</v>
      </c>
      <c r="G7206" s="3">
        <f>_xll.QS.EVALUATE(C7206,F7206)</f>
        <v>26761.58737891791</v>
      </c>
      <c r="H7206" s="5" t="s">
        <v>7247</v>
      </c>
      <c r="I7206" s="7">
        <v>1720400</v>
      </c>
      <c r="J7206" s="8">
        <v>3.5400000000000001E-2</v>
      </c>
    </row>
    <row r="7207" spans="1:10" x14ac:dyDescent="0.25">
      <c r="A7207" s="5" t="s">
        <v>7241</v>
      </c>
      <c r="B7207" s="5" t="s">
        <v>9074</v>
      </c>
      <c r="C7207" s="6" t="str">
        <f>_xll.QS.CONTEXT.CREATE("market.7205",A7207,"USD","SOFR")</f>
        <v>QSObject:PricingContext:w1~market.7205:5669</v>
      </c>
      <c r="D7207" s="6" t="str">
        <f>_xll.QS.CONTEXT.ADD.CURVE(C7207,"SOFR",$K$2:$K$7,$L$2:$L$7,,,"Actual360","LogLinear",TRUE)</f>
        <v>QSObject:ContextInput:w1~input.qs_context_add_curve.2359132437744.7206.3.0:33277</v>
      </c>
      <c r="E7207" s="6" t="str">
        <f>_xll.QS.INSTRUMENT.SWAP("swap.7205",H7207,B7207,"USD","SOFR",I7207,J7207,0,"Actual360","Simple","Annual","Annual","Annual")</f>
        <v>QSObject:Swap:w1~swap.7205:5668</v>
      </c>
      <c r="F7207" s="6" t="str">
        <f>_xll.QS.TRADE.CREATE("trade.7205",E7207,A7207,"Receive")</f>
        <v>QSObject:SwapTrade:w1~trade.7205:24550</v>
      </c>
      <c r="G7207" s="3">
        <f>_xll.QS.EVALUATE(C7207,F7207)</f>
        <v>27682.257252204945</v>
      </c>
      <c r="H7207" s="5" t="s">
        <v>7248</v>
      </c>
      <c r="I7207" s="7">
        <v>1720500</v>
      </c>
      <c r="J7207" s="8">
        <v>3.5499999999999997E-2</v>
      </c>
    </row>
    <row r="7208" spans="1:10" x14ac:dyDescent="0.25">
      <c r="A7208" s="5" t="s">
        <v>7242</v>
      </c>
      <c r="B7208" s="5" t="s">
        <v>9075</v>
      </c>
      <c r="C7208" s="6" t="str">
        <f>_xll.QS.CONTEXT.CREATE("market.7206",A7208,"USD","SOFR")</f>
        <v>QSObject:PricingContext:w1~market.7206:5667</v>
      </c>
      <c r="D7208" s="6" t="str">
        <f>_xll.QS.CONTEXT.ADD.CURVE(C7208,"SOFR",$K$2:$K$7,$L$2:$L$7,,,"Actual360","LogLinear",TRUE)</f>
        <v>QSObject:ContextInput:w1~input.qs_context_add_curve.2359132437744.7207.3.0:33276</v>
      </c>
      <c r="E7208" s="6" t="str">
        <f>_xll.QS.INSTRUMENT.SWAP("swap.7206",H7208,B7208,"USD","SOFR",I7208,J7208,0,"Actual360","Simple","Annual","Annual","Annual")</f>
        <v>QSObject:Swap:w1~swap.7206:5666</v>
      </c>
      <c r="F7208" s="6" t="str">
        <f>_xll.QS.TRADE.CREATE("trade.7206",E7208,A7208,"Receive")</f>
        <v>QSObject:SwapTrade:w1~trade.7206:24549</v>
      </c>
      <c r="G7208" s="3">
        <f>_xll.QS.EVALUATE(C7208,F7208)</f>
        <v>28552.060974967411</v>
      </c>
      <c r="H7208" s="5" t="s">
        <v>7249</v>
      </c>
      <c r="I7208" s="7">
        <v>1720600</v>
      </c>
      <c r="J7208" s="8">
        <v>3.5600000000000007E-2</v>
      </c>
    </row>
    <row r="7209" spans="1:10" x14ac:dyDescent="0.25">
      <c r="A7209" s="5" t="s">
        <v>7243</v>
      </c>
      <c r="B7209" s="5" t="s">
        <v>9076</v>
      </c>
      <c r="C7209" s="6" t="str">
        <f>_xll.QS.CONTEXT.CREATE("market.7207",A7209,"USD","SOFR")</f>
        <v>QSObject:PricingContext:w1~market.7207:5665</v>
      </c>
      <c r="D7209" s="6" t="str">
        <f>_xll.QS.CONTEXT.ADD.CURVE(C7209,"SOFR",$K$2:$K$7,$L$2:$L$7,,,"Actual360","LogLinear",TRUE)</f>
        <v>QSObject:ContextInput:w1~input.qs_context_add_curve.2359132437744.7208.3.0:33275</v>
      </c>
      <c r="E7209" s="6" t="str">
        <f>_xll.QS.INSTRUMENT.SWAP("swap.7207",H7209,B7209,"USD","SOFR",I7209,J7209,0,"Actual360","Simple","Annual","Annual","Annual")</f>
        <v>QSObject:Swap:w1~swap.7207:5664</v>
      </c>
      <c r="F7209" s="6" t="str">
        <f>_xll.QS.TRADE.CREATE("trade.7207",E7209,A7209,"Receive")</f>
        <v>QSObject:SwapTrade:w1~trade.7207:24548</v>
      </c>
      <c r="G7209" s="3">
        <f>_xll.QS.EVALUATE(C7209,F7209)</f>
        <v>29280.935575942873</v>
      </c>
      <c r="H7209" s="5" t="s">
        <v>7250</v>
      </c>
      <c r="I7209" s="7">
        <v>1720700</v>
      </c>
      <c r="J7209" s="8">
        <v>3.5700000000000003E-2</v>
      </c>
    </row>
    <row r="7210" spans="1:10" x14ac:dyDescent="0.25">
      <c r="A7210" s="5" t="s">
        <v>7244</v>
      </c>
      <c r="B7210" s="5" t="s">
        <v>9077</v>
      </c>
      <c r="C7210" s="6" t="str">
        <f>_xll.QS.CONTEXT.CREATE("market.7208",A7210,"USD","SOFR")</f>
        <v>QSObject:PricingContext:w1~market.7208:5663</v>
      </c>
      <c r="D7210" s="6" t="str">
        <f>_xll.QS.CONTEXT.ADD.CURVE(C7210,"SOFR",$K$2:$K$7,$L$2:$L$7,,,"Actual360","LogLinear",TRUE)</f>
        <v>QSObject:ContextInput:w1~input.qs_context_add_curve.2359132437744.7209.3.0:33274</v>
      </c>
      <c r="E7210" s="6" t="str">
        <f>_xll.QS.INSTRUMENT.SWAP("swap.7208",H7210,B7210,"USD","SOFR",I7210,J7210,0,"Actual360","Simple","Annual","Annual","Annual")</f>
        <v>QSObject:Swap:w1~swap.7208:5662</v>
      </c>
      <c r="F7210" s="6" t="str">
        <f>_xll.QS.TRADE.CREATE("trade.7208",E7210,A7210,"Receive")</f>
        <v>QSObject:SwapTrade:w1~trade.7208:24547</v>
      </c>
      <c r="G7210" s="3">
        <f>_xll.QS.EVALUATE(C7210,F7210)</f>
        <v>29968.208496950465</v>
      </c>
      <c r="H7210" s="5" t="s">
        <v>7251</v>
      </c>
      <c r="I7210" s="7">
        <v>1720800</v>
      </c>
      <c r="J7210" s="8">
        <v>3.5800000000000012E-2</v>
      </c>
    </row>
    <row r="7211" spans="1:10" x14ac:dyDescent="0.25">
      <c r="A7211" s="5" t="s">
        <v>7245</v>
      </c>
      <c r="B7211" s="5" t="s">
        <v>9078</v>
      </c>
      <c r="C7211" s="6" t="str">
        <f>_xll.QS.CONTEXT.CREATE("market.7209",A7211,"USD","SOFR")</f>
        <v>QSObject:PricingContext:w1~market.7209:5661</v>
      </c>
      <c r="D7211" s="6" t="str">
        <f>_xll.QS.CONTEXT.ADD.CURVE(C7211,"SOFR",$K$2:$K$7,$L$2:$L$7,,,"Actual360","LogLinear",TRUE)</f>
        <v>QSObject:ContextInput:w1~input.qs_context_add_curve.2359132437744.7210.3.0:33273</v>
      </c>
      <c r="E7211" s="6" t="str">
        <f>_xll.QS.INSTRUMENT.SWAP("swap.7209",H7211,B7211,"USD","SOFR",I7211,J7211,0,"Actual360","Simple","Annual","Annual","Annual")</f>
        <v>QSObject:Swap:w1~swap.7209:5660</v>
      </c>
      <c r="F7211" s="6" t="str">
        <f>_xll.QS.TRADE.CREATE("trade.7209",E7211,A7211,"Receive")</f>
        <v>QSObject:SwapTrade:w1~trade.7209:24546</v>
      </c>
      <c r="G7211" s="3">
        <f>_xll.QS.EVALUATE(C7211,F7211)</f>
        <v>30614.95379171228</v>
      </c>
      <c r="H7211" s="5" t="s">
        <v>7252</v>
      </c>
      <c r="I7211" s="7">
        <v>1720900</v>
      </c>
      <c r="J7211" s="8">
        <v>3.5900000000000001E-2</v>
      </c>
    </row>
    <row r="7212" spans="1:10" x14ac:dyDescent="0.25">
      <c r="A7212" s="5" t="s">
        <v>7246</v>
      </c>
      <c r="B7212" s="5" t="s">
        <v>9079</v>
      </c>
      <c r="C7212" s="6" t="str">
        <f>_xll.QS.CONTEXT.CREATE("market.7210",A7212,"USD","SOFR")</f>
        <v>QSObject:PricingContext:w1~market.7210:5659</v>
      </c>
      <c r="D7212" s="6" t="str">
        <f>_xll.QS.CONTEXT.ADD.CURVE(C7212,"SOFR",$K$2:$K$7,$L$2:$L$7,,,"Actual360","LogLinear",TRUE)</f>
        <v>QSObject:ContextInput:w1~input.qs_context_add_curve.2359132437744.7211.3.0:33272</v>
      </c>
      <c r="E7212" s="6" t="str">
        <f>_xll.QS.INSTRUMENT.SWAP("swap.7210",H7212,B7212,"USD","SOFR",I7212,J7212,0,"Actual360","Simple","Annual","Annual","Annual")</f>
        <v>QSObject:Swap:w1~swap.7210:5658</v>
      </c>
      <c r="F7212" s="6" t="str">
        <f>_xll.QS.TRADE.CREATE("trade.7210",E7212,A7212,"Receive")</f>
        <v>QSObject:SwapTrade:w1~trade.7210:24545</v>
      </c>
      <c r="G7212" s="3">
        <f>_xll.QS.EVALUATE(C7212,F7212)</f>
        <v>31481.824553784048</v>
      </c>
      <c r="H7212" s="5" t="s">
        <v>7253</v>
      </c>
      <c r="I7212" s="7">
        <v>1721000</v>
      </c>
      <c r="J7212" s="8">
        <v>3.5999999999999997E-2</v>
      </c>
    </row>
    <row r="7213" spans="1:10" x14ac:dyDescent="0.25">
      <c r="A7213" s="5" t="s">
        <v>7247</v>
      </c>
      <c r="B7213" s="5" t="s">
        <v>9080</v>
      </c>
      <c r="C7213" s="6" t="str">
        <f>_xll.QS.CONTEXT.CREATE("market.7211",A7213,"USD","SOFR")</f>
        <v>QSObject:PricingContext:w1~market.7211:5657</v>
      </c>
      <c r="D7213" s="6" t="str">
        <f>_xll.QS.CONTEXT.ADD.CURVE(C7213,"SOFR",$K$2:$K$7,$L$2:$L$7,,,"Actual360","LogLinear",TRUE)</f>
        <v>QSObject:ContextInput:w1~input.qs_context_add_curve.2359132437744.7212.3.0:33271</v>
      </c>
      <c r="E7213" s="6" t="str">
        <f>_xll.QS.INSTRUMENT.SWAP("swap.7211",H7213,B7213,"USD","SOFR",I7213,J7213,0,"Actual360","Simple","Annual","Annual","Annual")</f>
        <v>QSObject:Swap:w1~swap.7211:5656</v>
      </c>
      <c r="F7213" s="6" t="str">
        <f>_xll.QS.TRADE.CREATE("trade.7211",E7213,A7213,"Receive")</f>
        <v>QSObject:SwapTrade:w1~trade.7211:24544</v>
      </c>
      <c r="G7213" s="3">
        <f>_xll.QS.EVALUATE(C7213,F7213)</f>
        <v>32327.63104259815</v>
      </c>
      <c r="H7213" s="5" t="s">
        <v>7254</v>
      </c>
      <c r="I7213" s="7">
        <v>1721100</v>
      </c>
      <c r="J7213" s="8">
        <v>3.61E-2</v>
      </c>
    </row>
    <row r="7214" spans="1:10" x14ac:dyDescent="0.25">
      <c r="A7214" s="5" t="s">
        <v>7248</v>
      </c>
      <c r="B7214" s="5" t="s">
        <v>9081</v>
      </c>
      <c r="C7214" s="6" t="str">
        <f>_xll.QS.CONTEXT.CREATE("market.7212",A7214,"USD","SOFR")</f>
        <v>QSObject:PricingContext:w1~market.7212:5655</v>
      </c>
      <c r="D7214" s="6" t="str">
        <f>_xll.QS.CONTEXT.ADD.CURVE(C7214,"SOFR",$K$2:$K$7,$L$2:$L$7,,,"Actual360","LogLinear",TRUE)</f>
        <v>QSObject:ContextInput:w1~input.qs_context_add_curve.2359132437744.7213.3.0:33270</v>
      </c>
      <c r="E7214" s="6" t="str">
        <f>_xll.QS.INSTRUMENT.SWAP("swap.7212",H7214,B7214,"USD","SOFR",I7214,J7214,0,"Actual360","Simple","Annual","Annual","Annual")</f>
        <v>QSObject:Swap:w1~swap.7212:5654</v>
      </c>
      <c r="F7214" s="6" t="str">
        <f>_xll.QS.TRADE.CREATE("trade.7212",E7214,A7214,"Receive")</f>
        <v>QSObject:SwapTrade:w1~trade.7212:24543</v>
      </c>
      <c r="G7214" s="3">
        <f>_xll.QS.EVALUATE(C7214,F7214)</f>
        <v>33249.138537877057</v>
      </c>
      <c r="H7214" s="5" t="s">
        <v>7255</v>
      </c>
      <c r="I7214" s="7">
        <v>1721200</v>
      </c>
      <c r="J7214" s="8">
        <v>3.6200000000000003E-2</v>
      </c>
    </row>
    <row r="7215" spans="1:10" x14ac:dyDescent="0.25">
      <c r="A7215" s="5" t="s">
        <v>7249</v>
      </c>
      <c r="B7215" s="5" t="s">
        <v>9082</v>
      </c>
      <c r="C7215" s="6" t="str">
        <f>_xll.QS.CONTEXT.CREATE("market.7213",A7215,"USD","SOFR")</f>
        <v>QSObject:PricingContext:w1~market.7213:5653</v>
      </c>
      <c r="D7215" s="6" t="str">
        <f>_xll.QS.CONTEXT.ADD.CURVE(C7215,"SOFR",$K$2:$K$7,$L$2:$L$7,,,"Actual360","LogLinear",TRUE)</f>
        <v>QSObject:ContextInput:w1~input.qs_context_add_curve.2359132437744.7214.3.0:33269</v>
      </c>
      <c r="E7215" s="6" t="str">
        <f>_xll.QS.INSTRUMENT.SWAP("swap.7213",H7215,B7215,"USD","SOFR",I7215,J7215,0,"Actual360","Simple","Annual","Annual","Annual")</f>
        <v>QSObject:Swap:w1~swap.7213:5652</v>
      </c>
      <c r="F7215" s="6" t="str">
        <f>_xll.QS.TRADE.CREATE("trade.7213",E7215,A7215,"Receive")</f>
        <v>QSObject:SwapTrade:w1~trade.7213:24542</v>
      </c>
      <c r="G7215" s="3">
        <f>_xll.QS.EVALUATE(C7215,F7215)</f>
        <v>34119.845077148013</v>
      </c>
      <c r="H7215" s="5" t="s">
        <v>7256</v>
      </c>
      <c r="I7215" s="7">
        <v>1721300</v>
      </c>
      <c r="J7215" s="8">
        <v>3.6300000000000013E-2</v>
      </c>
    </row>
    <row r="7216" spans="1:10" x14ac:dyDescent="0.25">
      <c r="A7216" s="5" t="s">
        <v>7250</v>
      </c>
      <c r="B7216" s="5" t="s">
        <v>9083</v>
      </c>
      <c r="C7216" s="6" t="str">
        <f>_xll.QS.CONTEXT.CREATE("market.7214",A7216,"USD","SOFR")</f>
        <v>QSObject:PricingContext:w1~market.7214:5651</v>
      </c>
      <c r="D7216" s="6" t="str">
        <f>_xll.QS.CONTEXT.ADD.CURVE(C7216,"SOFR",$K$2:$K$7,$L$2:$L$7,,,"Actual360","LogLinear",TRUE)</f>
        <v>QSObject:ContextInput:w1~input.qs_context_add_curve.2359132437744.7215.3.0:33268</v>
      </c>
      <c r="E7216" s="6" t="str">
        <f>_xll.QS.INSTRUMENT.SWAP("swap.7214",H7216,B7216,"USD","SOFR",I7216,J7216,0,"Actual360","Simple","Annual","Annual","Annual")</f>
        <v>QSObject:Swap:w1~swap.7214:5650</v>
      </c>
      <c r="F7216" s="6" t="str">
        <f>_xll.QS.TRADE.CREATE("trade.7214",E7216,A7216,"Receive")</f>
        <v>QSObject:SwapTrade:w1~trade.7214:24541</v>
      </c>
      <c r="G7216" s="3">
        <f>_xll.QS.EVALUATE(C7216,F7216)</f>
        <v>34849.314167589066</v>
      </c>
      <c r="H7216" s="5" t="s">
        <v>7257</v>
      </c>
      <c r="I7216" s="7">
        <v>1721400</v>
      </c>
      <c r="J7216" s="8">
        <v>3.6400000000000002E-2</v>
      </c>
    </row>
    <row r="7217" spans="1:10" x14ac:dyDescent="0.25">
      <c r="A7217" s="5" t="s">
        <v>7251</v>
      </c>
      <c r="B7217" s="5" t="s">
        <v>9084</v>
      </c>
      <c r="C7217" s="6" t="str">
        <f>_xll.QS.CONTEXT.CREATE("market.7215",A7217,"USD","SOFR")</f>
        <v>QSObject:PricingContext:w1~market.7215:5649</v>
      </c>
      <c r="D7217" s="6" t="str">
        <f>_xll.QS.CONTEXT.ADD.CURVE(C7217,"SOFR",$K$2:$K$7,$L$2:$L$7,,,"Actual360","LogLinear",TRUE)</f>
        <v>QSObject:ContextInput:w1~input.qs_context_add_curve.2359132437744.7216.3.0:33267</v>
      </c>
      <c r="E7217" s="6" t="str">
        <f>_xll.QS.INSTRUMENT.SWAP("swap.7215",H7217,B7217,"USD","SOFR",I7217,J7217,0,"Actual360","Simple","Annual","Annual","Annual")</f>
        <v>QSObject:Swap:w1~swap.7215:5648</v>
      </c>
      <c r="F7217" s="6" t="str">
        <f>_xll.QS.TRADE.CREATE("trade.7215",E7217,A7217,"Receive")</f>
        <v>QSObject:SwapTrade:w1~trade.7215:24540</v>
      </c>
      <c r="G7217" s="3">
        <f>_xll.QS.EVALUATE(C7217,F7217)</f>
        <v>35507.453931698044</v>
      </c>
      <c r="H7217" s="5" t="s">
        <v>7258</v>
      </c>
      <c r="I7217" s="7">
        <v>1721500</v>
      </c>
      <c r="J7217" s="8">
        <v>3.6499999999999998E-2</v>
      </c>
    </row>
    <row r="7218" spans="1:10" x14ac:dyDescent="0.25">
      <c r="A7218" s="5" t="s">
        <v>7252</v>
      </c>
      <c r="B7218" s="5" t="s">
        <v>9085</v>
      </c>
      <c r="C7218" s="6" t="str">
        <f>_xll.QS.CONTEXT.CREATE("market.7216",A7218,"USD","SOFR")</f>
        <v>QSObject:PricingContext:w1~market.7216:5647</v>
      </c>
      <c r="D7218" s="6" t="str">
        <f>_xll.QS.CONTEXT.ADD.CURVE(C7218,"SOFR",$K$2:$K$7,$L$2:$L$7,,,"Actual360","LogLinear",TRUE)</f>
        <v>QSObject:ContextInput:w1~input.qs_context_add_curve.2359132437744.7217.3.0:33266</v>
      </c>
      <c r="E7218" s="6" t="str">
        <f>_xll.QS.INSTRUMENT.SWAP("swap.7216",H7218,B7218,"USD","SOFR",I7218,J7218,0,"Actual360","Simple","Annual","Annual","Annual")</f>
        <v>QSObject:Swap:w1~swap.7216:5646</v>
      </c>
      <c r="F7218" s="6" t="str">
        <f>_xll.QS.TRADE.CREATE("trade.7216",E7218,A7218,"Receive")</f>
        <v>QSObject:SwapTrade:w1~trade.7216:24539</v>
      </c>
      <c r="G7218" s="3">
        <f>_xll.QS.EVALUATE(C7218,F7218)</f>
        <v>36115.662032353983</v>
      </c>
      <c r="H7218" s="5" t="s">
        <v>7259</v>
      </c>
      <c r="I7218" s="7">
        <v>1721600</v>
      </c>
      <c r="J7218" s="8">
        <v>3.6600000000000001E-2</v>
      </c>
    </row>
    <row r="7219" spans="1:10" x14ac:dyDescent="0.25">
      <c r="A7219" s="5" t="s">
        <v>7253</v>
      </c>
      <c r="B7219" s="5" t="s">
        <v>9086</v>
      </c>
      <c r="C7219" s="6" t="str">
        <f>_xll.QS.CONTEXT.CREATE("market.7217",A7219,"USD","SOFR")</f>
        <v>QSObject:PricingContext:w1~market.7217:5645</v>
      </c>
      <c r="D7219" s="6" t="str">
        <f>_xll.QS.CONTEXT.ADD.CURVE(C7219,"SOFR",$K$2:$K$7,$L$2:$L$7,,,"Actual360","LogLinear",TRUE)</f>
        <v>QSObject:ContextInput:w1~input.qs_context_add_curve.2359132437744.7218.3.0:33265</v>
      </c>
      <c r="E7219" s="6" t="str">
        <f>_xll.QS.INSTRUMENT.SWAP("swap.7217",H7219,B7219,"USD","SOFR",I7219,J7219,0,"Actual360","Simple","Annual","Annual","Annual")</f>
        <v>QSObject:Swap:w1~swap.7217:5644</v>
      </c>
      <c r="F7219" s="6" t="str">
        <f>_xll.QS.TRADE.CREATE("trade.7217",E7219,A7219,"Receive")</f>
        <v>QSObject:SwapTrade:w1~trade.7217:24538</v>
      </c>
      <c r="G7219" s="3">
        <f>_xll.QS.EVALUATE(C7219,F7219)</f>
        <v>36984.149673498221</v>
      </c>
      <c r="H7219" s="5" t="s">
        <v>7260</v>
      </c>
      <c r="I7219" s="7">
        <v>1721700</v>
      </c>
      <c r="J7219" s="8">
        <v>3.6700000000000003E-2</v>
      </c>
    </row>
    <row r="7220" spans="1:10" x14ac:dyDescent="0.25">
      <c r="A7220" s="5" t="s">
        <v>7254</v>
      </c>
      <c r="B7220" s="5" t="s">
        <v>9087</v>
      </c>
      <c r="C7220" s="6" t="str">
        <f>_xll.QS.CONTEXT.CREATE("market.7218",A7220,"USD","SOFR")</f>
        <v>QSObject:PricingContext:w1~market.7218:5643</v>
      </c>
      <c r="D7220" s="6" t="str">
        <f>_xll.QS.CONTEXT.ADD.CURVE(C7220,"SOFR",$K$2:$K$7,$L$2:$L$7,,,"Actual360","LogLinear",TRUE)</f>
        <v>QSObject:ContextInput:w1~input.qs_context_add_curve.2359132437744.7219.3.0:33264</v>
      </c>
      <c r="E7220" s="6" t="str">
        <f>_xll.QS.INSTRUMENT.SWAP("swap.7218",H7220,B7220,"USD","SOFR",I7220,J7220,0,"Actual360","Simple","Annual","Annual","Annual")</f>
        <v>QSObject:Swap:w1~swap.7218:5642</v>
      </c>
      <c r="F7220" s="6" t="str">
        <f>_xll.QS.TRADE.CREATE("trade.7218",E7220,A7220,"Receive")</f>
        <v>QSObject:SwapTrade:w1~trade.7218:24537</v>
      </c>
      <c r="G7220" s="3">
        <f>_xll.QS.EVALUATE(C7220,F7220)</f>
        <v>37852.854869890056</v>
      </c>
      <c r="H7220" s="5" t="s">
        <v>7261</v>
      </c>
      <c r="I7220" s="7">
        <v>1721800</v>
      </c>
      <c r="J7220" s="8">
        <v>3.6800000000000013E-2</v>
      </c>
    </row>
    <row r="7221" spans="1:10" x14ac:dyDescent="0.25">
      <c r="A7221" s="5" t="s">
        <v>7255</v>
      </c>
      <c r="B7221" s="5" t="s">
        <v>9088</v>
      </c>
      <c r="C7221" s="6" t="str">
        <f>_xll.QS.CONTEXT.CREATE("market.7219",A7221,"USD","SOFR")</f>
        <v>QSObject:PricingContext:w1~market.7219:5641</v>
      </c>
      <c r="D7221" s="6" t="str">
        <f>_xll.QS.CONTEXT.ADD.CURVE(C7221,"SOFR",$K$2:$K$7,$L$2:$L$7,,,"Actual360","LogLinear",TRUE)</f>
        <v>QSObject:ContextInput:w1~input.qs_context_add_curve.2359132437744.7220.3.0:33263</v>
      </c>
      <c r="E7221" s="6" t="str">
        <f>_xll.QS.INSTRUMENT.SWAP("swap.7219",H7221,B7221,"USD","SOFR",I7221,J7221,0,"Actual360","Simple","Annual","Annual","Annual")</f>
        <v>QSObject:Swap:w1~swap.7219:5640</v>
      </c>
      <c r="F7221" s="6" t="str">
        <f>_xll.QS.TRADE.CREATE("trade.7219",E7221,A7221,"Receive")</f>
        <v>QSObject:SwapTrade:w1~trade.7219:24536</v>
      </c>
      <c r="G7221" s="3">
        <f>_xll.QS.EVALUATE(C7221,F7221)</f>
        <v>38884.670877393772</v>
      </c>
      <c r="H7221" s="5" t="s">
        <v>7262</v>
      </c>
      <c r="I7221" s="7">
        <v>1721900</v>
      </c>
      <c r="J7221" s="8">
        <v>3.6900000000000002E-2</v>
      </c>
    </row>
    <row r="7222" spans="1:10" x14ac:dyDescent="0.25">
      <c r="A7222" s="5" t="s">
        <v>7256</v>
      </c>
      <c r="B7222" s="5" t="s">
        <v>9089</v>
      </c>
      <c r="C7222" s="6" t="str">
        <f>_xll.QS.CONTEXT.CREATE("market.7220",A7222,"USD","SOFR")</f>
        <v>QSObject:PricingContext:w1~market.7220:5639</v>
      </c>
      <c r="D7222" s="6" t="str">
        <f>_xll.QS.CONTEXT.ADD.CURVE(C7222,"SOFR",$K$2:$K$7,$L$2:$L$7,,,"Actual360","LogLinear",TRUE)</f>
        <v>QSObject:ContextInput:w1~input.qs_context_add_curve.2359132437744.7221.3.0:33262</v>
      </c>
      <c r="E7222" s="6" t="str">
        <f>_xll.QS.INSTRUMENT.SWAP("swap.7220",H7222,B7222,"USD","SOFR",I7222,J7222,0,"Actual360","Simple","Annual","Annual","Annual")</f>
        <v>QSObject:Swap:w1~swap.7220:5638</v>
      </c>
      <c r="F7222" s="6" t="str">
        <f>_xll.QS.TRADE.CREATE("trade.7220",E7222,A7222,"Receive")</f>
        <v>QSObject:SwapTrade:w1~trade.7220:24535</v>
      </c>
      <c r="G7222" s="3">
        <f>_xll.QS.EVALUATE(C7222,F7222)</f>
        <v>39696.941411379616</v>
      </c>
      <c r="H7222" s="5" t="s">
        <v>7263</v>
      </c>
      <c r="I7222" s="7">
        <v>1722000</v>
      </c>
      <c r="J7222" s="8">
        <v>3.7000000000000012E-2</v>
      </c>
    </row>
    <row r="7223" spans="1:10" x14ac:dyDescent="0.25">
      <c r="A7223" s="5" t="s">
        <v>7257</v>
      </c>
      <c r="B7223" s="5" t="s">
        <v>9090</v>
      </c>
      <c r="C7223" s="6" t="str">
        <f>_xll.QS.CONTEXT.CREATE("market.7221",A7223,"USD","SOFR")</f>
        <v>QSObject:PricingContext:w1~market.7221:5637</v>
      </c>
      <c r="D7223" s="6" t="str">
        <f>_xll.QS.CONTEXT.ADD.CURVE(C7223,"SOFR",$K$2:$K$7,$L$2:$L$7,,,"Actual360","LogLinear",TRUE)</f>
        <v>QSObject:ContextInput:w1~input.qs_context_add_curve.2359132437744.7222.3.0:33261</v>
      </c>
      <c r="E7223" s="6" t="str">
        <f>_xll.QS.INSTRUMENT.SWAP("swap.7221",H7223,B7223,"USD","SOFR",I7223,J7223,0,"Actual360","Simple","Annual","Annual","Annual")</f>
        <v>QSObject:Swap:w1~swap.7221:5636</v>
      </c>
      <c r="F7223" s="6" t="str">
        <f>_xll.QS.TRADE.CREATE("trade.7221",E7223,A7223,"Receive")</f>
        <v>QSObject:SwapTrade:w1~trade.7221:24534</v>
      </c>
      <c r="G7223" s="3">
        <f>_xll.QS.EVALUATE(C7223,F7223)</f>
        <v>40492.166026435014</v>
      </c>
      <c r="H7223" s="5" t="s">
        <v>7264</v>
      </c>
      <c r="I7223" s="7">
        <v>1722100</v>
      </c>
      <c r="J7223" s="8">
        <v>3.7100000000000001E-2</v>
      </c>
    </row>
    <row r="7224" spans="1:10" x14ac:dyDescent="0.25">
      <c r="A7224" s="5" t="s">
        <v>7258</v>
      </c>
      <c r="B7224" s="5" t="s">
        <v>9091</v>
      </c>
      <c r="C7224" s="6" t="str">
        <f>_xll.QS.CONTEXT.CREATE("market.7222",A7224,"USD","SOFR")</f>
        <v>QSObject:PricingContext:w1~market.7222:5635</v>
      </c>
      <c r="D7224" s="6" t="str">
        <f>_xll.QS.CONTEXT.ADD.CURVE(C7224,"SOFR",$K$2:$K$7,$L$2:$L$7,,,"Actual360","LogLinear",TRUE)</f>
        <v>QSObject:ContextInput:w1~input.qs_context_add_curve.2359132437744.7223.3.0:33260</v>
      </c>
      <c r="E7224" s="6" t="str">
        <f>_xll.QS.INSTRUMENT.SWAP("swap.7222",H7224,B7224,"USD","SOFR",I7224,J7224,0,"Actual360","Simple","Annual","Annual","Annual")</f>
        <v>QSObject:Swap:w1~swap.7222:5634</v>
      </c>
      <c r="F7224" s="6" t="str">
        <f>_xll.QS.TRADE.CREATE("trade.7222",E7224,A7224,"Receive")</f>
        <v>QSObject:SwapTrade:w1~trade.7222:24533</v>
      </c>
      <c r="G7224" s="3">
        <f>_xll.QS.EVALUATE(C7224,F7224)</f>
        <v>41167.556972958941</v>
      </c>
      <c r="H7224" s="5" t="s">
        <v>7265</v>
      </c>
      <c r="I7224" s="7">
        <v>1722200</v>
      </c>
      <c r="J7224" s="8">
        <v>3.7199999999999997E-2</v>
      </c>
    </row>
    <row r="7225" spans="1:10" x14ac:dyDescent="0.25">
      <c r="A7225" s="5" t="s">
        <v>7259</v>
      </c>
      <c r="B7225" s="5" t="s">
        <v>9092</v>
      </c>
      <c r="C7225" s="6" t="str">
        <f>_xll.QS.CONTEXT.CREATE("market.7223",A7225,"USD","SOFR")</f>
        <v>QSObject:PricingContext:w1~market.7223:5633</v>
      </c>
      <c r="D7225" s="6" t="str">
        <f>_xll.QS.CONTEXT.ADD.CURVE(C7225,"SOFR",$K$2:$K$7,$L$2:$L$7,,,"Actual360","LogLinear",TRUE)</f>
        <v>QSObject:ContextInput:w1~input.qs_context_add_curve.2359132437744.7224.3.0:33259</v>
      </c>
      <c r="E7225" s="6" t="str">
        <f>_xll.QS.INSTRUMENT.SWAP("swap.7223",H7225,B7225,"USD","SOFR",I7225,J7225,0,"Actual360","Simple","Annual","Annual","Annual")</f>
        <v>QSObject:Swap:w1~swap.7223:5632</v>
      </c>
      <c r="F7225" s="6" t="str">
        <f>_xll.QS.TRADE.CREATE("trade.7223",E7225,A7225,"Receive")</f>
        <v>QSObject:SwapTrade:w1~trade.7223:24532</v>
      </c>
      <c r="G7225" s="3">
        <f>_xll.QS.EVALUATE(C7225,F7225)</f>
        <v>41832.557272697333</v>
      </c>
      <c r="H7225" s="5" t="s">
        <v>7266</v>
      </c>
      <c r="I7225" s="7">
        <v>1722300</v>
      </c>
      <c r="J7225" s="8">
        <v>3.73E-2</v>
      </c>
    </row>
    <row r="7226" spans="1:10" x14ac:dyDescent="0.25">
      <c r="A7226" s="5" t="s">
        <v>7260</v>
      </c>
      <c r="B7226" s="5" t="s">
        <v>9093</v>
      </c>
      <c r="C7226" s="6" t="str">
        <f>_xll.QS.CONTEXT.CREATE("market.7224",A7226,"USD","SOFR")</f>
        <v>QSObject:PricingContext:w1~market.7224:5631</v>
      </c>
      <c r="D7226" s="6" t="str">
        <f>_xll.QS.CONTEXT.ADD.CURVE(C7226,"SOFR",$K$2:$K$7,$L$2:$L$7,,,"Actual360","LogLinear",TRUE)</f>
        <v>QSObject:ContextInput:w1~input.qs_context_add_curve.2359132437744.7225.3.0:33258</v>
      </c>
      <c r="E7226" s="6" t="str">
        <f>_xll.QS.INSTRUMENT.SWAP("swap.7224",H7226,B7226,"USD","SOFR",I7226,J7226,0,"Actual360","Simple","Annual","Annual","Annual")</f>
        <v>QSObject:Swap:w1~swap.7224:5630</v>
      </c>
      <c r="F7226" s="6" t="str">
        <f>_xll.QS.TRADE.CREATE("trade.7224",E7226,A7226,"Receive")</f>
        <v>QSObject:SwapTrade:w1~trade.7224:24531</v>
      </c>
      <c r="G7226" s="3">
        <f>_xll.QS.EVALUATE(C7226,F7226)</f>
        <v>42632.751973434526</v>
      </c>
      <c r="H7226" s="5" t="s">
        <v>7267</v>
      </c>
      <c r="I7226" s="7">
        <v>1722400</v>
      </c>
      <c r="J7226" s="8">
        <v>3.7400000000000003E-2</v>
      </c>
    </row>
    <row r="7227" spans="1:10" x14ac:dyDescent="0.25">
      <c r="A7227" s="5" t="s">
        <v>7261</v>
      </c>
      <c r="B7227" s="5" t="s">
        <v>9094</v>
      </c>
      <c r="C7227" s="6" t="str">
        <f>_xll.QS.CONTEXT.CREATE("market.7225",A7227,"USD","SOFR")</f>
        <v>QSObject:PricingContext:w1~market.7225:5629</v>
      </c>
      <c r="D7227" s="6" t="str">
        <f>_xll.QS.CONTEXT.ADD.CURVE(C7227,"SOFR",$K$2:$K$7,$L$2:$L$7,,,"Actual360","LogLinear",TRUE)</f>
        <v>QSObject:ContextInput:w1~input.qs_context_add_curve.2359132437744.7226.3.0:33257</v>
      </c>
      <c r="E7227" s="6" t="str">
        <f>_xll.QS.INSTRUMENT.SWAP("swap.7225",H7227,B7227,"USD","SOFR",I7227,J7227,0,"Actual360","Simple","Annual","Annual","Annual")</f>
        <v>QSObject:Swap:w1~swap.7225:5628</v>
      </c>
      <c r="F7227" s="6" t="str">
        <f>_xll.QS.TRADE.CREATE("trade.7225",E7227,A7227,"Receive")</f>
        <v>QSObject:SwapTrade:w1~trade.7225:24530</v>
      </c>
      <c r="G7227" s="3">
        <f>_xll.QS.EVALUATE(C7227,F7227)</f>
        <v>43474.262968159201</v>
      </c>
      <c r="H7227" s="5" t="s">
        <v>7268</v>
      </c>
      <c r="I7227" s="7">
        <v>1722500</v>
      </c>
      <c r="J7227" s="8">
        <v>3.7500000000000012E-2</v>
      </c>
    </row>
    <row r="7228" spans="1:10" x14ac:dyDescent="0.25">
      <c r="A7228" s="5" t="s">
        <v>7262</v>
      </c>
      <c r="B7228" s="5" t="s">
        <v>9095</v>
      </c>
      <c r="C7228" s="6" t="str">
        <f>_xll.QS.CONTEXT.CREATE("market.7226",A7228,"USD","SOFR")</f>
        <v>QSObject:PricingContext:w1~market.7226:5627</v>
      </c>
      <c r="D7228" s="6" t="str">
        <f>_xll.QS.CONTEXT.ADD.CURVE(C7228,"SOFR",$K$2:$K$7,$L$2:$L$7,,,"Actual360","LogLinear",TRUE)</f>
        <v>QSObject:ContextInput:w1~input.qs_context_add_curve.2359132437744.7227.3.0:33256</v>
      </c>
      <c r="E7228" s="6" t="str">
        <f>_xll.QS.INSTRUMENT.SWAP("swap.7226",H7228,B7228,"USD","SOFR",I7228,J7228,0,"Actual360","Simple","Annual","Annual","Annual")</f>
        <v>QSObject:Swap:w1~swap.7226:5626</v>
      </c>
      <c r="F7228" s="6" t="str">
        <f>_xll.QS.TRADE.CREATE("trade.7226",E7228,A7228,"Receive")</f>
        <v>QSObject:SwapTrade:w1~trade.7226:24529</v>
      </c>
      <c r="G7228" s="3">
        <f>_xll.QS.EVALUATE(C7228,F7228)</f>
        <v>44397.326715676834</v>
      </c>
      <c r="H7228" s="5" t="s">
        <v>7269</v>
      </c>
      <c r="I7228" s="7">
        <v>1722600</v>
      </c>
      <c r="J7228" s="8">
        <v>3.7600000000000001E-2</v>
      </c>
    </row>
    <row r="7229" spans="1:10" x14ac:dyDescent="0.25">
      <c r="A7229" s="5" t="s">
        <v>7263</v>
      </c>
      <c r="B7229" s="5" t="s">
        <v>9096</v>
      </c>
      <c r="C7229" s="6" t="str">
        <f>_xll.QS.CONTEXT.CREATE("market.7227",A7229,"USD","SOFR")</f>
        <v>QSObject:PricingContext:w1~market.7227:5625</v>
      </c>
      <c r="D7229" s="6" t="str">
        <f>_xll.QS.CONTEXT.ADD.CURVE(C7229,"SOFR",$K$2:$K$7,$L$2:$L$7,,,"Actual360","LogLinear",TRUE)</f>
        <v>QSObject:ContextInput:w1~input.qs_context_add_curve.2359132437744.7228.3.0:33255</v>
      </c>
      <c r="E7229" s="6" t="str">
        <f>_xll.QS.INSTRUMENT.SWAP("swap.7227",H7229,B7229,"USD","SOFR",I7229,J7229,0,"Actual360","Simple","Annual","Annual","Annual")</f>
        <v>QSObject:Swap:w1~swap.7227:5624</v>
      </c>
      <c r="F7229" s="6" t="str">
        <f>_xll.QS.TRADE.CREATE("trade.7227",E7229,A7229,"Receive")</f>
        <v>QSObject:SwapTrade:w1~trade.7227:24528</v>
      </c>
      <c r="G7229" s="3">
        <f>_xll.QS.EVALUATE(C7229,F7229)</f>
        <v>45269.583949232001</v>
      </c>
      <c r="H7229" s="5" t="s">
        <v>7270</v>
      </c>
      <c r="I7229" s="7">
        <v>1722700</v>
      </c>
      <c r="J7229" s="8">
        <v>3.7699999999999997E-2</v>
      </c>
    </row>
    <row r="7230" spans="1:10" x14ac:dyDescent="0.25">
      <c r="A7230" s="5" t="s">
        <v>7264</v>
      </c>
      <c r="B7230" s="5" t="s">
        <v>9097</v>
      </c>
      <c r="C7230" s="6" t="str">
        <f>_xll.QS.CONTEXT.CREATE("market.7228",A7230,"USD","SOFR")</f>
        <v>QSObject:PricingContext:w1~market.7228:5623</v>
      </c>
      <c r="D7230" s="6" t="str">
        <f>_xll.QS.CONTEXT.ADD.CURVE(C7230,"SOFR",$K$2:$K$7,$L$2:$L$7,,,"Actual360","LogLinear",TRUE)</f>
        <v>QSObject:ContextInput:w1~input.qs_context_add_curve.2359132437744.7229.3.0:33254</v>
      </c>
      <c r="E7230" s="6" t="str">
        <f>_xll.QS.INSTRUMENT.SWAP("swap.7228",H7230,B7230,"USD","SOFR",I7230,J7230,0,"Actual360","Simple","Annual","Annual","Annual")</f>
        <v>QSObject:Swap:w1~swap.7228:5622</v>
      </c>
      <c r="F7230" s="6" t="str">
        <f>_xll.QS.TRADE.CREATE("trade.7228",E7230,A7230,"Receive")</f>
        <v>QSObject:SwapTrade:w1~trade.7228:24527</v>
      </c>
      <c r="G7230" s="3">
        <f>_xll.QS.EVALUATE(C7230,F7230)</f>
        <v>46000.38360702229</v>
      </c>
      <c r="H7230" s="5" t="s">
        <v>7271</v>
      </c>
      <c r="I7230" s="7">
        <v>1722800</v>
      </c>
      <c r="J7230" s="8">
        <v>3.78E-2</v>
      </c>
    </row>
    <row r="7231" spans="1:10" x14ac:dyDescent="0.25">
      <c r="A7231" s="5" t="s">
        <v>7265</v>
      </c>
      <c r="B7231" s="5" t="s">
        <v>9098</v>
      </c>
      <c r="C7231" s="6" t="str">
        <f>_xll.QS.CONTEXT.CREATE("market.7229",A7231,"USD","SOFR")</f>
        <v>QSObject:PricingContext:w1~market.7229:5621</v>
      </c>
      <c r="D7231" s="6" t="str">
        <f>_xll.QS.CONTEXT.ADD.CURVE(C7231,"SOFR",$K$2:$K$7,$L$2:$L$7,,,"Actual360","LogLinear",TRUE)</f>
        <v>QSObject:ContextInput:w1~input.qs_context_add_curve.2359132437744.7230.3.0:33253</v>
      </c>
      <c r="E7231" s="6" t="str">
        <f>_xll.QS.INSTRUMENT.SWAP("swap.7229",H7231,B7231,"USD","SOFR",I7231,J7231,0,"Actual360","Simple","Annual","Annual","Annual")</f>
        <v>QSObject:Swap:w1~swap.7229:5620</v>
      </c>
      <c r="F7231" s="6" t="str">
        <f>_xll.QS.TRADE.CREATE("trade.7229",E7231,A7231,"Receive")</f>
        <v>QSObject:SwapTrade:w1~trade.7229:24526</v>
      </c>
      <c r="G7231" s="3">
        <f>_xll.QS.EVALUATE(C7231,F7231)</f>
        <v>46669.81395708365</v>
      </c>
      <c r="H7231" s="5" t="s">
        <v>7272</v>
      </c>
      <c r="I7231" s="7">
        <v>1722900</v>
      </c>
      <c r="J7231" s="8">
        <v>3.7900000000000003E-2</v>
      </c>
    </row>
    <row r="7232" spans="1:10" x14ac:dyDescent="0.25">
      <c r="A7232" s="5" t="s">
        <v>7266</v>
      </c>
      <c r="B7232" s="5" t="s">
        <v>9099</v>
      </c>
      <c r="C7232" s="6" t="str">
        <f>_xll.QS.CONTEXT.CREATE("market.7230",A7232,"USD","SOFR")</f>
        <v>QSObject:PricingContext:w1~market.7230:5619</v>
      </c>
      <c r="D7232" s="6" t="str">
        <f>_xll.QS.CONTEXT.ADD.CURVE(C7232,"SOFR",$K$2:$K$7,$L$2:$L$7,,,"Actual360","LogLinear",TRUE)</f>
        <v>QSObject:ContextInput:w1~input.qs_context_add_curve.2359132437744.7231.3.0:33252</v>
      </c>
      <c r="E7232" s="6" t="str">
        <f>_xll.QS.INSTRUMENT.SWAP("swap.7230",H7232,B7232,"USD","SOFR",I7232,J7232,0,"Actual360","Simple","Annual","Annual","Annual")</f>
        <v>QSObject:Swap:w1~swap.7230:5618</v>
      </c>
      <c r="F7232" s="6" t="str">
        <f>_xll.QS.TRADE.CREATE("trade.7230",E7232,A7232,"Receive")</f>
        <v>QSObject:SwapTrade:w1~trade.7230:24525</v>
      </c>
      <c r="G7232" s="3">
        <f>_xll.QS.EVALUATE(C7232,F7232)</f>
        <v>47344.183940589566</v>
      </c>
      <c r="H7232" s="5" t="s">
        <v>7273</v>
      </c>
      <c r="I7232" s="7">
        <v>1723000</v>
      </c>
      <c r="J7232" s="8">
        <v>3.8000000000000013E-2</v>
      </c>
    </row>
    <row r="7233" spans="1:10" x14ac:dyDescent="0.25">
      <c r="A7233" s="5" t="s">
        <v>7267</v>
      </c>
      <c r="B7233" s="5" t="s">
        <v>9100</v>
      </c>
      <c r="C7233" s="6" t="str">
        <f>_xll.QS.CONTEXT.CREATE("market.7231",A7233,"USD","SOFR")</f>
        <v>QSObject:PricingContext:w1~market.7231:5617</v>
      </c>
      <c r="D7233" s="6" t="str">
        <f>_xll.QS.CONTEXT.ADD.CURVE(C7233,"SOFR",$K$2:$K$7,$L$2:$L$7,,,"Actual360","LogLinear",TRUE)</f>
        <v>QSObject:ContextInput:w1~input.qs_context_add_curve.2359132437744.7232.3.0:33251</v>
      </c>
      <c r="E7233" s="6" t="str">
        <f>_xll.QS.INSTRUMENT.SWAP("swap.7231",H7233,B7233,"USD","SOFR",I7233,J7233,0,"Actual360","Simple","Annual","Annual","Annual")</f>
        <v>QSObject:Swap:w1~swap.7231:5616</v>
      </c>
      <c r="F7233" s="6" t="str">
        <f>_xll.QS.TRADE.CREATE("trade.7231",E7233,A7233,"Receive")</f>
        <v>QSObject:SwapTrade:w1~trade.7231:24524</v>
      </c>
      <c r="G7233" s="3">
        <f>_xll.QS.EVALUATE(C7233,F7233)</f>
        <v>48214.666556907803</v>
      </c>
      <c r="H7233" s="5" t="s">
        <v>7274</v>
      </c>
      <c r="I7233" s="7">
        <v>1723100</v>
      </c>
      <c r="J7233" s="8">
        <v>3.8100000000000002E-2</v>
      </c>
    </row>
    <row r="7234" spans="1:10" x14ac:dyDescent="0.25">
      <c r="A7234" s="5" t="s">
        <v>7268</v>
      </c>
      <c r="B7234" s="5" t="s">
        <v>9101</v>
      </c>
      <c r="C7234" s="6" t="str">
        <f>_xll.QS.CONTEXT.CREATE("market.7232",A7234,"USD","SOFR")</f>
        <v>QSObject:PricingContext:w1~market.7232:5615</v>
      </c>
      <c r="D7234" s="6" t="str">
        <f>_xll.QS.CONTEXT.ADD.CURVE(C7234,"SOFR",$K$2:$K$7,$L$2:$L$7,,,"Actual360","LogLinear",TRUE)</f>
        <v>QSObject:ContextInput:w1~input.qs_context_add_curve.2359132437744.7233.3.0:33250</v>
      </c>
      <c r="E7234" s="6" t="str">
        <f>_xll.QS.INSTRUMENT.SWAP("swap.7232",H7234,B7234,"USD","SOFR",I7234,J7234,0,"Actual360","Simple","Annual","Annual","Annual")</f>
        <v>QSObject:Swap:w1~swap.7232:5614</v>
      </c>
      <c r="F7234" s="6" t="str">
        <f>_xll.QS.TRADE.CREATE("trade.7232",E7234,A7234,"Receive")</f>
        <v>QSObject:SwapTrade:w1~trade.7232:24523</v>
      </c>
      <c r="G7234" s="3">
        <f>_xll.QS.EVALUATE(C7234,F7234)</f>
        <v>49054.28411927147</v>
      </c>
      <c r="H7234" s="5" t="s">
        <v>7275</v>
      </c>
      <c r="I7234" s="7">
        <v>1723200</v>
      </c>
      <c r="J7234" s="8">
        <v>3.8199999999999998E-2</v>
      </c>
    </row>
    <row r="7235" spans="1:10" x14ac:dyDescent="0.25">
      <c r="A7235" s="5" t="s">
        <v>7269</v>
      </c>
      <c r="B7235" s="5" t="s">
        <v>9102</v>
      </c>
      <c r="C7235" s="6" t="str">
        <f>_xll.QS.CONTEXT.CREATE("market.7233",A7235,"USD","SOFR")</f>
        <v>QSObject:PricingContext:w1~market.7233:5613</v>
      </c>
      <c r="D7235" s="6" t="str">
        <f>_xll.QS.CONTEXT.ADD.CURVE(C7235,"SOFR",$K$2:$K$7,$L$2:$L$7,,,"Actual360","LogLinear",TRUE)</f>
        <v>QSObject:ContextInput:w1~input.qs_context_add_curve.2359132437744.7234.3.0:33249</v>
      </c>
      <c r="E7235" s="6" t="str">
        <f>_xll.QS.INSTRUMENT.SWAP("swap.7233",H7235,B7235,"USD","SOFR",I7235,J7235,0,"Actual360","Simple","Annual","Annual","Annual")</f>
        <v>QSObject:Swap:w1~swap.7233:5612</v>
      </c>
      <c r="F7235" s="6" t="str">
        <f>_xll.QS.TRADE.CREATE("trade.7233",E7235,A7235,"Receive")</f>
        <v>QSObject:SwapTrade:w1~trade.7233:24522</v>
      </c>
      <c r="G7235" s="3">
        <f>_xll.QS.EVALUATE(C7235,F7235)</f>
        <v>49978.132760142216</v>
      </c>
      <c r="H7235" s="5" t="s">
        <v>7276</v>
      </c>
      <c r="I7235" s="7">
        <v>1723300</v>
      </c>
      <c r="J7235" s="8">
        <v>3.8300000000000001E-2</v>
      </c>
    </row>
    <row r="7236" spans="1:10" x14ac:dyDescent="0.25">
      <c r="A7236" s="5" t="s">
        <v>7270</v>
      </c>
      <c r="B7236" s="5" t="s">
        <v>9103</v>
      </c>
      <c r="C7236" s="6" t="str">
        <f>_xll.QS.CONTEXT.CREATE("market.7234",A7236,"USD","SOFR")</f>
        <v>QSObject:PricingContext:w1~market.7234:5611</v>
      </c>
      <c r="D7236" s="6" t="str">
        <f>_xll.QS.CONTEXT.ADD.CURVE(C7236,"SOFR",$K$2:$K$7,$L$2:$L$7,,,"Actual360","LogLinear",TRUE)</f>
        <v>QSObject:ContextInput:w1~input.qs_context_add_curve.2359132437744.7235.3.0:33248</v>
      </c>
      <c r="E7236" s="6" t="str">
        <f>_xll.QS.INSTRUMENT.SWAP("swap.7234",H7236,B7236,"USD","SOFR",I7236,J7236,0,"Actual360","Simple","Annual","Annual","Annual")</f>
        <v>QSObject:Swap:w1~swap.7234:5610</v>
      </c>
      <c r="F7236" s="6" t="str">
        <f>_xll.QS.TRADE.CREATE("trade.7234",E7236,A7236,"Receive")</f>
        <v>QSObject:SwapTrade:w1~trade.7234:24521</v>
      </c>
      <c r="G7236" s="3">
        <f>_xll.QS.EVALUATE(C7236,F7236)</f>
        <v>50851.129442655074</v>
      </c>
      <c r="H7236" s="5" t="s">
        <v>7277</v>
      </c>
      <c r="I7236" s="7">
        <v>1723400</v>
      </c>
      <c r="J7236" s="8">
        <v>3.8399999999999997E-2</v>
      </c>
    </row>
    <row r="7237" spans="1:10" x14ac:dyDescent="0.25">
      <c r="A7237" s="5" t="s">
        <v>7271</v>
      </c>
      <c r="B7237" s="5" t="s">
        <v>9104</v>
      </c>
      <c r="C7237" s="6" t="str">
        <f>_xll.QS.CONTEXT.CREATE("market.7235",A7237,"USD","SOFR")</f>
        <v>QSObject:PricingContext:w1~market.7235:5609</v>
      </c>
      <c r="D7237" s="6" t="str">
        <f>_xll.QS.CONTEXT.ADD.CURVE(C7237,"SOFR",$K$2:$K$7,$L$2:$L$7,,,"Actual360","LogLinear",TRUE)</f>
        <v>QSObject:ContextInput:w1~input.qs_context_add_curve.2359132437744.7236.3.0:33247</v>
      </c>
      <c r="E7237" s="6" t="str">
        <f>_xll.QS.INSTRUMENT.SWAP("swap.7235",H7237,B7237,"USD","SOFR",I7237,J7237,0,"Actual360","Simple","Annual","Annual","Annual")</f>
        <v>QSObject:Swap:w1~swap.7235:5608</v>
      </c>
      <c r="F7237" s="6" t="str">
        <f>_xll.QS.TRADE.CREATE("trade.7235",E7237,A7237,"Receive")</f>
        <v>QSObject:SwapTrade:w1~trade.7235:24520</v>
      </c>
      <c r="G7237" s="3">
        <f>_xll.QS.EVALUATE(C7237,F7237)</f>
        <v>51582.676032590483</v>
      </c>
      <c r="H7237" s="5" t="s">
        <v>7278</v>
      </c>
      <c r="I7237" s="7">
        <v>1723500</v>
      </c>
      <c r="J7237" s="8">
        <v>3.8500000000000013E-2</v>
      </c>
    </row>
    <row r="7238" spans="1:10" x14ac:dyDescent="0.25">
      <c r="A7238" s="5" t="s">
        <v>7272</v>
      </c>
      <c r="B7238" s="5" t="s">
        <v>9105</v>
      </c>
      <c r="C7238" s="6" t="str">
        <f>_xll.QS.CONTEXT.CREATE("market.7236",A7238,"USD","SOFR")</f>
        <v>QSObject:PricingContext:w1~market.7236:5607</v>
      </c>
      <c r="D7238" s="6" t="str">
        <f>_xll.QS.CONTEXT.ADD.CURVE(C7238,"SOFR",$K$2:$K$7,$L$2:$L$7,,,"Actual360","LogLinear",TRUE)</f>
        <v>QSObject:ContextInput:w1~input.qs_context_add_curve.2359132437744.7237.3.0:33246</v>
      </c>
      <c r="E7238" s="6" t="str">
        <f>_xll.QS.INSTRUMENT.SWAP("swap.7236",H7238,B7238,"USD","SOFR",I7238,J7238,0,"Actual360","Simple","Annual","Annual","Annual")</f>
        <v>QSObject:Swap:w1~swap.7236:5606</v>
      </c>
      <c r="F7238" s="6" t="str">
        <f>_xll.QS.TRADE.CREATE("trade.7236",E7238,A7238,"Receive")</f>
        <v>QSObject:SwapTrade:w1~trade.7236:24519</v>
      </c>
      <c r="G7238" s="3">
        <f>_xll.QS.EVALUATE(C7238,F7238)</f>
        <v>52345.274141123948</v>
      </c>
      <c r="H7238" s="5" t="s">
        <v>7279</v>
      </c>
      <c r="I7238" s="7">
        <v>1723600</v>
      </c>
      <c r="J7238" s="8">
        <v>3.8600000000000002E-2</v>
      </c>
    </row>
    <row r="7239" spans="1:10" x14ac:dyDescent="0.25">
      <c r="A7239" s="5" t="s">
        <v>7273</v>
      </c>
      <c r="B7239" s="5" t="s">
        <v>9106</v>
      </c>
      <c r="C7239" s="6" t="str">
        <f>_xll.QS.CONTEXT.CREATE("market.7237",A7239,"USD","SOFR")</f>
        <v>QSObject:PricingContext:w1~market.7237:5605</v>
      </c>
      <c r="D7239" s="6" t="str">
        <f>_xll.QS.CONTEXT.ADD.CURVE(C7239,"SOFR",$K$2:$K$7,$L$2:$L$7,,,"Actual360","LogLinear",TRUE)</f>
        <v>QSObject:ContextInput:w1~input.qs_context_add_curve.2359132437744.7238.3.0:33245</v>
      </c>
      <c r="E7239" s="6" t="str">
        <f>_xll.QS.INSTRUMENT.SWAP("swap.7237",H7239,B7239,"USD","SOFR",I7239,J7239,0,"Actual360","Simple","Annual","Annual","Annual")</f>
        <v>QSObject:Swap:w1~swap.7237:5604</v>
      </c>
      <c r="F7239" s="6" t="str">
        <f>_xll.QS.TRADE.CREATE("trade.7237",E7239,A7239,"Receive")</f>
        <v>QSObject:SwapTrade:w1~trade.7237:24518</v>
      </c>
      <c r="G7239" s="3">
        <f>_xll.QS.EVALUATE(C7239,F7239)</f>
        <v>52929.552069383666</v>
      </c>
      <c r="H7239" s="5" t="s">
        <v>7280</v>
      </c>
      <c r="I7239" s="7">
        <v>1723700</v>
      </c>
      <c r="J7239" s="8">
        <v>3.8700000000000012E-2</v>
      </c>
    </row>
    <row r="7240" spans="1:10" x14ac:dyDescent="0.25">
      <c r="A7240" s="5" t="s">
        <v>7274</v>
      </c>
      <c r="B7240" s="5" t="s">
        <v>9107</v>
      </c>
      <c r="C7240" s="6" t="str">
        <f>_xll.QS.CONTEXT.CREATE("market.7238",A7240,"USD","SOFR")</f>
        <v>QSObject:PricingContext:w1~market.7238:5603</v>
      </c>
      <c r="D7240" s="6" t="str">
        <f>_xll.QS.CONTEXT.ADD.CURVE(C7240,"SOFR",$K$2:$K$7,$L$2:$L$7,,,"Actual360","LogLinear",TRUE)</f>
        <v>QSObject:ContextInput:w1~input.qs_context_add_curve.2359132437744.7239.3.0:33244</v>
      </c>
      <c r="E7240" s="6" t="str">
        <f>_xll.QS.INSTRUMENT.SWAP("swap.7238",H7240,B7240,"USD","SOFR",I7240,J7240,0,"Actual360","Simple","Annual","Annual","Annual")</f>
        <v>QSObject:Swap:w1~swap.7238:5602</v>
      </c>
      <c r="F7240" s="6" t="str">
        <f>_xll.QS.TRADE.CREATE("trade.7238",E7240,A7240,"Receive")</f>
        <v>QSObject:SwapTrade:w1~trade.7238:24517</v>
      </c>
      <c r="G7240" s="3">
        <f>_xll.QS.EVALUATE(C7240,F7240)</f>
        <v>53801.248871843265</v>
      </c>
      <c r="H7240" s="5" t="s">
        <v>7281</v>
      </c>
      <c r="I7240" s="7">
        <v>1723800</v>
      </c>
      <c r="J7240" s="8">
        <v>3.8800000000000001E-2</v>
      </c>
    </row>
    <row r="7241" spans="1:10" x14ac:dyDescent="0.25">
      <c r="A7241" s="5" t="s">
        <v>7275</v>
      </c>
      <c r="B7241" s="5" t="s">
        <v>9108</v>
      </c>
      <c r="C7241" s="6" t="str">
        <f>_xll.QS.CONTEXT.CREATE("market.7239",A7241,"USD","SOFR")</f>
        <v>QSObject:PricingContext:w1~market.7239:5601</v>
      </c>
      <c r="D7241" s="6" t="str">
        <f>_xll.QS.CONTEXT.ADD.CURVE(C7241,"SOFR",$K$2:$K$7,$L$2:$L$7,,,"Actual360","LogLinear",TRUE)</f>
        <v>QSObject:ContextInput:w1~input.qs_context_add_curve.2359132437744.7240.3.0:33243</v>
      </c>
      <c r="E7241" s="6" t="str">
        <f>_xll.QS.INSTRUMENT.SWAP("swap.7239",H7241,B7241,"USD","SOFR",I7241,J7241,0,"Actual360","Simple","Annual","Annual","Annual")</f>
        <v>QSObject:Swap:w1~swap.7239:5600</v>
      </c>
      <c r="F7241" s="6" t="str">
        <f>_xll.QS.TRADE.CREATE("trade.7239",E7241,A7241,"Receive")</f>
        <v>QSObject:SwapTrade:w1~trade.7239:24516</v>
      </c>
      <c r="G7241" s="3">
        <f>_xll.QS.EVALUATE(C7241,F7241)</f>
        <v>54638.825819885729</v>
      </c>
      <c r="H7241" s="5" t="s">
        <v>7282</v>
      </c>
      <c r="I7241" s="7">
        <v>1723900</v>
      </c>
      <c r="J7241" s="8">
        <v>3.8899999999999997E-2</v>
      </c>
    </row>
    <row r="7242" spans="1:10" x14ac:dyDescent="0.25">
      <c r="A7242" s="5" t="s">
        <v>7276</v>
      </c>
      <c r="B7242" s="5" t="s">
        <v>9109</v>
      </c>
      <c r="C7242" s="6" t="str">
        <f>_xll.QS.CONTEXT.CREATE("market.7240",A7242,"USD","SOFR")</f>
        <v>QSObject:PricingContext:w1~market.7240:5599</v>
      </c>
      <c r="D7242" s="6" t="str">
        <f>_xll.QS.CONTEXT.ADD.CURVE(C7242,"SOFR",$K$2:$K$7,$L$2:$L$7,,,"Actual360","LogLinear",TRUE)</f>
        <v>QSObject:ContextInput:w1~input.qs_context_add_curve.2359132437744.7241.3.0:33242</v>
      </c>
      <c r="E7242" s="6" t="str">
        <f>_xll.QS.INSTRUMENT.SWAP("swap.7240",H7242,B7242,"USD","SOFR",I7242,J7242,0,"Actual360","Simple","Annual","Annual","Annual")</f>
        <v>QSObject:Swap:w1~swap.7240:5598</v>
      </c>
      <c r="F7242" s="6" t="str">
        <f>_xll.QS.TRADE.CREATE("trade.7240",E7242,A7242,"Receive")</f>
        <v>QSObject:SwapTrade:w1~trade.7240:24515</v>
      </c>
      <c r="G7242" s="3">
        <f>_xll.QS.EVALUATE(C7242,F7242)</f>
        <v>55630.07764135574</v>
      </c>
      <c r="H7242" s="5" t="s">
        <v>7283</v>
      </c>
      <c r="I7242" s="7">
        <v>1724000</v>
      </c>
      <c r="J7242" s="8">
        <v>3.9000000000000007E-2</v>
      </c>
    </row>
    <row r="7243" spans="1:10" x14ac:dyDescent="0.25">
      <c r="A7243" s="5" t="s">
        <v>7277</v>
      </c>
      <c r="B7243" s="5" t="s">
        <v>9110</v>
      </c>
      <c r="C7243" s="6" t="str">
        <f>_xll.QS.CONTEXT.CREATE("market.7241",A7243,"USD","SOFR")</f>
        <v>QSObject:PricingContext:w1~market.7241:5597</v>
      </c>
      <c r="D7243" s="6" t="str">
        <f>_xll.QS.CONTEXT.ADD.CURVE(C7243,"SOFR",$K$2:$K$7,$L$2:$L$7,,,"Actual360","LogLinear",TRUE)</f>
        <v>QSObject:ContextInput:w1~input.qs_context_add_curve.2359132437744.7242.3.0:33241</v>
      </c>
      <c r="E7243" s="6" t="str">
        <f>_xll.QS.INSTRUMENT.SWAP("swap.7241",H7243,B7243,"USD","SOFR",I7243,J7243,0,"Actual360","Simple","Annual","Annual","Annual")</f>
        <v>QSObject:Swap:w1~swap.7241:5596</v>
      </c>
      <c r="F7243" s="6" t="str">
        <f>_xll.QS.TRADE.CREATE("trade.7241",E7243,A7243,"Receive")</f>
        <v>QSObject:SwapTrade:w1~trade.7241:24514</v>
      </c>
      <c r="G7243" s="3">
        <f>_xll.QS.EVALUATE(C7243,F7243)</f>
        <v>56437.195330769558</v>
      </c>
      <c r="H7243" s="5" t="s">
        <v>7284</v>
      </c>
      <c r="I7243" s="7">
        <v>1724100</v>
      </c>
      <c r="J7243" s="8">
        <v>3.9100000000000003E-2</v>
      </c>
    </row>
    <row r="7244" spans="1:10" x14ac:dyDescent="0.25">
      <c r="A7244" s="5" t="s">
        <v>7278</v>
      </c>
      <c r="B7244" s="5" t="s">
        <v>9111</v>
      </c>
      <c r="C7244" s="6" t="str">
        <f>_xll.QS.CONTEXT.CREATE("market.7242",A7244,"USD","SOFR")</f>
        <v>QSObject:PricingContext:w1~market.7242:5595</v>
      </c>
      <c r="D7244" s="6" t="str">
        <f>_xll.QS.CONTEXT.ADD.CURVE(C7244,"SOFR",$K$2:$K$7,$L$2:$L$7,,,"Actual360","LogLinear",TRUE)</f>
        <v>QSObject:ContextInput:w1~input.qs_context_add_curve.2359132437744.7243.3.0:33240</v>
      </c>
      <c r="E7244" s="6" t="str">
        <f>_xll.QS.INSTRUMENT.SWAP("swap.7242",H7244,B7244,"USD","SOFR",I7244,J7244,0,"Actual360","Simple","Annual","Annual","Annual")</f>
        <v>QSObject:Swap:w1~swap.7242:5594</v>
      </c>
      <c r="F7244" s="6" t="str">
        <f>_xll.QS.TRADE.CREATE("trade.7242",E7244,A7244,"Receive")</f>
        <v>QSObject:SwapTrade:w1~trade.7242:24513</v>
      </c>
      <c r="G7244" s="3">
        <f>_xll.QS.EVALUATE(C7244,F7244)</f>
        <v>57169.110039793151</v>
      </c>
      <c r="H7244" s="5" t="s">
        <v>7285</v>
      </c>
      <c r="I7244" s="7">
        <v>1724200</v>
      </c>
      <c r="J7244" s="8">
        <v>3.9200000000000013E-2</v>
      </c>
    </row>
    <row r="7245" spans="1:10" x14ac:dyDescent="0.25">
      <c r="A7245" s="5" t="s">
        <v>7279</v>
      </c>
      <c r="B7245" s="5" t="s">
        <v>9112</v>
      </c>
      <c r="C7245" s="6" t="str">
        <f>_xll.QS.CONTEXT.CREATE("market.7243",A7245,"USD","SOFR")</f>
        <v>QSObject:PricingContext:w1~market.7243:5593</v>
      </c>
      <c r="D7245" s="6" t="str">
        <f>_xll.QS.CONTEXT.ADD.CURVE(C7245,"SOFR",$K$2:$K$7,$L$2:$L$7,,,"Actual360","LogLinear",TRUE)</f>
        <v>QSObject:ContextInput:w1~input.qs_context_add_curve.2359132437744.7244.3.0:33239</v>
      </c>
      <c r="E7245" s="6" t="str">
        <f>_xll.QS.INSTRUMENT.SWAP("swap.7243",H7245,B7245,"USD","SOFR",I7245,J7245,0,"Actual360","Simple","Annual","Annual","Annual")</f>
        <v>QSObject:Swap:w1~swap.7243:5592</v>
      </c>
      <c r="F7245" s="6" t="str">
        <f>_xll.QS.TRADE.CREATE("trade.7243",E7245,A7245,"Receive")</f>
        <v>QSObject:SwapTrade:w1~trade.7243:24512</v>
      </c>
      <c r="G7245" s="3">
        <f>_xll.QS.EVALUATE(C7245,F7245)</f>
        <v>57826.618137686535</v>
      </c>
      <c r="H7245" s="5" t="s">
        <v>7286</v>
      </c>
      <c r="I7245" s="7">
        <v>1724300</v>
      </c>
      <c r="J7245" s="8">
        <v>3.9300000000000002E-2</v>
      </c>
    </row>
    <row r="7246" spans="1:10" x14ac:dyDescent="0.25">
      <c r="A7246" s="5" t="s">
        <v>7280</v>
      </c>
      <c r="B7246" s="5" t="s">
        <v>9113</v>
      </c>
      <c r="C7246" s="6" t="str">
        <f>_xll.QS.CONTEXT.CREATE("market.7244",A7246,"USD","SOFR")</f>
        <v>QSObject:PricingContext:w1~market.7244:5591</v>
      </c>
      <c r="D7246" s="6" t="str">
        <f>_xll.QS.CONTEXT.ADD.CURVE(C7246,"SOFR",$K$2:$K$7,$L$2:$L$7,,,"Actual360","LogLinear",TRUE)</f>
        <v>QSObject:ContextInput:w1~input.qs_context_add_curve.2359132437744.7245.3.0:33238</v>
      </c>
      <c r="E7246" s="6" t="str">
        <f>_xll.QS.INSTRUMENT.SWAP("swap.7244",H7246,B7246,"USD","SOFR",I7246,J7246,0,"Actual360","Simple","Annual","Annual","Annual")</f>
        <v>QSObject:Swap:w1~swap.7244:5590</v>
      </c>
      <c r="F7246" s="6" t="str">
        <f>_xll.QS.TRADE.CREATE("trade.7244",E7246,A7246,"Receive")</f>
        <v>QSObject:SwapTrade:w1~trade.7244:24511</v>
      </c>
      <c r="G7246" s="3">
        <f>_xll.QS.EVALUATE(C7246,F7246)</f>
        <v>58519.437939892967</v>
      </c>
      <c r="H7246" s="5" t="s">
        <v>7287</v>
      </c>
      <c r="I7246" s="7">
        <v>1724400</v>
      </c>
      <c r="J7246" s="8">
        <v>3.9399999999999998E-2</v>
      </c>
    </row>
    <row r="7247" spans="1:10" x14ac:dyDescent="0.25">
      <c r="A7247" s="5" t="s">
        <v>7281</v>
      </c>
      <c r="B7247" s="5" t="s">
        <v>9114</v>
      </c>
      <c r="C7247" s="6" t="str">
        <f>_xll.QS.CONTEXT.CREATE("market.7245",A7247,"USD","SOFR")</f>
        <v>QSObject:PricingContext:w1~market.7245:5589</v>
      </c>
      <c r="D7247" s="6" t="str">
        <f>_xll.QS.CONTEXT.ADD.CURVE(C7247,"SOFR",$K$2:$K$7,$L$2:$L$7,,,"Actual360","LogLinear",TRUE)</f>
        <v>QSObject:ContextInput:w1~input.qs_context_add_curve.2359132437744.7246.3.0:33237</v>
      </c>
      <c r="E7247" s="6" t="str">
        <f>_xll.QS.INSTRUMENT.SWAP("swap.7245",H7247,B7247,"USD","SOFR",I7247,J7247,0,"Actual360","Simple","Annual","Annual","Annual")</f>
        <v>QSObject:Swap:w1~swap.7245:5588</v>
      </c>
      <c r="F7247" s="6" t="str">
        <f>_xll.QS.TRADE.CREATE("trade.7245",E7247,A7247,"Receive")</f>
        <v>QSObject:SwapTrade:w1~trade.7245:24510</v>
      </c>
      <c r="G7247" s="3">
        <f>_xll.QS.EVALUATE(C7247,F7247)</f>
        <v>59392.23572396658</v>
      </c>
      <c r="H7247" s="5" t="s">
        <v>7288</v>
      </c>
      <c r="I7247" s="7">
        <v>1724500</v>
      </c>
      <c r="J7247" s="8">
        <v>3.9500000000000007E-2</v>
      </c>
    </row>
    <row r="7248" spans="1:10" x14ac:dyDescent="0.25">
      <c r="A7248" s="5" t="s">
        <v>7282</v>
      </c>
      <c r="B7248" s="5" t="s">
        <v>9115</v>
      </c>
      <c r="C7248" s="6" t="str">
        <f>_xll.QS.CONTEXT.CREATE("market.7246",A7248,"USD","SOFR")</f>
        <v>QSObject:PricingContext:w1~market.7246:5587</v>
      </c>
      <c r="D7248" s="6" t="str">
        <f>_xll.QS.CONTEXT.ADD.CURVE(C7248,"SOFR",$K$2:$K$7,$L$2:$L$7,,,"Actual360","LogLinear",TRUE)</f>
        <v>QSObject:ContextInput:w1~input.qs_context_add_curve.2359132437744.7247.3.0:33236</v>
      </c>
      <c r="E7248" s="6" t="str">
        <f>_xll.QS.INSTRUMENT.SWAP("swap.7246",H7248,B7248,"USD","SOFR",I7248,J7248,0,"Actual360","Simple","Annual","Annual","Annual")</f>
        <v>QSObject:Swap:w1~swap.7246:5586</v>
      </c>
      <c r="F7248" s="6" t="str">
        <f>_xll.QS.TRADE.CREATE("trade.7246",E7248,A7248,"Receive")</f>
        <v>QSObject:SwapTrade:w1~trade.7246:24509</v>
      </c>
      <c r="G7248" s="3">
        <f>_xll.QS.EVALUATE(C7248,F7248)</f>
        <v>60227.658988938849</v>
      </c>
      <c r="H7248" s="5" t="s">
        <v>7289</v>
      </c>
      <c r="I7248" s="7">
        <v>1724600</v>
      </c>
      <c r="J7248" s="8">
        <v>3.9600000000000003E-2</v>
      </c>
    </row>
    <row r="7249" spans="1:10" x14ac:dyDescent="0.25">
      <c r="A7249" s="5" t="s">
        <v>7283</v>
      </c>
      <c r="B7249" s="5" t="s">
        <v>9116</v>
      </c>
      <c r="C7249" s="6" t="str">
        <f>_xll.QS.CONTEXT.CREATE("market.7247",A7249,"USD","SOFR")</f>
        <v>QSObject:PricingContext:w1~market.7247:5585</v>
      </c>
      <c r="D7249" s="6" t="str">
        <f>_xll.QS.CONTEXT.ADD.CURVE(C7249,"SOFR",$K$2:$K$7,$L$2:$L$7,,,"Actual360","LogLinear",TRUE)</f>
        <v>QSObject:ContextInput:w1~input.qs_context_add_curve.2359132437744.7248.3.0:33235</v>
      </c>
      <c r="E7249" s="6" t="str">
        <f>_xll.QS.INSTRUMENT.SWAP("swap.7247",H7249,B7249,"USD","SOFR",I7249,J7249,0,"Actual360","Simple","Annual","Annual","Annual")</f>
        <v>QSObject:Swap:w1~swap.7247:5584</v>
      </c>
      <c r="F7249" s="6" t="str">
        <f>_xll.QS.TRADE.CREATE("trade.7247",E7249,A7249,"Receive")</f>
        <v>QSObject:SwapTrade:w1~trade.7247:24508</v>
      </c>
      <c r="G7249" s="3">
        <f>_xll.QS.EVALUATE(C7249,F7249)</f>
        <v>61079.182722182377</v>
      </c>
      <c r="H7249" s="5" t="s">
        <v>7290</v>
      </c>
      <c r="I7249" s="7">
        <v>1724700</v>
      </c>
      <c r="J7249" s="8">
        <v>3.9700000000000013E-2</v>
      </c>
    </row>
    <row r="7250" spans="1:10" x14ac:dyDescent="0.25">
      <c r="A7250" s="5" t="s">
        <v>7284</v>
      </c>
      <c r="B7250" s="5" t="s">
        <v>9117</v>
      </c>
      <c r="C7250" s="6" t="str">
        <f>_xll.QS.CONTEXT.CREATE("market.7248",A7250,"USD","SOFR")</f>
        <v>QSObject:PricingContext:w1~market.7248:5583</v>
      </c>
      <c r="D7250" s="6" t="str">
        <f>_xll.QS.CONTEXT.ADD.CURVE(C7250,"SOFR",$K$2:$K$7,$L$2:$L$7,,,"Actual360","LogLinear",TRUE)</f>
        <v>QSObject:ContextInput:w1~input.qs_context_add_curve.2359132437744.7249.3.0:33234</v>
      </c>
      <c r="E7250" s="6" t="str">
        <f>_xll.QS.INSTRUMENT.SWAP("swap.7248",H7250,B7250,"USD","SOFR",I7250,J7250,0,"Actual360","Simple","Annual","Annual","Annual")</f>
        <v>QSObject:Swap:w1~swap.7248:5582</v>
      </c>
      <c r="F7250" s="6" t="str">
        <f>_xll.QS.TRADE.CREATE("trade.7248",E7250,A7250,"Receive")</f>
        <v>QSObject:SwapTrade:w1~trade.7248:24507</v>
      </c>
      <c r="G7250" s="3">
        <f>_xll.QS.EVALUATE(C7250,F7250)</f>
        <v>62027.225079396594</v>
      </c>
      <c r="H7250" s="5" t="s">
        <v>7291</v>
      </c>
      <c r="I7250" s="7">
        <v>1724800</v>
      </c>
      <c r="J7250" s="8">
        <v>3.9800000000000002E-2</v>
      </c>
    </row>
    <row r="7251" spans="1:10" x14ac:dyDescent="0.25">
      <c r="A7251" s="5" t="s">
        <v>7285</v>
      </c>
      <c r="B7251" s="5" t="s">
        <v>9118</v>
      </c>
      <c r="C7251" s="6" t="str">
        <f>_xll.QS.CONTEXT.CREATE("market.7249",A7251,"USD","SOFR")</f>
        <v>QSObject:PricingContext:w1~market.7249:5581</v>
      </c>
      <c r="D7251" s="6" t="str">
        <f>_xll.QS.CONTEXT.ADD.CURVE(C7251,"SOFR",$K$2:$K$7,$L$2:$L$7,,,"Actual360","LogLinear",TRUE)</f>
        <v>QSObject:ContextInput:w1~input.qs_context_add_curve.2359132437744.7250.3.0:33233</v>
      </c>
      <c r="E7251" s="6" t="str">
        <f>_xll.QS.INSTRUMENT.SWAP("swap.7249",H7251,B7251,"USD","SOFR",I7251,J7251,0,"Actual360","Simple","Annual","Annual","Annual")</f>
        <v>QSObject:Swap:w1~swap.7249:5580</v>
      </c>
      <c r="F7251" s="6" t="str">
        <f>_xll.QS.TRADE.CREATE("trade.7249",E7251,A7251,"Receive")</f>
        <v>QSObject:SwapTrade:w1~trade.7249:24506</v>
      </c>
      <c r="G7251" s="3">
        <f>_xll.QS.EVALUATE(C7251,F7251)</f>
        <v>62825.530919895966</v>
      </c>
      <c r="H7251" s="5" t="s">
        <v>7292</v>
      </c>
      <c r="I7251" s="7">
        <v>1724900</v>
      </c>
      <c r="J7251" s="8">
        <v>3.9899999999999998E-2</v>
      </c>
    </row>
    <row r="7252" spans="1:10" x14ac:dyDescent="0.25">
      <c r="A7252" s="5" t="s">
        <v>7286</v>
      </c>
      <c r="B7252" s="5" t="s">
        <v>9119</v>
      </c>
      <c r="C7252" s="6" t="str">
        <f>_xll.QS.CONTEXT.CREATE("market.7250",A7252,"USD","SOFR")</f>
        <v>QSObject:PricingContext:w1~market.7250:5579</v>
      </c>
      <c r="D7252" s="6" t="str">
        <f>_xll.QS.CONTEXT.ADD.CURVE(C7252,"SOFR",$K$2:$K$7,$L$2:$L$7,,,"Actual360","LogLinear",TRUE)</f>
        <v>QSObject:ContextInput:w1~input.qs_context_add_curve.2359132437744.7251.3.0:33232</v>
      </c>
      <c r="E7252" s="6" t="str">
        <f>_xll.QS.INSTRUMENT.SWAP("swap.7250",H7252,B7252,"USD","SOFR",I7252,J7252,0,"Actual360","Simple","Annual","Annual","Annual")</f>
        <v>QSObject:Swap:w1~swap.7250:5578</v>
      </c>
      <c r="F7252" s="6" t="str">
        <f>_xll.QS.TRADE.CREATE("trade.7250",E7252,A7252,"Receive")</f>
        <v>QSObject:SwapTrade:w1~trade.7250:24505</v>
      </c>
      <c r="G7252" s="3">
        <f>_xll.QS.EVALUATE(C7252,F7252)</f>
        <v>23750.209955895261</v>
      </c>
      <c r="H7252" s="5" t="s">
        <v>7293</v>
      </c>
      <c r="I7252" s="7">
        <v>1725000</v>
      </c>
      <c r="J7252" s="8">
        <v>3.5000000000000003E-2</v>
      </c>
    </row>
    <row r="7253" spans="1:10" x14ac:dyDescent="0.25">
      <c r="A7253" s="5" t="s">
        <v>7287</v>
      </c>
      <c r="B7253" s="5" t="s">
        <v>9120</v>
      </c>
      <c r="C7253" s="6" t="str">
        <f>_xll.QS.CONTEXT.CREATE("market.7251",A7253,"USD","SOFR")</f>
        <v>QSObject:PricingContext:w1~market.7251:5577</v>
      </c>
      <c r="D7253" s="6" t="str">
        <f>_xll.QS.CONTEXT.ADD.CURVE(C7253,"SOFR",$K$2:$K$7,$L$2:$L$7,,,"Actual360","LogLinear",TRUE)</f>
        <v>QSObject:ContextInput:w1~input.qs_context_add_curve.2359132437744.7252.3.0:33231</v>
      </c>
      <c r="E7253" s="6" t="str">
        <f>_xll.QS.INSTRUMENT.SWAP("swap.7251",H7253,B7253,"USD","SOFR",I7253,J7253,0,"Actual360","Simple","Annual","Annual","Annual")</f>
        <v>QSObject:Swap:w1~swap.7251:5576</v>
      </c>
      <c r="F7253" s="6" t="str">
        <f>_xll.QS.TRADE.CREATE("trade.7251",E7253,A7253,"Receive")</f>
        <v>QSObject:SwapTrade:w1~trade.7251:24504</v>
      </c>
      <c r="G7253" s="3">
        <f>_xll.QS.EVALUATE(C7253,F7253)</f>
        <v>24388.086475424723</v>
      </c>
      <c r="H7253" s="5" t="s">
        <v>7294</v>
      </c>
      <c r="I7253" s="7">
        <v>1725100</v>
      </c>
      <c r="J7253" s="8">
        <v>3.5100000000000013E-2</v>
      </c>
    </row>
    <row r="7254" spans="1:10" x14ac:dyDescent="0.25">
      <c r="A7254" s="5" t="s">
        <v>7288</v>
      </c>
      <c r="B7254" s="5" t="s">
        <v>9121</v>
      </c>
      <c r="C7254" s="6" t="str">
        <f>_xll.QS.CONTEXT.CREATE("market.7252",A7254,"USD","SOFR")</f>
        <v>QSObject:PricingContext:w1~market.7252:5575</v>
      </c>
      <c r="D7254" s="6" t="str">
        <f>_xll.QS.CONTEXT.ADD.CURVE(C7254,"SOFR",$K$2:$K$7,$L$2:$L$7,,,"Actual360","LogLinear",TRUE)</f>
        <v>QSObject:ContextInput:w1~input.qs_context_add_curve.2359132437744.7253.3.0:33230</v>
      </c>
      <c r="E7254" s="6" t="str">
        <f>_xll.QS.INSTRUMENT.SWAP("swap.7252",H7254,B7254,"USD","SOFR",I7254,J7254,0,"Actual360","Simple","Annual","Annual","Annual")</f>
        <v>QSObject:Swap:w1~swap.7252:5574</v>
      </c>
      <c r="F7254" s="6" t="str">
        <f>_xll.QS.TRADE.CREATE("trade.7252",E7254,A7254,"Receive")</f>
        <v>QSObject:SwapTrade:w1~trade.7252:24503</v>
      </c>
      <c r="G7254" s="3">
        <f>_xll.QS.EVALUATE(C7254,F7254)</f>
        <v>25260.517553155958</v>
      </c>
      <c r="H7254" s="5" t="s">
        <v>7295</v>
      </c>
      <c r="I7254" s="7">
        <v>1725200</v>
      </c>
      <c r="J7254" s="8">
        <v>3.5200000000000002E-2</v>
      </c>
    </row>
    <row r="7255" spans="1:10" x14ac:dyDescent="0.25">
      <c r="A7255" s="5" t="s">
        <v>7289</v>
      </c>
      <c r="B7255" s="5" t="s">
        <v>9122</v>
      </c>
      <c r="C7255" s="6" t="str">
        <f>_xll.QS.CONTEXT.CREATE("market.7253",A7255,"USD","SOFR")</f>
        <v>QSObject:PricingContext:w1~market.7253:5573</v>
      </c>
      <c r="D7255" s="6" t="str">
        <f>_xll.QS.CONTEXT.ADD.CURVE(C7255,"SOFR",$K$2:$K$7,$L$2:$L$7,,,"Actual360","LogLinear",TRUE)</f>
        <v>QSObject:ContextInput:w1~input.qs_context_add_curve.2359132437744.7254.3.0:33229</v>
      </c>
      <c r="E7255" s="6" t="str">
        <f>_xll.QS.INSTRUMENT.SWAP("swap.7253",H7255,B7255,"USD","SOFR",I7255,J7255,0,"Actual360","Simple","Annual","Annual","Annual")</f>
        <v>QSObject:Swap:w1~swap.7253:5572</v>
      </c>
      <c r="F7255" s="6" t="str">
        <f>_xll.QS.TRADE.CREATE("trade.7253",E7255,A7255,"Receive")</f>
        <v>QSObject:SwapTrade:w1~trade.7253:24502</v>
      </c>
      <c r="G7255" s="3">
        <f>_xll.QS.EVALUATE(C7255,F7255)</f>
        <v>26236.253293661939</v>
      </c>
      <c r="H7255" s="5" t="s">
        <v>7296</v>
      </c>
      <c r="I7255" s="7">
        <v>1725300</v>
      </c>
      <c r="J7255" s="8">
        <v>3.5299999999999998E-2</v>
      </c>
    </row>
    <row r="7256" spans="1:10" x14ac:dyDescent="0.25">
      <c r="A7256" s="5" t="s">
        <v>7290</v>
      </c>
      <c r="B7256" s="5" t="s">
        <v>9123</v>
      </c>
      <c r="C7256" s="6" t="str">
        <f>_xll.QS.CONTEXT.CREATE("market.7254",A7256,"USD","SOFR")</f>
        <v>QSObject:PricingContext:w1~market.7254:5571</v>
      </c>
      <c r="D7256" s="6" t="str">
        <f>_xll.QS.CONTEXT.ADD.CURVE(C7256,"SOFR",$K$2:$K$7,$L$2:$L$7,,,"Actual360","LogLinear",TRUE)</f>
        <v>QSObject:ContextInput:w1~input.qs_context_add_curve.2359132437744.7255.3.0:33228</v>
      </c>
      <c r="E7256" s="6" t="str">
        <f>_xll.QS.INSTRUMENT.SWAP("swap.7254",H7256,B7256,"USD","SOFR",I7256,J7256,0,"Actual360","Simple","Annual","Annual","Annual")</f>
        <v>QSObject:Swap:w1~swap.7254:5570</v>
      </c>
      <c r="F7256" s="6" t="str">
        <f>_xll.QS.TRADE.CREATE("trade.7254",E7256,A7256,"Receive")</f>
        <v>QSObject:SwapTrade:w1~trade.7254:24501</v>
      </c>
      <c r="G7256" s="3">
        <f>_xll.QS.EVALUATE(C7256,F7256)</f>
        <v>26965.213155870457</v>
      </c>
      <c r="H7256" s="5" t="s">
        <v>7297</v>
      </c>
      <c r="I7256" s="7">
        <v>1725400</v>
      </c>
      <c r="J7256" s="8">
        <v>3.5400000000000001E-2</v>
      </c>
    </row>
    <row r="7257" spans="1:10" x14ac:dyDescent="0.25">
      <c r="A7257" s="5" t="s">
        <v>7291</v>
      </c>
      <c r="B7257" s="5" t="s">
        <v>9124</v>
      </c>
      <c r="C7257" s="6" t="str">
        <f>_xll.QS.CONTEXT.CREATE("market.7255",A7257,"USD","SOFR")</f>
        <v>QSObject:PricingContext:w1~market.7255:5569</v>
      </c>
      <c r="D7257" s="6" t="str">
        <f>_xll.QS.CONTEXT.ADD.CURVE(C7257,"SOFR",$K$2:$K$7,$L$2:$L$7,,,"Actual360","LogLinear",TRUE)</f>
        <v>QSObject:ContextInput:w1~input.qs_context_add_curve.2359132437744.7256.3.0:33227</v>
      </c>
      <c r="E7257" s="6" t="str">
        <f>_xll.QS.INSTRUMENT.SWAP("swap.7255",H7257,B7257,"USD","SOFR",I7257,J7257,0,"Actual360","Simple","Annual","Annual","Annual")</f>
        <v>QSObject:Swap:w1~swap.7255:5568</v>
      </c>
      <c r="F7257" s="6" t="str">
        <f>_xll.QS.TRADE.CREATE("trade.7255",E7257,A7257,"Receive")</f>
        <v>QSObject:SwapTrade:w1~trade.7255:24500</v>
      </c>
      <c r="G7257" s="3">
        <f>_xll.QS.EVALUATE(C7257,F7257)</f>
        <v>27837.668482447618</v>
      </c>
      <c r="H7257" s="5" t="s">
        <v>7298</v>
      </c>
      <c r="I7257" s="7">
        <v>1725500</v>
      </c>
      <c r="J7257" s="8">
        <v>3.5499999999999997E-2</v>
      </c>
    </row>
    <row r="7258" spans="1:10" x14ac:dyDescent="0.25">
      <c r="A7258" s="5" t="s">
        <v>7292</v>
      </c>
      <c r="B7258" s="5" t="s">
        <v>9125</v>
      </c>
      <c r="C7258" s="6" t="str">
        <f>_xll.QS.CONTEXT.CREATE("market.7256",A7258,"USD","SOFR")</f>
        <v>QSObject:PricingContext:w1~market.7256:5567</v>
      </c>
      <c r="D7258" s="6" t="str">
        <f>_xll.QS.CONTEXT.ADD.CURVE(C7258,"SOFR",$K$2:$K$7,$L$2:$L$7,,,"Actual360","LogLinear",TRUE)</f>
        <v>QSObject:ContextInput:w1~input.qs_context_add_curve.2359132437744.7257.3.0:33226</v>
      </c>
      <c r="E7258" s="6" t="str">
        <f>_xll.QS.INSTRUMENT.SWAP("swap.7256",H7258,B7258,"USD","SOFR",I7258,J7258,0,"Actual360","Simple","Annual","Annual","Annual")</f>
        <v>QSObject:Swap:w1~swap.7256:5566</v>
      </c>
      <c r="F7258" s="6" t="str">
        <f>_xll.QS.TRADE.CREATE("trade.7256",E7258,A7258,"Receive")</f>
        <v>QSObject:SwapTrade:w1~trade.7256:24499</v>
      </c>
      <c r="G7258" s="3">
        <f>_xll.QS.EVALUATE(C7258,F7258)</f>
        <v>28568.829411160332</v>
      </c>
      <c r="H7258" s="5" t="s">
        <v>7299</v>
      </c>
      <c r="I7258" s="7">
        <v>1725600</v>
      </c>
      <c r="J7258" s="8">
        <v>3.5600000000000007E-2</v>
      </c>
    </row>
    <row r="7259" spans="1:10" x14ac:dyDescent="0.25">
      <c r="A7259" s="5" t="s">
        <v>7293</v>
      </c>
      <c r="B7259" s="5" t="s">
        <v>9126</v>
      </c>
      <c r="C7259" s="6" t="str">
        <f>_xll.QS.CONTEXT.CREATE("market.7257",A7259,"USD","SOFR")</f>
        <v>QSObject:PricingContext:w1~market.7257:5565</v>
      </c>
      <c r="D7259" s="6" t="str">
        <f>_xll.QS.CONTEXT.ADD.CURVE(C7259,"SOFR",$K$2:$K$7,$L$2:$L$7,,,"Actual360","LogLinear",TRUE)</f>
        <v>QSObject:ContextInput:w1~input.qs_context_add_curve.2359132437744.7258.3.0:33225</v>
      </c>
      <c r="E7259" s="6" t="str">
        <f>_xll.QS.INSTRUMENT.SWAP("swap.7257",H7259,B7259,"USD","SOFR",I7259,J7259,0,"Actual360","Simple","Annual","Annual","Annual")</f>
        <v>QSObject:Swap:w1~swap.7257:5564</v>
      </c>
      <c r="F7259" s="6" t="str">
        <f>_xll.QS.TRADE.CREATE("trade.7257",E7259,A7259,"Receive")</f>
        <v>QSObject:SwapTrade:w1~trade.7257:24498</v>
      </c>
      <c r="G7259" s="3">
        <f>_xll.QS.EVALUATE(C7259,F7259)</f>
        <v>29258.946449316471</v>
      </c>
      <c r="H7259" s="5" t="s">
        <v>7300</v>
      </c>
      <c r="I7259" s="7">
        <v>1725700</v>
      </c>
      <c r="J7259" s="8">
        <v>3.5700000000000003E-2</v>
      </c>
    </row>
    <row r="7260" spans="1:10" x14ac:dyDescent="0.25">
      <c r="A7260" s="5" t="s">
        <v>7294</v>
      </c>
      <c r="B7260" s="5" t="s">
        <v>9127</v>
      </c>
      <c r="C7260" s="6" t="str">
        <f>_xll.QS.CONTEXT.CREATE("market.7258",A7260,"USD","SOFR")</f>
        <v>QSObject:PricingContext:w1~market.7258:5563</v>
      </c>
      <c r="D7260" s="6" t="str">
        <f>_xll.QS.CONTEXT.ADD.CURVE(C7260,"SOFR",$K$2:$K$7,$L$2:$L$7,,,"Actual360","LogLinear",TRUE)</f>
        <v>QSObject:ContextInput:w1~input.qs_context_add_curve.2359132437744.7259.3.0:33224</v>
      </c>
      <c r="E7260" s="6" t="str">
        <f>_xll.QS.INSTRUMENT.SWAP("swap.7258",H7260,B7260,"USD","SOFR",I7260,J7260,0,"Actual360","Simple","Annual","Annual","Annual")</f>
        <v>QSObject:Swap:w1~swap.7258:5562</v>
      </c>
      <c r="F7260" s="6" t="str">
        <f>_xll.QS.TRADE.CREATE("trade.7258",E7260,A7260,"Receive")</f>
        <v>QSObject:SwapTrade:w1~trade.7258:24497</v>
      </c>
      <c r="G7260" s="3">
        <f>_xll.QS.EVALUATE(C7260,F7260)</f>
        <v>29906.145331803978</v>
      </c>
      <c r="H7260" s="5" t="s">
        <v>7301</v>
      </c>
      <c r="I7260" s="7">
        <v>1725800</v>
      </c>
      <c r="J7260" s="8">
        <v>3.5800000000000012E-2</v>
      </c>
    </row>
    <row r="7261" spans="1:10" x14ac:dyDescent="0.25">
      <c r="A7261" s="5" t="s">
        <v>7295</v>
      </c>
      <c r="B7261" s="5" t="s">
        <v>9128</v>
      </c>
      <c r="C7261" s="6" t="str">
        <f>_xll.QS.CONTEXT.CREATE("market.7259",A7261,"USD","SOFR")</f>
        <v>QSObject:PricingContext:w1~market.7259:5561</v>
      </c>
      <c r="D7261" s="6" t="str">
        <f>_xll.QS.CONTEXT.ADD.CURVE(C7261,"SOFR",$K$2:$K$7,$L$2:$L$7,,,"Actual360","LogLinear",TRUE)</f>
        <v>QSObject:ContextInput:w1~input.qs_context_add_curve.2359132437744.7260.3.0:33223</v>
      </c>
      <c r="E7261" s="6" t="str">
        <f>_xll.QS.INSTRUMENT.SWAP("swap.7259",H7261,B7261,"USD","SOFR",I7261,J7261,0,"Actual360","Simple","Annual","Annual","Annual")</f>
        <v>QSObject:Swap:w1~swap.7259:5560</v>
      </c>
      <c r="F7261" s="6" t="str">
        <f>_xll.QS.TRADE.CREATE("trade.7259",E7261,A7261,"Receive")</f>
        <v>QSObject:SwapTrade:w1~trade.7259:24496</v>
      </c>
      <c r="G7261" s="3">
        <f>_xll.QS.EVALUATE(C7261,F7261)</f>
        <v>30775.432015495891</v>
      </c>
      <c r="H7261" s="5" t="s">
        <v>7302</v>
      </c>
      <c r="I7261" s="7">
        <v>1725900</v>
      </c>
      <c r="J7261" s="8">
        <v>3.5900000000000001E-2</v>
      </c>
    </row>
    <row r="7262" spans="1:10" x14ac:dyDescent="0.25">
      <c r="A7262" s="5" t="s">
        <v>7296</v>
      </c>
      <c r="B7262" s="5" t="s">
        <v>9129</v>
      </c>
      <c r="C7262" s="6" t="str">
        <f>_xll.QS.CONTEXT.CREATE("market.7260",A7262,"USD","SOFR")</f>
        <v>QSObject:PricingContext:w1~market.7260:5559</v>
      </c>
      <c r="D7262" s="6" t="str">
        <f>_xll.QS.CONTEXT.ADD.CURVE(C7262,"SOFR",$K$2:$K$7,$L$2:$L$7,,,"Actual360","LogLinear",TRUE)</f>
        <v>QSObject:ContextInput:w1~input.qs_context_add_curve.2359132437744.7261.3.0:33222</v>
      </c>
      <c r="E7262" s="6" t="str">
        <f>_xll.QS.INSTRUMENT.SWAP("swap.7260",H7262,B7262,"USD","SOFR",I7262,J7262,0,"Actual360","Simple","Annual","Annual","Annual")</f>
        <v>QSObject:Swap:w1~swap.7260:5558</v>
      </c>
      <c r="F7262" s="6" t="str">
        <f>_xll.QS.TRADE.CREATE("trade.7260",E7262,A7262,"Receive")</f>
        <v>QSObject:SwapTrade:w1~trade.7260:24495</v>
      </c>
      <c r="G7262" s="3">
        <f>_xll.QS.EVALUATE(C7262,F7262)</f>
        <v>31623.848097752139</v>
      </c>
      <c r="H7262" s="5" t="s">
        <v>7303</v>
      </c>
      <c r="I7262" s="7">
        <v>1726000</v>
      </c>
      <c r="J7262" s="8">
        <v>3.5999999999999997E-2</v>
      </c>
    </row>
    <row r="7263" spans="1:10" x14ac:dyDescent="0.25">
      <c r="A7263" s="5" t="s">
        <v>7297</v>
      </c>
      <c r="B7263" s="5" t="s">
        <v>9130</v>
      </c>
      <c r="C7263" s="6" t="str">
        <f>_xll.QS.CONTEXT.CREATE("market.7261",A7263,"USD","SOFR")</f>
        <v>QSObject:PricingContext:w1~market.7261:5557</v>
      </c>
      <c r="D7263" s="6" t="str">
        <f>_xll.QS.CONTEXT.ADD.CURVE(C7263,"SOFR",$K$2:$K$7,$L$2:$L$7,,,"Actual360","LogLinear",TRUE)</f>
        <v>QSObject:ContextInput:w1~input.qs_context_add_curve.2359132437744.7262.3.0:33221</v>
      </c>
      <c r="E7263" s="6" t="str">
        <f>_xll.QS.INSTRUMENT.SWAP("swap.7261",H7263,B7263,"USD","SOFR",I7263,J7263,0,"Actual360","Simple","Annual","Annual","Annual")</f>
        <v>QSObject:Swap:w1~swap.7261:5556</v>
      </c>
      <c r="F7263" s="6" t="str">
        <f>_xll.QS.TRADE.CREATE("trade.7261",E7263,A7263,"Receive")</f>
        <v>QSObject:SwapTrade:w1~trade.7261:24494</v>
      </c>
      <c r="G7263" s="3">
        <f>_xll.QS.EVALUATE(C7263,F7263)</f>
        <v>32547.849242165474</v>
      </c>
      <c r="H7263" s="5" t="s">
        <v>7304</v>
      </c>
      <c r="I7263" s="7">
        <v>1726100</v>
      </c>
      <c r="J7263" s="8">
        <v>3.61E-2</v>
      </c>
    </row>
    <row r="7264" spans="1:10" x14ac:dyDescent="0.25">
      <c r="A7264" s="5" t="s">
        <v>7298</v>
      </c>
      <c r="B7264" s="5" t="s">
        <v>9131</v>
      </c>
      <c r="C7264" s="6" t="str">
        <f>_xll.QS.CONTEXT.CREATE("market.7262",A7264,"USD","SOFR")</f>
        <v>QSObject:PricingContext:w1~market.7262:5555</v>
      </c>
      <c r="D7264" s="6" t="str">
        <f>_xll.QS.CONTEXT.ADD.CURVE(C7264,"SOFR",$K$2:$K$7,$L$2:$L$7,,,"Actual360","LogLinear",TRUE)</f>
        <v>QSObject:ContextInput:w1~input.qs_context_add_curve.2359132437744.7263.3.0:33220</v>
      </c>
      <c r="E7264" s="6" t="str">
        <f>_xll.QS.INSTRUMENT.SWAP("swap.7262",H7264,B7264,"USD","SOFR",I7264,J7264,0,"Actual360","Simple","Annual","Annual","Annual")</f>
        <v>QSObject:Swap:w1~swap.7262:5554</v>
      </c>
      <c r="F7264" s="6" t="str">
        <f>_xll.QS.TRADE.CREATE("trade.7262",E7264,A7264,"Receive")</f>
        <v>QSObject:SwapTrade:w1~trade.7262:24493</v>
      </c>
      <c r="G7264" s="3">
        <f>_xll.QS.EVALUATE(C7264,F7264)</f>
        <v>33398.707360000139</v>
      </c>
      <c r="H7264" s="5" t="s">
        <v>7305</v>
      </c>
      <c r="I7264" s="7">
        <v>1726200</v>
      </c>
      <c r="J7264" s="8">
        <v>3.6200000000000003E-2</v>
      </c>
    </row>
    <row r="7265" spans="1:10" x14ac:dyDescent="0.25">
      <c r="A7265" s="5" t="s">
        <v>7299</v>
      </c>
      <c r="B7265" s="5" t="s">
        <v>9132</v>
      </c>
      <c r="C7265" s="6" t="str">
        <f>_xll.QS.CONTEXT.CREATE("market.7263",A7265,"USD","SOFR")</f>
        <v>QSObject:PricingContext:w1~market.7263:5553</v>
      </c>
      <c r="D7265" s="6" t="str">
        <f>_xll.QS.CONTEXT.ADD.CURVE(C7265,"SOFR",$K$2:$K$7,$L$2:$L$7,,,"Actual360","LogLinear",TRUE)</f>
        <v>QSObject:ContextInput:w1~input.qs_context_add_curve.2359132437744.7264.3.0:33219</v>
      </c>
      <c r="E7265" s="6" t="str">
        <f>_xll.QS.INSTRUMENT.SWAP("swap.7263",H7265,B7265,"USD","SOFR",I7265,J7265,0,"Actual360","Simple","Annual","Annual","Annual")</f>
        <v>QSObject:Swap:w1~swap.7263:5552</v>
      </c>
      <c r="F7265" s="6" t="str">
        <f>_xll.QS.TRADE.CREATE("trade.7263",E7265,A7265,"Receive")</f>
        <v>QSObject:SwapTrade:w1~trade.7263:24492</v>
      </c>
      <c r="G7265" s="3">
        <f>_xll.QS.EVALUATE(C7265,F7265)</f>
        <v>34105.941769372039</v>
      </c>
      <c r="H7265" s="5" t="s">
        <v>7306</v>
      </c>
      <c r="I7265" s="7">
        <v>1726300</v>
      </c>
      <c r="J7265" s="8">
        <v>3.6300000000000013E-2</v>
      </c>
    </row>
    <row r="7266" spans="1:10" x14ac:dyDescent="0.25">
      <c r="A7266" s="5" t="s">
        <v>7300</v>
      </c>
      <c r="B7266" s="5" t="s">
        <v>9133</v>
      </c>
      <c r="C7266" s="6" t="str">
        <f>_xll.QS.CONTEXT.CREATE("market.7264",A7266,"USD","SOFR")</f>
        <v>QSObject:PricingContext:w1~market.7264:5551</v>
      </c>
      <c r="D7266" s="6" t="str">
        <f>_xll.QS.CONTEXT.ADD.CURVE(C7266,"SOFR",$K$2:$K$7,$L$2:$L$7,,,"Actual360","LogLinear",TRUE)</f>
        <v>QSObject:ContextInput:w1~input.qs_context_add_curve.2359132437744.7265.3.0:33218</v>
      </c>
      <c r="E7266" s="6" t="str">
        <f>_xll.QS.INSTRUMENT.SWAP("swap.7264",H7266,B7266,"USD","SOFR",I7266,J7266,0,"Actual360","Simple","Annual","Annual","Annual")</f>
        <v>QSObject:Swap:w1~swap.7264:5550</v>
      </c>
      <c r="F7266" s="6" t="str">
        <f>_xll.QS.TRADE.CREATE("trade.7264",E7266,A7266,"Receive")</f>
        <v>QSObject:SwapTrade:w1~trade.7264:24491</v>
      </c>
      <c r="G7266" s="3">
        <f>_xll.QS.EVALUATE(C7266,F7266)</f>
        <v>34838.626550451656</v>
      </c>
      <c r="H7266" s="5" t="s">
        <v>7307</v>
      </c>
      <c r="I7266" s="7">
        <v>1726400</v>
      </c>
      <c r="J7266" s="8">
        <v>3.6400000000000002E-2</v>
      </c>
    </row>
    <row r="7267" spans="1:10" x14ac:dyDescent="0.25">
      <c r="A7267" s="5" t="s">
        <v>7301</v>
      </c>
      <c r="B7267" s="5" t="s">
        <v>9134</v>
      </c>
      <c r="C7267" s="6" t="str">
        <f>_xll.QS.CONTEXT.CREATE("market.7265",A7267,"USD","SOFR")</f>
        <v>QSObject:PricingContext:w1~market.7265:5549</v>
      </c>
      <c r="D7267" s="6" t="str">
        <f>_xll.QS.CONTEXT.ADD.CURVE(C7267,"SOFR",$K$2:$K$7,$L$2:$L$7,,,"Actual360","LogLinear",TRUE)</f>
        <v>QSObject:ContextInput:w1~input.qs_context_add_curve.2359132437744.7266.3.0:33217</v>
      </c>
      <c r="E7267" s="6" t="str">
        <f>_xll.QS.INSTRUMENT.SWAP("swap.7265",H7267,B7267,"USD","SOFR",I7267,J7267,0,"Actual360","Simple","Annual","Annual","Annual")</f>
        <v>QSObject:Swap:w1~swap.7265:5548</v>
      </c>
      <c r="F7267" s="6" t="str">
        <f>_xll.QS.TRADE.CREATE("trade.7265",E7267,A7267,"Receive")</f>
        <v>QSObject:SwapTrade:w1~trade.7265:24490</v>
      </c>
      <c r="G7267" s="3">
        <f>_xll.QS.EVALUATE(C7267,F7267)</f>
        <v>35638.569261486758</v>
      </c>
      <c r="H7267" s="5" t="s">
        <v>7308</v>
      </c>
      <c r="I7267" s="7">
        <v>1726500</v>
      </c>
      <c r="J7267" s="8">
        <v>3.6499999999999998E-2</v>
      </c>
    </row>
    <row r="7268" spans="1:10" x14ac:dyDescent="0.25">
      <c r="A7268" s="5" t="s">
        <v>7302</v>
      </c>
      <c r="B7268" s="5" t="s">
        <v>9135</v>
      </c>
      <c r="C7268" s="6" t="str">
        <f>_xll.QS.CONTEXT.CREATE("market.7266",A7268,"USD","SOFR")</f>
        <v>QSObject:PricingContext:w1~market.7266:5547</v>
      </c>
      <c r="D7268" s="6" t="str">
        <f>_xll.QS.CONTEXT.ADD.CURVE(C7268,"SOFR",$K$2:$K$7,$L$2:$L$7,,,"Actual360","LogLinear",TRUE)</f>
        <v>QSObject:ContextInput:w1~input.qs_context_add_curve.2359132437744.7267.3.0:33216</v>
      </c>
      <c r="E7268" s="6" t="str">
        <f>_xll.QS.INSTRUMENT.SWAP("swap.7266",H7268,B7268,"USD","SOFR",I7268,J7268,0,"Actual360","Simple","Annual","Annual","Annual")</f>
        <v>QSObject:Swap:w1~swap.7266:5546</v>
      </c>
      <c r="F7268" s="6" t="str">
        <f>_xll.QS.TRADE.CREATE("trade.7266",E7268,A7268,"Receive")</f>
        <v>QSObject:SwapTrade:w1~trade.7266:24489</v>
      </c>
      <c r="G7268" s="3">
        <f>_xll.QS.EVALUATE(C7268,F7268)</f>
        <v>36570.209103265654</v>
      </c>
      <c r="H7268" s="5" t="s">
        <v>7309</v>
      </c>
      <c r="I7268" s="7">
        <v>1726600</v>
      </c>
      <c r="J7268" s="8">
        <v>3.6600000000000001E-2</v>
      </c>
    </row>
    <row r="7269" spans="1:10" x14ac:dyDescent="0.25">
      <c r="A7269" s="5" t="s">
        <v>7303</v>
      </c>
      <c r="B7269" s="5" t="s">
        <v>9136</v>
      </c>
      <c r="C7269" s="6" t="str">
        <f>_xll.QS.CONTEXT.CREATE("market.7267",A7269,"USD","SOFR")</f>
        <v>QSObject:PricingContext:w1~market.7267:5545</v>
      </c>
      <c r="D7269" s="6" t="str">
        <f>_xll.QS.CONTEXT.ADD.CURVE(C7269,"SOFR",$K$2:$K$7,$L$2:$L$7,,,"Actual360","LogLinear",TRUE)</f>
        <v>QSObject:ContextInput:w1~input.qs_context_add_curve.2359132437744.7268.3.0:33215</v>
      </c>
      <c r="E7269" s="6" t="str">
        <f>_xll.QS.INSTRUMENT.SWAP("swap.7267",H7269,B7269,"USD","SOFR",I7269,J7269,0,"Actual360","Simple","Annual","Annual","Annual")</f>
        <v>QSObject:Swap:w1~swap.7267:5544</v>
      </c>
      <c r="F7269" s="6" t="str">
        <f>_xll.QS.TRADE.CREATE("trade.7267",E7269,A7269,"Receive")</f>
        <v>QSObject:SwapTrade:w1~trade.7267:24488</v>
      </c>
      <c r="G7269" s="3">
        <f>_xll.QS.EVALUATE(C7269,F7269)</f>
        <v>37407.26054314724</v>
      </c>
      <c r="H7269" s="5" t="s">
        <v>7310</v>
      </c>
      <c r="I7269" s="7">
        <v>1726700</v>
      </c>
      <c r="J7269" s="8">
        <v>3.6700000000000003E-2</v>
      </c>
    </row>
    <row r="7270" spans="1:10" x14ac:dyDescent="0.25">
      <c r="A7270" s="5" t="s">
        <v>7304</v>
      </c>
      <c r="B7270" s="5" t="s">
        <v>9137</v>
      </c>
      <c r="C7270" s="6" t="str">
        <f>_xll.QS.CONTEXT.CREATE("market.7268",A7270,"USD","SOFR")</f>
        <v>QSObject:PricingContext:w1~market.7268:5543</v>
      </c>
      <c r="D7270" s="6" t="str">
        <f>_xll.QS.CONTEXT.ADD.CURVE(C7270,"SOFR",$K$2:$K$7,$L$2:$L$7,,,"Actual360","LogLinear",TRUE)</f>
        <v>QSObject:ContextInput:w1~input.qs_context_add_curve.2359132437744.7269.3.0:33214</v>
      </c>
      <c r="E7270" s="6" t="str">
        <f>_xll.QS.INSTRUMENT.SWAP("swap.7268",H7270,B7270,"USD","SOFR",I7270,J7270,0,"Actual360","Simple","Annual","Annual","Annual")</f>
        <v>QSObject:Swap:w1~swap.7268:5542</v>
      </c>
      <c r="F7270" s="6" t="str">
        <f>_xll.QS.TRADE.CREATE("trade.7268",E7270,A7270,"Receive")</f>
        <v>QSObject:SwapTrade:w1~trade.7268:24487</v>
      </c>
      <c r="G7270" s="3">
        <f>_xll.QS.EVALUATE(C7270,F7270)</f>
        <v>38209.023305405244</v>
      </c>
      <c r="H7270" s="5" t="s">
        <v>7311</v>
      </c>
      <c r="I7270" s="7">
        <v>1726800</v>
      </c>
      <c r="J7270" s="8">
        <v>3.6800000000000013E-2</v>
      </c>
    </row>
    <row r="7271" spans="1:10" x14ac:dyDescent="0.25">
      <c r="A7271" s="5" t="s">
        <v>7305</v>
      </c>
      <c r="B7271" s="5" t="s">
        <v>9138</v>
      </c>
      <c r="C7271" s="6" t="str">
        <f>_xll.QS.CONTEXT.CREATE("market.7269",A7271,"USD","SOFR")</f>
        <v>QSObject:PricingContext:w1~market.7269:5541</v>
      </c>
      <c r="D7271" s="6" t="str">
        <f>_xll.QS.CONTEXT.ADD.CURVE(C7271,"SOFR",$K$2:$K$7,$L$2:$L$7,,,"Actual360","LogLinear",TRUE)</f>
        <v>QSObject:ContextInput:w1~input.qs_context_add_curve.2359132437744.7270.3.0:33213</v>
      </c>
      <c r="E7271" s="6" t="str">
        <f>_xll.QS.INSTRUMENT.SWAP("swap.7269",H7271,B7271,"USD","SOFR",I7271,J7271,0,"Actual360","Simple","Annual","Annual","Annual")</f>
        <v>QSObject:Swap:w1~swap.7269:5540</v>
      </c>
      <c r="F7271" s="6" t="str">
        <f>_xll.QS.TRADE.CREATE("trade.7269",E7271,A7271,"Receive")</f>
        <v>QSObject:SwapTrade:w1~trade.7269:24486</v>
      </c>
      <c r="G7271" s="3">
        <f>_xll.QS.EVALUATE(C7271,F7271)</f>
        <v>38938.971407233563</v>
      </c>
      <c r="H7271" s="5" t="s">
        <v>7312</v>
      </c>
      <c r="I7271" s="7">
        <v>1726900</v>
      </c>
      <c r="J7271" s="8">
        <v>3.6900000000000002E-2</v>
      </c>
    </row>
    <row r="7272" spans="1:10" x14ac:dyDescent="0.25">
      <c r="A7272" s="5" t="s">
        <v>7306</v>
      </c>
      <c r="B7272" s="5" t="s">
        <v>9139</v>
      </c>
      <c r="C7272" s="6" t="str">
        <f>_xll.QS.CONTEXT.CREATE("market.7270",A7272,"USD","SOFR")</f>
        <v>QSObject:PricingContext:w1~market.7270:5539</v>
      </c>
      <c r="D7272" s="6" t="str">
        <f>_xll.QS.CONTEXT.ADD.CURVE(C7272,"SOFR",$K$2:$K$7,$L$2:$L$7,,,"Actual360","LogLinear",TRUE)</f>
        <v>QSObject:ContextInput:w1~input.qs_context_add_curve.2359132437744.7271.3.0:33212</v>
      </c>
      <c r="E7272" s="6" t="str">
        <f>_xll.QS.INSTRUMENT.SWAP("swap.7270",H7272,B7272,"USD","SOFR",I7272,J7272,0,"Actual360","Simple","Annual","Annual","Annual")</f>
        <v>QSObject:Swap:w1~swap.7270:5538</v>
      </c>
      <c r="F7272" s="6" t="str">
        <f>_xll.QS.TRADE.CREATE("trade.7270",E7272,A7272,"Receive")</f>
        <v>QSObject:SwapTrade:w1~trade.7270:24485</v>
      </c>
      <c r="G7272" s="3">
        <f>_xll.QS.EVALUATE(C7272,F7272)</f>
        <v>39741.428530799712</v>
      </c>
      <c r="H7272" s="5" t="s">
        <v>7313</v>
      </c>
      <c r="I7272" s="7">
        <v>1727000</v>
      </c>
      <c r="J7272" s="8">
        <v>3.7000000000000012E-2</v>
      </c>
    </row>
    <row r="7273" spans="1:10" x14ac:dyDescent="0.25">
      <c r="A7273" s="5" t="s">
        <v>7307</v>
      </c>
      <c r="B7273" s="5" t="s">
        <v>9140</v>
      </c>
      <c r="C7273" s="6" t="str">
        <f>_xll.QS.CONTEXT.CREATE("market.7271",A7273,"USD","SOFR")</f>
        <v>QSObject:PricingContext:w1~market.7271:5537</v>
      </c>
      <c r="D7273" s="6" t="str">
        <f>_xll.QS.CONTEXT.ADD.CURVE(C7273,"SOFR",$K$2:$K$7,$L$2:$L$7,,,"Actual360","LogLinear",TRUE)</f>
        <v>QSObject:ContextInput:w1~input.qs_context_add_curve.2359132437744.7272.3.0:33211</v>
      </c>
      <c r="E7273" s="6" t="str">
        <f>_xll.QS.INSTRUMENT.SWAP("swap.7271",H7273,B7273,"USD","SOFR",I7273,J7273,0,"Actual360","Simple","Annual","Annual","Annual")</f>
        <v>QSObject:Swap:w1~swap.7271:5536</v>
      </c>
      <c r="F7273" s="6" t="str">
        <f>_xll.QS.TRADE.CREATE("trade.7271",E7273,A7273,"Receive")</f>
        <v>QSObject:SwapTrade:w1~trade.7271:24484</v>
      </c>
      <c r="G7273" s="3">
        <f>_xll.QS.EVALUATE(C7273,F7273)</f>
        <v>40419.617873081093</v>
      </c>
      <c r="H7273" s="5" t="s">
        <v>7314</v>
      </c>
      <c r="I7273" s="7">
        <v>1727100</v>
      </c>
      <c r="J7273" s="8">
        <v>3.7100000000000001E-2</v>
      </c>
    </row>
    <row r="7274" spans="1:10" x14ac:dyDescent="0.25">
      <c r="A7274" s="5" t="s">
        <v>7308</v>
      </c>
      <c r="B7274" s="5" t="s">
        <v>9141</v>
      </c>
      <c r="C7274" s="6" t="str">
        <f>_xll.QS.CONTEXT.CREATE("market.7272",A7274,"USD","SOFR")</f>
        <v>QSObject:PricingContext:w1~market.7272:5535</v>
      </c>
      <c r="D7274" s="6" t="str">
        <f>_xll.QS.CONTEXT.ADD.CURVE(C7274,"SOFR",$K$2:$K$7,$L$2:$L$7,,,"Actual360","LogLinear",TRUE)</f>
        <v>QSObject:ContextInput:w1~input.qs_context_add_curve.2359132437744.7273.3.0:33210</v>
      </c>
      <c r="E7274" s="6" t="str">
        <f>_xll.QS.INSTRUMENT.SWAP("swap.7272",H7274,B7274,"USD","SOFR",I7274,J7274,0,"Actual360","Simple","Annual","Annual","Annual")</f>
        <v>QSObject:Swap:w1~swap.7272:5534</v>
      </c>
      <c r="F7274" s="6" t="str">
        <f>_xll.QS.TRADE.CREATE("trade.7272",E7274,A7274,"Receive")</f>
        <v>QSObject:SwapTrade:w1~trade.7272:24483</v>
      </c>
      <c r="G7274" s="3">
        <f>_xll.QS.EVALUATE(C7274,F7274)</f>
        <v>41085.375546893934</v>
      </c>
      <c r="H7274" s="5" t="s">
        <v>7315</v>
      </c>
      <c r="I7274" s="7">
        <v>1727200</v>
      </c>
      <c r="J7274" s="8">
        <v>3.7199999999999997E-2</v>
      </c>
    </row>
    <row r="7275" spans="1:10" x14ac:dyDescent="0.25">
      <c r="A7275" s="5" t="s">
        <v>7309</v>
      </c>
      <c r="B7275" s="5" t="s">
        <v>9142</v>
      </c>
      <c r="C7275" s="6" t="str">
        <f>_xll.QS.CONTEXT.CREATE("market.7273",A7275,"USD","SOFR")</f>
        <v>QSObject:PricingContext:w1~market.7273:5533</v>
      </c>
      <c r="D7275" s="6" t="str">
        <f>_xll.QS.CONTEXT.ADD.CURVE(C7275,"SOFR",$K$2:$K$7,$L$2:$L$7,,,"Actual360","LogLinear",TRUE)</f>
        <v>QSObject:ContextInput:w1~input.qs_context_add_curve.2359132437744.7274.3.0:33209</v>
      </c>
      <c r="E7275" s="6" t="str">
        <f>_xll.QS.INSTRUMENT.SWAP("swap.7273",H7275,B7275,"USD","SOFR",I7275,J7275,0,"Actual360","Simple","Annual","Annual","Annual")</f>
        <v>QSObject:Swap:w1~swap.7273:5532</v>
      </c>
      <c r="F7275" s="6" t="str">
        <f>_xll.QS.TRADE.CREATE("trade.7273",E7275,A7275,"Receive")</f>
        <v>QSObject:SwapTrade:w1~trade.7273:24482</v>
      </c>
      <c r="G7275" s="3">
        <f>_xll.QS.EVALUATE(C7275,F7275)</f>
        <v>41956.987613908866</v>
      </c>
      <c r="H7275" s="5" t="s">
        <v>7316</v>
      </c>
      <c r="I7275" s="7">
        <v>1727300</v>
      </c>
      <c r="J7275" s="8">
        <v>3.73E-2</v>
      </c>
    </row>
    <row r="7276" spans="1:10" x14ac:dyDescent="0.25">
      <c r="A7276" s="5" t="s">
        <v>7310</v>
      </c>
      <c r="B7276" s="5" t="s">
        <v>9143</v>
      </c>
      <c r="C7276" s="6" t="str">
        <f>_xll.QS.CONTEXT.CREATE("market.7274",A7276,"USD","SOFR")</f>
        <v>QSObject:PricingContext:w1~market.7274:5531</v>
      </c>
      <c r="D7276" s="6" t="str">
        <f>_xll.QS.CONTEXT.ADD.CURVE(C7276,"SOFR",$K$2:$K$7,$L$2:$L$7,,,"Actual360","LogLinear",TRUE)</f>
        <v>QSObject:ContextInput:w1~input.qs_context_add_curve.2359132437744.7275.3.0:33208</v>
      </c>
      <c r="E7276" s="6" t="str">
        <f>_xll.QS.INSTRUMENT.SWAP("swap.7274",H7276,B7276,"USD","SOFR",I7276,J7276,0,"Actual360","Simple","Annual","Annual","Annual")</f>
        <v>QSObject:Swap:w1~swap.7274:5530</v>
      </c>
      <c r="F7276" s="6" t="str">
        <f>_xll.QS.TRADE.CREATE("trade.7274",E7276,A7276,"Receive")</f>
        <v>QSObject:SwapTrade:w1~trade.7274:24481</v>
      </c>
      <c r="G7276" s="3">
        <f>_xll.QS.EVALUATE(C7276,F7276)</f>
        <v>42801.372959427084</v>
      </c>
      <c r="H7276" s="5" t="s">
        <v>7317</v>
      </c>
      <c r="I7276" s="7">
        <v>1727400</v>
      </c>
      <c r="J7276" s="8">
        <v>3.7400000000000003E-2</v>
      </c>
    </row>
    <row r="7277" spans="1:10" x14ac:dyDescent="0.25">
      <c r="A7277" s="5" t="s">
        <v>7311</v>
      </c>
      <c r="B7277" s="5" t="s">
        <v>9144</v>
      </c>
      <c r="C7277" s="6" t="str">
        <f>_xll.QS.CONTEXT.CREATE("market.7275",A7277,"USD","SOFR")</f>
        <v>QSObject:PricingContext:w1~market.7275:5529</v>
      </c>
      <c r="D7277" s="6" t="str">
        <f>_xll.QS.CONTEXT.ADD.CURVE(C7277,"SOFR",$K$2:$K$7,$L$2:$L$7,,,"Actual360","LogLinear",TRUE)</f>
        <v>QSObject:ContextInput:w1~input.qs_context_add_curve.2359132437744.7276.3.0:33207</v>
      </c>
      <c r="E7277" s="6" t="str">
        <f>_xll.QS.INSTRUMENT.SWAP("swap.7275",H7277,B7277,"USD","SOFR",I7277,J7277,0,"Actual360","Simple","Annual","Annual","Annual")</f>
        <v>QSObject:Swap:w1~swap.7275:5528</v>
      </c>
      <c r="F7277" s="6" t="str">
        <f>_xll.QS.TRADE.CREATE("trade.7275",E7277,A7277,"Receive")</f>
        <v>QSObject:SwapTrade:w1~trade.7275:24480</v>
      </c>
      <c r="G7277" s="3">
        <f>_xll.QS.EVALUATE(C7277,F7277)</f>
        <v>43726.998241513589</v>
      </c>
      <c r="H7277" s="5" t="s">
        <v>7318</v>
      </c>
      <c r="I7277" s="7">
        <v>1727500</v>
      </c>
      <c r="J7277" s="8">
        <v>3.7500000000000012E-2</v>
      </c>
    </row>
    <row r="7278" spans="1:10" x14ac:dyDescent="0.25">
      <c r="A7278" s="5" t="s">
        <v>7312</v>
      </c>
      <c r="B7278" s="5" t="s">
        <v>9145</v>
      </c>
      <c r="C7278" s="6" t="str">
        <f>_xll.QS.CONTEXT.CREATE("market.7276",A7278,"USD","SOFR")</f>
        <v>QSObject:PricingContext:w1~market.7276:5527</v>
      </c>
      <c r="D7278" s="6" t="str">
        <f>_xll.QS.CONTEXT.ADD.CURVE(C7278,"SOFR",$K$2:$K$7,$L$2:$L$7,,,"Actual360","LogLinear",TRUE)</f>
        <v>QSObject:ContextInput:w1~input.qs_context_add_curve.2359132437744.7277.3.0:33206</v>
      </c>
      <c r="E7278" s="6" t="str">
        <f>_xll.QS.INSTRUMENT.SWAP("swap.7276",H7278,B7278,"USD","SOFR",I7278,J7278,0,"Actual360","Simple","Annual","Annual","Annual")</f>
        <v>QSObject:Swap:w1~swap.7276:5526</v>
      </c>
      <c r="F7278" s="6" t="str">
        <f>_xll.QS.TRADE.CREATE("trade.7276",E7278,A7278,"Receive")</f>
        <v>QSObject:SwapTrade:w1~trade.7276:24479</v>
      </c>
      <c r="G7278" s="3">
        <f>_xll.QS.EVALUATE(C7278,F7278)</f>
        <v>44601.6747911692</v>
      </c>
      <c r="H7278" s="5" t="s">
        <v>7319</v>
      </c>
      <c r="I7278" s="7">
        <v>1727600</v>
      </c>
      <c r="J7278" s="8">
        <v>3.7600000000000001E-2</v>
      </c>
    </row>
    <row r="7279" spans="1:10" x14ac:dyDescent="0.25">
      <c r="A7279" s="5" t="s">
        <v>7313</v>
      </c>
      <c r="B7279" s="5" t="s">
        <v>9146</v>
      </c>
      <c r="C7279" s="6" t="str">
        <f>_xll.QS.CONTEXT.CREATE("market.7277",A7279,"USD","SOFR")</f>
        <v>QSObject:PricingContext:w1~market.7277:5525</v>
      </c>
      <c r="D7279" s="6" t="str">
        <f>_xll.QS.CONTEXT.ADD.CURVE(C7279,"SOFR",$K$2:$K$7,$L$2:$L$7,,,"Actual360","LogLinear",TRUE)</f>
        <v>QSObject:ContextInput:w1~input.qs_context_add_curve.2359132437744.7278.3.0:33205</v>
      </c>
      <c r="E7279" s="6" t="str">
        <f>_xll.QS.INSTRUMENT.SWAP("swap.7277",H7279,B7279,"USD","SOFR",I7279,J7279,0,"Actual360","Simple","Annual","Annual","Annual")</f>
        <v>QSObject:Swap:w1~swap.7277:5524</v>
      </c>
      <c r="F7279" s="6" t="str">
        <f>_xll.QS.TRADE.CREATE("trade.7277",E7279,A7279,"Receive")</f>
        <v>QSObject:SwapTrade:w1~trade.7277:24478</v>
      </c>
      <c r="G7279" s="3">
        <f>_xll.QS.EVALUATE(C7279,F7279)</f>
        <v>45334.508158432094</v>
      </c>
      <c r="H7279" s="5" t="s">
        <v>7320</v>
      </c>
      <c r="I7279" s="7">
        <v>1727700</v>
      </c>
      <c r="J7279" s="8">
        <v>3.7699999999999997E-2</v>
      </c>
    </row>
    <row r="7280" spans="1:10" x14ac:dyDescent="0.25">
      <c r="A7280" s="5" t="s">
        <v>7314</v>
      </c>
      <c r="B7280" s="5" t="s">
        <v>9147</v>
      </c>
      <c r="C7280" s="6" t="str">
        <f>_xll.QS.CONTEXT.CREATE("market.7278",A7280,"USD","SOFR")</f>
        <v>QSObject:PricingContext:w1~market.7278:5523</v>
      </c>
      <c r="D7280" s="6" t="str">
        <f>_xll.QS.CONTEXT.ADD.CURVE(C7280,"SOFR",$K$2:$K$7,$L$2:$L$7,,,"Actual360","LogLinear",TRUE)</f>
        <v>QSObject:ContextInput:w1~input.qs_context_add_curve.2359132437744.7279.3.0:33204</v>
      </c>
      <c r="E7280" s="6" t="str">
        <f>_xll.QS.INSTRUMENT.SWAP("swap.7278",H7280,B7280,"USD","SOFR",I7280,J7280,0,"Actual360","Simple","Annual","Annual","Annual")</f>
        <v>QSObject:Swap:w1~swap.7278:5522</v>
      </c>
      <c r="F7280" s="6" t="str">
        <f>_xll.QS.TRADE.CREATE("trade.7278",E7280,A7280,"Receive")</f>
        <v>QSObject:SwapTrade:w1~trade.7278:24477</v>
      </c>
      <c r="G7280" s="3">
        <f>_xll.QS.EVALUATE(C7280,F7280)</f>
        <v>46006.726992721262</v>
      </c>
      <c r="H7280" s="5" t="s">
        <v>7321</v>
      </c>
      <c r="I7280" s="7">
        <v>1727800</v>
      </c>
      <c r="J7280" s="8">
        <v>3.78E-2</v>
      </c>
    </row>
    <row r="7281" spans="1:10" x14ac:dyDescent="0.25">
      <c r="A7281" s="5" t="s">
        <v>7315</v>
      </c>
      <c r="B7281" s="5" t="s">
        <v>9148</v>
      </c>
      <c r="C7281" s="6" t="str">
        <f>_xll.QS.CONTEXT.CREATE("market.7279",A7281,"USD","SOFR")</f>
        <v>QSObject:PricingContext:w1~market.7279:5521</v>
      </c>
      <c r="D7281" s="6" t="str">
        <f>_xll.QS.CONTEXT.ADD.CURVE(C7281,"SOFR",$K$2:$K$7,$L$2:$L$7,,,"Actual360","LogLinear",TRUE)</f>
        <v>QSObject:ContextInput:w1~input.qs_context_add_curve.2359132437744.7280.3.0:33203</v>
      </c>
      <c r="E7281" s="6" t="str">
        <f>_xll.QS.INSTRUMENT.SWAP("swap.7279",H7281,B7281,"USD","SOFR",I7281,J7281,0,"Actual360","Simple","Annual","Annual","Annual")</f>
        <v>QSObject:Swap:w1~swap.7279:5520</v>
      </c>
      <c r="F7281" s="6" t="str">
        <f>_xll.QS.TRADE.CREATE("trade.7279",E7281,A7281,"Receive")</f>
        <v>QSObject:SwapTrade:w1~trade.7279:24476</v>
      </c>
      <c r="G7281" s="3">
        <f>_xll.QS.EVALUATE(C7281,F7281)</f>
        <v>46681.725733683379</v>
      </c>
      <c r="H7281" s="5" t="s">
        <v>7322</v>
      </c>
      <c r="I7281" s="7">
        <v>1727900</v>
      </c>
      <c r="J7281" s="8">
        <v>3.7900000000000003E-2</v>
      </c>
    </row>
    <row r="7282" spans="1:10" x14ac:dyDescent="0.25">
      <c r="A7282" s="5" t="s">
        <v>7316</v>
      </c>
      <c r="B7282" s="5" t="s">
        <v>9149</v>
      </c>
      <c r="C7282" s="6" t="str">
        <f>_xll.QS.CONTEXT.CREATE("market.7280",A7282,"USD","SOFR")</f>
        <v>QSObject:PricingContext:w1~market.7280:5519</v>
      </c>
      <c r="D7282" s="6" t="str">
        <f>_xll.QS.CONTEXT.ADD.CURVE(C7282,"SOFR",$K$2:$K$7,$L$2:$L$7,,,"Actual360","LogLinear",TRUE)</f>
        <v>QSObject:ContextInput:w1~input.qs_context_add_curve.2359132437744.7281.3.0:33202</v>
      </c>
      <c r="E7282" s="6" t="str">
        <f>_xll.QS.INSTRUMENT.SWAP("swap.7280",H7282,B7282,"USD","SOFR",I7282,J7282,0,"Actual360","Simple","Annual","Annual","Annual")</f>
        <v>QSObject:Swap:w1~swap.7280:5518</v>
      </c>
      <c r="F7282" s="6" t="str">
        <f>_xll.QS.TRADE.CREATE("trade.7280",E7282,A7282,"Receive")</f>
        <v>QSObject:SwapTrade:w1~trade.7280:24475</v>
      </c>
      <c r="G7282" s="3">
        <f>_xll.QS.EVALUATE(C7282,F7282)</f>
        <v>47554.552589699117</v>
      </c>
      <c r="H7282" s="5" t="s">
        <v>7323</v>
      </c>
      <c r="I7282" s="7">
        <v>1728000</v>
      </c>
      <c r="J7282" s="8">
        <v>3.8000000000000013E-2</v>
      </c>
    </row>
    <row r="7283" spans="1:10" x14ac:dyDescent="0.25">
      <c r="A7283" s="5" t="s">
        <v>7317</v>
      </c>
      <c r="B7283" s="5" t="s">
        <v>9150</v>
      </c>
      <c r="C7283" s="6" t="str">
        <f>_xll.QS.CONTEXT.CREATE("market.7281",A7283,"USD","SOFR")</f>
        <v>QSObject:PricingContext:w1~market.7281:5517</v>
      </c>
      <c r="D7283" s="6" t="str">
        <f>_xll.QS.CONTEXT.ADD.CURVE(C7283,"SOFR",$K$2:$K$7,$L$2:$L$7,,,"Actual360","LogLinear",TRUE)</f>
        <v>QSObject:ContextInput:w1~input.qs_context_add_curve.2359132437744.7282.3.0:33201</v>
      </c>
      <c r="E7283" s="6" t="str">
        <f>_xll.QS.INSTRUMENT.SWAP("swap.7281",H7283,B7283,"USD","SOFR",I7283,J7283,0,"Actual360","Simple","Annual","Annual","Annual")</f>
        <v>QSObject:Swap:w1~swap.7281:5516</v>
      </c>
      <c r="F7283" s="6" t="str">
        <f>_xll.QS.TRADE.CREATE("trade.7281",E7283,A7283,"Receive")</f>
        <v>QSObject:SwapTrade:w1~trade.7281:24474</v>
      </c>
      <c r="G7283" s="3">
        <f>_xll.QS.EVALUATE(C7283,F7283)</f>
        <v>48396.890757685323</v>
      </c>
      <c r="H7283" s="5" t="s">
        <v>7324</v>
      </c>
      <c r="I7283" s="7">
        <v>1728100</v>
      </c>
      <c r="J7283" s="8">
        <v>3.8100000000000002E-2</v>
      </c>
    </row>
    <row r="7284" spans="1:10" x14ac:dyDescent="0.25">
      <c r="A7284" s="5" t="s">
        <v>7318</v>
      </c>
      <c r="B7284" s="5" t="s">
        <v>9151</v>
      </c>
      <c r="C7284" s="6" t="str">
        <f>_xll.QS.CONTEXT.CREATE("market.7282",A7284,"USD","SOFR")</f>
        <v>QSObject:PricingContext:w1~market.7282:5515</v>
      </c>
      <c r="D7284" s="6" t="str">
        <f>_xll.QS.CONTEXT.ADD.CURVE(C7284,"SOFR",$K$2:$K$7,$L$2:$L$7,,,"Actual360","LogLinear",TRUE)</f>
        <v>QSObject:ContextInput:w1~input.qs_context_add_curve.2359132437744.7283.3.0:33200</v>
      </c>
      <c r="E7284" s="6" t="str">
        <f>_xll.QS.INSTRUMENT.SWAP("swap.7282",H7284,B7284,"USD","SOFR",I7284,J7284,0,"Actual360","Simple","Annual","Annual","Annual")</f>
        <v>QSObject:Swap:w1~swap.7282:5514</v>
      </c>
      <c r="F7284" s="6" t="str">
        <f>_xll.QS.TRADE.CREATE("trade.7282",E7284,A7284,"Receive")</f>
        <v>QSObject:SwapTrade:w1~trade.7282:24473</v>
      </c>
      <c r="G7284" s="3">
        <f>_xll.QS.EVALUATE(C7284,F7284)</f>
        <v>49323.299434397624</v>
      </c>
      <c r="H7284" s="5" t="s">
        <v>7325</v>
      </c>
      <c r="I7284" s="7">
        <v>1728200</v>
      </c>
      <c r="J7284" s="8">
        <v>3.8199999999999998E-2</v>
      </c>
    </row>
    <row r="7285" spans="1:10" x14ac:dyDescent="0.25">
      <c r="A7285" s="5" t="s">
        <v>7319</v>
      </c>
      <c r="B7285" s="5" t="s">
        <v>9152</v>
      </c>
      <c r="C7285" s="6" t="str">
        <f>_xll.QS.CONTEXT.CREATE("market.7283",A7285,"USD","SOFR")</f>
        <v>QSObject:PricingContext:w1~market.7283:5513</v>
      </c>
      <c r="D7285" s="6" t="str">
        <f>_xll.QS.CONTEXT.ADD.CURVE(C7285,"SOFR",$K$2:$K$7,$L$2:$L$7,,,"Actual360","LogLinear",TRUE)</f>
        <v>QSObject:ContextInput:w1~input.qs_context_add_curve.2359132437744.7284.3.0:33199</v>
      </c>
      <c r="E7285" s="6" t="str">
        <f>_xll.QS.INSTRUMENT.SWAP("swap.7283",H7285,B7285,"USD","SOFR",I7285,J7285,0,"Actual360","Simple","Annual","Annual","Annual")</f>
        <v>QSObject:Swap:w1~swap.7283:5512</v>
      </c>
      <c r="F7285" s="6" t="str">
        <f>_xll.QS.TRADE.CREATE("trade.7283",E7285,A7285,"Receive")</f>
        <v>QSObject:SwapTrade:w1~trade.7283:24472</v>
      </c>
      <c r="G7285" s="3">
        <f>_xll.QS.EVALUATE(C7285,F7285)</f>
        <v>50198.715320220916</v>
      </c>
      <c r="H7285" s="5" t="s">
        <v>7326</v>
      </c>
      <c r="I7285" s="7">
        <v>1728300</v>
      </c>
      <c r="J7285" s="8">
        <v>3.8300000000000001E-2</v>
      </c>
    </row>
    <row r="7286" spans="1:10" x14ac:dyDescent="0.25">
      <c r="A7286" s="5" t="s">
        <v>7320</v>
      </c>
      <c r="B7286" s="5" t="s">
        <v>9153</v>
      </c>
      <c r="C7286" s="6" t="str">
        <f>_xll.QS.CONTEXT.CREATE("market.7284",A7286,"USD","SOFR")</f>
        <v>QSObject:PricingContext:w1~market.7284:5511</v>
      </c>
      <c r="D7286" s="6" t="str">
        <f>_xll.QS.CONTEXT.ADD.CURVE(C7286,"SOFR",$K$2:$K$7,$L$2:$L$7,,,"Actual360","LogLinear",TRUE)</f>
        <v>QSObject:ContextInput:w1~input.qs_context_add_curve.2359132437744.7285.3.0:33198</v>
      </c>
      <c r="E7286" s="6" t="str">
        <f>_xll.QS.INSTRUMENT.SWAP("swap.7284",H7286,B7286,"USD","SOFR",I7286,J7286,0,"Actual360","Simple","Annual","Annual","Annual")</f>
        <v>QSObject:Swap:w1~swap.7284:5510</v>
      </c>
      <c r="F7286" s="6" t="str">
        <f>_xll.QS.TRADE.CREATE("trade.7284",E7286,A7286,"Receive")</f>
        <v>QSObject:SwapTrade:w1~trade.7284:24471</v>
      </c>
      <c r="G7286" s="3">
        <f>_xll.QS.EVALUATE(C7286,F7286)</f>
        <v>50932.10606770817</v>
      </c>
      <c r="H7286" s="5" t="s">
        <v>7327</v>
      </c>
      <c r="I7286" s="7">
        <v>1728400</v>
      </c>
      <c r="J7286" s="8">
        <v>3.8399999999999997E-2</v>
      </c>
    </row>
    <row r="7287" spans="1:10" x14ac:dyDescent="0.25">
      <c r="A7287" s="5" t="s">
        <v>7321</v>
      </c>
      <c r="B7287" s="5" t="s">
        <v>9154</v>
      </c>
      <c r="C7287" s="6" t="str">
        <f>_xll.QS.CONTEXT.CREATE("market.7285",A7287,"USD","SOFR")</f>
        <v>QSObject:PricingContext:w1~market.7285:5509</v>
      </c>
      <c r="D7287" s="6" t="str">
        <f>_xll.QS.CONTEXT.ADD.CURVE(C7287,"SOFR",$K$2:$K$7,$L$2:$L$7,,,"Actual360","LogLinear",TRUE)</f>
        <v>QSObject:ContextInput:w1~input.qs_context_add_curve.2359132437744.7286.3.0:33197</v>
      </c>
      <c r="E7287" s="6" t="str">
        <f>_xll.QS.INSTRUMENT.SWAP("swap.7285",H7287,B7287,"USD","SOFR",I7287,J7287,0,"Actual360","Simple","Annual","Annual","Annual")</f>
        <v>QSObject:Swap:w1~swap.7285:5508</v>
      </c>
      <c r="F7287" s="6" t="str">
        <f>_xll.QS.TRADE.CREATE("trade.7285",E7287,A7287,"Receive")</f>
        <v>QSObject:SwapTrade:w1~trade.7285:24470</v>
      </c>
      <c r="G7287" s="3">
        <f>_xll.QS.EVALUATE(C7287,F7287)</f>
        <v>51598.348190010649</v>
      </c>
      <c r="H7287" s="5" t="s">
        <v>7328</v>
      </c>
      <c r="I7287" s="7">
        <v>1728500</v>
      </c>
      <c r="J7287" s="8">
        <v>3.8500000000000013E-2</v>
      </c>
    </row>
    <row r="7288" spans="1:10" x14ac:dyDescent="0.25">
      <c r="A7288" s="5" t="s">
        <v>7322</v>
      </c>
      <c r="B7288" s="5" t="s">
        <v>9155</v>
      </c>
      <c r="C7288" s="6" t="str">
        <f>_xll.QS.CONTEXT.CREATE("market.7286",A7288,"USD","SOFR")</f>
        <v>QSObject:PricingContext:w1~market.7286:5507</v>
      </c>
      <c r="D7288" s="6" t="str">
        <f>_xll.QS.CONTEXT.ADD.CURVE(C7288,"SOFR",$K$2:$K$7,$L$2:$L$7,,,"Actual360","LogLinear",TRUE)</f>
        <v>QSObject:ContextInput:w1~input.qs_context_add_curve.2359132437744.7287.3.0:33196</v>
      </c>
      <c r="E7288" s="6" t="str">
        <f>_xll.QS.INSTRUMENT.SWAP("swap.7286",H7288,B7288,"USD","SOFR",I7288,J7288,0,"Actual360","Simple","Annual","Annual","Annual")</f>
        <v>QSObject:Swap:w1~swap.7286:5506</v>
      </c>
      <c r="F7288" s="6" t="str">
        <f>_xll.QS.TRADE.CREATE("trade.7286",E7288,A7288,"Receive")</f>
        <v>QSObject:SwapTrade:w1~trade.7286:24469</v>
      </c>
      <c r="G7288" s="3">
        <f>_xll.QS.EVALUATE(C7288,F7288)</f>
        <v>52282.592358434536</v>
      </c>
      <c r="H7288" s="5" t="s">
        <v>7329</v>
      </c>
      <c r="I7288" s="7">
        <v>1728600</v>
      </c>
      <c r="J7288" s="8">
        <v>3.8600000000000002E-2</v>
      </c>
    </row>
    <row r="7289" spans="1:10" x14ac:dyDescent="0.25">
      <c r="A7289" s="5" t="s">
        <v>7323</v>
      </c>
      <c r="B7289" s="5" t="s">
        <v>9156</v>
      </c>
      <c r="C7289" s="6" t="str">
        <f>_xll.QS.CONTEXT.CREATE("market.7287",A7289,"USD","SOFR")</f>
        <v>QSObject:PricingContext:w1~market.7287:5505</v>
      </c>
      <c r="D7289" s="6" t="str">
        <f>_xll.QS.CONTEXT.ADD.CURVE(C7289,"SOFR",$K$2:$K$7,$L$2:$L$7,,,"Actual360","LogLinear",TRUE)</f>
        <v>QSObject:ContextInput:w1~input.qs_context_add_curve.2359132437744.7288.3.0:33195</v>
      </c>
      <c r="E7289" s="6" t="str">
        <f>_xll.QS.INSTRUMENT.SWAP("swap.7287",H7289,B7289,"USD","SOFR",I7289,J7289,0,"Actual360","Simple","Annual","Annual","Annual")</f>
        <v>QSObject:Swap:w1~swap.7287:5504</v>
      </c>
      <c r="F7289" s="6" t="str">
        <f>_xll.QS.TRADE.CREATE("trade.7287",E7289,A7289,"Receive")</f>
        <v>QSObject:SwapTrade:w1~trade.7287:24468</v>
      </c>
      <c r="G7289" s="3">
        <f>_xll.QS.EVALUATE(C7289,F7289)</f>
        <v>53156.63535213218</v>
      </c>
      <c r="H7289" s="5" t="s">
        <v>7330</v>
      </c>
      <c r="I7289" s="7">
        <v>1728700</v>
      </c>
      <c r="J7289" s="8">
        <v>3.8700000000000012E-2</v>
      </c>
    </row>
    <row r="7290" spans="1:10" x14ac:dyDescent="0.25">
      <c r="A7290" s="5" t="s">
        <v>7324</v>
      </c>
      <c r="B7290" s="5" t="s">
        <v>9157</v>
      </c>
      <c r="C7290" s="6" t="str">
        <f>_xll.QS.CONTEXT.CREATE("market.7288",A7290,"USD","SOFR")</f>
        <v>QSObject:PricingContext:w1~market.7288:5503</v>
      </c>
      <c r="D7290" s="6" t="str">
        <f>_xll.QS.CONTEXT.ADD.CURVE(C7290,"SOFR",$K$2:$K$7,$L$2:$L$7,,,"Actual360","LogLinear",TRUE)</f>
        <v>QSObject:ContextInput:w1~input.qs_context_add_curve.2359132437744.7289.3.0:33194</v>
      </c>
      <c r="E7290" s="6" t="str">
        <f>_xll.QS.INSTRUMENT.SWAP("swap.7288",H7290,B7290,"USD","SOFR",I7290,J7290,0,"Actual360","Simple","Annual","Annual","Annual")</f>
        <v>QSObject:Swap:w1~swap.7288:5502</v>
      </c>
      <c r="F7290" s="6" t="str">
        <f>_xll.QS.TRADE.CREATE("trade.7288",E7290,A7290,"Receive")</f>
        <v>QSObject:SwapTrade:w1~trade.7288:24467</v>
      </c>
      <c r="G7290" s="3">
        <f>_xll.QS.EVALUATE(C7290,F7290)</f>
        <v>53996.925020254115</v>
      </c>
      <c r="H7290" s="5" t="s">
        <v>7331</v>
      </c>
      <c r="I7290" s="7">
        <v>1728800</v>
      </c>
      <c r="J7290" s="8">
        <v>3.8800000000000001E-2</v>
      </c>
    </row>
    <row r="7291" spans="1:10" x14ac:dyDescent="0.25">
      <c r="A7291" s="5" t="s">
        <v>7325</v>
      </c>
      <c r="B7291" s="5" t="s">
        <v>9158</v>
      </c>
      <c r="C7291" s="6" t="str">
        <f>_xll.QS.CONTEXT.CREATE("market.7289",A7291,"USD","SOFR")</f>
        <v>QSObject:PricingContext:w1~market.7289:5501</v>
      </c>
      <c r="D7291" s="6" t="str">
        <f>_xll.QS.CONTEXT.ADD.CURVE(C7291,"SOFR",$K$2:$K$7,$L$2:$L$7,,,"Actual360","LogLinear",TRUE)</f>
        <v>QSObject:ContextInput:w1~input.qs_context_add_curve.2359132437744.7290.3.0:33193</v>
      </c>
      <c r="E7291" s="6" t="str">
        <f>_xll.QS.INSTRUMENT.SWAP("swap.7289",H7291,B7291,"USD","SOFR",I7291,J7291,0,"Actual360","Simple","Annual","Annual","Annual")</f>
        <v>QSObject:Swap:w1~swap.7289:5500</v>
      </c>
      <c r="F7291" s="6" t="str">
        <f>_xll.QS.TRADE.CREATE("trade.7289",E7291,A7291,"Receive")</f>
        <v>QSObject:SwapTrade:w1~trade.7289:24466</v>
      </c>
      <c r="G7291" s="3">
        <f>_xll.QS.EVALUATE(C7291,F7291)</f>
        <v>54924.118907023178</v>
      </c>
      <c r="H7291" s="5" t="s">
        <v>7332</v>
      </c>
      <c r="I7291" s="7">
        <v>1728900</v>
      </c>
      <c r="J7291" s="8">
        <v>3.8899999999999997E-2</v>
      </c>
    </row>
    <row r="7292" spans="1:10" x14ac:dyDescent="0.25">
      <c r="A7292" s="5" t="s">
        <v>7326</v>
      </c>
      <c r="B7292" s="5" t="s">
        <v>9159</v>
      </c>
      <c r="C7292" s="6" t="str">
        <f>_xll.QS.CONTEXT.CREATE("market.7290",A7292,"USD","SOFR")</f>
        <v>QSObject:PricingContext:w1~market.7290:5499</v>
      </c>
      <c r="D7292" s="6" t="str">
        <f>_xll.QS.CONTEXT.ADD.CURVE(C7292,"SOFR",$K$2:$K$7,$L$2:$L$7,,,"Actual360","LogLinear",TRUE)</f>
        <v>QSObject:ContextInput:w1~input.qs_context_add_curve.2359132437744.7291.3.0:33192</v>
      </c>
      <c r="E7292" s="6" t="str">
        <f>_xll.QS.INSTRUMENT.SWAP("swap.7290",H7292,B7292,"USD","SOFR",I7292,J7292,0,"Actual360","Simple","Annual","Annual","Annual")</f>
        <v>QSObject:Swap:w1~swap.7290:5498</v>
      </c>
      <c r="F7292" s="6" t="str">
        <f>_xll.QS.TRADE.CREATE("trade.7290",E7292,A7292,"Receive")</f>
        <v>QSObject:SwapTrade:w1~trade.7290:24465</v>
      </c>
      <c r="G7292" s="3">
        <f>_xll.QS.EVALUATE(C7292,F7292)</f>
        <v>55799.82452996356</v>
      </c>
      <c r="H7292" s="5" t="s">
        <v>7333</v>
      </c>
      <c r="I7292" s="7">
        <v>1729000</v>
      </c>
      <c r="J7292" s="8">
        <v>3.9000000000000007E-2</v>
      </c>
    </row>
    <row r="7293" spans="1:10" x14ac:dyDescent="0.25">
      <c r="A7293" s="5" t="s">
        <v>7327</v>
      </c>
      <c r="B7293" s="5" t="s">
        <v>9160</v>
      </c>
      <c r="C7293" s="6" t="str">
        <f>_xll.QS.CONTEXT.CREATE("market.7291",A7293,"USD","SOFR")</f>
        <v>QSObject:PricingContext:w1~market.7291:5497</v>
      </c>
      <c r="D7293" s="6" t="str">
        <f>_xll.QS.CONTEXT.ADD.CURVE(C7293,"SOFR",$K$2:$K$7,$L$2:$L$7,,,"Actual360","LogLinear",TRUE)</f>
        <v>QSObject:ContextInput:w1~input.qs_context_add_curve.2359132437744.7292.3.0:33191</v>
      </c>
      <c r="E7293" s="6" t="str">
        <f>_xll.QS.INSTRUMENT.SWAP("swap.7291",H7293,B7293,"USD","SOFR",I7293,J7293,0,"Actual360","Simple","Annual","Annual","Annual")</f>
        <v>QSObject:Swap:w1~swap.7291:5496</v>
      </c>
      <c r="F7293" s="6" t="str">
        <f>_xll.QS.TRADE.CREATE("trade.7291",E7293,A7293,"Receive")</f>
        <v>QSObject:SwapTrade:w1~trade.7291:24464</v>
      </c>
      <c r="G7293" s="3">
        <f>_xll.QS.EVALUATE(C7293,F7293)</f>
        <v>56391.064930129643</v>
      </c>
      <c r="H7293" s="5" t="s">
        <v>7334</v>
      </c>
      <c r="I7293" s="7">
        <v>1729100</v>
      </c>
      <c r="J7293" s="8">
        <v>3.9100000000000003E-2</v>
      </c>
    </row>
    <row r="7294" spans="1:10" x14ac:dyDescent="0.25">
      <c r="A7294" s="5" t="s">
        <v>7328</v>
      </c>
      <c r="B7294" s="5" t="s">
        <v>9161</v>
      </c>
      <c r="C7294" s="6" t="str">
        <f>_xll.QS.CONTEXT.CREATE("market.7292",A7294,"USD","SOFR")</f>
        <v>QSObject:PricingContext:w1~market.7292:5495</v>
      </c>
      <c r="D7294" s="6" t="str">
        <f>_xll.QS.CONTEXT.ADD.CURVE(C7294,"SOFR",$K$2:$K$7,$L$2:$L$7,,,"Actual360","LogLinear",TRUE)</f>
        <v>QSObject:ContextInput:w1~input.qs_context_add_curve.2359132437744.7293.3.0:33190</v>
      </c>
      <c r="E7294" s="6" t="str">
        <f>_xll.QS.INSTRUMENT.SWAP("swap.7292",H7294,B7294,"USD","SOFR",I7294,J7294,0,"Actual360","Simple","Annual","Annual","Annual")</f>
        <v>QSObject:Swap:w1~swap.7292:5494</v>
      </c>
      <c r="F7294" s="6" t="str">
        <f>_xll.QS.TRADE.CREATE("trade.7292",E7294,A7294,"Receive")</f>
        <v>QSObject:SwapTrade:w1~trade.7292:24463</v>
      </c>
      <c r="G7294" s="3">
        <f>_xll.QS.EVALUATE(C7294,F7294)</f>
        <v>57195.572326829373</v>
      </c>
      <c r="H7294" s="5" t="s">
        <v>7335</v>
      </c>
      <c r="I7294" s="7">
        <v>1729200</v>
      </c>
      <c r="J7294" s="8">
        <v>3.9200000000000013E-2</v>
      </c>
    </row>
    <row r="7295" spans="1:10" x14ac:dyDescent="0.25">
      <c r="A7295" s="5" t="s">
        <v>7329</v>
      </c>
      <c r="B7295" s="5" t="s">
        <v>9162</v>
      </c>
      <c r="C7295" s="6" t="str">
        <f>_xll.QS.CONTEXT.CREATE("market.7293",A7295,"USD","SOFR")</f>
        <v>QSObject:PricingContext:w1~market.7293:5493</v>
      </c>
      <c r="D7295" s="6" t="str">
        <f>_xll.QS.CONTEXT.ADD.CURVE(C7295,"SOFR",$K$2:$K$7,$L$2:$L$7,,,"Actual360","LogLinear",TRUE)</f>
        <v>QSObject:ContextInput:w1~input.qs_context_add_curve.2359132437744.7294.3.0:33189</v>
      </c>
      <c r="E7295" s="6" t="str">
        <f>_xll.QS.INSTRUMENT.SWAP("swap.7293",H7295,B7295,"USD","SOFR",I7295,J7295,0,"Actual360","Simple","Annual","Annual","Annual")</f>
        <v>QSObject:Swap:w1~swap.7293:5492</v>
      </c>
      <c r="F7295" s="6" t="str">
        <f>_xll.QS.TRADE.CREATE("trade.7293",E7295,A7295,"Receive")</f>
        <v>QSObject:SwapTrade:w1~trade.7293:24462</v>
      </c>
      <c r="G7295" s="3">
        <f>_xll.QS.EVALUATE(C7295,F7295)</f>
        <v>57889.145565456754</v>
      </c>
      <c r="H7295" s="5" t="s">
        <v>7336</v>
      </c>
      <c r="I7295" s="7">
        <v>1729300</v>
      </c>
      <c r="J7295" s="8">
        <v>3.9300000000000002E-2</v>
      </c>
    </row>
    <row r="7296" spans="1:10" x14ac:dyDescent="0.25">
      <c r="A7296" s="5" t="s">
        <v>7330</v>
      </c>
      <c r="B7296" s="5" t="s">
        <v>9163</v>
      </c>
      <c r="C7296" s="6" t="str">
        <f>_xll.QS.CONTEXT.CREATE("market.7294",A7296,"USD","SOFR")</f>
        <v>QSObject:PricingContext:w1~market.7294:5491</v>
      </c>
      <c r="D7296" s="6" t="str">
        <f>_xll.QS.CONTEXT.ADD.CURVE(C7296,"SOFR",$K$2:$K$7,$L$2:$L$7,,,"Actual360","LogLinear",TRUE)</f>
        <v>QSObject:ContextInput:w1~input.qs_context_add_curve.2359132437744.7295.3.0:33188</v>
      </c>
      <c r="E7296" s="6" t="str">
        <f>_xll.QS.INSTRUMENT.SWAP("swap.7294",H7296,B7296,"USD","SOFR",I7296,J7296,0,"Actual360","Simple","Annual","Annual","Annual")</f>
        <v>QSObject:Swap:w1~swap.7294:5490</v>
      </c>
      <c r="F7296" s="6" t="str">
        <f>_xll.QS.TRADE.CREATE("trade.7294",E7296,A7296,"Receive")</f>
        <v>QSObject:SwapTrade:w1~trade.7294:24461</v>
      </c>
      <c r="G7296" s="3">
        <f>_xll.QS.EVALUATE(C7296,F7296)</f>
        <v>58827.103710256961</v>
      </c>
      <c r="H7296" s="5" t="s">
        <v>7337</v>
      </c>
      <c r="I7296" s="7">
        <v>1729400</v>
      </c>
      <c r="J7296" s="8">
        <v>3.9399999999999998E-2</v>
      </c>
    </row>
    <row r="7297" spans="1:10" x14ac:dyDescent="0.25">
      <c r="A7297" s="5" t="s">
        <v>7331</v>
      </c>
      <c r="B7297" s="5" t="s">
        <v>9164</v>
      </c>
      <c r="C7297" s="6" t="str">
        <f>_xll.QS.CONTEXT.CREATE("market.7295",A7297,"USD","SOFR")</f>
        <v>QSObject:PricingContext:w1~market.7295:5489</v>
      </c>
      <c r="D7297" s="6" t="str">
        <f>_xll.QS.CONTEXT.ADD.CURVE(C7297,"SOFR",$K$2:$K$7,$L$2:$L$7,,,"Actual360","LogLinear",TRUE)</f>
        <v>QSObject:ContextInput:w1~input.qs_context_add_curve.2359132437744.7296.3.0:33187</v>
      </c>
      <c r="E7297" s="6" t="str">
        <f>_xll.QS.INSTRUMENT.SWAP("swap.7295",H7297,B7297,"USD","SOFR",I7297,J7297,0,"Actual360","Simple","Annual","Annual","Annual")</f>
        <v>QSObject:Swap:w1~swap.7295:5488</v>
      </c>
      <c r="F7297" s="6" t="str">
        <f>_xll.QS.TRADE.CREATE("trade.7295",E7297,A7297,"Receive")</f>
        <v>QSObject:SwapTrade:w1~trade.7295:24460</v>
      </c>
      <c r="G7297" s="3">
        <f>_xll.QS.EVALUATE(C7297,F7297)</f>
        <v>59792.500875830192</v>
      </c>
      <c r="H7297" s="5" t="s">
        <v>7338</v>
      </c>
      <c r="I7297" s="7">
        <v>1729500</v>
      </c>
      <c r="J7297" s="8">
        <v>3.9500000000000007E-2</v>
      </c>
    </row>
    <row r="7298" spans="1:10" x14ac:dyDescent="0.25">
      <c r="A7298" s="5" t="s">
        <v>7332</v>
      </c>
      <c r="B7298" s="5" t="s">
        <v>9165</v>
      </c>
      <c r="C7298" s="6" t="str">
        <f>_xll.QS.CONTEXT.CREATE("market.7296",A7298,"USD","SOFR")</f>
        <v>QSObject:PricingContext:w1~market.7296:5487</v>
      </c>
      <c r="D7298" s="6" t="str">
        <f>_xll.QS.CONTEXT.ADD.CURVE(C7298,"SOFR",$K$2:$K$7,$L$2:$L$7,,,"Actual360","LogLinear",TRUE)</f>
        <v>QSObject:ContextInput:w1~input.qs_context_add_curve.2359132437744.7297.3.0:33186</v>
      </c>
      <c r="E7298" s="6" t="str">
        <f>_xll.QS.INSTRUMENT.SWAP("swap.7296",H7298,B7298,"USD","SOFR",I7298,J7298,0,"Actual360","Simple","Annual","Annual","Annual")</f>
        <v>QSObject:Swap:w1~swap.7296:5486</v>
      </c>
      <c r="F7298" s="6" t="str">
        <f>_xll.QS.TRADE.CREATE("trade.7296",E7298,A7298,"Receive")</f>
        <v>QSObject:SwapTrade:w1~trade.7296:24459</v>
      </c>
      <c r="G7298" s="3">
        <f>_xll.QS.EVALUATE(C7298,F7298)</f>
        <v>60610.293850445647</v>
      </c>
      <c r="H7298" s="5" t="s">
        <v>7339</v>
      </c>
      <c r="I7298" s="7">
        <v>1729600</v>
      </c>
      <c r="J7298" s="8">
        <v>3.9600000000000003E-2</v>
      </c>
    </row>
    <row r="7299" spans="1:10" x14ac:dyDescent="0.25">
      <c r="A7299" s="5" t="s">
        <v>7333</v>
      </c>
      <c r="B7299" s="5" t="s">
        <v>9166</v>
      </c>
      <c r="C7299" s="6" t="str">
        <f>_xll.QS.CONTEXT.CREATE("market.7297",A7299,"USD","SOFR")</f>
        <v>QSObject:PricingContext:w1~market.7297:5485</v>
      </c>
      <c r="D7299" s="6" t="str">
        <f>_xll.QS.CONTEXT.ADD.CURVE(C7299,"SOFR",$K$2:$K$7,$L$2:$L$7,,,"Actual360","LogLinear",TRUE)</f>
        <v>QSObject:ContextInput:w1~input.qs_context_add_curve.2359132437744.7298.3.0:33185</v>
      </c>
      <c r="E7299" s="6" t="str">
        <f>_xll.QS.INSTRUMENT.SWAP("swap.7297",H7299,B7299,"USD","SOFR",I7299,J7299,0,"Actual360","Simple","Annual","Annual","Annual")</f>
        <v>QSObject:Swap:w1~swap.7297:5484</v>
      </c>
      <c r="F7299" s="6" t="str">
        <f>_xll.QS.TRADE.CREATE("trade.7297",E7299,A7299,"Receive")</f>
        <v>QSObject:SwapTrade:w1~trade.7297:24458</v>
      </c>
      <c r="G7299" s="3">
        <f>_xll.QS.EVALUATE(C7299,F7299)</f>
        <v>61409.238722768481</v>
      </c>
      <c r="H7299" s="5" t="s">
        <v>7340</v>
      </c>
      <c r="I7299" s="7">
        <v>1729700</v>
      </c>
      <c r="J7299" s="8">
        <v>3.9700000000000013E-2</v>
      </c>
    </row>
    <row r="7300" spans="1:10" x14ac:dyDescent="0.25">
      <c r="A7300" s="5" t="s">
        <v>7334</v>
      </c>
      <c r="B7300" s="5" t="s">
        <v>9167</v>
      </c>
      <c r="C7300" s="6" t="str">
        <f>_xll.QS.CONTEXT.CREATE("market.7298",A7300,"USD","SOFR")</f>
        <v>QSObject:PricingContext:w1~market.7298:5483</v>
      </c>
      <c r="D7300" s="6" t="str">
        <f>_xll.QS.CONTEXT.ADD.CURVE(C7300,"SOFR",$K$2:$K$7,$L$2:$L$7,,,"Actual360","LogLinear",TRUE)</f>
        <v>QSObject:ContextInput:w1~input.qs_context_add_curve.2359132437744.7299.3.0:33184</v>
      </c>
      <c r="E7300" s="6" t="str">
        <f>_xll.QS.INSTRUMENT.SWAP("swap.7298",H7300,B7300,"USD","SOFR",I7300,J7300,0,"Actual360","Simple","Annual","Annual","Annual")</f>
        <v>QSObject:Swap:w1~swap.7298:5482</v>
      </c>
      <c r="F7300" s="6" t="str">
        <f>_xll.QS.TRADE.CREATE("trade.7298",E7300,A7300,"Receive")</f>
        <v>QSObject:SwapTrade:w1~trade.7298:24457</v>
      </c>
      <c r="G7300" s="3">
        <f>_xll.QS.EVALUATE(C7300,F7300)</f>
        <v>61989.06214973281</v>
      </c>
      <c r="H7300" s="5" t="s">
        <v>7341</v>
      </c>
      <c r="I7300" s="7">
        <v>1729800</v>
      </c>
      <c r="J7300" s="8">
        <v>3.9800000000000002E-2</v>
      </c>
    </row>
    <row r="7301" spans="1:10" x14ac:dyDescent="0.25">
      <c r="A7301" s="5" t="s">
        <v>7335</v>
      </c>
      <c r="B7301" s="5" t="s">
        <v>9168</v>
      </c>
      <c r="C7301" s="6" t="str">
        <f>_xll.QS.CONTEXT.CREATE("market.7299",A7301,"USD","SOFR")</f>
        <v>QSObject:PricingContext:w1~market.7299:5481</v>
      </c>
      <c r="D7301" s="6" t="str">
        <f>_xll.QS.CONTEXT.ADD.CURVE(C7301,"SOFR",$K$2:$K$7,$L$2:$L$7,,,"Actual360","LogLinear",TRUE)</f>
        <v>QSObject:ContextInput:w1~input.qs_context_add_curve.2359132437744.7300.3.0:33183</v>
      </c>
      <c r="E7301" s="6" t="str">
        <f>_xll.QS.INSTRUMENT.SWAP("swap.7299",H7301,B7301,"USD","SOFR",I7301,J7301,0,"Actual360","Simple","Annual","Annual","Annual")</f>
        <v>QSObject:Swap:w1~swap.7299:5480</v>
      </c>
      <c r="F7301" s="6" t="str">
        <f>_xll.QS.TRADE.CREATE("trade.7299",E7301,A7301,"Receive")</f>
        <v>QSObject:SwapTrade:w1~trade.7299:24456</v>
      </c>
      <c r="G7301" s="3">
        <f>_xll.QS.EVALUATE(C7301,F7301)</f>
        <v>62794.686053335339</v>
      </c>
      <c r="H7301" s="5" t="s">
        <v>7342</v>
      </c>
      <c r="I7301" s="7">
        <v>1729900</v>
      </c>
      <c r="J7301" s="8">
        <v>3.9899999999999998E-2</v>
      </c>
    </row>
    <row r="7302" spans="1:10" x14ac:dyDescent="0.25">
      <c r="A7302" s="5" t="s">
        <v>7336</v>
      </c>
      <c r="B7302" s="5" t="s">
        <v>9169</v>
      </c>
      <c r="C7302" s="6" t="str">
        <f>_xll.QS.CONTEXT.CREATE("market.7300",A7302,"USD","SOFR")</f>
        <v>QSObject:PricingContext:w1~market.7300:5479</v>
      </c>
      <c r="D7302" s="6" t="str">
        <f>_xll.QS.CONTEXT.ADD.CURVE(C7302,"SOFR",$K$2:$K$7,$L$2:$L$7,,,"Actual360","LogLinear",TRUE)</f>
        <v>QSObject:ContextInput:w1~input.qs_context_add_curve.2359132437744.7301.3.0:33182</v>
      </c>
      <c r="E7302" s="6" t="str">
        <f>_xll.QS.INSTRUMENT.SWAP("swap.7300",H7302,B7302,"USD","SOFR",I7302,J7302,0,"Actual360","Simple","Annual","Annual","Annual")</f>
        <v>QSObject:Swap:w1~swap.7300:5478</v>
      </c>
      <c r="F7302" s="6" t="str">
        <f>_xll.QS.TRADE.CREATE("trade.7300",E7302,A7302,"Receive")</f>
        <v>QSObject:SwapTrade:w1~trade.7300:24455</v>
      </c>
      <c r="G7302" s="3">
        <f>_xll.QS.EVALUATE(C7302,F7302)</f>
        <v>23594.158358620312</v>
      </c>
      <c r="H7302" s="5" t="s">
        <v>7343</v>
      </c>
      <c r="I7302" s="7">
        <v>1730000</v>
      </c>
      <c r="J7302" s="8">
        <v>3.5000000000000003E-2</v>
      </c>
    </row>
    <row r="7303" spans="1:10" x14ac:dyDescent="0.25">
      <c r="A7303" s="5" t="s">
        <v>7337</v>
      </c>
      <c r="B7303" s="5" t="s">
        <v>9170</v>
      </c>
      <c r="C7303" s="6" t="str">
        <f>_xll.QS.CONTEXT.CREATE("market.7301",A7303,"USD","SOFR")</f>
        <v>QSObject:PricingContext:w1~market.7301:5477</v>
      </c>
      <c r="D7303" s="6" t="str">
        <f>_xll.QS.CONTEXT.ADD.CURVE(C7303,"SOFR",$K$2:$K$7,$L$2:$L$7,,,"Actual360","LogLinear",TRUE)</f>
        <v>QSObject:ContextInput:w1~input.qs_context_add_curve.2359132437744.7302.3.0:33181</v>
      </c>
      <c r="E7303" s="6" t="str">
        <f>_xll.QS.INSTRUMENT.SWAP("swap.7301",H7303,B7303,"USD","SOFR",I7303,J7303,0,"Actual360","Simple","Annual","Annual","Annual")</f>
        <v>QSObject:Swap:w1~swap.7301:5476</v>
      </c>
      <c r="F7303" s="6" t="str">
        <f>_xll.QS.TRADE.CREATE("trade.7301",E7303,A7303,"Receive")</f>
        <v>QSObject:SwapTrade:w1~trade.7301:24454</v>
      </c>
      <c r="G7303" s="3">
        <f>_xll.QS.EVALUATE(C7303,F7303)</f>
        <v>24527.932658271151</v>
      </c>
      <c r="H7303" s="5" t="s">
        <v>7344</v>
      </c>
      <c r="I7303" s="7">
        <v>1730100</v>
      </c>
      <c r="J7303" s="8">
        <v>3.5100000000000013E-2</v>
      </c>
    </row>
    <row r="7304" spans="1:10" x14ac:dyDescent="0.25">
      <c r="A7304" s="5" t="s">
        <v>7338</v>
      </c>
      <c r="B7304" s="5" t="s">
        <v>9171</v>
      </c>
      <c r="C7304" s="6" t="str">
        <f>_xll.QS.CONTEXT.CREATE("market.7302",A7304,"USD","SOFR")</f>
        <v>QSObject:PricingContext:w1~market.7302:5475</v>
      </c>
      <c r="D7304" s="6" t="str">
        <f>_xll.QS.CONTEXT.ADD.CURVE(C7304,"SOFR",$K$2:$K$7,$L$2:$L$7,,,"Actual360","LogLinear",TRUE)</f>
        <v>QSObject:ContextInput:w1~input.qs_context_add_curve.2359132437744.7303.3.0:33180</v>
      </c>
      <c r="E7304" s="6" t="str">
        <f>_xll.QS.INSTRUMENT.SWAP("swap.7302",H7304,B7304,"USD","SOFR",I7304,J7304,0,"Actual360","Simple","Annual","Annual","Annual")</f>
        <v>QSObject:Swap:w1~swap.7302:5474</v>
      </c>
      <c r="F7304" s="6" t="str">
        <f>_xll.QS.TRADE.CREATE("trade.7302",E7304,A7304,"Receive")</f>
        <v>QSObject:SwapTrade:w1~trade.7302:24453</v>
      </c>
      <c r="G7304" s="3">
        <f>_xll.QS.EVALUATE(C7304,F7304)</f>
        <v>25507.692661329849</v>
      </c>
      <c r="H7304" s="5" t="s">
        <v>7345</v>
      </c>
      <c r="I7304" s="7">
        <v>1730200</v>
      </c>
      <c r="J7304" s="8">
        <v>3.5200000000000002E-2</v>
      </c>
    </row>
    <row r="7305" spans="1:10" x14ac:dyDescent="0.25">
      <c r="A7305" s="5" t="s">
        <v>7339</v>
      </c>
      <c r="B7305" s="5" t="s">
        <v>9172</v>
      </c>
      <c r="C7305" s="6" t="str">
        <f>_xll.QS.CONTEXT.CREATE("market.7303",A7305,"USD","SOFR")</f>
        <v>QSObject:PricingContext:w1~market.7303:5473</v>
      </c>
      <c r="D7305" s="6" t="str">
        <f>_xll.QS.CONTEXT.ADD.CURVE(C7305,"SOFR",$K$2:$K$7,$L$2:$L$7,,,"Actual360","LogLinear",TRUE)</f>
        <v>QSObject:ContextInput:w1~input.qs_context_add_curve.2359132437744.7304.3.0:33179</v>
      </c>
      <c r="E7305" s="6" t="str">
        <f>_xll.QS.INSTRUMENT.SWAP("swap.7303",H7305,B7305,"USD","SOFR",I7305,J7305,0,"Actual360","Simple","Annual","Annual","Annual")</f>
        <v>QSObject:Swap:w1~swap.7303:5472</v>
      </c>
      <c r="F7305" s="6" t="str">
        <f>_xll.QS.TRADE.CREATE("trade.7303",E7305,A7305,"Receive")</f>
        <v>QSObject:SwapTrade:w1~trade.7303:24452</v>
      </c>
      <c r="G7305" s="3">
        <f>_xll.QS.EVALUATE(C7305,F7305)</f>
        <v>26324.236474876823</v>
      </c>
      <c r="H7305" s="5" t="s">
        <v>7346</v>
      </c>
      <c r="I7305" s="7">
        <v>1730300</v>
      </c>
      <c r="J7305" s="8">
        <v>3.5299999999999998E-2</v>
      </c>
    </row>
    <row r="7306" spans="1:10" x14ac:dyDescent="0.25">
      <c r="A7306" s="5" t="s">
        <v>7340</v>
      </c>
      <c r="B7306" s="5" t="s">
        <v>9173</v>
      </c>
      <c r="C7306" s="6" t="str">
        <f>_xll.QS.CONTEXT.CREATE("market.7304",A7306,"USD","SOFR")</f>
        <v>QSObject:PricingContext:w1~market.7304:5471</v>
      </c>
      <c r="D7306" s="6" t="str">
        <f>_xll.QS.CONTEXT.ADD.CURVE(C7306,"SOFR",$K$2:$K$7,$L$2:$L$7,,,"Actual360","LogLinear",TRUE)</f>
        <v>QSObject:ContextInput:w1~input.qs_context_add_curve.2359132437744.7305.3.0:33178</v>
      </c>
      <c r="E7306" s="6" t="str">
        <f>_xll.QS.INSTRUMENT.SWAP("swap.7304",H7306,B7306,"USD","SOFR",I7306,J7306,0,"Actual360","Simple","Annual","Annual","Annual")</f>
        <v>QSObject:Swap:w1~swap.7304:5470</v>
      </c>
      <c r="F7306" s="6" t="str">
        <f>_xll.QS.TRADE.CREATE("trade.7304",E7306,A7306,"Receive")</f>
        <v>QSObject:SwapTrade:w1~trade.7304:24451</v>
      </c>
      <c r="G7306" s="3">
        <f>_xll.QS.EVALUATE(C7306,F7306)</f>
        <v>27120.9872247928</v>
      </c>
      <c r="H7306" s="5" t="s">
        <v>7347</v>
      </c>
      <c r="I7306" s="7">
        <v>1730400</v>
      </c>
      <c r="J7306" s="8">
        <v>3.5400000000000001E-2</v>
      </c>
    </row>
    <row r="7307" spans="1:10" x14ac:dyDescent="0.25">
      <c r="A7307" s="5" t="s">
        <v>7341</v>
      </c>
      <c r="B7307" s="5" t="s">
        <v>9174</v>
      </c>
      <c r="C7307" s="6" t="str">
        <f>_xll.QS.CONTEXT.CREATE("market.7305",A7307,"USD","SOFR")</f>
        <v>QSObject:PricingContext:w1~market.7305:5469</v>
      </c>
      <c r="D7307" s="6" t="str">
        <f>_xll.QS.CONTEXT.ADD.CURVE(C7307,"SOFR",$K$2:$K$7,$L$2:$L$7,,,"Actual360","LogLinear",TRUE)</f>
        <v>QSObject:ContextInput:w1~input.qs_context_add_curve.2359132437744.7306.3.0:33177</v>
      </c>
      <c r="E7307" s="6" t="str">
        <f>_xll.QS.INSTRUMENT.SWAP("swap.7305",H7307,B7307,"USD","SOFR",I7307,J7307,0,"Actual360","Simple","Annual","Annual","Annual")</f>
        <v>QSObject:Swap:w1~swap.7305:5468</v>
      </c>
      <c r="F7307" s="6" t="str">
        <f>_xll.QS.TRADE.CREATE("trade.7305",E7307,A7307,"Receive")</f>
        <v>QSObject:SwapTrade:w1~trade.7305:24450</v>
      </c>
      <c r="G7307" s="3">
        <f>_xll.QS.EVALUATE(C7307,F7307)</f>
        <v>27851.951975332107</v>
      </c>
      <c r="H7307" s="5" t="s">
        <v>7348</v>
      </c>
      <c r="I7307" s="7">
        <v>1730500</v>
      </c>
      <c r="J7307" s="8">
        <v>3.5499999999999997E-2</v>
      </c>
    </row>
    <row r="7308" spans="1:10" x14ac:dyDescent="0.25">
      <c r="A7308" s="5" t="s">
        <v>7342</v>
      </c>
      <c r="B7308" s="5" t="s">
        <v>9175</v>
      </c>
      <c r="C7308" s="6" t="str">
        <f>_xll.QS.CONTEXT.CREATE("market.7306",A7308,"USD","SOFR")</f>
        <v>QSObject:PricingContext:w1~market.7306:5467</v>
      </c>
      <c r="D7308" s="6" t="str">
        <f>_xll.QS.CONTEXT.ADD.CURVE(C7308,"SOFR",$K$2:$K$7,$L$2:$L$7,,,"Actual360","LogLinear",TRUE)</f>
        <v>QSObject:ContextInput:w1~input.qs_context_add_curve.2359132437744.7307.3.0:33176</v>
      </c>
      <c r="E7308" s="6" t="str">
        <f>_xll.QS.INSTRUMENT.SWAP("swap.7306",H7308,B7308,"USD","SOFR",I7308,J7308,0,"Actual360","Simple","Annual","Annual","Annual")</f>
        <v>QSObject:Swap:w1~swap.7306:5466</v>
      </c>
      <c r="F7308" s="6" t="str">
        <f>_xll.QS.TRADE.CREATE("trade.7306",E7308,A7308,"Receive")</f>
        <v>QSObject:SwapTrade:w1~trade.7306:24449</v>
      </c>
      <c r="G7308" s="3">
        <f>_xll.QS.EVALUATE(C7308,F7308)</f>
        <v>28544.917560465205</v>
      </c>
      <c r="H7308" s="5" t="s">
        <v>7349</v>
      </c>
      <c r="I7308" s="7">
        <v>1730600</v>
      </c>
      <c r="J7308" s="8">
        <v>3.5600000000000007E-2</v>
      </c>
    </row>
    <row r="7309" spans="1:10" x14ac:dyDescent="0.25">
      <c r="A7309" s="5" t="s">
        <v>7343</v>
      </c>
      <c r="B7309" s="5" t="s">
        <v>9176</v>
      </c>
      <c r="C7309" s="6" t="str">
        <f>_xll.QS.CONTEXT.CREATE("market.7307",A7309,"USD","SOFR")</f>
        <v>QSObject:PricingContext:w1~market.7307:5465</v>
      </c>
      <c r="D7309" s="6" t="str">
        <f>_xll.QS.CONTEXT.ADD.CURVE(C7309,"SOFR",$K$2:$K$7,$L$2:$L$7,,,"Actual360","LogLinear",TRUE)</f>
        <v>QSObject:ContextInput:w1~input.qs_context_add_curve.2359132437744.7308.3.0:33175</v>
      </c>
      <c r="E7309" s="6" t="str">
        <f>_xll.QS.INSTRUMENT.SWAP("swap.7307",H7309,B7309,"USD","SOFR",I7309,J7309,0,"Actual360","Simple","Annual","Annual","Annual")</f>
        <v>QSObject:Swap:w1~swap.7307:5464</v>
      </c>
      <c r="F7309" s="6" t="str">
        <f>_xll.QS.TRADE.CREATE("trade.7307",E7309,A7309,"Receive")</f>
        <v>QSObject:SwapTrade:w1~trade.7307:24448</v>
      </c>
      <c r="G7309" s="3">
        <f>_xll.QS.EVALUATE(C7309,F7309)</f>
        <v>29192.771743807294</v>
      </c>
      <c r="H7309" s="5" t="s">
        <v>7350</v>
      </c>
      <c r="I7309" s="7">
        <v>1730700</v>
      </c>
      <c r="J7309" s="8">
        <v>3.5700000000000003E-2</v>
      </c>
    </row>
    <row r="7310" spans="1:10" x14ac:dyDescent="0.25">
      <c r="A7310" s="5" t="s">
        <v>7344</v>
      </c>
      <c r="B7310" s="5" t="s">
        <v>9177</v>
      </c>
      <c r="C7310" s="6" t="str">
        <f>_xll.QS.CONTEXT.CREATE("market.7308",A7310,"USD","SOFR")</f>
        <v>QSObject:PricingContext:w1~market.7308:5463</v>
      </c>
      <c r="D7310" s="6" t="str">
        <f>_xll.QS.CONTEXT.ADD.CURVE(C7310,"SOFR",$K$2:$K$7,$L$2:$L$7,,,"Actual360","LogLinear",TRUE)</f>
        <v>QSObject:ContextInput:w1~input.qs_context_add_curve.2359132437744.7309.3.0:33174</v>
      </c>
      <c r="E7310" s="6" t="str">
        <f>_xll.QS.INSTRUMENT.SWAP("swap.7308",H7310,B7310,"USD","SOFR",I7310,J7310,0,"Actual360","Simple","Annual","Annual","Annual")</f>
        <v>QSObject:Swap:w1~swap.7308:5462</v>
      </c>
      <c r="F7310" s="6" t="str">
        <f>_xll.QS.TRADE.CREATE("trade.7308",E7310,A7310,"Receive")</f>
        <v>QSObject:SwapTrade:w1~trade.7308:24447</v>
      </c>
      <c r="G7310" s="3">
        <f>_xll.QS.EVALUATE(C7310,F7310)</f>
        <v>30064.292111748648</v>
      </c>
      <c r="H7310" s="5" t="s">
        <v>7351</v>
      </c>
      <c r="I7310" s="7">
        <v>1730800</v>
      </c>
      <c r="J7310" s="8">
        <v>3.5800000000000012E-2</v>
      </c>
    </row>
    <row r="7311" spans="1:10" x14ac:dyDescent="0.25">
      <c r="A7311" s="5" t="s">
        <v>7345</v>
      </c>
      <c r="B7311" s="5" t="s">
        <v>9178</v>
      </c>
      <c r="C7311" s="6" t="str">
        <f>_xll.QS.CONTEXT.CREATE("market.7309",A7311,"USD","SOFR")</f>
        <v>QSObject:PricingContext:w1~market.7309:5461</v>
      </c>
      <c r="D7311" s="6" t="str">
        <f>_xll.QS.CONTEXT.ADD.CURVE(C7311,"SOFR",$K$2:$K$7,$L$2:$L$7,,,"Actual360","LogLinear",TRUE)</f>
        <v>QSObject:ContextInput:w1~input.qs_context_add_curve.2359132437744.7310.3.0:33173</v>
      </c>
      <c r="E7311" s="6" t="str">
        <f>_xll.QS.INSTRUMENT.SWAP("swap.7309",H7311,B7311,"USD","SOFR",I7311,J7311,0,"Actual360","Simple","Annual","Annual","Annual")</f>
        <v>QSObject:Swap:w1~swap.7309:5460</v>
      </c>
      <c r="F7311" s="6" t="str">
        <f>_xll.QS.TRADE.CREATE("trade.7309",E7311,A7311,"Receive")</f>
        <v>QSObject:SwapTrade:w1~trade.7309:24446</v>
      </c>
      <c r="G7311" s="3">
        <f>_xll.QS.EVALUATE(C7311,F7311)</f>
        <v>30915.507991494</v>
      </c>
      <c r="H7311" s="5" t="s">
        <v>7352</v>
      </c>
      <c r="I7311" s="7">
        <v>1730900</v>
      </c>
      <c r="J7311" s="8">
        <v>3.5900000000000001E-2</v>
      </c>
    </row>
    <row r="7312" spans="1:10" x14ac:dyDescent="0.25">
      <c r="A7312" s="5" t="s">
        <v>7346</v>
      </c>
      <c r="B7312" s="5" t="s">
        <v>9179</v>
      </c>
      <c r="C7312" s="6" t="str">
        <f>_xll.QS.CONTEXT.CREATE("market.7310",A7312,"USD","SOFR")</f>
        <v>QSObject:PricingContext:w1~market.7310:5459</v>
      </c>
      <c r="D7312" s="6" t="str">
        <f>_xll.QS.CONTEXT.ADD.CURVE(C7312,"SOFR",$K$2:$K$7,$L$2:$L$7,,,"Actual360","LogLinear",TRUE)</f>
        <v>QSObject:ContextInput:w1~input.qs_context_add_curve.2359132437744.7311.3.0:33172</v>
      </c>
      <c r="E7312" s="6" t="str">
        <f>_xll.QS.INSTRUMENT.SWAP("swap.7310",H7312,B7312,"USD","SOFR",I7312,J7312,0,"Actual360","Simple","Annual","Annual","Annual")</f>
        <v>QSObject:Swap:w1~swap.7310:5458</v>
      </c>
      <c r="F7312" s="6" t="str">
        <f>_xll.QS.TRADE.CREATE("trade.7310",E7312,A7312,"Receive")</f>
        <v>QSObject:SwapTrade:w1~trade.7310:24445</v>
      </c>
      <c r="G7312" s="3">
        <f>_xll.QS.EVALUATE(C7312,F7312)</f>
        <v>31842.120695875608</v>
      </c>
      <c r="H7312" s="5" t="s">
        <v>7353</v>
      </c>
      <c r="I7312" s="7">
        <v>1731000</v>
      </c>
      <c r="J7312" s="8">
        <v>3.5999999999999997E-2</v>
      </c>
    </row>
    <row r="7313" spans="1:10" x14ac:dyDescent="0.25">
      <c r="A7313" s="5" t="s">
        <v>7347</v>
      </c>
      <c r="B7313" s="5" t="s">
        <v>9180</v>
      </c>
      <c r="C7313" s="6" t="str">
        <f>_xll.QS.CONTEXT.CREATE("market.7311",A7313,"USD","SOFR")</f>
        <v>QSObject:PricingContext:w1~market.7311:5457</v>
      </c>
      <c r="D7313" s="6" t="str">
        <f>_xll.QS.CONTEXT.ADD.CURVE(C7313,"SOFR",$K$2:$K$7,$L$2:$L$7,,,"Actual360","LogLinear",TRUE)</f>
        <v>QSObject:ContextInput:w1~input.qs_context_add_curve.2359132437744.7312.3.0:33171</v>
      </c>
      <c r="E7313" s="6" t="str">
        <f>_xll.QS.INSTRUMENT.SWAP("swap.7311",H7313,B7313,"USD","SOFR",I7313,J7313,0,"Actual360","Simple","Annual","Annual","Annual")</f>
        <v>QSObject:Swap:w1~swap.7311:5456</v>
      </c>
      <c r="F7313" s="6" t="str">
        <f>_xll.QS.TRADE.CREATE("trade.7311",E7313,A7313,"Receive")</f>
        <v>QSObject:SwapTrade:w1~trade.7311:24444</v>
      </c>
      <c r="G7313" s="3">
        <f>_xll.QS.EVALUATE(C7313,F7313)</f>
        <v>32717.59580137895</v>
      </c>
      <c r="H7313" s="5" t="s">
        <v>7354</v>
      </c>
      <c r="I7313" s="7">
        <v>1731100</v>
      </c>
      <c r="J7313" s="8">
        <v>3.61E-2</v>
      </c>
    </row>
    <row r="7314" spans="1:10" x14ac:dyDescent="0.25">
      <c r="A7314" s="5" t="s">
        <v>7348</v>
      </c>
      <c r="B7314" s="5" t="s">
        <v>9181</v>
      </c>
      <c r="C7314" s="6" t="str">
        <f>_xll.QS.CONTEXT.CREATE("market.7312",A7314,"USD","SOFR")</f>
        <v>QSObject:PricingContext:w1~market.7312:5455</v>
      </c>
      <c r="D7314" s="6" t="str">
        <f>_xll.QS.CONTEXT.ADD.CURVE(C7314,"SOFR",$K$2:$K$7,$L$2:$L$7,,,"Actual360","LogLinear",TRUE)</f>
        <v>QSObject:ContextInput:w1~input.qs_context_add_curve.2359132437744.7313.3.0:33170</v>
      </c>
      <c r="E7314" s="6" t="str">
        <f>_xll.QS.INSTRUMENT.SWAP("swap.7312",H7314,B7314,"USD","SOFR",I7314,J7314,0,"Actual360","Simple","Annual","Annual","Annual")</f>
        <v>QSObject:Swap:w1~swap.7312:5454</v>
      </c>
      <c r="F7314" s="6" t="str">
        <f>_xll.QS.TRADE.CREATE("trade.7312",E7314,A7314,"Receive")</f>
        <v>QSObject:SwapTrade:w1~trade.7312:24443</v>
      </c>
      <c r="G7314" s="3">
        <f>_xll.QS.EVALUATE(C7314,F7314)</f>
        <v>33450.935231842981</v>
      </c>
      <c r="H7314" s="5" t="s">
        <v>7355</v>
      </c>
      <c r="I7314" s="7">
        <v>1731200</v>
      </c>
      <c r="J7314" s="8">
        <v>3.6200000000000003E-2</v>
      </c>
    </row>
    <row r="7315" spans="1:10" x14ac:dyDescent="0.25">
      <c r="A7315" s="5" t="s">
        <v>7349</v>
      </c>
      <c r="B7315" s="5" t="s">
        <v>9182</v>
      </c>
      <c r="C7315" s="6" t="str">
        <f>_xll.QS.CONTEXT.CREATE("market.7313",A7315,"USD","SOFR")</f>
        <v>QSObject:PricingContext:w1~market.7313:5453</v>
      </c>
      <c r="D7315" s="6" t="str">
        <f>_xll.QS.CONTEXT.ADD.CURVE(C7315,"SOFR",$K$2:$K$7,$L$2:$L$7,,,"Actual360","LogLinear",TRUE)</f>
        <v>QSObject:ContextInput:w1~input.qs_context_add_curve.2359132437744.7314.3.0:33169</v>
      </c>
      <c r="E7315" s="6" t="str">
        <f>_xll.QS.INSTRUMENT.SWAP("swap.7313",H7315,B7315,"USD","SOFR",I7315,J7315,0,"Actual360","Simple","Annual","Annual","Annual")</f>
        <v>QSObject:Swap:w1~swap.7313:5452</v>
      </c>
      <c r="F7315" s="6" t="str">
        <f>_xll.QS.TRADE.CREATE("trade.7313",E7315,A7315,"Receive")</f>
        <v>QSObject:SwapTrade:w1~trade.7313:24442</v>
      </c>
      <c r="G7315" s="3">
        <f>_xll.QS.EVALUATE(C7315,F7315)</f>
        <v>34115.529519225798</v>
      </c>
      <c r="H7315" s="5" t="s">
        <v>7356</v>
      </c>
      <c r="I7315" s="7">
        <v>1731300</v>
      </c>
      <c r="J7315" s="8">
        <v>3.6300000000000013E-2</v>
      </c>
    </row>
    <row r="7316" spans="1:10" x14ac:dyDescent="0.25">
      <c r="A7316" s="5" t="s">
        <v>7350</v>
      </c>
      <c r="B7316" s="5" t="s">
        <v>9183</v>
      </c>
      <c r="C7316" s="6" t="str">
        <f>_xll.QS.CONTEXT.CREATE("market.7314",A7316,"USD","SOFR")</f>
        <v>QSObject:PricingContext:w1~market.7314:5451</v>
      </c>
      <c r="D7316" s="6" t="str">
        <f>_xll.QS.CONTEXT.ADD.CURVE(C7316,"SOFR",$K$2:$K$7,$L$2:$L$7,,,"Actual360","LogLinear",TRUE)</f>
        <v>QSObject:ContextInput:w1~input.qs_context_add_curve.2359132437744.7315.3.0:33168</v>
      </c>
      <c r="E7316" s="6" t="str">
        <f>_xll.QS.INSTRUMENT.SWAP("swap.7314",H7316,B7316,"USD","SOFR",I7316,J7316,0,"Actual360","Simple","Annual","Annual","Annual")</f>
        <v>QSObject:Swap:w1~swap.7314:5450</v>
      </c>
      <c r="F7316" s="6" t="str">
        <f>_xll.QS.TRADE.CREATE("trade.7314",E7316,A7316,"Receive")</f>
        <v>QSObject:SwapTrade:w1~trade.7314:24441</v>
      </c>
      <c r="G7316" s="3">
        <f>_xll.QS.EVALUATE(C7316,F7316)</f>
        <v>34723.839274233942</v>
      </c>
      <c r="H7316" s="5" t="s">
        <v>7357</v>
      </c>
      <c r="I7316" s="7">
        <v>1731400</v>
      </c>
      <c r="J7316" s="8">
        <v>3.6400000000000002E-2</v>
      </c>
    </row>
    <row r="7317" spans="1:10" x14ac:dyDescent="0.25">
      <c r="A7317" s="5" t="s">
        <v>7351</v>
      </c>
      <c r="B7317" s="5" t="s">
        <v>9184</v>
      </c>
      <c r="C7317" s="6" t="str">
        <f>_xll.QS.CONTEXT.CREATE("market.7315",A7317,"USD","SOFR")</f>
        <v>QSObject:PricingContext:w1~market.7315:5449</v>
      </c>
      <c r="D7317" s="6" t="str">
        <f>_xll.QS.CONTEXT.ADD.CURVE(C7317,"SOFR",$K$2:$K$7,$L$2:$L$7,,,"Actual360","LogLinear",TRUE)</f>
        <v>QSObject:ContextInput:w1~input.qs_context_add_curve.2359132437744.7316.3.0:33167</v>
      </c>
      <c r="E7317" s="6" t="str">
        <f>_xll.QS.INSTRUMENT.SWAP("swap.7315",H7317,B7317,"USD","SOFR",I7317,J7317,0,"Actual360","Simple","Annual","Annual","Annual")</f>
        <v>QSObject:Swap:w1~swap.7315:5448</v>
      </c>
      <c r="F7317" s="6" t="str">
        <f>_xll.QS.TRADE.CREATE("trade.7315",E7317,A7317,"Receive")</f>
        <v>QSObject:SwapTrade:w1~trade.7315:24440</v>
      </c>
      <c r="G7317" s="3">
        <f>_xll.QS.EVALUATE(C7317,F7317)</f>
        <v>35597.021872860896</v>
      </c>
      <c r="H7317" s="5" t="s">
        <v>7358</v>
      </c>
      <c r="I7317" s="7">
        <v>1731500</v>
      </c>
      <c r="J7317" s="8">
        <v>3.6499999999999998E-2</v>
      </c>
    </row>
    <row r="7318" spans="1:10" x14ac:dyDescent="0.25">
      <c r="A7318" s="5" t="s">
        <v>7352</v>
      </c>
      <c r="B7318" s="5" t="s">
        <v>9185</v>
      </c>
      <c r="C7318" s="6" t="str">
        <f>_xll.QS.CONTEXT.CREATE("market.7316",A7318,"USD","SOFR")</f>
        <v>QSObject:PricingContext:w1~market.7316:5447</v>
      </c>
      <c r="D7318" s="6" t="str">
        <f>_xll.QS.CONTEXT.ADD.CURVE(C7318,"SOFR",$K$2:$K$7,$L$2:$L$7,,,"Actual360","LogLinear",TRUE)</f>
        <v>QSObject:ContextInput:w1~input.qs_context_add_curve.2359132437744.7317.3.0:33166</v>
      </c>
      <c r="E7318" s="6" t="str">
        <f>_xll.QS.INSTRUMENT.SWAP("swap.7316",H7318,B7318,"USD","SOFR",I7318,J7318,0,"Actual360","Simple","Annual","Annual","Annual")</f>
        <v>QSObject:Swap:w1~swap.7316:5446</v>
      </c>
      <c r="F7318" s="6" t="str">
        <f>_xll.QS.TRADE.CREATE("trade.7316",E7318,A7318,"Receive")</f>
        <v>QSObject:SwapTrade:w1~trade.7316:24439</v>
      </c>
      <c r="G7318" s="3">
        <f>_xll.QS.EVALUATE(C7318,F7318)</f>
        <v>36470.332989882787</v>
      </c>
      <c r="H7318" s="5" t="s">
        <v>7359</v>
      </c>
      <c r="I7318" s="7">
        <v>1731600</v>
      </c>
      <c r="J7318" s="8">
        <v>3.6600000000000001E-2</v>
      </c>
    </row>
    <row r="7319" spans="1:10" x14ac:dyDescent="0.25">
      <c r="A7319" s="5" t="s">
        <v>7353</v>
      </c>
      <c r="B7319" s="5" t="s">
        <v>9186</v>
      </c>
      <c r="C7319" s="6" t="str">
        <f>_xll.QS.CONTEXT.CREATE("market.7317",A7319,"USD","SOFR")</f>
        <v>QSObject:PricingContext:w1~market.7317:5445</v>
      </c>
      <c r="D7319" s="6" t="str">
        <f>_xll.QS.CONTEXT.ADD.CURVE(C7319,"SOFR",$K$2:$K$7,$L$2:$L$7,,,"Actual360","LogLinear",TRUE)</f>
        <v>QSObject:ContextInput:w1~input.qs_context_add_curve.2359132437744.7318.3.0:33165</v>
      </c>
      <c r="E7319" s="6" t="str">
        <f>_xll.QS.INSTRUMENT.SWAP("swap.7317",H7319,B7319,"USD","SOFR",I7319,J7319,0,"Actual360","Simple","Annual","Annual","Annual")</f>
        <v>QSObject:Swap:w1~swap.7317:5444</v>
      </c>
      <c r="F7319" s="6" t="str">
        <f>_xll.QS.TRADE.CREATE("trade.7317",E7319,A7319,"Receive")</f>
        <v>QSObject:SwapTrade:w1~trade.7317:24438</v>
      </c>
      <c r="G7319" s="3">
        <f>_xll.QS.EVALUATE(C7319,F7319)</f>
        <v>37508.732433910714</v>
      </c>
      <c r="H7319" s="5" t="s">
        <v>7360</v>
      </c>
      <c r="I7319" s="7">
        <v>1731700</v>
      </c>
      <c r="J7319" s="8">
        <v>3.6700000000000003E-2</v>
      </c>
    </row>
    <row r="7320" spans="1:10" x14ac:dyDescent="0.25">
      <c r="A7320" s="5" t="s">
        <v>7354</v>
      </c>
      <c r="B7320" s="5" t="s">
        <v>9187</v>
      </c>
      <c r="C7320" s="6" t="str">
        <f>_xll.QS.CONTEXT.CREATE("market.7318",A7320,"USD","SOFR")</f>
        <v>QSObject:PricingContext:w1~market.7318:5443</v>
      </c>
      <c r="D7320" s="6" t="str">
        <f>_xll.QS.CONTEXT.ADD.CURVE(C7320,"SOFR",$K$2:$K$7,$L$2:$L$7,,,"Actual360","LogLinear",TRUE)</f>
        <v>QSObject:ContextInput:w1~input.qs_context_add_curve.2359132437744.7319.3.0:33164</v>
      </c>
      <c r="E7320" s="6" t="str">
        <f>_xll.QS.INSTRUMENT.SWAP("swap.7318",H7320,B7320,"USD","SOFR",I7320,J7320,0,"Actual360","Simple","Annual","Annual","Annual")</f>
        <v>QSObject:Swap:w1~swap.7318:5442</v>
      </c>
      <c r="F7320" s="6" t="str">
        <f>_xll.QS.TRADE.CREATE("trade.7318",E7320,A7320,"Receive")</f>
        <v>QSObject:SwapTrade:w1~trade.7318:24437</v>
      </c>
      <c r="G7320" s="3">
        <f>_xll.QS.EVALUATE(C7320,F7320)</f>
        <v>38325.677951912148</v>
      </c>
      <c r="H7320" s="5" t="s">
        <v>7361</v>
      </c>
      <c r="I7320" s="7">
        <v>1731800</v>
      </c>
      <c r="J7320" s="8">
        <v>3.6800000000000013E-2</v>
      </c>
    </row>
    <row r="7321" spans="1:10" x14ac:dyDescent="0.25">
      <c r="A7321" s="5" t="s">
        <v>7355</v>
      </c>
      <c r="B7321" s="5" t="s">
        <v>9188</v>
      </c>
      <c r="C7321" s="6" t="str">
        <f>_xll.QS.CONTEXT.CREATE("market.7319",A7321,"USD","SOFR")</f>
        <v>QSObject:PricingContext:w1~market.7319:5441</v>
      </c>
      <c r="D7321" s="6" t="str">
        <f>_xll.QS.CONTEXT.ADD.CURVE(C7321,"SOFR",$K$2:$K$7,$L$2:$L$7,,,"Actual360","LogLinear",TRUE)</f>
        <v>QSObject:ContextInput:w1~input.qs_context_add_curve.2359132437744.7320.3.0:33163</v>
      </c>
      <c r="E7321" s="6" t="str">
        <f>_xll.QS.INSTRUMENT.SWAP("swap.7319",H7321,B7321,"USD","SOFR",I7321,J7321,0,"Actual360","Simple","Annual","Annual","Annual")</f>
        <v>QSObject:Swap:w1~swap.7319:5440</v>
      </c>
      <c r="F7321" s="6" t="str">
        <f>_xll.QS.TRADE.CREATE("trade.7319",E7321,A7321,"Receive")</f>
        <v>QSObject:SwapTrade:w1~trade.7319:24436</v>
      </c>
      <c r="G7321" s="3">
        <f>_xll.QS.EVALUATE(C7321,F7321)</f>
        <v>39125.387825525846</v>
      </c>
      <c r="H7321" s="5" t="s">
        <v>7362</v>
      </c>
      <c r="I7321" s="7">
        <v>1731900</v>
      </c>
      <c r="J7321" s="8">
        <v>3.6900000000000002E-2</v>
      </c>
    </row>
    <row r="7322" spans="1:10" x14ac:dyDescent="0.25">
      <c r="A7322" s="5" t="s">
        <v>7356</v>
      </c>
      <c r="B7322" s="5" t="s">
        <v>9189</v>
      </c>
      <c r="C7322" s="6" t="str">
        <f>_xll.QS.CONTEXT.CREATE("market.7320",A7322,"USD","SOFR")</f>
        <v>QSObject:PricingContext:w1~market.7320:5439</v>
      </c>
      <c r="D7322" s="6" t="str">
        <f>_xll.QS.CONTEXT.ADD.CURVE(C7322,"SOFR",$K$2:$K$7,$L$2:$L$7,,,"Actual360","LogLinear",TRUE)</f>
        <v>QSObject:ContextInput:w1~input.qs_context_add_curve.2359132437744.7321.3.0:33162</v>
      </c>
      <c r="E7322" s="6" t="str">
        <f>_xll.QS.INSTRUMENT.SWAP("swap.7320",H7322,B7322,"USD","SOFR",I7322,J7322,0,"Actual360","Simple","Annual","Annual","Annual")</f>
        <v>QSObject:Swap:w1~swap.7320:5438</v>
      </c>
      <c r="F7322" s="6" t="str">
        <f>_xll.QS.TRADE.CREATE("trade.7320",E7322,A7322,"Receive")</f>
        <v>QSObject:SwapTrade:w1~trade.7320:24435</v>
      </c>
      <c r="G7322" s="3">
        <f>_xll.QS.EVALUATE(C7322,F7322)</f>
        <v>39806.397759459382</v>
      </c>
      <c r="H7322" s="5" t="s">
        <v>7363</v>
      </c>
      <c r="I7322" s="7">
        <v>1732000</v>
      </c>
      <c r="J7322" s="8">
        <v>3.7000000000000012E-2</v>
      </c>
    </row>
    <row r="7323" spans="1:10" x14ac:dyDescent="0.25">
      <c r="A7323" s="5" t="s">
        <v>7357</v>
      </c>
      <c r="B7323" s="5" t="s">
        <v>9190</v>
      </c>
      <c r="C7323" s="6" t="str">
        <f>_xll.QS.CONTEXT.CREATE("market.7321",A7323,"USD","SOFR")</f>
        <v>QSObject:PricingContext:w1~market.7321:5437</v>
      </c>
      <c r="D7323" s="6" t="str">
        <f>_xll.QS.CONTEXT.ADD.CURVE(C7323,"SOFR",$K$2:$K$7,$L$2:$L$7,,,"Actual360","LogLinear",TRUE)</f>
        <v>QSObject:ContextInput:w1~input.qs_context_add_curve.2359132437744.7322.3.0:33161</v>
      </c>
      <c r="E7323" s="6" t="str">
        <f>_xll.QS.INSTRUMENT.SWAP("swap.7321",H7323,B7323,"USD","SOFR",I7323,J7323,0,"Actual360","Simple","Annual","Annual","Annual")</f>
        <v>QSObject:Swap:w1~swap.7321:5436</v>
      </c>
      <c r="F7323" s="6" t="str">
        <f>_xll.QS.TRADE.CREATE("trade.7321",E7323,A7323,"Receive")</f>
        <v>QSObject:SwapTrade:w1~trade.7321:24434</v>
      </c>
      <c r="G7323" s="3">
        <f>_xll.QS.EVALUATE(C7323,F7323)</f>
        <v>40472.600829712363</v>
      </c>
      <c r="H7323" s="5" t="s">
        <v>7364</v>
      </c>
      <c r="I7323" s="7">
        <v>1732100</v>
      </c>
      <c r="J7323" s="8">
        <v>3.7100000000000001E-2</v>
      </c>
    </row>
    <row r="7324" spans="1:10" x14ac:dyDescent="0.25">
      <c r="A7324" s="5" t="s">
        <v>7358</v>
      </c>
      <c r="B7324" s="5" t="s">
        <v>9191</v>
      </c>
      <c r="C7324" s="6" t="str">
        <f>_xll.QS.CONTEXT.CREATE("market.7322",A7324,"USD","SOFR")</f>
        <v>QSObject:PricingContext:w1~market.7322:5435</v>
      </c>
      <c r="D7324" s="6" t="str">
        <f>_xll.QS.CONTEXT.ADD.CURVE(C7324,"SOFR",$K$2:$K$7,$L$2:$L$7,,,"Actual360","LogLinear",TRUE)</f>
        <v>QSObject:ContextInput:w1~input.qs_context_add_curve.2359132437744.7323.3.0:33160</v>
      </c>
      <c r="E7324" s="6" t="str">
        <f>_xll.QS.INSTRUMENT.SWAP("swap.7322",H7324,B7324,"USD","SOFR",I7324,J7324,0,"Actual360","Simple","Annual","Annual","Annual")</f>
        <v>QSObject:Swap:w1~swap.7322:5434</v>
      </c>
      <c r="F7324" s="6" t="str">
        <f>_xll.QS.TRADE.CREATE("trade.7322",E7324,A7324,"Receive")</f>
        <v>QSObject:SwapTrade:w1~trade.7322:24433</v>
      </c>
      <c r="G7324" s="3">
        <f>_xll.QS.EVALUATE(C7324,F7324)</f>
        <v>41277.109138085092</v>
      </c>
      <c r="H7324" s="5" t="s">
        <v>7365</v>
      </c>
      <c r="I7324" s="7">
        <v>1732200</v>
      </c>
      <c r="J7324" s="8">
        <v>3.7199999999999997E-2</v>
      </c>
    </row>
    <row r="7325" spans="1:10" x14ac:dyDescent="0.25">
      <c r="A7325" s="5" t="s">
        <v>7359</v>
      </c>
      <c r="B7325" s="5" t="s">
        <v>9192</v>
      </c>
      <c r="C7325" s="6" t="str">
        <f>_xll.QS.CONTEXT.CREATE("market.7323",A7325,"USD","SOFR")</f>
        <v>QSObject:PricingContext:w1~market.7323:5433</v>
      </c>
      <c r="D7325" s="6" t="str">
        <f>_xll.QS.CONTEXT.ADD.CURVE(C7325,"SOFR",$K$2:$K$7,$L$2:$L$7,,,"Actual360","LogLinear",TRUE)</f>
        <v>QSObject:ContextInput:w1~input.qs_context_add_curve.2359132437744.7324.3.0:33159</v>
      </c>
      <c r="E7325" s="6" t="str">
        <f>_xll.QS.INSTRUMENT.SWAP("swap.7323",H7325,B7325,"USD","SOFR",I7325,J7325,0,"Actual360","Simple","Annual","Annual","Annual")</f>
        <v>QSObject:Swap:w1~swap.7323:5432</v>
      </c>
      <c r="F7325" s="6" t="str">
        <f>_xll.QS.TRADE.CREATE("trade.7323",E7325,A7325,"Receive")</f>
        <v>QSObject:SwapTrade:w1~trade.7323:24432</v>
      </c>
      <c r="G7325" s="3">
        <f>_xll.QS.EVALUATE(C7325,F7325)</f>
        <v>42124.040607087634</v>
      </c>
      <c r="H7325" s="5" t="s">
        <v>7366</v>
      </c>
      <c r="I7325" s="7">
        <v>1732300</v>
      </c>
      <c r="J7325" s="8">
        <v>3.73E-2</v>
      </c>
    </row>
    <row r="7326" spans="1:10" x14ac:dyDescent="0.25">
      <c r="A7326" s="5" t="s">
        <v>7360</v>
      </c>
      <c r="B7326" s="5" t="s">
        <v>9193</v>
      </c>
      <c r="C7326" s="6" t="str">
        <f>_xll.QS.CONTEXT.CREATE("market.7324",A7326,"USD","SOFR")</f>
        <v>QSObject:PricingContext:w1~market.7324:5431</v>
      </c>
      <c r="D7326" s="6" t="str">
        <f>_xll.QS.CONTEXT.ADD.CURVE(C7326,"SOFR",$K$2:$K$7,$L$2:$L$7,,,"Actual360","LogLinear",TRUE)</f>
        <v>QSObject:ContextInput:w1~input.qs_context_add_curve.2359132437744.7325.3.0:33158</v>
      </c>
      <c r="E7326" s="6" t="str">
        <f>_xll.QS.INSTRUMENT.SWAP("swap.7324",H7326,B7326,"USD","SOFR",I7326,J7326,0,"Actual360","Simple","Annual","Annual","Annual")</f>
        <v>QSObject:Swap:w1~swap.7324:5430</v>
      </c>
      <c r="F7326" s="6" t="str">
        <f>_xll.QS.TRADE.CREATE("trade.7324",E7326,A7326,"Receive")</f>
        <v>QSObject:SwapTrade:w1~trade.7324:24431</v>
      </c>
      <c r="G7326" s="3">
        <f>_xll.QS.EVALUATE(C7326,F7326)</f>
        <v>43052.152369064788</v>
      </c>
      <c r="H7326" s="5" t="s">
        <v>7367</v>
      </c>
      <c r="I7326" s="7">
        <v>1732400</v>
      </c>
      <c r="J7326" s="8">
        <v>3.7400000000000003E-2</v>
      </c>
    </row>
    <row r="7327" spans="1:10" x14ac:dyDescent="0.25">
      <c r="A7327" s="5" t="s">
        <v>7361</v>
      </c>
      <c r="B7327" s="5" t="s">
        <v>9194</v>
      </c>
      <c r="C7327" s="6" t="str">
        <f>_xll.QS.CONTEXT.CREATE("market.7325",A7327,"USD","SOFR")</f>
        <v>QSObject:PricingContext:w1~market.7325:5429</v>
      </c>
      <c r="D7327" s="6" t="str">
        <f>_xll.QS.CONTEXT.ADD.CURVE(C7327,"SOFR",$K$2:$K$7,$L$2:$L$7,,,"Actual360","LogLinear",TRUE)</f>
        <v>QSObject:ContextInput:w1~input.qs_context_add_curve.2359132437744.7326.3.0:33157</v>
      </c>
      <c r="E7327" s="6" t="str">
        <f>_xll.QS.INSTRUMENT.SWAP("swap.7325",H7327,B7327,"USD","SOFR",I7327,J7327,0,"Actual360","Simple","Annual","Annual","Annual")</f>
        <v>QSObject:Swap:w1~swap.7325:5428</v>
      </c>
      <c r="F7327" s="6" t="str">
        <f>_xll.QS.TRADE.CREATE("trade.7325",E7327,A7327,"Receive")</f>
        <v>QSObject:SwapTrade:w1~trade.7325:24430</v>
      </c>
      <c r="G7327" s="3">
        <f>_xll.QS.EVALUATE(C7327,F7327)</f>
        <v>43929.246420034397</v>
      </c>
      <c r="H7327" s="5" t="s">
        <v>7368</v>
      </c>
      <c r="I7327" s="7">
        <v>1732500</v>
      </c>
      <c r="J7327" s="8">
        <v>3.7500000000000012E-2</v>
      </c>
    </row>
    <row r="7328" spans="1:10" x14ac:dyDescent="0.25">
      <c r="A7328" s="5" t="s">
        <v>7362</v>
      </c>
      <c r="B7328" s="5" t="s">
        <v>9195</v>
      </c>
      <c r="C7328" s="6" t="str">
        <f>_xll.QS.CONTEXT.CREATE("market.7326",A7328,"USD","SOFR")</f>
        <v>QSObject:PricingContext:w1~market.7326:5427</v>
      </c>
      <c r="D7328" s="6" t="str">
        <f>_xll.QS.CONTEXT.ADD.CURVE(C7328,"SOFR",$K$2:$K$7,$L$2:$L$7,,,"Actual360","LogLinear",TRUE)</f>
        <v>QSObject:ContextInput:w1~input.qs_context_add_curve.2359132437744.7327.3.0:33156</v>
      </c>
      <c r="E7328" s="6" t="str">
        <f>_xll.QS.INSTRUMENT.SWAP("swap.7326",H7328,B7328,"USD","SOFR",I7328,J7328,0,"Actual360","Simple","Annual","Annual","Annual")</f>
        <v>QSObject:Swap:w1~swap.7326:5426</v>
      </c>
      <c r="F7328" s="6" t="str">
        <f>_xll.QS.TRADE.CREATE("trade.7326",E7328,A7328,"Receive")</f>
        <v>QSObject:SwapTrade:w1~trade.7326:24429</v>
      </c>
      <c r="G7328" s="3">
        <f>_xll.QS.EVALUATE(C7328,F7328)</f>
        <v>44664.113546415596</v>
      </c>
      <c r="H7328" s="5" t="s">
        <v>7369</v>
      </c>
      <c r="I7328" s="7">
        <v>1732600</v>
      </c>
      <c r="J7328" s="8">
        <v>3.7600000000000001E-2</v>
      </c>
    </row>
    <row r="7329" spans="1:10" x14ac:dyDescent="0.25">
      <c r="A7329" s="5" t="s">
        <v>7363</v>
      </c>
      <c r="B7329" s="5" t="s">
        <v>9196</v>
      </c>
      <c r="C7329" s="6" t="str">
        <f>_xll.QS.CONTEXT.CREATE("market.7327",A7329,"USD","SOFR")</f>
        <v>QSObject:PricingContext:w1~market.7327:5425</v>
      </c>
      <c r="D7329" s="6" t="str">
        <f>_xll.QS.CONTEXT.ADD.CURVE(C7329,"SOFR",$K$2:$K$7,$L$2:$L$7,,,"Actual360","LogLinear",TRUE)</f>
        <v>QSObject:ContextInput:w1~input.qs_context_add_curve.2359132437744.7328.3.0:33155</v>
      </c>
      <c r="E7329" s="6" t="str">
        <f>_xll.QS.INSTRUMENT.SWAP("swap.7327",H7329,B7329,"USD","SOFR",I7329,J7329,0,"Actual360","Simple","Annual","Annual","Annual")</f>
        <v>QSObject:Swap:w1~swap.7327:5424</v>
      </c>
      <c r="F7329" s="6" t="str">
        <f>_xll.QS.TRADE.CREATE("trade.7327",E7329,A7329,"Receive")</f>
        <v>QSObject:SwapTrade:w1~trade.7327:24428</v>
      </c>
      <c r="G7329" s="3">
        <f>_xll.QS.EVALUATE(C7329,F7329)</f>
        <v>45426.084527191109</v>
      </c>
      <c r="H7329" s="5" t="s">
        <v>7370</v>
      </c>
      <c r="I7329" s="7">
        <v>1732700</v>
      </c>
      <c r="J7329" s="8">
        <v>3.7699999999999997E-2</v>
      </c>
    </row>
    <row r="7330" spans="1:10" x14ac:dyDescent="0.25">
      <c r="A7330" s="5" t="s">
        <v>7364</v>
      </c>
      <c r="B7330" s="5" t="s">
        <v>9197</v>
      </c>
      <c r="C7330" s="6" t="str">
        <f>_xll.QS.CONTEXT.CREATE("market.7328",A7330,"USD","SOFR")</f>
        <v>QSObject:PricingContext:w1~market.7328:5423</v>
      </c>
      <c r="D7330" s="6" t="str">
        <f>_xll.QS.CONTEXT.ADD.CURVE(C7330,"SOFR",$K$2:$K$7,$L$2:$L$7,,,"Actual360","LogLinear",TRUE)</f>
        <v>QSObject:ContextInput:w1~input.qs_context_add_curve.2359132437744.7329.3.0:33154</v>
      </c>
      <c r="E7330" s="6" t="str">
        <f>_xll.QS.INSTRUMENT.SWAP("swap.7328",H7330,B7330,"USD","SOFR",I7330,J7330,0,"Actual360","Simple","Annual","Annual","Annual")</f>
        <v>QSObject:Swap:w1~swap.7328:5422</v>
      </c>
      <c r="F7330" s="6" t="str">
        <f>_xll.QS.TRADE.CREATE("trade.7328",E7330,A7330,"Receive")</f>
        <v>QSObject:SwapTrade:w1~trade.7328:24427</v>
      </c>
      <c r="G7330" s="3">
        <f>_xll.QS.EVALUATE(C7330,F7330)</f>
        <v>46231.909355218828</v>
      </c>
      <c r="H7330" s="5" t="s">
        <v>7371</v>
      </c>
      <c r="I7330" s="7">
        <v>1732800</v>
      </c>
      <c r="J7330" s="8">
        <v>3.78E-2</v>
      </c>
    </row>
    <row r="7331" spans="1:10" x14ac:dyDescent="0.25">
      <c r="A7331" s="5" t="s">
        <v>7365</v>
      </c>
      <c r="B7331" s="5" t="s">
        <v>9198</v>
      </c>
      <c r="C7331" s="6" t="str">
        <f>_xll.QS.CONTEXT.CREATE("market.7329",A7331,"USD","SOFR")</f>
        <v>QSObject:PricingContext:w1~market.7329:5421</v>
      </c>
      <c r="D7331" s="6" t="str">
        <f>_xll.QS.CONTEXT.ADD.CURVE(C7331,"SOFR",$K$2:$K$7,$L$2:$L$7,,,"Actual360","LogLinear",TRUE)</f>
        <v>QSObject:ContextInput:w1~input.qs_context_add_curve.2359132437744.7330.3.0:33153</v>
      </c>
      <c r="E7331" s="6" t="str">
        <f>_xll.QS.INSTRUMENT.SWAP("swap.7329",H7331,B7331,"USD","SOFR",I7331,J7331,0,"Actual360","Simple","Annual","Annual","Annual")</f>
        <v>QSObject:Swap:w1~swap.7329:5420</v>
      </c>
      <c r="F7331" s="6" t="str">
        <f>_xll.QS.TRADE.CREATE("trade.7329",E7331,A7331,"Receive")</f>
        <v>QSObject:SwapTrade:w1~trade.7329:24426</v>
      </c>
      <c r="G7331" s="3">
        <f>_xll.QS.EVALUATE(C7331,F7331)</f>
        <v>46889.917336974075</v>
      </c>
      <c r="H7331" s="5" t="s">
        <v>7372</v>
      </c>
      <c r="I7331" s="7">
        <v>1732900</v>
      </c>
      <c r="J7331" s="8">
        <v>3.7900000000000003E-2</v>
      </c>
    </row>
    <row r="7332" spans="1:10" x14ac:dyDescent="0.25">
      <c r="A7332" s="5" t="s">
        <v>7366</v>
      </c>
      <c r="B7332" s="5" t="s">
        <v>9199</v>
      </c>
      <c r="C7332" s="6" t="str">
        <f>_xll.QS.CONTEXT.CREATE("market.7330",A7332,"USD","SOFR")</f>
        <v>QSObject:PricingContext:w1~market.7330:5419</v>
      </c>
      <c r="D7332" s="6" t="str">
        <f>_xll.QS.CONTEXT.ADD.CURVE(C7332,"SOFR",$K$2:$K$7,$L$2:$L$7,,,"Actual360","LogLinear",TRUE)</f>
        <v>QSObject:ContextInput:w1~input.qs_context_add_curve.2359132437744.7331.3.0:33152</v>
      </c>
      <c r="E7332" s="6" t="str">
        <f>_xll.QS.INSTRUMENT.SWAP("swap.7330",H7332,B7332,"USD","SOFR",I7332,J7332,0,"Actual360","Simple","Annual","Annual","Annual")</f>
        <v>QSObject:Swap:w1~swap.7330:5418</v>
      </c>
      <c r="F7332" s="6" t="str">
        <f>_xll.QS.TRADE.CREATE("trade.7330",E7332,A7332,"Receive")</f>
        <v>QSObject:SwapTrade:w1~trade.7330:24425</v>
      </c>
      <c r="G7332" s="3">
        <f>_xll.QS.EVALUATE(C7332,F7332)</f>
        <v>47734.978306416029</v>
      </c>
      <c r="H7332" s="5" t="s">
        <v>7373</v>
      </c>
      <c r="I7332" s="7">
        <v>1733000</v>
      </c>
      <c r="J7332" s="8">
        <v>3.8000000000000013E-2</v>
      </c>
    </row>
    <row r="7333" spans="1:10" x14ac:dyDescent="0.25">
      <c r="A7333" s="5" t="s">
        <v>7367</v>
      </c>
      <c r="B7333" s="5" t="s">
        <v>9200</v>
      </c>
      <c r="C7333" s="6" t="str">
        <f>_xll.QS.CONTEXT.CREATE("market.7331",A7333,"USD","SOFR")</f>
        <v>QSObject:PricingContext:w1~market.7331:5417</v>
      </c>
      <c r="D7333" s="6" t="str">
        <f>_xll.QS.CONTEXT.ADD.CURVE(C7333,"SOFR",$K$2:$K$7,$L$2:$L$7,,,"Actual360","LogLinear",TRUE)</f>
        <v>QSObject:ContextInput:w1~input.qs_context_add_curve.2359132437744.7332.3.0:33151</v>
      </c>
      <c r="E7333" s="6" t="str">
        <f>_xll.QS.INSTRUMENT.SWAP("swap.7331",H7333,B7333,"USD","SOFR",I7333,J7333,0,"Actual360","Simple","Annual","Annual","Annual")</f>
        <v>QSObject:Swap:w1~swap.7331:5416</v>
      </c>
      <c r="F7333" s="6" t="str">
        <f>_xll.QS.TRADE.CREATE("trade.7331",E7333,A7333,"Receive")</f>
        <v>QSObject:SwapTrade:w1~trade.7331:24424</v>
      </c>
      <c r="G7333" s="3">
        <f>_xll.QS.EVALUATE(C7333,F7333)</f>
        <v>48730.432495721165</v>
      </c>
      <c r="H7333" s="5" t="s">
        <v>7374</v>
      </c>
      <c r="I7333" s="7">
        <v>1733100</v>
      </c>
      <c r="J7333" s="8">
        <v>3.8100000000000002E-2</v>
      </c>
    </row>
    <row r="7334" spans="1:10" x14ac:dyDescent="0.25">
      <c r="A7334" s="5" t="s">
        <v>7368</v>
      </c>
      <c r="B7334" s="5" t="s">
        <v>9201</v>
      </c>
      <c r="C7334" s="6" t="str">
        <f>_xll.QS.CONTEXT.CREATE("market.7332",A7334,"USD","SOFR")</f>
        <v>QSObject:PricingContext:w1~market.7332:5415</v>
      </c>
      <c r="D7334" s="6" t="str">
        <f>_xll.QS.CONTEXT.ADD.CURVE(C7334,"SOFR",$K$2:$K$7,$L$2:$L$7,,,"Actual360","LogLinear",TRUE)</f>
        <v>QSObject:ContextInput:w1~input.qs_context_add_curve.2359132437744.7333.3.0:33150</v>
      </c>
      <c r="E7334" s="6" t="str">
        <f>_xll.QS.INSTRUMENT.SWAP("swap.7332",H7334,B7334,"USD","SOFR",I7334,J7334,0,"Actual360","Simple","Annual","Annual","Annual")</f>
        <v>QSObject:Swap:w1~swap.7332:5414</v>
      </c>
      <c r="F7334" s="6" t="str">
        <f>_xll.QS.TRADE.CREATE("trade.7332",E7334,A7334,"Receive")</f>
        <v>QSObject:SwapTrade:w1~trade.7332:24423</v>
      </c>
      <c r="G7334" s="3">
        <f>_xll.QS.EVALUATE(C7334,F7334)</f>
        <v>49541.781393905061</v>
      </c>
      <c r="H7334" s="5" t="s">
        <v>7375</v>
      </c>
      <c r="I7334" s="7">
        <v>1733200</v>
      </c>
      <c r="J7334" s="8">
        <v>3.8199999999999998E-2</v>
      </c>
    </row>
    <row r="7335" spans="1:10" x14ac:dyDescent="0.25">
      <c r="A7335" s="5" t="s">
        <v>7369</v>
      </c>
      <c r="B7335" s="5" t="s">
        <v>9202</v>
      </c>
      <c r="C7335" s="6" t="str">
        <f>_xll.QS.CONTEXT.CREATE("market.7333",A7335,"USD","SOFR")</f>
        <v>QSObject:PricingContext:w1~market.7333:5413</v>
      </c>
      <c r="D7335" s="6" t="str">
        <f>_xll.QS.CONTEXT.ADD.CURVE(C7335,"SOFR",$K$2:$K$7,$L$2:$L$7,,,"Actual360","LogLinear",TRUE)</f>
        <v>QSObject:ContextInput:w1~input.qs_context_add_curve.2359132437744.7334.3.0:33149</v>
      </c>
      <c r="E7335" s="6" t="str">
        <f>_xll.QS.INSTRUMENT.SWAP("swap.7333",H7335,B7335,"USD","SOFR",I7335,J7335,0,"Actual360","Simple","Annual","Annual","Annual")</f>
        <v>QSObject:Swap:w1~swap.7333:5412</v>
      </c>
      <c r="F7335" s="6" t="str">
        <f>_xll.QS.TRADE.CREATE("trade.7333",E7335,A7335,"Receive")</f>
        <v>QSObject:SwapTrade:w1~trade.7333:24422</v>
      </c>
      <c r="G7335" s="3">
        <f>_xll.QS.EVALUATE(C7335,F7335)</f>
        <v>50277.205730295798</v>
      </c>
      <c r="H7335" s="5" t="s">
        <v>7376</v>
      </c>
      <c r="I7335" s="7">
        <v>1733300</v>
      </c>
      <c r="J7335" s="8">
        <v>3.8300000000000001E-2</v>
      </c>
    </row>
    <row r="7336" spans="1:10" x14ac:dyDescent="0.25">
      <c r="A7336" s="5" t="s">
        <v>7370</v>
      </c>
      <c r="B7336" s="5" t="s">
        <v>9203</v>
      </c>
      <c r="C7336" s="6" t="str">
        <f>_xll.QS.CONTEXT.CREATE("market.7334",A7336,"USD","SOFR")</f>
        <v>QSObject:PricingContext:w1~market.7334:5411</v>
      </c>
      <c r="D7336" s="6" t="str">
        <f>_xll.QS.CONTEXT.ADD.CURVE(C7336,"SOFR",$K$2:$K$7,$L$2:$L$7,,,"Actual360","LogLinear",TRUE)</f>
        <v>QSObject:ContextInput:w1~input.qs_context_add_curve.2359132437744.7335.3.0:33148</v>
      </c>
      <c r="E7336" s="6" t="str">
        <f>_xll.QS.INSTRUMENT.SWAP("swap.7334",H7336,B7336,"USD","SOFR",I7336,J7336,0,"Actual360","Simple","Annual","Annual","Annual")</f>
        <v>QSObject:Swap:w1~swap.7334:5410</v>
      </c>
      <c r="F7336" s="6" t="str">
        <f>_xll.QS.TRADE.CREATE("trade.7334",E7336,A7336,"Receive")</f>
        <v>QSObject:SwapTrade:w1~trade.7334:24421</v>
      </c>
      <c r="G7336" s="3">
        <f>_xll.QS.EVALUATE(C7336,F7336)</f>
        <v>50946.223411930718</v>
      </c>
      <c r="H7336" s="5" t="s">
        <v>7377</v>
      </c>
      <c r="I7336" s="7">
        <v>1733400</v>
      </c>
      <c r="J7336" s="8">
        <v>3.8399999999999997E-2</v>
      </c>
    </row>
    <row r="7337" spans="1:10" x14ac:dyDescent="0.25">
      <c r="A7337" s="5" t="s">
        <v>7371</v>
      </c>
      <c r="B7337" s="5" t="s">
        <v>9204</v>
      </c>
      <c r="C7337" s="6" t="str">
        <f>_xll.QS.CONTEXT.CREATE("market.7335",A7337,"USD","SOFR")</f>
        <v>QSObject:PricingContext:w1~market.7335:5409</v>
      </c>
      <c r="D7337" s="6" t="str">
        <f>_xll.QS.CONTEXT.ADD.CURVE(C7337,"SOFR",$K$2:$K$7,$L$2:$L$7,,,"Actual360","LogLinear",TRUE)</f>
        <v>QSObject:ContextInput:w1~input.qs_context_add_curve.2359132437744.7336.3.0:33147</v>
      </c>
      <c r="E7337" s="6" t="str">
        <f>_xll.QS.INSTRUMENT.SWAP("swap.7335",H7337,B7337,"USD","SOFR",I7337,J7337,0,"Actual360","Simple","Annual","Annual","Annual")</f>
        <v>QSObject:Swap:w1~swap.7335:5408</v>
      </c>
      <c r="F7337" s="6" t="str">
        <f>_xll.QS.TRADE.CREATE("trade.7335",E7337,A7337,"Receive")</f>
        <v>QSObject:SwapTrade:w1~trade.7335:24420</v>
      </c>
      <c r="G7337" s="3">
        <f>_xll.QS.EVALUATE(C7337,F7337)</f>
        <v>51631.113352830718</v>
      </c>
      <c r="H7337" s="5" t="s">
        <v>7378</v>
      </c>
      <c r="I7337" s="7">
        <v>1733500</v>
      </c>
      <c r="J7337" s="8">
        <v>3.8500000000000013E-2</v>
      </c>
    </row>
    <row r="7338" spans="1:10" x14ac:dyDescent="0.25">
      <c r="A7338" s="5" t="s">
        <v>7372</v>
      </c>
      <c r="B7338" s="5" t="s">
        <v>9205</v>
      </c>
      <c r="C7338" s="6" t="str">
        <f>_xll.QS.CONTEXT.CREATE("market.7336",A7338,"USD","SOFR")</f>
        <v>QSObject:PricingContext:w1~market.7336:5407</v>
      </c>
      <c r="D7338" s="6" t="str">
        <f>_xll.QS.CONTEXT.ADD.CURVE(C7338,"SOFR",$K$2:$K$7,$L$2:$L$7,,,"Actual360","LogLinear",TRUE)</f>
        <v>QSObject:ContextInput:w1~input.qs_context_add_curve.2359132437744.7337.3.0:33146</v>
      </c>
      <c r="E7338" s="6" t="str">
        <f>_xll.QS.INSTRUMENT.SWAP("swap.7336",H7338,B7338,"USD","SOFR",I7338,J7338,0,"Actual360","Simple","Annual","Annual","Annual")</f>
        <v>QSObject:Swap:w1~swap.7336:5406</v>
      </c>
      <c r="F7338" s="6" t="str">
        <f>_xll.QS.TRADE.CREATE("trade.7336",E7338,A7338,"Receive")</f>
        <v>QSObject:SwapTrade:w1~trade.7336:24419</v>
      </c>
      <c r="G7338" s="3">
        <f>_xll.QS.EVALUATE(C7338,F7338)</f>
        <v>52507.501649748105</v>
      </c>
      <c r="H7338" s="5" t="s">
        <v>7379</v>
      </c>
      <c r="I7338" s="7">
        <v>1733600</v>
      </c>
      <c r="J7338" s="8">
        <v>3.8600000000000002E-2</v>
      </c>
    </row>
    <row r="7339" spans="1:10" x14ac:dyDescent="0.25">
      <c r="A7339" s="5" t="s">
        <v>7373</v>
      </c>
      <c r="B7339" s="5" t="s">
        <v>9206</v>
      </c>
      <c r="C7339" s="6" t="str">
        <f>_xll.QS.CONTEXT.CREATE("market.7337",A7339,"USD","SOFR")</f>
        <v>QSObject:PricingContext:w1~market.7337:5405</v>
      </c>
      <c r="D7339" s="6" t="str">
        <f>_xll.QS.CONTEXT.ADD.CURVE(C7339,"SOFR",$K$2:$K$7,$L$2:$L$7,,,"Actual360","LogLinear",TRUE)</f>
        <v>QSObject:ContextInput:w1~input.qs_context_add_curve.2359132437744.7338.3.0:33145</v>
      </c>
      <c r="E7339" s="6" t="str">
        <f>_xll.QS.INSTRUMENT.SWAP("swap.7337",H7339,B7339,"USD","SOFR",I7339,J7339,0,"Actual360","Simple","Annual","Annual","Annual")</f>
        <v>QSObject:Swap:w1~swap.7337:5404</v>
      </c>
      <c r="F7339" s="6" t="str">
        <f>_xll.QS.TRADE.CREATE("trade.7337",E7339,A7339,"Receive")</f>
        <v>QSObject:SwapTrade:w1~trade.7337:24418</v>
      </c>
      <c r="G7339" s="3">
        <f>_xll.QS.EVALUATE(C7339,F7339)</f>
        <v>53350.506590757221</v>
      </c>
      <c r="H7339" s="5" t="s">
        <v>7380</v>
      </c>
      <c r="I7339" s="7">
        <v>1733700</v>
      </c>
      <c r="J7339" s="8">
        <v>3.8700000000000012E-2</v>
      </c>
    </row>
    <row r="7340" spans="1:10" x14ac:dyDescent="0.25">
      <c r="A7340" s="5" t="s">
        <v>7374</v>
      </c>
      <c r="B7340" s="5" t="s">
        <v>9207</v>
      </c>
      <c r="C7340" s="6" t="str">
        <f>_xll.QS.CONTEXT.CREATE("market.7338",A7340,"USD","SOFR")</f>
        <v>QSObject:PricingContext:w1~market.7338:5403</v>
      </c>
      <c r="D7340" s="6" t="str">
        <f>_xll.QS.CONTEXT.ADD.CURVE(C7340,"SOFR",$K$2:$K$7,$L$2:$L$7,,,"Actual360","LogLinear",TRUE)</f>
        <v>QSObject:ContextInput:w1~input.qs_context_add_curve.2359132437744.7339.3.0:33144</v>
      </c>
      <c r="E7340" s="6" t="str">
        <f>_xll.QS.INSTRUMENT.SWAP("swap.7338",H7340,B7340,"USD","SOFR",I7340,J7340,0,"Actual360","Simple","Annual","Annual","Annual")</f>
        <v>QSObject:Swap:w1~swap.7338:5402</v>
      </c>
      <c r="F7340" s="6" t="str">
        <f>_xll.QS.TRADE.CREATE("trade.7338",E7340,A7340,"Receive")</f>
        <v>QSObject:SwapTrade:w1~trade.7338:24417</v>
      </c>
      <c r="G7340" s="3">
        <f>_xll.QS.EVALUATE(C7340,F7340)</f>
        <v>54280.260687043869</v>
      </c>
      <c r="H7340" s="5" t="s">
        <v>7381</v>
      </c>
      <c r="I7340" s="7">
        <v>1733800</v>
      </c>
      <c r="J7340" s="8">
        <v>3.8800000000000001E-2</v>
      </c>
    </row>
    <row r="7341" spans="1:10" x14ac:dyDescent="0.25">
      <c r="A7341" s="5" t="s">
        <v>7375</v>
      </c>
      <c r="B7341" s="5" t="s">
        <v>9208</v>
      </c>
      <c r="C7341" s="6" t="str">
        <f>_xll.QS.CONTEXT.CREATE("market.7339",A7341,"USD","SOFR")</f>
        <v>QSObject:PricingContext:w1~market.7339:5401</v>
      </c>
      <c r="D7341" s="6" t="str">
        <f>_xll.QS.CONTEXT.ADD.CURVE(C7341,"SOFR",$K$2:$K$7,$L$2:$L$7,,,"Actual360","LogLinear",TRUE)</f>
        <v>QSObject:ContextInput:w1~input.qs_context_add_curve.2359132437744.7340.3.0:33143</v>
      </c>
      <c r="E7341" s="6" t="str">
        <f>_xll.QS.INSTRUMENT.SWAP("swap.7339",H7341,B7341,"USD","SOFR",I7341,J7341,0,"Actual360","Simple","Annual","Annual","Annual")</f>
        <v>QSObject:Swap:w1~swap.7339:5400</v>
      </c>
      <c r="F7341" s="6" t="str">
        <f>_xll.QS.TRADE.CREATE("trade.7339",E7341,A7341,"Receive")</f>
        <v>QSObject:SwapTrade:w1~trade.7339:24416</v>
      </c>
      <c r="G7341" s="3">
        <f>_xll.QS.EVALUATE(C7341,F7341)</f>
        <v>55158.835580847721</v>
      </c>
      <c r="H7341" s="5" t="s">
        <v>7382</v>
      </c>
      <c r="I7341" s="7">
        <v>1733900</v>
      </c>
      <c r="J7341" s="8">
        <v>3.8899999999999997E-2</v>
      </c>
    </row>
    <row r="7342" spans="1:10" x14ac:dyDescent="0.25">
      <c r="A7342" s="5" t="s">
        <v>7376</v>
      </c>
      <c r="B7342" s="5" t="s">
        <v>9209</v>
      </c>
      <c r="C7342" s="6" t="str">
        <f>_xll.QS.CONTEXT.CREATE("market.7340",A7342,"USD","SOFR")</f>
        <v>QSObject:PricingContext:w1~market.7340:5399</v>
      </c>
      <c r="D7342" s="6" t="str">
        <f>_xll.QS.CONTEXT.ADD.CURVE(C7342,"SOFR",$K$2:$K$7,$L$2:$L$7,,,"Actual360","LogLinear",TRUE)</f>
        <v>QSObject:ContextInput:w1~input.qs_context_add_curve.2359132437744.7341.3.0:33142</v>
      </c>
      <c r="E7342" s="6" t="str">
        <f>_xll.QS.INSTRUMENT.SWAP("swap.7340",H7342,B7342,"USD","SOFR",I7342,J7342,0,"Actual360","Simple","Annual","Annual","Annual")</f>
        <v>QSObject:Swap:w1~swap.7340:5398</v>
      </c>
      <c r="F7342" s="6" t="str">
        <f>_xll.QS.TRADE.CREATE("trade.7340",E7342,A7342,"Receive")</f>
        <v>QSObject:SwapTrade:w1~trade.7340:24415</v>
      </c>
      <c r="G7342" s="3">
        <f>_xll.QS.EVALUATE(C7342,F7342)</f>
        <v>55894.817077602274</v>
      </c>
      <c r="H7342" s="5" t="s">
        <v>7383</v>
      </c>
      <c r="I7342" s="7">
        <v>1734000</v>
      </c>
      <c r="J7342" s="8">
        <v>3.9000000000000007E-2</v>
      </c>
    </row>
    <row r="7343" spans="1:10" x14ac:dyDescent="0.25">
      <c r="A7343" s="5" t="s">
        <v>7377</v>
      </c>
      <c r="B7343" s="5" t="s">
        <v>9210</v>
      </c>
      <c r="C7343" s="6" t="str">
        <f>_xll.QS.CONTEXT.CREATE("market.7341",A7343,"USD","SOFR")</f>
        <v>QSObject:PricingContext:w1~market.7341:5397</v>
      </c>
      <c r="D7343" s="6" t="str">
        <f>_xll.QS.CONTEXT.ADD.CURVE(C7343,"SOFR",$K$2:$K$7,$L$2:$L$7,,,"Actual360","LogLinear",TRUE)</f>
        <v>QSObject:ContextInput:w1~input.qs_context_add_curve.2359132437744.7342.3.0:33141</v>
      </c>
      <c r="E7343" s="6" t="str">
        <f>_xll.QS.INSTRUMENT.SWAP("swap.7341",H7343,B7343,"USD","SOFR",I7343,J7343,0,"Actual360","Simple","Annual","Annual","Annual")</f>
        <v>QSObject:Swap:w1~swap.7341:5396</v>
      </c>
      <c r="F7343" s="6" t="str">
        <f>_xll.QS.TRADE.CREATE("trade.7341",E7343,A7343,"Receive")</f>
        <v>QSObject:SwapTrade:w1~trade.7341:24414</v>
      </c>
      <c r="G7343" s="3">
        <f>_xll.QS.EVALUATE(C7343,F7343)</f>
        <v>56522.266349038131</v>
      </c>
      <c r="H7343" s="5" t="s">
        <v>7384</v>
      </c>
      <c r="I7343" s="7">
        <v>1734100</v>
      </c>
      <c r="J7343" s="8">
        <v>3.9100000000000003E-2</v>
      </c>
    </row>
    <row r="7344" spans="1:10" x14ac:dyDescent="0.25">
      <c r="A7344" s="5" t="s">
        <v>7378</v>
      </c>
      <c r="B7344" s="5" t="s">
        <v>9211</v>
      </c>
      <c r="C7344" s="6" t="str">
        <f>_xll.QS.CONTEXT.CREATE("market.7342",A7344,"USD","SOFR")</f>
        <v>QSObject:PricingContext:w1~market.7342:5395</v>
      </c>
      <c r="D7344" s="6" t="str">
        <f>_xll.QS.CONTEXT.ADD.CURVE(C7344,"SOFR",$K$2:$K$7,$L$2:$L$7,,,"Actual360","LogLinear",TRUE)</f>
        <v>QSObject:ContextInput:w1~input.qs_context_add_curve.2359132437744.7343.3.0:33140</v>
      </c>
      <c r="E7344" s="6" t="str">
        <f>_xll.QS.INSTRUMENT.SWAP("swap.7342",H7344,B7344,"USD","SOFR",I7344,J7344,0,"Actual360","Simple","Annual","Annual","Annual")</f>
        <v>QSObject:Swap:w1~swap.7342:5394</v>
      </c>
      <c r="F7344" s="6" t="str">
        <f>_xll.QS.TRADE.CREATE("trade.7342",E7344,A7344,"Receive")</f>
        <v>QSObject:SwapTrade:w1~trade.7342:24413</v>
      </c>
      <c r="G7344" s="3">
        <f>_xll.QS.EVALUATE(C7344,F7344)</f>
        <v>57178.436092864838</v>
      </c>
      <c r="H7344" s="5" t="s">
        <v>7385</v>
      </c>
      <c r="I7344" s="7">
        <v>1734200</v>
      </c>
      <c r="J7344" s="8">
        <v>3.9200000000000013E-2</v>
      </c>
    </row>
    <row r="7345" spans="1:10" x14ac:dyDescent="0.25">
      <c r="A7345" s="5" t="s">
        <v>7379</v>
      </c>
      <c r="B7345" s="5" t="s">
        <v>9212</v>
      </c>
      <c r="C7345" s="6" t="str">
        <f>_xll.QS.CONTEXT.CREATE("market.7343",A7345,"USD","SOFR")</f>
        <v>QSObject:PricingContext:w1~market.7343:5393</v>
      </c>
      <c r="D7345" s="6" t="str">
        <f>_xll.QS.CONTEXT.ADD.CURVE(C7345,"SOFR",$K$2:$K$7,$L$2:$L$7,,,"Actual360","LogLinear",TRUE)</f>
        <v>QSObject:ContextInput:w1~input.qs_context_add_curve.2359132437744.7344.3.0:33139</v>
      </c>
      <c r="E7345" s="6" t="str">
        <f>_xll.QS.INSTRUMENT.SWAP("swap.7343",H7345,B7345,"USD","SOFR",I7345,J7345,0,"Actual360","Simple","Annual","Annual","Annual")</f>
        <v>QSObject:Swap:w1~swap.7343:5392</v>
      </c>
      <c r="F7345" s="6" t="str">
        <f>_xll.QS.TRADE.CREATE("trade.7343",E7345,A7345,"Receive")</f>
        <v>QSObject:SwapTrade:w1~trade.7343:24412</v>
      </c>
      <c r="G7345" s="3">
        <f>_xll.QS.EVALUATE(C7345,F7345)</f>
        <v>58055.920343105507</v>
      </c>
      <c r="H7345" s="5" t="s">
        <v>7386</v>
      </c>
      <c r="I7345" s="7">
        <v>1734300</v>
      </c>
      <c r="J7345" s="8">
        <v>3.9300000000000002E-2</v>
      </c>
    </row>
    <row r="7346" spans="1:10" x14ac:dyDescent="0.25">
      <c r="A7346" s="5" t="s">
        <v>7380</v>
      </c>
      <c r="B7346" s="5" t="s">
        <v>9213</v>
      </c>
      <c r="C7346" s="6" t="str">
        <f>_xll.QS.CONTEXT.CREATE("market.7344",A7346,"USD","SOFR")</f>
        <v>QSObject:PricingContext:w1~market.7344:5391</v>
      </c>
      <c r="D7346" s="6" t="str">
        <f>_xll.QS.CONTEXT.ADD.CURVE(C7346,"SOFR",$K$2:$K$7,$L$2:$L$7,,,"Actual360","LogLinear",TRUE)</f>
        <v>QSObject:ContextInput:w1~input.qs_context_add_curve.2359132437744.7345.3.0:33138</v>
      </c>
      <c r="E7346" s="6" t="str">
        <f>_xll.QS.INSTRUMENT.SWAP("swap.7344",H7346,B7346,"USD","SOFR",I7346,J7346,0,"Actual360","Simple","Annual","Annual","Annual")</f>
        <v>QSObject:Swap:w1~swap.7344:5390</v>
      </c>
      <c r="F7346" s="6" t="str">
        <f>_xll.QS.TRADE.CREATE("trade.7344",E7346,A7346,"Receive")</f>
        <v>QSObject:SwapTrade:w1~trade.7344:24411</v>
      </c>
      <c r="G7346" s="3">
        <f>_xll.QS.EVALUATE(C7346,F7346)</f>
        <v>58933.633884701128</v>
      </c>
      <c r="H7346" s="5" t="s">
        <v>7387</v>
      </c>
      <c r="I7346" s="7">
        <v>1734400</v>
      </c>
      <c r="J7346" s="8">
        <v>3.9399999999999998E-2</v>
      </c>
    </row>
    <row r="7347" spans="1:10" x14ac:dyDescent="0.25">
      <c r="A7347" s="5" t="s">
        <v>7381</v>
      </c>
      <c r="B7347" s="5" t="s">
        <v>9214</v>
      </c>
      <c r="C7347" s="6" t="str">
        <f>_xll.QS.CONTEXT.CREATE("market.7345",A7347,"USD","SOFR")</f>
        <v>QSObject:PricingContext:w1~market.7345:5389</v>
      </c>
      <c r="D7347" s="6" t="str">
        <f>_xll.QS.CONTEXT.ADD.CURVE(C7347,"SOFR",$K$2:$K$7,$L$2:$L$7,,,"Actual360","LogLinear",TRUE)</f>
        <v>QSObject:ContextInput:w1~input.qs_context_add_curve.2359132437744.7346.3.0:33137</v>
      </c>
      <c r="E7347" s="6" t="str">
        <f>_xll.QS.INSTRUMENT.SWAP("swap.7345",H7347,B7347,"USD","SOFR",I7347,J7347,0,"Actual360","Simple","Annual","Annual","Annual")</f>
        <v>QSObject:Swap:w1~swap.7345:5388</v>
      </c>
      <c r="F7347" s="6" t="str">
        <f>_xll.QS.TRADE.CREATE("trade.7345",E7347,A7347,"Receive")</f>
        <v>QSObject:SwapTrade:w1~trade.7345:24410</v>
      </c>
      <c r="G7347" s="3">
        <f>_xll.QS.EVALUATE(C7347,F7347)</f>
        <v>59964.991781709483</v>
      </c>
      <c r="H7347" s="5" t="s">
        <v>7388</v>
      </c>
      <c r="I7347" s="7">
        <v>1734500</v>
      </c>
      <c r="J7347" s="8">
        <v>3.9500000000000007E-2</v>
      </c>
    </row>
    <row r="7348" spans="1:10" x14ac:dyDescent="0.25">
      <c r="A7348" s="5" t="s">
        <v>7382</v>
      </c>
      <c r="B7348" s="5" t="s">
        <v>9215</v>
      </c>
      <c r="C7348" s="6" t="str">
        <f>_xll.QS.CONTEXT.CREATE("market.7346",A7348,"USD","SOFR")</f>
        <v>QSObject:PricingContext:w1~market.7346:5387</v>
      </c>
      <c r="D7348" s="6" t="str">
        <f>_xll.QS.CONTEXT.ADD.CURVE(C7348,"SOFR",$K$2:$K$7,$L$2:$L$7,,,"Actual360","LogLinear",TRUE)</f>
        <v>QSObject:ContextInput:w1~input.qs_context_add_curve.2359132437744.7347.3.0:33136</v>
      </c>
      <c r="E7348" s="6" t="str">
        <f>_xll.QS.INSTRUMENT.SWAP("swap.7346",H7348,B7348,"USD","SOFR",I7348,J7348,0,"Actual360","Simple","Annual","Annual","Annual")</f>
        <v>QSObject:Swap:w1~swap.7346:5386</v>
      </c>
      <c r="F7348" s="6" t="str">
        <f>_xll.QS.TRADE.CREATE("trade.7346",E7348,A7348,"Receive")</f>
        <v>QSObject:SwapTrade:w1~trade.7346:24409</v>
      </c>
      <c r="G7348" s="3">
        <f>_xll.QS.EVALUATE(C7348,F7348)</f>
        <v>60784.372380392007</v>
      </c>
      <c r="H7348" s="5" t="s">
        <v>7389</v>
      </c>
      <c r="I7348" s="7">
        <v>1734600</v>
      </c>
      <c r="J7348" s="8">
        <v>3.9600000000000003E-2</v>
      </c>
    </row>
    <row r="7349" spans="1:10" x14ac:dyDescent="0.25">
      <c r="A7349" s="5" t="s">
        <v>7383</v>
      </c>
      <c r="B7349" s="5" t="s">
        <v>9216</v>
      </c>
      <c r="C7349" s="6" t="str">
        <f>_xll.QS.CONTEXT.CREATE("market.7347",A7349,"USD","SOFR")</f>
        <v>QSObject:PricingContext:w1~market.7347:5385</v>
      </c>
      <c r="D7349" s="6" t="str">
        <f>_xll.QS.CONTEXT.ADD.CURVE(C7349,"SOFR",$K$2:$K$7,$L$2:$L$7,,,"Actual360","LogLinear",TRUE)</f>
        <v>QSObject:ContextInput:w1~input.qs_context_add_curve.2359132437744.7348.3.0:33135</v>
      </c>
      <c r="E7349" s="6" t="str">
        <f>_xll.QS.INSTRUMENT.SWAP("swap.7347",H7349,B7349,"USD","SOFR",I7349,J7349,0,"Actual360","Simple","Annual","Annual","Annual")</f>
        <v>QSObject:Swap:w1~swap.7347:5384</v>
      </c>
      <c r="F7349" s="6" t="str">
        <f>_xll.QS.TRADE.CREATE("trade.7347",E7349,A7349,"Receive")</f>
        <v>QSObject:SwapTrade:w1~trade.7347:24408</v>
      </c>
      <c r="G7349" s="3">
        <f>_xll.QS.EVALUATE(C7349,F7349)</f>
        <v>61587.137807452469</v>
      </c>
      <c r="H7349" s="5" t="s">
        <v>7390</v>
      </c>
      <c r="I7349" s="7">
        <v>1734700</v>
      </c>
      <c r="J7349" s="8">
        <v>3.9700000000000013E-2</v>
      </c>
    </row>
    <row r="7350" spans="1:10" x14ac:dyDescent="0.25">
      <c r="A7350" s="5" t="s">
        <v>7384</v>
      </c>
      <c r="B7350" s="5" t="s">
        <v>9217</v>
      </c>
      <c r="C7350" s="6" t="str">
        <f>_xll.QS.CONTEXT.CREATE("market.7348",A7350,"USD","SOFR")</f>
        <v>QSObject:PricingContext:w1~market.7348:5383</v>
      </c>
      <c r="D7350" s="6" t="str">
        <f>_xll.QS.CONTEXT.ADD.CURVE(C7350,"SOFR",$K$2:$K$7,$L$2:$L$7,,,"Actual360","LogLinear",TRUE)</f>
        <v>QSObject:ContextInput:w1~input.qs_context_add_curve.2359132437744.7349.3.0:33134</v>
      </c>
      <c r="E7350" s="6" t="str">
        <f>_xll.QS.INSTRUMENT.SWAP("swap.7348",H7350,B7350,"USD","SOFR",I7350,J7350,0,"Actual360","Simple","Annual","Annual","Annual")</f>
        <v>QSObject:Swap:w1~swap.7348:5382</v>
      </c>
      <c r="F7350" s="6" t="str">
        <f>_xll.QS.TRADE.CREATE("trade.7348",E7350,A7350,"Receive")</f>
        <v>QSObject:SwapTrade:w1~trade.7348:24407</v>
      </c>
      <c r="G7350" s="3">
        <f>_xll.QS.EVALUATE(C7350,F7350)</f>
        <v>62244.219098182548</v>
      </c>
      <c r="H7350" s="5" t="s">
        <v>7391</v>
      </c>
      <c r="I7350" s="7">
        <v>1734800</v>
      </c>
      <c r="J7350" s="8">
        <v>3.9800000000000002E-2</v>
      </c>
    </row>
    <row r="7351" spans="1:10" x14ac:dyDescent="0.25">
      <c r="A7351" s="5" t="s">
        <v>7385</v>
      </c>
      <c r="B7351" s="5" t="s">
        <v>9218</v>
      </c>
      <c r="C7351" s="6" t="str">
        <f>_xll.QS.CONTEXT.CREATE("market.7349",A7351,"USD","SOFR")</f>
        <v>QSObject:PricingContext:w1~market.7349:5381</v>
      </c>
      <c r="D7351" s="6" t="str">
        <f>_xll.QS.CONTEXT.ADD.CURVE(C7351,"SOFR",$K$2:$K$7,$L$2:$L$7,,,"Actual360","LogLinear",TRUE)</f>
        <v>QSObject:ContextInput:w1~input.qs_context_add_curve.2359132437744.7350.3.0:33133</v>
      </c>
      <c r="E7351" s="6" t="str">
        <f>_xll.QS.INSTRUMENT.SWAP("swap.7349",H7351,B7351,"USD","SOFR",I7351,J7351,0,"Actual360","Simple","Annual","Annual","Annual")</f>
        <v>QSObject:Swap:w1~swap.7349:5380</v>
      </c>
      <c r="F7351" s="6" t="str">
        <f>_xll.QS.TRADE.CREATE("trade.7349",E7351,A7351,"Receive")</f>
        <v>QSObject:SwapTrade:w1~trade.7349:24406</v>
      </c>
      <c r="G7351" s="3">
        <f>_xll.QS.EVALUATE(C7351,F7351)</f>
        <v>62947.765253451587</v>
      </c>
      <c r="H7351" s="5" t="s">
        <v>7392</v>
      </c>
      <c r="I7351" s="7">
        <v>1734900</v>
      </c>
      <c r="J7351" s="8">
        <v>3.9899999999999998E-2</v>
      </c>
    </row>
    <row r="7352" spans="1:10" x14ac:dyDescent="0.25">
      <c r="A7352" s="5" t="s">
        <v>7386</v>
      </c>
      <c r="B7352" s="5" t="s">
        <v>9219</v>
      </c>
      <c r="C7352" s="6" t="str">
        <f>_xll.QS.CONTEXT.CREATE("market.7350",A7352,"USD","SOFR")</f>
        <v>QSObject:PricingContext:w1~market.7350:5379</v>
      </c>
      <c r="D7352" s="6" t="str">
        <f>_xll.QS.CONTEXT.ADD.CURVE(C7352,"SOFR",$K$2:$K$7,$L$2:$L$7,,,"Actual360","LogLinear",TRUE)</f>
        <v>QSObject:ContextInput:w1~input.qs_context_add_curve.2359132437744.7351.3.0:33132</v>
      </c>
      <c r="E7352" s="6" t="str">
        <f>_xll.QS.INSTRUMENT.SWAP("swap.7350",H7352,B7352,"USD","SOFR",I7352,J7352,0,"Actual360","Simple","Annual","Annual","Annual")</f>
        <v>QSObject:Swap:w1~swap.7350:5378</v>
      </c>
      <c r="F7352" s="6" t="str">
        <f>_xll.QS.TRADE.CREATE("trade.7350",E7352,A7352,"Receive")</f>
        <v>QSObject:SwapTrade:w1~trade.7350:24405</v>
      </c>
      <c r="G7352" s="3">
        <f>_xll.QS.EVALUATE(C7352,F7352)</f>
        <v>23734.03463622526</v>
      </c>
      <c r="H7352" s="5" t="s">
        <v>7393</v>
      </c>
      <c r="I7352" s="7">
        <v>1735000</v>
      </c>
      <c r="J7352" s="8">
        <v>3.5000000000000003E-2</v>
      </c>
    </row>
    <row r="7353" spans="1:10" x14ac:dyDescent="0.25">
      <c r="A7353" s="5" t="s">
        <v>7387</v>
      </c>
      <c r="B7353" s="5" t="s">
        <v>9220</v>
      </c>
      <c r="C7353" s="6" t="str">
        <f>_xll.QS.CONTEXT.CREATE("market.7351",A7353,"USD","SOFR")</f>
        <v>QSObject:PricingContext:w1~market.7351:5377</v>
      </c>
      <c r="D7353" s="6" t="str">
        <f>_xll.QS.CONTEXT.ADD.CURVE(C7353,"SOFR",$K$2:$K$7,$L$2:$L$7,,,"Actual360","LogLinear",TRUE)</f>
        <v>QSObject:ContextInput:w1~input.qs_context_add_curve.2359132437744.7352.3.0:33131</v>
      </c>
      <c r="E7353" s="6" t="str">
        <f>_xll.QS.INSTRUMENT.SWAP("swap.7351",H7353,B7353,"USD","SOFR",I7353,J7353,0,"Actual360","Simple","Annual","Annual","Annual")</f>
        <v>QSObject:Swap:w1~swap.7351:5376</v>
      </c>
      <c r="F7353" s="6" t="str">
        <f>_xll.QS.TRADE.CREATE("trade.7351",E7353,A7353,"Receive")</f>
        <v>QSObject:SwapTrade:w1~trade.7351:24404</v>
      </c>
      <c r="G7353" s="3">
        <f>_xll.QS.EVALUATE(C7353,F7353)</f>
        <v>24590.316466354096</v>
      </c>
      <c r="H7353" s="5" t="s">
        <v>7394</v>
      </c>
      <c r="I7353" s="7">
        <v>1735100</v>
      </c>
      <c r="J7353" s="8">
        <v>3.5100000000000013E-2</v>
      </c>
    </row>
    <row r="7354" spans="1:10" x14ac:dyDescent="0.25">
      <c r="A7354" s="5" t="s">
        <v>7388</v>
      </c>
      <c r="B7354" s="5" t="s">
        <v>9221</v>
      </c>
      <c r="C7354" s="6" t="str">
        <f>_xll.QS.CONTEXT.CREATE("market.7352",A7354,"USD","SOFR")</f>
        <v>QSObject:PricingContext:w1~market.7352:5375</v>
      </c>
      <c r="D7354" s="6" t="str">
        <f>_xll.QS.CONTEXT.ADD.CURVE(C7354,"SOFR",$K$2:$K$7,$L$2:$L$7,,,"Actual360","LogLinear",TRUE)</f>
        <v>QSObject:ContextInput:w1~input.qs_context_add_curve.2359132437744.7353.3.0:33130</v>
      </c>
      <c r="E7354" s="6" t="str">
        <f>_xll.QS.INSTRUMENT.SWAP("swap.7352",H7354,B7354,"USD","SOFR",I7354,J7354,0,"Actual360","Simple","Annual","Annual","Annual")</f>
        <v>QSObject:Swap:w1~swap.7352:5374</v>
      </c>
      <c r="F7354" s="6" t="str">
        <f>_xll.QS.TRADE.CREATE("trade.7352",E7354,A7354,"Receive")</f>
        <v>QSObject:SwapTrade:w1~trade.7352:24403</v>
      </c>
      <c r="G7354" s="3">
        <f>_xll.QS.EVALUATE(C7354,F7354)</f>
        <v>25518.234938605572</v>
      </c>
      <c r="H7354" s="5" t="s">
        <v>7395</v>
      </c>
      <c r="I7354" s="7">
        <v>1735200</v>
      </c>
      <c r="J7354" s="8">
        <v>3.5200000000000002E-2</v>
      </c>
    </row>
    <row r="7355" spans="1:10" x14ac:dyDescent="0.25">
      <c r="A7355" s="5" t="s">
        <v>7389</v>
      </c>
      <c r="B7355" s="5" t="s">
        <v>9222</v>
      </c>
      <c r="C7355" s="6" t="str">
        <f>_xll.QS.CONTEXT.CREATE("market.7353",A7355,"USD","SOFR")</f>
        <v>QSObject:PricingContext:w1~market.7353:5373</v>
      </c>
      <c r="D7355" s="6" t="str">
        <f>_xll.QS.CONTEXT.ADD.CURVE(C7355,"SOFR",$K$2:$K$7,$L$2:$L$7,,,"Actual360","LogLinear",TRUE)</f>
        <v>QSObject:ContextInput:w1~input.qs_context_add_curve.2359132437744.7354.3.0:33129</v>
      </c>
      <c r="E7355" s="6" t="str">
        <f>_xll.QS.INSTRUMENT.SWAP("swap.7353",H7355,B7355,"USD","SOFR",I7355,J7355,0,"Actual360","Simple","Annual","Annual","Annual")</f>
        <v>QSObject:Swap:w1~swap.7353:5372</v>
      </c>
      <c r="F7355" s="6" t="str">
        <f>_xll.QS.TRADE.CREATE("trade.7353",E7355,A7355,"Receive")</f>
        <v>QSObject:SwapTrade:w1~trade.7353:24402</v>
      </c>
      <c r="G7355" s="3">
        <f>_xll.QS.EVALUATE(C7355,F7355)</f>
        <v>26395.325858191449</v>
      </c>
      <c r="H7355" s="5" t="s">
        <v>7396</v>
      </c>
      <c r="I7355" s="7">
        <v>1735300</v>
      </c>
      <c r="J7355" s="8">
        <v>3.5299999999999998E-2</v>
      </c>
    </row>
    <row r="7356" spans="1:10" x14ac:dyDescent="0.25">
      <c r="A7356" s="5" t="s">
        <v>7390</v>
      </c>
      <c r="B7356" s="5" t="s">
        <v>9223</v>
      </c>
      <c r="C7356" s="6" t="str">
        <f>_xll.QS.CONTEXT.CREATE("market.7354",A7356,"USD","SOFR")</f>
        <v>QSObject:PricingContext:w1~market.7354:5371</v>
      </c>
      <c r="D7356" s="6" t="str">
        <f>_xll.QS.CONTEXT.ADD.CURVE(C7356,"SOFR",$K$2:$K$7,$L$2:$L$7,,,"Actual360","LogLinear",TRUE)</f>
        <v>QSObject:ContextInput:w1~input.qs_context_add_curve.2359132437744.7355.3.0:33128</v>
      </c>
      <c r="E7356" s="6" t="str">
        <f>_xll.QS.INSTRUMENT.SWAP("swap.7354",H7356,B7356,"USD","SOFR",I7356,J7356,0,"Actual360","Simple","Annual","Annual","Annual")</f>
        <v>QSObject:Swap:w1~swap.7354:5370</v>
      </c>
      <c r="F7356" s="6" t="str">
        <f>_xll.QS.TRADE.CREATE("trade.7354",E7356,A7356,"Receive")</f>
        <v>QSObject:SwapTrade:w1~trade.7354:24401</v>
      </c>
      <c r="G7356" s="3">
        <f>_xll.QS.EVALUATE(C7356,F7356)</f>
        <v>27130.55537607766</v>
      </c>
      <c r="H7356" s="5" t="s">
        <v>7397</v>
      </c>
      <c r="I7356" s="7">
        <v>1735400</v>
      </c>
      <c r="J7356" s="8">
        <v>3.5400000000000001E-2</v>
      </c>
    </row>
    <row r="7357" spans="1:10" x14ac:dyDescent="0.25">
      <c r="A7357" s="5" t="s">
        <v>7391</v>
      </c>
      <c r="B7357" s="5" t="s">
        <v>9224</v>
      </c>
      <c r="C7357" s="6" t="str">
        <f>_xll.QS.CONTEXT.CREATE("market.7355",A7357,"USD","SOFR")</f>
        <v>QSObject:PricingContext:w1~market.7355:5369</v>
      </c>
      <c r="D7357" s="6" t="str">
        <f>_xll.QS.CONTEXT.ADD.CURVE(C7357,"SOFR",$K$2:$K$7,$L$2:$L$7,,,"Actual360","LogLinear",TRUE)</f>
        <v>QSObject:ContextInput:w1~input.qs_context_add_curve.2359132437744.7356.3.0:33127</v>
      </c>
      <c r="E7357" s="6" t="str">
        <f>_xll.QS.INSTRUMENT.SWAP("swap.7355",H7357,B7357,"USD","SOFR",I7357,J7357,0,"Actual360","Simple","Annual","Annual","Annual")</f>
        <v>QSObject:Swap:w1~swap.7355:5368</v>
      </c>
      <c r="F7357" s="6" t="str">
        <f>_xll.QS.TRADE.CREATE("trade.7355",E7357,A7357,"Receive")</f>
        <v>QSObject:SwapTrade:w1~trade.7355:24400</v>
      </c>
      <c r="G7357" s="3">
        <f>_xll.QS.EVALUATE(C7357,F7357)</f>
        <v>27882.647183918489</v>
      </c>
      <c r="H7357" s="5" t="s">
        <v>7398</v>
      </c>
      <c r="I7357" s="7">
        <v>1735500</v>
      </c>
      <c r="J7357" s="8">
        <v>3.5499999999999997E-2</v>
      </c>
    </row>
    <row r="7358" spans="1:10" x14ac:dyDescent="0.25">
      <c r="A7358" s="5" t="s">
        <v>7392</v>
      </c>
      <c r="B7358" s="5" t="s">
        <v>9225</v>
      </c>
      <c r="C7358" s="6" t="str">
        <f>_xll.QS.CONTEXT.CREATE("market.7356",A7358,"USD","SOFR")</f>
        <v>QSObject:PricingContext:w1~market.7356:5367</v>
      </c>
      <c r="D7358" s="6" t="str">
        <f>_xll.QS.CONTEXT.ADD.CURVE(C7358,"SOFR",$K$2:$K$7,$L$2:$L$7,,,"Actual360","LogLinear",TRUE)</f>
        <v>QSObject:ContextInput:w1~input.qs_context_add_curve.2359132437744.7357.3.0:33126</v>
      </c>
      <c r="E7358" s="6" t="str">
        <f>_xll.QS.INSTRUMENT.SWAP("swap.7356",H7358,B7358,"USD","SOFR",I7358,J7358,0,"Actual360","Simple","Annual","Annual","Annual")</f>
        <v>QSObject:Swap:w1~swap.7356:5366</v>
      </c>
      <c r="F7358" s="6" t="str">
        <f>_xll.QS.TRADE.CREATE("trade.7356",E7358,A7358,"Receive")</f>
        <v>QSObject:SwapTrade:w1~trade.7356:24399</v>
      </c>
      <c r="G7358" s="3">
        <f>_xll.QS.EVALUATE(C7358,F7358)</f>
        <v>28687.274783283603</v>
      </c>
      <c r="H7358" s="5" t="s">
        <v>7399</v>
      </c>
      <c r="I7358" s="7">
        <v>1735600</v>
      </c>
      <c r="J7358" s="8">
        <v>3.5600000000000007E-2</v>
      </c>
    </row>
    <row r="7359" spans="1:10" x14ac:dyDescent="0.25">
      <c r="A7359" s="5" t="s">
        <v>7393</v>
      </c>
      <c r="B7359" s="5" t="s">
        <v>9226</v>
      </c>
      <c r="C7359" s="6" t="str">
        <f>_xll.QS.CONTEXT.CREATE("market.7357",A7359,"USD","SOFR")</f>
        <v>QSObject:PricingContext:w1~market.7357:5365</v>
      </c>
      <c r="D7359" s="6" t="str">
        <f>_xll.QS.CONTEXT.ADD.CURVE(C7359,"SOFR",$K$2:$K$7,$L$2:$L$7,,,"Actual360","LogLinear",TRUE)</f>
        <v>QSObject:ContextInput:w1~input.qs_context_add_curve.2359132437744.7358.3.0:33125</v>
      </c>
      <c r="E7359" s="6" t="str">
        <f>_xll.QS.INSTRUMENT.SWAP("swap.7357",H7359,B7359,"USD","SOFR",I7359,J7359,0,"Actual360","Simple","Annual","Annual","Annual")</f>
        <v>QSObject:Swap:w1~swap.7357:5364</v>
      </c>
      <c r="F7359" s="6" t="str">
        <f>_xll.QS.TRADE.CREATE("trade.7357",E7359,A7359,"Receive")</f>
        <v>QSObject:SwapTrade:w1~trade.7357:24398</v>
      </c>
      <c r="G7359" s="3">
        <f>_xll.QS.EVALUATE(C7359,F7359)</f>
        <v>29348.549338451376</v>
      </c>
      <c r="H7359" s="5" t="s">
        <v>7400</v>
      </c>
      <c r="I7359" s="7">
        <v>1735700</v>
      </c>
      <c r="J7359" s="8">
        <v>3.5700000000000003E-2</v>
      </c>
    </row>
    <row r="7360" spans="1:10" x14ac:dyDescent="0.25">
      <c r="A7360" s="5" t="s">
        <v>7394</v>
      </c>
      <c r="B7360" s="5" t="s">
        <v>9227</v>
      </c>
      <c r="C7360" s="6" t="str">
        <f>_xll.QS.CONTEXT.CREATE("market.7358",A7360,"USD","SOFR")</f>
        <v>QSObject:PricingContext:w1~market.7358:5363</v>
      </c>
      <c r="D7360" s="6" t="str">
        <f>_xll.QS.CONTEXT.ADD.CURVE(C7360,"SOFR",$K$2:$K$7,$L$2:$L$7,,,"Actual360","LogLinear",TRUE)</f>
        <v>QSObject:ContextInput:w1~input.qs_context_add_curve.2359132437744.7359.3.0:33124</v>
      </c>
      <c r="E7360" s="6" t="str">
        <f>_xll.QS.INSTRUMENT.SWAP("swap.7358",H7360,B7360,"USD","SOFR",I7360,J7360,0,"Actual360","Simple","Annual","Annual","Annual")</f>
        <v>QSObject:Swap:w1~swap.7358:5362</v>
      </c>
      <c r="F7360" s="6" t="str">
        <f>_xll.QS.TRADE.CREATE("trade.7358",E7360,A7360,"Receive")</f>
        <v>QSObject:SwapTrade:w1~trade.7358:24397</v>
      </c>
      <c r="G7360" s="3">
        <f>_xll.QS.EVALUATE(C7360,F7360)</f>
        <v>30202.5399699548</v>
      </c>
      <c r="H7360" s="5" t="s">
        <v>7401</v>
      </c>
      <c r="I7360" s="7">
        <v>1735800</v>
      </c>
      <c r="J7360" s="8">
        <v>3.5800000000000012E-2</v>
      </c>
    </row>
    <row r="7361" spans="1:10" x14ac:dyDescent="0.25">
      <c r="A7361" s="5" t="s">
        <v>7395</v>
      </c>
      <c r="B7361" s="5" t="s">
        <v>9228</v>
      </c>
      <c r="C7361" s="6" t="str">
        <f>_xll.QS.CONTEXT.CREATE("market.7359",A7361,"USD","SOFR")</f>
        <v>QSObject:PricingContext:w1~market.7359:5361</v>
      </c>
      <c r="D7361" s="6" t="str">
        <f>_xll.QS.CONTEXT.ADD.CURVE(C7361,"SOFR",$K$2:$K$7,$L$2:$L$7,,,"Actual360","LogLinear",TRUE)</f>
        <v>QSObject:ContextInput:w1~input.qs_context_add_curve.2359132437744.7360.3.0:33123</v>
      </c>
      <c r="E7361" s="6" t="str">
        <f>_xll.QS.INSTRUMENT.SWAP("swap.7359",H7361,B7361,"USD","SOFR",I7361,J7361,0,"Actual360","Simple","Annual","Annual","Annual")</f>
        <v>QSObject:Swap:w1~swap.7359:5360</v>
      </c>
      <c r="F7361" s="6" t="str">
        <f>_xll.QS.TRADE.CREATE("trade.7359",E7361,A7361,"Receive")</f>
        <v>QSObject:SwapTrade:w1~trade.7359:24396</v>
      </c>
      <c r="G7361" s="3">
        <f>_xll.QS.EVALUATE(C7361,F7361)</f>
        <v>31197.995802082682</v>
      </c>
      <c r="H7361" s="5" t="s">
        <v>7402</v>
      </c>
      <c r="I7361" s="7">
        <v>1735900</v>
      </c>
      <c r="J7361" s="8">
        <v>3.5900000000000001E-2</v>
      </c>
    </row>
    <row r="7362" spans="1:10" x14ac:dyDescent="0.25">
      <c r="A7362" s="5" t="s">
        <v>7396</v>
      </c>
      <c r="B7362" s="5" t="s">
        <v>9229</v>
      </c>
      <c r="C7362" s="6" t="str">
        <f>_xll.QS.CONTEXT.CREATE("market.7360",A7362,"USD","SOFR")</f>
        <v>QSObject:PricingContext:w1~market.7360:5359</v>
      </c>
      <c r="D7362" s="6" t="str">
        <f>_xll.QS.CONTEXT.ADD.CURVE(C7362,"SOFR",$K$2:$K$7,$L$2:$L$7,,,"Actual360","LogLinear",TRUE)</f>
        <v>QSObject:ContextInput:w1~input.qs_context_add_curve.2359132437744.7361.3.0:33122</v>
      </c>
      <c r="E7362" s="6" t="str">
        <f>_xll.QS.INSTRUMENT.SWAP("swap.7360",H7362,B7362,"USD","SOFR",I7362,J7362,0,"Actual360","Simple","Annual","Annual","Annual")</f>
        <v>QSObject:Swap:w1~swap.7360:5358</v>
      </c>
      <c r="F7362" s="6" t="str">
        <f>_xll.QS.TRADE.CREATE("trade.7360",E7362,A7362,"Receive")</f>
        <v>QSObject:SwapTrade:w1~trade.7360:24395</v>
      </c>
      <c r="G7362" s="3">
        <f>_xll.QS.EVALUATE(C7362,F7362)</f>
        <v>32009.221674612345</v>
      </c>
      <c r="H7362" s="5" t="s">
        <v>7403</v>
      </c>
      <c r="I7362" s="7">
        <v>1736000</v>
      </c>
      <c r="J7362" s="8">
        <v>3.5999999999999997E-2</v>
      </c>
    </row>
    <row r="7363" spans="1:10" x14ac:dyDescent="0.25">
      <c r="A7363" s="5" t="s">
        <v>7397</v>
      </c>
      <c r="B7363" s="5" t="s">
        <v>9230</v>
      </c>
      <c r="C7363" s="6" t="str">
        <f>_xll.QS.CONTEXT.CREATE("market.7361",A7363,"USD","SOFR")</f>
        <v>QSObject:PricingContext:w1~market.7361:5357</v>
      </c>
      <c r="D7363" s="6" t="str">
        <f>_xll.QS.CONTEXT.ADD.CURVE(C7363,"SOFR",$K$2:$K$7,$L$2:$L$7,,,"Actual360","LogLinear",TRUE)</f>
        <v>QSObject:ContextInput:w1~input.qs_context_add_curve.2359132437744.7362.3.0:33121</v>
      </c>
      <c r="E7363" s="6" t="str">
        <f>_xll.QS.INSTRUMENT.SWAP("swap.7361",H7363,B7363,"USD","SOFR",I7363,J7363,0,"Actual360","Simple","Annual","Annual","Annual")</f>
        <v>QSObject:Swap:w1~swap.7361:5356</v>
      </c>
      <c r="F7363" s="6" t="str">
        <f>_xll.QS.TRADE.CREATE("trade.7361",E7363,A7363,"Receive")</f>
        <v>QSObject:SwapTrade:w1~trade.7361:24394</v>
      </c>
      <c r="G7363" s="3">
        <f>_xll.QS.EVALUATE(C7363,F7363)</f>
        <v>32745.816133149085</v>
      </c>
      <c r="H7363" s="5" t="s">
        <v>7404</v>
      </c>
      <c r="I7363" s="7">
        <v>1736100</v>
      </c>
      <c r="J7363" s="8">
        <v>3.61E-2</v>
      </c>
    </row>
    <row r="7364" spans="1:10" x14ac:dyDescent="0.25">
      <c r="A7364" s="5" t="s">
        <v>7398</v>
      </c>
      <c r="B7364" s="5" t="s">
        <v>9231</v>
      </c>
      <c r="C7364" s="6" t="str">
        <f>_xll.QS.CONTEXT.CREATE("market.7362",A7364,"USD","SOFR")</f>
        <v>QSObject:PricingContext:w1~market.7362:5355</v>
      </c>
      <c r="D7364" s="6" t="str">
        <f>_xll.QS.CONTEXT.ADD.CURVE(C7364,"SOFR",$K$2:$K$7,$L$2:$L$7,,,"Actual360","LogLinear",TRUE)</f>
        <v>QSObject:ContextInput:w1~input.qs_context_add_curve.2359132437744.7363.3.0:33120</v>
      </c>
      <c r="E7364" s="6" t="str">
        <f>_xll.QS.INSTRUMENT.SWAP("swap.7362",H7364,B7364,"USD","SOFR",I7364,J7364,0,"Actual360","Simple","Annual","Annual","Annual")</f>
        <v>QSObject:Swap:w1~swap.7362:5354</v>
      </c>
      <c r="F7364" s="6" t="str">
        <f>_xll.QS.TRADE.CREATE("trade.7362",E7364,A7364,"Receive")</f>
        <v>QSObject:SwapTrade:w1~trade.7362:24393</v>
      </c>
      <c r="G7364" s="3">
        <f>_xll.QS.EVALUATE(C7364,F7364)</f>
        <v>33435.403571772127</v>
      </c>
      <c r="H7364" s="5" t="s">
        <v>7405</v>
      </c>
      <c r="I7364" s="7">
        <v>1736200</v>
      </c>
      <c r="J7364" s="8">
        <v>3.6200000000000003E-2</v>
      </c>
    </row>
    <row r="7365" spans="1:10" x14ac:dyDescent="0.25">
      <c r="A7365" s="5" t="s">
        <v>7399</v>
      </c>
      <c r="B7365" s="5" t="s">
        <v>9232</v>
      </c>
      <c r="C7365" s="6" t="str">
        <f>_xll.QS.CONTEXT.CREATE("market.7363",A7365,"USD","SOFR")</f>
        <v>QSObject:PricingContext:w1~market.7363:5353</v>
      </c>
      <c r="D7365" s="6" t="str">
        <f>_xll.QS.CONTEXT.ADD.CURVE(C7365,"SOFR",$K$2:$K$7,$L$2:$L$7,,,"Actual360","LogLinear",TRUE)</f>
        <v>QSObject:ContextInput:w1~input.qs_context_add_curve.2359132437744.7364.3.0:33119</v>
      </c>
      <c r="E7365" s="6" t="str">
        <f>_xll.QS.INSTRUMENT.SWAP("swap.7363",H7365,B7365,"USD","SOFR",I7365,J7365,0,"Actual360","Simple","Annual","Annual","Annual")</f>
        <v>QSObject:Swap:w1~swap.7363:5352</v>
      </c>
      <c r="F7365" s="6" t="str">
        <f>_xll.QS.TRADE.CREATE("trade.7363",E7365,A7365,"Receive")</f>
        <v>QSObject:SwapTrade:w1~trade.7363:24392</v>
      </c>
      <c r="G7365" s="3">
        <f>_xll.QS.EVALUATE(C7365,F7365)</f>
        <v>34093.059105600267</v>
      </c>
      <c r="H7365" s="5" t="s">
        <v>7406</v>
      </c>
      <c r="I7365" s="7">
        <v>1736300</v>
      </c>
      <c r="J7365" s="8">
        <v>3.6300000000000013E-2</v>
      </c>
    </row>
    <row r="7366" spans="1:10" x14ac:dyDescent="0.25">
      <c r="A7366" s="5" t="s">
        <v>7400</v>
      </c>
      <c r="B7366" s="5" t="s">
        <v>9233</v>
      </c>
      <c r="C7366" s="6" t="str">
        <f>_xll.QS.CONTEXT.CREATE("market.7364",A7366,"USD","SOFR")</f>
        <v>QSObject:PricingContext:w1~market.7364:5351</v>
      </c>
      <c r="D7366" s="6" t="str">
        <f>_xll.QS.CONTEXT.ADD.CURVE(C7366,"SOFR",$K$2:$K$7,$L$2:$L$7,,,"Actual360","LogLinear",TRUE)</f>
        <v>QSObject:ContextInput:w1~input.qs_context_add_curve.2359132437744.7365.3.0:33118</v>
      </c>
      <c r="E7366" s="6" t="str">
        <f>_xll.QS.INSTRUMENT.SWAP("swap.7364",H7366,B7366,"USD","SOFR",I7366,J7366,0,"Actual360","Simple","Annual","Annual","Annual")</f>
        <v>QSObject:Swap:w1~swap.7364:5350</v>
      </c>
      <c r="F7366" s="6" t="str">
        <f>_xll.QS.TRADE.CREATE("trade.7364",E7366,A7366,"Receive")</f>
        <v>QSObject:SwapTrade:w1~trade.7364:24391</v>
      </c>
      <c r="G7366" s="3">
        <f>_xll.QS.EVALUATE(C7366,F7366)</f>
        <v>34969.111316398128</v>
      </c>
      <c r="H7366" s="5" t="s">
        <v>7407</v>
      </c>
      <c r="I7366" s="7">
        <v>1736400</v>
      </c>
      <c r="J7366" s="8">
        <v>3.6400000000000002E-2</v>
      </c>
    </row>
    <row r="7367" spans="1:10" x14ac:dyDescent="0.25">
      <c r="A7367" s="5" t="s">
        <v>7401</v>
      </c>
      <c r="B7367" s="5" t="s">
        <v>9234</v>
      </c>
      <c r="C7367" s="6" t="str">
        <f>_xll.QS.CONTEXT.CREATE("market.7365",A7367,"USD","SOFR")</f>
        <v>QSObject:PricingContext:w1~market.7365:5349</v>
      </c>
      <c r="D7367" s="6" t="str">
        <f>_xll.QS.CONTEXT.ADD.CURVE(C7367,"SOFR",$K$2:$K$7,$L$2:$L$7,,,"Actual360","LogLinear",TRUE)</f>
        <v>QSObject:ContextInput:w1~input.qs_context_add_curve.2359132437744.7366.3.0:33117</v>
      </c>
      <c r="E7367" s="6" t="str">
        <f>_xll.QS.INSTRUMENT.SWAP("swap.7365",H7367,B7367,"USD","SOFR",I7367,J7367,0,"Actual360","Simple","Annual","Annual","Annual")</f>
        <v>QSObject:Swap:w1~swap.7365:5348</v>
      </c>
      <c r="F7367" s="6" t="str">
        <f>_xll.QS.TRADE.CREATE("trade.7365",E7367,A7367,"Receive")</f>
        <v>QSObject:SwapTrade:w1~trade.7365:24390</v>
      </c>
      <c r="G7367" s="3">
        <f>_xll.QS.EVALUATE(C7367,F7367)</f>
        <v>35820.06217709247</v>
      </c>
      <c r="H7367" s="5" t="s">
        <v>7408</v>
      </c>
      <c r="I7367" s="7">
        <v>1736500</v>
      </c>
      <c r="J7367" s="8">
        <v>3.6499999999999998E-2</v>
      </c>
    </row>
    <row r="7368" spans="1:10" x14ac:dyDescent="0.25">
      <c r="A7368" s="5" t="s">
        <v>7402</v>
      </c>
      <c r="B7368" s="5" t="s">
        <v>9235</v>
      </c>
      <c r="C7368" s="6" t="str">
        <f>_xll.QS.CONTEXT.CREATE("market.7366",A7368,"USD","SOFR")</f>
        <v>QSObject:PricingContext:w1~market.7366:5347</v>
      </c>
      <c r="D7368" s="6" t="str">
        <f>_xll.QS.CONTEXT.ADD.CURVE(C7368,"SOFR",$K$2:$K$7,$L$2:$L$7,,,"Actual360","LogLinear",TRUE)</f>
        <v>QSObject:ContextInput:w1~input.qs_context_add_curve.2359132437744.7367.3.0:33116</v>
      </c>
      <c r="E7368" s="6" t="str">
        <f>_xll.QS.INSTRUMENT.SWAP("swap.7366",H7368,B7368,"USD","SOFR",I7368,J7368,0,"Actual360","Simple","Annual","Annual","Annual")</f>
        <v>QSObject:Swap:w1~swap.7366:5346</v>
      </c>
      <c r="F7368" s="6" t="str">
        <f>_xll.QS.TRADE.CREATE("trade.7366",E7368,A7368,"Receive")</f>
        <v>QSObject:SwapTrade:w1~trade.7366:24389</v>
      </c>
      <c r="G7368" s="3">
        <f>_xll.QS.EVALUATE(C7368,F7368)</f>
        <v>36749.742346185376</v>
      </c>
      <c r="H7368" s="5" t="s">
        <v>7409</v>
      </c>
      <c r="I7368" s="7">
        <v>1736600</v>
      </c>
      <c r="J7368" s="8">
        <v>3.6600000000000001E-2</v>
      </c>
    </row>
    <row r="7369" spans="1:10" x14ac:dyDescent="0.25">
      <c r="A7369" s="5" t="s">
        <v>7403</v>
      </c>
      <c r="B7369" s="5" t="s">
        <v>9236</v>
      </c>
      <c r="C7369" s="6" t="str">
        <f>_xll.QS.CONTEXT.CREATE("market.7367",A7369,"USD","SOFR")</f>
        <v>QSObject:PricingContext:w1~market.7367:5345</v>
      </c>
      <c r="D7369" s="6" t="str">
        <f>_xll.QS.CONTEXT.ADD.CURVE(C7369,"SOFR",$K$2:$K$7,$L$2:$L$7,,,"Actual360","LogLinear",TRUE)</f>
        <v>QSObject:ContextInput:w1~input.qs_context_add_curve.2359132437744.7368.3.0:33115</v>
      </c>
      <c r="E7369" s="6" t="str">
        <f>_xll.QS.INSTRUMENT.SWAP("swap.7367",H7369,B7369,"USD","SOFR",I7369,J7369,0,"Actual360","Simple","Annual","Annual","Annual")</f>
        <v>QSObject:Swap:w1~swap.7367:5344</v>
      </c>
      <c r="F7369" s="6" t="str">
        <f>_xll.QS.TRADE.CREATE("trade.7367",E7369,A7369,"Receive")</f>
        <v>QSObject:SwapTrade:w1~trade.7367:24388</v>
      </c>
      <c r="G7369" s="3">
        <f>_xll.QS.EVALUATE(C7369,F7369)</f>
        <v>37628.202390649494</v>
      </c>
      <c r="H7369" s="5" t="s">
        <v>7410</v>
      </c>
      <c r="I7369" s="7">
        <v>1736700</v>
      </c>
      <c r="J7369" s="8">
        <v>3.6700000000000003E-2</v>
      </c>
    </row>
    <row r="7370" spans="1:10" x14ac:dyDescent="0.25">
      <c r="A7370" s="5" t="s">
        <v>7404</v>
      </c>
      <c r="B7370" s="5" t="s">
        <v>9237</v>
      </c>
      <c r="C7370" s="6" t="str">
        <f>_xll.QS.CONTEXT.CREATE("market.7368",A7370,"USD","SOFR")</f>
        <v>QSObject:PricingContext:w1~market.7368:5343</v>
      </c>
      <c r="D7370" s="6" t="str">
        <f>_xll.QS.CONTEXT.ADD.CURVE(C7370,"SOFR",$K$2:$K$7,$L$2:$L$7,,,"Actual360","LogLinear",TRUE)</f>
        <v>QSObject:ContextInput:w1~input.qs_context_add_curve.2359132437744.7369.3.0:33114</v>
      </c>
      <c r="E7370" s="6" t="str">
        <f>_xll.QS.INSTRUMENT.SWAP("swap.7368",H7370,B7370,"USD","SOFR",I7370,J7370,0,"Actual360","Simple","Annual","Annual","Annual")</f>
        <v>QSObject:Swap:w1~swap.7368:5342</v>
      </c>
      <c r="F7370" s="6" t="str">
        <f>_xll.QS.TRADE.CREATE("trade.7368",E7370,A7370,"Receive")</f>
        <v>QSObject:SwapTrade:w1~trade.7368:24387</v>
      </c>
      <c r="G7370" s="3">
        <f>_xll.QS.EVALUATE(C7370,F7370)</f>
        <v>38365.370707825721</v>
      </c>
      <c r="H7370" s="5" t="s">
        <v>7411</v>
      </c>
      <c r="I7370" s="7">
        <v>1736800</v>
      </c>
      <c r="J7370" s="8">
        <v>3.6800000000000013E-2</v>
      </c>
    </row>
    <row r="7371" spans="1:10" x14ac:dyDescent="0.25">
      <c r="A7371" s="5" t="s">
        <v>7405</v>
      </c>
      <c r="B7371" s="5" t="s">
        <v>9238</v>
      </c>
      <c r="C7371" s="6" t="str">
        <f>_xll.QS.CONTEXT.CREATE("market.7369",A7371,"USD","SOFR")</f>
        <v>QSObject:PricingContext:w1~market.7369:5341</v>
      </c>
      <c r="D7371" s="6" t="str">
        <f>_xll.QS.CONTEXT.ADD.CURVE(C7371,"SOFR",$K$2:$K$7,$L$2:$L$7,,,"Actual360","LogLinear",TRUE)</f>
        <v>QSObject:ContextInput:w1~input.qs_context_add_curve.2359132437744.7370.3.0:33113</v>
      </c>
      <c r="E7371" s="6" t="str">
        <f>_xll.QS.INSTRUMENT.SWAP("swap.7369",H7371,B7371,"USD","SOFR",I7371,J7371,0,"Actual360","Simple","Annual","Annual","Annual")</f>
        <v>QSObject:Swap:w1~swap.7369:5340</v>
      </c>
      <c r="F7371" s="6" t="str">
        <f>_xll.QS.TRADE.CREATE("trade.7369",E7371,A7371,"Receive")</f>
        <v>QSObject:SwapTrade:w1~trade.7369:24386</v>
      </c>
      <c r="G7371" s="3">
        <f>_xll.QS.EVALUATE(C7371,F7371)</f>
        <v>39048.950928863225</v>
      </c>
      <c r="H7371" s="5" t="s">
        <v>7412</v>
      </c>
      <c r="I7371" s="7">
        <v>1736900</v>
      </c>
      <c r="J7371" s="8">
        <v>3.6900000000000002E-2</v>
      </c>
    </row>
    <row r="7372" spans="1:10" x14ac:dyDescent="0.25">
      <c r="A7372" s="5" t="s">
        <v>7406</v>
      </c>
      <c r="B7372" s="5" t="s">
        <v>9239</v>
      </c>
      <c r="C7372" s="6" t="str">
        <f>_xll.QS.CONTEXT.CREATE("market.7370",A7372,"USD","SOFR")</f>
        <v>QSObject:PricingContext:w1~market.7370:5339</v>
      </c>
      <c r="D7372" s="6" t="str">
        <f>_xll.QS.CONTEXT.ADD.CURVE(C7372,"SOFR",$K$2:$K$7,$L$2:$L$7,,,"Actual360","LogLinear",TRUE)</f>
        <v>QSObject:ContextInput:w1~input.qs_context_add_curve.2359132437744.7371.3.0:33112</v>
      </c>
      <c r="E7372" s="6" t="str">
        <f>_xll.QS.INSTRUMENT.SWAP("swap.7370",H7372,B7372,"USD","SOFR",I7372,J7372,0,"Actual360","Simple","Annual","Annual","Annual")</f>
        <v>QSObject:Swap:w1~swap.7370:5338</v>
      </c>
      <c r="F7372" s="6" t="str">
        <f>_xll.QS.TRADE.CREATE("trade.7370",E7372,A7372,"Receive")</f>
        <v>QSObject:SwapTrade:w1~trade.7370:24385</v>
      </c>
      <c r="G7372" s="3">
        <f>_xll.QS.EVALUATE(C7372,F7372)</f>
        <v>39715.885637583611</v>
      </c>
      <c r="H7372" s="5" t="s">
        <v>7413</v>
      </c>
      <c r="I7372" s="7">
        <v>1737000</v>
      </c>
      <c r="J7372" s="8">
        <v>3.7000000000000012E-2</v>
      </c>
    </row>
    <row r="7373" spans="1:10" x14ac:dyDescent="0.25">
      <c r="A7373" s="5" t="s">
        <v>7407</v>
      </c>
      <c r="B7373" s="5" t="s">
        <v>9240</v>
      </c>
      <c r="C7373" s="6" t="str">
        <f>_xll.QS.CONTEXT.CREATE("market.7371",A7373,"USD","SOFR")</f>
        <v>QSObject:PricingContext:w1~market.7371:5337</v>
      </c>
      <c r="D7373" s="6" t="str">
        <f>_xll.QS.CONTEXT.ADD.CURVE(C7373,"SOFR",$K$2:$K$7,$L$2:$L$7,,,"Actual360","LogLinear",TRUE)</f>
        <v>QSObject:ContextInput:w1~input.qs_context_add_curve.2359132437744.7372.3.0:33111</v>
      </c>
      <c r="E7373" s="6" t="str">
        <f>_xll.QS.INSTRUMENT.SWAP("swap.7371",H7373,B7373,"USD","SOFR",I7373,J7373,0,"Actual360","Simple","Annual","Annual","Annual")</f>
        <v>QSObject:Swap:w1~swap.7371:5336</v>
      </c>
      <c r="F7373" s="6" t="str">
        <f>_xll.QS.TRADE.CREATE("trade.7371",E7373,A7373,"Receive")</f>
        <v>QSObject:SwapTrade:w1~trade.7371:24384</v>
      </c>
      <c r="G7373" s="3">
        <f>_xll.QS.EVALUATE(C7373,F7373)</f>
        <v>40593.17603462132</v>
      </c>
      <c r="H7373" s="5" t="s">
        <v>7414</v>
      </c>
      <c r="I7373" s="7">
        <v>1737100</v>
      </c>
      <c r="J7373" s="8">
        <v>3.7100000000000001E-2</v>
      </c>
    </row>
    <row r="7374" spans="1:10" x14ac:dyDescent="0.25">
      <c r="A7374" s="5" t="s">
        <v>7408</v>
      </c>
      <c r="B7374" s="5" t="s">
        <v>9241</v>
      </c>
      <c r="C7374" s="6" t="str">
        <f>_xll.QS.CONTEXT.CREATE("market.7372",A7374,"USD","SOFR")</f>
        <v>QSObject:PricingContext:w1~market.7372:5335</v>
      </c>
      <c r="D7374" s="6" t="str">
        <f>_xll.QS.CONTEXT.ADD.CURVE(C7374,"SOFR",$K$2:$K$7,$L$2:$L$7,,,"Actual360","LogLinear",TRUE)</f>
        <v>QSObject:ContextInput:w1~input.qs_context_add_curve.2359132437744.7373.3.0:33110</v>
      </c>
      <c r="E7374" s="6" t="str">
        <f>_xll.QS.INSTRUMENT.SWAP("swap.7372",H7374,B7374,"USD","SOFR",I7374,J7374,0,"Actual360","Simple","Annual","Annual","Annual")</f>
        <v>QSObject:Swap:w1~swap.7372:5334</v>
      </c>
      <c r="F7374" s="6" t="str">
        <f>_xll.QS.TRADE.CREATE("trade.7372",E7374,A7374,"Receive")</f>
        <v>QSObject:SwapTrade:w1~trade.7372:24383</v>
      </c>
      <c r="G7374" s="3">
        <f>_xll.QS.EVALUATE(C7374,F7374)</f>
        <v>41442.045279886799</v>
      </c>
      <c r="H7374" s="5" t="s">
        <v>7415</v>
      </c>
      <c r="I7374" s="7">
        <v>1737200</v>
      </c>
      <c r="J7374" s="8">
        <v>3.7199999999999997E-2</v>
      </c>
    </row>
    <row r="7375" spans="1:10" x14ac:dyDescent="0.25">
      <c r="A7375" s="5" t="s">
        <v>7409</v>
      </c>
      <c r="B7375" s="5" t="s">
        <v>9242</v>
      </c>
      <c r="C7375" s="6" t="str">
        <f>_xll.QS.CONTEXT.CREATE("market.7373",A7375,"USD","SOFR")</f>
        <v>QSObject:PricingContext:w1~market.7373:5333</v>
      </c>
      <c r="D7375" s="6" t="str">
        <f>_xll.QS.CONTEXT.ADD.CURVE(C7375,"SOFR",$K$2:$K$7,$L$2:$L$7,,,"Actual360","LogLinear",TRUE)</f>
        <v>QSObject:ContextInput:w1~input.qs_context_add_curve.2359132437744.7374.3.0:33109</v>
      </c>
      <c r="E7375" s="6" t="str">
        <f>_xll.QS.INSTRUMENT.SWAP("swap.7373",H7375,B7375,"USD","SOFR",I7375,J7375,0,"Actual360","Simple","Annual","Annual","Annual")</f>
        <v>QSObject:Swap:w1~swap.7373:5332</v>
      </c>
      <c r="F7375" s="6" t="str">
        <f>_xll.QS.TRADE.CREATE("trade.7373",E7375,A7375,"Receive")</f>
        <v>QSObject:SwapTrade:w1~trade.7373:24382</v>
      </c>
      <c r="G7375" s="3">
        <f>_xll.QS.EVALUATE(C7375,F7375)</f>
        <v>42372.506298725326</v>
      </c>
      <c r="H7375" s="5" t="s">
        <v>7416</v>
      </c>
      <c r="I7375" s="7">
        <v>1737300</v>
      </c>
      <c r="J7375" s="8">
        <v>3.73E-2</v>
      </c>
    </row>
    <row r="7376" spans="1:10" x14ac:dyDescent="0.25">
      <c r="A7376" s="5" t="s">
        <v>7410</v>
      </c>
      <c r="B7376" s="5" t="s">
        <v>9243</v>
      </c>
      <c r="C7376" s="6" t="str">
        <f>_xll.QS.CONTEXT.CREATE("market.7374",A7376,"USD","SOFR")</f>
        <v>QSObject:PricingContext:w1~market.7374:5331</v>
      </c>
      <c r="D7376" s="6" t="str">
        <f>_xll.QS.CONTEXT.ADD.CURVE(C7376,"SOFR",$K$2:$K$7,$L$2:$L$7,,,"Actual360","LogLinear",TRUE)</f>
        <v>QSObject:ContextInput:w1~input.qs_context_add_curve.2359132437744.7375.3.0:33108</v>
      </c>
      <c r="E7376" s="6" t="str">
        <f>_xll.QS.INSTRUMENT.SWAP("swap.7374",H7376,B7376,"USD","SOFR",I7376,J7376,0,"Actual360","Simple","Annual","Annual","Annual")</f>
        <v>QSObject:Swap:w1~swap.7374:5330</v>
      </c>
      <c r="F7376" s="6" t="str">
        <f>_xll.QS.TRADE.CREATE("trade.7374",E7376,A7376,"Receive")</f>
        <v>QSObject:SwapTrade:w1~trade.7374:24381</v>
      </c>
      <c r="G7376" s="3">
        <f>_xll.QS.EVALUATE(C7376,F7376)</f>
        <v>43251.702311661975</v>
      </c>
      <c r="H7376" s="5" t="s">
        <v>7417</v>
      </c>
      <c r="I7376" s="7">
        <v>1737400</v>
      </c>
      <c r="J7376" s="8">
        <v>3.7400000000000003E-2</v>
      </c>
    </row>
    <row r="7377" spans="1:10" x14ac:dyDescent="0.25">
      <c r="A7377" s="5" t="s">
        <v>7411</v>
      </c>
      <c r="B7377" s="5" t="s">
        <v>9244</v>
      </c>
      <c r="C7377" s="6" t="str">
        <f>_xll.QS.CONTEXT.CREATE("market.7375",A7377,"USD","SOFR")</f>
        <v>QSObject:PricingContext:w1~market.7375:5329</v>
      </c>
      <c r="D7377" s="6" t="str">
        <f>_xll.QS.CONTEXT.ADD.CURVE(C7377,"SOFR",$K$2:$K$7,$L$2:$L$7,,,"Actual360","LogLinear",TRUE)</f>
        <v>QSObject:ContextInput:w1~input.qs_context_add_curve.2359132437744.7376.3.0:33107</v>
      </c>
      <c r="E7377" s="6" t="str">
        <f>_xll.QS.INSTRUMENT.SWAP("swap.7375",H7377,B7377,"USD","SOFR",I7377,J7377,0,"Actual360","Simple","Annual","Annual","Annual")</f>
        <v>QSObject:Swap:w1~swap.7375:5328</v>
      </c>
      <c r="F7377" s="6" t="str">
        <f>_xll.QS.TRADE.CREATE("trade.7375",E7377,A7377,"Receive")</f>
        <v>QSObject:SwapTrade:w1~trade.7375:24380</v>
      </c>
      <c r="G7377" s="3">
        <f>_xll.QS.EVALUATE(C7377,F7377)</f>
        <v>43989.444451046686</v>
      </c>
      <c r="H7377" s="5" t="s">
        <v>7418</v>
      </c>
      <c r="I7377" s="7">
        <v>1737500</v>
      </c>
      <c r="J7377" s="8">
        <v>3.7500000000000012E-2</v>
      </c>
    </row>
    <row r="7378" spans="1:10" x14ac:dyDescent="0.25">
      <c r="A7378" s="5" t="s">
        <v>7412</v>
      </c>
      <c r="B7378" s="5" t="s">
        <v>9245</v>
      </c>
      <c r="C7378" s="6" t="str">
        <f>_xll.QS.CONTEXT.CREATE("market.7376",A7378,"USD","SOFR")</f>
        <v>QSObject:PricingContext:w1~market.7376:5327</v>
      </c>
      <c r="D7378" s="6" t="str">
        <f>_xll.QS.CONTEXT.ADD.CURVE(C7378,"SOFR",$K$2:$K$7,$L$2:$L$7,,,"Actual360","LogLinear",TRUE)</f>
        <v>QSObject:ContextInput:w1~input.qs_context_add_curve.2359132437744.7377.3.0:33106</v>
      </c>
      <c r="E7378" s="6" t="str">
        <f>_xll.QS.INSTRUMENT.SWAP("swap.7376",H7378,B7378,"USD","SOFR",I7378,J7378,0,"Actual360","Simple","Annual","Annual","Annual")</f>
        <v>QSObject:Swap:w1~swap.7376:5326</v>
      </c>
      <c r="F7378" s="6" t="str">
        <f>_xll.QS.TRADE.CREATE("trade.7376",E7378,A7378,"Receive")</f>
        <v>QSObject:SwapTrade:w1~trade.7376:24379</v>
      </c>
      <c r="G7378" s="3">
        <f>_xll.QS.EVALUATE(C7378,F7378)</f>
        <v>44667.012128806411</v>
      </c>
      <c r="H7378" s="5" t="s">
        <v>7419</v>
      </c>
      <c r="I7378" s="7">
        <v>1737600</v>
      </c>
      <c r="J7378" s="8">
        <v>3.7600000000000001E-2</v>
      </c>
    </row>
    <row r="7379" spans="1:10" x14ac:dyDescent="0.25">
      <c r="A7379" s="5" t="s">
        <v>7413</v>
      </c>
      <c r="B7379" s="5" t="s">
        <v>9246</v>
      </c>
      <c r="C7379" s="6" t="str">
        <f>_xll.QS.CONTEXT.CREATE("market.7377",A7379,"USD","SOFR")</f>
        <v>QSObject:PricingContext:w1~market.7377:5325</v>
      </c>
      <c r="D7379" s="6" t="str">
        <f>_xll.QS.CONTEXT.ADD.CURVE(C7379,"SOFR",$K$2:$K$7,$L$2:$L$7,,,"Actual360","LogLinear",TRUE)</f>
        <v>QSObject:ContextInput:w1~input.qs_context_add_curve.2359132437744.7378.3.0:33105</v>
      </c>
      <c r="E7379" s="6" t="str">
        <f>_xll.QS.INSTRUMENT.SWAP("swap.7377",H7379,B7379,"USD","SOFR",I7379,J7379,0,"Actual360","Simple","Annual","Annual","Annual")</f>
        <v>QSObject:Swap:w1~swap.7377:5324</v>
      </c>
      <c r="F7379" s="6" t="str">
        <f>_xll.QS.TRADE.CREATE("trade.7377",E7379,A7379,"Receive")</f>
        <v>QSObject:SwapTrade:w1~trade.7377:24378</v>
      </c>
      <c r="G7379" s="3">
        <f>_xll.QS.EVALUATE(C7379,F7379)</f>
        <v>45343.233018379869</v>
      </c>
      <c r="H7379" s="5" t="s">
        <v>7420</v>
      </c>
      <c r="I7379" s="7">
        <v>1737700</v>
      </c>
      <c r="J7379" s="8">
        <v>3.7699999999999997E-2</v>
      </c>
    </row>
    <row r="7380" spans="1:10" x14ac:dyDescent="0.25">
      <c r="A7380" s="5" t="s">
        <v>7414</v>
      </c>
      <c r="B7380" s="5" t="s">
        <v>9247</v>
      </c>
      <c r="C7380" s="6" t="str">
        <f>_xll.QS.CONTEXT.CREATE("market.7378",A7380,"USD","SOFR")</f>
        <v>QSObject:PricingContext:w1~market.7378:5323</v>
      </c>
      <c r="D7380" s="6" t="str">
        <f>_xll.QS.CONTEXT.ADD.CURVE(C7380,"SOFR",$K$2:$K$7,$L$2:$L$7,,,"Actual360","LogLinear",TRUE)</f>
        <v>QSObject:ContextInput:w1~input.qs_context_add_curve.2359132437744.7379.3.0:33104</v>
      </c>
      <c r="E7380" s="6" t="str">
        <f>_xll.QS.INSTRUMENT.SWAP("swap.7378",H7380,B7380,"USD","SOFR",I7380,J7380,0,"Actual360","Simple","Annual","Annual","Annual")</f>
        <v>QSObject:Swap:w1~swap.7378:5322</v>
      </c>
      <c r="F7380" s="6" t="str">
        <f>_xll.QS.TRADE.CREATE("trade.7378",E7380,A7380,"Receive")</f>
        <v>QSObject:SwapTrade:w1~trade.7378:24377</v>
      </c>
      <c r="G7380" s="3">
        <f>_xll.QS.EVALUATE(C7380,F7380)</f>
        <v>46221.762055317573</v>
      </c>
      <c r="H7380" s="5" t="s">
        <v>7421</v>
      </c>
      <c r="I7380" s="7">
        <v>1737800</v>
      </c>
      <c r="J7380" s="8">
        <v>3.78E-2</v>
      </c>
    </row>
    <row r="7381" spans="1:10" x14ac:dyDescent="0.25">
      <c r="A7381" s="5" t="s">
        <v>7415</v>
      </c>
      <c r="B7381" s="5" t="s">
        <v>9248</v>
      </c>
      <c r="C7381" s="6" t="str">
        <f>_xll.QS.CONTEXT.CREATE("market.7379",A7381,"USD","SOFR")</f>
        <v>QSObject:PricingContext:w1~market.7379:5321</v>
      </c>
      <c r="D7381" s="6" t="str">
        <f>_xll.QS.CONTEXT.ADD.CURVE(C7381,"SOFR",$K$2:$K$7,$L$2:$L$7,,,"Actual360","LogLinear",TRUE)</f>
        <v>QSObject:ContextInput:w1~input.qs_context_add_curve.2359132437744.7380.3.0:33103</v>
      </c>
      <c r="E7381" s="6" t="str">
        <f>_xll.QS.INSTRUMENT.SWAP("swap.7379",H7381,B7381,"USD","SOFR",I7381,J7381,0,"Actual360","Simple","Annual","Annual","Annual")</f>
        <v>QSObject:Swap:w1~swap.7379:5320</v>
      </c>
      <c r="F7381" s="6" t="str">
        <f>_xll.QS.TRADE.CREATE("trade.7379",E7381,A7381,"Receive")</f>
        <v>QSObject:SwapTrade:w1~trade.7379:24376</v>
      </c>
      <c r="G7381" s="3">
        <f>_xll.QS.EVALUATE(C7381,F7381)</f>
        <v>47068.547471538943</v>
      </c>
      <c r="H7381" s="5" t="s">
        <v>7422</v>
      </c>
      <c r="I7381" s="7">
        <v>1737900</v>
      </c>
      <c r="J7381" s="8">
        <v>3.7900000000000003E-2</v>
      </c>
    </row>
    <row r="7382" spans="1:10" x14ac:dyDescent="0.25">
      <c r="A7382" s="5" t="s">
        <v>7416</v>
      </c>
      <c r="B7382" s="5" t="s">
        <v>9249</v>
      </c>
      <c r="C7382" s="6" t="str">
        <f>_xll.QS.CONTEXT.CREATE("market.7380",A7382,"USD","SOFR")</f>
        <v>QSObject:PricingContext:w1~market.7380:5319</v>
      </c>
      <c r="D7382" s="6" t="str">
        <f>_xll.QS.CONTEXT.ADD.CURVE(C7382,"SOFR",$K$2:$K$7,$L$2:$L$7,,,"Actual360","LogLinear",TRUE)</f>
        <v>QSObject:ContextInput:w1~input.qs_context_add_curve.2359132437744.7381.3.0:33102</v>
      </c>
      <c r="E7382" s="6" t="str">
        <f>_xll.QS.INSTRUMENT.SWAP("swap.7380",H7382,B7382,"USD","SOFR",I7382,J7382,0,"Actual360","Simple","Annual","Annual","Annual")</f>
        <v>QSObject:Swap:w1~swap.7380:5318</v>
      </c>
      <c r="F7382" s="6" t="str">
        <f>_xll.QS.TRADE.CREATE("trade.7380",E7382,A7382,"Receive")</f>
        <v>QSObject:SwapTrade:w1~trade.7380:24375</v>
      </c>
      <c r="G7382" s="3">
        <f>_xll.QS.EVALUATE(C7382,F7382)</f>
        <v>47999.789407933145</v>
      </c>
      <c r="H7382" s="5" t="s">
        <v>7423</v>
      </c>
      <c r="I7382" s="7">
        <v>1738000</v>
      </c>
      <c r="J7382" s="8">
        <v>3.8000000000000013E-2</v>
      </c>
    </row>
    <row r="7383" spans="1:10" x14ac:dyDescent="0.25">
      <c r="A7383" s="5" t="s">
        <v>7417</v>
      </c>
      <c r="B7383" s="5" t="s">
        <v>9250</v>
      </c>
      <c r="C7383" s="6" t="str">
        <f>_xll.QS.CONTEXT.CREATE("market.7381",A7383,"USD","SOFR")</f>
        <v>QSObject:PricingContext:w1~market.7381:5317</v>
      </c>
      <c r="D7383" s="6" t="str">
        <f>_xll.QS.CONTEXT.ADD.CURVE(C7383,"SOFR",$K$2:$K$7,$L$2:$L$7,,,"Actual360","LogLinear",TRUE)</f>
        <v>QSObject:ContextInput:w1~input.qs_context_add_curve.2359132437744.7382.3.0:33101</v>
      </c>
      <c r="E7383" s="6" t="str">
        <f>_xll.QS.INSTRUMENT.SWAP("swap.7381",H7383,B7383,"USD","SOFR",I7383,J7383,0,"Actual360","Simple","Annual","Annual","Annual")</f>
        <v>QSObject:Swap:w1~swap.7381:5316</v>
      </c>
      <c r="F7383" s="6" t="str">
        <f>_xll.QS.TRADE.CREATE("trade.7381",E7383,A7383,"Receive")</f>
        <v>QSObject:SwapTrade:w1~trade.7381:24374</v>
      </c>
      <c r="G7383" s="3">
        <f>_xll.QS.EVALUATE(C7383,F7383)</f>
        <v>48879.721437649539</v>
      </c>
      <c r="H7383" s="5" t="s">
        <v>7424</v>
      </c>
      <c r="I7383" s="7">
        <v>1738100</v>
      </c>
      <c r="J7383" s="8">
        <v>3.8100000000000002E-2</v>
      </c>
    </row>
    <row r="7384" spans="1:10" x14ac:dyDescent="0.25">
      <c r="A7384" s="5" t="s">
        <v>7418</v>
      </c>
      <c r="B7384" s="5" t="s">
        <v>9251</v>
      </c>
      <c r="C7384" s="6" t="str">
        <f>_xll.QS.CONTEXT.CREATE("market.7382",A7384,"USD","SOFR")</f>
        <v>QSObject:PricingContext:w1~market.7382:5315</v>
      </c>
      <c r="D7384" s="6" t="str">
        <f>_xll.QS.CONTEXT.ADD.CURVE(C7384,"SOFR",$K$2:$K$7,$L$2:$L$7,,,"Actual360","LogLinear",TRUE)</f>
        <v>QSObject:ContextInput:w1~input.qs_context_add_curve.2359132437744.7383.3.0:33100</v>
      </c>
      <c r="E7384" s="6" t="str">
        <f>_xll.QS.INSTRUMENT.SWAP("swap.7382",H7384,B7384,"USD","SOFR",I7384,J7384,0,"Actual360","Simple","Annual","Annual","Annual")</f>
        <v>QSObject:Swap:w1~swap.7382:5314</v>
      </c>
      <c r="F7384" s="6" t="str">
        <f>_xll.QS.TRADE.CREATE("trade.7382",E7384,A7384,"Receive")</f>
        <v>QSObject:SwapTrade:w1~trade.7382:24373</v>
      </c>
      <c r="G7384" s="3">
        <f>_xll.QS.EVALUATE(C7384,F7384)</f>
        <v>49618.03433174848</v>
      </c>
      <c r="H7384" s="5" t="s">
        <v>7425</v>
      </c>
      <c r="I7384" s="7">
        <v>1738200</v>
      </c>
      <c r="J7384" s="8">
        <v>3.8199999999999998E-2</v>
      </c>
    </row>
    <row r="7385" spans="1:10" x14ac:dyDescent="0.25">
      <c r="A7385" s="5" t="s">
        <v>7419</v>
      </c>
      <c r="B7385" s="5" t="s">
        <v>9252</v>
      </c>
      <c r="C7385" s="6" t="str">
        <f>_xll.QS.CONTEXT.CREATE("market.7383",A7385,"USD","SOFR")</f>
        <v>QSObject:PricingContext:w1~market.7383:5313</v>
      </c>
      <c r="D7385" s="6" t="str">
        <f>_xll.QS.CONTEXT.ADD.CURVE(C7385,"SOFR",$K$2:$K$7,$L$2:$L$7,,,"Actual360","LogLinear",TRUE)</f>
        <v>QSObject:ContextInput:w1~input.qs_context_add_curve.2359132437744.7384.3.0:33099</v>
      </c>
      <c r="E7385" s="6" t="str">
        <f>_xll.QS.INSTRUMENT.SWAP("swap.7383",H7385,B7385,"USD","SOFR",I7385,J7385,0,"Actual360","Simple","Annual","Annual","Annual")</f>
        <v>QSObject:Swap:w1~swap.7383:5312</v>
      </c>
      <c r="F7385" s="6" t="str">
        <f>_xll.QS.TRADE.CREATE("trade.7383",E7385,A7385,"Receive")</f>
        <v>QSObject:SwapTrade:w1~trade.7383:24372</v>
      </c>
      <c r="G7385" s="3">
        <f>_xll.QS.EVALUATE(C7385,F7385)</f>
        <v>50289.581108803075</v>
      </c>
      <c r="H7385" s="5" t="s">
        <v>7426</v>
      </c>
      <c r="I7385" s="7">
        <v>1738300</v>
      </c>
      <c r="J7385" s="8">
        <v>3.8300000000000001E-2</v>
      </c>
    </row>
    <row r="7386" spans="1:10" x14ac:dyDescent="0.25">
      <c r="A7386" s="5" t="s">
        <v>7420</v>
      </c>
      <c r="B7386" s="5" t="s">
        <v>9253</v>
      </c>
      <c r="C7386" s="6" t="str">
        <f>_xll.QS.CONTEXT.CREATE("market.7384",A7386,"USD","SOFR")</f>
        <v>QSObject:PricingContext:w1~market.7384:5311</v>
      </c>
      <c r="D7386" s="6" t="str">
        <f>_xll.QS.CONTEXT.ADD.CURVE(C7386,"SOFR",$K$2:$K$7,$L$2:$L$7,,,"Actual360","LogLinear",TRUE)</f>
        <v>QSObject:ContextInput:w1~input.qs_context_add_curve.2359132437744.7385.3.0:33098</v>
      </c>
      <c r="E7386" s="6" t="str">
        <f>_xll.QS.INSTRUMENT.SWAP("swap.7384",H7386,B7386,"USD","SOFR",I7386,J7386,0,"Actual360","Simple","Annual","Annual","Annual")</f>
        <v>QSObject:Swap:w1~swap.7384:5310</v>
      </c>
      <c r="F7386" s="6" t="str">
        <f>_xll.QS.TRADE.CREATE("trade.7384",E7386,A7386,"Receive")</f>
        <v>QSObject:SwapTrade:w1~trade.7384:24371</v>
      </c>
      <c r="G7386" s="3">
        <f>_xll.QS.EVALUATE(C7386,F7386)</f>
        <v>50975.086090116725</v>
      </c>
      <c r="H7386" s="5" t="s">
        <v>7427</v>
      </c>
      <c r="I7386" s="7">
        <v>1738400</v>
      </c>
      <c r="J7386" s="8">
        <v>3.8399999999999997E-2</v>
      </c>
    </row>
    <row r="7387" spans="1:10" x14ac:dyDescent="0.25">
      <c r="A7387" s="5" t="s">
        <v>7421</v>
      </c>
      <c r="B7387" s="5" t="s">
        <v>9254</v>
      </c>
      <c r="C7387" s="6" t="str">
        <f>_xll.QS.CONTEXT.CREATE("market.7385",A7387,"USD","SOFR")</f>
        <v>QSObject:PricingContext:w1~market.7385:5309</v>
      </c>
      <c r="D7387" s="6" t="str">
        <f>_xll.QS.CONTEXT.ADD.CURVE(C7387,"SOFR",$K$2:$K$7,$L$2:$L$7,,,"Actual360","LogLinear",TRUE)</f>
        <v>QSObject:ContextInput:w1~input.qs_context_add_curve.2359132437744.7386.3.0:33097</v>
      </c>
      <c r="E7387" s="6" t="str">
        <f>_xll.QS.INSTRUMENT.SWAP("swap.7385",H7387,B7387,"USD","SOFR",I7387,J7387,0,"Actual360","Simple","Annual","Annual","Annual")</f>
        <v>QSObject:Swap:w1~swap.7385:5308</v>
      </c>
      <c r="F7387" s="6" t="str">
        <f>_xll.QS.TRADE.CREATE("trade.7385",E7387,A7387,"Receive")</f>
        <v>QSObject:SwapTrade:w1~trade.7385:24370</v>
      </c>
      <c r="G7387" s="3">
        <f>_xll.QS.EVALUATE(C7387,F7387)</f>
        <v>51854.90733997817</v>
      </c>
      <c r="H7387" s="5" t="s">
        <v>7428</v>
      </c>
      <c r="I7387" s="7">
        <v>1738500</v>
      </c>
      <c r="J7387" s="8">
        <v>3.8500000000000013E-2</v>
      </c>
    </row>
    <row r="7388" spans="1:10" x14ac:dyDescent="0.25">
      <c r="A7388" s="5" t="s">
        <v>7422</v>
      </c>
      <c r="B7388" s="5" t="s">
        <v>9255</v>
      </c>
      <c r="C7388" s="6" t="str">
        <f>_xll.QS.CONTEXT.CREATE("market.7386",A7388,"USD","SOFR")</f>
        <v>QSObject:PricingContext:w1~market.7386:5307</v>
      </c>
      <c r="D7388" s="6" t="str">
        <f>_xll.QS.CONTEXT.ADD.CURVE(C7388,"SOFR",$K$2:$K$7,$L$2:$L$7,,,"Actual360","LogLinear",TRUE)</f>
        <v>QSObject:ContextInput:w1~input.qs_context_add_curve.2359132437744.7387.3.0:33096</v>
      </c>
      <c r="E7388" s="6" t="str">
        <f>_xll.QS.INSTRUMENT.SWAP("swap.7386",H7388,B7388,"USD","SOFR",I7388,J7388,0,"Actual360","Simple","Annual","Annual","Annual")</f>
        <v>QSObject:Swap:w1~swap.7386:5306</v>
      </c>
      <c r="F7388" s="6" t="str">
        <f>_xll.QS.TRADE.CREATE("trade.7386",E7388,A7388,"Receive")</f>
        <v>QSObject:SwapTrade:w1~trade.7386:24369</v>
      </c>
      <c r="G7388" s="3">
        <f>_xll.QS.EVALUATE(C7388,F7388)</f>
        <v>52699.860086383473</v>
      </c>
      <c r="H7388" s="5" t="s">
        <v>7429</v>
      </c>
      <c r="I7388" s="7">
        <v>1738600</v>
      </c>
      <c r="J7388" s="8">
        <v>3.8600000000000002E-2</v>
      </c>
    </row>
    <row r="7389" spans="1:10" x14ac:dyDescent="0.25">
      <c r="A7389" s="5" t="s">
        <v>7423</v>
      </c>
      <c r="B7389" s="5" t="s">
        <v>9256</v>
      </c>
      <c r="C7389" s="6" t="str">
        <f>_xll.QS.CONTEXT.CREATE("market.7387",A7389,"USD","SOFR")</f>
        <v>QSObject:PricingContext:w1~market.7387:5305</v>
      </c>
      <c r="D7389" s="6" t="str">
        <f>_xll.QS.CONTEXT.ADD.CURVE(C7389,"SOFR",$K$2:$K$7,$L$2:$L$7,,,"Actual360","LogLinear",TRUE)</f>
        <v>QSObject:ContextInput:w1~input.qs_context_add_curve.2359132437744.7388.3.0:33095</v>
      </c>
      <c r="E7389" s="6" t="str">
        <f>_xll.QS.INSTRUMENT.SWAP("swap.7387",H7389,B7389,"USD","SOFR",I7389,J7389,0,"Actual360","Simple","Annual","Annual","Annual")</f>
        <v>QSObject:Swap:w1~swap.7387:5304</v>
      </c>
      <c r="F7389" s="6" t="str">
        <f>_xll.QS.TRADE.CREATE("trade.7387",E7389,A7389,"Receive")</f>
        <v>QSObject:SwapTrade:w1~trade.7387:24368</v>
      </c>
      <c r="G7389" s="3">
        <f>_xll.QS.EVALUATE(C7389,F7389)</f>
        <v>53632.1882903757</v>
      </c>
      <c r="H7389" s="5" t="s">
        <v>7430</v>
      </c>
      <c r="I7389" s="7">
        <v>1738700</v>
      </c>
      <c r="J7389" s="8">
        <v>3.8700000000000012E-2</v>
      </c>
    </row>
    <row r="7390" spans="1:10" x14ac:dyDescent="0.25">
      <c r="A7390" s="5" t="s">
        <v>7424</v>
      </c>
      <c r="B7390" s="5" t="s">
        <v>9257</v>
      </c>
      <c r="C7390" s="6" t="str">
        <f>_xll.QS.CONTEXT.CREATE("market.7388",A7390,"USD","SOFR")</f>
        <v>QSObject:PricingContext:w1~market.7388:5303</v>
      </c>
      <c r="D7390" s="6" t="str">
        <f>_xll.QS.CONTEXT.ADD.CURVE(C7390,"SOFR",$K$2:$K$7,$L$2:$L$7,,,"Actual360","LogLinear",TRUE)</f>
        <v>QSObject:ContextInput:w1~input.qs_context_add_curve.2359132437744.7389.3.0:33094</v>
      </c>
      <c r="E7390" s="6" t="str">
        <f>_xll.QS.INSTRUMENT.SWAP("swap.7388",H7390,B7390,"USD","SOFR",I7390,J7390,0,"Actual360","Simple","Annual","Annual","Annual")</f>
        <v>QSObject:Swap:w1~swap.7388:5302</v>
      </c>
      <c r="F7390" s="6" t="str">
        <f>_xll.QS.TRADE.CREATE("trade.7388",E7390,A7390,"Receive")</f>
        <v>QSObject:SwapTrade:w1~trade.7388:24367</v>
      </c>
      <c r="G7390" s="3">
        <f>_xll.QS.EVALUATE(C7390,F7390)</f>
        <v>54512.223925525584</v>
      </c>
      <c r="H7390" s="5" t="s">
        <v>7431</v>
      </c>
      <c r="I7390" s="7">
        <v>1738800</v>
      </c>
      <c r="J7390" s="8">
        <v>3.8800000000000001E-2</v>
      </c>
    </row>
    <row r="7391" spans="1:10" x14ac:dyDescent="0.25">
      <c r="A7391" s="5" t="s">
        <v>7425</v>
      </c>
      <c r="B7391" s="5" t="s">
        <v>9258</v>
      </c>
      <c r="C7391" s="6" t="str">
        <f>_xll.QS.CONTEXT.CREATE("market.7389",A7391,"USD","SOFR")</f>
        <v>QSObject:PricingContext:w1~market.7389:5301</v>
      </c>
      <c r="D7391" s="6" t="str">
        <f>_xll.QS.CONTEXT.ADD.CURVE(C7391,"SOFR",$K$2:$K$7,$L$2:$L$7,,,"Actual360","LogLinear",TRUE)</f>
        <v>QSObject:ContextInput:w1~input.qs_context_add_curve.2359132437744.7390.3.0:33093</v>
      </c>
      <c r="E7391" s="6" t="str">
        <f>_xll.QS.INSTRUMENT.SWAP("swap.7389",H7391,B7391,"USD","SOFR",I7391,J7391,0,"Actual360","Simple","Annual","Annual","Annual")</f>
        <v>QSObject:Swap:w1~swap.7389:5300</v>
      </c>
      <c r="F7391" s="6" t="str">
        <f>_xll.QS.TRADE.CREATE("trade.7389",E7391,A7391,"Receive")</f>
        <v>QSObject:SwapTrade:w1~trade.7389:24366</v>
      </c>
      <c r="G7391" s="3">
        <f>_xll.QS.EVALUATE(C7391,F7391)</f>
        <v>55146.798990954609</v>
      </c>
      <c r="H7391" s="5" t="s">
        <v>7432</v>
      </c>
      <c r="I7391" s="7">
        <v>1738900</v>
      </c>
      <c r="J7391" s="8">
        <v>3.8899999999999997E-2</v>
      </c>
    </row>
    <row r="7392" spans="1:10" x14ac:dyDescent="0.25">
      <c r="A7392" s="5" t="s">
        <v>7426</v>
      </c>
      <c r="B7392" s="5" t="s">
        <v>9259</v>
      </c>
      <c r="C7392" s="6" t="str">
        <f>_xll.QS.CONTEXT.CREATE("market.7390",A7392,"USD","SOFR")</f>
        <v>QSObject:PricingContext:w1~market.7390:5299</v>
      </c>
      <c r="D7392" s="6" t="str">
        <f>_xll.QS.CONTEXT.ADD.CURVE(C7392,"SOFR",$K$2:$K$7,$L$2:$L$7,,,"Actual360","LogLinear",TRUE)</f>
        <v>QSObject:ContextInput:w1~input.qs_context_add_curve.2359132437744.7391.3.0:33092</v>
      </c>
      <c r="E7392" s="6" t="str">
        <f>_xll.QS.INSTRUMENT.SWAP("swap.7390",H7392,B7392,"USD","SOFR",I7392,J7392,0,"Actual360","Simple","Annual","Annual","Annual")</f>
        <v>QSObject:Swap:w1~swap.7390:5298</v>
      </c>
      <c r="F7392" s="6" t="str">
        <f>_xll.QS.TRADE.CREATE("trade.7390",E7392,A7392,"Receive")</f>
        <v>QSObject:SwapTrade:w1~trade.7390:24365</v>
      </c>
      <c r="G7392" s="3">
        <f>_xll.QS.EVALUATE(C7392,F7392)</f>
        <v>55801.234484258843</v>
      </c>
      <c r="H7392" s="5" t="s">
        <v>7433</v>
      </c>
      <c r="I7392" s="7">
        <v>1739000</v>
      </c>
      <c r="J7392" s="8">
        <v>3.9000000000000007E-2</v>
      </c>
    </row>
    <row r="7393" spans="1:10" x14ac:dyDescent="0.25">
      <c r="A7393" s="5" t="s">
        <v>7427</v>
      </c>
      <c r="B7393" s="5" t="s">
        <v>9260</v>
      </c>
      <c r="C7393" s="6" t="str">
        <f>_xll.QS.CONTEXT.CREATE("market.7391",A7393,"USD","SOFR")</f>
        <v>QSObject:PricingContext:w1~market.7391:5297</v>
      </c>
      <c r="D7393" s="6" t="str">
        <f>_xll.QS.CONTEXT.ADD.CURVE(C7393,"SOFR",$K$2:$K$7,$L$2:$L$7,,,"Actual360","LogLinear",TRUE)</f>
        <v>QSObject:ContextInput:w1~input.qs_context_add_curve.2359132437744.7392.3.0:33091</v>
      </c>
      <c r="E7393" s="6" t="str">
        <f>_xll.QS.INSTRUMENT.SWAP("swap.7391",H7393,B7393,"USD","SOFR",I7393,J7393,0,"Actual360","Simple","Annual","Annual","Annual")</f>
        <v>QSObject:Swap:w1~swap.7391:5296</v>
      </c>
      <c r="F7393" s="6" t="str">
        <f>_xll.QS.TRADE.CREATE("trade.7391",E7393,A7393,"Receive")</f>
        <v>QSObject:SwapTrade:w1~trade.7391:24364</v>
      </c>
      <c r="G7393" s="3">
        <f>_xll.QS.EVALUATE(C7393,F7393)</f>
        <v>56611.242919271972</v>
      </c>
      <c r="H7393" s="5" t="s">
        <v>7434</v>
      </c>
      <c r="I7393" s="7">
        <v>1739100</v>
      </c>
      <c r="J7393" s="8">
        <v>3.9100000000000003E-2</v>
      </c>
    </row>
    <row r="7394" spans="1:10" x14ac:dyDescent="0.25">
      <c r="A7394" s="5" t="s">
        <v>7428</v>
      </c>
      <c r="B7394" s="5" t="s">
        <v>9261</v>
      </c>
      <c r="C7394" s="6" t="str">
        <f>_xll.QS.CONTEXT.CREATE("market.7392",A7394,"USD","SOFR")</f>
        <v>QSObject:PricingContext:w1~market.7392:5295</v>
      </c>
      <c r="D7394" s="6" t="str">
        <f>_xll.QS.CONTEXT.ADD.CURVE(C7394,"SOFR",$K$2:$K$7,$L$2:$L$7,,,"Actual360","LogLinear",TRUE)</f>
        <v>QSObject:ContextInput:w1~input.qs_context_add_curve.2359132437744.7393.3.0:33090</v>
      </c>
      <c r="E7394" s="6" t="str">
        <f>_xll.QS.INSTRUMENT.SWAP("swap.7392",H7394,B7394,"USD","SOFR",I7394,J7394,0,"Actual360","Simple","Annual","Annual","Annual")</f>
        <v>QSObject:Swap:w1~swap.7392:5294</v>
      </c>
      <c r="F7394" s="6" t="str">
        <f>_xll.QS.TRADE.CREATE("trade.7392",E7394,A7394,"Receive")</f>
        <v>QSObject:SwapTrade:w1~trade.7392:24363</v>
      </c>
      <c r="G7394" s="3">
        <f>_xll.QS.EVALUATE(C7394,F7394)</f>
        <v>57491.179540749101</v>
      </c>
      <c r="H7394" s="5" t="s">
        <v>7435</v>
      </c>
      <c r="I7394" s="7">
        <v>1739200</v>
      </c>
      <c r="J7394" s="8">
        <v>3.9200000000000013E-2</v>
      </c>
    </row>
    <row r="7395" spans="1:10" x14ac:dyDescent="0.25">
      <c r="A7395" s="5" t="s">
        <v>7429</v>
      </c>
      <c r="B7395" s="5" t="s">
        <v>9262</v>
      </c>
      <c r="C7395" s="6" t="str">
        <f>_xll.QS.CONTEXT.CREATE("market.7393",A7395,"USD","SOFR")</f>
        <v>QSObject:PricingContext:w1~market.7393:5293</v>
      </c>
      <c r="D7395" s="6" t="str">
        <f>_xll.QS.CONTEXT.ADD.CURVE(C7395,"SOFR",$K$2:$K$7,$L$2:$L$7,,,"Actual360","LogLinear",TRUE)</f>
        <v>QSObject:ContextInput:w1~input.qs_context_add_curve.2359132437744.7394.3.0:33089</v>
      </c>
      <c r="E7395" s="6" t="str">
        <f>_xll.QS.INSTRUMENT.SWAP("swap.7393",H7395,B7395,"USD","SOFR",I7395,J7395,0,"Actual360","Simple","Annual","Annual","Annual")</f>
        <v>QSObject:Swap:w1~swap.7393:5292</v>
      </c>
      <c r="F7395" s="6" t="str">
        <f>_xll.QS.TRADE.CREATE("trade.7393",E7395,A7395,"Receive")</f>
        <v>QSObject:SwapTrade:w1~trade.7393:24362</v>
      </c>
      <c r="G7395" s="3">
        <f>_xll.QS.EVALUATE(C7395,F7395)</f>
        <v>58527.261309248453</v>
      </c>
      <c r="H7395" s="5" t="s">
        <v>7436</v>
      </c>
      <c r="I7395" s="7">
        <v>1739300</v>
      </c>
      <c r="J7395" s="8">
        <v>3.9300000000000002E-2</v>
      </c>
    </row>
    <row r="7396" spans="1:10" x14ac:dyDescent="0.25">
      <c r="A7396" s="5" t="s">
        <v>7430</v>
      </c>
      <c r="B7396" s="5" t="s">
        <v>9263</v>
      </c>
      <c r="C7396" s="6" t="str">
        <f>_xll.QS.CONTEXT.CREATE("market.7394",A7396,"USD","SOFR")</f>
        <v>QSObject:PricingContext:w1~market.7394:5291</v>
      </c>
      <c r="D7396" s="6" t="str">
        <f>_xll.QS.CONTEXT.ADD.CURVE(C7396,"SOFR",$K$2:$K$7,$L$2:$L$7,,,"Actual360","LogLinear",TRUE)</f>
        <v>QSObject:ContextInput:w1~input.qs_context_add_curve.2359132437744.7395.3.0:33088</v>
      </c>
      <c r="E7396" s="6" t="str">
        <f>_xll.QS.INSTRUMENT.SWAP("swap.7394",H7396,B7396,"USD","SOFR",I7396,J7396,0,"Actual360","Simple","Annual","Annual","Annual")</f>
        <v>QSObject:Swap:w1~swap.7394:5290</v>
      </c>
      <c r="F7396" s="6" t="str">
        <f>_xll.QS.TRADE.CREATE("trade.7394",E7396,A7396,"Receive")</f>
        <v>QSObject:SwapTrade:w1~trade.7394:24361</v>
      </c>
      <c r="G7396" s="3">
        <f>_xll.QS.EVALUATE(C7396,F7396)</f>
        <v>59348.345250590348</v>
      </c>
      <c r="H7396" s="5" t="s">
        <v>7437</v>
      </c>
      <c r="I7396" s="7">
        <v>1739400</v>
      </c>
      <c r="J7396" s="8">
        <v>3.9399999999999998E-2</v>
      </c>
    </row>
    <row r="7397" spans="1:10" x14ac:dyDescent="0.25">
      <c r="A7397" s="5" t="s">
        <v>7431</v>
      </c>
      <c r="B7397" s="5" t="s">
        <v>9264</v>
      </c>
      <c r="C7397" s="6" t="str">
        <f>_xll.QS.CONTEXT.CREATE("market.7395",A7397,"USD","SOFR")</f>
        <v>QSObject:PricingContext:w1~market.7395:5289</v>
      </c>
      <c r="D7397" s="6" t="str">
        <f>_xll.QS.CONTEXT.ADD.CURVE(C7397,"SOFR",$K$2:$K$7,$L$2:$L$7,,,"Actual360","LogLinear",TRUE)</f>
        <v>QSObject:ContextInput:w1~input.qs_context_add_curve.2359132437744.7396.3.0:33087</v>
      </c>
      <c r="E7397" s="6" t="str">
        <f>_xll.QS.INSTRUMENT.SWAP("swap.7395",H7397,B7397,"USD","SOFR",I7397,J7397,0,"Actual360","Simple","Annual","Annual","Annual")</f>
        <v>QSObject:Swap:w1~swap.7395:5288</v>
      </c>
      <c r="F7397" s="6" t="str">
        <f>_xll.QS.TRADE.CREATE("trade.7395",E7397,A7397,"Receive")</f>
        <v>QSObject:SwapTrade:w1~trade.7395:24360</v>
      </c>
      <c r="G7397" s="3">
        <f>_xll.QS.EVALUATE(C7397,F7397)</f>
        <v>60153.759389580482</v>
      </c>
      <c r="H7397" s="5" t="s">
        <v>7438</v>
      </c>
      <c r="I7397" s="7">
        <v>1739500</v>
      </c>
      <c r="J7397" s="8">
        <v>3.9500000000000007E-2</v>
      </c>
    </row>
    <row r="7398" spans="1:10" x14ac:dyDescent="0.25">
      <c r="A7398" s="5" t="s">
        <v>7432</v>
      </c>
      <c r="B7398" s="5" t="s">
        <v>9265</v>
      </c>
      <c r="C7398" s="6" t="str">
        <f>_xll.QS.CONTEXT.CREATE("market.7396",A7398,"USD","SOFR")</f>
        <v>QSObject:PricingContext:w1~market.7396:5287</v>
      </c>
      <c r="D7398" s="6" t="str">
        <f>_xll.QS.CONTEXT.ADD.CURVE(C7398,"SOFR",$K$2:$K$7,$L$2:$L$7,,,"Actual360","LogLinear",TRUE)</f>
        <v>QSObject:ContextInput:w1~input.qs_context_add_curve.2359132437744.7397.3.0:33086</v>
      </c>
      <c r="E7398" s="6" t="str">
        <f>_xll.QS.INSTRUMENT.SWAP("swap.7396",H7398,B7398,"USD","SOFR",I7398,J7398,0,"Actual360","Simple","Annual","Annual","Annual")</f>
        <v>QSObject:Swap:w1~swap.7396:5286</v>
      </c>
      <c r="F7398" s="6" t="str">
        <f>_xll.QS.TRADE.CREATE("trade.7396",E7398,A7398,"Receive")</f>
        <v>QSObject:SwapTrade:w1~trade.7396:24359</v>
      </c>
      <c r="G7398" s="3">
        <f>_xll.QS.EVALUATE(C7398,F7398)</f>
        <v>60890.078151593116</v>
      </c>
      <c r="H7398" s="5" t="s">
        <v>7439</v>
      </c>
      <c r="I7398" s="7">
        <v>1739600</v>
      </c>
      <c r="J7398" s="8">
        <v>3.9600000000000003E-2</v>
      </c>
    </row>
    <row r="7399" spans="1:10" x14ac:dyDescent="0.25">
      <c r="A7399" s="5" t="s">
        <v>7433</v>
      </c>
      <c r="B7399" s="5" t="s">
        <v>9266</v>
      </c>
      <c r="C7399" s="6" t="str">
        <f>_xll.QS.CONTEXT.CREATE("market.7397",A7399,"USD","SOFR")</f>
        <v>QSObject:PricingContext:w1~market.7397:5285</v>
      </c>
      <c r="D7399" s="6" t="str">
        <f>_xll.QS.CONTEXT.ADD.CURVE(C7399,"SOFR",$K$2:$K$7,$L$2:$L$7,,,"Actual360","LogLinear",TRUE)</f>
        <v>QSObject:ContextInput:w1~input.qs_context_add_curve.2359132437744.7398.3.0:33085</v>
      </c>
      <c r="E7399" s="6" t="str">
        <f>_xll.QS.INSTRUMENT.SWAP("swap.7397",H7399,B7399,"USD","SOFR",I7399,J7399,0,"Actual360","Simple","Annual","Annual","Annual")</f>
        <v>QSObject:Swap:w1~swap.7397:5284</v>
      </c>
      <c r="F7399" s="6" t="str">
        <f>_xll.QS.TRADE.CREATE("trade.7397",E7399,A7399,"Receive")</f>
        <v>QSObject:SwapTrade:w1~trade.7397:24358</v>
      </c>
      <c r="G7399" s="3">
        <f>_xll.QS.EVALUATE(C7399,F7399)</f>
        <v>61549.581978825401</v>
      </c>
      <c r="H7399" s="5" t="s">
        <v>7440</v>
      </c>
      <c r="I7399" s="7">
        <v>1739700</v>
      </c>
      <c r="J7399" s="8">
        <v>3.9700000000000013E-2</v>
      </c>
    </row>
    <row r="7400" spans="1:10" x14ac:dyDescent="0.25">
      <c r="A7400" s="5" t="s">
        <v>7434</v>
      </c>
      <c r="B7400" s="5" t="s">
        <v>9267</v>
      </c>
      <c r="C7400" s="6" t="str">
        <f>_xll.QS.CONTEXT.CREATE("market.7398",A7400,"USD","SOFR")</f>
        <v>QSObject:PricingContext:w1~market.7398:5283</v>
      </c>
      <c r="D7400" s="6" t="str">
        <f>_xll.QS.CONTEXT.ADD.CURVE(C7400,"SOFR",$K$2:$K$7,$L$2:$L$7,,,"Actual360","LogLinear",TRUE)</f>
        <v>QSObject:ContextInput:w1~input.qs_context_add_curve.2359132437744.7399.3.0:33084</v>
      </c>
      <c r="E7400" s="6" t="str">
        <f>_xll.QS.INSTRUMENT.SWAP("swap.7398",H7400,B7400,"USD","SOFR",I7400,J7400,0,"Actual360","Simple","Annual","Annual","Annual")</f>
        <v>QSObject:Swap:w1~swap.7398:5282</v>
      </c>
      <c r="F7400" s="6" t="str">
        <f>_xll.QS.TRADE.CREATE("trade.7398",E7400,A7400,"Receive")</f>
        <v>QSObject:SwapTrade:w1~trade.7398:24357</v>
      </c>
      <c r="G7400" s="3">
        <f>_xll.QS.EVALUATE(C7400,F7400)</f>
        <v>62253.521112418726</v>
      </c>
      <c r="H7400" s="5" t="s">
        <v>7441</v>
      </c>
      <c r="I7400" s="7">
        <v>1739800</v>
      </c>
      <c r="J7400" s="8">
        <v>3.9800000000000002E-2</v>
      </c>
    </row>
    <row r="7401" spans="1:10" x14ac:dyDescent="0.25">
      <c r="A7401" s="5" t="s">
        <v>7435</v>
      </c>
      <c r="B7401" s="5" t="s">
        <v>9268</v>
      </c>
      <c r="C7401" s="6" t="str">
        <f>_xll.QS.CONTEXT.CREATE("market.7399",A7401,"USD","SOFR")</f>
        <v>QSObject:PricingContext:w1~market.7399:5281</v>
      </c>
      <c r="D7401" s="6" t="str">
        <f>_xll.QS.CONTEXT.ADD.CURVE(C7401,"SOFR",$K$2:$K$7,$L$2:$L$7,,,"Actual360","LogLinear",TRUE)</f>
        <v>QSObject:ContextInput:w1~input.qs_context_add_curve.2359132437744.7400.3.0:33083</v>
      </c>
      <c r="E7401" s="6" t="str">
        <f>_xll.QS.INSTRUMENT.SWAP("swap.7399",H7401,B7401,"USD","SOFR",I7401,J7401,0,"Actual360","Simple","Annual","Annual","Annual")</f>
        <v>QSObject:Swap:w1~swap.7399:5280</v>
      </c>
      <c r="F7401" s="6" t="str">
        <f>_xll.QS.TRADE.CREATE("trade.7399",E7401,A7401,"Receive")</f>
        <v>QSObject:SwapTrade:w1~trade.7399:24356</v>
      </c>
      <c r="G7401" s="3">
        <f>_xll.QS.EVALUATE(C7401,F7401)</f>
        <v>63134.647932243541</v>
      </c>
      <c r="H7401" s="5" t="s">
        <v>7442</v>
      </c>
      <c r="I7401" s="7">
        <v>1739900</v>
      </c>
      <c r="J7401" s="8">
        <v>3.9899999999999998E-2</v>
      </c>
    </row>
    <row r="7402" spans="1:10" x14ac:dyDescent="0.25">
      <c r="A7402" s="5" t="s">
        <v>7436</v>
      </c>
      <c r="B7402" s="5" t="s">
        <v>9269</v>
      </c>
      <c r="C7402" s="6" t="str">
        <f>_xll.QS.CONTEXT.CREATE("market.7400",A7402,"USD","SOFR")</f>
        <v>QSObject:PricingContext:w1~market.7400:5279</v>
      </c>
      <c r="D7402" s="6" t="str">
        <f>_xll.QS.CONTEXT.ADD.CURVE(C7402,"SOFR",$K$2:$K$7,$L$2:$L$7,,,"Actual360","LogLinear",TRUE)</f>
        <v>QSObject:ContextInput:w1~input.qs_context_add_curve.2359132437744.7401.3.0:33082</v>
      </c>
      <c r="E7402" s="6" t="str">
        <f>_xll.QS.INSTRUMENT.SWAP("swap.7400",H7402,B7402,"USD","SOFR",I7402,J7402,0,"Actual360","Simple","Annual","Annual","Annual")</f>
        <v>QSObject:Swap:w1~swap.7400:5278</v>
      </c>
      <c r="F7402" s="6" t="str">
        <f>_xll.QS.TRADE.CREATE("trade.7400",E7402,A7402,"Receive")</f>
        <v>QSObject:SwapTrade:w1~trade.7400:24355</v>
      </c>
      <c r="G7402" s="3">
        <f>_xll.QS.EVALUATE(C7402,F7402)</f>
        <v>23856.719093223306</v>
      </c>
      <c r="H7402" s="5" t="s">
        <v>7443</v>
      </c>
      <c r="I7402" s="7">
        <v>1740000</v>
      </c>
      <c r="J7402" s="8">
        <v>3.5000000000000003E-2</v>
      </c>
    </row>
    <row r="7403" spans="1:10" x14ac:dyDescent="0.25">
      <c r="A7403" s="5" t="s">
        <v>7437</v>
      </c>
      <c r="B7403" s="5" t="s">
        <v>9270</v>
      </c>
      <c r="C7403" s="6" t="str">
        <f>_xll.QS.CONTEXT.CREATE("market.7401",A7403,"USD","SOFR")</f>
        <v>QSObject:PricingContext:w1~market.7401:5277</v>
      </c>
      <c r="D7403" s="6" t="str">
        <f>_xll.QS.CONTEXT.ADD.CURVE(C7403,"SOFR",$K$2:$K$7,$L$2:$L$7,,,"Actual360","LogLinear",TRUE)</f>
        <v>QSObject:ContextInput:w1~input.qs_context_add_curve.2359132437744.7402.3.0:33081</v>
      </c>
      <c r="E7403" s="6" t="str">
        <f>_xll.QS.INSTRUMENT.SWAP("swap.7401",H7403,B7403,"USD","SOFR",I7403,J7403,0,"Actual360","Simple","Annual","Annual","Annual")</f>
        <v>QSObject:Swap:w1~swap.7401:5276</v>
      </c>
      <c r="F7403" s="6" t="str">
        <f>_xll.QS.TRADE.CREATE("trade.7401",E7403,A7403,"Receive")</f>
        <v>QSObject:SwapTrade:w1~trade.7401:24354</v>
      </c>
      <c r="G7403" s="3">
        <f>_xll.QS.EVALUATE(C7403,F7403)</f>
        <v>24787.403249308416</v>
      </c>
      <c r="H7403" s="5" t="s">
        <v>7444</v>
      </c>
      <c r="I7403" s="7">
        <v>1740100</v>
      </c>
      <c r="J7403" s="8">
        <v>3.5100000000000013E-2</v>
      </c>
    </row>
    <row r="7404" spans="1:10" x14ac:dyDescent="0.25">
      <c r="A7404" s="5" t="s">
        <v>7438</v>
      </c>
      <c r="B7404" s="5" t="s">
        <v>9271</v>
      </c>
      <c r="C7404" s="6" t="str">
        <f>_xll.QS.CONTEXT.CREATE("market.7402",A7404,"USD","SOFR")</f>
        <v>QSObject:PricingContext:w1~market.7402:5275</v>
      </c>
      <c r="D7404" s="6" t="str">
        <f>_xll.QS.CONTEXT.ADD.CURVE(C7404,"SOFR",$K$2:$K$7,$L$2:$L$7,,,"Actual360","LogLinear",TRUE)</f>
        <v>QSObject:ContextInput:w1~input.qs_context_add_curve.2359132437744.7403.3.0:33080</v>
      </c>
      <c r="E7404" s="6" t="str">
        <f>_xll.QS.INSTRUMENT.SWAP("swap.7402",H7404,B7404,"USD","SOFR",I7404,J7404,0,"Actual360","Simple","Annual","Annual","Annual")</f>
        <v>QSObject:Swap:w1~swap.7402:5274</v>
      </c>
      <c r="F7404" s="6" t="str">
        <f>_xll.QS.TRADE.CREATE("trade.7402",E7404,A7404,"Receive")</f>
        <v>QSObject:SwapTrade:w1~trade.7402:24353</v>
      </c>
      <c r="G7404" s="3">
        <f>_xll.QS.EVALUATE(C7404,F7404)</f>
        <v>25666.809872237856</v>
      </c>
      <c r="H7404" s="5" t="s">
        <v>7445</v>
      </c>
      <c r="I7404" s="7">
        <v>1740200</v>
      </c>
      <c r="J7404" s="8">
        <v>3.5200000000000002E-2</v>
      </c>
    </row>
    <row r="7405" spans="1:10" x14ac:dyDescent="0.25">
      <c r="A7405" s="5" t="s">
        <v>7439</v>
      </c>
      <c r="B7405" s="5" t="s">
        <v>9272</v>
      </c>
      <c r="C7405" s="6" t="str">
        <f>_xll.QS.CONTEXT.CREATE("market.7403",A7405,"USD","SOFR")</f>
        <v>QSObject:PricingContext:w1~market.7403:5273</v>
      </c>
      <c r="D7405" s="6" t="str">
        <f>_xll.QS.CONTEXT.ADD.CURVE(C7405,"SOFR",$K$2:$K$7,$L$2:$L$7,,,"Actual360","LogLinear",TRUE)</f>
        <v>QSObject:ContextInput:w1~input.qs_context_add_curve.2359132437744.7404.3.0:33079</v>
      </c>
      <c r="E7405" s="6" t="str">
        <f>_xll.QS.INSTRUMENT.SWAP("swap.7403",H7405,B7405,"USD","SOFR",I7405,J7405,0,"Actual360","Simple","Annual","Annual","Annual")</f>
        <v>QSObject:Swap:w1~swap.7403:5272</v>
      </c>
      <c r="F7405" s="6" t="str">
        <f>_xll.QS.TRADE.CREATE("trade.7403",E7405,A7405,"Receive")</f>
        <v>QSObject:SwapTrade:w1~trade.7403:24352</v>
      </c>
      <c r="G7405" s="3">
        <f>_xll.QS.EVALUATE(C7405,F7405)</f>
        <v>26404.863722936563</v>
      </c>
      <c r="H7405" s="5" t="s">
        <v>7446</v>
      </c>
      <c r="I7405" s="7">
        <v>1740300</v>
      </c>
      <c r="J7405" s="8">
        <v>3.5299999999999998E-2</v>
      </c>
    </row>
    <row r="7406" spans="1:10" x14ac:dyDescent="0.25">
      <c r="A7406" s="5" t="s">
        <v>7440</v>
      </c>
      <c r="B7406" s="5" t="s">
        <v>9273</v>
      </c>
      <c r="C7406" s="6" t="str">
        <f>_xll.QS.CONTEXT.CREATE("market.7404",A7406,"USD","SOFR")</f>
        <v>QSObject:PricingContext:w1~market.7404:5271</v>
      </c>
      <c r="D7406" s="6" t="str">
        <f>_xll.QS.CONTEXT.ADD.CURVE(C7406,"SOFR",$K$2:$K$7,$L$2:$L$7,,,"Actual360","LogLinear",TRUE)</f>
        <v>QSObject:ContextInput:w1~input.qs_context_add_curve.2359132437744.7405.3.0:33078</v>
      </c>
      <c r="E7406" s="6" t="str">
        <f>_xll.QS.INSTRUMENT.SWAP("swap.7404",H7406,B7406,"USD","SOFR",I7406,J7406,0,"Actual360","Simple","Annual","Annual","Annual")</f>
        <v>QSObject:Swap:w1~swap.7404:5270</v>
      </c>
      <c r="F7406" s="6" t="str">
        <f>_xll.QS.TRADE.CREATE("trade.7404",E7406,A7406,"Receive")</f>
        <v>QSObject:SwapTrade:w1~trade.7404:24351</v>
      </c>
      <c r="G7406" s="3">
        <f>_xll.QS.EVALUATE(C7406,F7406)</f>
        <v>27103.311278605965</v>
      </c>
      <c r="H7406" s="5" t="s">
        <v>7447</v>
      </c>
      <c r="I7406" s="7">
        <v>1740400</v>
      </c>
      <c r="J7406" s="8">
        <v>3.5400000000000001E-2</v>
      </c>
    </row>
    <row r="7407" spans="1:10" x14ac:dyDescent="0.25">
      <c r="A7407" s="5" t="s">
        <v>7441</v>
      </c>
      <c r="B7407" s="5" t="s">
        <v>9274</v>
      </c>
      <c r="C7407" s="6" t="str">
        <f>_xll.QS.CONTEXT.CREATE("market.7405",A7407,"USD","SOFR")</f>
        <v>QSObject:PricingContext:w1~market.7405:5269</v>
      </c>
      <c r="D7407" s="6" t="str">
        <f>_xll.QS.CONTEXT.ADD.CURVE(C7407,"SOFR",$K$2:$K$7,$L$2:$L$7,,,"Actual360","LogLinear",TRUE)</f>
        <v>QSObject:ContextInput:w1~input.qs_context_add_curve.2359132437744.7406.3.0:33077</v>
      </c>
      <c r="E7407" s="6" t="str">
        <f>_xll.QS.INSTRUMENT.SWAP("swap.7405",H7407,B7407,"USD","SOFR",I7407,J7407,0,"Actual360","Simple","Annual","Annual","Annual")</f>
        <v>QSObject:Swap:w1~swap.7405:5268</v>
      </c>
      <c r="F7407" s="6" t="str">
        <f>_xll.QS.TRADE.CREATE("trade.7405",E7407,A7407,"Receive")</f>
        <v>QSObject:SwapTrade:w1~trade.7405:24350</v>
      </c>
      <c r="G7407" s="3">
        <f>_xll.QS.EVALUATE(C7407,F7407)</f>
        <v>27752.050243615864</v>
      </c>
      <c r="H7407" s="5" t="s">
        <v>7448</v>
      </c>
      <c r="I7407" s="7">
        <v>1740500</v>
      </c>
      <c r="J7407" s="8">
        <v>3.5499999999999997E-2</v>
      </c>
    </row>
    <row r="7408" spans="1:10" x14ac:dyDescent="0.25">
      <c r="A7408" s="5" t="s">
        <v>7442</v>
      </c>
      <c r="B7408" s="5" t="s">
        <v>9275</v>
      </c>
      <c r="C7408" s="6" t="str">
        <f>_xll.QS.CONTEXT.CREATE("market.7406",A7408,"USD","SOFR")</f>
        <v>QSObject:PricingContext:w1~market.7406:5267</v>
      </c>
      <c r="D7408" s="6" t="str">
        <f>_xll.QS.CONTEXT.ADD.CURVE(C7408,"SOFR",$K$2:$K$7,$L$2:$L$7,,,"Actual360","LogLinear",TRUE)</f>
        <v>QSObject:ContextInput:w1~input.qs_context_add_curve.2359132437744.7407.3.0:33076</v>
      </c>
      <c r="E7408" s="6" t="str">
        <f>_xll.QS.INSTRUMENT.SWAP("swap.7406",H7408,B7408,"USD","SOFR",I7408,J7408,0,"Actual360","Simple","Annual","Annual","Annual")</f>
        <v>QSObject:Swap:w1~swap.7406:5266</v>
      </c>
      <c r="F7408" s="6" t="str">
        <f>_xll.QS.TRADE.CREATE("trade.7406",E7408,A7408,"Receive")</f>
        <v>QSObject:SwapTrade:w1~trade.7406:24349</v>
      </c>
      <c r="G7408" s="3">
        <f>_xll.QS.EVALUATE(C7408,F7408)</f>
        <v>28629.39418242508</v>
      </c>
      <c r="H7408" s="5" t="s">
        <v>7449</v>
      </c>
      <c r="I7408" s="7">
        <v>1740600</v>
      </c>
      <c r="J7408" s="8">
        <v>3.5600000000000007E-2</v>
      </c>
    </row>
    <row r="7409" spans="1:10" x14ac:dyDescent="0.25">
      <c r="A7409" s="5" t="s">
        <v>7443</v>
      </c>
      <c r="B7409" s="5" t="s">
        <v>9276</v>
      </c>
      <c r="C7409" s="6" t="str">
        <f>_xll.QS.CONTEXT.CREATE("market.7407",A7409,"USD","SOFR")</f>
        <v>QSObject:PricingContext:w1~market.7407:5265</v>
      </c>
      <c r="D7409" s="6" t="str">
        <f>_xll.QS.CONTEXT.ADD.CURVE(C7409,"SOFR",$K$2:$K$7,$L$2:$L$7,,,"Actual360","LogLinear",TRUE)</f>
        <v>QSObject:ContextInput:w1~input.qs_context_add_curve.2359132437744.7408.3.0:33075</v>
      </c>
      <c r="E7409" s="6" t="str">
        <f>_xll.QS.INSTRUMENT.SWAP("swap.7407",H7409,B7409,"USD","SOFR",I7409,J7409,0,"Actual360","Simple","Annual","Annual","Annual")</f>
        <v>QSObject:Swap:w1~swap.7407:5264</v>
      </c>
      <c r="F7409" s="6" t="str">
        <f>_xll.QS.TRADE.CREATE("trade.7407",E7409,A7409,"Receive")</f>
        <v>QSObject:SwapTrade:w1~trade.7407:24348</v>
      </c>
      <c r="G7409" s="3">
        <f>_xll.QS.EVALUATE(C7409,F7409)</f>
        <v>29485.165624598376</v>
      </c>
      <c r="H7409" s="5" t="s">
        <v>7450</v>
      </c>
      <c r="I7409" s="7">
        <v>1740700</v>
      </c>
      <c r="J7409" s="8">
        <v>3.5700000000000003E-2</v>
      </c>
    </row>
    <row r="7410" spans="1:10" x14ac:dyDescent="0.25">
      <c r="A7410" s="5" t="s">
        <v>7444</v>
      </c>
      <c r="B7410" s="5" t="s">
        <v>9277</v>
      </c>
      <c r="C7410" s="6" t="str">
        <f>_xll.QS.CONTEXT.CREATE("market.7408",A7410,"USD","SOFR")</f>
        <v>QSObject:PricingContext:w1~market.7408:5263</v>
      </c>
      <c r="D7410" s="6" t="str">
        <f>_xll.QS.CONTEXT.ADD.CURVE(C7410,"SOFR",$K$2:$K$7,$L$2:$L$7,,,"Actual360","LogLinear",TRUE)</f>
        <v>QSObject:ContextInput:w1~input.qs_context_add_curve.2359132437744.7409.3.0:33074</v>
      </c>
      <c r="E7410" s="6" t="str">
        <f>_xll.QS.INSTRUMENT.SWAP("swap.7408",H7410,B7410,"USD","SOFR",I7410,J7410,0,"Actual360","Simple","Annual","Annual","Annual")</f>
        <v>QSObject:Swap:w1~swap.7408:5262</v>
      </c>
      <c r="F7410" s="6" t="str">
        <f>_xll.QS.TRADE.CREATE("trade.7408",E7410,A7410,"Receive")</f>
        <v>QSObject:SwapTrade:w1~trade.7408:24347</v>
      </c>
      <c r="G7410" s="3">
        <f>_xll.QS.EVALUATE(C7410,F7410)</f>
        <v>30416.626628082682</v>
      </c>
      <c r="H7410" s="5" t="s">
        <v>7451</v>
      </c>
      <c r="I7410" s="7">
        <v>1740800</v>
      </c>
      <c r="J7410" s="8">
        <v>3.5800000000000012E-2</v>
      </c>
    </row>
    <row r="7411" spans="1:10" x14ac:dyDescent="0.25">
      <c r="A7411" s="5" t="s">
        <v>7445</v>
      </c>
      <c r="B7411" s="5" t="s">
        <v>9278</v>
      </c>
      <c r="C7411" s="6" t="str">
        <f>_xll.QS.CONTEXT.CREATE("market.7409",A7411,"USD","SOFR")</f>
        <v>QSObject:PricingContext:w1~market.7409:5261</v>
      </c>
      <c r="D7411" s="6" t="str">
        <f>_xll.QS.CONTEXT.ADD.CURVE(C7411,"SOFR",$K$2:$K$7,$L$2:$L$7,,,"Actual360","LogLinear",TRUE)</f>
        <v>QSObject:ContextInput:w1~input.qs_context_add_curve.2359132437744.7410.3.0:33073</v>
      </c>
      <c r="E7411" s="6" t="str">
        <f>_xll.QS.INSTRUMENT.SWAP("swap.7409",H7411,B7411,"USD","SOFR",I7411,J7411,0,"Actual360","Simple","Annual","Annual","Annual")</f>
        <v>QSObject:Swap:w1~swap.7409:5260</v>
      </c>
      <c r="F7411" s="6" t="str">
        <f>_xll.QS.TRADE.CREATE("trade.7409",E7411,A7411,"Receive")</f>
        <v>QSObject:SwapTrade:w1~trade.7409:24346</v>
      </c>
      <c r="G7411" s="3">
        <f>_xll.QS.EVALUATE(C7411,F7411)</f>
        <v>31296.448577908981</v>
      </c>
      <c r="H7411" s="5" t="s">
        <v>7452</v>
      </c>
      <c r="I7411" s="7">
        <v>1740900</v>
      </c>
      <c r="J7411" s="8">
        <v>3.5900000000000001E-2</v>
      </c>
    </row>
    <row r="7412" spans="1:10" x14ac:dyDescent="0.25">
      <c r="A7412" s="5" t="s">
        <v>7446</v>
      </c>
      <c r="B7412" s="5" t="s">
        <v>9279</v>
      </c>
      <c r="C7412" s="6" t="str">
        <f>_xll.QS.CONTEXT.CREATE("market.7410",A7412,"USD","SOFR")</f>
        <v>QSObject:PricingContext:w1~market.7410:5259</v>
      </c>
      <c r="D7412" s="6" t="str">
        <f>_xll.QS.CONTEXT.ADD.CURVE(C7412,"SOFR",$K$2:$K$7,$L$2:$L$7,,,"Actual360","LogLinear",TRUE)</f>
        <v>QSObject:ContextInput:w1~input.qs_context_add_curve.2359132437744.7411.3.0:33072</v>
      </c>
      <c r="E7412" s="6" t="str">
        <f>_xll.QS.INSTRUMENT.SWAP("swap.7410",H7412,B7412,"USD","SOFR",I7412,J7412,0,"Actual360","Simple","Annual","Annual","Annual")</f>
        <v>QSObject:Swap:w1~swap.7410:5258</v>
      </c>
      <c r="F7412" s="6" t="str">
        <f>_xll.QS.TRADE.CREATE("trade.7410",E7412,A7412,"Receive")</f>
        <v>QSObject:SwapTrade:w1~trade.7410:24345</v>
      </c>
      <c r="G7412" s="3">
        <f>_xll.QS.EVALUATE(C7412,F7412)</f>
        <v>32036.848540893086</v>
      </c>
      <c r="H7412" s="5" t="s">
        <v>7453</v>
      </c>
      <c r="I7412" s="7">
        <v>1741000</v>
      </c>
      <c r="J7412" s="8">
        <v>3.5999999999999997E-2</v>
      </c>
    </row>
    <row r="7413" spans="1:10" x14ac:dyDescent="0.25">
      <c r="A7413" s="5" t="s">
        <v>7447</v>
      </c>
      <c r="B7413" s="5" t="s">
        <v>9280</v>
      </c>
      <c r="C7413" s="6" t="str">
        <f>_xll.QS.CONTEXT.CREATE("market.7411",A7413,"USD","SOFR")</f>
        <v>QSObject:PricingContext:w1~market.7411:5257</v>
      </c>
      <c r="D7413" s="6" t="str">
        <f>_xll.QS.CONTEXT.ADD.CURVE(C7413,"SOFR",$K$2:$K$7,$L$2:$L$7,,,"Actual360","LogLinear",TRUE)</f>
        <v>QSObject:ContextInput:w1~input.qs_context_add_curve.2359132437744.7412.3.0:33071</v>
      </c>
      <c r="E7413" s="6" t="str">
        <f>_xll.QS.INSTRUMENT.SWAP("swap.7411",H7413,B7413,"USD","SOFR",I7413,J7413,0,"Actual360","Simple","Annual","Annual","Annual")</f>
        <v>QSObject:Swap:w1~swap.7411:5256</v>
      </c>
      <c r="F7413" s="6" t="str">
        <f>_xll.QS.TRADE.CREATE("trade.7411",E7413,A7413,"Receive")</f>
        <v>QSObject:SwapTrade:w1~trade.7411:24344</v>
      </c>
      <c r="G7413" s="3">
        <f>_xll.QS.EVALUATE(C7413,F7413)</f>
        <v>32729.27095910225</v>
      </c>
      <c r="H7413" s="5" t="s">
        <v>7454</v>
      </c>
      <c r="I7413" s="7">
        <v>1741100</v>
      </c>
      <c r="J7413" s="8">
        <v>3.61E-2</v>
      </c>
    </row>
    <row r="7414" spans="1:10" x14ac:dyDescent="0.25">
      <c r="A7414" s="5" t="s">
        <v>7448</v>
      </c>
      <c r="B7414" s="5" t="s">
        <v>9281</v>
      </c>
      <c r="C7414" s="6" t="str">
        <f>_xll.QS.CONTEXT.CREATE("market.7412",A7414,"USD","SOFR")</f>
        <v>QSObject:PricingContext:w1~market.7412:5255</v>
      </c>
      <c r="D7414" s="6" t="str">
        <f>_xll.QS.CONTEXT.ADD.CURVE(C7414,"SOFR",$K$2:$K$7,$L$2:$L$7,,,"Actual360","LogLinear",TRUE)</f>
        <v>QSObject:ContextInput:w1~input.qs_context_add_curve.2359132437744.7413.3.0:33070</v>
      </c>
      <c r="E7414" s="6" t="str">
        <f>_xll.QS.INSTRUMENT.SWAP("swap.7412",H7414,B7414,"USD","SOFR",I7414,J7414,0,"Actual360","Simple","Annual","Annual","Annual")</f>
        <v>QSObject:Swap:w1~swap.7412:5254</v>
      </c>
      <c r="F7414" s="6" t="str">
        <f>_xll.QS.TRADE.CREATE("trade.7412",E7414,A7414,"Receive")</f>
        <v>QSObject:SwapTrade:w1~trade.7412:24343</v>
      </c>
      <c r="G7414" s="3">
        <f>_xll.QS.EVALUATE(C7414,F7414)</f>
        <v>33387.49511917006</v>
      </c>
      <c r="H7414" s="5" t="s">
        <v>7455</v>
      </c>
      <c r="I7414" s="7">
        <v>1741200</v>
      </c>
      <c r="J7414" s="8">
        <v>3.6200000000000003E-2</v>
      </c>
    </row>
    <row r="7415" spans="1:10" x14ac:dyDescent="0.25">
      <c r="A7415" s="5" t="s">
        <v>7449</v>
      </c>
      <c r="B7415" s="5" t="s">
        <v>9282</v>
      </c>
      <c r="C7415" s="6" t="str">
        <f>_xll.QS.CONTEXT.CREATE("market.7413",A7415,"USD","SOFR")</f>
        <v>QSObject:PricingContext:w1~market.7413:5253</v>
      </c>
      <c r="D7415" s="6" t="str">
        <f>_xll.QS.CONTEXT.ADD.CURVE(C7415,"SOFR",$K$2:$K$7,$L$2:$L$7,,,"Actual360","LogLinear",TRUE)</f>
        <v>QSObject:ContextInput:w1~input.qs_context_add_curve.2359132437744.7414.3.0:33069</v>
      </c>
      <c r="E7415" s="6" t="str">
        <f>_xll.QS.INSTRUMENT.SWAP("swap.7413",H7415,B7415,"USD","SOFR",I7415,J7415,0,"Actual360","Simple","Annual","Annual","Annual")</f>
        <v>QSObject:Swap:w1~swap.7413:5252</v>
      </c>
      <c r="F7415" s="6" t="str">
        <f>_xll.QS.TRADE.CREATE("trade.7413",E7415,A7415,"Receive")</f>
        <v>QSObject:SwapTrade:w1~trade.7413:24342</v>
      </c>
      <c r="G7415" s="3">
        <f>_xll.QS.EVALUATE(C7415,F7415)</f>
        <v>34264.919369330288</v>
      </c>
      <c r="H7415" s="5" t="s">
        <v>7456</v>
      </c>
      <c r="I7415" s="7">
        <v>1741300</v>
      </c>
      <c r="J7415" s="8">
        <v>3.6300000000000013E-2</v>
      </c>
    </row>
    <row r="7416" spans="1:10" x14ac:dyDescent="0.25">
      <c r="A7416" s="5" t="s">
        <v>7450</v>
      </c>
      <c r="B7416" s="5" t="s">
        <v>9283</v>
      </c>
      <c r="C7416" s="6" t="str">
        <f>_xll.QS.CONTEXT.CREATE("market.7414",A7416,"USD","SOFR")</f>
        <v>QSObject:PricingContext:w1~market.7414:5251</v>
      </c>
      <c r="D7416" s="6" t="str">
        <f>_xll.QS.CONTEXT.ADD.CURVE(C7416,"SOFR",$K$2:$K$7,$L$2:$L$7,,,"Actual360","LogLinear",TRUE)</f>
        <v>QSObject:ContextInput:w1~input.qs_context_add_curve.2359132437744.7415.3.0:33068</v>
      </c>
      <c r="E7416" s="6" t="str">
        <f>_xll.QS.INSTRUMENT.SWAP("swap.7414",H7416,B7416,"USD","SOFR",I7416,J7416,0,"Actual360","Simple","Annual","Annual","Annual")</f>
        <v>QSObject:Swap:w1~swap.7414:5250</v>
      </c>
      <c r="F7416" s="6" t="str">
        <f>_xll.QS.TRADE.CREATE("trade.7414",E7416,A7416,"Receive")</f>
        <v>QSObject:SwapTrade:w1~trade.7414:24341</v>
      </c>
      <c r="G7416" s="3">
        <f>_xll.QS.EVALUATE(C7416,F7416)</f>
        <v>35117.467203758068</v>
      </c>
      <c r="H7416" s="5" t="s">
        <v>7457</v>
      </c>
      <c r="I7416" s="7">
        <v>1741400</v>
      </c>
      <c r="J7416" s="8">
        <v>3.6400000000000002E-2</v>
      </c>
    </row>
    <row r="7417" spans="1:10" x14ac:dyDescent="0.25">
      <c r="A7417" s="5" t="s">
        <v>7451</v>
      </c>
      <c r="B7417" s="5" t="s">
        <v>9284</v>
      </c>
      <c r="C7417" s="6" t="str">
        <f>_xll.QS.CONTEXT.CREATE("market.7415",A7417,"USD","SOFR")</f>
        <v>QSObject:PricingContext:w1~market.7415:5249</v>
      </c>
      <c r="D7417" s="6" t="str">
        <f>_xll.QS.CONTEXT.ADD.CURVE(C7417,"SOFR",$K$2:$K$7,$L$2:$L$7,,,"Actual360","LogLinear",TRUE)</f>
        <v>QSObject:ContextInput:w1~input.qs_context_add_curve.2359132437744.7416.3.0:33067</v>
      </c>
      <c r="E7417" s="6" t="str">
        <f>_xll.QS.INSTRUMENT.SWAP("swap.7415",H7417,B7417,"USD","SOFR",I7417,J7417,0,"Actual360","Simple","Annual","Annual","Annual")</f>
        <v>QSObject:Swap:w1~swap.7415:5248</v>
      </c>
      <c r="F7417" s="6" t="str">
        <f>_xll.QS.TRADE.CREATE("trade.7415",E7417,A7417,"Receive")</f>
        <v>QSObject:SwapTrade:w1~trade.7415:24340</v>
      </c>
      <c r="G7417" s="3">
        <f>_xll.QS.EVALUATE(C7417,F7417)</f>
        <v>36050.363033548812</v>
      </c>
      <c r="H7417" s="5" t="s">
        <v>7458</v>
      </c>
      <c r="I7417" s="7">
        <v>1741500</v>
      </c>
      <c r="J7417" s="8">
        <v>3.6499999999999998E-2</v>
      </c>
    </row>
    <row r="7418" spans="1:10" x14ac:dyDescent="0.25">
      <c r="A7418" s="5" t="s">
        <v>7452</v>
      </c>
      <c r="B7418" s="5" t="s">
        <v>9285</v>
      </c>
      <c r="C7418" s="6" t="str">
        <f>_xll.QS.CONTEXT.CREATE("market.7416",A7418,"USD","SOFR")</f>
        <v>QSObject:PricingContext:w1~market.7416:5247</v>
      </c>
      <c r="D7418" s="6" t="str">
        <f>_xll.QS.CONTEXT.ADD.CURVE(C7418,"SOFR",$K$2:$K$7,$L$2:$L$7,,,"Actual360","LogLinear",TRUE)</f>
        <v>QSObject:ContextInput:w1~input.qs_context_add_curve.2359132437744.7417.3.0:33066</v>
      </c>
      <c r="E7418" s="6" t="str">
        <f>_xll.QS.INSTRUMENT.SWAP("swap.7416",H7418,B7418,"USD","SOFR",I7418,J7418,0,"Actual360","Simple","Annual","Annual","Annual")</f>
        <v>QSObject:Swap:w1~swap.7416:5246</v>
      </c>
      <c r="F7418" s="6" t="str">
        <f>_xll.QS.TRADE.CREATE("trade.7416",E7418,A7418,"Receive")</f>
        <v>QSObject:SwapTrade:w1~trade.7416:24339</v>
      </c>
      <c r="G7418" s="3">
        <f>_xll.QS.EVALUATE(C7418,F7418)</f>
        <v>36931.240933452944</v>
      </c>
      <c r="H7418" s="5" t="s">
        <v>7459</v>
      </c>
      <c r="I7418" s="7">
        <v>1741600</v>
      </c>
      <c r="J7418" s="8">
        <v>3.6600000000000001E-2</v>
      </c>
    </row>
    <row r="7419" spans="1:10" x14ac:dyDescent="0.25">
      <c r="A7419" s="5" t="s">
        <v>7453</v>
      </c>
      <c r="B7419" s="5" t="s">
        <v>9286</v>
      </c>
      <c r="C7419" s="6" t="str">
        <f>_xll.QS.CONTEXT.CREATE("market.7417",A7419,"USD","SOFR")</f>
        <v>QSObject:PricingContext:w1~market.7417:5245</v>
      </c>
      <c r="D7419" s="6" t="str">
        <f>_xll.QS.CONTEXT.ADD.CURVE(C7419,"SOFR",$K$2:$K$7,$L$2:$L$7,,,"Actual360","LogLinear",TRUE)</f>
        <v>QSObject:ContextInput:w1~input.qs_context_add_curve.2359132437744.7418.3.0:33065</v>
      </c>
      <c r="E7419" s="6" t="str">
        <f>_xll.QS.INSTRUMENT.SWAP("swap.7417",H7419,B7419,"USD","SOFR",I7419,J7419,0,"Actual360","Simple","Annual","Annual","Annual")</f>
        <v>QSObject:Swap:w1~swap.7417:5244</v>
      </c>
      <c r="F7419" s="6" t="str">
        <f>_xll.QS.TRADE.CREATE("trade.7417",E7419,A7419,"Receive")</f>
        <v>QSObject:SwapTrade:w1~trade.7417:24338</v>
      </c>
      <c r="G7419" s="3">
        <f>_xll.QS.EVALUATE(C7419,F7419)</f>
        <v>37670.721134830026</v>
      </c>
      <c r="H7419" s="5" t="s">
        <v>7460</v>
      </c>
      <c r="I7419" s="7">
        <v>1741700</v>
      </c>
      <c r="J7419" s="8">
        <v>3.6700000000000003E-2</v>
      </c>
    </row>
    <row r="7420" spans="1:10" x14ac:dyDescent="0.25">
      <c r="A7420" s="5" t="s">
        <v>7454</v>
      </c>
      <c r="B7420" s="5" t="s">
        <v>9287</v>
      </c>
      <c r="C7420" s="6" t="str">
        <f>_xll.QS.CONTEXT.CREATE("market.7418",A7420,"USD","SOFR")</f>
        <v>QSObject:PricingContext:w1~market.7418:5243</v>
      </c>
      <c r="D7420" s="6" t="str">
        <f>_xll.QS.CONTEXT.ADD.CURVE(C7420,"SOFR",$K$2:$K$7,$L$2:$L$7,,,"Actual360","LogLinear",TRUE)</f>
        <v>QSObject:ContextInput:w1~input.qs_context_add_curve.2359132437744.7419.3.0:33064</v>
      </c>
      <c r="E7420" s="6" t="str">
        <f>_xll.QS.INSTRUMENT.SWAP("swap.7418",H7420,B7420,"USD","SOFR",I7420,J7420,0,"Actual360","Simple","Annual","Annual","Annual")</f>
        <v>QSObject:Swap:w1~swap.7418:5242</v>
      </c>
      <c r="F7420" s="6" t="str">
        <f>_xll.QS.TRADE.CREATE("trade.7418",E7420,A7420,"Receive")</f>
        <v>QSObject:SwapTrade:w1~trade.7418:24337</v>
      </c>
      <c r="G7420" s="3">
        <f>_xll.QS.EVALUATE(C7420,F7420)</f>
        <v>38356.846152980143</v>
      </c>
      <c r="H7420" s="5" t="s">
        <v>7461</v>
      </c>
      <c r="I7420" s="7">
        <v>1741800</v>
      </c>
      <c r="J7420" s="8">
        <v>3.6800000000000013E-2</v>
      </c>
    </row>
    <row r="7421" spans="1:10" x14ac:dyDescent="0.25">
      <c r="A7421" s="5" t="s">
        <v>7455</v>
      </c>
      <c r="B7421" s="5" t="s">
        <v>9288</v>
      </c>
      <c r="C7421" s="6" t="str">
        <f>_xll.QS.CONTEXT.CREATE("market.7419",A7421,"USD","SOFR")</f>
        <v>QSObject:PricingContext:w1~market.7419:5241</v>
      </c>
      <c r="D7421" s="6" t="str">
        <f>_xll.QS.CONTEXT.ADD.CURVE(C7421,"SOFR",$K$2:$K$7,$L$2:$L$7,,,"Actual360","LogLinear",TRUE)</f>
        <v>QSObject:ContextInput:w1~input.qs_context_add_curve.2359132437744.7420.3.0:33063</v>
      </c>
      <c r="E7421" s="6" t="str">
        <f>_xll.QS.INSTRUMENT.SWAP("swap.7419",H7421,B7421,"USD","SOFR",I7421,J7421,0,"Actual360","Simple","Annual","Annual","Annual")</f>
        <v>QSObject:Swap:w1~swap.7419:5240</v>
      </c>
      <c r="F7421" s="6" t="str">
        <f>_xll.QS.TRADE.CREATE("trade.7419",E7421,A7421,"Receive")</f>
        <v>QSObject:SwapTrade:w1~trade.7419:24336</v>
      </c>
      <c r="G7421" s="3">
        <f>_xll.QS.EVALUATE(C7421,F7421)</f>
        <v>39024.364579413188</v>
      </c>
      <c r="H7421" s="5" t="s">
        <v>7462</v>
      </c>
      <c r="I7421" s="7">
        <v>1741900</v>
      </c>
      <c r="J7421" s="8">
        <v>3.6900000000000002E-2</v>
      </c>
    </row>
    <row r="7422" spans="1:10" x14ac:dyDescent="0.25">
      <c r="A7422" s="5" t="s">
        <v>7456</v>
      </c>
      <c r="B7422" s="5" t="s">
        <v>9289</v>
      </c>
      <c r="C7422" s="6" t="str">
        <f>_xll.QS.CONTEXT.CREATE("market.7420",A7422,"USD","SOFR")</f>
        <v>QSObject:PricingContext:w1~market.7420:5239</v>
      </c>
      <c r="D7422" s="6" t="str">
        <f>_xll.QS.CONTEXT.ADD.CURVE(C7422,"SOFR",$K$2:$K$7,$L$2:$L$7,,,"Actual360","LogLinear",TRUE)</f>
        <v>QSObject:ContextInput:w1~input.qs_context_add_curve.2359132437744.7421.3.0:33062</v>
      </c>
      <c r="E7422" s="6" t="str">
        <f>_xll.QS.INSTRUMENT.SWAP("swap.7420",H7422,B7422,"USD","SOFR",I7422,J7422,0,"Actual360","Simple","Annual","Annual","Annual")</f>
        <v>QSObject:Swap:w1~swap.7420:5238</v>
      </c>
      <c r="F7422" s="6" t="str">
        <f>_xll.QS.TRADE.CREATE("trade.7420",E7422,A7422,"Receive")</f>
        <v>QSObject:SwapTrade:w1~trade.7420:24335</v>
      </c>
      <c r="G7422" s="3">
        <f>_xll.QS.EVALUATE(C7422,F7422)</f>
        <v>39903.996410213222</v>
      </c>
      <c r="H7422" s="5" t="s">
        <v>7463</v>
      </c>
      <c r="I7422" s="7">
        <v>1742000</v>
      </c>
      <c r="J7422" s="8">
        <v>3.7000000000000012E-2</v>
      </c>
    </row>
    <row r="7423" spans="1:10" x14ac:dyDescent="0.25">
      <c r="A7423" s="5" t="s">
        <v>7457</v>
      </c>
      <c r="B7423" s="5" t="s">
        <v>9290</v>
      </c>
      <c r="C7423" s="6" t="str">
        <f>_xll.QS.CONTEXT.CREATE("market.7421",A7423,"USD","SOFR")</f>
        <v>QSObject:PricingContext:w1~market.7421:5237</v>
      </c>
      <c r="D7423" s="6" t="str">
        <f>_xll.QS.CONTEXT.ADD.CURVE(C7423,"SOFR",$K$2:$K$7,$L$2:$L$7,,,"Actual360","LogLinear",TRUE)</f>
        <v>QSObject:ContextInput:w1~input.qs_context_add_curve.2359132437744.7422.3.0:33061</v>
      </c>
      <c r="E7423" s="6" t="str">
        <f>_xll.QS.INSTRUMENT.SWAP("swap.7421",H7423,B7423,"USD","SOFR",I7423,J7423,0,"Actual360","Simple","Annual","Annual","Annual")</f>
        <v>QSObject:Swap:w1~swap.7421:5236</v>
      </c>
      <c r="F7423" s="6" t="str">
        <f>_xll.QS.TRADE.CREATE("trade.7421",E7423,A7423,"Receive")</f>
        <v>QSObject:SwapTrade:w1~trade.7421:24334</v>
      </c>
      <c r="G7423" s="3">
        <f>_xll.QS.EVALUATE(C7423,F7423)</f>
        <v>40755.59404575482</v>
      </c>
      <c r="H7423" s="5" t="s">
        <v>7464</v>
      </c>
      <c r="I7423" s="7">
        <v>1742100</v>
      </c>
      <c r="J7423" s="8">
        <v>3.7100000000000001E-2</v>
      </c>
    </row>
    <row r="7424" spans="1:10" x14ac:dyDescent="0.25">
      <c r="A7424" s="5" t="s">
        <v>7458</v>
      </c>
      <c r="B7424" s="5" t="s">
        <v>9291</v>
      </c>
      <c r="C7424" s="6" t="str">
        <f>_xll.QS.CONTEXT.CREATE("market.7422",A7424,"USD","SOFR")</f>
        <v>QSObject:PricingContext:w1~market.7422:5235</v>
      </c>
      <c r="D7424" s="6" t="str">
        <f>_xll.QS.CONTEXT.ADD.CURVE(C7424,"SOFR",$K$2:$K$7,$L$2:$L$7,,,"Actual360","LogLinear",TRUE)</f>
        <v>QSObject:ContextInput:w1~input.qs_context_add_curve.2359132437744.7423.3.0:33060</v>
      </c>
      <c r="E7424" s="6" t="str">
        <f>_xll.QS.INSTRUMENT.SWAP("swap.7422",H7424,B7424,"USD","SOFR",I7424,J7424,0,"Actual360","Simple","Annual","Annual","Annual")</f>
        <v>QSObject:Swap:w1~swap.7422:5234</v>
      </c>
      <c r="F7424" s="6" t="str">
        <f>_xll.QS.TRADE.CREATE("trade.7422",E7424,A7424,"Receive")</f>
        <v>QSObject:SwapTrade:w1~trade.7422:24333</v>
      </c>
      <c r="G7424" s="3">
        <f>_xll.QS.EVALUATE(C7424,F7424)</f>
        <v>41689.299218222397</v>
      </c>
      <c r="H7424" s="5" t="s">
        <v>7465</v>
      </c>
      <c r="I7424" s="7">
        <v>1742200</v>
      </c>
      <c r="J7424" s="8">
        <v>3.7199999999999997E-2</v>
      </c>
    </row>
    <row r="7425" spans="1:10" x14ac:dyDescent="0.25">
      <c r="A7425" s="5" t="s">
        <v>7459</v>
      </c>
      <c r="B7425" s="5" t="s">
        <v>9292</v>
      </c>
      <c r="C7425" s="6" t="str">
        <f>_xll.QS.CONTEXT.CREATE("market.7423",A7425,"USD","SOFR")</f>
        <v>QSObject:PricingContext:w1~market.7423:5233</v>
      </c>
      <c r="D7425" s="6" t="str">
        <f>_xll.QS.CONTEXT.ADD.CURVE(C7425,"SOFR",$K$2:$K$7,$L$2:$L$7,,,"Actual360","LogLinear",TRUE)</f>
        <v>QSObject:ContextInput:w1~input.qs_context_add_curve.2359132437744.7424.3.0:33059</v>
      </c>
      <c r="E7425" s="6" t="str">
        <f>_xll.QS.INSTRUMENT.SWAP("swap.7423",H7425,B7425,"USD","SOFR",I7425,J7425,0,"Actual360","Simple","Annual","Annual","Annual")</f>
        <v>QSObject:Swap:w1~swap.7423:5232</v>
      </c>
      <c r="F7425" s="6" t="str">
        <f>_xll.QS.TRADE.CREATE("trade.7423",E7425,A7425,"Receive")</f>
        <v>QSObject:SwapTrade:w1~trade.7423:24332</v>
      </c>
      <c r="G7425" s="3">
        <f>_xll.QS.EVALUATE(C7425,F7425)</f>
        <v>42570.235271523496</v>
      </c>
      <c r="H7425" s="5" t="s">
        <v>7466</v>
      </c>
      <c r="I7425" s="7">
        <v>1742300</v>
      </c>
      <c r="J7425" s="8">
        <v>3.73E-2</v>
      </c>
    </row>
    <row r="7426" spans="1:10" x14ac:dyDescent="0.25">
      <c r="A7426" s="5" t="s">
        <v>7460</v>
      </c>
      <c r="B7426" s="5" t="s">
        <v>9293</v>
      </c>
      <c r="C7426" s="6" t="str">
        <f>_xll.QS.CONTEXT.CREATE("market.7424",A7426,"USD","SOFR")</f>
        <v>QSObject:PricingContext:w1~market.7424:5231</v>
      </c>
      <c r="D7426" s="6" t="str">
        <f>_xll.QS.CONTEXT.ADD.CURVE(C7426,"SOFR",$K$2:$K$7,$L$2:$L$7,,,"Actual360","LogLinear",TRUE)</f>
        <v>QSObject:ContextInput:w1~input.qs_context_add_curve.2359132437744.7425.3.0:33058</v>
      </c>
      <c r="E7426" s="6" t="str">
        <f>_xll.QS.INSTRUMENT.SWAP("swap.7424",H7426,B7426,"USD","SOFR",I7426,J7426,0,"Actual360","Simple","Annual","Annual","Annual")</f>
        <v>QSObject:Swap:w1~swap.7424:5230</v>
      </c>
      <c r="F7426" s="6" t="str">
        <f>_xll.QS.TRADE.CREATE("trade.7424",E7426,A7426,"Receive")</f>
        <v>QSObject:SwapTrade:w1~trade.7424:24331</v>
      </c>
      <c r="G7426" s="3">
        <f>_xll.QS.EVALUATE(C7426,F7426)</f>
        <v>43310.011292202355</v>
      </c>
      <c r="H7426" s="5" t="s">
        <v>7467</v>
      </c>
      <c r="I7426" s="7">
        <v>1742400</v>
      </c>
      <c r="J7426" s="8">
        <v>3.7400000000000003E-2</v>
      </c>
    </row>
    <row r="7427" spans="1:10" x14ac:dyDescent="0.25">
      <c r="A7427" s="5" t="s">
        <v>7461</v>
      </c>
      <c r="B7427" s="5" t="s">
        <v>9294</v>
      </c>
      <c r="C7427" s="6" t="str">
        <f>_xll.QS.CONTEXT.CREATE("market.7425",A7427,"USD","SOFR")</f>
        <v>QSObject:PricingContext:w1~market.7425:5229</v>
      </c>
      <c r="D7427" s="6" t="str">
        <f>_xll.QS.CONTEXT.ADD.CURVE(C7427,"SOFR",$K$2:$K$7,$L$2:$L$7,,,"Actual360","LogLinear",TRUE)</f>
        <v>QSObject:ContextInput:w1~input.qs_context_add_curve.2359132437744.7426.3.0:33057</v>
      </c>
      <c r="E7427" s="6" t="str">
        <f>_xll.QS.INSTRUMENT.SWAP("swap.7425",H7427,B7427,"USD","SOFR",I7427,J7427,0,"Actual360","Simple","Annual","Annual","Annual")</f>
        <v>QSObject:Swap:w1~swap.7425:5228</v>
      </c>
      <c r="F7427" s="6" t="str">
        <f>_xll.QS.TRADE.CREATE("trade.7425",E7427,A7427,"Receive")</f>
        <v>QSObject:SwapTrade:w1~trade.7425:24330</v>
      </c>
      <c r="G7427" s="3">
        <f>_xll.QS.EVALUATE(C7427,F7427)</f>
        <v>43990.383385558758</v>
      </c>
      <c r="H7427" s="5" t="s">
        <v>7468</v>
      </c>
      <c r="I7427" s="7">
        <v>1742500</v>
      </c>
      <c r="J7427" s="8">
        <v>3.7500000000000012E-2</v>
      </c>
    </row>
    <row r="7428" spans="1:10" x14ac:dyDescent="0.25">
      <c r="A7428" s="5" t="s">
        <v>7462</v>
      </c>
      <c r="B7428" s="5" t="s">
        <v>9295</v>
      </c>
      <c r="C7428" s="6" t="str">
        <f>_xll.QS.CONTEXT.CREATE("market.7426",A7428,"USD","SOFR")</f>
        <v>QSObject:PricingContext:w1~market.7426:5227</v>
      </c>
      <c r="D7428" s="6" t="str">
        <f>_xll.QS.CONTEXT.ADD.CURVE(C7428,"SOFR",$K$2:$K$7,$L$2:$L$7,,,"Actual360","LogLinear",TRUE)</f>
        <v>QSObject:ContextInput:w1~input.qs_context_add_curve.2359132437744.7427.3.0:33056</v>
      </c>
      <c r="E7428" s="6" t="str">
        <f>_xll.QS.INSTRUMENT.SWAP("swap.7426",H7428,B7428,"USD","SOFR",I7428,J7428,0,"Actual360","Simple","Annual","Annual","Annual")</f>
        <v>QSObject:Swap:w1~swap.7426:5226</v>
      </c>
      <c r="F7428" s="6" t="str">
        <f>_xll.QS.TRADE.CREATE("trade.7426",E7428,A7428,"Receive")</f>
        <v>QSObject:SwapTrade:w1~trade.7426:24329</v>
      </c>
      <c r="G7428" s="3">
        <f>_xll.QS.EVALUATE(C7428,F7428)</f>
        <v>44667.21201328325</v>
      </c>
      <c r="H7428" s="5" t="s">
        <v>7469</v>
      </c>
      <c r="I7428" s="7">
        <v>1742600</v>
      </c>
      <c r="J7428" s="8">
        <v>3.7600000000000001E-2</v>
      </c>
    </row>
    <row r="7429" spans="1:10" x14ac:dyDescent="0.25">
      <c r="A7429" s="5" t="s">
        <v>7463</v>
      </c>
      <c r="B7429" s="5" t="s">
        <v>9296</v>
      </c>
      <c r="C7429" s="6" t="str">
        <f>_xll.QS.CONTEXT.CREATE("market.7427",A7429,"USD","SOFR")</f>
        <v>QSObject:PricingContext:w1~market.7427:5225</v>
      </c>
      <c r="D7429" s="6" t="str">
        <f>_xll.QS.CONTEXT.ADD.CURVE(C7429,"SOFR",$K$2:$K$7,$L$2:$L$7,,,"Actual360","LogLinear",TRUE)</f>
        <v>QSObject:ContextInput:w1~input.qs_context_add_curve.2359132437744.7428.3.0:33055</v>
      </c>
      <c r="E7429" s="6" t="str">
        <f>_xll.QS.INSTRUMENT.SWAP("swap.7427",H7429,B7429,"USD","SOFR",I7429,J7429,0,"Actual360","Simple","Annual","Annual","Annual")</f>
        <v>QSObject:Swap:w1~swap.7427:5224</v>
      </c>
      <c r="F7429" s="6" t="str">
        <f>_xll.QS.TRADE.CREATE("trade.7427",E7429,A7429,"Receive")</f>
        <v>QSObject:SwapTrade:w1~trade.7427:24328</v>
      </c>
      <c r="G7429" s="3">
        <f>_xll.QS.EVALUATE(C7429,F7429)</f>
        <v>45548.084039387817</v>
      </c>
      <c r="H7429" s="5" t="s">
        <v>7470</v>
      </c>
      <c r="I7429" s="7">
        <v>1742700</v>
      </c>
      <c r="J7429" s="8">
        <v>3.7699999999999997E-2</v>
      </c>
    </row>
    <row r="7430" spans="1:10" x14ac:dyDescent="0.25">
      <c r="A7430" s="5" t="s">
        <v>7464</v>
      </c>
      <c r="B7430" s="5" t="s">
        <v>9297</v>
      </c>
      <c r="C7430" s="6" t="str">
        <f>_xll.QS.CONTEXT.CREATE("market.7428",A7430,"USD","SOFR")</f>
        <v>QSObject:PricingContext:w1~market.7428:5223</v>
      </c>
      <c r="D7430" s="6" t="str">
        <f>_xll.QS.CONTEXT.ADD.CURVE(C7430,"SOFR",$K$2:$K$7,$L$2:$L$7,,,"Actual360","LogLinear",TRUE)</f>
        <v>QSObject:ContextInput:w1~input.qs_context_add_curve.2359132437744.7429.3.0:33054</v>
      </c>
      <c r="E7430" s="6" t="str">
        <f>_xll.QS.INSTRUMENT.SWAP("swap.7428",H7430,B7430,"USD","SOFR",I7430,J7430,0,"Actual360","Simple","Annual","Annual","Annual")</f>
        <v>QSObject:Swap:w1~swap.7428:5222</v>
      </c>
      <c r="F7430" s="6" t="str">
        <f>_xll.QS.TRADE.CREATE("trade.7428",E7430,A7430,"Receive")</f>
        <v>QSObject:SwapTrade:w1~trade.7428:24327</v>
      </c>
      <c r="G7430" s="3">
        <f>_xll.QS.EVALUATE(C7430,F7430)</f>
        <v>46397.59698980215</v>
      </c>
      <c r="H7430" s="5" t="s">
        <v>7471</v>
      </c>
      <c r="I7430" s="7">
        <v>1742800</v>
      </c>
      <c r="J7430" s="8">
        <v>3.78E-2</v>
      </c>
    </row>
    <row r="7431" spans="1:10" x14ac:dyDescent="0.25">
      <c r="A7431" s="5" t="s">
        <v>7465</v>
      </c>
      <c r="B7431" s="5" t="s">
        <v>9298</v>
      </c>
      <c r="C7431" s="6" t="str">
        <f>_xll.QS.CONTEXT.CREATE("market.7429",A7431,"USD","SOFR")</f>
        <v>QSObject:PricingContext:w1~market.7429:5221</v>
      </c>
      <c r="D7431" s="6" t="str">
        <f>_xll.QS.CONTEXT.ADD.CURVE(C7431,"SOFR",$K$2:$K$7,$L$2:$L$7,,,"Actual360","LogLinear",TRUE)</f>
        <v>QSObject:ContextInput:w1~input.qs_context_add_curve.2359132437744.7430.3.0:33053</v>
      </c>
      <c r="E7431" s="6" t="str">
        <f>_xll.QS.INSTRUMENT.SWAP("swap.7429",H7431,B7431,"USD","SOFR",I7431,J7431,0,"Actual360","Simple","Annual","Annual","Annual")</f>
        <v>QSObject:Swap:w1~swap.7429:5220</v>
      </c>
      <c r="F7431" s="6" t="str">
        <f>_xll.QS.TRADE.CREATE("trade.7429",E7431,A7431,"Receive")</f>
        <v>QSObject:SwapTrade:w1~trade.7429:24326</v>
      </c>
      <c r="G7431" s="3">
        <f>_xll.QS.EVALUATE(C7431,F7431)</f>
        <v>47331.398598161781</v>
      </c>
      <c r="H7431" s="5" t="s">
        <v>7472</v>
      </c>
      <c r="I7431" s="7">
        <v>1742900</v>
      </c>
      <c r="J7431" s="8">
        <v>3.7900000000000003E-2</v>
      </c>
    </row>
    <row r="7432" spans="1:10" x14ac:dyDescent="0.25">
      <c r="A7432" s="5" t="s">
        <v>7466</v>
      </c>
      <c r="B7432" s="5" t="s">
        <v>9299</v>
      </c>
      <c r="C7432" s="6" t="str">
        <f>_xll.QS.CONTEXT.CREATE("market.7430",A7432,"USD","SOFR")</f>
        <v>QSObject:PricingContext:w1~market.7430:5219</v>
      </c>
      <c r="D7432" s="6" t="str">
        <f>_xll.QS.CONTEXT.ADD.CURVE(C7432,"SOFR",$K$2:$K$7,$L$2:$L$7,,,"Actual360","LogLinear",TRUE)</f>
        <v>QSObject:ContextInput:w1~input.qs_context_add_curve.2359132437744.7431.3.0:33052</v>
      </c>
      <c r="E7432" s="6" t="str">
        <f>_xll.QS.INSTRUMENT.SWAP("swap.7430",H7432,B7432,"USD","SOFR",I7432,J7432,0,"Actual360","Simple","Annual","Annual","Annual")</f>
        <v>QSObject:Swap:w1~swap.7430:5218</v>
      </c>
      <c r="F7432" s="6" t="str">
        <f>_xll.QS.TRADE.CREATE("trade.7430",E7432,A7432,"Receive")</f>
        <v>QSObject:SwapTrade:w1~trade.7430:24325</v>
      </c>
      <c r="G7432" s="3">
        <f>_xll.QS.EVALUATE(C7432,F7432)</f>
        <v>48213.748814569364</v>
      </c>
      <c r="H7432" s="5" t="s">
        <v>7473</v>
      </c>
      <c r="I7432" s="7">
        <v>1743000</v>
      </c>
      <c r="J7432" s="8">
        <v>3.8000000000000013E-2</v>
      </c>
    </row>
    <row r="7433" spans="1:10" x14ac:dyDescent="0.25">
      <c r="A7433" s="5" t="s">
        <v>7467</v>
      </c>
      <c r="B7433" s="5" t="s">
        <v>9300</v>
      </c>
      <c r="C7433" s="6" t="str">
        <f>_xll.QS.CONTEXT.CREATE("market.7431",A7433,"USD","SOFR")</f>
        <v>QSObject:PricingContext:w1~market.7431:5217</v>
      </c>
      <c r="D7433" s="6" t="str">
        <f>_xll.QS.CONTEXT.ADD.CURVE(C7433,"SOFR",$K$2:$K$7,$L$2:$L$7,,,"Actual360","LogLinear",TRUE)</f>
        <v>QSObject:ContextInput:w1~input.qs_context_add_curve.2359132437744.7432.3.0:33051</v>
      </c>
      <c r="E7433" s="6" t="str">
        <f>_xll.QS.INSTRUMENT.SWAP("swap.7431",H7433,B7433,"USD","SOFR",I7433,J7433,0,"Actual360","Simple","Annual","Annual","Annual")</f>
        <v>QSObject:Swap:w1~swap.7431:5216</v>
      </c>
      <c r="F7433" s="6" t="str">
        <f>_xll.QS.TRADE.CREATE("trade.7431",E7433,A7433,"Receive")</f>
        <v>QSObject:SwapTrade:w1~trade.7431:24324</v>
      </c>
      <c r="G7433" s="3">
        <f>_xll.QS.EVALUATE(C7433,F7433)</f>
        <v>48954.098496119994</v>
      </c>
      <c r="H7433" s="5" t="s">
        <v>7474</v>
      </c>
      <c r="I7433" s="7">
        <v>1743100</v>
      </c>
      <c r="J7433" s="8">
        <v>3.8100000000000002E-2</v>
      </c>
    </row>
    <row r="7434" spans="1:10" x14ac:dyDescent="0.25">
      <c r="A7434" s="5" t="s">
        <v>7468</v>
      </c>
      <c r="B7434" s="5" t="s">
        <v>9301</v>
      </c>
      <c r="C7434" s="6" t="str">
        <f>_xll.QS.CONTEXT.CREATE("market.7432",A7434,"USD","SOFR")</f>
        <v>QSObject:PricingContext:w1~market.7432:5215</v>
      </c>
      <c r="D7434" s="6" t="str">
        <f>_xll.QS.CONTEXT.ADD.CURVE(C7434,"SOFR",$K$2:$K$7,$L$2:$L$7,,,"Actual360","LogLinear",TRUE)</f>
        <v>QSObject:ContextInput:w1~input.qs_context_add_curve.2359132437744.7433.3.0:33050</v>
      </c>
      <c r="E7434" s="6" t="str">
        <f>_xll.QS.INSTRUMENT.SWAP("swap.7432",H7434,B7434,"USD","SOFR",I7434,J7434,0,"Actual360","Simple","Annual","Annual","Annual")</f>
        <v>QSObject:Swap:w1~swap.7432:5214</v>
      </c>
      <c r="F7434" s="6" t="str">
        <f>_xll.QS.TRADE.CREATE("trade.7432",E7434,A7434,"Receive")</f>
        <v>QSObject:SwapTrade:w1~trade.7432:24323</v>
      </c>
      <c r="G7434" s="3">
        <f>_xll.QS.EVALUATE(C7434,F7434)</f>
        <v>49628.434460989003</v>
      </c>
      <c r="H7434" s="5" t="s">
        <v>7475</v>
      </c>
      <c r="I7434" s="7">
        <v>1743200</v>
      </c>
      <c r="J7434" s="8">
        <v>3.8199999999999998E-2</v>
      </c>
    </row>
    <row r="7435" spans="1:10" x14ac:dyDescent="0.25">
      <c r="A7435" s="5" t="s">
        <v>7469</v>
      </c>
      <c r="B7435" s="5" t="s">
        <v>9302</v>
      </c>
      <c r="C7435" s="6" t="str">
        <f>_xll.QS.CONTEXT.CREATE("market.7433",A7435,"USD","SOFR")</f>
        <v>QSObject:PricingContext:w1~market.7433:5213</v>
      </c>
      <c r="D7435" s="6" t="str">
        <f>_xll.QS.CONTEXT.ADD.CURVE(C7435,"SOFR",$K$2:$K$7,$L$2:$L$7,,,"Actual360","LogLinear",TRUE)</f>
        <v>QSObject:ContextInput:w1~input.qs_context_add_curve.2359132437744.7434.3.0:33049</v>
      </c>
      <c r="E7435" s="6" t="str">
        <f>_xll.QS.INSTRUMENT.SWAP("swap.7433",H7435,B7435,"USD","SOFR",I7435,J7435,0,"Actual360","Simple","Annual","Annual","Annual")</f>
        <v>QSObject:Swap:w1~swap.7433:5212</v>
      </c>
      <c r="F7435" s="6" t="str">
        <f>_xll.QS.TRADE.CREATE("trade.7433",E7435,A7435,"Receive")</f>
        <v>QSObject:SwapTrade:w1~trade.7433:24322</v>
      </c>
      <c r="G7435" s="3">
        <f>_xll.QS.EVALUATE(C7435,F7435)</f>
        <v>50314.580295966298</v>
      </c>
      <c r="H7435" s="5" t="s">
        <v>7476</v>
      </c>
      <c r="I7435" s="7">
        <v>1743300</v>
      </c>
      <c r="J7435" s="8">
        <v>3.8300000000000001E-2</v>
      </c>
    </row>
    <row r="7436" spans="1:10" x14ac:dyDescent="0.25">
      <c r="A7436" s="5" t="s">
        <v>7470</v>
      </c>
      <c r="B7436" s="5" t="s">
        <v>9303</v>
      </c>
      <c r="C7436" s="6" t="str">
        <f>_xll.QS.CONTEXT.CREATE("market.7434",A7436,"USD","SOFR")</f>
        <v>QSObject:PricingContext:w1~market.7434:5211</v>
      </c>
      <c r="D7436" s="6" t="str">
        <f>_xll.QS.CONTEXT.ADD.CURVE(C7436,"SOFR",$K$2:$K$7,$L$2:$L$7,,,"Actual360","LogLinear",TRUE)</f>
        <v>QSObject:ContextInput:w1~input.qs_context_add_curve.2359132437744.7435.3.0:33048</v>
      </c>
      <c r="E7436" s="6" t="str">
        <f>_xll.QS.INSTRUMENT.SWAP("swap.7434",H7436,B7436,"USD","SOFR",I7436,J7436,0,"Actual360","Simple","Annual","Annual","Annual")</f>
        <v>QSObject:Swap:w1~swap.7434:5210</v>
      </c>
      <c r="F7436" s="6" t="str">
        <f>_xll.QS.TRADE.CREATE("trade.7434",E7436,A7436,"Receive")</f>
        <v>QSObject:SwapTrade:w1~trade.7434:24321</v>
      </c>
      <c r="G7436" s="3">
        <f>_xll.QS.EVALUATE(C7436,F7436)</f>
        <v>51196.692971035241</v>
      </c>
      <c r="H7436" s="5" t="s">
        <v>7477</v>
      </c>
      <c r="I7436" s="7">
        <v>1743400</v>
      </c>
      <c r="J7436" s="8">
        <v>3.8399999999999997E-2</v>
      </c>
    </row>
    <row r="7437" spans="1:10" x14ac:dyDescent="0.25">
      <c r="A7437" s="5" t="s">
        <v>7471</v>
      </c>
      <c r="B7437" s="5" t="s">
        <v>9304</v>
      </c>
      <c r="C7437" s="6" t="str">
        <f>_xll.QS.CONTEXT.CREATE("market.7435",A7437,"USD","SOFR")</f>
        <v>QSObject:PricingContext:w1~market.7435:5209</v>
      </c>
      <c r="D7437" s="6" t="str">
        <f>_xll.QS.CONTEXT.ADD.CURVE(C7437,"SOFR",$K$2:$K$7,$L$2:$L$7,,,"Actual360","LogLinear",TRUE)</f>
        <v>QSObject:ContextInput:w1~input.qs_context_add_curve.2359132437744.7436.3.0:33047</v>
      </c>
      <c r="E7437" s="6" t="str">
        <f>_xll.QS.INSTRUMENT.SWAP("swap.7435",H7437,B7437,"USD","SOFR",I7437,J7437,0,"Actual360","Simple","Annual","Annual","Annual")</f>
        <v>QSObject:Swap:w1~swap.7435:5208</v>
      </c>
      <c r="F7437" s="6" t="str">
        <f>_xll.QS.TRADE.CREATE("trade.7435",E7437,A7437,"Receive")</f>
        <v>QSObject:SwapTrade:w1~trade.7435:24320</v>
      </c>
      <c r="G7437" s="3">
        <f>_xll.QS.EVALUATE(C7437,F7437)</f>
        <v>52044.11228925216</v>
      </c>
      <c r="H7437" s="5" t="s">
        <v>7478</v>
      </c>
      <c r="I7437" s="7">
        <v>1743500</v>
      </c>
      <c r="J7437" s="8">
        <v>3.8500000000000013E-2</v>
      </c>
    </row>
    <row r="7438" spans="1:10" x14ac:dyDescent="0.25">
      <c r="A7438" s="5" t="s">
        <v>7472</v>
      </c>
      <c r="B7438" s="5" t="s">
        <v>9305</v>
      </c>
      <c r="C7438" s="6" t="str">
        <f>_xll.QS.CONTEXT.CREATE("market.7436",A7438,"USD","SOFR")</f>
        <v>QSObject:PricingContext:w1~market.7436:5207</v>
      </c>
      <c r="D7438" s="6" t="str">
        <f>_xll.QS.CONTEXT.ADD.CURVE(C7438,"SOFR",$K$2:$K$7,$L$2:$L$7,,,"Actual360","LogLinear",TRUE)</f>
        <v>QSObject:ContextInput:w1~input.qs_context_add_curve.2359132437744.7437.3.0:33046</v>
      </c>
      <c r="E7438" s="6" t="str">
        <f>_xll.QS.INSTRUMENT.SWAP("swap.7436",H7438,B7438,"USD","SOFR",I7438,J7438,0,"Actual360","Simple","Annual","Annual","Annual")</f>
        <v>QSObject:Swap:w1~swap.7436:5206</v>
      </c>
      <c r="F7438" s="6" t="str">
        <f>_xll.QS.TRADE.CREATE("trade.7436",E7438,A7438,"Receive")</f>
        <v>QSObject:SwapTrade:w1~trade.7436:24319</v>
      </c>
      <c r="G7438" s="3">
        <f>_xll.QS.EVALUATE(C7438,F7438)</f>
        <v>52978.695115469804</v>
      </c>
      <c r="H7438" s="5" t="s">
        <v>7479</v>
      </c>
      <c r="I7438" s="7">
        <v>1743600</v>
      </c>
      <c r="J7438" s="8">
        <v>3.8600000000000002E-2</v>
      </c>
    </row>
    <row r="7439" spans="1:10" x14ac:dyDescent="0.25">
      <c r="A7439" s="5" t="s">
        <v>7473</v>
      </c>
      <c r="B7439" s="5" t="s">
        <v>9306</v>
      </c>
      <c r="C7439" s="6" t="str">
        <f>_xll.QS.CONTEXT.CREATE("market.7437",A7439,"USD","SOFR")</f>
        <v>QSObject:PricingContext:w1~market.7437:5205</v>
      </c>
      <c r="D7439" s="6" t="str">
        <f>_xll.QS.CONTEXT.ADD.CURVE(C7439,"SOFR",$K$2:$K$7,$L$2:$L$7,,,"Actual360","LogLinear",TRUE)</f>
        <v>QSObject:ContextInput:w1~input.qs_context_add_curve.2359132437744.7438.3.0:33045</v>
      </c>
      <c r="E7439" s="6" t="str">
        <f>_xll.QS.INSTRUMENT.SWAP("swap.7437",H7439,B7439,"USD","SOFR",I7439,J7439,0,"Actual360","Simple","Annual","Annual","Annual")</f>
        <v>QSObject:Swap:w1~swap.7437:5204</v>
      </c>
      <c r="F7439" s="6" t="str">
        <f>_xll.QS.TRADE.CREATE("trade.7437",E7439,A7439,"Receive")</f>
        <v>QSObject:SwapTrade:w1~trade.7437:24318</v>
      </c>
      <c r="G7439" s="3">
        <f>_xll.QS.EVALUATE(C7439,F7439)</f>
        <v>53861.781562590375</v>
      </c>
      <c r="H7439" s="5" t="s">
        <v>7480</v>
      </c>
      <c r="I7439" s="7">
        <v>1743700</v>
      </c>
      <c r="J7439" s="8">
        <v>3.8700000000000012E-2</v>
      </c>
    </row>
    <row r="7440" spans="1:10" x14ac:dyDescent="0.25">
      <c r="A7440" s="5" t="s">
        <v>7474</v>
      </c>
      <c r="B7440" s="5" t="s">
        <v>9307</v>
      </c>
      <c r="C7440" s="6" t="str">
        <f>_xll.QS.CONTEXT.CREATE("market.7438",A7440,"USD","SOFR")</f>
        <v>QSObject:PricingContext:w1~market.7438:5203</v>
      </c>
      <c r="D7440" s="6" t="str">
        <f>_xll.QS.CONTEXT.ADD.CURVE(C7440,"SOFR",$K$2:$K$7,$L$2:$L$7,,,"Actual360","LogLinear",TRUE)</f>
        <v>QSObject:ContextInput:w1~input.qs_context_add_curve.2359132437744.7439.3.0:33044</v>
      </c>
      <c r="E7440" s="6" t="str">
        <f>_xll.QS.INSTRUMENT.SWAP("swap.7438",H7440,B7440,"USD","SOFR",I7440,J7440,0,"Actual360","Simple","Annual","Annual","Annual")</f>
        <v>QSObject:Swap:w1~swap.7438:5202</v>
      </c>
      <c r="F7440" s="6" t="str">
        <f>_xll.QS.TRADE.CREATE("trade.7438",E7440,A7440,"Receive")</f>
        <v>QSObject:SwapTrade:w1~trade.7438:24317</v>
      </c>
      <c r="G7440" s="3">
        <f>_xll.QS.EVALUATE(C7440,F7440)</f>
        <v>54602.704868581997</v>
      </c>
      <c r="H7440" s="5" t="s">
        <v>7481</v>
      </c>
      <c r="I7440" s="7">
        <v>1743800</v>
      </c>
      <c r="J7440" s="8">
        <v>3.8800000000000001E-2</v>
      </c>
    </row>
    <row r="7441" spans="1:10" x14ac:dyDescent="0.25">
      <c r="A7441" s="5" t="s">
        <v>7475</v>
      </c>
      <c r="B7441" s="5" t="s">
        <v>9308</v>
      </c>
      <c r="C7441" s="6" t="str">
        <f>_xll.QS.CONTEXT.CREATE("market.7439",A7441,"USD","SOFR")</f>
        <v>QSObject:PricingContext:w1~market.7439:5201</v>
      </c>
      <c r="D7441" s="6" t="str">
        <f>_xll.QS.CONTEXT.ADD.CURVE(C7441,"SOFR",$K$2:$K$7,$L$2:$L$7,,,"Actual360","LogLinear",TRUE)</f>
        <v>QSObject:ContextInput:w1~input.qs_context_add_curve.2359132437744.7440.3.0:33043</v>
      </c>
      <c r="E7441" s="6" t="str">
        <f>_xll.QS.INSTRUMENT.SWAP("swap.7439",H7441,B7441,"USD","SOFR",I7441,J7441,0,"Actual360","Simple","Annual","Annual","Annual")</f>
        <v>QSObject:Swap:w1~swap.7439:5200</v>
      </c>
      <c r="F7441" s="6" t="str">
        <f>_xll.QS.TRADE.CREATE("trade.7439",E7441,A7441,"Receive")</f>
        <v>QSObject:SwapTrade:w1~trade.7439:24316</v>
      </c>
      <c r="G7441" s="3">
        <f>_xll.QS.EVALUATE(C7441,F7441)</f>
        <v>55270.999379271314</v>
      </c>
      <c r="H7441" s="5" t="s">
        <v>7482</v>
      </c>
      <c r="I7441" s="7">
        <v>1743900</v>
      </c>
      <c r="J7441" s="8">
        <v>3.8899999999999997E-2</v>
      </c>
    </row>
    <row r="7442" spans="1:10" x14ac:dyDescent="0.25">
      <c r="A7442" s="5" t="s">
        <v>7476</v>
      </c>
      <c r="B7442" s="5" t="s">
        <v>9309</v>
      </c>
      <c r="C7442" s="6" t="str">
        <f>_xll.QS.CONTEXT.CREATE("market.7440",A7442,"USD","SOFR")</f>
        <v>QSObject:PricingContext:w1~market.7440:5199</v>
      </c>
      <c r="D7442" s="6" t="str">
        <f>_xll.QS.CONTEXT.ADD.CURVE(C7442,"SOFR",$K$2:$K$7,$L$2:$L$7,,,"Actual360","LogLinear",TRUE)</f>
        <v>QSObject:ContextInput:w1~input.qs_context_add_curve.2359132437744.7441.3.0:33042</v>
      </c>
      <c r="E7442" s="6" t="str">
        <f>_xll.QS.INSTRUMENT.SWAP("swap.7440",H7442,B7442,"USD","SOFR",I7442,J7442,0,"Actual360","Simple","Annual","Annual","Annual")</f>
        <v>QSObject:Swap:w1~swap.7440:5198</v>
      </c>
      <c r="F7442" s="6" t="str">
        <f>_xll.QS.TRADE.CREATE("trade.7440",E7442,A7442,"Receive")</f>
        <v>QSObject:SwapTrade:w1~trade.7440:24315</v>
      </c>
      <c r="G7442" s="3">
        <f>_xll.QS.EVALUATE(C7442,F7442)</f>
        <v>55927.94684689727</v>
      </c>
      <c r="H7442" s="5" t="s">
        <v>7483</v>
      </c>
      <c r="I7442" s="7">
        <v>1744000</v>
      </c>
      <c r="J7442" s="8">
        <v>3.9000000000000007E-2</v>
      </c>
    </row>
    <row r="7443" spans="1:10" x14ac:dyDescent="0.25">
      <c r="A7443" s="5" t="s">
        <v>7477</v>
      </c>
      <c r="B7443" s="5" t="s">
        <v>9310</v>
      </c>
      <c r="C7443" s="6" t="str">
        <f>_xll.QS.CONTEXT.CREATE("market.7441",A7443,"USD","SOFR")</f>
        <v>QSObject:PricingContext:w1~market.7441:5197</v>
      </c>
      <c r="D7443" s="6" t="str">
        <f>_xll.QS.CONTEXT.ADD.CURVE(C7443,"SOFR",$K$2:$K$7,$L$2:$L$7,,,"Actual360","LogLinear",TRUE)</f>
        <v>QSObject:ContextInput:w1~input.qs_context_add_curve.2359132437744.7442.3.0:33041</v>
      </c>
      <c r="E7443" s="6" t="str">
        <f>_xll.QS.INSTRUMENT.SWAP("swap.7441",H7443,B7443,"USD","SOFR",I7443,J7443,0,"Actual360","Simple","Annual","Annual","Annual")</f>
        <v>QSObject:Swap:w1~swap.7441:5196</v>
      </c>
      <c r="F7443" s="6" t="str">
        <f>_xll.QS.TRADE.CREATE("trade.7441",E7443,A7443,"Receive")</f>
        <v>QSObject:SwapTrade:w1~trade.7441:24314</v>
      </c>
      <c r="G7443" s="3">
        <f>_xll.QS.EVALUATE(C7443,F7443)</f>
        <v>56811.654856616595</v>
      </c>
      <c r="H7443" s="5" t="s">
        <v>7484</v>
      </c>
      <c r="I7443" s="7">
        <v>1744100</v>
      </c>
      <c r="J7443" s="8">
        <v>3.9100000000000003E-2</v>
      </c>
    </row>
    <row r="7444" spans="1:10" x14ac:dyDescent="0.25">
      <c r="A7444" s="5" t="s">
        <v>7478</v>
      </c>
      <c r="B7444" s="5" t="s">
        <v>9311</v>
      </c>
      <c r="C7444" s="6" t="str">
        <f>_xll.QS.CONTEXT.CREATE("market.7442",A7444,"USD","SOFR")</f>
        <v>QSObject:PricingContext:w1~market.7442:5195</v>
      </c>
      <c r="D7444" s="6" t="str">
        <f>_xll.QS.CONTEXT.ADD.CURVE(C7444,"SOFR",$K$2:$K$7,$L$2:$L$7,,,"Actual360","LogLinear",TRUE)</f>
        <v>QSObject:ContextInput:w1~input.qs_context_add_curve.2359132437744.7443.3.0:33040</v>
      </c>
      <c r="E7444" s="6" t="str">
        <f>_xll.QS.INSTRUMENT.SWAP("swap.7442",H7444,B7444,"USD","SOFR",I7444,J7444,0,"Actual360","Simple","Annual","Annual","Annual")</f>
        <v>QSObject:Swap:w1~swap.7442:5194</v>
      </c>
      <c r="F7444" s="6" t="str">
        <f>_xll.QS.TRADE.CREATE("trade.7442",E7444,A7444,"Receive")</f>
        <v>QSObject:SwapTrade:w1~trade.7442:24313</v>
      </c>
      <c r="G7444" s="3">
        <f>_xll.QS.EVALUATE(C7444,F7444)</f>
        <v>57657.271287846939</v>
      </c>
      <c r="H7444" s="5" t="s">
        <v>7485</v>
      </c>
      <c r="I7444" s="7">
        <v>1744200</v>
      </c>
      <c r="J7444" s="8">
        <v>3.9200000000000013E-2</v>
      </c>
    </row>
    <row r="7445" spans="1:10" x14ac:dyDescent="0.25">
      <c r="A7445" s="5" t="s">
        <v>7479</v>
      </c>
      <c r="B7445" s="5" t="s">
        <v>9312</v>
      </c>
      <c r="C7445" s="6" t="str">
        <f>_xll.QS.CONTEXT.CREATE("market.7443",A7445,"USD","SOFR")</f>
        <v>QSObject:PricingContext:w1~market.7443:5193</v>
      </c>
      <c r="D7445" s="6" t="str">
        <f>_xll.QS.CONTEXT.ADD.CURVE(C7445,"SOFR",$K$2:$K$7,$L$2:$L$7,,,"Actual360","LogLinear",TRUE)</f>
        <v>QSObject:ContextInput:w1~input.qs_context_add_curve.2359132437744.7444.3.0:33039</v>
      </c>
      <c r="E7445" s="6" t="str">
        <f>_xll.QS.INSTRUMENT.SWAP("swap.7443",H7445,B7445,"USD","SOFR",I7445,J7445,0,"Actual360","Simple","Annual","Annual","Annual")</f>
        <v>QSObject:Swap:w1~swap.7443:5192</v>
      </c>
      <c r="F7445" s="6" t="str">
        <f>_xll.QS.TRADE.CREATE("trade.7443",E7445,A7445,"Receive")</f>
        <v>QSObject:SwapTrade:w1~trade.7443:24312</v>
      </c>
      <c r="G7445" s="3">
        <f>_xll.QS.EVALUATE(C7445,F7445)</f>
        <v>58694.631490262</v>
      </c>
      <c r="H7445" s="5" t="s">
        <v>7486</v>
      </c>
      <c r="I7445" s="7">
        <v>1744300</v>
      </c>
      <c r="J7445" s="8">
        <v>3.9300000000000002E-2</v>
      </c>
    </row>
    <row r="7446" spans="1:10" x14ac:dyDescent="0.25">
      <c r="A7446" s="5" t="s">
        <v>7480</v>
      </c>
      <c r="B7446" s="5" t="s">
        <v>9313</v>
      </c>
      <c r="C7446" s="6" t="str">
        <f>_xll.QS.CONTEXT.CREATE("market.7444",A7446,"USD","SOFR")</f>
        <v>QSObject:PricingContext:w1~market.7444:5191</v>
      </c>
      <c r="D7446" s="6" t="str">
        <f>_xll.QS.CONTEXT.ADD.CURVE(C7446,"SOFR",$K$2:$K$7,$L$2:$L$7,,,"Actual360","LogLinear",TRUE)</f>
        <v>QSObject:ContextInput:w1~input.qs_context_add_curve.2359132437744.7445.3.0:33038</v>
      </c>
      <c r="E7446" s="6" t="str">
        <f>_xll.QS.INSTRUMENT.SWAP("swap.7444",H7446,B7446,"USD","SOFR",I7446,J7446,0,"Actual360","Simple","Annual","Annual","Annual")</f>
        <v>QSObject:Swap:w1~swap.7444:5190</v>
      </c>
      <c r="F7446" s="6" t="str">
        <f>_xll.QS.TRADE.CREATE("trade.7444",E7446,A7446,"Receive")</f>
        <v>QSObject:SwapTrade:w1~trade.7444:24311</v>
      </c>
      <c r="G7446" s="3">
        <f>_xll.QS.EVALUATE(C7446,F7446)</f>
        <v>59515.971850496542</v>
      </c>
      <c r="H7446" s="5" t="s">
        <v>7487</v>
      </c>
      <c r="I7446" s="7">
        <v>1744400</v>
      </c>
      <c r="J7446" s="8">
        <v>3.9399999999999998E-2</v>
      </c>
    </row>
    <row r="7447" spans="1:10" x14ac:dyDescent="0.25">
      <c r="A7447" s="5" t="s">
        <v>7481</v>
      </c>
      <c r="B7447" s="5" t="s">
        <v>9314</v>
      </c>
      <c r="C7447" s="6" t="str">
        <f>_xll.QS.CONTEXT.CREATE("market.7445",A7447,"USD","SOFR")</f>
        <v>QSObject:PricingContext:w1~market.7445:5189</v>
      </c>
      <c r="D7447" s="6" t="str">
        <f>_xll.QS.CONTEXT.ADD.CURVE(C7447,"SOFR",$K$2:$K$7,$L$2:$L$7,,,"Actual360","LogLinear",TRUE)</f>
        <v>QSObject:ContextInput:w1~input.qs_context_add_curve.2359132437744.7446.3.0:33037</v>
      </c>
      <c r="E7447" s="6" t="str">
        <f>_xll.QS.INSTRUMENT.SWAP("swap.7445",H7447,B7447,"USD","SOFR",I7447,J7447,0,"Actual360","Simple","Annual","Annual","Annual")</f>
        <v>QSObject:Swap:w1~swap.7445:5188</v>
      </c>
      <c r="F7447" s="6" t="str">
        <f>_xll.QS.TRADE.CREATE("trade.7445",E7447,A7447,"Receive")</f>
        <v>QSObject:SwapTrade:w1~trade.7445:24310</v>
      </c>
      <c r="G7447" s="3">
        <f>_xll.QS.EVALUATE(C7447,F7447)</f>
        <v>60321.935429690624</v>
      </c>
      <c r="H7447" s="5" t="s">
        <v>7488</v>
      </c>
      <c r="I7447" s="7">
        <v>1744500</v>
      </c>
      <c r="J7447" s="8">
        <v>3.9500000000000007E-2</v>
      </c>
    </row>
    <row r="7448" spans="1:10" x14ac:dyDescent="0.25">
      <c r="A7448" s="5" t="s">
        <v>7482</v>
      </c>
      <c r="B7448" s="5" t="s">
        <v>9315</v>
      </c>
      <c r="C7448" s="6" t="str">
        <f>_xll.QS.CONTEXT.CREATE("market.7446",A7448,"USD","SOFR")</f>
        <v>QSObject:PricingContext:w1~market.7446:5187</v>
      </c>
      <c r="D7448" s="6" t="str">
        <f>_xll.QS.CONTEXT.ADD.CURVE(C7448,"SOFR",$K$2:$K$7,$L$2:$L$7,,,"Actual360","LogLinear",TRUE)</f>
        <v>QSObject:ContextInput:w1~input.qs_context_add_curve.2359132437744.7447.3.0:33036</v>
      </c>
      <c r="E7448" s="6" t="str">
        <f>_xll.QS.INSTRUMENT.SWAP("swap.7446",H7448,B7448,"USD","SOFR",I7448,J7448,0,"Actual360","Simple","Annual","Annual","Annual")</f>
        <v>QSObject:Swap:w1~swap.7446:5186</v>
      </c>
      <c r="F7448" s="6" t="str">
        <f>_xll.QS.TRADE.CREATE("trade.7446",E7448,A7448,"Receive")</f>
        <v>QSObject:SwapTrade:w1~trade.7446:24309</v>
      </c>
      <c r="G7448" s="3">
        <f>_xll.QS.EVALUATE(C7448,F7448)</f>
        <v>61098.759353177229</v>
      </c>
      <c r="H7448" s="5" t="s">
        <v>7489</v>
      </c>
      <c r="I7448" s="7">
        <v>1744600</v>
      </c>
      <c r="J7448" s="8">
        <v>3.9600000000000003E-2</v>
      </c>
    </row>
    <row r="7449" spans="1:10" x14ac:dyDescent="0.25">
      <c r="A7449" s="5" t="s">
        <v>7483</v>
      </c>
      <c r="B7449" s="5" t="s">
        <v>9316</v>
      </c>
      <c r="C7449" s="6" t="str">
        <f>_xll.QS.CONTEXT.CREATE("market.7447",A7449,"USD","SOFR")</f>
        <v>QSObject:PricingContext:w1~market.7447:5185</v>
      </c>
      <c r="D7449" s="6" t="str">
        <f>_xll.QS.CONTEXT.ADD.CURVE(C7449,"SOFR",$K$2:$K$7,$L$2:$L$7,,,"Actual360","LogLinear",TRUE)</f>
        <v>QSObject:ContextInput:w1~input.qs_context_add_curve.2359132437744.7448.3.0:33035</v>
      </c>
      <c r="E7449" s="6" t="str">
        <f>_xll.QS.INSTRUMENT.SWAP("swap.7447",H7449,B7449,"USD","SOFR",I7449,J7449,0,"Actual360","Simple","Annual","Annual","Annual")</f>
        <v>QSObject:Swap:w1~swap.7447:5184</v>
      </c>
      <c r="F7449" s="6" t="str">
        <f>_xll.QS.TRADE.CREATE("trade.7447",E7449,A7449,"Receive")</f>
        <v>QSObject:SwapTrade:w1~trade.7447:24308</v>
      </c>
      <c r="G7449" s="3">
        <f>_xll.QS.EVALUATE(C7449,F7449)</f>
        <v>61912.085777690991</v>
      </c>
      <c r="H7449" s="5" t="s">
        <v>7490</v>
      </c>
      <c r="I7449" s="7">
        <v>1744700</v>
      </c>
      <c r="J7449" s="8">
        <v>3.9700000000000013E-2</v>
      </c>
    </row>
    <row r="7450" spans="1:10" x14ac:dyDescent="0.25">
      <c r="A7450" s="5" t="s">
        <v>7484</v>
      </c>
      <c r="B7450" s="5" t="s">
        <v>9317</v>
      </c>
      <c r="C7450" s="6" t="str">
        <f>_xll.QS.CONTEXT.CREATE("market.7448",A7450,"USD","SOFR")</f>
        <v>QSObject:PricingContext:w1~market.7448:5183</v>
      </c>
      <c r="D7450" s="6" t="str">
        <f>_xll.QS.CONTEXT.ADD.CURVE(C7450,"SOFR",$K$2:$K$7,$L$2:$L$7,,,"Actual360","LogLinear",TRUE)</f>
        <v>QSObject:ContextInput:w1~input.qs_context_add_curve.2359132437744.7449.3.0:33034</v>
      </c>
      <c r="E7450" s="6" t="str">
        <f>_xll.QS.INSTRUMENT.SWAP("swap.7448",H7450,B7450,"USD","SOFR",I7450,J7450,0,"Actual360","Simple","Annual","Annual","Annual")</f>
        <v>QSObject:Swap:w1~swap.7448:5182</v>
      </c>
      <c r="F7450" s="6" t="str">
        <f>_xll.QS.TRADE.CREATE("trade.7448",E7450,A7450,"Receive")</f>
        <v>QSObject:SwapTrade:w1~trade.7448:24307</v>
      </c>
      <c r="G7450" s="3">
        <f>_xll.QS.EVALUATE(C7450,F7450)</f>
        <v>62731.699477420305</v>
      </c>
      <c r="H7450" s="5" t="s">
        <v>7491</v>
      </c>
      <c r="I7450" s="7">
        <v>1744800</v>
      </c>
      <c r="J7450" s="8">
        <v>3.9800000000000002E-2</v>
      </c>
    </row>
    <row r="7451" spans="1:10" x14ac:dyDescent="0.25">
      <c r="A7451" s="5" t="s">
        <v>7485</v>
      </c>
      <c r="B7451" s="5" t="s">
        <v>9318</v>
      </c>
      <c r="C7451" s="6" t="str">
        <f>_xll.QS.CONTEXT.CREATE("market.7449",A7451,"USD","SOFR")</f>
        <v>QSObject:PricingContext:w1~market.7449:5181</v>
      </c>
      <c r="D7451" s="6" t="str">
        <f>_xll.QS.CONTEXT.ADD.CURVE(C7451,"SOFR",$K$2:$K$7,$L$2:$L$7,,,"Actual360","LogLinear",TRUE)</f>
        <v>QSObject:ContextInput:w1~input.qs_context_add_curve.2359132437744.7450.3.0:33033</v>
      </c>
      <c r="E7451" s="6" t="str">
        <f>_xll.QS.INSTRUMENT.SWAP("swap.7449",H7451,B7451,"USD","SOFR",I7451,J7451,0,"Actual360","Simple","Annual","Annual","Annual")</f>
        <v>QSObject:Swap:w1~swap.7449:5180</v>
      </c>
      <c r="F7451" s="6" t="str">
        <f>_xll.QS.TRADE.CREATE("trade.7449",E7451,A7451,"Receive")</f>
        <v>QSObject:SwapTrade:w1~trade.7449:24306</v>
      </c>
      <c r="G7451" s="3">
        <f>_xll.QS.EVALUATE(C7451,F7451)</f>
        <v>63351.438731888491</v>
      </c>
      <c r="H7451" s="5" t="s">
        <v>7492</v>
      </c>
      <c r="I7451" s="7">
        <v>1744900</v>
      </c>
      <c r="J7451" s="8">
        <v>3.9899999999999998E-2</v>
      </c>
    </row>
    <row r="7452" spans="1:10" x14ac:dyDescent="0.25">
      <c r="A7452" s="5" t="s">
        <v>7486</v>
      </c>
      <c r="B7452" s="5" t="s">
        <v>9319</v>
      </c>
      <c r="C7452" s="6" t="str">
        <f>_xll.QS.CONTEXT.CREATE("market.7450",A7452,"USD","SOFR")</f>
        <v>QSObject:PricingContext:w1~market.7450:5179</v>
      </c>
      <c r="D7452" s="6" t="str">
        <f>_xll.QS.CONTEXT.ADD.CURVE(C7452,"SOFR",$K$2:$K$7,$L$2:$L$7,,,"Actual360","LogLinear",TRUE)</f>
        <v>QSObject:ContextInput:w1~input.qs_context_add_curve.2359132437744.7451.3.0:33032</v>
      </c>
      <c r="E7452" s="6" t="str">
        <f>_xll.QS.INSTRUMENT.SWAP("swap.7450",H7452,B7452,"USD","SOFR",I7452,J7452,0,"Actual360","Simple","Annual","Annual","Annual")</f>
        <v>QSObject:Swap:w1~swap.7450:5178</v>
      </c>
      <c r="F7452" s="6" t="str">
        <f>_xll.QS.TRADE.CREATE("trade.7450",E7452,A7452,"Receive")</f>
        <v>QSObject:SwapTrade:w1~trade.7450:24305</v>
      </c>
      <c r="G7452" s="3">
        <f>_xll.QS.EVALUATE(C7452,F7452)</f>
        <v>24118.927615190602</v>
      </c>
      <c r="H7452" s="5" t="s">
        <v>7493</v>
      </c>
      <c r="I7452" s="7">
        <v>1745000</v>
      </c>
      <c r="J7452" s="8">
        <v>3.5000000000000003E-2</v>
      </c>
    </row>
    <row r="7453" spans="1:10" x14ac:dyDescent="0.25">
      <c r="A7453" s="5" t="s">
        <v>7487</v>
      </c>
      <c r="B7453" s="5" t="s">
        <v>9320</v>
      </c>
      <c r="C7453" s="6" t="str">
        <f>_xll.QS.CONTEXT.CREATE("market.7451",A7453,"USD","SOFR")</f>
        <v>QSObject:PricingContext:w1~market.7451:5177</v>
      </c>
      <c r="D7453" s="6" t="str">
        <f>_xll.QS.CONTEXT.ADD.CURVE(C7453,"SOFR",$K$2:$K$7,$L$2:$L$7,,,"Actual360","LogLinear",TRUE)</f>
        <v>QSObject:ContextInput:w1~input.qs_context_add_curve.2359132437744.7452.3.0:33031</v>
      </c>
      <c r="E7453" s="6" t="str">
        <f>_xll.QS.INSTRUMENT.SWAP("swap.7451",H7453,B7453,"USD","SOFR",I7453,J7453,0,"Actual360","Simple","Annual","Annual","Annual")</f>
        <v>QSObject:Swap:w1~swap.7451:5176</v>
      </c>
      <c r="F7453" s="6" t="str">
        <f>_xll.QS.TRADE.CREATE("trade.7451",E7453,A7453,"Receive")</f>
        <v>QSObject:SwapTrade:w1~trade.7451:24304</v>
      </c>
      <c r="G7453" s="3">
        <f>_xll.QS.EVALUATE(C7453,F7453)</f>
        <v>24937.378380640133</v>
      </c>
      <c r="H7453" s="5" t="s">
        <v>7494</v>
      </c>
      <c r="I7453" s="7">
        <v>1745100</v>
      </c>
      <c r="J7453" s="8">
        <v>3.5100000000000013E-2</v>
      </c>
    </row>
    <row r="7454" spans="1:10" x14ac:dyDescent="0.25">
      <c r="A7454" s="5" t="s">
        <v>7488</v>
      </c>
      <c r="B7454" s="5" t="s">
        <v>9321</v>
      </c>
      <c r="C7454" s="6" t="str">
        <f>_xll.QS.CONTEXT.CREATE("market.7452",A7454,"USD","SOFR")</f>
        <v>QSObject:PricingContext:w1~market.7452:5175</v>
      </c>
      <c r="D7454" s="6" t="str">
        <f>_xll.QS.CONTEXT.ADD.CURVE(C7454,"SOFR",$K$2:$K$7,$L$2:$L$7,,,"Actual360","LogLinear",TRUE)</f>
        <v>QSObject:ContextInput:w1~input.qs_context_add_curve.2359132437744.7453.3.0:33030</v>
      </c>
      <c r="E7454" s="6" t="str">
        <f>_xll.QS.INSTRUMENT.SWAP("swap.7452",H7454,B7454,"USD","SOFR",I7454,J7454,0,"Actual360","Simple","Annual","Annual","Annual")</f>
        <v>QSObject:Swap:w1~swap.7452:5174</v>
      </c>
      <c r="F7454" s="6" t="str">
        <f>_xll.QS.TRADE.CREATE("trade.7452",E7454,A7454,"Receive")</f>
        <v>QSObject:SwapTrade:w1~trade.7452:24303</v>
      </c>
      <c r="G7454" s="3">
        <f>_xll.QS.EVALUATE(C7454,F7454)</f>
        <v>25745.321168700117</v>
      </c>
      <c r="H7454" s="5" t="s">
        <v>7495</v>
      </c>
      <c r="I7454" s="7">
        <v>1745200</v>
      </c>
      <c r="J7454" s="8">
        <v>3.5200000000000002E-2</v>
      </c>
    </row>
    <row r="7455" spans="1:10" x14ac:dyDescent="0.25">
      <c r="A7455" s="5" t="s">
        <v>7489</v>
      </c>
      <c r="B7455" s="5" t="s">
        <v>9322</v>
      </c>
      <c r="C7455" s="6" t="str">
        <f>_xll.QS.CONTEXT.CREATE("market.7453",A7455,"USD","SOFR")</f>
        <v>QSObject:PricingContext:w1~market.7453:5173</v>
      </c>
      <c r="D7455" s="6" t="str">
        <f>_xll.QS.CONTEXT.ADD.CURVE(C7455,"SOFR",$K$2:$K$7,$L$2:$L$7,,,"Actual360","LogLinear",TRUE)</f>
        <v>QSObject:ContextInput:w1~input.qs_context_add_curve.2359132437744.7454.3.0:33029</v>
      </c>
      <c r="E7455" s="6" t="str">
        <f>_xll.QS.INSTRUMENT.SWAP("swap.7453",H7455,B7455,"USD","SOFR",I7455,J7455,0,"Actual360","Simple","Annual","Annual","Annual")</f>
        <v>QSObject:Swap:w1~swap.7453:5172</v>
      </c>
      <c r="F7455" s="6" t="str">
        <f>_xll.QS.TRADE.CREATE("trade.7453",E7455,A7455,"Receive")</f>
        <v>QSObject:SwapTrade:w1~trade.7453:24302</v>
      </c>
      <c r="G7455" s="3">
        <f>_xll.QS.EVALUATE(C7455,F7455)</f>
        <v>26446.642106562773</v>
      </c>
      <c r="H7455" s="5" t="s">
        <v>7496</v>
      </c>
      <c r="I7455" s="7">
        <v>1745300</v>
      </c>
      <c r="J7455" s="8">
        <v>3.5299999999999998E-2</v>
      </c>
    </row>
    <row r="7456" spans="1:10" x14ac:dyDescent="0.25">
      <c r="A7456" s="5" t="s">
        <v>7490</v>
      </c>
      <c r="B7456" s="5" t="s">
        <v>9323</v>
      </c>
      <c r="C7456" s="6" t="str">
        <f>_xll.QS.CONTEXT.CREATE("market.7454",A7456,"USD","SOFR")</f>
        <v>QSObject:PricingContext:w1~market.7454:5171</v>
      </c>
      <c r="D7456" s="6" t="str">
        <f>_xll.QS.CONTEXT.ADD.CURVE(C7456,"SOFR",$K$2:$K$7,$L$2:$L$7,,,"Actual360","LogLinear",TRUE)</f>
        <v>QSObject:ContextInput:w1~input.qs_context_add_curve.2359132437744.7455.3.0:33028</v>
      </c>
      <c r="E7456" s="6" t="str">
        <f>_xll.QS.INSTRUMENT.SWAP("swap.7454",H7456,B7456,"USD","SOFR",I7456,J7456,0,"Actual360","Simple","Annual","Annual","Annual")</f>
        <v>QSObject:Swap:w1~swap.7454:5170</v>
      </c>
      <c r="F7456" s="6" t="str">
        <f>_xll.QS.TRADE.CREATE("trade.7454",E7456,A7456,"Receive")</f>
        <v>QSObject:SwapTrade:w1~trade.7454:24301</v>
      </c>
      <c r="G7456" s="3">
        <f>_xll.QS.EVALUATE(C7456,F7456)</f>
        <v>27095.93544500228</v>
      </c>
      <c r="H7456" s="5" t="s">
        <v>7497</v>
      </c>
      <c r="I7456" s="7">
        <v>1745400</v>
      </c>
      <c r="J7456" s="8">
        <v>3.5400000000000001E-2</v>
      </c>
    </row>
    <row r="7457" spans="1:10" x14ac:dyDescent="0.25">
      <c r="A7457" s="5" t="s">
        <v>7491</v>
      </c>
      <c r="B7457" s="5" t="s">
        <v>9324</v>
      </c>
      <c r="C7457" s="6" t="str">
        <f>_xll.QS.CONTEXT.CREATE("market.7455",A7457,"USD","SOFR")</f>
        <v>QSObject:PricingContext:w1~market.7455:5169</v>
      </c>
      <c r="D7457" s="6" t="str">
        <f>_xll.QS.CONTEXT.ADD.CURVE(C7457,"SOFR",$K$2:$K$7,$L$2:$L$7,,,"Actual360","LogLinear",TRUE)</f>
        <v>QSObject:ContextInput:w1~input.qs_context_add_curve.2359132437744.7456.3.0:33027</v>
      </c>
      <c r="E7457" s="6" t="str">
        <f>_xll.QS.INSTRUMENT.SWAP("swap.7455",H7457,B7457,"USD","SOFR",I7457,J7457,0,"Actual360","Simple","Annual","Annual","Annual")</f>
        <v>QSObject:Swap:w1~swap.7455:5168</v>
      </c>
      <c r="F7457" s="6" t="str">
        <f>_xll.QS.TRADE.CREATE("trade.7455",E7457,A7457,"Receive")</f>
        <v>QSObject:SwapTrade:w1~trade.7455:24300</v>
      </c>
      <c r="G7457" s="3">
        <f>_xll.QS.EVALUATE(C7457,F7457)</f>
        <v>27904.680915444318</v>
      </c>
      <c r="H7457" s="5" t="s">
        <v>7498</v>
      </c>
      <c r="I7457" s="7">
        <v>1745500</v>
      </c>
      <c r="J7457" s="8">
        <v>3.5499999999999997E-2</v>
      </c>
    </row>
    <row r="7458" spans="1:10" x14ac:dyDescent="0.25">
      <c r="A7458" s="5" t="s">
        <v>7492</v>
      </c>
      <c r="B7458" s="5" t="s">
        <v>9325</v>
      </c>
      <c r="C7458" s="6" t="str">
        <f>_xll.QS.CONTEXT.CREATE("market.7456",A7458,"USD","SOFR")</f>
        <v>QSObject:PricingContext:w1~market.7456:5167</v>
      </c>
      <c r="D7458" s="6" t="str">
        <f>_xll.QS.CONTEXT.ADD.CURVE(C7458,"SOFR",$K$2:$K$7,$L$2:$L$7,,,"Actual360","LogLinear",TRUE)</f>
        <v>QSObject:ContextInput:w1~input.qs_context_add_curve.2359132437744.7457.3.0:33026</v>
      </c>
      <c r="E7458" s="6" t="str">
        <f>_xll.QS.INSTRUMENT.SWAP("swap.7456",H7458,B7458,"USD","SOFR",I7458,J7458,0,"Actual360","Simple","Annual","Annual","Annual")</f>
        <v>QSObject:Swap:w1~swap.7456:5166</v>
      </c>
      <c r="F7458" s="6" t="str">
        <f>_xll.QS.TRADE.CREATE("trade.7456",E7458,A7458,"Receive")</f>
        <v>QSObject:SwapTrade:w1~trade.7456:24299</v>
      </c>
      <c r="G7458" s="3">
        <f>_xll.QS.EVALUATE(C7458,F7458)</f>
        <v>28763.213997183026</v>
      </c>
      <c r="H7458" s="5" t="s">
        <v>7499</v>
      </c>
      <c r="I7458" s="7">
        <v>1745600</v>
      </c>
      <c r="J7458" s="8">
        <v>3.5600000000000007E-2</v>
      </c>
    </row>
    <row r="7459" spans="1:10" x14ac:dyDescent="0.25">
      <c r="A7459" s="5" t="s">
        <v>7493</v>
      </c>
      <c r="B7459" s="5" t="s">
        <v>9326</v>
      </c>
      <c r="C7459" s="6" t="str">
        <f>_xll.QS.CONTEXT.CREATE("market.7457",A7459,"USD","SOFR")</f>
        <v>QSObject:PricingContext:w1~market.7457:5165</v>
      </c>
      <c r="D7459" s="6" t="str">
        <f>_xll.QS.CONTEXT.ADD.CURVE(C7459,"SOFR",$K$2:$K$7,$L$2:$L$7,,,"Actual360","LogLinear",TRUE)</f>
        <v>QSObject:ContextInput:w1~input.qs_context_add_curve.2359132437744.7458.3.0:33025</v>
      </c>
      <c r="E7459" s="6" t="str">
        <f>_xll.QS.INSTRUMENT.SWAP("swap.7457",H7459,B7459,"USD","SOFR",I7459,J7459,0,"Actual360","Simple","Annual","Annual","Annual")</f>
        <v>QSObject:Swap:w1~swap.7457:5164</v>
      </c>
      <c r="F7459" s="6" t="str">
        <f>_xll.QS.TRADE.CREATE("trade.7457",E7459,A7459,"Receive")</f>
        <v>QSObject:SwapTrade:w1~trade.7457:24298</v>
      </c>
      <c r="G7459" s="3">
        <f>_xll.QS.EVALUATE(C7459,F7459)</f>
        <v>29697.231265507398</v>
      </c>
      <c r="H7459" s="5" t="s">
        <v>7500</v>
      </c>
      <c r="I7459" s="7">
        <v>1745700</v>
      </c>
      <c r="J7459" s="8">
        <v>3.5700000000000003E-2</v>
      </c>
    </row>
    <row r="7460" spans="1:10" x14ac:dyDescent="0.25">
      <c r="A7460" s="5" t="s">
        <v>7494</v>
      </c>
      <c r="B7460" s="5" t="s">
        <v>9327</v>
      </c>
      <c r="C7460" s="6" t="str">
        <f>_xll.QS.CONTEXT.CREATE("market.7458",A7460,"USD","SOFR")</f>
        <v>QSObject:PricingContext:w1~market.7458:5163</v>
      </c>
      <c r="D7460" s="6" t="str">
        <f>_xll.QS.CONTEXT.ADD.CURVE(C7460,"SOFR",$K$2:$K$7,$L$2:$L$7,,,"Actual360","LogLinear",TRUE)</f>
        <v>QSObject:ContextInput:w1~input.qs_context_add_curve.2359132437744.7459.3.0:33024</v>
      </c>
      <c r="E7460" s="6" t="str">
        <f>_xll.QS.INSTRUMENT.SWAP("swap.7458",H7460,B7460,"USD","SOFR",I7460,J7460,0,"Actual360","Simple","Annual","Annual","Annual")</f>
        <v>QSObject:Swap:w1~swap.7458:5162</v>
      </c>
      <c r="F7460" s="6" t="str">
        <f>_xll.QS.TRADE.CREATE("trade.7458",E7460,A7460,"Receive")</f>
        <v>QSObject:SwapTrade:w1~trade.7458:24297</v>
      </c>
      <c r="G7460" s="3">
        <f>_xll.QS.EVALUATE(C7460,F7460)</f>
        <v>30579.7907211282</v>
      </c>
      <c r="H7460" s="5" t="s">
        <v>7501</v>
      </c>
      <c r="I7460" s="7">
        <v>1745800</v>
      </c>
      <c r="J7460" s="8">
        <v>3.5800000000000012E-2</v>
      </c>
    </row>
    <row r="7461" spans="1:10" x14ac:dyDescent="0.25">
      <c r="A7461" s="5" t="s">
        <v>7495</v>
      </c>
      <c r="B7461" s="5" t="s">
        <v>9328</v>
      </c>
      <c r="C7461" s="6" t="str">
        <f>_xll.QS.CONTEXT.CREATE("market.7459",A7461,"USD","SOFR")</f>
        <v>QSObject:PricingContext:w1~market.7459:5161</v>
      </c>
      <c r="D7461" s="6" t="str">
        <f>_xll.QS.CONTEXT.ADD.CURVE(C7461,"SOFR",$K$2:$K$7,$L$2:$L$7,,,"Actual360","LogLinear",TRUE)</f>
        <v>QSObject:ContextInput:w1~input.qs_context_add_curve.2359132437744.7460.3.0:33023</v>
      </c>
      <c r="E7461" s="6" t="str">
        <f>_xll.QS.INSTRUMENT.SWAP("swap.7459",H7461,B7461,"USD","SOFR",I7461,J7461,0,"Actual360","Simple","Annual","Annual","Annual")</f>
        <v>QSObject:Swap:w1~swap.7459:5160</v>
      </c>
      <c r="F7461" s="6" t="str">
        <f>_xll.QS.TRADE.CREATE("trade.7459",E7461,A7461,"Receive")</f>
        <v>QSObject:SwapTrade:w1~trade.7459:24296</v>
      </c>
      <c r="G7461" s="3">
        <f>_xll.QS.EVALUATE(C7461,F7461)</f>
        <v>31320.453478306692</v>
      </c>
      <c r="H7461" s="5" t="s">
        <v>7502</v>
      </c>
      <c r="I7461" s="7">
        <v>1745900</v>
      </c>
      <c r="J7461" s="8">
        <v>3.5900000000000001E-2</v>
      </c>
    </row>
    <row r="7462" spans="1:10" x14ac:dyDescent="0.25">
      <c r="A7462" s="5" t="s">
        <v>7496</v>
      </c>
      <c r="B7462" s="5" t="s">
        <v>9329</v>
      </c>
      <c r="C7462" s="6" t="str">
        <f>_xll.QS.CONTEXT.CREATE("market.7460",A7462,"USD","SOFR")</f>
        <v>QSObject:PricingContext:w1~market.7460:5159</v>
      </c>
      <c r="D7462" s="6" t="str">
        <f>_xll.QS.CONTEXT.ADD.CURVE(C7462,"SOFR",$K$2:$K$7,$L$2:$L$7,,,"Actual360","LogLinear",TRUE)</f>
        <v>QSObject:ContextInput:w1~input.qs_context_add_curve.2359132437744.7461.3.0:33022</v>
      </c>
      <c r="E7462" s="6" t="str">
        <f>_xll.QS.INSTRUMENT.SWAP("swap.7460",H7462,B7462,"USD","SOFR",I7462,J7462,0,"Actual360","Simple","Annual","Annual","Annual")</f>
        <v>QSObject:Swap:w1~swap.7460:5158</v>
      </c>
      <c r="F7462" s="6" t="str">
        <f>_xll.QS.TRADE.CREATE("trade.7460",E7462,A7462,"Receive")</f>
        <v>QSObject:SwapTrade:w1~trade.7460:24295</v>
      </c>
      <c r="G7462" s="3">
        <f>_xll.QS.EVALUATE(C7462,F7462)</f>
        <v>32015.728111882956</v>
      </c>
      <c r="H7462" s="5" t="s">
        <v>7503</v>
      </c>
      <c r="I7462" s="7">
        <v>1746000</v>
      </c>
      <c r="J7462" s="8">
        <v>3.5999999999999997E-2</v>
      </c>
    </row>
    <row r="7463" spans="1:10" x14ac:dyDescent="0.25">
      <c r="A7463" s="5" t="s">
        <v>7497</v>
      </c>
      <c r="B7463" s="5" t="s">
        <v>9330</v>
      </c>
      <c r="C7463" s="6" t="str">
        <f>_xll.QS.CONTEXT.CREATE("market.7461",A7463,"USD","SOFR")</f>
        <v>QSObject:PricingContext:w1~market.7461:5157</v>
      </c>
      <c r="D7463" s="6" t="str">
        <f>_xll.QS.CONTEXT.ADD.CURVE(C7463,"SOFR",$K$2:$K$7,$L$2:$L$7,,,"Actual360","LogLinear",TRUE)</f>
        <v>QSObject:ContextInput:w1~input.qs_context_add_curve.2359132437744.7462.3.0:33021</v>
      </c>
      <c r="E7463" s="6" t="str">
        <f>_xll.QS.INSTRUMENT.SWAP("swap.7461",H7463,B7463,"USD","SOFR",I7463,J7463,0,"Actual360","Simple","Annual","Annual","Annual")</f>
        <v>QSObject:Swap:w1~swap.7461:5156</v>
      </c>
      <c r="F7463" s="6" t="str">
        <f>_xll.QS.TRADE.CREATE("trade.7461",E7463,A7463,"Receive")</f>
        <v>QSObject:SwapTrade:w1~trade.7461:24294</v>
      </c>
      <c r="G7463" s="3">
        <f>_xll.QS.EVALUATE(C7463,F7463)</f>
        <v>32674.496034299249</v>
      </c>
      <c r="H7463" s="5" t="s">
        <v>7504</v>
      </c>
      <c r="I7463" s="7">
        <v>1746100</v>
      </c>
      <c r="J7463" s="8">
        <v>3.61E-2</v>
      </c>
    </row>
    <row r="7464" spans="1:10" x14ac:dyDescent="0.25">
      <c r="A7464" s="5" t="s">
        <v>7498</v>
      </c>
      <c r="B7464" s="5" t="s">
        <v>9331</v>
      </c>
      <c r="C7464" s="6" t="str">
        <f>_xll.QS.CONTEXT.CREATE("market.7462",A7464,"USD","SOFR")</f>
        <v>QSObject:PricingContext:w1~market.7462:5155</v>
      </c>
      <c r="D7464" s="6" t="str">
        <f>_xll.QS.CONTEXT.ADD.CURVE(C7464,"SOFR",$K$2:$K$7,$L$2:$L$7,,,"Actual360","LogLinear",TRUE)</f>
        <v>QSObject:ContextInput:w1~input.qs_context_add_curve.2359132437744.7463.3.0:33020</v>
      </c>
      <c r="E7464" s="6" t="str">
        <f>_xll.QS.INSTRUMENT.SWAP("swap.7462",H7464,B7464,"USD","SOFR",I7464,J7464,0,"Actual360","Simple","Annual","Annual","Annual")</f>
        <v>QSObject:Swap:w1~swap.7462:5154</v>
      </c>
      <c r="F7464" s="6" t="str">
        <f>_xll.QS.TRADE.CREATE("trade.7462",E7464,A7464,"Receive")</f>
        <v>QSObject:SwapTrade:w1~trade.7462:24293</v>
      </c>
      <c r="G7464" s="3">
        <f>_xll.QS.EVALUATE(C7464,F7464)</f>
        <v>33555.227548151706</v>
      </c>
      <c r="H7464" s="5" t="s">
        <v>7505</v>
      </c>
      <c r="I7464" s="7">
        <v>1746200</v>
      </c>
      <c r="J7464" s="8">
        <v>3.6200000000000003E-2</v>
      </c>
    </row>
    <row r="7465" spans="1:10" x14ac:dyDescent="0.25">
      <c r="A7465" s="5" t="s">
        <v>7499</v>
      </c>
      <c r="B7465" s="5" t="s">
        <v>9332</v>
      </c>
      <c r="C7465" s="6" t="str">
        <f>_xll.QS.CONTEXT.CREATE("market.7463",A7465,"USD","SOFR")</f>
        <v>QSObject:PricingContext:w1~market.7463:5153</v>
      </c>
      <c r="D7465" s="6" t="str">
        <f>_xll.QS.CONTEXT.ADD.CURVE(C7465,"SOFR",$K$2:$K$7,$L$2:$L$7,,,"Actual360","LogLinear",TRUE)</f>
        <v>QSObject:ContextInput:w1~input.qs_context_add_curve.2359132437744.7464.3.0:33019</v>
      </c>
      <c r="E7465" s="6" t="str">
        <f>_xll.QS.INSTRUMENT.SWAP("swap.7463",H7465,B7465,"USD","SOFR",I7465,J7465,0,"Actual360","Simple","Annual","Annual","Annual")</f>
        <v>QSObject:Swap:w1~swap.7463:5152</v>
      </c>
      <c r="F7465" s="6" t="str">
        <f>_xll.QS.TRADE.CREATE("trade.7463",E7465,A7465,"Receive")</f>
        <v>QSObject:SwapTrade:w1~trade.7463:24292</v>
      </c>
      <c r="G7465" s="3">
        <f>_xll.QS.EVALUATE(C7465,F7465)</f>
        <v>34411.666049000545</v>
      </c>
      <c r="H7465" s="5" t="s">
        <v>7506</v>
      </c>
      <c r="I7465" s="7">
        <v>1746300</v>
      </c>
      <c r="J7465" s="8">
        <v>3.6300000000000013E-2</v>
      </c>
    </row>
    <row r="7466" spans="1:10" x14ac:dyDescent="0.25">
      <c r="A7466" s="5" t="s">
        <v>7500</v>
      </c>
      <c r="B7466" s="5" t="s">
        <v>9333</v>
      </c>
      <c r="C7466" s="6" t="str">
        <f>_xll.QS.CONTEXT.CREATE("market.7464",A7466,"USD","SOFR")</f>
        <v>QSObject:PricingContext:w1~market.7464:5151</v>
      </c>
      <c r="D7466" s="6" t="str">
        <f>_xll.QS.CONTEXT.ADD.CURVE(C7466,"SOFR",$K$2:$K$7,$L$2:$L$7,,,"Actual360","LogLinear",TRUE)</f>
        <v>QSObject:ContextInput:w1~input.qs_context_add_curve.2359132437744.7465.3.0:32878</v>
      </c>
      <c r="E7466" s="6" t="str">
        <f>_xll.QS.INSTRUMENT.SWAP("swap.7464",H7466,B7466,"USD","SOFR",I7466,J7466,0,"Actual360","Simple","Annual","Annual","Annual")</f>
        <v>QSObject:Swap:w1~swap.7464:5150</v>
      </c>
      <c r="F7466" s="6" t="str">
        <f>_xll.QS.TRADE.CREATE("trade.7464",E7466,A7466,"Receive")</f>
        <v>QSObject:SwapTrade:w1~trade.7464:24291</v>
      </c>
      <c r="G7466" s="3">
        <f>_xll.QS.EVALUATE(C7466,F7466)</f>
        <v>35346.464564244641</v>
      </c>
      <c r="H7466" s="5" t="s">
        <v>7507</v>
      </c>
      <c r="I7466" s="7">
        <v>1746400</v>
      </c>
      <c r="J7466" s="8">
        <v>3.6400000000000002E-2</v>
      </c>
    </row>
    <row r="7467" spans="1:10" x14ac:dyDescent="0.25">
      <c r="A7467" s="5" t="s">
        <v>7501</v>
      </c>
      <c r="B7467" s="5" t="s">
        <v>9334</v>
      </c>
      <c r="C7467" s="6" t="str">
        <f>_xll.QS.CONTEXT.CREATE("market.7465",A7467,"USD","SOFR")</f>
        <v>QSObject:PricingContext:w1~market.7465:5149</v>
      </c>
      <c r="D7467" s="6" t="str">
        <f>_xll.QS.CONTEXT.ADD.CURVE(C7467,"SOFR",$K$2:$K$7,$L$2:$L$7,,,"Actual360","LogLinear",TRUE)</f>
        <v>QSObject:ContextInput:w1~input.qs_context_add_curve.2359132437744.7466.3.0:32877</v>
      </c>
      <c r="E7467" s="6" t="str">
        <f>_xll.QS.INSTRUMENT.SWAP("swap.7465",H7467,B7467,"USD","SOFR",I7467,J7467,0,"Actual360","Simple","Annual","Annual","Annual")</f>
        <v>QSObject:Swap:w1~swap.7465:5148</v>
      </c>
      <c r="F7467" s="6" t="str">
        <f>_xll.QS.TRADE.CREATE("trade.7465",E7467,A7467,"Receive")</f>
        <v>QSObject:SwapTrade:w1~trade.7465:24290</v>
      </c>
      <c r="G7467" s="3">
        <f>_xll.QS.EVALUATE(C7467,F7467)</f>
        <v>36229.760271281273</v>
      </c>
      <c r="H7467" s="5" t="s">
        <v>7508</v>
      </c>
      <c r="I7467" s="7">
        <v>1746500</v>
      </c>
      <c r="J7467" s="8">
        <v>3.6499999999999998E-2</v>
      </c>
    </row>
    <row r="7468" spans="1:10" x14ac:dyDescent="0.25">
      <c r="A7468" s="5" t="s">
        <v>7502</v>
      </c>
      <c r="B7468" s="5" t="s">
        <v>9335</v>
      </c>
      <c r="C7468" s="6" t="str">
        <f>_xll.QS.CONTEXT.CREATE("market.7466",A7468,"USD","SOFR")</f>
        <v>QSObject:PricingContext:w1~market.7466:5147</v>
      </c>
      <c r="D7468" s="6" t="str">
        <f>_xll.QS.CONTEXT.ADD.CURVE(C7468,"SOFR",$K$2:$K$7,$L$2:$L$7,,,"Actual360","LogLinear",TRUE)</f>
        <v>QSObject:ContextInput:w1~input.qs_context_add_curve.2359132437744.7467.3.0:32876</v>
      </c>
      <c r="E7468" s="6" t="str">
        <f>_xll.QS.INSTRUMENT.SWAP("swap.7466",H7468,B7468,"USD","SOFR",I7468,J7468,0,"Actual360","Simple","Annual","Annual","Annual")</f>
        <v>QSObject:Swap:w1~swap.7466:5146</v>
      </c>
      <c r="F7468" s="6" t="str">
        <f>_xll.QS.TRADE.CREATE("trade.7466",E7468,A7468,"Receive")</f>
        <v>QSObject:SwapTrade:w1~trade.7466:24289</v>
      </c>
      <c r="G7468" s="3">
        <f>_xll.QS.EVALUATE(C7468,F7468)</f>
        <v>36970.996637288015</v>
      </c>
      <c r="H7468" s="5" t="s">
        <v>7509</v>
      </c>
      <c r="I7468" s="7">
        <v>1746600</v>
      </c>
      <c r="J7468" s="8">
        <v>3.6600000000000001E-2</v>
      </c>
    </row>
    <row r="7469" spans="1:10" x14ac:dyDescent="0.25">
      <c r="A7469" s="5" t="s">
        <v>7503</v>
      </c>
      <c r="B7469" s="5" t="s">
        <v>9336</v>
      </c>
      <c r="C7469" s="6" t="str">
        <f>_xll.QS.CONTEXT.CREATE("market.7467",A7469,"USD","SOFR")</f>
        <v>QSObject:PricingContext:w1~market.7467:5145</v>
      </c>
      <c r="D7469" s="6" t="str">
        <f>_xll.QS.CONTEXT.ADD.CURVE(C7469,"SOFR",$K$2:$K$7,$L$2:$L$7,,,"Actual360","LogLinear",TRUE)</f>
        <v>QSObject:ContextInput:w1~input.qs_context_add_curve.2359132437744.7468.3.0:32875</v>
      </c>
      <c r="E7469" s="6" t="str">
        <f>_xll.QS.INSTRUMENT.SWAP("swap.7467",H7469,B7469,"USD","SOFR",I7469,J7469,0,"Actual360","Simple","Annual","Annual","Annual")</f>
        <v>QSObject:Swap:w1~swap.7467:5144</v>
      </c>
      <c r="F7469" s="6" t="str">
        <f>_xll.QS.TRADE.CREATE("trade.7467",E7469,A7469,"Receive")</f>
        <v>QSObject:SwapTrade:w1~trade.7467:24288</v>
      </c>
      <c r="G7469" s="3">
        <f>_xll.QS.EVALUATE(C7469,F7469)</f>
        <v>37660.227534244914</v>
      </c>
      <c r="H7469" s="5" t="s">
        <v>7510</v>
      </c>
      <c r="I7469" s="7">
        <v>1746700</v>
      </c>
      <c r="J7469" s="8">
        <v>3.6700000000000003E-2</v>
      </c>
    </row>
    <row r="7470" spans="1:10" x14ac:dyDescent="0.25">
      <c r="A7470" s="5" t="s">
        <v>7504</v>
      </c>
      <c r="B7470" s="5" t="s">
        <v>9337</v>
      </c>
      <c r="C7470" s="6" t="str">
        <f>_xll.QS.CONTEXT.CREATE("market.7468",A7470,"USD","SOFR")</f>
        <v>QSObject:PricingContext:w1~market.7468:5143</v>
      </c>
      <c r="D7470" s="6" t="str">
        <f>_xll.QS.CONTEXT.ADD.CURVE(C7470,"SOFR",$K$2:$K$7,$L$2:$L$7,,,"Actual360","LogLinear",TRUE)</f>
        <v>QSObject:ContextInput:w1~input.qs_context_add_curve.2359132437744.7469.3.0:32874</v>
      </c>
      <c r="E7470" s="6" t="str">
        <f>_xll.QS.INSTRUMENT.SWAP("swap.7468",H7470,B7470,"USD","SOFR",I7470,J7470,0,"Actual360","Simple","Annual","Annual","Annual")</f>
        <v>QSObject:Swap:w1~swap.7468:5142</v>
      </c>
      <c r="F7470" s="6" t="str">
        <f>_xll.QS.TRADE.CREATE("trade.7468",E7470,A7470,"Receive")</f>
        <v>QSObject:SwapTrade:w1~trade.7468:24287</v>
      </c>
      <c r="G7470" s="3">
        <f>_xll.QS.EVALUATE(C7470,F7470)</f>
        <v>38328.322672429807</v>
      </c>
      <c r="H7470" s="5" t="s">
        <v>7511</v>
      </c>
      <c r="I7470" s="7">
        <v>1746800</v>
      </c>
      <c r="J7470" s="8">
        <v>3.6800000000000013E-2</v>
      </c>
    </row>
    <row r="7471" spans="1:10" x14ac:dyDescent="0.25">
      <c r="A7471" s="5" t="s">
        <v>7505</v>
      </c>
      <c r="B7471" s="5" t="s">
        <v>9338</v>
      </c>
      <c r="C7471" s="6" t="str">
        <f>_xll.QS.CONTEXT.CREATE("market.7469",A7471,"USD","SOFR")</f>
        <v>QSObject:PricingContext:w1~market.7469:5141</v>
      </c>
      <c r="D7471" s="6" t="str">
        <f>_xll.QS.CONTEXT.ADD.CURVE(C7471,"SOFR",$K$2:$K$7,$L$2:$L$7,,,"Actual360","LogLinear",TRUE)</f>
        <v>QSObject:ContextInput:w1~input.qs_context_add_curve.2359132437744.7470.3.0:32873</v>
      </c>
      <c r="E7471" s="6" t="str">
        <f>_xll.QS.INSTRUMENT.SWAP("swap.7469",H7471,B7471,"USD","SOFR",I7471,J7471,0,"Actual360","Simple","Annual","Annual","Annual")</f>
        <v>QSObject:Swap:w1~swap.7469:5140</v>
      </c>
      <c r="F7471" s="6" t="str">
        <f>_xll.QS.TRADE.CREATE("trade.7469",E7471,A7471,"Receive")</f>
        <v>QSObject:SwapTrade:w1~trade.7469:24286</v>
      </c>
      <c r="G7471" s="3">
        <f>_xll.QS.EVALUATE(C7471,F7471)</f>
        <v>39210.295483332106</v>
      </c>
      <c r="H7471" s="5" t="s">
        <v>7512</v>
      </c>
      <c r="I7471" s="7">
        <v>1746900</v>
      </c>
      <c r="J7471" s="8">
        <v>3.6900000000000002E-2</v>
      </c>
    </row>
    <row r="7472" spans="1:10" x14ac:dyDescent="0.25">
      <c r="A7472" s="5" t="s">
        <v>7506</v>
      </c>
      <c r="B7472" s="5" t="s">
        <v>9339</v>
      </c>
      <c r="C7472" s="6" t="str">
        <f>_xll.QS.CONTEXT.CREATE("market.7470",A7472,"USD","SOFR")</f>
        <v>QSObject:PricingContext:w1~market.7470:5139</v>
      </c>
      <c r="D7472" s="6" t="str">
        <f>_xll.QS.CONTEXT.ADD.CURVE(C7472,"SOFR",$K$2:$K$7,$L$2:$L$7,,,"Actual360","LogLinear",TRUE)</f>
        <v>QSObject:ContextInput:w1~input.qs_context_add_curve.2359132437744.7471.3.0:32872</v>
      </c>
      <c r="E7472" s="6" t="str">
        <f>_xll.QS.INSTRUMENT.SWAP("swap.7470",H7472,B7472,"USD","SOFR",I7472,J7472,0,"Actual360","Simple","Annual","Annual","Annual")</f>
        <v>QSObject:Swap:w1~swap.7470:5138</v>
      </c>
      <c r="F7472" s="6" t="str">
        <f>_xll.QS.TRADE.CREATE("trade.7470",E7472,A7472,"Receive")</f>
        <v>QSObject:SwapTrade:w1~trade.7470:24285</v>
      </c>
      <c r="G7472" s="3">
        <f>_xll.QS.EVALUATE(C7472,F7472)</f>
        <v>40064.637189675363</v>
      </c>
      <c r="H7472" s="5" t="s">
        <v>7513</v>
      </c>
      <c r="I7472" s="7">
        <v>1747000</v>
      </c>
      <c r="J7472" s="8">
        <v>3.7000000000000012E-2</v>
      </c>
    </row>
    <row r="7473" spans="1:10" x14ac:dyDescent="0.25">
      <c r="A7473" s="5" t="s">
        <v>7507</v>
      </c>
      <c r="B7473" s="5" t="s">
        <v>9340</v>
      </c>
      <c r="C7473" s="6" t="str">
        <f>_xll.QS.CONTEXT.CREATE("market.7471",A7473,"USD","SOFR")</f>
        <v>QSObject:PricingContext:w1~market.7471:5137</v>
      </c>
      <c r="D7473" s="6" t="str">
        <f>_xll.QS.CONTEXT.ADD.CURVE(C7473,"SOFR",$K$2:$K$7,$L$2:$L$7,,,"Actual360","LogLinear",TRUE)</f>
        <v>QSObject:ContextInput:w1~input.qs_context_add_curve.2359132437744.7472.3.0:32871</v>
      </c>
      <c r="E7473" s="6" t="str">
        <f>_xll.QS.INSTRUMENT.SWAP("swap.7471",H7473,B7473,"USD","SOFR",I7473,J7473,0,"Actual360","Simple","Annual","Annual","Annual")</f>
        <v>QSObject:Swap:w1~swap.7471:5136</v>
      </c>
      <c r="F7473" s="6" t="str">
        <f>_xll.QS.TRADE.CREATE("trade.7471",E7473,A7473,"Receive")</f>
        <v>QSObject:SwapTrade:w1~trade.7471:24284</v>
      </c>
      <c r="G7473" s="3">
        <f>_xll.QS.EVALUATE(C7473,F7473)</f>
        <v>41000.217019649514</v>
      </c>
      <c r="H7473" s="5" t="s">
        <v>7514</v>
      </c>
      <c r="I7473" s="7">
        <v>1747100</v>
      </c>
      <c r="J7473" s="8">
        <v>3.7100000000000001E-2</v>
      </c>
    </row>
    <row r="7474" spans="1:10" x14ac:dyDescent="0.25">
      <c r="A7474" s="5" t="s">
        <v>7508</v>
      </c>
      <c r="B7474" s="5" t="s">
        <v>9341</v>
      </c>
      <c r="C7474" s="6" t="str">
        <f>_xll.QS.CONTEXT.CREATE("market.7472",A7474,"USD","SOFR")</f>
        <v>QSObject:PricingContext:w1~market.7472:5135</v>
      </c>
      <c r="D7474" s="6" t="str">
        <f>_xll.QS.CONTEXT.ADD.CURVE(C7474,"SOFR",$K$2:$K$7,$L$2:$L$7,,,"Actual360","LogLinear",TRUE)</f>
        <v>QSObject:ContextInput:w1~input.qs_context_add_curve.2359132437744.7473.3.0:32870</v>
      </c>
      <c r="E7474" s="6" t="str">
        <f>_xll.QS.INSTRUMENT.SWAP("swap.7472",H7474,B7474,"USD","SOFR",I7474,J7474,0,"Actual360","Simple","Annual","Annual","Annual")</f>
        <v>QSObject:Swap:w1~swap.7472:5134</v>
      </c>
      <c r="F7474" s="6" t="str">
        <f>_xll.QS.TRADE.CREATE("trade.7472",E7474,A7474,"Receive")</f>
        <v>QSObject:SwapTrade:w1~trade.7472:24283</v>
      </c>
      <c r="G7474" s="3">
        <f>_xll.QS.EVALUATE(C7474,F7474)</f>
        <v>41884.249026409852</v>
      </c>
      <c r="H7474" s="5" t="s">
        <v>7515</v>
      </c>
      <c r="I7474" s="7">
        <v>1747200</v>
      </c>
      <c r="J7474" s="8">
        <v>3.7199999999999997E-2</v>
      </c>
    </row>
    <row r="7475" spans="1:10" x14ac:dyDescent="0.25">
      <c r="A7475" s="5" t="s">
        <v>7509</v>
      </c>
      <c r="B7475" s="5" t="s">
        <v>9342</v>
      </c>
      <c r="C7475" s="6" t="str">
        <f>_xll.QS.CONTEXT.CREATE("market.7473",A7475,"USD","SOFR")</f>
        <v>QSObject:PricingContext:w1~market.7473:5133</v>
      </c>
      <c r="D7475" s="6" t="str">
        <f>_xll.QS.CONTEXT.ADD.CURVE(C7475,"SOFR",$K$2:$K$7,$L$2:$L$7,,,"Actual360","LogLinear",TRUE)</f>
        <v>QSObject:ContextInput:w1~input.qs_context_add_curve.2359132437744.7474.3.0:32869</v>
      </c>
      <c r="E7475" s="6" t="str">
        <f>_xll.QS.INSTRUMENT.SWAP("swap.7473",H7475,B7475,"USD","SOFR",I7475,J7475,0,"Actual360","Simple","Annual","Annual","Annual")</f>
        <v>QSObject:Swap:w1~swap.7473:5132</v>
      </c>
      <c r="F7475" s="6" t="str">
        <f>_xll.QS.TRADE.CREATE("trade.7473",E7475,A7475,"Receive")</f>
        <v>QSObject:SwapTrade:w1~trade.7473:24282</v>
      </c>
      <c r="G7475" s="3">
        <f>_xll.QS.EVALUATE(C7475,F7475)</f>
        <v>42626.058964813397</v>
      </c>
      <c r="H7475" s="5" t="s">
        <v>7516</v>
      </c>
      <c r="I7475" s="7">
        <v>1747300</v>
      </c>
      <c r="J7475" s="8">
        <v>3.73E-2</v>
      </c>
    </row>
    <row r="7476" spans="1:10" x14ac:dyDescent="0.25">
      <c r="A7476" s="5" t="s">
        <v>7510</v>
      </c>
      <c r="B7476" s="5" t="s">
        <v>9343</v>
      </c>
      <c r="C7476" s="6" t="str">
        <f>_xll.QS.CONTEXT.CREATE("market.7474",A7476,"USD","SOFR")</f>
        <v>QSObject:PricingContext:w1~market.7474:5131</v>
      </c>
      <c r="D7476" s="6" t="str">
        <f>_xll.QS.CONTEXT.ADD.CURVE(C7476,"SOFR",$K$2:$K$7,$L$2:$L$7,,,"Actual360","LogLinear",TRUE)</f>
        <v>QSObject:ContextInput:w1~input.qs_context_add_curve.2359132437744.7475.3.0:32868</v>
      </c>
      <c r="E7476" s="6" t="str">
        <f>_xll.QS.INSTRUMENT.SWAP("swap.7474",H7476,B7476,"USD","SOFR",I7476,J7476,0,"Actual360","Simple","Annual","Annual","Annual")</f>
        <v>QSObject:Swap:w1~swap.7474:5130</v>
      </c>
      <c r="F7476" s="6" t="str">
        <f>_xll.QS.TRADE.CREATE("trade.7474",E7476,A7476,"Receive")</f>
        <v>QSObject:SwapTrade:w1~trade.7474:24281</v>
      </c>
      <c r="G7476" s="3">
        <f>_xll.QS.EVALUATE(C7476,F7476)</f>
        <v>43309.240799458734</v>
      </c>
      <c r="H7476" s="5" t="s">
        <v>7517</v>
      </c>
      <c r="I7476" s="7">
        <v>1747400</v>
      </c>
      <c r="J7476" s="8">
        <v>3.7400000000000003E-2</v>
      </c>
    </row>
    <row r="7477" spans="1:10" x14ac:dyDescent="0.25">
      <c r="A7477" s="5" t="s">
        <v>7511</v>
      </c>
      <c r="B7477" s="5" t="s">
        <v>9344</v>
      </c>
      <c r="C7477" s="6" t="str">
        <f>_xll.QS.CONTEXT.CREATE("market.7475",A7477,"USD","SOFR")</f>
        <v>QSObject:PricingContext:w1~market.7475:5129</v>
      </c>
      <c r="D7477" s="6" t="str">
        <f>_xll.QS.CONTEXT.ADD.CURVE(C7477,"SOFR",$K$2:$K$7,$L$2:$L$7,,,"Actual360","LogLinear",TRUE)</f>
        <v>QSObject:ContextInput:w1~input.qs_context_add_curve.2359132437744.7476.3.0:32867</v>
      </c>
      <c r="E7477" s="6" t="str">
        <f>_xll.QS.INSTRUMENT.SWAP("swap.7475",H7477,B7477,"USD","SOFR",I7477,J7477,0,"Actual360","Simple","Annual","Annual","Annual")</f>
        <v>QSObject:Swap:w1~swap.7475:5128</v>
      </c>
      <c r="F7477" s="6" t="str">
        <f>_xll.QS.TRADE.CREATE("trade.7475",E7477,A7477,"Receive")</f>
        <v>QSObject:SwapTrade:w1~trade.7475:24280</v>
      </c>
      <c r="G7477" s="3">
        <f>_xll.QS.EVALUATE(C7477,F7477)</f>
        <v>43986.670159373381</v>
      </c>
      <c r="H7477" s="5" t="s">
        <v>7518</v>
      </c>
      <c r="I7477" s="7">
        <v>1747500</v>
      </c>
      <c r="J7477" s="8">
        <v>3.7500000000000012E-2</v>
      </c>
    </row>
    <row r="7478" spans="1:10" x14ac:dyDescent="0.25">
      <c r="A7478" s="5" t="s">
        <v>7512</v>
      </c>
      <c r="B7478" s="5" t="s">
        <v>9345</v>
      </c>
      <c r="C7478" s="6" t="str">
        <f>_xll.QS.CONTEXT.CREATE("market.7476",A7478,"USD","SOFR")</f>
        <v>QSObject:PricingContext:w1~market.7476:5127</v>
      </c>
      <c r="D7478" s="6" t="str">
        <f>_xll.QS.CONTEXT.ADD.CURVE(C7478,"SOFR",$K$2:$K$7,$L$2:$L$7,,,"Actual360","LogLinear",TRUE)</f>
        <v>QSObject:ContextInput:w1~input.qs_context_add_curve.2359132437744.7477.3.0:32866</v>
      </c>
      <c r="E7478" s="6" t="str">
        <f>_xll.QS.INSTRUMENT.SWAP("swap.7476",H7478,B7478,"USD","SOFR",I7478,J7478,0,"Actual360","Simple","Annual","Annual","Annual")</f>
        <v>QSObject:Swap:w1~swap.7476:5126</v>
      </c>
      <c r="F7478" s="6" t="str">
        <f>_xll.QS.TRADE.CREATE("trade.7476",E7478,A7478,"Receive")</f>
        <v>QSObject:SwapTrade:w1~trade.7476:24279</v>
      </c>
      <c r="G7478" s="3">
        <f>_xll.QS.EVALUATE(C7478,F7478)</f>
        <v>44869.884720985072</v>
      </c>
      <c r="H7478" s="5" t="s">
        <v>7519</v>
      </c>
      <c r="I7478" s="7">
        <v>1747600</v>
      </c>
      <c r="J7478" s="8">
        <v>3.7600000000000001E-2</v>
      </c>
    </row>
    <row r="7479" spans="1:10" x14ac:dyDescent="0.25">
      <c r="A7479" s="5" t="s">
        <v>7513</v>
      </c>
      <c r="B7479" s="5" t="s">
        <v>9346</v>
      </c>
      <c r="C7479" s="6" t="str">
        <f>_xll.QS.CONTEXT.CREATE("market.7477",A7479,"USD","SOFR")</f>
        <v>QSObject:PricingContext:w1~market.7477:5125</v>
      </c>
      <c r="D7479" s="6" t="str">
        <f>_xll.QS.CONTEXT.ADD.CURVE(C7479,"SOFR",$K$2:$K$7,$L$2:$L$7,,,"Actual360","LogLinear",TRUE)</f>
        <v>QSObject:ContextInput:w1~input.qs_context_add_curve.2359132437744.7478.3.0:32865</v>
      </c>
      <c r="E7479" s="6" t="str">
        <f>_xll.QS.INSTRUMENT.SWAP("swap.7477",H7479,B7479,"USD","SOFR",I7479,J7479,0,"Actual360","Simple","Annual","Annual","Annual")</f>
        <v>QSObject:Swap:w1~swap.7477:5124</v>
      </c>
      <c r="F7479" s="6" t="str">
        <f>_xll.QS.TRADE.CREATE("trade.7477",E7479,A7479,"Receive")</f>
        <v>QSObject:SwapTrade:w1~trade.7477:24278</v>
      </c>
      <c r="G7479" s="3">
        <f>_xll.QS.EVALUATE(C7479,F7479)</f>
        <v>45722.379514561711</v>
      </c>
      <c r="H7479" s="5" t="s">
        <v>7520</v>
      </c>
      <c r="I7479" s="7">
        <v>1747700</v>
      </c>
      <c r="J7479" s="8">
        <v>3.7699999999999997E-2</v>
      </c>
    </row>
    <row r="7480" spans="1:10" x14ac:dyDescent="0.25">
      <c r="A7480" s="5" t="s">
        <v>7514</v>
      </c>
      <c r="B7480" s="5" t="s">
        <v>9347</v>
      </c>
      <c r="C7480" s="6" t="str">
        <f>_xll.QS.CONTEXT.CREATE("market.7478",A7480,"USD","SOFR")</f>
        <v>QSObject:PricingContext:w1~market.7478:5123</v>
      </c>
      <c r="D7480" s="6" t="str">
        <f>_xll.QS.CONTEXT.ADD.CURVE(C7480,"SOFR",$K$2:$K$7,$L$2:$L$7,,,"Actual360","LogLinear",TRUE)</f>
        <v>QSObject:ContextInput:w1~input.qs_context_add_curve.2359132437744.7479.3.0:32864</v>
      </c>
      <c r="E7480" s="6" t="str">
        <f>_xll.QS.INSTRUMENT.SWAP("swap.7478",H7480,B7480,"USD","SOFR",I7480,J7480,0,"Actual360","Simple","Annual","Annual","Annual")</f>
        <v>QSObject:Swap:w1~swap.7478:5122</v>
      </c>
      <c r="F7480" s="6" t="str">
        <f>_xll.QS.TRADE.CREATE("trade.7478",E7480,A7480,"Receive")</f>
        <v>QSObject:SwapTrade:w1~trade.7478:24277</v>
      </c>
      <c r="G7480" s="3">
        <f>_xll.QS.EVALUATE(C7480,F7480)</f>
        <v>46659.047539399784</v>
      </c>
      <c r="H7480" s="5" t="s">
        <v>7521</v>
      </c>
      <c r="I7480" s="7">
        <v>1747800</v>
      </c>
      <c r="J7480" s="8">
        <v>3.78E-2</v>
      </c>
    </row>
    <row r="7481" spans="1:10" x14ac:dyDescent="0.25">
      <c r="A7481" s="5" t="s">
        <v>7515</v>
      </c>
      <c r="B7481" s="5" t="s">
        <v>9348</v>
      </c>
      <c r="C7481" s="6" t="str">
        <f>_xll.QS.CONTEXT.CREATE("market.7479",A7481,"USD","SOFR")</f>
        <v>QSObject:PricingContext:w1~market.7479:5121</v>
      </c>
      <c r="D7481" s="6" t="str">
        <f>_xll.QS.CONTEXT.ADD.CURVE(C7481,"SOFR",$K$2:$K$7,$L$2:$L$7,,,"Actual360","LogLinear",TRUE)</f>
        <v>QSObject:ContextInput:w1~input.qs_context_add_curve.2359132437744.7480.3.0:32863</v>
      </c>
      <c r="E7481" s="6" t="str">
        <f>_xll.QS.INSTRUMENT.SWAP("swap.7479",H7481,B7481,"USD","SOFR",I7481,J7481,0,"Actual360","Simple","Annual","Annual","Annual")</f>
        <v>QSObject:Swap:w1~swap.7479:5120</v>
      </c>
      <c r="F7481" s="6" t="str">
        <f>_xll.QS.TRADE.CREATE("trade.7479",E7481,A7481,"Receive")</f>
        <v>QSObject:SwapTrade:w1~trade.7479:24276</v>
      </c>
      <c r="G7481" s="3">
        <f>_xll.QS.EVALUATE(C7481,F7481)</f>
        <v>47543.256986513588</v>
      </c>
      <c r="H7481" s="5" t="s">
        <v>7522</v>
      </c>
      <c r="I7481" s="7">
        <v>1747900</v>
      </c>
      <c r="J7481" s="8">
        <v>3.7900000000000003E-2</v>
      </c>
    </row>
    <row r="7482" spans="1:10" x14ac:dyDescent="0.25">
      <c r="A7482" s="5" t="s">
        <v>7516</v>
      </c>
      <c r="B7482" s="5" t="s">
        <v>9349</v>
      </c>
      <c r="C7482" s="6" t="str">
        <f>_xll.QS.CONTEXT.CREATE("market.7480",A7482,"USD","SOFR")</f>
        <v>QSObject:PricingContext:w1~market.7480:5119</v>
      </c>
      <c r="D7482" s="6" t="str">
        <f>_xll.QS.CONTEXT.ADD.CURVE(C7482,"SOFR",$K$2:$K$7,$L$2:$L$7,,,"Actual360","LogLinear",TRUE)</f>
        <v>QSObject:ContextInput:w1~input.qs_context_add_curve.2359132437744.7481.3.0:32862</v>
      </c>
      <c r="E7482" s="6" t="str">
        <f>_xll.QS.INSTRUMENT.SWAP("swap.7480",H7482,B7482,"USD","SOFR",I7482,J7482,0,"Actual360","Simple","Annual","Annual","Annual")</f>
        <v>QSObject:Swap:w1~swap.7480:5118</v>
      </c>
      <c r="F7482" s="6" t="str">
        <f>_xll.QS.TRADE.CREATE("trade.7480",E7482,A7482,"Receive")</f>
        <v>QSObject:SwapTrade:w1~trade.7480:24275</v>
      </c>
      <c r="G7482" s="3">
        <f>_xll.QS.EVALUATE(C7482,F7482)</f>
        <v>48285.261261220541</v>
      </c>
      <c r="H7482" s="5" t="s">
        <v>7523</v>
      </c>
      <c r="I7482" s="7">
        <v>1748000</v>
      </c>
      <c r="J7482" s="8">
        <v>3.8000000000000013E-2</v>
      </c>
    </row>
    <row r="7483" spans="1:10" x14ac:dyDescent="0.25">
      <c r="A7483" s="5" t="s">
        <v>7517</v>
      </c>
      <c r="B7483" s="5" t="s">
        <v>9350</v>
      </c>
      <c r="C7483" s="6" t="str">
        <f>_xll.QS.CONTEXT.CREATE("market.7481",A7483,"USD","SOFR")</f>
        <v>QSObject:PricingContext:w1~market.7481:5117</v>
      </c>
      <c r="D7483" s="6" t="str">
        <f>_xll.QS.CONTEXT.ADD.CURVE(C7483,"SOFR",$K$2:$K$7,$L$2:$L$7,,,"Actual360","LogLinear",TRUE)</f>
        <v>QSObject:ContextInput:w1~input.qs_context_add_curve.2359132437744.7482.3.0:32861</v>
      </c>
      <c r="E7483" s="6" t="str">
        <f>_xll.QS.INSTRUMENT.SWAP("swap.7481",H7483,B7483,"USD","SOFR",I7483,J7483,0,"Actual360","Simple","Annual","Annual","Annual")</f>
        <v>QSObject:Swap:w1~swap.7481:5116</v>
      </c>
      <c r="F7483" s="6" t="str">
        <f>_xll.QS.TRADE.CREATE("trade.7481",E7483,A7483,"Receive")</f>
        <v>QSObject:SwapTrade:w1~trade.7481:24274</v>
      </c>
      <c r="G7483" s="3">
        <f>_xll.QS.EVALUATE(C7483,F7483)</f>
        <v>48804.880924989666</v>
      </c>
      <c r="H7483" s="5" t="s">
        <v>7524</v>
      </c>
      <c r="I7483" s="7">
        <v>1748100</v>
      </c>
      <c r="J7483" s="8">
        <v>3.8100000000000002E-2</v>
      </c>
    </row>
    <row r="7484" spans="1:10" x14ac:dyDescent="0.25">
      <c r="A7484" s="5" t="s">
        <v>7518</v>
      </c>
      <c r="B7484" s="5" t="s">
        <v>9351</v>
      </c>
      <c r="C7484" s="6" t="str">
        <f>_xll.QS.CONTEXT.CREATE("market.7482",A7484,"USD","SOFR")</f>
        <v>QSObject:PricingContext:w1~market.7482:5115</v>
      </c>
      <c r="D7484" s="6" t="str">
        <f>_xll.QS.CONTEXT.ADD.CURVE(C7484,"SOFR",$K$2:$K$7,$L$2:$L$7,,,"Actual360","LogLinear",TRUE)</f>
        <v>QSObject:ContextInput:w1~input.qs_context_add_curve.2359132437744.7483.3.0:32860</v>
      </c>
      <c r="E7484" s="6" t="str">
        <f>_xll.QS.INSTRUMENT.SWAP("swap.7482",H7484,B7484,"USD","SOFR",I7484,J7484,0,"Actual360","Simple","Annual","Annual","Annual")</f>
        <v>QSObject:Swap:w1~swap.7482:5114</v>
      </c>
      <c r="F7484" s="6" t="str">
        <f>_xll.QS.TRADE.CREATE("trade.7482",E7484,A7484,"Receive")</f>
        <v>QSObject:SwapTrade:w1~trade.7482:24273</v>
      </c>
      <c r="G7484" s="3">
        <f>_xll.QS.EVALUATE(C7484,F7484)</f>
        <v>49617.289113829531</v>
      </c>
      <c r="H7484" s="5" t="s">
        <v>7525</v>
      </c>
      <c r="I7484" s="7">
        <v>1748200</v>
      </c>
      <c r="J7484" s="8">
        <v>3.8199999999999998E-2</v>
      </c>
    </row>
    <row r="7485" spans="1:10" x14ac:dyDescent="0.25">
      <c r="A7485" s="5" t="s">
        <v>7519</v>
      </c>
      <c r="B7485" s="5" t="s">
        <v>9352</v>
      </c>
      <c r="C7485" s="6" t="str">
        <f>_xll.QS.CONTEXT.CREATE("market.7483",A7485,"USD","SOFR")</f>
        <v>QSObject:PricingContext:w1~market.7483:5113</v>
      </c>
      <c r="D7485" s="6" t="str">
        <f>_xll.QS.CONTEXT.ADD.CURVE(C7485,"SOFR",$K$2:$K$7,$L$2:$L$7,,,"Actual360","LogLinear",TRUE)</f>
        <v>QSObject:ContextInput:w1~input.qs_context_add_curve.2359132437744.7484.3.0:32859</v>
      </c>
      <c r="E7485" s="6" t="str">
        <f>_xll.QS.INSTRUMENT.SWAP("swap.7483",H7485,B7485,"USD","SOFR",I7485,J7485,0,"Actual360","Simple","Annual","Annual","Annual")</f>
        <v>QSObject:Swap:w1~swap.7483:5112</v>
      </c>
      <c r="F7485" s="6" t="str">
        <f>_xll.QS.TRADE.CREATE("trade.7483",E7485,A7485,"Receive")</f>
        <v>QSObject:SwapTrade:w1~trade.7483:24272</v>
      </c>
      <c r="G7485" s="3">
        <f>_xll.QS.EVALUATE(C7485,F7485)</f>
        <v>50501.139273429711</v>
      </c>
      <c r="H7485" s="5" t="s">
        <v>7526</v>
      </c>
      <c r="I7485" s="7">
        <v>1748300</v>
      </c>
      <c r="J7485" s="8">
        <v>3.8300000000000001E-2</v>
      </c>
    </row>
    <row r="7486" spans="1:10" x14ac:dyDescent="0.25">
      <c r="A7486" s="5" t="s">
        <v>7520</v>
      </c>
      <c r="B7486" s="5" t="s">
        <v>9353</v>
      </c>
      <c r="C7486" s="6" t="str">
        <f>_xll.QS.CONTEXT.CREATE("market.7484",A7486,"USD","SOFR")</f>
        <v>QSObject:PricingContext:w1~market.7484:5111</v>
      </c>
      <c r="D7486" s="6" t="str">
        <f>_xll.QS.CONTEXT.ADD.CURVE(C7486,"SOFR",$K$2:$K$7,$L$2:$L$7,,,"Actual360","LogLinear",TRUE)</f>
        <v>QSObject:ContextInput:w1~input.qs_context_add_curve.2359132437744.7485.3.0:32858</v>
      </c>
      <c r="E7486" s="6" t="str">
        <f>_xll.QS.INSTRUMENT.SWAP("swap.7484",H7486,B7486,"USD","SOFR",I7486,J7486,0,"Actual360","Simple","Annual","Annual","Annual")</f>
        <v>QSObject:Swap:w1~swap.7484:5110</v>
      </c>
      <c r="F7486" s="6" t="str">
        <f>_xll.QS.TRADE.CREATE("trade.7484",E7486,A7486,"Receive")</f>
        <v>QSObject:SwapTrade:w1~trade.7484:24271</v>
      </c>
      <c r="G7486" s="3">
        <f>_xll.QS.EVALUATE(C7486,F7486)</f>
        <v>51577.655785468014</v>
      </c>
      <c r="H7486" s="5" t="s">
        <v>7527</v>
      </c>
      <c r="I7486" s="7">
        <v>1748400</v>
      </c>
      <c r="J7486" s="8">
        <v>3.8399999999999997E-2</v>
      </c>
    </row>
    <row r="7487" spans="1:10" x14ac:dyDescent="0.25">
      <c r="A7487" s="5" t="s">
        <v>7521</v>
      </c>
      <c r="B7487" s="5" t="s">
        <v>9354</v>
      </c>
      <c r="C7487" s="6" t="str">
        <f>_xll.QS.CONTEXT.CREATE("market.7485",A7487,"USD","SOFR")</f>
        <v>QSObject:PricingContext:w1~market.7485:5109</v>
      </c>
      <c r="D7487" s="6" t="str">
        <f>_xll.QS.CONTEXT.ADD.CURVE(C7487,"SOFR",$K$2:$K$7,$L$2:$L$7,,,"Actual360","LogLinear",TRUE)</f>
        <v>QSObject:ContextInput:w1~input.qs_context_add_curve.2359132437744.7486.3.0:32857</v>
      </c>
      <c r="E7487" s="6" t="str">
        <f>_xll.QS.INSTRUMENT.SWAP("swap.7485",H7487,B7487,"USD","SOFR",I7487,J7487,0,"Actual360","Simple","Annual","Annual","Annual")</f>
        <v>QSObject:Swap:w1~swap.7485:5108</v>
      </c>
      <c r="F7487" s="6" t="str">
        <f>_xll.QS.TRADE.CREATE("trade.7485",E7487,A7487,"Receive")</f>
        <v>QSObject:SwapTrade:w1~trade.7485:24270</v>
      </c>
      <c r="G7487" s="3">
        <f>_xll.QS.EVALUATE(C7487,F7487)</f>
        <v>52385.650888090277</v>
      </c>
      <c r="H7487" s="5" t="s">
        <v>7528</v>
      </c>
      <c r="I7487" s="7">
        <v>1748500</v>
      </c>
      <c r="J7487" s="8">
        <v>3.8500000000000013E-2</v>
      </c>
    </row>
    <row r="7488" spans="1:10" x14ac:dyDescent="0.25">
      <c r="A7488" s="5" t="s">
        <v>7522</v>
      </c>
      <c r="B7488" s="5" t="s">
        <v>9355</v>
      </c>
      <c r="C7488" s="6" t="str">
        <f>_xll.QS.CONTEXT.CREATE("market.7486",A7488,"USD","SOFR")</f>
        <v>QSObject:PricingContext:w1~market.7486:5107</v>
      </c>
      <c r="D7488" s="6" t="str">
        <f>_xll.QS.CONTEXT.ADD.CURVE(C7488,"SOFR",$K$2:$K$7,$L$2:$L$7,,,"Actual360","LogLinear",TRUE)</f>
        <v>QSObject:ContextInput:w1~input.qs_context_add_curve.2359132437744.7487.3.0:32856</v>
      </c>
      <c r="E7488" s="6" t="str">
        <f>_xll.QS.INSTRUMENT.SWAP("swap.7486",H7488,B7488,"USD","SOFR",I7488,J7488,0,"Actual360","Simple","Annual","Annual","Annual")</f>
        <v>QSObject:Swap:w1~swap.7486:5106</v>
      </c>
      <c r="F7488" s="6" t="str">
        <f>_xll.QS.TRADE.CREATE("trade.7486",E7488,A7488,"Receive")</f>
        <v>QSObject:SwapTrade:w1~trade.7486:24269</v>
      </c>
      <c r="G7488" s="3">
        <f>_xll.QS.EVALUATE(C7488,F7488)</f>
        <v>53209.923438954662</v>
      </c>
      <c r="H7488" s="5" t="s">
        <v>7529</v>
      </c>
      <c r="I7488" s="7">
        <v>1748600</v>
      </c>
      <c r="J7488" s="8">
        <v>3.8600000000000002E-2</v>
      </c>
    </row>
    <row r="7489" spans="1:10" x14ac:dyDescent="0.25">
      <c r="A7489" s="5" t="s">
        <v>7523</v>
      </c>
      <c r="B7489" s="5" t="s">
        <v>9356</v>
      </c>
      <c r="C7489" s="6" t="str">
        <f>_xll.QS.CONTEXT.CREATE("market.7487",A7489,"USD","SOFR")</f>
        <v>QSObject:PricingContext:w1~market.7487:5105</v>
      </c>
      <c r="D7489" s="6" t="str">
        <f>_xll.QS.CONTEXT.ADD.CURVE(C7489,"SOFR",$K$2:$K$7,$L$2:$L$7,,,"Actual360","LogLinear",TRUE)</f>
        <v>QSObject:ContextInput:w1~input.qs_context_add_curve.2359132437744.7488.3.0:32855</v>
      </c>
      <c r="E7489" s="6" t="str">
        <f>_xll.QS.INSTRUMENT.SWAP("swap.7487",H7489,B7489,"USD","SOFR",I7489,J7489,0,"Actual360","Simple","Annual","Annual","Annual")</f>
        <v>QSObject:Swap:w1~swap.7487:5104</v>
      </c>
      <c r="F7489" s="6" t="str">
        <f>_xll.QS.TRADE.CREATE("trade.7487",E7489,A7489,"Receive")</f>
        <v>QSObject:SwapTrade:w1~trade.7487:24268</v>
      </c>
      <c r="G7489" s="3">
        <f>_xll.QS.EVALUATE(C7489,F7489)</f>
        <v>54021.270024412341</v>
      </c>
      <c r="H7489" s="5" t="s">
        <v>7530</v>
      </c>
      <c r="I7489" s="7">
        <v>1748700</v>
      </c>
      <c r="J7489" s="8">
        <v>3.8700000000000012E-2</v>
      </c>
    </row>
    <row r="7490" spans="1:10" x14ac:dyDescent="0.25">
      <c r="A7490" s="5" t="s">
        <v>7524</v>
      </c>
      <c r="B7490" s="5" t="s">
        <v>9357</v>
      </c>
      <c r="C7490" s="6" t="str">
        <f>_xll.QS.CONTEXT.CREATE("market.7488",A7490,"USD","SOFR")</f>
        <v>QSObject:PricingContext:w1~market.7488:5103</v>
      </c>
      <c r="D7490" s="6" t="str">
        <f>_xll.QS.CONTEXT.ADD.CURVE(C7490,"SOFR",$K$2:$K$7,$L$2:$L$7,,,"Actual360","LogLinear",TRUE)</f>
        <v>QSObject:ContextInput:w1~input.qs_context_add_curve.2359132437744.7489.3.0:32854</v>
      </c>
      <c r="E7490" s="6" t="str">
        <f>_xll.QS.INSTRUMENT.SWAP("swap.7488",H7490,B7490,"USD","SOFR",I7490,J7490,0,"Actual360","Simple","Annual","Annual","Annual")</f>
        <v>QSObject:Swap:w1~swap.7488:5102</v>
      </c>
      <c r="F7490" s="6" t="str">
        <f>_xll.QS.TRADE.CREATE("trade.7488",E7490,A7490,"Receive")</f>
        <v>QSObject:SwapTrade:w1~trade.7488:24267</v>
      </c>
      <c r="G7490" s="3">
        <f>_xll.QS.EVALUATE(C7490,F7490)</f>
        <v>54692.344972052517</v>
      </c>
      <c r="H7490" s="5" t="s">
        <v>7531</v>
      </c>
      <c r="I7490" s="7">
        <v>1748800</v>
      </c>
      <c r="J7490" s="8">
        <v>3.8800000000000001E-2</v>
      </c>
    </row>
    <row r="7491" spans="1:10" x14ac:dyDescent="0.25">
      <c r="A7491" s="5" t="s">
        <v>7525</v>
      </c>
      <c r="B7491" s="5" t="s">
        <v>9358</v>
      </c>
      <c r="C7491" s="6" t="str">
        <f>_xll.QS.CONTEXT.CREATE("market.7489",A7491,"USD","SOFR")</f>
        <v>QSObject:PricingContext:w1~market.7489:5101</v>
      </c>
      <c r="D7491" s="6" t="str">
        <f>_xll.QS.CONTEXT.ADD.CURVE(C7491,"SOFR",$K$2:$K$7,$L$2:$L$7,,,"Actual360","LogLinear",TRUE)</f>
        <v>QSObject:ContextInput:w1~input.qs_context_add_curve.2359132437744.7490.3.0:32853</v>
      </c>
      <c r="E7491" s="6" t="str">
        <f>_xll.QS.INSTRUMENT.SWAP("swap.7489",H7491,B7491,"USD","SOFR",I7491,J7491,0,"Actual360","Simple","Annual","Annual","Annual")</f>
        <v>QSObject:Swap:w1~swap.7489:5100</v>
      </c>
      <c r="F7491" s="6" t="str">
        <f>_xll.QS.TRADE.CREATE("trade.7489",E7491,A7491,"Receive")</f>
        <v>QSObject:SwapTrade:w1~trade.7489:24266</v>
      </c>
      <c r="G7491" s="3">
        <f>_xll.QS.EVALUATE(C7491,F7491)</f>
        <v>55388.29406328265</v>
      </c>
      <c r="H7491" s="5" t="s">
        <v>7532</v>
      </c>
      <c r="I7491" s="7">
        <v>1748900</v>
      </c>
      <c r="J7491" s="8">
        <v>3.8899999999999997E-2</v>
      </c>
    </row>
    <row r="7492" spans="1:10" x14ac:dyDescent="0.25">
      <c r="A7492" s="5" t="s">
        <v>7526</v>
      </c>
      <c r="B7492" s="5" t="s">
        <v>9359</v>
      </c>
      <c r="C7492" s="6" t="str">
        <f>_xll.QS.CONTEXT.CREATE("market.7490",A7492,"USD","SOFR")</f>
        <v>QSObject:PricingContext:w1~market.7490:5099</v>
      </c>
      <c r="D7492" s="6" t="str">
        <f>_xll.QS.CONTEXT.ADD.CURVE(C7492,"SOFR",$K$2:$K$7,$L$2:$L$7,,,"Actual360","LogLinear",TRUE)</f>
        <v>QSObject:ContextInput:w1~input.qs_context_add_curve.2359132437744.7491.3.0:32852</v>
      </c>
      <c r="E7492" s="6" t="str">
        <f>_xll.QS.INSTRUMENT.SWAP("swap.7490",H7492,B7492,"USD","SOFR",I7492,J7492,0,"Actual360","Simple","Annual","Annual","Annual")</f>
        <v>QSObject:Swap:w1~swap.7490:5098</v>
      </c>
      <c r="F7492" s="6" t="str">
        <f>_xll.QS.TRADE.CREATE("trade.7490",E7492,A7492,"Receive")</f>
        <v>QSObject:SwapTrade:w1~trade.7490:24265</v>
      </c>
      <c r="G7492" s="3">
        <f>_xll.QS.EVALUATE(C7492,F7492)</f>
        <v>56202.627103710125</v>
      </c>
      <c r="H7492" s="5" t="s">
        <v>7533</v>
      </c>
      <c r="I7492" s="7">
        <v>1749000</v>
      </c>
      <c r="J7492" s="8">
        <v>3.9000000000000007E-2</v>
      </c>
    </row>
    <row r="7493" spans="1:10" x14ac:dyDescent="0.25">
      <c r="A7493" s="5" t="s">
        <v>7527</v>
      </c>
      <c r="B7493" s="5" t="s">
        <v>9360</v>
      </c>
      <c r="C7493" s="6" t="str">
        <f>_xll.QS.CONTEXT.CREATE("market.7491",A7493,"USD","SOFR")</f>
        <v>QSObject:PricingContext:w1~market.7491:5097</v>
      </c>
      <c r="D7493" s="6" t="str">
        <f>_xll.QS.CONTEXT.ADD.CURVE(C7493,"SOFR",$K$2:$K$7,$L$2:$L$7,,,"Actual360","LogLinear",TRUE)</f>
        <v>QSObject:ContextInput:w1~input.qs_context_add_curve.2359132437744.7492.3.0:32851</v>
      </c>
      <c r="E7493" s="6" t="str">
        <f>_xll.QS.INSTRUMENT.SWAP("swap.7491",H7493,B7493,"USD","SOFR",I7493,J7493,0,"Actual360","Simple","Annual","Annual","Annual")</f>
        <v>QSObject:Swap:w1~swap.7491:5096</v>
      </c>
      <c r="F7493" s="6" t="str">
        <f>_xll.QS.TRADE.CREATE("trade.7491",E7493,A7493,"Receive")</f>
        <v>QSObject:SwapTrade:w1~trade.7491:24264</v>
      </c>
      <c r="G7493" s="3">
        <f>_xll.QS.EVALUATE(C7493,F7493)</f>
        <v>57050.665144845851</v>
      </c>
      <c r="H7493" s="5" t="s">
        <v>7534</v>
      </c>
      <c r="I7493" s="7">
        <v>1749100</v>
      </c>
      <c r="J7493" s="8">
        <v>3.9100000000000003E-2</v>
      </c>
    </row>
    <row r="7494" spans="1:10" x14ac:dyDescent="0.25">
      <c r="A7494" s="5" t="s">
        <v>7528</v>
      </c>
      <c r="B7494" s="5" t="s">
        <v>9361</v>
      </c>
      <c r="C7494" s="6" t="str">
        <f>_xll.QS.CONTEXT.CREATE("market.7492",A7494,"USD","SOFR")</f>
        <v>QSObject:PricingContext:w1~market.7492:5095</v>
      </c>
      <c r="D7494" s="6" t="str">
        <f>_xll.QS.CONTEXT.ADD.CURVE(C7494,"SOFR",$K$2:$K$7,$L$2:$L$7,,,"Actual360","LogLinear",TRUE)</f>
        <v>QSObject:ContextInput:w1~input.qs_context_add_curve.2359132437744.7493.3.0:32850</v>
      </c>
      <c r="E7494" s="6" t="str">
        <f>_xll.QS.INSTRUMENT.SWAP("swap.7492",H7494,B7494,"USD","SOFR",I7494,J7494,0,"Actual360","Simple","Annual","Annual","Annual")</f>
        <v>QSObject:Swap:w1~swap.7492:5094</v>
      </c>
      <c r="F7494" s="6" t="str">
        <f>_xll.QS.TRADE.CREATE("trade.7492",E7494,A7494,"Receive")</f>
        <v>QSObject:SwapTrade:w1~trade.7492:24263</v>
      </c>
      <c r="G7494" s="3">
        <f>_xll.QS.EVALUATE(C7494,F7494)</f>
        <v>57988.589325871406</v>
      </c>
      <c r="H7494" s="5" t="s">
        <v>7535</v>
      </c>
      <c r="I7494" s="7">
        <v>1749200</v>
      </c>
      <c r="J7494" s="8">
        <v>3.9200000000000013E-2</v>
      </c>
    </row>
    <row r="7495" spans="1:10" x14ac:dyDescent="0.25">
      <c r="A7495" s="5" t="s">
        <v>7529</v>
      </c>
      <c r="B7495" s="5" t="s">
        <v>9362</v>
      </c>
      <c r="C7495" s="6" t="str">
        <f>_xll.QS.CONTEXT.CREATE("market.7493",A7495,"USD","SOFR")</f>
        <v>QSObject:PricingContext:w1~market.7493:5093</v>
      </c>
      <c r="D7495" s="6" t="str">
        <f>_xll.QS.CONTEXT.ADD.CURVE(C7495,"SOFR",$K$2:$K$7,$L$2:$L$7,,,"Actual360","LogLinear",TRUE)</f>
        <v>QSObject:ContextInput:w1~input.qs_context_add_curve.2359132437744.7494.3.0:32849</v>
      </c>
      <c r="E7495" s="6" t="str">
        <f>_xll.QS.INSTRUMENT.SWAP("swap.7493",H7495,B7495,"USD","SOFR",I7495,J7495,0,"Actual360","Simple","Annual","Annual","Annual")</f>
        <v>QSObject:Swap:w1~swap.7493:5092</v>
      </c>
      <c r="F7495" s="6" t="str">
        <f>_xll.QS.TRADE.CREATE("trade.7493",E7495,A7495,"Receive")</f>
        <v>QSObject:SwapTrade:w1~trade.7493:24262</v>
      </c>
      <c r="G7495" s="3">
        <f>_xll.QS.EVALUATE(C7495,F7495)</f>
        <v>58874.830521647113</v>
      </c>
      <c r="H7495" s="5" t="s">
        <v>7536</v>
      </c>
      <c r="I7495" s="7">
        <v>1749300</v>
      </c>
      <c r="J7495" s="8">
        <v>3.9300000000000002E-2</v>
      </c>
    </row>
    <row r="7496" spans="1:10" x14ac:dyDescent="0.25">
      <c r="A7496" s="5" t="s">
        <v>7530</v>
      </c>
      <c r="B7496" s="5" t="s">
        <v>9363</v>
      </c>
      <c r="C7496" s="6" t="str">
        <f>_xll.QS.CONTEXT.CREATE("market.7494",A7496,"USD","SOFR")</f>
        <v>QSObject:PricingContext:w1~market.7494:5091</v>
      </c>
      <c r="D7496" s="6" t="str">
        <f>_xll.QS.CONTEXT.ADD.CURVE(C7496,"SOFR",$K$2:$K$7,$L$2:$L$7,,,"Actual360","LogLinear",TRUE)</f>
        <v>QSObject:ContextInput:w1~input.qs_context_add_curve.2359132437744.7495.3.0:32848</v>
      </c>
      <c r="E7496" s="6" t="str">
        <f>_xll.QS.INSTRUMENT.SWAP("swap.7494",H7496,B7496,"USD","SOFR",I7496,J7496,0,"Actual360","Simple","Annual","Annual","Annual")</f>
        <v>QSObject:Swap:w1~swap.7494:5090</v>
      </c>
      <c r="F7496" s="6" t="str">
        <f>_xll.QS.TRADE.CREATE("trade.7494",E7496,A7496,"Receive")</f>
        <v>QSObject:SwapTrade:w1~trade.7494:24261</v>
      </c>
      <c r="G7496" s="3">
        <f>_xll.QS.EVALUATE(C7496,F7496)</f>
        <v>59618.360958656856</v>
      </c>
      <c r="H7496" s="5" t="s">
        <v>7537</v>
      </c>
      <c r="I7496" s="7">
        <v>1749400</v>
      </c>
      <c r="J7496" s="8">
        <v>3.9399999999999998E-2</v>
      </c>
    </row>
    <row r="7497" spans="1:10" x14ac:dyDescent="0.25">
      <c r="A7497" s="5" t="s">
        <v>7531</v>
      </c>
      <c r="B7497" s="5" t="s">
        <v>9364</v>
      </c>
      <c r="C7497" s="6" t="str">
        <f>_xll.QS.CONTEXT.CREATE("market.7495",A7497,"USD","SOFR")</f>
        <v>QSObject:PricingContext:w1~market.7495:5089</v>
      </c>
      <c r="D7497" s="6" t="str">
        <f>_xll.QS.CONTEXT.ADD.CURVE(C7497,"SOFR",$K$2:$K$7,$L$2:$L$7,,,"Actual360","LogLinear",TRUE)</f>
        <v>QSObject:ContextInput:w1~input.qs_context_add_curve.2359132437744.7496.3.0:32847</v>
      </c>
      <c r="E7497" s="6" t="str">
        <f>_xll.QS.INSTRUMENT.SWAP("swap.7495",H7497,B7497,"USD","SOFR",I7497,J7497,0,"Actual360","Simple","Annual","Annual","Annual")</f>
        <v>QSObject:Swap:w1~swap.7495:5088</v>
      </c>
      <c r="F7497" s="6" t="str">
        <f>_xll.QS.TRADE.CREATE("trade.7495",E7497,A7497,"Receive")</f>
        <v>QSObject:SwapTrade:w1~trade.7495:24260</v>
      </c>
      <c r="G7497" s="3">
        <f>_xll.QS.EVALUATE(C7497,F7497)</f>
        <v>60283.363652212247</v>
      </c>
      <c r="H7497" s="5" t="s">
        <v>7538</v>
      </c>
      <c r="I7497" s="7">
        <v>1749500</v>
      </c>
      <c r="J7497" s="8">
        <v>3.9500000000000007E-2</v>
      </c>
    </row>
    <row r="7498" spans="1:10" x14ac:dyDescent="0.25">
      <c r="A7498" s="5" t="s">
        <v>7532</v>
      </c>
      <c r="B7498" s="5" t="s">
        <v>9365</v>
      </c>
      <c r="C7498" s="6" t="str">
        <f>_xll.QS.CONTEXT.CREATE("market.7496",A7498,"USD","SOFR")</f>
        <v>QSObject:PricingContext:w1~market.7496:5087</v>
      </c>
      <c r="D7498" s="6" t="str">
        <f>_xll.QS.CONTEXT.ADD.CURVE(C7498,"SOFR",$K$2:$K$7,$L$2:$L$7,,,"Actual360","LogLinear",TRUE)</f>
        <v>QSObject:ContextInput:w1~input.qs_context_add_curve.2359132437744.7497.3.0:32846</v>
      </c>
      <c r="E7498" s="6" t="str">
        <f>_xll.QS.INSTRUMENT.SWAP("swap.7496",H7498,B7498,"USD","SOFR",I7498,J7498,0,"Actual360","Simple","Annual","Annual","Annual")</f>
        <v>QSObject:Swap:w1~swap.7496:5086</v>
      </c>
      <c r="F7498" s="6" t="str">
        <f>_xll.QS.TRADE.CREATE("trade.7496",E7498,A7498,"Receive")</f>
        <v>QSObject:SwapTrade:w1~trade.7496:24259</v>
      </c>
      <c r="G7498" s="3">
        <f>_xll.QS.EVALUATE(C7498,F7498)</f>
        <v>60988.837713082517</v>
      </c>
      <c r="H7498" s="5" t="s">
        <v>7539</v>
      </c>
      <c r="I7498" s="7">
        <v>1749600</v>
      </c>
      <c r="J7498" s="8">
        <v>3.9600000000000003E-2</v>
      </c>
    </row>
    <row r="7499" spans="1:10" x14ac:dyDescent="0.25">
      <c r="A7499" s="5" t="s">
        <v>7533</v>
      </c>
      <c r="B7499" s="5" t="s">
        <v>9366</v>
      </c>
      <c r="C7499" s="6" t="str">
        <f>_xll.QS.CONTEXT.CREATE("market.7497",A7499,"USD","SOFR")</f>
        <v>QSObject:PricingContext:w1~market.7497:5085</v>
      </c>
      <c r="D7499" s="6" t="str">
        <f>_xll.QS.CONTEXT.ADD.CURVE(C7499,"SOFR",$K$2:$K$7,$L$2:$L$7,,,"Actual360","LogLinear",TRUE)</f>
        <v>QSObject:ContextInput:w1~input.qs_context_add_curve.2359132437744.7498.3.0:32845</v>
      </c>
      <c r="E7499" s="6" t="str">
        <f>_xll.QS.INSTRUMENT.SWAP("swap.7497",H7499,B7499,"USD","SOFR",I7499,J7499,0,"Actual360","Simple","Annual","Annual","Annual")</f>
        <v>QSObject:Swap:w1~swap.7497:5084</v>
      </c>
      <c r="F7499" s="6" t="str">
        <f>_xll.QS.TRADE.CREATE("trade.7497",E7499,A7499,"Receive")</f>
        <v>QSObject:SwapTrade:w1~trade.7497:24258</v>
      </c>
      <c r="G7499" s="3">
        <f>_xll.QS.EVALUATE(C7499,F7499)</f>
        <v>61875.780248781986</v>
      </c>
      <c r="H7499" s="5" t="s">
        <v>7540</v>
      </c>
      <c r="I7499" s="7">
        <v>1749700</v>
      </c>
      <c r="J7499" s="8">
        <v>3.9700000000000013E-2</v>
      </c>
    </row>
    <row r="7500" spans="1:10" x14ac:dyDescent="0.25">
      <c r="A7500" s="5" t="s">
        <v>7534</v>
      </c>
      <c r="B7500" s="5" t="s">
        <v>9367</v>
      </c>
      <c r="C7500" s="6" t="str">
        <f>_xll.QS.CONTEXT.CREATE("market.7498",A7500,"USD","SOFR")</f>
        <v>QSObject:PricingContext:w1~market.7498:5083</v>
      </c>
      <c r="D7500" s="6" t="str">
        <f>_xll.QS.CONTEXT.ADD.CURVE(C7500,"SOFR",$K$2:$K$7,$L$2:$L$7,,,"Actual360","LogLinear",TRUE)</f>
        <v>QSObject:ContextInput:w1~input.qs_context_add_curve.2359132437744.7499.3.0:32844</v>
      </c>
      <c r="E7500" s="6" t="str">
        <f>_xll.QS.INSTRUMENT.SWAP("swap.7498",H7500,B7500,"USD","SOFR",I7500,J7500,0,"Actual360","Simple","Annual","Annual","Annual")</f>
        <v>QSObject:Swap:w1~swap.7498:5082</v>
      </c>
      <c r="F7500" s="6" t="str">
        <f>_xll.QS.TRADE.CREATE("trade.7498",E7500,A7500,"Receive")</f>
        <v>QSObject:SwapTrade:w1~trade.7498:24257</v>
      </c>
      <c r="G7500" s="3">
        <f>_xll.QS.EVALUATE(C7500,F7500)</f>
        <v>62721.712640951228</v>
      </c>
      <c r="H7500" s="5" t="s">
        <v>7541</v>
      </c>
      <c r="I7500" s="7">
        <v>1749800</v>
      </c>
      <c r="J7500" s="8">
        <v>3.9800000000000002E-2</v>
      </c>
    </row>
    <row r="7501" spans="1:10" x14ac:dyDescent="0.25">
      <c r="A7501" s="5" t="s">
        <v>7535</v>
      </c>
      <c r="B7501" s="5" t="s">
        <v>9368</v>
      </c>
      <c r="C7501" s="6" t="str">
        <f>_xll.QS.CONTEXT.CREATE("market.7499",A7501,"USD","SOFR")</f>
        <v>QSObject:PricingContext:w1~market.7499:5081</v>
      </c>
      <c r="D7501" s="6" t="str">
        <f>_xll.QS.CONTEXT.ADD.CURVE(C7501,"SOFR",$K$2:$K$7,$L$2:$L$7,,,"Actual360","LogLinear",TRUE)</f>
        <v>QSObject:ContextInput:w1~input.qs_context_add_curve.2359132437744.7500.3.0:32843</v>
      </c>
      <c r="E7501" s="6" t="str">
        <f>_xll.QS.INSTRUMENT.SWAP("swap.7499",H7501,B7501,"USD","SOFR",I7501,J7501,0,"Actual360","Simple","Annual","Annual","Annual")</f>
        <v>QSObject:Swap:w1~swap.7499:5080</v>
      </c>
      <c r="F7501" s="6" t="str">
        <f>_xll.QS.TRADE.CREATE("trade.7499",E7501,A7501,"Receive")</f>
        <v>QSObject:SwapTrade:w1~trade.7499:24256</v>
      </c>
      <c r="G7501" s="3">
        <f>_xll.QS.EVALUATE(C7501,F7501)</f>
        <v>63660.41840794756</v>
      </c>
      <c r="H7501" s="5" t="s">
        <v>7542</v>
      </c>
      <c r="I7501" s="7">
        <v>1749900</v>
      </c>
      <c r="J7501" s="8">
        <v>3.9899999999999998E-2</v>
      </c>
    </row>
    <row r="7502" spans="1:10" x14ac:dyDescent="0.25">
      <c r="A7502" s="5" t="s">
        <v>7536</v>
      </c>
      <c r="B7502" s="5" t="s">
        <v>9369</v>
      </c>
      <c r="C7502" s="6" t="str">
        <f>_xll.QS.CONTEXT.CREATE("market.7500",A7502,"USD","SOFR")</f>
        <v>QSObject:PricingContext:w1~market.7500:4764</v>
      </c>
      <c r="D7502" s="6" t="str">
        <f>_xll.QS.CONTEXT.ADD.CURVE(C7502,"SOFR",$K$2:$K$7,$L$2:$L$7,,,"Actual360","LogLinear",TRUE)</f>
        <v>QSObject:ContextInput:w1~input.qs_context_add_curve.2359132437744.7501.3.0:32842</v>
      </c>
      <c r="E7502" s="6" t="str">
        <f>_xll.QS.INSTRUMENT.SWAP("swap.7500",H7502,B7502,"USD","SOFR",I7502,J7502,0,"Actual360","Simple","Annual","Annual","Annual")</f>
        <v>QSObject:Swap:w1~swap.7500:4763</v>
      </c>
      <c r="F7502" s="6" t="str">
        <f>_xll.QS.TRADE.CREATE("trade.7500",E7502,A7502,"Receive")</f>
        <v>QSObject:SwapTrade:w1~trade.7500:24255</v>
      </c>
      <c r="G7502" s="3">
        <f>_xll.QS.EVALUATE(C7502,F7502)</f>
        <v>24197.351674687081</v>
      </c>
      <c r="H7502" s="5" t="s">
        <v>7543</v>
      </c>
      <c r="I7502" s="7">
        <v>1750000</v>
      </c>
      <c r="J7502" s="8">
        <v>3.5000000000000003E-2</v>
      </c>
    </row>
    <row r="7503" spans="1:10" x14ac:dyDescent="0.25">
      <c r="A7503" s="5" t="s">
        <v>7537</v>
      </c>
      <c r="B7503" s="5" t="s">
        <v>9370</v>
      </c>
      <c r="C7503" s="6" t="str">
        <f>_xll.QS.CONTEXT.CREATE("market.7501",A7503,"USD","SOFR")</f>
        <v>QSObject:PricingContext:w1~market.7501:4762</v>
      </c>
      <c r="D7503" s="6" t="str">
        <f>_xll.QS.CONTEXT.ADD.CURVE(C7503,"SOFR",$K$2:$K$7,$L$2:$L$7,,,"Actual360","LogLinear",TRUE)</f>
        <v>QSObject:ContextInput:w1~input.qs_context_add_curve.2359132437744.7502.3.0:32841</v>
      </c>
      <c r="E7503" s="6" t="str">
        <f>_xll.QS.INSTRUMENT.SWAP("swap.7501",H7503,B7503,"USD","SOFR",I7503,J7503,0,"Actual360","Simple","Annual","Annual","Annual")</f>
        <v>QSObject:Swap:w1~swap.7501:4761</v>
      </c>
      <c r="F7503" s="6" t="str">
        <f>_xll.QS.TRADE.CREATE("trade.7501",E7503,A7503,"Receive")</f>
        <v>QSObject:SwapTrade:w1~trade.7501:24254</v>
      </c>
      <c r="G7503" s="3">
        <f>_xll.QS.EVALUATE(C7503,F7503)</f>
        <v>24939.475115480098</v>
      </c>
      <c r="H7503" s="5" t="s">
        <v>7544</v>
      </c>
      <c r="I7503" s="7">
        <v>1750100</v>
      </c>
      <c r="J7503" s="8">
        <v>3.5100000000000013E-2</v>
      </c>
    </row>
    <row r="7504" spans="1:10" x14ac:dyDescent="0.25">
      <c r="A7504" s="5" t="s">
        <v>7538</v>
      </c>
      <c r="B7504" s="5" t="s">
        <v>9371</v>
      </c>
      <c r="C7504" s="6" t="str">
        <f>_xll.QS.CONTEXT.CREATE("market.7502",A7504,"USD","SOFR")</f>
        <v>QSObject:PricingContext:w1~market.7502:4760</v>
      </c>
      <c r="D7504" s="6" t="str">
        <f>_xll.QS.CONTEXT.ADD.CURVE(C7504,"SOFR",$K$2:$K$7,$L$2:$L$7,,,"Actual360","LogLinear",TRUE)</f>
        <v>QSObject:ContextInput:w1~input.qs_context_add_curve.2359132437744.7503.3.0:32840</v>
      </c>
      <c r="E7504" s="6" t="str">
        <f>_xll.QS.INSTRUMENT.SWAP("swap.7502",H7504,B7504,"USD","SOFR",I7504,J7504,0,"Actual360","Simple","Annual","Annual","Annual")</f>
        <v>QSObject:Swap:w1~swap.7502:4759</v>
      </c>
      <c r="F7504" s="6" t="str">
        <f>_xll.QS.TRADE.CREATE("trade.7502",E7504,A7504,"Receive")</f>
        <v>QSObject:SwapTrade:w1~trade.7502:24253</v>
      </c>
      <c r="G7504" s="3">
        <f>_xll.QS.EVALUATE(C7504,F7504)</f>
        <v>25643.658005515412</v>
      </c>
      <c r="H7504" s="5" t="s">
        <v>7545</v>
      </c>
      <c r="I7504" s="7">
        <v>1750200</v>
      </c>
      <c r="J7504" s="8">
        <v>3.5200000000000002E-2</v>
      </c>
    </row>
    <row r="7505" spans="1:10" x14ac:dyDescent="0.25">
      <c r="A7505" s="5" t="s">
        <v>7539</v>
      </c>
      <c r="B7505" s="5" t="s">
        <v>9372</v>
      </c>
      <c r="C7505" s="6" t="str">
        <f>_xll.QS.CONTEXT.CREATE("market.7503",A7505,"USD","SOFR")</f>
        <v>QSObject:PricingContext:w1~market.7503:4758</v>
      </c>
      <c r="D7505" s="6" t="str">
        <f>_xll.QS.CONTEXT.ADD.CURVE(C7505,"SOFR",$K$2:$K$7,$L$2:$L$7,,,"Actual360","LogLinear",TRUE)</f>
        <v>QSObject:ContextInput:w1~input.qs_context_add_curve.2359132437744.7504.3.0:32839</v>
      </c>
      <c r="E7505" s="6" t="str">
        <f>_xll.QS.INSTRUMENT.SWAP("swap.7503",H7505,B7505,"USD","SOFR",I7505,J7505,0,"Actual360","Simple","Annual","Annual","Annual")</f>
        <v>QSObject:Swap:w1~swap.7503:4757</v>
      </c>
      <c r="F7505" s="6" t="str">
        <f>_xll.QS.TRADE.CREATE("trade.7503",E7505,A7505,"Receive")</f>
        <v>QSObject:SwapTrade:w1~trade.7503:24252</v>
      </c>
      <c r="G7505" s="3">
        <f>_xll.QS.EVALUATE(C7505,F7505)</f>
        <v>26293.627383038482</v>
      </c>
      <c r="H7505" s="5" t="s">
        <v>7546</v>
      </c>
      <c r="I7505" s="7">
        <v>1750300</v>
      </c>
      <c r="J7505" s="8">
        <v>3.5299999999999998E-2</v>
      </c>
    </row>
    <row r="7506" spans="1:10" x14ac:dyDescent="0.25">
      <c r="A7506" s="5" t="s">
        <v>7540</v>
      </c>
      <c r="B7506" s="5" t="s">
        <v>9373</v>
      </c>
      <c r="C7506" s="6" t="str">
        <f>_xll.QS.CONTEXT.CREATE("market.7504",A7506,"USD","SOFR")</f>
        <v>QSObject:PricingContext:w1~market.7504:4756</v>
      </c>
      <c r="D7506" s="6" t="str">
        <f>_xll.QS.CONTEXT.ADD.CURVE(C7506,"SOFR",$K$2:$K$7,$L$2:$L$7,,,"Actual360","LogLinear",TRUE)</f>
        <v>QSObject:ContextInput:w1~input.qs_context_add_curve.2359132437744.7505.3.0:32838</v>
      </c>
      <c r="E7506" s="6" t="str">
        <f>_xll.QS.INSTRUMENT.SWAP("swap.7504",H7506,B7506,"USD","SOFR",I7506,J7506,0,"Actual360","Simple","Annual","Annual","Annual")</f>
        <v>QSObject:Swap:w1~swap.7504:4755</v>
      </c>
      <c r="F7506" s="6" t="str">
        <f>_xll.QS.TRADE.CREATE("trade.7504",E7506,A7506,"Receive")</f>
        <v>QSObject:SwapTrade:w1~trade.7504:24251</v>
      </c>
      <c r="G7506" s="3">
        <f>_xll.QS.EVALUATE(C7506,F7506)</f>
        <v>27175.455469133434</v>
      </c>
      <c r="H7506" s="5" t="s">
        <v>7547</v>
      </c>
      <c r="I7506" s="7">
        <v>1750400</v>
      </c>
      <c r="J7506" s="8">
        <v>3.5400000000000001E-2</v>
      </c>
    </row>
    <row r="7507" spans="1:10" x14ac:dyDescent="0.25">
      <c r="A7507" s="5" t="s">
        <v>7541</v>
      </c>
      <c r="B7507" s="5" t="s">
        <v>9374</v>
      </c>
      <c r="C7507" s="6" t="str">
        <f>_xll.QS.CONTEXT.CREATE("market.7505",A7507,"USD","SOFR")</f>
        <v>QSObject:PricingContext:w1~market.7505:4754</v>
      </c>
      <c r="D7507" s="6" t="str">
        <f>_xll.QS.CONTEXT.ADD.CURVE(C7507,"SOFR",$K$2:$K$7,$L$2:$L$7,,,"Actual360","LogLinear",TRUE)</f>
        <v>QSObject:ContextInput:w1~input.qs_context_add_curve.2359132437744.7506.3.0:32837</v>
      </c>
      <c r="E7507" s="6" t="str">
        <f>_xll.QS.INSTRUMENT.SWAP("swap.7505",H7507,B7507,"USD","SOFR",I7507,J7507,0,"Actual360","Simple","Annual","Annual","Annual")</f>
        <v>QSObject:Swap:w1~swap.7505:4753</v>
      </c>
      <c r="F7507" s="6" t="str">
        <f>_xll.QS.TRADE.CREATE("trade.7505",E7507,A7507,"Receive")</f>
        <v>QSObject:SwapTrade:w1~trade.7505:24250</v>
      </c>
      <c r="G7507" s="3">
        <f>_xll.QS.EVALUATE(C7507,F7507)</f>
        <v>28036.743280910297</v>
      </c>
      <c r="H7507" s="5" t="s">
        <v>7548</v>
      </c>
      <c r="I7507" s="7">
        <v>1750500</v>
      </c>
      <c r="J7507" s="8">
        <v>3.5499999999999997E-2</v>
      </c>
    </row>
    <row r="7508" spans="1:10" x14ac:dyDescent="0.25">
      <c r="A7508" s="5" t="s">
        <v>7542</v>
      </c>
      <c r="B7508" s="5" t="s">
        <v>9375</v>
      </c>
      <c r="C7508" s="6" t="str">
        <f>_xll.QS.CONTEXT.CREATE("market.7506",A7508,"USD","SOFR")</f>
        <v>QSObject:PricingContext:w1~market.7506:4752</v>
      </c>
      <c r="D7508" s="6" t="str">
        <f>_xll.QS.CONTEXT.ADD.CURVE(C7508,"SOFR",$K$2:$K$7,$L$2:$L$7,,,"Actual360","LogLinear",TRUE)</f>
        <v>QSObject:ContextInput:w1~input.qs_context_add_curve.2359132437744.7507.3.0:32836</v>
      </c>
      <c r="E7508" s="6" t="str">
        <f>_xll.QS.INSTRUMENT.SWAP("swap.7506",H7508,B7508,"USD","SOFR",I7508,J7508,0,"Actual360","Simple","Annual","Annual","Annual")</f>
        <v>QSObject:Swap:w1~swap.7506:4751</v>
      </c>
      <c r="F7508" s="6" t="str">
        <f>_xll.QS.TRADE.CREATE("trade.7506",E7508,A7508,"Receive")</f>
        <v>QSObject:SwapTrade:w1~trade.7506:24249</v>
      </c>
      <c r="G7508" s="3">
        <f>_xll.QS.EVALUATE(C7508,F7508)</f>
        <v>28973.319388102696</v>
      </c>
      <c r="H7508" s="5" t="s">
        <v>7549</v>
      </c>
      <c r="I7508" s="7">
        <v>1750600</v>
      </c>
      <c r="J7508" s="8">
        <v>3.5600000000000007E-2</v>
      </c>
    </row>
    <row r="7509" spans="1:10" x14ac:dyDescent="0.25">
      <c r="A7509" s="5" t="s">
        <v>7543</v>
      </c>
      <c r="B7509" s="5" t="s">
        <v>9376</v>
      </c>
      <c r="C7509" s="6" t="str">
        <f>_xll.QS.CONTEXT.CREATE("market.7507",A7509,"USD","SOFR")</f>
        <v>QSObject:PricingContext:w1~market.7507:4750</v>
      </c>
      <c r="D7509" s="6" t="str">
        <f>_xll.QS.CONTEXT.ADD.CURVE(C7509,"SOFR",$K$2:$K$7,$L$2:$L$7,,,"Actual360","LogLinear",TRUE)</f>
        <v>QSObject:ContextInput:w1~input.qs_context_add_curve.2359132437744.7508.3.0:32835</v>
      </c>
      <c r="E7509" s="6" t="str">
        <f>_xll.QS.INSTRUMENT.SWAP("swap.7507",H7509,B7509,"USD","SOFR",I7509,J7509,0,"Actual360","Simple","Annual","Annual","Annual")</f>
        <v>QSObject:Swap:w1~swap.7507:4749</v>
      </c>
      <c r="F7509" s="6" t="str">
        <f>_xll.QS.TRADE.CREATE("trade.7507",E7509,A7509,"Receive")</f>
        <v>QSObject:SwapTrade:w1~trade.7507:24248</v>
      </c>
      <c r="G7509" s="3">
        <f>_xll.QS.EVALUATE(C7509,F7509)</f>
        <v>29858.296436923134</v>
      </c>
      <c r="H7509" s="5" t="s">
        <v>7550</v>
      </c>
      <c r="I7509" s="7">
        <v>1750700</v>
      </c>
      <c r="J7509" s="8">
        <v>3.5700000000000003E-2</v>
      </c>
    </row>
    <row r="7510" spans="1:10" x14ac:dyDescent="0.25">
      <c r="A7510" s="5" t="s">
        <v>7544</v>
      </c>
      <c r="B7510" s="5" t="s">
        <v>9377</v>
      </c>
      <c r="C7510" s="6" t="str">
        <f>_xll.QS.CONTEXT.CREATE("market.7508",A7510,"USD","SOFR")</f>
        <v>QSObject:PricingContext:w1~market.7508:4748</v>
      </c>
      <c r="D7510" s="6" t="str">
        <f>_xll.QS.CONTEXT.ADD.CURVE(C7510,"SOFR",$K$2:$K$7,$L$2:$L$7,,,"Actual360","LogLinear",TRUE)</f>
        <v>QSObject:ContextInput:w1~input.qs_context_add_curve.2359132437744.7509.3.0:32834</v>
      </c>
      <c r="E7510" s="6" t="str">
        <f>_xll.QS.INSTRUMENT.SWAP("swap.7508",H7510,B7510,"USD","SOFR",I7510,J7510,0,"Actual360","Simple","Annual","Annual","Annual")</f>
        <v>QSObject:Swap:w1~swap.7508:4747</v>
      </c>
      <c r="F7510" s="6" t="str">
        <f>_xll.QS.TRADE.CREATE("trade.7508",E7510,A7510,"Receive")</f>
        <v>QSObject:SwapTrade:w1~trade.7508:24247</v>
      </c>
      <c r="G7510" s="3">
        <f>_xll.QS.EVALUATE(C7510,F7510)</f>
        <v>30601.265877870756</v>
      </c>
      <c r="H7510" s="5" t="s">
        <v>7551</v>
      </c>
      <c r="I7510" s="7">
        <v>1750800</v>
      </c>
      <c r="J7510" s="8">
        <v>3.5800000000000012E-2</v>
      </c>
    </row>
    <row r="7511" spans="1:10" x14ac:dyDescent="0.25">
      <c r="A7511" s="5" t="s">
        <v>7545</v>
      </c>
      <c r="B7511" s="5" t="s">
        <v>9378</v>
      </c>
      <c r="C7511" s="6" t="str">
        <f>_xll.QS.CONTEXT.CREATE("market.7509",A7511,"USD","SOFR")</f>
        <v>QSObject:PricingContext:w1~market.7509:4746</v>
      </c>
      <c r="D7511" s="6" t="str">
        <f>_xll.QS.CONTEXT.ADD.CURVE(C7511,"SOFR",$K$2:$K$7,$L$2:$L$7,,,"Actual360","LogLinear",TRUE)</f>
        <v>QSObject:ContextInput:w1~input.qs_context_add_curve.2359132437744.7510.3.0:32833</v>
      </c>
      <c r="E7511" s="6" t="str">
        <f>_xll.QS.INSTRUMENT.SWAP("swap.7509",H7511,B7511,"USD","SOFR",I7511,J7511,0,"Actual360","Simple","Annual","Annual","Annual")</f>
        <v>QSObject:Swap:w1~swap.7509:4745</v>
      </c>
      <c r="F7511" s="6" t="str">
        <f>_xll.QS.TRADE.CREATE("trade.7509",E7511,A7511,"Receive")</f>
        <v>QSObject:SwapTrade:w1~trade.7509:24246</v>
      </c>
      <c r="G7511" s="3">
        <f>_xll.QS.EVALUATE(C7511,F7511)</f>
        <v>31361.774825430162</v>
      </c>
      <c r="H7511" s="5" t="s">
        <v>7552</v>
      </c>
      <c r="I7511" s="7">
        <v>1750900</v>
      </c>
      <c r="J7511" s="8">
        <v>3.5900000000000001E-2</v>
      </c>
    </row>
    <row r="7512" spans="1:10" x14ac:dyDescent="0.25">
      <c r="A7512" s="5" t="s">
        <v>7546</v>
      </c>
      <c r="B7512" s="5" t="s">
        <v>9379</v>
      </c>
      <c r="C7512" s="6" t="str">
        <f>_xll.QS.CONTEXT.CREATE("market.7510",A7512,"USD","SOFR")</f>
        <v>QSObject:PricingContext:w1~market.7510:4744</v>
      </c>
      <c r="D7512" s="6" t="str">
        <f>_xll.QS.CONTEXT.ADD.CURVE(C7512,"SOFR",$K$2:$K$7,$L$2:$L$7,,,"Actual360","LogLinear",TRUE)</f>
        <v>QSObject:ContextInput:w1~input.qs_context_add_curve.2359132437744.7511.3.0:32832</v>
      </c>
      <c r="E7512" s="6" t="str">
        <f>_xll.QS.INSTRUMENT.SWAP("swap.7510",H7512,B7512,"USD","SOFR",I7512,J7512,0,"Actual360","Simple","Annual","Annual","Annual")</f>
        <v>QSObject:Swap:w1~swap.7510:4743</v>
      </c>
      <c r="F7512" s="6" t="str">
        <f>_xll.QS.TRADE.CREATE("trade.7510",E7512,A7512,"Receive")</f>
        <v>QSObject:SwapTrade:w1~trade.7510:24245</v>
      </c>
      <c r="G7512" s="3">
        <f>_xll.QS.EVALUATE(C7512,F7512)</f>
        <v>31958.433225429129</v>
      </c>
      <c r="H7512" s="5" t="s">
        <v>7553</v>
      </c>
      <c r="I7512" s="7">
        <v>1751000</v>
      </c>
      <c r="J7512" s="8">
        <v>3.5999999999999997E-2</v>
      </c>
    </row>
    <row r="7513" spans="1:10" x14ac:dyDescent="0.25">
      <c r="A7513" s="5" t="s">
        <v>7547</v>
      </c>
      <c r="B7513" s="5" t="s">
        <v>9380</v>
      </c>
      <c r="C7513" s="6" t="str">
        <f>_xll.QS.CONTEXT.CREATE("market.7511",A7513,"USD","SOFR")</f>
        <v>QSObject:PricingContext:w1~market.7511:4742</v>
      </c>
      <c r="D7513" s="6" t="str">
        <f>_xll.QS.CONTEXT.ADD.CURVE(C7513,"SOFR",$K$2:$K$7,$L$2:$L$7,,,"Actual360","LogLinear",TRUE)</f>
        <v>QSObject:ContextInput:w1~input.qs_context_add_curve.2359132437744.7512.3.0:32831</v>
      </c>
      <c r="E7513" s="6" t="str">
        <f>_xll.QS.INSTRUMENT.SWAP("swap.7511",H7513,B7513,"USD","SOFR",I7513,J7513,0,"Actual360","Simple","Annual","Annual","Annual")</f>
        <v>QSObject:Swap:w1~swap.7511:4741</v>
      </c>
      <c r="F7513" s="6" t="str">
        <f>_xll.QS.TRADE.CREATE("trade.7511",E7513,A7513,"Receive")</f>
        <v>QSObject:SwapTrade:w1~trade.7511:24244</v>
      </c>
      <c r="G7513" s="3">
        <f>_xll.QS.EVALUATE(C7513,F7513)</f>
        <v>32841.503710319426</v>
      </c>
      <c r="H7513" s="5" t="s">
        <v>7554</v>
      </c>
      <c r="I7513" s="7">
        <v>1751100</v>
      </c>
      <c r="J7513" s="8">
        <v>3.61E-2</v>
      </c>
    </row>
    <row r="7514" spans="1:10" x14ac:dyDescent="0.25">
      <c r="A7514" s="5" t="s">
        <v>7548</v>
      </c>
      <c r="B7514" s="5" t="s">
        <v>9381</v>
      </c>
      <c r="C7514" s="6" t="str">
        <f>_xll.QS.CONTEXT.CREATE("market.7512",A7514,"USD","SOFR")</f>
        <v>QSObject:PricingContext:w1~market.7512:4740</v>
      </c>
      <c r="D7514" s="6" t="str">
        <f>_xll.QS.CONTEXT.ADD.CURVE(C7514,"SOFR",$K$2:$K$7,$L$2:$L$7,,,"Actual360","LogLinear",TRUE)</f>
        <v>QSObject:ContextInput:w1~input.qs_context_add_curve.2359132437744.7513.3.0:32830</v>
      </c>
      <c r="E7514" s="6" t="str">
        <f>_xll.QS.INSTRUMENT.SWAP("swap.7512",H7514,B7514,"USD","SOFR",I7514,J7514,0,"Actual360","Simple","Annual","Annual","Annual")</f>
        <v>QSObject:Swap:w1~swap.7512:4739</v>
      </c>
      <c r="F7514" s="6" t="str">
        <f>_xll.QS.TRADE.CREATE("trade.7512",E7514,A7514,"Receive")</f>
        <v>QSObject:SwapTrade:w1~trade.7512:24243</v>
      </c>
      <c r="G7514" s="3">
        <f>_xll.QS.EVALUATE(C7514,F7514)</f>
        <v>33700.689351668072</v>
      </c>
      <c r="H7514" s="5" t="s">
        <v>7555</v>
      </c>
      <c r="I7514" s="7">
        <v>1751200</v>
      </c>
      <c r="J7514" s="8">
        <v>3.6200000000000003E-2</v>
      </c>
    </row>
    <row r="7515" spans="1:10" x14ac:dyDescent="0.25">
      <c r="A7515" s="5" t="s">
        <v>7549</v>
      </c>
      <c r="B7515" s="5" t="s">
        <v>9382</v>
      </c>
      <c r="C7515" s="6" t="str">
        <f>_xll.QS.CONTEXT.CREATE("market.7513",A7515,"USD","SOFR")</f>
        <v>QSObject:PricingContext:w1~market.7513:4738</v>
      </c>
      <c r="D7515" s="6" t="str">
        <f>_xll.QS.CONTEXT.ADD.CURVE(C7515,"SOFR",$K$2:$K$7,$L$2:$L$7,,,"Actual360","LogLinear",TRUE)</f>
        <v>QSObject:ContextInput:w1~input.qs_context_add_curve.2359132437744.7514.3.0:32829</v>
      </c>
      <c r="E7515" s="6" t="str">
        <f>_xll.QS.INSTRUMENT.SWAP("swap.7513",H7515,B7515,"USD","SOFR",I7515,J7515,0,"Actual360","Simple","Annual","Annual","Annual")</f>
        <v>QSObject:Swap:w1~swap.7513:4737</v>
      </c>
      <c r="F7515" s="6" t="str">
        <f>_xll.QS.TRADE.CREATE("trade.7513",E7515,A7515,"Receive")</f>
        <v>QSObject:SwapTrade:w1~trade.7513:24242</v>
      </c>
      <c r="G7515" s="3">
        <f>_xll.QS.EVALUATE(C7515,F7515)</f>
        <v>34705.661697668183</v>
      </c>
      <c r="H7515" s="5" t="s">
        <v>7556</v>
      </c>
      <c r="I7515" s="7">
        <v>1751300</v>
      </c>
      <c r="J7515" s="8">
        <v>3.6300000000000013E-2</v>
      </c>
    </row>
    <row r="7516" spans="1:10" x14ac:dyDescent="0.25">
      <c r="A7516" s="5" t="s">
        <v>7550</v>
      </c>
      <c r="B7516" s="5" t="s">
        <v>9383</v>
      </c>
      <c r="C7516" s="6" t="str">
        <f>_xll.QS.CONTEXT.CREATE("market.7514",A7516,"USD","SOFR")</f>
        <v>QSObject:PricingContext:w1~market.7514:4736</v>
      </c>
      <c r="D7516" s="6" t="str">
        <f>_xll.QS.CONTEXT.ADD.CURVE(C7516,"SOFR",$K$2:$K$7,$L$2:$L$7,,,"Actual360","LogLinear",TRUE)</f>
        <v>QSObject:ContextInput:w1~input.qs_context_add_curve.2359132437744.7515.3.0:32828</v>
      </c>
      <c r="E7516" s="6" t="str">
        <f>_xll.QS.INSTRUMENT.SWAP("swap.7514",H7516,B7516,"USD","SOFR",I7516,J7516,0,"Actual360","Simple","Annual","Annual","Annual")</f>
        <v>QSObject:Swap:w1~swap.7514:4735</v>
      </c>
      <c r="F7516" s="6" t="str">
        <f>_xll.QS.TRADE.CREATE("trade.7514",E7516,A7516,"Receive")</f>
        <v>QSObject:SwapTrade:w1~trade.7514:24241</v>
      </c>
      <c r="G7516" s="3">
        <f>_xll.QS.EVALUATE(C7516,F7516)</f>
        <v>35523.76040413446</v>
      </c>
      <c r="H7516" s="5" t="s">
        <v>7557</v>
      </c>
      <c r="I7516" s="7">
        <v>1751400</v>
      </c>
      <c r="J7516" s="8">
        <v>3.6400000000000002E-2</v>
      </c>
    </row>
    <row r="7517" spans="1:10" x14ac:dyDescent="0.25">
      <c r="A7517" s="5" t="s">
        <v>7551</v>
      </c>
      <c r="B7517" s="5" t="s">
        <v>9384</v>
      </c>
      <c r="C7517" s="6" t="str">
        <f>_xll.QS.CONTEXT.CREATE("market.7515",A7517,"USD","SOFR")</f>
        <v>QSObject:PricingContext:w1~market.7515:4734</v>
      </c>
      <c r="D7517" s="6" t="str">
        <f>_xll.QS.CONTEXT.ADD.CURVE(C7517,"SOFR",$K$2:$K$7,$L$2:$L$7,,,"Actual360","LogLinear",TRUE)</f>
        <v>QSObject:ContextInput:w1~input.qs_context_add_curve.2359132437744.7516.3.0:32827</v>
      </c>
      <c r="E7517" s="6" t="str">
        <f>_xll.QS.INSTRUMENT.SWAP("swap.7515",H7517,B7517,"USD","SOFR",I7517,J7517,0,"Actual360","Simple","Annual","Annual","Annual")</f>
        <v>QSObject:Swap:w1~swap.7515:4733</v>
      </c>
      <c r="F7517" s="6" t="str">
        <f>_xll.QS.TRADE.CREATE("trade.7515",E7517,A7517,"Receive")</f>
        <v>QSObject:SwapTrade:w1~trade.7515:24240</v>
      </c>
      <c r="G7517" s="3">
        <f>_xll.QS.EVALUATE(C7517,F7517)</f>
        <v>36267.030849202441</v>
      </c>
      <c r="H7517" s="5" t="s">
        <v>7558</v>
      </c>
      <c r="I7517" s="7">
        <v>1751500</v>
      </c>
      <c r="J7517" s="8">
        <v>3.6499999999999998E-2</v>
      </c>
    </row>
    <row r="7518" spans="1:10" x14ac:dyDescent="0.25">
      <c r="A7518" s="5" t="s">
        <v>7552</v>
      </c>
      <c r="B7518" s="5" t="s">
        <v>9385</v>
      </c>
      <c r="C7518" s="6" t="str">
        <f>_xll.QS.CONTEXT.CREATE("market.7516",A7518,"USD","SOFR")</f>
        <v>QSObject:PricingContext:w1~market.7516:4732</v>
      </c>
      <c r="D7518" s="6" t="str">
        <f>_xll.QS.CONTEXT.ADD.CURVE(C7518,"SOFR",$K$2:$K$7,$L$2:$L$7,,,"Actual360","LogLinear",TRUE)</f>
        <v>QSObject:ContextInput:w1~input.qs_context_add_curve.2359132437744.7517.3.0:32826</v>
      </c>
      <c r="E7518" s="6" t="str">
        <f>_xll.QS.INSTRUMENT.SWAP("swap.7516",H7518,B7518,"USD","SOFR",I7518,J7518,0,"Actual360","Simple","Annual","Annual","Annual")</f>
        <v>QSObject:Swap:w1~swap.7516:4731</v>
      </c>
      <c r="F7518" s="6" t="str">
        <f>_xll.QS.TRADE.CREATE("trade.7516",E7518,A7518,"Receive")</f>
        <v>QSObject:SwapTrade:w1~trade.7516:24239</v>
      </c>
      <c r="G7518" s="3">
        <f>_xll.QS.EVALUATE(C7518,F7518)</f>
        <v>36959.095072657859</v>
      </c>
      <c r="H7518" s="5" t="s">
        <v>7559</v>
      </c>
      <c r="I7518" s="7">
        <v>1751600</v>
      </c>
      <c r="J7518" s="8">
        <v>3.6600000000000001E-2</v>
      </c>
    </row>
    <row r="7519" spans="1:10" x14ac:dyDescent="0.25">
      <c r="A7519" s="5" t="s">
        <v>7553</v>
      </c>
      <c r="B7519" s="5" t="s">
        <v>9386</v>
      </c>
      <c r="C7519" s="6" t="str">
        <f>_xll.QS.CONTEXT.CREATE("market.7517",A7519,"USD","SOFR")</f>
        <v>QSObject:PricingContext:w1~market.7517:4730</v>
      </c>
      <c r="D7519" s="6" t="str">
        <f>_xll.QS.CONTEXT.ADD.CURVE(C7519,"SOFR",$K$2:$K$7,$L$2:$L$7,,,"Actual360","LogLinear",TRUE)</f>
        <v>QSObject:ContextInput:w1~input.qs_context_add_curve.2359132437744.7518.3.0:32825</v>
      </c>
      <c r="E7519" s="6" t="str">
        <f>_xll.QS.INSTRUMENT.SWAP("swap.7517",H7519,B7519,"USD","SOFR",I7519,J7519,0,"Actual360","Simple","Annual","Annual","Annual")</f>
        <v>QSObject:Swap:w1~swap.7517:4729</v>
      </c>
      <c r="F7519" s="6" t="str">
        <f>_xll.QS.TRADE.CREATE("trade.7517",E7519,A7519,"Receive")</f>
        <v>QSObject:SwapTrade:w1~trade.7517:24238</v>
      </c>
      <c r="G7519" s="3">
        <f>_xll.QS.EVALUATE(C7519,F7519)</f>
        <v>37627.759916633193</v>
      </c>
      <c r="H7519" s="5" t="s">
        <v>7560</v>
      </c>
      <c r="I7519" s="7">
        <v>1751700</v>
      </c>
      <c r="J7519" s="8">
        <v>3.6700000000000003E-2</v>
      </c>
    </row>
    <row r="7520" spans="1:10" x14ac:dyDescent="0.25">
      <c r="A7520" s="5" t="s">
        <v>7554</v>
      </c>
      <c r="B7520" s="5" t="s">
        <v>9387</v>
      </c>
      <c r="C7520" s="6" t="str">
        <f>_xll.QS.CONTEXT.CREATE("market.7518",A7520,"USD","SOFR")</f>
        <v>QSObject:PricingContext:w1~market.7518:4728</v>
      </c>
      <c r="D7520" s="6" t="str">
        <f>_xll.QS.CONTEXT.ADD.CURVE(C7520,"SOFR",$K$2:$K$7,$L$2:$L$7,,,"Actual360","LogLinear",TRUE)</f>
        <v>QSObject:ContextInput:w1~input.qs_context_add_curve.2359132437744.7519.3.0:32824</v>
      </c>
      <c r="E7520" s="6" t="str">
        <f>_xll.QS.INSTRUMENT.SWAP("swap.7518",H7520,B7520,"USD","SOFR",I7520,J7520,0,"Actual360","Simple","Annual","Annual","Annual")</f>
        <v>QSObject:Swap:w1~swap.7518:4727</v>
      </c>
      <c r="F7520" s="6" t="str">
        <f>_xll.QS.TRADE.CREATE("trade.7518",E7520,A7520,"Receive")</f>
        <v>QSObject:SwapTrade:w1~trade.7518:24237</v>
      </c>
      <c r="G7520" s="3">
        <f>_xll.QS.EVALUATE(C7520,F7520)</f>
        <v>38512.073253978197</v>
      </c>
      <c r="H7520" s="5" t="s">
        <v>7561</v>
      </c>
      <c r="I7520" s="7">
        <v>1751800</v>
      </c>
      <c r="J7520" s="8">
        <v>3.6800000000000013E-2</v>
      </c>
    </row>
    <row r="7521" spans="1:10" x14ac:dyDescent="0.25">
      <c r="A7521" s="5" t="s">
        <v>7555</v>
      </c>
      <c r="B7521" s="5" t="s">
        <v>9388</v>
      </c>
      <c r="C7521" s="6" t="str">
        <f>_xll.QS.CONTEXT.CREATE("market.7519",A7521,"USD","SOFR")</f>
        <v>QSObject:PricingContext:w1~market.7519:4726</v>
      </c>
      <c r="D7521" s="6" t="str">
        <f>_xll.QS.CONTEXT.ADD.CURVE(C7521,"SOFR",$K$2:$K$7,$L$2:$L$7,,,"Actual360","LogLinear",TRUE)</f>
        <v>QSObject:ContextInput:w1~input.qs_context_add_curve.2359132437744.7520.3.0:32823</v>
      </c>
      <c r="E7521" s="6" t="str">
        <f>_xll.QS.INSTRUMENT.SWAP("swap.7519",H7521,B7521,"USD","SOFR",I7521,J7521,0,"Actual360","Simple","Annual","Annual","Annual")</f>
        <v>QSObject:Swap:w1~swap.7519:4725</v>
      </c>
      <c r="F7521" s="6" t="str">
        <f>_xll.QS.TRADE.CREATE("trade.7519",E7521,A7521,"Receive")</f>
        <v>QSObject:SwapTrade:w1~trade.7519:24236</v>
      </c>
      <c r="G7521" s="3">
        <f>_xll.QS.EVALUATE(C7521,F7521)</f>
        <v>39369.154511283181</v>
      </c>
      <c r="H7521" s="5" t="s">
        <v>7562</v>
      </c>
      <c r="I7521" s="7">
        <v>1751900</v>
      </c>
      <c r="J7521" s="8">
        <v>3.6900000000000002E-2</v>
      </c>
    </row>
    <row r="7522" spans="1:10" x14ac:dyDescent="0.25">
      <c r="A7522" s="5" t="s">
        <v>7556</v>
      </c>
      <c r="B7522" s="5" t="s">
        <v>9389</v>
      </c>
      <c r="C7522" s="6" t="str">
        <f>_xll.QS.CONTEXT.CREATE("market.7520",A7522,"USD","SOFR")</f>
        <v>QSObject:PricingContext:w1~market.7520:4724</v>
      </c>
      <c r="D7522" s="6" t="str">
        <f>_xll.QS.CONTEXT.ADD.CURVE(C7522,"SOFR",$K$2:$K$7,$L$2:$L$7,,,"Actual360","LogLinear",TRUE)</f>
        <v>QSObject:ContextInput:w1~input.qs_context_add_curve.2359132437744.7521.3.0:32822</v>
      </c>
      <c r="E7522" s="6" t="str">
        <f>_xll.QS.INSTRUMENT.SWAP("swap.7520",H7522,B7522,"USD","SOFR",I7522,J7522,0,"Actual360","Simple","Annual","Annual","Annual")</f>
        <v>QSObject:Swap:w1~swap.7520:4723</v>
      </c>
      <c r="F7522" s="6" t="str">
        <f>_xll.QS.TRADE.CREATE("trade.7520",E7522,A7522,"Receive")</f>
        <v>QSObject:SwapTrade:w1~trade.7520:24235</v>
      </c>
      <c r="G7522" s="3">
        <f>_xll.QS.EVALUATE(C7522,F7522)</f>
        <v>40307.29364511004</v>
      </c>
      <c r="H7522" s="5" t="s">
        <v>7563</v>
      </c>
      <c r="I7522" s="7">
        <v>1752000</v>
      </c>
      <c r="J7522" s="8">
        <v>3.7000000000000012E-2</v>
      </c>
    </row>
    <row r="7523" spans="1:10" x14ac:dyDescent="0.25">
      <c r="A7523" s="5" t="s">
        <v>7557</v>
      </c>
      <c r="B7523" s="5" t="s">
        <v>9390</v>
      </c>
      <c r="C7523" s="6" t="str">
        <f>_xll.QS.CONTEXT.CREATE("market.7521",A7523,"USD","SOFR")</f>
        <v>QSObject:PricingContext:w1~market.7521:4722</v>
      </c>
      <c r="D7523" s="6" t="str">
        <f>_xll.QS.CONTEXT.ADD.CURVE(C7523,"SOFR",$K$2:$K$7,$L$2:$L$7,,,"Actual360","LogLinear",TRUE)</f>
        <v>QSObject:ContextInput:w1~input.qs_context_add_curve.2359132437744.7522.3.0:32821</v>
      </c>
      <c r="E7523" s="6" t="str">
        <f>_xll.QS.INSTRUMENT.SWAP("swap.7521",H7523,B7523,"USD","SOFR",I7523,J7523,0,"Actual360","Simple","Annual","Annual","Annual")</f>
        <v>QSObject:Swap:w1~swap.7521:4721</v>
      </c>
      <c r="F7523" s="6" t="str">
        <f>_xll.QS.TRADE.CREATE("trade.7521",E7523,A7523,"Receive")</f>
        <v>QSObject:SwapTrade:w1~trade.7521:24234</v>
      </c>
      <c r="G7523" s="3">
        <f>_xll.QS.EVALUATE(C7523,F7523)</f>
        <v>41193.743576320936</v>
      </c>
      <c r="H7523" s="5" t="s">
        <v>7564</v>
      </c>
      <c r="I7523" s="7">
        <v>1752100</v>
      </c>
      <c r="J7523" s="8">
        <v>3.7100000000000001E-2</v>
      </c>
    </row>
    <row r="7524" spans="1:10" x14ac:dyDescent="0.25">
      <c r="A7524" s="5" t="s">
        <v>7558</v>
      </c>
      <c r="B7524" s="5" t="s">
        <v>9391</v>
      </c>
      <c r="C7524" s="6" t="str">
        <f>_xll.QS.CONTEXT.CREATE("market.7522",A7524,"USD","SOFR")</f>
        <v>QSObject:PricingContext:w1~market.7522:4720</v>
      </c>
      <c r="D7524" s="6" t="str">
        <f>_xll.QS.CONTEXT.ADD.CURVE(C7524,"SOFR",$K$2:$K$7,$L$2:$L$7,,,"Actual360","LogLinear",TRUE)</f>
        <v>QSObject:ContextInput:w1~input.qs_context_add_curve.2359132437744.7523.3.0:32820</v>
      </c>
      <c r="E7524" s="6" t="str">
        <f>_xll.QS.INSTRUMENT.SWAP("swap.7522",H7524,B7524,"USD","SOFR",I7524,J7524,0,"Actual360","Simple","Annual","Annual","Annual")</f>
        <v>QSObject:Swap:w1~swap.7522:4719</v>
      </c>
      <c r="F7524" s="6" t="str">
        <f>_xll.QS.TRADE.CREATE("trade.7522",E7524,A7524,"Receive")</f>
        <v>QSObject:SwapTrade:w1~trade.7522:24165</v>
      </c>
      <c r="G7524" s="3">
        <f>_xll.QS.EVALUATE(C7524,F7524)</f>
        <v>41937.587468880447</v>
      </c>
      <c r="H7524" s="5" t="s">
        <v>7565</v>
      </c>
      <c r="I7524" s="7">
        <v>1752200</v>
      </c>
      <c r="J7524" s="8">
        <v>3.7199999999999997E-2</v>
      </c>
    </row>
    <row r="7525" spans="1:10" x14ac:dyDescent="0.25">
      <c r="A7525" s="5" t="s">
        <v>7559</v>
      </c>
      <c r="B7525" s="5" t="s">
        <v>9392</v>
      </c>
      <c r="C7525" s="6" t="str">
        <f>_xll.QS.CONTEXT.CREATE("market.7523",A7525,"USD","SOFR")</f>
        <v>QSObject:PricingContext:w1~market.7523:4718</v>
      </c>
      <c r="D7525" s="6" t="str">
        <f>_xll.QS.CONTEXT.ADD.CURVE(C7525,"SOFR",$K$2:$K$7,$L$2:$L$7,,,"Actual360","LogLinear",TRUE)</f>
        <v>QSObject:ContextInput:w1~input.qs_context_add_curve.2359132437744.7524.3.0:32819</v>
      </c>
      <c r="E7525" s="6" t="str">
        <f>_xll.QS.INSTRUMENT.SWAP("swap.7523",H7525,B7525,"USD","SOFR",I7525,J7525,0,"Actual360","Simple","Annual","Annual","Annual")</f>
        <v>QSObject:Swap:w1~swap.7523:4717</v>
      </c>
      <c r="F7525" s="6" t="str">
        <f>_xll.QS.TRADE.CREATE("trade.7523",E7525,A7525,"Receive")</f>
        <v>QSObject:SwapTrade:w1~trade.7523:24164</v>
      </c>
      <c r="G7525" s="3">
        <f>_xll.QS.EVALUATE(C7525,F7525)</f>
        <v>42623.584370507073</v>
      </c>
      <c r="H7525" s="5" t="s">
        <v>7566</v>
      </c>
      <c r="I7525" s="7">
        <v>1752300</v>
      </c>
      <c r="J7525" s="8">
        <v>3.73E-2</v>
      </c>
    </row>
    <row r="7526" spans="1:10" x14ac:dyDescent="0.25">
      <c r="A7526" s="5" t="s">
        <v>7560</v>
      </c>
      <c r="B7526" s="5" t="s">
        <v>9393</v>
      </c>
      <c r="C7526" s="6" t="str">
        <f>_xll.QS.CONTEXT.CREATE("market.7524",A7526,"USD","SOFR")</f>
        <v>QSObject:PricingContext:w1~market.7524:4716</v>
      </c>
      <c r="D7526" s="6" t="str">
        <f>_xll.QS.CONTEXT.ADD.CURVE(C7526,"SOFR",$K$2:$K$7,$L$2:$L$7,,,"Actual360","LogLinear",TRUE)</f>
        <v>QSObject:ContextInput:w1~input.qs_context_add_curve.2359132437744.7525.3.0:32818</v>
      </c>
      <c r="E7526" s="6" t="str">
        <f>_xll.QS.INSTRUMENT.SWAP("swap.7524",H7526,B7526,"USD","SOFR",I7526,J7526,0,"Actual360","Simple","Annual","Annual","Annual")</f>
        <v>QSObject:Swap:w1~swap.7524:4715</v>
      </c>
      <c r="F7526" s="6" t="str">
        <f>_xll.QS.TRADE.CREATE("trade.7524",E7526,A7526,"Receive")</f>
        <v>QSObject:SwapTrade:w1~trade.7524:24163</v>
      </c>
      <c r="G7526" s="3">
        <f>_xll.QS.EVALUATE(C7526,F7526)</f>
        <v>43301.607456650308</v>
      </c>
      <c r="H7526" s="5" t="s">
        <v>7567</v>
      </c>
      <c r="I7526" s="7">
        <v>1752400</v>
      </c>
      <c r="J7526" s="8">
        <v>3.7400000000000003E-2</v>
      </c>
    </row>
    <row r="7527" spans="1:10" x14ac:dyDescent="0.25">
      <c r="A7527" s="5" t="s">
        <v>7561</v>
      </c>
      <c r="B7527" s="5" t="s">
        <v>9394</v>
      </c>
      <c r="C7527" s="6" t="str">
        <f>_xll.QS.CONTEXT.CREATE("market.7525",A7527,"USD","SOFR")</f>
        <v>QSObject:PricingContext:w1~market.7525:4714</v>
      </c>
      <c r="D7527" s="6" t="str">
        <f>_xll.QS.CONTEXT.ADD.CURVE(C7527,"SOFR",$K$2:$K$7,$L$2:$L$7,,,"Actual360","LogLinear",TRUE)</f>
        <v>QSObject:ContextInput:w1~input.qs_context_add_curve.2359132437744.7526.3.0:32817</v>
      </c>
      <c r="E7527" s="6" t="str">
        <f>_xll.QS.INSTRUMENT.SWAP("swap.7525",H7527,B7527,"USD","SOFR",I7527,J7527,0,"Actual360","Simple","Annual","Annual","Annual")</f>
        <v>QSObject:Swap:w1~swap.7525:4713</v>
      </c>
      <c r="F7527" s="6" t="str">
        <f>_xll.QS.TRADE.CREATE("trade.7525",E7527,A7527,"Receive")</f>
        <v>QSObject:SwapTrade:w1~trade.7525:24162</v>
      </c>
      <c r="G7527" s="3">
        <f>_xll.QS.EVALUATE(C7527,F7527)</f>
        <v>44187.164100109789</v>
      </c>
      <c r="H7527" s="5" t="s">
        <v>7568</v>
      </c>
      <c r="I7527" s="7">
        <v>1752500</v>
      </c>
      <c r="J7527" s="8">
        <v>3.7500000000000012E-2</v>
      </c>
    </row>
    <row r="7528" spans="1:10" x14ac:dyDescent="0.25">
      <c r="A7528" s="5" t="s">
        <v>7562</v>
      </c>
      <c r="B7528" s="5" t="s">
        <v>9395</v>
      </c>
      <c r="C7528" s="6" t="str">
        <f>_xll.QS.CONTEXT.CREATE("market.7526",A7528,"USD","SOFR")</f>
        <v>QSObject:PricingContext:w1~market.7526:4712</v>
      </c>
      <c r="D7528" s="6" t="str">
        <f>_xll.QS.CONTEXT.ADD.CURVE(C7528,"SOFR",$K$2:$K$7,$L$2:$L$7,,,"Actual360","LogLinear",TRUE)</f>
        <v>QSObject:ContextInput:w1~input.qs_context_add_curve.2359132437744.7527.3.0:32816</v>
      </c>
      <c r="E7528" s="6" t="str">
        <f>_xll.QS.INSTRUMENT.SWAP("swap.7526",H7528,B7528,"USD","SOFR",I7528,J7528,0,"Actual360","Simple","Annual","Annual","Annual")</f>
        <v>QSObject:Swap:w1~swap.7526:4711</v>
      </c>
      <c r="F7528" s="6" t="str">
        <f>_xll.QS.TRADE.CREATE("trade.7526",E7528,A7528,"Receive")</f>
        <v>QSObject:SwapTrade:w1~trade.7526:24161</v>
      </c>
      <c r="G7528" s="3">
        <f>_xll.QS.EVALUATE(C7528,F7528)</f>
        <v>45042.138759756075</v>
      </c>
      <c r="H7528" s="5" t="s">
        <v>7569</v>
      </c>
      <c r="I7528" s="7">
        <v>1752600</v>
      </c>
      <c r="J7528" s="8">
        <v>3.7600000000000001E-2</v>
      </c>
    </row>
    <row r="7529" spans="1:10" x14ac:dyDescent="0.25">
      <c r="A7529" s="5" t="s">
        <v>7563</v>
      </c>
      <c r="B7529" s="5" t="s">
        <v>9396</v>
      </c>
      <c r="C7529" s="6" t="str">
        <f>_xll.QS.CONTEXT.CREATE("market.7527",A7529,"USD","SOFR")</f>
        <v>QSObject:PricingContext:w1~market.7527:4710</v>
      </c>
      <c r="D7529" s="6" t="str">
        <f>_xll.QS.CONTEXT.ADD.CURVE(C7529,"SOFR",$K$2:$K$7,$L$2:$L$7,,,"Actual360","LogLinear",TRUE)</f>
        <v>QSObject:ContextInput:w1~input.qs_context_add_curve.2359132437744.7528.3.0:32815</v>
      </c>
      <c r="E7529" s="6" t="str">
        <f>_xll.QS.INSTRUMENT.SWAP("swap.7527",H7529,B7529,"USD","SOFR",I7529,J7529,0,"Actual360","Simple","Annual","Annual","Annual")</f>
        <v>QSObject:Swap:w1~swap.7527:4709</v>
      </c>
      <c r="F7529" s="6" t="str">
        <f>_xll.QS.TRADE.CREATE("trade.7527",E7529,A7529,"Receive")</f>
        <v>QSObject:SwapTrade:w1~trade.7527:24160</v>
      </c>
      <c r="G7529" s="3">
        <f>_xll.QS.EVALUATE(C7529,F7529)</f>
        <v>45981.059508615137</v>
      </c>
      <c r="H7529" s="5" t="s">
        <v>7570</v>
      </c>
      <c r="I7529" s="7">
        <v>1752700</v>
      </c>
      <c r="J7529" s="8">
        <v>3.7699999999999997E-2</v>
      </c>
    </row>
    <row r="7530" spans="1:10" x14ac:dyDescent="0.25">
      <c r="A7530" s="5" t="s">
        <v>7564</v>
      </c>
      <c r="B7530" s="5" t="s">
        <v>9397</v>
      </c>
      <c r="C7530" s="6" t="str">
        <f>_xll.QS.CONTEXT.CREATE("market.7528",A7530,"USD","SOFR")</f>
        <v>QSObject:PricingContext:w1~market.7528:4708</v>
      </c>
      <c r="D7530" s="6" t="str">
        <f>_xll.QS.CONTEXT.ADD.CURVE(C7530,"SOFR",$K$2:$K$7,$L$2:$L$7,,,"Actual360","LogLinear",TRUE)</f>
        <v>QSObject:ContextInput:w1~input.qs_context_add_curve.2359132437744.7529.3.0:32814</v>
      </c>
      <c r="E7530" s="6" t="str">
        <f>_xll.QS.INSTRUMENT.SWAP("swap.7528",H7530,B7530,"USD","SOFR",I7530,J7530,0,"Actual360","Simple","Annual","Annual","Annual")</f>
        <v>QSObject:Swap:w1~swap.7528:4707</v>
      </c>
      <c r="F7530" s="6" t="str">
        <f>_xll.QS.TRADE.CREATE("trade.7528",E7530,A7530,"Receive")</f>
        <v>QSObject:SwapTrade:w1~trade.7528:24159</v>
      </c>
      <c r="G7530" s="3">
        <f>_xll.QS.EVALUATE(C7530,F7530)</f>
        <v>46868.24595348275</v>
      </c>
      <c r="H7530" s="5" t="s">
        <v>7571</v>
      </c>
      <c r="I7530" s="7">
        <v>1752800</v>
      </c>
      <c r="J7530" s="8">
        <v>3.78E-2</v>
      </c>
    </row>
    <row r="7531" spans="1:10" x14ac:dyDescent="0.25">
      <c r="A7531" s="5" t="s">
        <v>7565</v>
      </c>
      <c r="B7531" s="5" t="s">
        <v>9398</v>
      </c>
      <c r="C7531" s="6" t="str">
        <f>_xll.QS.CONTEXT.CREATE("market.7529",A7531,"USD","SOFR")</f>
        <v>QSObject:PricingContext:w1~market.7529:4706</v>
      </c>
      <c r="D7531" s="6" t="str">
        <f>_xll.QS.CONTEXT.ADD.CURVE(C7531,"SOFR",$K$2:$K$7,$L$2:$L$7,,,"Actual360","LogLinear",TRUE)</f>
        <v>QSObject:ContextInput:w1~input.qs_context_add_curve.2359132437744.7530.3.0:32813</v>
      </c>
      <c r="E7531" s="6" t="str">
        <f>_xll.QS.INSTRUMENT.SWAP("swap.7529",H7531,B7531,"USD","SOFR",I7531,J7531,0,"Actual360","Simple","Annual","Annual","Annual")</f>
        <v>QSObject:Swap:w1~swap.7529:4705</v>
      </c>
      <c r="F7531" s="6" t="str">
        <f>_xll.QS.TRADE.CREATE("trade.7529",E7531,A7531,"Receive")</f>
        <v>QSObject:SwapTrade:w1~trade.7529:24158</v>
      </c>
      <c r="G7531" s="3">
        <f>_xll.QS.EVALUATE(C7531,F7531)</f>
        <v>47612.663257102802</v>
      </c>
      <c r="H7531" s="5" t="s">
        <v>7572</v>
      </c>
      <c r="I7531" s="7">
        <v>1752900</v>
      </c>
      <c r="J7531" s="8">
        <v>3.7900000000000003E-2</v>
      </c>
    </row>
    <row r="7532" spans="1:10" x14ac:dyDescent="0.25">
      <c r="A7532" s="5" t="s">
        <v>7566</v>
      </c>
      <c r="B7532" s="5" t="s">
        <v>9399</v>
      </c>
      <c r="C7532" s="6" t="str">
        <f>_xll.QS.CONTEXT.CREATE("market.7530",A7532,"USD","SOFR")</f>
        <v>QSObject:PricingContext:w1~market.7530:4704</v>
      </c>
      <c r="D7532" s="6" t="str">
        <f>_xll.QS.CONTEXT.ADD.CURVE(C7532,"SOFR",$K$2:$K$7,$L$2:$L$7,,,"Actual360","LogLinear",TRUE)</f>
        <v>QSObject:ContextInput:w1~input.qs_context_add_curve.2359132437744.7531.3.0:32812</v>
      </c>
      <c r="E7532" s="6" t="str">
        <f>_xll.QS.INSTRUMENT.SWAP("swap.7530",H7532,B7532,"USD","SOFR",I7532,J7532,0,"Actual360","Simple","Annual","Annual","Annual")</f>
        <v>QSObject:Swap:w1~swap.7530:4703</v>
      </c>
      <c r="F7532" s="6" t="str">
        <f>_xll.QS.TRADE.CREATE("trade.7530",E7532,A7532,"Receive")</f>
        <v>QSObject:SwapTrade:w1~trade.7530:24157</v>
      </c>
      <c r="G7532" s="3">
        <f>_xll.QS.EVALUATE(C7532,F7532)</f>
        <v>48292.587511208214</v>
      </c>
      <c r="H7532" s="5" t="s">
        <v>7573</v>
      </c>
      <c r="I7532" s="7">
        <v>1753000</v>
      </c>
      <c r="J7532" s="8">
        <v>3.8000000000000013E-2</v>
      </c>
    </row>
    <row r="7533" spans="1:10" x14ac:dyDescent="0.25">
      <c r="A7533" s="5" t="s">
        <v>7567</v>
      </c>
      <c r="B7533" s="5" t="s">
        <v>9400</v>
      </c>
      <c r="C7533" s="6" t="str">
        <f>_xll.QS.CONTEXT.CREATE("market.7531",A7533,"USD","SOFR")</f>
        <v>QSObject:PricingContext:w1~market.7531:4702</v>
      </c>
      <c r="D7533" s="6" t="str">
        <f>_xll.QS.CONTEXT.ADD.CURVE(C7533,"SOFR",$K$2:$K$7,$L$2:$L$7,,,"Actual360","LogLinear",TRUE)</f>
        <v>QSObject:ContextInput:w1~input.qs_context_add_curve.2359132437744.7532.3.0:32811</v>
      </c>
      <c r="E7533" s="6" t="str">
        <f>_xll.QS.INSTRUMENT.SWAP("swap.7531",H7533,B7533,"USD","SOFR",I7533,J7533,0,"Actual360","Simple","Annual","Annual","Annual")</f>
        <v>QSObject:Swap:w1~swap.7531:4701</v>
      </c>
      <c r="F7533" s="6" t="str">
        <f>_xll.QS.TRADE.CREATE("trade.7531",E7533,A7533,"Receive")</f>
        <v>QSObject:SwapTrade:w1~trade.7531:24156</v>
      </c>
      <c r="G7533" s="3">
        <f>_xll.QS.EVALUATE(C7533,F7533)</f>
        <v>48979.975845480352</v>
      </c>
      <c r="H7533" s="5" t="s">
        <v>7574</v>
      </c>
      <c r="I7533" s="7">
        <v>1753100</v>
      </c>
      <c r="J7533" s="8">
        <v>3.8100000000000002E-2</v>
      </c>
    </row>
    <row r="7534" spans="1:10" x14ac:dyDescent="0.25">
      <c r="A7534" s="5" t="s">
        <v>7568</v>
      </c>
      <c r="B7534" s="5" t="s">
        <v>9401</v>
      </c>
      <c r="C7534" s="6" t="str">
        <f>_xll.QS.CONTEXT.CREATE("market.7532",A7534,"USD","SOFR")</f>
        <v>QSObject:PricingContext:w1~market.7532:4700</v>
      </c>
      <c r="D7534" s="6" t="str">
        <f>_xll.QS.CONTEXT.ADD.CURVE(C7534,"SOFR",$K$2:$K$7,$L$2:$L$7,,,"Actual360","LogLinear",TRUE)</f>
        <v>QSObject:ContextInput:w1~input.qs_context_add_curve.2359132437744.7533.3.0:32810</v>
      </c>
      <c r="E7534" s="6" t="str">
        <f>_xll.QS.INSTRUMENT.SWAP("swap.7532",H7534,B7534,"USD","SOFR",I7534,J7534,0,"Actual360","Simple","Annual","Annual","Annual")</f>
        <v>QSObject:Swap:w1~swap.7532:4699</v>
      </c>
      <c r="F7534" s="6" t="str">
        <f>_xll.QS.TRADE.CREATE("trade.7532",E7534,A7534,"Receive")</f>
        <v>QSObject:SwapTrade:w1~trade.7532:24155</v>
      </c>
      <c r="G7534" s="3">
        <f>_xll.QS.EVALUATE(C7534,F7534)</f>
        <v>49866.77624871413</v>
      </c>
      <c r="H7534" s="5" t="s">
        <v>7575</v>
      </c>
      <c r="I7534" s="7">
        <v>1753200</v>
      </c>
      <c r="J7534" s="8">
        <v>3.8199999999999998E-2</v>
      </c>
    </row>
    <row r="7535" spans="1:10" x14ac:dyDescent="0.25">
      <c r="A7535" s="5" t="s">
        <v>7569</v>
      </c>
      <c r="B7535" s="5" t="s">
        <v>9402</v>
      </c>
      <c r="C7535" s="6" t="str">
        <f>_xll.QS.CONTEXT.CREATE("market.7533",A7535,"USD","SOFR")</f>
        <v>QSObject:PricingContext:w1~market.7533:4698</v>
      </c>
      <c r="D7535" s="6" t="str">
        <f>_xll.QS.CONTEXT.ADD.CURVE(C7535,"SOFR",$K$2:$K$7,$L$2:$L$7,,,"Actual360","LogLinear",TRUE)</f>
        <v>QSObject:ContextInput:w1~input.qs_context_add_curve.2359132437744.7534.3.0:32809</v>
      </c>
      <c r="E7535" s="6" t="str">
        <f>_xll.QS.INSTRUMENT.SWAP("swap.7533",H7535,B7535,"USD","SOFR",I7535,J7535,0,"Actual360","Simple","Annual","Annual","Annual")</f>
        <v>QSObject:Swap:w1~swap.7533:4697</v>
      </c>
      <c r="F7535" s="6" t="str">
        <f>_xll.QS.TRADE.CREATE("trade.7533",E7535,A7535,"Receive")</f>
        <v>QSObject:SwapTrade:w1~trade.7533:24154</v>
      </c>
      <c r="G7535" s="3">
        <f>_xll.QS.EVALUATE(C7535,F7535)</f>
        <v>50719.642097086602</v>
      </c>
      <c r="H7535" s="5" t="s">
        <v>7576</v>
      </c>
      <c r="I7535" s="7">
        <v>1753300</v>
      </c>
      <c r="J7535" s="8">
        <v>3.8300000000000001E-2</v>
      </c>
    </row>
    <row r="7536" spans="1:10" x14ac:dyDescent="0.25">
      <c r="A7536" s="5" t="s">
        <v>7570</v>
      </c>
      <c r="B7536" s="5" t="s">
        <v>9403</v>
      </c>
      <c r="C7536" s="6" t="str">
        <f>_xll.QS.CONTEXT.CREATE("market.7534",A7536,"USD","SOFR")</f>
        <v>QSObject:PricingContext:w1~market.7534:4696</v>
      </c>
      <c r="D7536" s="6" t="str">
        <f>_xll.QS.CONTEXT.ADD.CURVE(C7536,"SOFR",$K$2:$K$7,$L$2:$L$7,,,"Actual360","LogLinear",TRUE)</f>
        <v>QSObject:ContextInput:w1~input.qs_context_add_curve.2359132437744.7535.3.0:32808</v>
      </c>
      <c r="E7536" s="6" t="str">
        <f>_xll.QS.INSTRUMENT.SWAP("swap.7534",H7536,B7536,"USD","SOFR",I7536,J7536,0,"Actual360","Simple","Annual","Annual","Annual")</f>
        <v>QSObject:Swap:w1~swap.7534:4695</v>
      </c>
      <c r="F7536" s="6" t="str">
        <f>_xll.QS.TRADE.CREATE("trade.7534",E7536,A7536,"Receive")</f>
        <v>QSObject:SwapTrade:w1~trade.7534:24153</v>
      </c>
      <c r="G7536" s="3">
        <f>_xll.QS.EVALUATE(C7536,F7536)</f>
        <v>51659.344528788155</v>
      </c>
      <c r="H7536" s="5" t="s">
        <v>7577</v>
      </c>
      <c r="I7536" s="7">
        <v>1753400</v>
      </c>
      <c r="J7536" s="8">
        <v>3.8399999999999997E-2</v>
      </c>
    </row>
    <row r="7537" spans="1:10" x14ac:dyDescent="0.25">
      <c r="A7537" s="5" t="s">
        <v>7571</v>
      </c>
      <c r="B7537" s="5" t="s">
        <v>9404</v>
      </c>
      <c r="C7537" s="6" t="str">
        <f>_xll.QS.CONTEXT.CREATE("market.7535",A7537,"USD","SOFR")</f>
        <v>QSObject:PricingContext:w1~market.7535:4694</v>
      </c>
      <c r="D7537" s="6" t="str">
        <f>_xll.QS.CONTEXT.ADD.CURVE(C7537,"SOFR",$K$2:$K$7,$L$2:$L$7,,,"Actual360","LogLinear",TRUE)</f>
        <v>QSObject:ContextInput:w1~input.qs_context_add_curve.2359132437744.7536.3.0:32807</v>
      </c>
      <c r="E7537" s="6" t="str">
        <f>_xll.QS.INSTRUMENT.SWAP("swap.7535",H7537,B7537,"USD","SOFR",I7537,J7537,0,"Actual360","Simple","Annual","Annual","Annual")</f>
        <v>QSObject:Swap:w1~swap.7535:4693</v>
      </c>
      <c r="F7537" s="6" t="str">
        <f>_xll.QS.TRADE.CREATE("trade.7535",E7537,A7537,"Receive")</f>
        <v>QSObject:SwapTrade:w1~trade.7535:24152</v>
      </c>
      <c r="G7537" s="3">
        <f>_xll.QS.EVALUATE(C7537,F7537)</f>
        <v>52547.267535619852</v>
      </c>
      <c r="H7537" s="5" t="s">
        <v>7578</v>
      </c>
      <c r="I7537" s="7">
        <v>1753500</v>
      </c>
      <c r="J7537" s="8">
        <v>3.8500000000000013E-2</v>
      </c>
    </row>
    <row r="7538" spans="1:10" x14ac:dyDescent="0.25">
      <c r="A7538" s="5" t="s">
        <v>7572</v>
      </c>
      <c r="B7538" s="5" t="s">
        <v>9405</v>
      </c>
      <c r="C7538" s="6" t="str">
        <f>_xll.QS.CONTEXT.CREATE("market.7536",A7538,"USD","SOFR")</f>
        <v>QSObject:PricingContext:w1~market.7536:4692</v>
      </c>
      <c r="D7538" s="6" t="str">
        <f>_xll.QS.CONTEXT.ADD.CURVE(C7538,"SOFR",$K$2:$K$7,$L$2:$L$7,,,"Actual360","LogLinear",TRUE)</f>
        <v>QSObject:ContextInput:w1~input.qs_context_add_curve.2359132437744.7537.3.0:32806</v>
      </c>
      <c r="E7538" s="6" t="str">
        <f>_xll.QS.INSTRUMENT.SWAP("swap.7536",H7538,B7538,"USD","SOFR",I7538,J7538,0,"Actual360","Simple","Annual","Annual","Annual")</f>
        <v>QSObject:Swap:w1~swap.7536:4691</v>
      </c>
      <c r="F7538" s="6" t="str">
        <f>_xll.QS.TRADE.CREATE("trade.7536",E7538,A7538,"Receive")</f>
        <v>QSObject:SwapTrade:w1~trade.7536:24151</v>
      </c>
      <c r="G7538" s="3">
        <f>_xll.QS.EVALUATE(C7538,F7538)</f>
        <v>53292.258213869434</v>
      </c>
      <c r="H7538" s="5" t="s">
        <v>7579</v>
      </c>
      <c r="I7538" s="7">
        <v>1753600</v>
      </c>
      <c r="J7538" s="8">
        <v>3.8600000000000002E-2</v>
      </c>
    </row>
    <row r="7539" spans="1:10" x14ac:dyDescent="0.25">
      <c r="A7539" s="5" t="s">
        <v>7573</v>
      </c>
      <c r="B7539" s="5" t="s">
        <v>9406</v>
      </c>
      <c r="C7539" s="6" t="str">
        <f>_xll.QS.CONTEXT.CREATE("market.7537",A7539,"USD","SOFR")</f>
        <v>QSObject:PricingContext:w1~market.7537:4690</v>
      </c>
      <c r="D7539" s="6" t="str">
        <f>_xll.QS.CONTEXT.ADD.CURVE(C7539,"SOFR",$K$2:$K$7,$L$2:$L$7,,,"Actual360","LogLinear",TRUE)</f>
        <v>QSObject:ContextInput:w1~input.qs_context_add_curve.2359132437744.7538.3.0:32805</v>
      </c>
      <c r="E7539" s="6" t="str">
        <f>_xll.QS.INSTRUMENT.SWAP("swap.7537",H7539,B7539,"USD","SOFR",I7539,J7539,0,"Actual360","Simple","Annual","Annual","Annual")</f>
        <v>QSObject:Swap:w1~swap.7537:4689</v>
      </c>
      <c r="F7539" s="6" t="str">
        <f>_xll.QS.TRADE.CREATE("trade.7537",E7539,A7539,"Receive")</f>
        <v>QSObject:SwapTrade:w1~trade.7537:24150</v>
      </c>
      <c r="G7539" s="3">
        <f>_xll.QS.EVALUATE(C7539,F7539)</f>
        <v>53966.104494761428</v>
      </c>
      <c r="H7539" s="5" t="s">
        <v>7580</v>
      </c>
      <c r="I7539" s="7">
        <v>1753700</v>
      </c>
      <c r="J7539" s="8">
        <v>3.8700000000000012E-2</v>
      </c>
    </row>
    <row r="7540" spans="1:10" x14ac:dyDescent="0.25">
      <c r="A7540" s="5" t="s">
        <v>7574</v>
      </c>
      <c r="B7540" s="5" t="s">
        <v>9407</v>
      </c>
      <c r="C7540" s="6" t="str">
        <f>_xll.QS.CONTEXT.CREATE("market.7538",A7540,"USD","SOFR")</f>
        <v>QSObject:PricingContext:w1~market.7538:4688</v>
      </c>
      <c r="D7540" s="6" t="str">
        <f>_xll.QS.CONTEXT.ADD.CURVE(C7540,"SOFR",$K$2:$K$7,$L$2:$L$7,,,"Actual360","LogLinear",TRUE)</f>
        <v>QSObject:ContextInput:w1~input.qs_context_add_curve.2359132437744.7539.3.0:32804</v>
      </c>
      <c r="E7540" s="6" t="str">
        <f>_xll.QS.INSTRUMENT.SWAP("swap.7538",H7540,B7540,"USD","SOFR",I7540,J7540,0,"Actual360","Simple","Annual","Annual","Annual")</f>
        <v>QSObject:Swap:w1~swap.7538:4687</v>
      </c>
      <c r="F7540" s="6" t="str">
        <f>_xll.QS.TRADE.CREATE("trade.7538",E7540,A7540,"Receive")</f>
        <v>QSObject:SwapTrade:w1~trade.7538:24149</v>
      </c>
      <c r="G7540" s="3">
        <f>_xll.QS.EVALUATE(C7540,F7540)</f>
        <v>54662.865083123659</v>
      </c>
      <c r="H7540" s="5" t="s">
        <v>7581</v>
      </c>
      <c r="I7540" s="7">
        <v>1753800</v>
      </c>
      <c r="J7540" s="8">
        <v>3.8800000000000001E-2</v>
      </c>
    </row>
    <row r="7541" spans="1:10" x14ac:dyDescent="0.25">
      <c r="A7541" s="5" t="s">
        <v>7575</v>
      </c>
      <c r="B7541" s="5" t="s">
        <v>9408</v>
      </c>
      <c r="C7541" s="6" t="str">
        <f>_xll.QS.CONTEXT.CREATE("market.7539",A7541,"USD","SOFR")</f>
        <v>QSObject:PricingContext:w1~market.7539:4686</v>
      </c>
      <c r="D7541" s="6" t="str">
        <f>_xll.QS.CONTEXT.ADD.CURVE(C7541,"SOFR",$K$2:$K$7,$L$2:$L$7,,,"Actual360","LogLinear",TRUE)</f>
        <v>QSObject:ContextInput:w1~input.qs_context_add_curve.2359132437744.7540.3.0:32803</v>
      </c>
      <c r="E7541" s="6" t="str">
        <f>_xll.QS.INSTRUMENT.SWAP("swap.7539",H7541,B7541,"USD","SOFR",I7541,J7541,0,"Actual360","Simple","Annual","Annual","Annual")</f>
        <v>QSObject:Swap:w1~swap.7539:4685</v>
      </c>
      <c r="F7541" s="6" t="str">
        <f>_xll.QS.TRADE.CREATE("trade.7539",E7541,A7541,"Receive")</f>
        <v>QSObject:SwapTrade:w1~trade.7539:24148</v>
      </c>
      <c r="G7541" s="3">
        <f>_xll.QS.EVALUATE(C7541,F7541)</f>
        <v>55551.081854623029</v>
      </c>
      <c r="H7541" s="5" t="s">
        <v>7582</v>
      </c>
      <c r="I7541" s="7">
        <v>1753900</v>
      </c>
      <c r="J7541" s="8">
        <v>3.8899999999999997E-2</v>
      </c>
    </row>
    <row r="7542" spans="1:10" x14ac:dyDescent="0.25">
      <c r="A7542" s="5" t="s">
        <v>7576</v>
      </c>
      <c r="B7542" s="5" t="s">
        <v>9409</v>
      </c>
      <c r="C7542" s="6" t="str">
        <f>_xll.QS.CONTEXT.CREATE("market.7540",A7542,"USD","SOFR")</f>
        <v>QSObject:PricingContext:w1~market.7540:4684</v>
      </c>
      <c r="D7542" s="6" t="str">
        <f>_xll.QS.CONTEXT.ADD.CURVE(C7542,"SOFR",$K$2:$K$7,$L$2:$L$7,,,"Actual360","LogLinear",TRUE)</f>
        <v>QSObject:ContextInput:w1~input.qs_context_add_curve.2359132437744.7541.3.0:32802</v>
      </c>
      <c r="E7542" s="6" t="str">
        <f>_xll.QS.INSTRUMENT.SWAP("swap.7540",H7542,B7542,"USD","SOFR",I7542,J7542,0,"Actual360","Simple","Annual","Annual","Annual")</f>
        <v>QSObject:Swap:w1~swap.7540:4683</v>
      </c>
      <c r="F7542" s="6" t="str">
        <f>_xll.QS.TRADE.CREATE("trade.7540",E7542,A7542,"Receive")</f>
        <v>QSObject:SwapTrade:w1~trade.7540:24147</v>
      </c>
      <c r="G7542" s="3">
        <f>_xll.QS.EVALUATE(C7542,F7542)</f>
        <v>56402.119093019646</v>
      </c>
      <c r="H7542" s="5" t="s">
        <v>7583</v>
      </c>
      <c r="I7542" s="7">
        <v>1754000</v>
      </c>
      <c r="J7542" s="8">
        <v>3.9000000000000007E-2</v>
      </c>
    </row>
    <row r="7543" spans="1:10" x14ac:dyDescent="0.25">
      <c r="A7543" s="5" t="s">
        <v>7577</v>
      </c>
      <c r="B7543" s="5" t="s">
        <v>9410</v>
      </c>
      <c r="C7543" s="6" t="str">
        <f>_xll.QS.CONTEXT.CREATE("market.7541",A7543,"USD","SOFR")</f>
        <v>QSObject:PricingContext:w1~market.7541:4682</v>
      </c>
      <c r="D7543" s="6" t="str">
        <f>_xll.QS.CONTEXT.ADD.CURVE(C7543,"SOFR",$K$2:$K$7,$L$2:$L$7,,,"Actual360","LogLinear",TRUE)</f>
        <v>QSObject:ContextInput:w1~input.qs_context_add_curve.2359132437744.7542.3.0:32801</v>
      </c>
      <c r="E7543" s="6" t="str">
        <f>_xll.QS.INSTRUMENT.SWAP("swap.7541",H7543,B7543,"USD","SOFR",I7543,J7543,0,"Actual360","Simple","Annual","Annual","Annual")</f>
        <v>QSObject:Swap:w1~swap.7541:4681</v>
      </c>
      <c r="F7543" s="6" t="str">
        <f>_xll.QS.TRADE.CREATE("trade.7541",E7543,A7543,"Receive")</f>
        <v>QSObject:SwapTrade:w1~trade.7541:24146</v>
      </c>
      <c r="G7543" s="3">
        <f>_xll.QS.EVALUATE(C7543,F7543)</f>
        <v>57341.831949734573</v>
      </c>
      <c r="H7543" s="5" t="s">
        <v>7584</v>
      </c>
      <c r="I7543" s="7">
        <v>1754100</v>
      </c>
      <c r="J7543" s="8">
        <v>3.9100000000000003E-2</v>
      </c>
    </row>
    <row r="7544" spans="1:10" x14ac:dyDescent="0.25">
      <c r="A7544" s="5" t="s">
        <v>7578</v>
      </c>
      <c r="B7544" s="5" t="s">
        <v>9411</v>
      </c>
      <c r="C7544" s="6" t="str">
        <f>_xll.QS.CONTEXT.CREATE("market.7542",A7544,"USD","SOFR")</f>
        <v>QSObject:PricingContext:w1~market.7542:4680</v>
      </c>
      <c r="D7544" s="6" t="str">
        <f>_xll.QS.CONTEXT.ADD.CURVE(C7544,"SOFR",$K$2:$K$7,$L$2:$L$7,,,"Actual360","LogLinear",TRUE)</f>
        <v>QSObject:ContextInput:w1~input.qs_context_add_curve.2359132437744.7543.3.0:32800</v>
      </c>
      <c r="E7544" s="6" t="str">
        <f>_xll.QS.INSTRUMENT.SWAP("swap.7542",H7544,B7544,"USD","SOFR",I7544,J7544,0,"Actual360","Simple","Annual","Annual","Annual")</f>
        <v>QSObject:Swap:w1~swap.7542:4679</v>
      </c>
      <c r="F7544" s="6" t="str">
        <f>_xll.QS.TRADE.CREATE("trade.7542",E7544,A7544,"Receive")</f>
        <v>QSObject:SwapTrade:w1~trade.7542:24145</v>
      </c>
      <c r="G7544" s="3">
        <f>_xll.QS.EVALUATE(C7544,F7544)</f>
        <v>58230.008121405517</v>
      </c>
      <c r="H7544" s="5" t="s">
        <v>7585</v>
      </c>
      <c r="I7544" s="7">
        <v>1754200</v>
      </c>
      <c r="J7544" s="8">
        <v>3.9200000000000013E-2</v>
      </c>
    </row>
    <row r="7545" spans="1:10" x14ac:dyDescent="0.25">
      <c r="A7545" s="5" t="s">
        <v>7579</v>
      </c>
      <c r="B7545" s="5" t="s">
        <v>9412</v>
      </c>
      <c r="C7545" s="6" t="str">
        <f>_xll.QS.CONTEXT.CREATE("market.7543",A7545,"USD","SOFR")</f>
        <v>QSObject:PricingContext:w1~market.7543:4678</v>
      </c>
      <c r="D7545" s="6" t="str">
        <f>_xll.QS.CONTEXT.ADD.CURVE(C7545,"SOFR",$K$2:$K$7,$L$2:$L$7,,,"Actual360","LogLinear",TRUE)</f>
        <v>QSObject:ContextInput:w1~input.qs_context_add_curve.2359132437744.7544.3.0:32799</v>
      </c>
      <c r="E7545" s="6" t="str">
        <f>_xll.QS.INSTRUMENT.SWAP("swap.7543",H7545,B7545,"USD","SOFR",I7545,J7545,0,"Actual360","Simple","Annual","Annual","Annual")</f>
        <v>QSObject:Swap:w1~swap.7543:4677</v>
      </c>
      <c r="F7545" s="6" t="str">
        <f>_xll.QS.TRADE.CREATE("trade.7543",E7545,A7545,"Receive")</f>
        <v>QSObject:SwapTrade:w1~trade.7543:24144</v>
      </c>
      <c r="G7545" s="3">
        <f>_xll.QS.EVALUATE(C7545,F7545)</f>
        <v>58975.336708504568</v>
      </c>
      <c r="H7545" s="5" t="s">
        <v>7586</v>
      </c>
      <c r="I7545" s="7">
        <v>1754300</v>
      </c>
      <c r="J7545" s="8">
        <v>3.9300000000000002E-2</v>
      </c>
    </row>
    <row r="7546" spans="1:10" x14ac:dyDescent="0.25">
      <c r="A7546" s="5" t="s">
        <v>7580</v>
      </c>
      <c r="B7546" s="5" t="s">
        <v>9413</v>
      </c>
      <c r="C7546" s="6" t="str">
        <f>_xll.QS.CONTEXT.CREATE("market.7544",A7546,"USD","SOFR")</f>
        <v>QSObject:PricingContext:w1~market.7544:4676</v>
      </c>
      <c r="D7546" s="6" t="str">
        <f>_xll.QS.CONTEXT.ADD.CURVE(C7546,"SOFR",$K$2:$K$7,$L$2:$L$7,,,"Actual360","LogLinear",TRUE)</f>
        <v>QSObject:ContextInput:w1~input.qs_context_add_curve.2359132437744.7545.3.0:32798</v>
      </c>
      <c r="E7546" s="6" t="str">
        <f>_xll.QS.INSTRUMENT.SWAP("swap.7544",H7546,B7546,"USD","SOFR",I7546,J7546,0,"Actual360","Simple","Annual","Annual","Annual")</f>
        <v>QSObject:Swap:w1~swap.7544:4675</v>
      </c>
      <c r="F7546" s="6" t="str">
        <f>_xll.QS.TRADE.CREATE("trade.7544",E7546,A7546,"Receive")</f>
        <v>QSObject:SwapTrade:w1~trade.7544:24143</v>
      </c>
      <c r="G7546" s="3">
        <f>_xll.QS.EVALUATE(C7546,F7546)</f>
        <v>59606.03820048715</v>
      </c>
      <c r="H7546" s="5" t="s">
        <v>7587</v>
      </c>
      <c r="I7546" s="7">
        <v>1754400</v>
      </c>
      <c r="J7546" s="8">
        <v>3.9399999999999998E-2</v>
      </c>
    </row>
    <row r="7547" spans="1:10" x14ac:dyDescent="0.25">
      <c r="A7547" s="5" t="s">
        <v>7581</v>
      </c>
      <c r="B7547" s="5" t="s">
        <v>9414</v>
      </c>
      <c r="C7547" s="6" t="str">
        <f>_xll.QS.CONTEXT.CREATE("market.7545",A7547,"USD","SOFR")</f>
        <v>QSObject:PricingContext:w1~market.7545:4674</v>
      </c>
      <c r="D7547" s="6" t="str">
        <f>_xll.QS.CONTEXT.ADD.CURVE(C7547,"SOFR",$K$2:$K$7,$L$2:$L$7,,,"Actual360","LogLinear",TRUE)</f>
        <v>QSObject:ContextInput:w1~input.qs_context_add_curve.2359132437744.7546.3.0:32797</v>
      </c>
      <c r="E7547" s="6" t="str">
        <f>_xll.QS.INSTRUMENT.SWAP("swap.7545",H7547,B7547,"USD","SOFR",I7547,J7547,0,"Actual360","Simple","Annual","Annual","Annual")</f>
        <v>QSObject:Swap:w1~swap.7545:4673</v>
      </c>
      <c r="F7547" s="6" t="str">
        <f>_xll.QS.TRADE.CREATE("trade.7545",E7547,A7547,"Receive")</f>
        <v>QSObject:SwapTrade:w1~trade.7545:24142</v>
      </c>
      <c r="G7547" s="3">
        <f>_xll.QS.EVALUATE(C7547,F7547)</f>
        <v>60274.750573991376</v>
      </c>
      <c r="H7547" s="5" t="s">
        <v>7588</v>
      </c>
      <c r="I7547" s="7">
        <v>1754500</v>
      </c>
      <c r="J7547" s="8">
        <v>3.9500000000000007E-2</v>
      </c>
    </row>
    <row r="7548" spans="1:10" x14ac:dyDescent="0.25">
      <c r="A7548" s="5" t="s">
        <v>7582</v>
      </c>
      <c r="B7548" s="5" t="s">
        <v>9415</v>
      </c>
      <c r="C7548" s="6" t="str">
        <f>_xll.QS.CONTEXT.CREATE("market.7546",A7548,"USD","SOFR")</f>
        <v>QSObject:PricingContext:w1~market.7546:4672</v>
      </c>
      <c r="D7548" s="6" t="str">
        <f>_xll.QS.CONTEXT.ADD.CURVE(C7548,"SOFR",$K$2:$K$7,$L$2:$L$7,,,"Actual360","LogLinear",TRUE)</f>
        <v>QSObject:ContextInput:w1~input.qs_context_add_curve.2359132437744.7547.3.0:32796</v>
      </c>
      <c r="E7548" s="6" t="str">
        <f>_xll.QS.INSTRUMENT.SWAP("swap.7546",H7548,B7548,"USD","SOFR",I7548,J7548,0,"Actual360","Simple","Annual","Annual","Annual")</f>
        <v>QSObject:Swap:w1~swap.7546:4671</v>
      </c>
      <c r="F7548" s="6" t="str">
        <f>_xll.QS.TRADE.CREATE("trade.7546",E7548,A7548,"Receive")</f>
        <v>QSObject:SwapTrade:w1~trade.7546:24141</v>
      </c>
      <c r="G7548" s="3">
        <f>_xll.QS.EVALUATE(C7548,F7548)</f>
        <v>61165.710353835544</v>
      </c>
      <c r="H7548" s="5" t="s">
        <v>7589</v>
      </c>
      <c r="I7548" s="7">
        <v>1754600</v>
      </c>
      <c r="J7548" s="8">
        <v>3.9600000000000003E-2</v>
      </c>
    </row>
    <row r="7549" spans="1:10" x14ac:dyDescent="0.25">
      <c r="A7549" s="5" t="s">
        <v>7583</v>
      </c>
      <c r="B7549" s="5" t="s">
        <v>9416</v>
      </c>
      <c r="C7549" s="6" t="str">
        <f>_xll.QS.CONTEXT.CREATE("market.7547",A7549,"USD","SOFR")</f>
        <v>QSObject:PricingContext:w1~market.7547:4670</v>
      </c>
      <c r="D7549" s="6" t="str">
        <f>_xll.QS.CONTEXT.ADD.CURVE(C7549,"SOFR",$K$2:$K$7,$L$2:$L$7,,,"Actual360","LogLinear",TRUE)</f>
        <v>QSObject:ContextInput:w1~input.qs_context_add_curve.2359132437744.7548.3.0:32795</v>
      </c>
      <c r="E7549" s="6" t="str">
        <f>_xll.QS.INSTRUMENT.SWAP("swap.7547",H7549,B7549,"USD","SOFR",I7549,J7549,0,"Actual360","Simple","Annual","Annual","Annual")</f>
        <v>QSObject:Swap:w1~swap.7547:4669</v>
      </c>
      <c r="F7549" s="6" t="str">
        <f>_xll.QS.TRADE.CREATE("trade.7547",E7549,A7549,"Receive")</f>
        <v>QSObject:SwapTrade:w1~trade.7547:24140</v>
      </c>
      <c r="G7549" s="3">
        <f>_xll.QS.EVALUATE(C7549,F7549)</f>
        <v>62053.010418719343</v>
      </c>
      <c r="H7549" s="5" t="s">
        <v>7590</v>
      </c>
      <c r="I7549" s="7">
        <v>1754700</v>
      </c>
      <c r="J7549" s="8">
        <v>3.9700000000000013E-2</v>
      </c>
    </row>
    <row r="7550" spans="1:10" x14ac:dyDescent="0.25">
      <c r="A7550" s="5" t="s">
        <v>7584</v>
      </c>
      <c r="B7550" s="5" t="s">
        <v>9417</v>
      </c>
      <c r="C7550" s="6" t="str">
        <f>_xll.QS.CONTEXT.CREATE("market.7548",A7550,"USD","SOFR")</f>
        <v>QSObject:PricingContext:w1~market.7548:4668</v>
      </c>
      <c r="D7550" s="6" t="str">
        <f>_xll.QS.CONTEXT.ADD.CURVE(C7550,"SOFR",$K$2:$K$7,$L$2:$L$7,,,"Actual360","LogLinear",TRUE)</f>
        <v>QSObject:ContextInput:w1~input.qs_context_add_curve.2359132437744.7549.3.0:32794</v>
      </c>
      <c r="E7550" s="6" t="str">
        <f>_xll.QS.INSTRUMENT.SWAP("swap.7548",H7550,B7550,"USD","SOFR",I7550,J7550,0,"Actual360","Simple","Annual","Annual","Annual")</f>
        <v>QSObject:Swap:w1~swap.7548:4667</v>
      </c>
      <c r="F7550" s="6" t="str">
        <f>_xll.QS.TRADE.CREATE("trade.7548",E7550,A7550,"Receive")</f>
        <v>QSObject:SwapTrade:w1~trade.7548:24139</v>
      </c>
      <c r="G7550" s="3">
        <f>_xll.QS.EVALUATE(C7550,F7550)</f>
        <v>63094.605388038515</v>
      </c>
      <c r="H7550" s="5" t="s">
        <v>7591</v>
      </c>
      <c r="I7550" s="7">
        <v>1754800</v>
      </c>
      <c r="J7550" s="8">
        <v>3.9800000000000002E-2</v>
      </c>
    </row>
    <row r="7551" spans="1:10" x14ac:dyDescent="0.25">
      <c r="A7551" s="5" t="s">
        <v>7585</v>
      </c>
      <c r="B7551" s="5" t="s">
        <v>9418</v>
      </c>
      <c r="C7551" s="6" t="str">
        <f>_xll.QS.CONTEXT.CREATE("market.7549",A7551,"USD","SOFR")</f>
        <v>QSObject:PricingContext:w1~market.7549:4666</v>
      </c>
      <c r="D7551" s="6" t="str">
        <f>_xll.QS.CONTEXT.ADD.CURVE(C7551,"SOFR",$K$2:$K$7,$L$2:$L$7,,,"Actual360","LogLinear",TRUE)</f>
        <v>QSObject:ContextInput:w1~input.qs_context_add_curve.2359132437744.7550.3.0:32793</v>
      </c>
      <c r="E7551" s="6" t="str">
        <f>_xll.QS.INSTRUMENT.SWAP("swap.7549",H7551,B7551,"USD","SOFR",I7551,J7551,0,"Actual360","Simple","Annual","Annual","Annual")</f>
        <v>QSObject:Swap:w1~swap.7549:4665</v>
      </c>
      <c r="F7551" s="6" t="str">
        <f>_xll.QS.TRADE.CREATE("trade.7549",E7551,A7551,"Receive")</f>
        <v>QSObject:SwapTrade:w1~trade.7549:24138</v>
      </c>
      <c r="G7551" s="3">
        <f>_xll.QS.EVALUATE(C7551,F7551)</f>
        <v>63924.199006911549</v>
      </c>
      <c r="H7551" s="5" t="s">
        <v>7592</v>
      </c>
      <c r="I7551" s="7">
        <v>1754900</v>
      </c>
      <c r="J7551" s="8">
        <v>3.9899999999999998E-2</v>
      </c>
    </row>
    <row r="7552" spans="1:10" x14ac:dyDescent="0.25">
      <c r="A7552" s="5" t="s">
        <v>7586</v>
      </c>
      <c r="B7552" s="5" t="s">
        <v>9419</v>
      </c>
      <c r="C7552" s="6" t="str">
        <f>_xll.QS.CONTEXT.CREATE("market.7550",A7552,"USD","SOFR")</f>
        <v>QSObject:PricingContext:w1~market.7550:4664</v>
      </c>
      <c r="D7552" s="6" t="str">
        <f>_xll.QS.CONTEXT.ADD.CURVE(C7552,"SOFR",$K$2:$K$7,$L$2:$L$7,,,"Actual360","LogLinear",TRUE)</f>
        <v>QSObject:ContextInput:w1~input.qs_context_add_curve.2359132437744.7551.3.0:32792</v>
      </c>
      <c r="E7552" s="6" t="str">
        <f>_xll.QS.INSTRUMENT.SWAP("swap.7550",H7552,B7552,"USD","SOFR",I7552,J7552,0,"Actual360","Simple","Annual","Annual","Annual")</f>
        <v>QSObject:Swap:w1~swap.7550:4663</v>
      </c>
      <c r="F7552" s="6" t="str">
        <f>_xll.QS.TRADE.CREATE("trade.7550",E7552,A7552,"Receive")</f>
        <v>QSObject:SwapTrade:w1~trade.7550:24137</v>
      </c>
      <c r="G7552" s="3">
        <f>_xll.QS.EVALUATE(C7552,F7552)</f>
        <v>24271.262950493983</v>
      </c>
      <c r="H7552" s="5" t="s">
        <v>7593</v>
      </c>
      <c r="I7552" s="7">
        <v>1755000</v>
      </c>
      <c r="J7552" s="8">
        <v>3.5000000000000003E-2</v>
      </c>
    </row>
    <row r="7553" spans="1:10" x14ac:dyDescent="0.25">
      <c r="A7553" s="5" t="s">
        <v>7587</v>
      </c>
      <c r="B7553" s="5" t="s">
        <v>9420</v>
      </c>
      <c r="C7553" s="6" t="str">
        <f>_xll.QS.CONTEXT.CREATE("market.7551",A7553,"USD","SOFR")</f>
        <v>QSObject:PricingContext:w1~market.7551:4662</v>
      </c>
      <c r="D7553" s="6" t="str">
        <f>_xll.QS.CONTEXT.ADD.CURVE(C7553,"SOFR",$K$2:$K$7,$L$2:$L$7,,,"Actual360","LogLinear",TRUE)</f>
        <v>QSObject:ContextInput:w1~input.qs_context_add_curve.2359132437744.7552.3.0:32791</v>
      </c>
      <c r="E7553" s="6" t="str">
        <f>_xll.QS.INSTRUMENT.SWAP("swap.7551",H7553,B7553,"USD","SOFR",I7553,J7553,0,"Actual360","Simple","Annual","Annual","Annual")</f>
        <v>QSObject:Swap:w1~swap.7551:4661</v>
      </c>
      <c r="F7553" s="6" t="str">
        <f>_xll.QS.TRADE.CREATE("trade.7551",E7553,A7553,"Receive")</f>
        <v>QSObject:SwapTrade:w1~trade.7551:24136</v>
      </c>
      <c r="G7553" s="3">
        <f>_xll.QS.EVALUATE(C7553,F7553)</f>
        <v>24978.328965993504</v>
      </c>
      <c r="H7553" s="5" t="s">
        <v>7594</v>
      </c>
      <c r="I7553" s="7">
        <v>1755100</v>
      </c>
      <c r="J7553" s="8">
        <v>3.5100000000000013E-2</v>
      </c>
    </row>
    <row r="7554" spans="1:10" x14ac:dyDescent="0.25">
      <c r="A7554" s="5" t="s">
        <v>7588</v>
      </c>
      <c r="B7554" s="5" t="s">
        <v>9421</v>
      </c>
      <c r="C7554" s="6" t="str">
        <f>_xll.QS.CONTEXT.CREATE("market.7552",A7554,"USD","SOFR")</f>
        <v>QSObject:PricingContext:w1~market.7552:4660</v>
      </c>
      <c r="D7554" s="6" t="str">
        <f>_xll.QS.CONTEXT.ADD.CURVE(C7554,"SOFR",$K$2:$K$7,$L$2:$L$7,,,"Actual360","LogLinear",TRUE)</f>
        <v>QSObject:ContextInput:w1~input.qs_context_add_curve.2359132437744.7553.3.0:32790</v>
      </c>
      <c r="E7554" s="6" t="str">
        <f>_xll.QS.INSTRUMENT.SWAP("swap.7552",H7554,B7554,"USD","SOFR",I7554,J7554,0,"Actual360","Simple","Annual","Annual","Annual")</f>
        <v>QSObject:Swap:w1~swap.7552:4659</v>
      </c>
      <c r="F7554" s="6" t="str">
        <f>_xll.QS.TRADE.CREATE("trade.7552",E7554,A7554,"Receive")</f>
        <v>QSObject:SwapTrade:w1~trade.7552:24135</v>
      </c>
      <c r="G7554" s="3">
        <f>_xll.QS.EVALUATE(C7554,F7554)</f>
        <v>25628.658601141309</v>
      </c>
      <c r="H7554" s="5" t="s">
        <v>7595</v>
      </c>
      <c r="I7554" s="7">
        <v>1755200</v>
      </c>
      <c r="J7554" s="8">
        <v>3.5200000000000002E-2</v>
      </c>
    </row>
    <row r="7555" spans="1:10" x14ac:dyDescent="0.25">
      <c r="A7555" s="5" t="s">
        <v>7589</v>
      </c>
      <c r="B7555" s="5" t="s">
        <v>9422</v>
      </c>
      <c r="C7555" s="6" t="str">
        <f>_xll.QS.CONTEXT.CREATE("market.7553",A7555,"USD","SOFR")</f>
        <v>QSObject:PricingContext:w1~market.7553:4658</v>
      </c>
      <c r="D7555" s="6" t="str">
        <f>_xll.QS.CONTEXT.ADD.CURVE(C7555,"SOFR",$K$2:$K$7,$L$2:$L$7,,,"Actual360","LogLinear",TRUE)</f>
        <v>QSObject:ContextInput:w1~input.qs_context_add_curve.2359132437744.7554.3.0:32789</v>
      </c>
      <c r="E7555" s="6" t="str">
        <f>_xll.QS.INSTRUMENT.SWAP("swap.7553",H7555,B7555,"USD","SOFR",I7555,J7555,0,"Actual360","Simple","Annual","Annual","Annual")</f>
        <v>QSObject:Swap:w1~swap.7553:4657</v>
      </c>
      <c r="F7555" s="6" t="str">
        <f>_xll.QS.TRADE.CREATE("trade.7553",E7555,A7555,"Receive")</f>
        <v>QSObject:SwapTrade:w1~trade.7553:24134</v>
      </c>
      <c r="G7555" s="3">
        <f>_xll.QS.EVALUATE(C7555,F7555)</f>
        <v>26441.708720349721</v>
      </c>
      <c r="H7555" s="5" t="s">
        <v>7596</v>
      </c>
      <c r="I7555" s="7">
        <v>1755300</v>
      </c>
      <c r="J7555" s="8">
        <v>3.5299999999999998E-2</v>
      </c>
    </row>
    <row r="7556" spans="1:10" x14ac:dyDescent="0.25">
      <c r="A7556" s="5" t="s">
        <v>7590</v>
      </c>
      <c r="B7556" s="5" t="s">
        <v>9423</v>
      </c>
      <c r="C7556" s="6" t="str">
        <f>_xll.QS.CONTEXT.CREATE("market.7554",A7556,"USD","SOFR")</f>
        <v>QSObject:PricingContext:w1~market.7554:4656</v>
      </c>
      <c r="D7556" s="6" t="str">
        <f>_xll.QS.CONTEXT.ADD.CURVE(C7556,"SOFR",$K$2:$K$7,$L$2:$L$7,,,"Actual360","LogLinear",TRUE)</f>
        <v>QSObject:ContextInput:w1~input.qs_context_add_curve.2359132437744.7555.3.0:32788</v>
      </c>
      <c r="E7556" s="6" t="str">
        <f>_xll.QS.INSTRUMENT.SWAP("swap.7554",H7556,B7556,"USD","SOFR",I7556,J7556,0,"Actual360","Simple","Annual","Annual","Annual")</f>
        <v>QSObject:Swap:w1~swap.7554:4655</v>
      </c>
      <c r="F7556" s="6" t="str">
        <f>_xll.QS.TRADE.CREATE("trade.7554",E7556,A7556,"Receive")</f>
        <v>QSObject:SwapTrade:w1~trade.7554:24133</v>
      </c>
      <c r="G7556" s="3">
        <f>_xll.QS.EVALUATE(C7556,F7556)</f>
        <v>27305.753475779813</v>
      </c>
      <c r="H7556" s="5" t="s">
        <v>7597</v>
      </c>
      <c r="I7556" s="7">
        <v>1755400</v>
      </c>
      <c r="J7556" s="8">
        <v>3.5400000000000001E-2</v>
      </c>
    </row>
    <row r="7557" spans="1:10" x14ac:dyDescent="0.25">
      <c r="A7557" s="5" t="s">
        <v>7591</v>
      </c>
      <c r="B7557" s="5" t="s">
        <v>9424</v>
      </c>
      <c r="C7557" s="6" t="str">
        <f>_xll.QS.CONTEXT.CREATE("market.7555",A7557,"USD","SOFR")</f>
        <v>QSObject:PricingContext:w1~market.7555:4654</v>
      </c>
      <c r="D7557" s="6" t="str">
        <f>_xll.QS.CONTEXT.ADD.CURVE(C7557,"SOFR",$K$2:$K$7,$L$2:$L$7,,,"Actual360","LogLinear",TRUE)</f>
        <v>QSObject:ContextInput:w1~input.qs_context_add_curve.2359132437744.7556.3.0:32787</v>
      </c>
      <c r="E7557" s="6" t="str">
        <f>_xll.QS.INSTRUMENT.SWAP("swap.7555",H7557,B7557,"USD","SOFR",I7557,J7557,0,"Actual360","Simple","Annual","Annual","Annual")</f>
        <v>QSObject:Swap:w1~swap.7555:4653</v>
      </c>
      <c r="F7557" s="6" t="str">
        <f>_xll.QS.TRADE.CREATE("trade.7555",E7557,A7557,"Receive")</f>
        <v>QSObject:SwapTrade:w1~trade.7555:24132</v>
      </c>
      <c r="G7557" s="3">
        <f>_xll.QS.EVALUATE(C7557,F7557)</f>
        <v>28244.888354030183</v>
      </c>
      <c r="H7557" s="5" t="s">
        <v>7598</v>
      </c>
      <c r="I7557" s="7">
        <v>1755500</v>
      </c>
      <c r="J7557" s="8">
        <v>3.5499999999999997E-2</v>
      </c>
    </row>
    <row r="7558" spans="1:10" x14ac:dyDescent="0.25">
      <c r="A7558" s="5" t="s">
        <v>7592</v>
      </c>
      <c r="B7558" s="5" t="s">
        <v>9425</v>
      </c>
      <c r="C7558" s="6" t="str">
        <f>_xll.QS.CONTEXT.CREATE("market.7556",A7558,"USD","SOFR")</f>
        <v>QSObject:PricingContext:w1~market.7556:4652</v>
      </c>
      <c r="D7558" s="6" t="str">
        <f>_xll.QS.CONTEXT.ADD.CURVE(C7558,"SOFR",$K$2:$K$7,$L$2:$L$7,,,"Actual360","LogLinear",TRUE)</f>
        <v>QSObject:ContextInput:w1~input.qs_context_add_curve.2359132437744.7557.3.0:32786</v>
      </c>
      <c r="E7558" s="6" t="str">
        <f>_xll.QS.INSTRUMENT.SWAP("swap.7556",H7558,B7558,"USD","SOFR",I7558,J7558,0,"Actual360","Simple","Annual","Annual","Annual")</f>
        <v>QSObject:Swap:w1~swap.7556:4651</v>
      </c>
      <c r="F7558" s="6" t="str">
        <f>_xll.QS.TRADE.CREATE("trade.7556",E7558,A7558,"Receive")</f>
        <v>QSObject:SwapTrade:w1~trade.7556:24131</v>
      </c>
      <c r="G7558" s="3">
        <f>_xll.QS.EVALUATE(C7558,F7558)</f>
        <v>29132.282947742933</v>
      </c>
      <c r="H7558" s="5" t="s">
        <v>7599</v>
      </c>
      <c r="I7558" s="7">
        <v>1755600</v>
      </c>
      <c r="J7558" s="8">
        <v>3.5600000000000007E-2</v>
      </c>
    </row>
    <row r="7559" spans="1:10" x14ac:dyDescent="0.25">
      <c r="A7559" s="5" t="s">
        <v>7593</v>
      </c>
      <c r="B7559" s="5" t="s">
        <v>9426</v>
      </c>
      <c r="C7559" s="6" t="str">
        <f>_xll.QS.CONTEXT.CREATE("market.7557",A7559,"USD","SOFR")</f>
        <v>QSObject:PricingContext:w1~market.7557:4650</v>
      </c>
      <c r="D7559" s="6" t="str">
        <f>_xll.QS.CONTEXT.ADD.CURVE(C7559,"SOFR",$K$2:$K$7,$L$2:$L$7,,,"Actual360","LogLinear",TRUE)</f>
        <v>QSObject:ContextInput:w1~input.qs_context_add_curve.2359132437744.7558.3.0:32785</v>
      </c>
      <c r="E7559" s="6" t="str">
        <f>_xll.QS.INSTRUMENT.SWAP("swap.7557",H7559,B7559,"USD","SOFR",I7559,J7559,0,"Actual360","Simple","Annual","Annual","Annual")</f>
        <v>QSObject:Swap:w1~swap.7557:4649</v>
      </c>
      <c r="F7559" s="6" t="str">
        <f>_xll.QS.TRADE.CREATE("trade.7557",E7559,A7559,"Receive")</f>
        <v>QSObject:SwapTrade:w1~trade.7557:24130</v>
      </c>
      <c r="G7559" s="3">
        <f>_xll.QS.EVALUATE(C7559,F7559)</f>
        <v>29877.014149286944</v>
      </c>
      <c r="H7559" s="5" t="s">
        <v>7600</v>
      </c>
      <c r="I7559" s="7">
        <v>1755700</v>
      </c>
      <c r="J7559" s="8">
        <v>3.5700000000000003E-2</v>
      </c>
    </row>
    <row r="7560" spans="1:10" x14ac:dyDescent="0.25">
      <c r="A7560" s="5" t="s">
        <v>7594</v>
      </c>
      <c r="B7560" s="5" t="s">
        <v>9427</v>
      </c>
      <c r="C7560" s="6" t="str">
        <f>_xll.QS.CONTEXT.CREATE("market.7558",A7560,"USD","SOFR")</f>
        <v>QSObject:PricingContext:w1~market.7558:4648</v>
      </c>
      <c r="D7560" s="6" t="str">
        <f>_xll.QS.CONTEXT.ADD.CURVE(C7560,"SOFR",$K$2:$K$7,$L$2:$L$7,,,"Actual360","LogLinear",TRUE)</f>
        <v>QSObject:ContextInput:w1~input.qs_context_add_curve.2359132437744.7559.3.0:32784</v>
      </c>
      <c r="E7560" s="6" t="str">
        <f>_xll.QS.INSTRUMENT.SWAP("swap.7558",H7560,B7560,"USD","SOFR",I7560,J7560,0,"Actual360","Simple","Annual","Annual","Annual")</f>
        <v>QSObject:Swap:w1~swap.7558:4647</v>
      </c>
      <c r="F7560" s="6" t="str">
        <f>_xll.QS.TRADE.CREATE("trade.7558",E7560,A7560,"Receive")</f>
        <v>QSObject:SwapTrade:w1~trade.7558:24129</v>
      </c>
      <c r="G7560" s="3">
        <f>_xll.QS.EVALUATE(C7560,F7560)</f>
        <v>30577.997280586373</v>
      </c>
      <c r="H7560" s="5" t="s">
        <v>7601</v>
      </c>
      <c r="I7560" s="7">
        <v>1755800</v>
      </c>
      <c r="J7560" s="8">
        <v>3.5800000000000012E-2</v>
      </c>
    </row>
    <row r="7561" spans="1:10" x14ac:dyDescent="0.25">
      <c r="A7561" s="5" t="s">
        <v>7595</v>
      </c>
      <c r="B7561" s="5" t="s">
        <v>9428</v>
      </c>
      <c r="C7561" s="6" t="str">
        <f>_xll.QS.CONTEXT.CREATE("market.7559",A7561,"USD","SOFR")</f>
        <v>QSObject:PricingContext:w1~market.7559:4646</v>
      </c>
      <c r="D7561" s="6" t="str">
        <f>_xll.QS.CONTEXT.ADD.CURVE(C7561,"SOFR",$K$2:$K$7,$L$2:$L$7,,,"Actual360","LogLinear",TRUE)</f>
        <v>QSObject:ContextInput:w1~input.qs_context_add_curve.2359132437744.7560.3.0:32783</v>
      </c>
      <c r="E7561" s="6" t="str">
        <f>_xll.QS.INSTRUMENT.SWAP("swap.7559",H7561,B7561,"USD","SOFR",I7561,J7561,0,"Actual360","Simple","Annual","Annual","Annual")</f>
        <v>QSObject:Swap:w1~swap.7559:4645</v>
      </c>
      <c r="F7561" s="6" t="str">
        <f>_xll.QS.TRADE.CREATE("trade.7559",E7561,A7561,"Receive")</f>
        <v>QSObject:SwapTrade:w1~trade.7559:24128</v>
      </c>
      <c r="G7561" s="3">
        <f>_xll.QS.EVALUATE(C7561,F7561)</f>
        <v>31237.849567745972</v>
      </c>
      <c r="H7561" s="5" t="s">
        <v>7602</v>
      </c>
      <c r="I7561" s="7">
        <v>1755900</v>
      </c>
      <c r="J7561" s="8">
        <v>3.5900000000000001E-2</v>
      </c>
    </row>
    <row r="7562" spans="1:10" x14ac:dyDescent="0.25">
      <c r="A7562" s="5" t="s">
        <v>7596</v>
      </c>
      <c r="B7562" s="5" t="s">
        <v>9429</v>
      </c>
      <c r="C7562" s="6" t="str">
        <f>_xll.QS.CONTEXT.CREATE("market.7560",A7562,"USD","SOFR")</f>
        <v>QSObject:PricingContext:w1~market.7560:4644</v>
      </c>
      <c r="D7562" s="6" t="str">
        <f>_xll.QS.CONTEXT.ADD.CURVE(C7562,"SOFR",$K$2:$K$7,$L$2:$L$7,,,"Actual360","LogLinear",TRUE)</f>
        <v>QSObject:ContextInput:w1~input.qs_context_add_curve.2359132437744.7561.3.0:32782</v>
      </c>
      <c r="E7562" s="6" t="str">
        <f>_xll.QS.INSTRUMENT.SWAP("swap.7560",H7562,B7562,"USD","SOFR",I7562,J7562,0,"Actual360","Simple","Annual","Annual","Annual")</f>
        <v>QSObject:Swap:w1~swap.7560:4643</v>
      </c>
      <c r="F7562" s="6" t="str">
        <f>_xll.QS.TRADE.CREATE("trade.7560",E7562,A7562,"Receive")</f>
        <v>QSObject:SwapTrade:w1~trade.7560:24127</v>
      </c>
      <c r="G7562" s="3">
        <f>_xll.QS.EVALUATE(C7562,F7562)</f>
        <v>32123.258570014092</v>
      </c>
      <c r="H7562" s="5" t="s">
        <v>7603</v>
      </c>
      <c r="I7562" s="7">
        <v>1756000</v>
      </c>
      <c r="J7562" s="8">
        <v>3.5999999999999997E-2</v>
      </c>
    </row>
    <row r="7563" spans="1:10" x14ac:dyDescent="0.25">
      <c r="A7563" s="5" t="s">
        <v>7597</v>
      </c>
      <c r="B7563" s="5" t="s">
        <v>9430</v>
      </c>
      <c r="C7563" s="6" t="str">
        <f>_xll.QS.CONTEXT.CREATE("market.7561",A7563,"USD","SOFR")</f>
        <v>QSObject:PricingContext:w1~market.7561:4642</v>
      </c>
      <c r="D7563" s="6" t="str">
        <f>_xll.QS.CONTEXT.ADD.CURVE(C7563,"SOFR",$K$2:$K$7,$L$2:$L$7,,,"Actual360","LogLinear",TRUE)</f>
        <v>QSObject:ContextInput:w1~input.qs_context_add_curve.2359132437744.7562.3.0:32781</v>
      </c>
      <c r="E7563" s="6" t="str">
        <f>_xll.QS.INSTRUMENT.SWAP("swap.7561",H7563,B7563,"USD","SOFR",I7563,J7563,0,"Actual360","Simple","Annual","Annual","Annual")</f>
        <v>QSObject:Swap:w1~swap.7561:4641</v>
      </c>
      <c r="F7563" s="6" t="str">
        <f>_xll.QS.TRADE.CREATE("trade.7561",E7563,A7563,"Receive")</f>
        <v>QSObject:SwapTrade:w1~trade.7561:24126</v>
      </c>
      <c r="G7563" s="3">
        <f>_xll.QS.EVALUATE(C7563,F7563)</f>
        <v>32985.193565477828</v>
      </c>
      <c r="H7563" s="5" t="s">
        <v>7604</v>
      </c>
      <c r="I7563" s="7">
        <v>1756100</v>
      </c>
      <c r="J7563" s="8">
        <v>3.61E-2</v>
      </c>
    </row>
    <row r="7564" spans="1:10" x14ac:dyDescent="0.25">
      <c r="A7564" s="5" t="s">
        <v>7598</v>
      </c>
      <c r="B7564" s="5" t="s">
        <v>9431</v>
      </c>
      <c r="C7564" s="6" t="str">
        <f>_xll.QS.CONTEXT.CREATE("market.7562",A7564,"USD","SOFR")</f>
        <v>QSObject:PricingContext:w1~market.7562:4640</v>
      </c>
      <c r="D7564" s="6" t="str">
        <f>_xll.QS.CONTEXT.ADD.CURVE(C7564,"SOFR",$K$2:$K$7,$L$2:$L$7,,,"Actual360","LogLinear",TRUE)</f>
        <v>QSObject:ContextInput:w1~input.qs_context_add_curve.2359132437744.7563.3.0:32780</v>
      </c>
      <c r="E7564" s="6" t="str">
        <f>_xll.QS.INSTRUMENT.SWAP("swap.7562",H7564,B7564,"USD","SOFR",I7564,J7564,0,"Actual360","Simple","Annual","Annual","Annual")</f>
        <v>QSObject:Swap:w1~swap.7562:4639</v>
      </c>
      <c r="F7564" s="6" t="str">
        <f>_xll.QS.TRADE.CREATE("trade.7562",E7564,A7564,"Receive")</f>
        <v>QSObject:SwapTrade:w1~trade.7562:24125</v>
      </c>
      <c r="G7564" s="3">
        <f>_xll.QS.EVALUATE(C7564,F7564)</f>
        <v>33925.110155632385</v>
      </c>
      <c r="H7564" s="5" t="s">
        <v>7605</v>
      </c>
      <c r="I7564" s="7">
        <v>1756200</v>
      </c>
      <c r="J7564" s="8">
        <v>3.6200000000000003E-2</v>
      </c>
    </row>
    <row r="7565" spans="1:10" x14ac:dyDescent="0.25">
      <c r="A7565" s="5" t="s">
        <v>7599</v>
      </c>
      <c r="B7565" s="5" t="s">
        <v>9432</v>
      </c>
      <c r="C7565" s="6" t="str">
        <f>_xll.QS.CONTEXT.CREATE("market.7563",A7565,"USD","SOFR")</f>
        <v>QSObject:PricingContext:w1~market.7563:4638</v>
      </c>
      <c r="D7565" s="6" t="str">
        <f>_xll.QS.CONTEXT.ADD.CURVE(C7565,"SOFR",$K$2:$K$7,$L$2:$L$7,,,"Actual360","LogLinear",TRUE)</f>
        <v>QSObject:ContextInput:w1~input.qs_context_add_curve.2359132437744.7564.3.0:32779</v>
      </c>
      <c r="E7565" s="6" t="str">
        <f>_xll.QS.INSTRUMENT.SWAP("swap.7563",H7565,B7565,"USD","SOFR",I7565,J7565,0,"Actual360","Simple","Annual","Annual","Annual")</f>
        <v>QSObject:Swap:w1~swap.7563:4637</v>
      </c>
      <c r="F7565" s="6" t="str">
        <f>_xll.QS.TRADE.CREATE("trade.7563",E7565,A7565,"Receive")</f>
        <v>QSObject:SwapTrade:w1~trade.7563:24124</v>
      </c>
      <c r="G7565" s="3">
        <f>_xll.QS.EVALUATE(C7565,F7565)</f>
        <v>34813.241332012345</v>
      </c>
      <c r="H7565" s="5" t="s">
        <v>7606</v>
      </c>
      <c r="I7565" s="7">
        <v>1756300</v>
      </c>
      <c r="J7565" s="8">
        <v>3.6300000000000013E-2</v>
      </c>
    </row>
    <row r="7566" spans="1:10" x14ac:dyDescent="0.25">
      <c r="A7566" s="5" t="s">
        <v>7600</v>
      </c>
      <c r="B7566" s="5" t="s">
        <v>9433</v>
      </c>
      <c r="C7566" s="6" t="str">
        <f>_xll.QS.CONTEXT.CREATE("market.7564",A7566,"USD","SOFR")</f>
        <v>QSObject:PricingContext:w1~market.7564:4636</v>
      </c>
      <c r="D7566" s="6" t="str">
        <f>_xll.QS.CONTEXT.ADD.CURVE(C7566,"SOFR",$K$2:$K$7,$L$2:$L$7,,,"Actual360","LogLinear",TRUE)</f>
        <v>QSObject:ContextInput:w1~input.qs_context_add_curve.2359132437744.7565.3.0:32778</v>
      </c>
      <c r="E7566" s="6" t="str">
        <f>_xll.QS.INSTRUMENT.SWAP("swap.7564",H7566,B7566,"USD","SOFR",I7566,J7566,0,"Actual360","Simple","Annual","Annual","Annual")</f>
        <v>QSObject:Swap:w1~swap.7564:4635</v>
      </c>
      <c r="F7566" s="6" t="str">
        <f>_xll.QS.TRADE.CREATE("trade.7564",E7566,A7566,"Receive")</f>
        <v>QSObject:SwapTrade:w1~trade.7564:24123</v>
      </c>
      <c r="G7566" s="3">
        <f>_xll.QS.EVALUATE(C7566,F7566)</f>
        <v>35558.545892572787</v>
      </c>
      <c r="H7566" s="5" t="s">
        <v>7607</v>
      </c>
      <c r="I7566" s="7">
        <v>1756400</v>
      </c>
      <c r="J7566" s="8">
        <v>3.6400000000000002E-2</v>
      </c>
    </row>
    <row r="7567" spans="1:10" x14ac:dyDescent="0.25">
      <c r="A7567" s="5" t="s">
        <v>7601</v>
      </c>
      <c r="B7567" s="5" t="s">
        <v>9434</v>
      </c>
      <c r="C7567" s="6" t="str">
        <f>_xll.QS.CONTEXT.CREATE("market.7565",A7567,"USD","SOFR")</f>
        <v>QSObject:PricingContext:w1~market.7565:4634</v>
      </c>
      <c r="D7567" s="6" t="str">
        <f>_xll.QS.CONTEXT.ADD.CURVE(C7567,"SOFR",$K$2:$K$7,$L$2:$L$7,,,"Actual360","LogLinear",TRUE)</f>
        <v>QSObject:ContextInput:w1~input.qs_context_add_curve.2359132437744.7566.3.0:32777</v>
      </c>
      <c r="E7567" s="6" t="str">
        <f>_xll.QS.INSTRUMENT.SWAP("swap.7565",H7567,B7567,"USD","SOFR",I7567,J7567,0,"Actual360","Simple","Annual","Annual","Annual")</f>
        <v>QSObject:Swap:w1~swap.7565:4633</v>
      </c>
      <c r="F7567" s="6" t="str">
        <f>_xll.QS.TRADE.CREATE("trade.7565",E7567,A7567,"Receive")</f>
        <v>QSObject:SwapTrade:w1~trade.7565:24122</v>
      </c>
      <c r="G7567" s="3">
        <f>_xll.QS.EVALUATE(C7567,F7567)</f>
        <v>36253.448768218725</v>
      </c>
      <c r="H7567" s="5" t="s">
        <v>7608</v>
      </c>
      <c r="I7567" s="7">
        <v>1756500</v>
      </c>
      <c r="J7567" s="8">
        <v>3.6499999999999998E-2</v>
      </c>
    </row>
    <row r="7568" spans="1:10" x14ac:dyDescent="0.25">
      <c r="A7568" s="5" t="s">
        <v>7602</v>
      </c>
      <c r="B7568" s="5" t="s">
        <v>9435</v>
      </c>
      <c r="C7568" s="6" t="str">
        <f>_xll.QS.CONTEXT.CREATE("market.7566",A7568,"USD","SOFR")</f>
        <v>QSObject:PricingContext:w1~market.7566:4632</v>
      </c>
      <c r="D7568" s="6" t="str">
        <f>_xll.QS.CONTEXT.ADD.CURVE(C7568,"SOFR",$K$2:$K$7,$L$2:$L$7,,,"Actual360","LogLinear",TRUE)</f>
        <v>QSObject:ContextInput:w1~input.qs_context_add_curve.2359132437744.7567.3.0:32776</v>
      </c>
      <c r="E7568" s="6" t="str">
        <f>_xll.QS.INSTRUMENT.SWAP("swap.7566",H7568,B7568,"USD","SOFR",I7568,J7568,0,"Actual360","Simple","Annual","Annual","Annual")</f>
        <v>QSObject:Swap:w1~swap.7566:4631</v>
      </c>
      <c r="F7568" s="6" t="str">
        <f>_xll.QS.TRADE.CREATE("trade.7566",E7568,A7568,"Receive")</f>
        <v>QSObject:SwapTrade:w1~trade.7566:24121</v>
      </c>
      <c r="G7568" s="3">
        <f>_xll.QS.EVALUATE(C7568,F7568)</f>
        <v>36922.676312023534</v>
      </c>
      <c r="H7568" s="5" t="s">
        <v>7609</v>
      </c>
      <c r="I7568" s="7">
        <v>1756600</v>
      </c>
      <c r="J7568" s="8">
        <v>3.6600000000000001E-2</v>
      </c>
    </row>
    <row r="7569" spans="1:10" x14ac:dyDescent="0.25">
      <c r="A7569" s="5" t="s">
        <v>7603</v>
      </c>
      <c r="B7569" s="5" t="s">
        <v>9436</v>
      </c>
      <c r="C7569" s="6" t="str">
        <f>_xll.QS.CONTEXT.CREATE("market.7567",A7569,"USD","SOFR")</f>
        <v>QSObject:PricingContext:w1~market.7567:4630</v>
      </c>
      <c r="D7569" s="6" t="str">
        <f>_xll.QS.CONTEXT.ADD.CURVE(C7569,"SOFR",$K$2:$K$7,$L$2:$L$7,,,"Actual360","LogLinear",TRUE)</f>
        <v>QSObject:ContextInput:w1~input.qs_context_add_curve.2359132437744.7568.3.0:32775</v>
      </c>
      <c r="E7569" s="6" t="str">
        <f>_xll.QS.INSTRUMENT.SWAP("swap.7567",H7569,B7569,"USD","SOFR",I7569,J7569,0,"Actual360","Simple","Annual","Annual","Annual")</f>
        <v>QSObject:Swap:w1~swap.7567:4629</v>
      </c>
      <c r="F7569" s="6" t="str">
        <f>_xll.QS.TRADE.CREATE("trade.7567",E7569,A7569,"Receive")</f>
        <v>QSObject:SwapTrade:w1~trade.7567:24120</v>
      </c>
      <c r="G7569" s="3">
        <f>_xll.QS.EVALUATE(C7569,F7569)</f>
        <v>37809.329722151262</v>
      </c>
      <c r="H7569" s="5" t="s">
        <v>7610</v>
      </c>
      <c r="I7569" s="7">
        <v>1756700</v>
      </c>
      <c r="J7569" s="8">
        <v>3.6700000000000003E-2</v>
      </c>
    </row>
    <row r="7570" spans="1:10" x14ac:dyDescent="0.25">
      <c r="A7570" s="5" t="s">
        <v>7604</v>
      </c>
      <c r="B7570" s="5" t="s">
        <v>9437</v>
      </c>
      <c r="C7570" s="6" t="str">
        <f>_xll.QS.CONTEXT.CREATE("market.7568",A7570,"USD","SOFR")</f>
        <v>QSObject:PricingContext:w1~market.7568:4628</v>
      </c>
      <c r="D7570" s="6" t="str">
        <f>_xll.QS.CONTEXT.ADD.CURVE(C7570,"SOFR",$K$2:$K$7,$L$2:$L$7,,,"Actual360","LogLinear",TRUE)</f>
        <v>QSObject:ContextInput:w1~input.qs_context_add_curve.2359132437744.7569.3.0:32774</v>
      </c>
      <c r="E7570" s="6" t="str">
        <f>_xll.QS.INSTRUMENT.SWAP("swap.7568",H7570,B7570,"USD","SOFR",I7570,J7570,0,"Actual360","Simple","Annual","Annual","Annual")</f>
        <v>QSObject:Swap:w1~swap.7568:4627</v>
      </c>
      <c r="F7570" s="6" t="str">
        <f>_xll.QS.TRADE.CREATE("trade.7568",E7570,A7570,"Receive")</f>
        <v>QSObject:SwapTrade:w1~trade.7568:24119</v>
      </c>
      <c r="G7570" s="3">
        <f>_xll.QS.EVALUATE(C7570,F7570)</f>
        <v>38669.152744033672</v>
      </c>
      <c r="H7570" s="5" t="s">
        <v>7611</v>
      </c>
      <c r="I7570" s="7">
        <v>1756800</v>
      </c>
      <c r="J7570" s="8">
        <v>3.6800000000000013E-2</v>
      </c>
    </row>
    <row r="7571" spans="1:10" x14ac:dyDescent="0.25">
      <c r="A7571" s="5" t="s">
        <v>7605</v>
      </c>
      <c r="B7571" s="5" t="s">
        <v>9438</v>
      </c>
      <c r="C7571" s="6" t="str">
        <f>_xll.QS.CONTEXT.CREATE("market.7569",A7571,"USD","SOFR")</f>
        <v>QSObject:PricingContext:w1~market.7569:4626</v>
      </c>
      <c r="D7571" s="6" t="str">
        <f>_xll.QS.CONTEXT.ADD.CURVE(C7571,"SOFR",$K$2:$K$7,$L$2:$L$7,,,"Actual360","LogLinear",TRUE)</f>
        <v>QSObject:ContextInput:w1~input.qs_context_add_curve.2359132437744.7570.3.0:32773</v>
      </c>
      <c r="E7571" s="6" t="str">
        <f>_xll.QS.INSTRUMENT.SWAP("swap.7569",H7571,B7571,"USD","SOFR",I7571,J7571,0,"Actual360","Simple","Annual","Annual","Annual")</f>
        <v>QSObject:Swap:w1~swap.7569:4625</v>
      </c>
      <c r="F7571" s="6" t="str">
        <f>_xll.QS.TRADE.CREATE("trade.7569",E7571,A7571,"Receive")</f>
        <v>QSObject:SwapTrade:w1~trade.7569:24118</v>
      </c>
      <c r="G7571" s="3">
        <f>_xll.QS.EVALUATE(C7571,F7571)</f>
        <v>39610.151496408558</v>
      </c>
      <c r="H7571" s="5" t="s">
        <v>7612</v>
      </c>
      <c r="I7571" s="7">
        <v>1756900</v>
      </c>
      <c r="J7571" s="8">
        <v>3.6900000000000002E-2</v>
      </c>
    </row>
    <row r="7572" spans="1:10" x14ac:dyDescent="0.25">
      <c r="A7572" s="5" t="s">
        <v>7606</v>
      </c>
      <c r="B7572" s="5" t="s">
        <v>9439</v>
      </c>
      <c r="C7572" s="6" t="str">
        <f>_xll.QS.CONTEXT.CREATE("market.7570",A7572,"USD","SOFR")</f>
        <v>QSObject:PricingContext:w1~market.7570:4624</v>
      </c>
      <c r="D7572" s="6" t="str">
        <f>_xll.QS.CONTEXT.ADD.CURVE(C7572,"SOFR",$K$2:$K$7,$L$2:$L$7,,,"Actual360","LogLinear",TRUE)</f>
        <v>QSObject:ContextInput:w1~input.qs_context_add_curve.2359132437744.7571.3.0:32772</v>
      </c>
      <c r="E7572" s="6" t="str">
        <f>_xll.QS.INSTRUMENT.SWAP("swap.7570",H7572,B7572,"USD","SOFR",I7572,J7572,0,"Actual360","Simple","Annual","Annual","Annual")</f>
        <v>QSObject:Swap:w1~swap.7570:4623</v>
      </c>
      <c r="F7572" s="6" t="str">
        <f>_xll.QS.TRADE.CREATE("trade.7570",E7572,A7572,"Receive")</f>
        <v>QSObject:SwapTrade:w1~trade.7570:24117</v>
      </c>
      <c r="G7572" s="3">
        <f>_xll.QS.EVALUATE(C7572,F7572)</f>
        <v>40499.495292036867</v>
      </c>
      <c r="H7572" s="5" t="s">
        <v>7613</v>
      </c>
      <c r="I7572" s="7">
        <v>1757000</v>
      </c>
      <c r="J7572" s="8">
        <v>3.7000000000000012E-2</v>
      </c>
    </row>
    <row r="7573" spans="1:10" x14ac:dyDescent="0.25">
      <c r="A7573" s="5" t="s">
        <v>7607</v>
      </c>
      <c r="B7573" s="5" t="s">
        <v>9440</v>
      </c>
      <c r="C7573" s="6" t="str">
        <f>_xll.QS.CONTEXT.CREATE("market.7571",A7573,"USD","SOFR")</f>
        <v>QSObject:PricingContext:w1~market.7571:4622</v>
      </c>
      <c r="D7573" s="6" t="str">
        <f>_xll.QS.CONTEXT.ADD.CURVE(C7573,"SOFR",$K$2:$K$7,$L$2:$L$7,,,"Actual360","LogLinear",TRUE)</f>
        <v>QSObject:ContextInput:w1~input.qs_context_add_curve.2359132437744.7572.3.0:32771</v>
      </c>
      <c r="E7573" s="6" t="str">
        <f>_xll.QS.INSTRUMENT.SWAP("swap.7571",H7573,B7573,"USD","SOFR",I7573,J7573,0,"Actual360","Simple","Annual","Annual","Annual")</f>
        <v>QSObject:Swap:w1~swap.7571:4621</v>
      </c>
      <c r="F7573" s="6" t="str">
        <f>_xll.QS.TRADE.CREATE("trade.7571",E7573,A7573,"Receive")</f>
        <v>QSObject:SwapTrade:w1~trade.7571:24116</v>
      </c>
      <c r="G7573" s="3">
        <f>_xll.QS.EVALUATE(C7573,F7573)</f>
        <v>41244.596804402907</v>
      </c>
      <c r="H7573" s="5" t="s">
        <v>7614</v>
      </c>
      <c r="I7573" s="7">
        <v>1757100</v>
      </c>
      <c r="J7573" s="8">
        <v>3.7100000000000001E-2</v>
      </c>
    </row>
    <row r="7574" spans="1:10" x14ac:dyDescent="0.25">
      <c r="A7574" s="5" t="s">
        <v>7608</v>
      </c>
      <c r="B7574" s="5" t="s">
        <v>9441</v>
      </c>
      <c r="C7574" s="6" t="str">
        <f>_xll.QS.CONTEXT.CREATE("market.7572",A7574,"USD","SOFR")</f>
        <v>QSObject:PricingContext:w1~market.7572:4620</v>
      </c>
      <c r="D7574" s="6" t="str">
        <f>_xll.QS.CONTEXT.ADD.CURVE(C7574,"SOFR",$K$2:$K$7,$L$2:$L$7,,,"Actual360","LogLinear",TRUE)</f>
        <v>QSObject:ContextInput:w1~input.qs_context_add_curve.2359132437744.7573.3.0:32770</v>
      </c>
      <c r="E7574" s="6" t="str">
        <f>_xll.QS.INSTRUMENT.SWAP("swap.7572",H7574,B7574,"USD","SOFR",I7574,J7574,0,"Actual360","Simple","Annual","Annual","Annual")</f>
        <v>QSObject:Swap:w1~swap.7572:4619</v>
      </c>
      <c r="F7574" s="6" t="str">
        <f>_xll.QS.TRADE.CREATE("trade.7572",E7574,A7574,"Receive")</f>
        <v>QSObject:SwapTrade:w1~trade.7572:24115</v>
      </c>
      <c r="G7574" s="3">
        <f>_xll.QS.EVALUATE(C7574,F7574)</f>
        <v>41933.414098703164</v>
      </c>
      <c r="H7574" s="5" t="s">
        <v>7615</v>
      </c>
      <c r="I7574" s="7">
        <v>1757200</v>
      </c>
      <c r="J7574" s="8">
        <v>3.7199999999999997E-2</v>
      </c>
    </row>
    <row r="7575" spans="1:10" x14ac:dyDescent="0.25">
      <c r="A7575" s="5" t="s">
        <v>7609</v>
      </c>
      <c r="B7575" s="5" t="s">
        <v>9442</v>
      </c>
      <c r="C7575" s="6" t="str">
        <f>_xll.QS.CONTEXT.CREATE("market.7573",A7575,"USD","SOFR")</f>
        <v>QSObject:PricingContext:w1~market.7573:4618</v>
      </c>
      <c r="D7575" s="6" t="str">
        <f>_xll.QS.CONTEXT.ADD.CURVE(C7575,"SOFR",$K$2:$K$7,$L$2:$L$7,,,"Actual360","LogLinear",TRUE)</f>
        <v>QSObject:ContextInput:w1~input.qs_context_add_curve.2359132437744.7574.3.0:32769</v>
      </c>
      <c r="E7575" s="6" t="str">
        <f>_xll.QS.INSTRUMENT.SWAP("swap.7573",H7575,B7575,"USD","SOFR",I7575,J7575,0,"Actual360","Simple","Annual","Annual","Annual")</f>
        <v>QSObject:Swap:w1~swap.7573:4617</v>
      </c>
      <c r="F7575" s="6" t="str">
        <f>_xll.QS.TRADE.CREATE("trade.7573",E7575,A7575,"Receive")</f>
        <v>QSObject:SwapTrade:w1~trade.7573:24114</v>
      </c>
      <c r="G7575" s="3">
        <f>_xll.QS.EVALUATE(C7575,F7575)</f>
        <v>42612.023905114169</v>
      </c>
      <c r="H7575" s="5" t="s">
        <v>7616</v>
      </c>
      <c r="I7575" s="7">
        <v>1757300</v>
      </c>
      <c r="J7575" s="8">
        <v>3.73E-2</v>
      </c>
    </row>
    <row r="7576" spans="1:10" x14ac:dyDescent="0.25">
      <c r="A7576" s="5" t="s">
        <v>7610</v>
      </c>
      <c r="B7576" s="5" t="s">
        <v>9443</v>
      </c>
      <c r="C7576" s="6" t="str">
        <f>_xll.QS.CONTEXT.CREATE("market.7574",A7576,"USD","SOFR")</f>
        <v>QSObject:PricingContext:w1~market.7574:4616</v>
      </c>
      <c r="D7576" s="6" t="str">
        <f>_xll.QS.CONTEXT.ADD.CURVE(C7576,"SOFR",$K$2:$K$7,$L$2:$L$7,,,"Actual360","LogLinear",TRUE)</f>
        <v>QSObject:ContextInput:w1~input.qs_context_add_curve.2359132437744.7575.3.0:32768</v>
      </c>
      <c r="E7576" s="6" t="str">
        <f>_xll.QS.INSTRUMENT.SWAP("swap.7574",H7576,B7576,"USD","SOFR",I7576,J7576,0,"Actual360","Simple","Annual","Annual","Annual")</f>
        <v>QSObject:Swap:w1~swap.7574:4615</v>
      </c>
      <c r="F7576" s="6" t="str">
        <f>_xll.QS.TRADE.CREATE("trade.7574",E7576,A7576,"Receive")</f>
        <v>QSObject:SwapTrade:w1~trade.7574:24113</v>
      </c>
      <c r="G7576" s="3">
        <f>_xll.QS.EVALUATE(C7576,F7576)</f>
        <v>43498.897218894555</v>
      </c>
      <c r="H7576" s="5" t="s">
        <v>7617</v>
      </c>
      <c r="I7576" s="7">
        <v>1757400</v>
      </c>
      <c r="J7576" s="8">
        <v>3.7400000000000003E-2</v>
      </c>
    </row>
    <row r="7577" spans="1:10" x14ac:dyDescent="0.25">
      <c r="A7577" s="5" t="s">
        <v>7611</v>
      </c>
      <c r="B7577" s="5" t="s">
        <v>9444</v>
      </c>
      <c r="C7577" s="6" t="str">
        <f>_xll.QS.CONTEXT.CREATE("market.7575",A7577,"USD","SOFR")</f>
        <v>QSObject:PricingContext:w1~market.7575:4614</v>
      </c>
      <c r="D7577" s="6" t="str">
        <f>_xll.QS.CONTEXT.ADD.CURVE(C7577,"SOFR",$K$2:$K$7,$L$2:$L$7,,,"Actual360","LogLinear",TRUE)</f>
        <v>QSObject:ContextInput:w1~input.qs_context_add_curve.2359132437744.7576.3.0:32767</v>
      </c>
      <c r="E7577" s="6" t="str">
        <f>_xll.QS.INSTRUMENT.SWAP("swap.7575",H7577,B7577,"USD","SOFR",I7577,J7577,0,"Actual360","Simple","Annual","Annual","Annual")</f>
        <v>QSObject:Swap:w1~swap.7575:4613</v>
      </c>
      <c r="F7577" s="6" t="str">
        <f>_xll.QS.TRADE.CREATE("trade.7575",E7577,A7577,"Receive")</f>
        <v>QSObject:SwapTrade:w1~trade.7575:24112</v>
      </c>
      <c r="G7577" s="3">
        <f>_xll.QS.EVALUATE(C7577,F7577)</f>
        <v>44356.635151769253</v>
      </c>
      <c r="H7577" s="5" t="s">
        <v>7618</v>
      </c>
      <c r="I7577" s="7">
        <v>1757500</v>
      </c>
      <c r="J7577" s="8">
        <v>3.7500000000000012E-2</v>
      </c>
    </row>
    <row r="7578" spans="1:10" x14ac:dyDescent="0.25">
      <c r="A7578" s="5" t="s">
        <v>7612</v>
      </c>
      <c r="B7578" s="5" t="s">
        <v>9445</v>
      </c>
      <c r="C7578" s="6" t="str">
        <f>_xll.QS.CONTEXT.CREATE("market.7576",A7578,"USD","SOFR")</f>
        <v>QSObject:PricingContext:w1~market.7576:4612</v>
      </c>
      <c r="D7578" s="6" t="str">
        <f>_xll.QS.CONTEXT.ADD.CURVE(C7578,"SOFR",$K$2:$K$7,$L$2:$L$7,,,"Actual360","LogLinear",TRUE)</f>
        <v>QSObject:ContextInput:w1~input.qs_context_add_curve.2359132437744.7577.3.0:32766</v>
      </c>
      <c r="E7578" s="6" t="str">
        <f>_xll.QS.INSTRUMENT.SWAP("swap.7576",H7578,B7578,"USD","SOFR",I7578,J7578,0,"Actual360","Simple","Annual","Annual","Annual")</f>
        <v>QSObject:Swap:w1~swap.7576:4611</v>
      </c>
      <c r="F7578" s="6" t="str">
        <f>_xll.QS.TRADE.CREATE("trade.7576",E7578,A7578,"Receive")</f>
        <v>QSObject:SwapTrade:w1~trade.7576:24111</v>
      </c>
      <c r="G7578" s="3">
        <f>_xll.QS.EVALUATE(C7578,F7578)</f>
        <v>45298.949923421344</v>
      </c>
      <c r="H7578" s="5" t="s">
        <v>7619</v>
      </c>
      <c r="I7578" s="7">
        <v>1757600</v>
      </c>
      <c r="J7578" s="8">
        <v>3.7600000000000001E-2</v>
      </c>
    </row>
    <row r="7579" spans="1:10" x14ac:dyDescent="0.25">
      <c r="A7579" s="5" t="s">
        <v>7613</v>
      </c>
      <c r="B7579" s="5" t="s">
        <v>9446</v>
      </c>
      <c r="C7579" s="6" t="str">
        <f>_xll.QS.CONTEXT.CREATE("market.7577",A7579,"USD","SOFR")</f>
        <v>QSObject:PricingContext:w1~market.7577:4610</v>
      </c>
      <c r="D7579" s="6" t="str">
        <f>_xll.QS.CONTEXT.ADD.CURVE(C7579,"SOFR",$K$2:$K$7,$L$2:$L$7,,,"Actual360","LogLinear",TRUE)</f>
        <v>QSObject:ContextInput:w1~input.qs_context_add_curve.2359132437744.7578.3.0:32765</v>
      </c>
      <c r="E7579" s="6" t="str">
        <f>_xll.QS.INSTRUMENT.SWAP("swap.7577",H7579,B7579,"USD","SOFR",I7579,J7579,0,"Actual360","Simple","Annual","Annual","Annual")</f>
        <v>QSObject:Swap:w1~swap.7577:4609</v>
      </c>
      <c r="F7579" s="6" t="str">
        <f>_xll.QS.TRADE.CREATE("trade.7577",E7579,A7579,"Receive")</f>
        <v>QSObject:SwapTrade:w1~trade.7577:24110</v>
      </c>
      <c r="G7579" s="3">
        <f>_xll.QS.EVALUATE(C7579,F7579)</f>
        <v>46188.21638701023</v>
      </c>
      <c r="H7579" s="5" t="s">
        <v>7620</v>
      </c>
      <c r="I7579" s="7">
        <v>1757700</v>
      </c>
      <c r="J7579" s="8">
        <v>3.7699999999999997E-2</v>
      </c>
    </row>
    <row r="7580" spans="1:10" x14ac:dyDescent="0.25">
      <c r="A7580" s="5" t="s">
        <v>7614</v>
      </c>
      <c r="B7580" s="5" t="s">
        <v>9447</v>
      </c>
      <c r="C7580" s="6" t="str">
        <f>_xll.QS.CONTEXT.CREATE("market.7578",A7580,"USD","SOFR")</f>
        <v>QSObject:PricingContext:w1~market.7578:4608</v>
      </c>
      <c r="D7580" s="6" t="str">
        <f>_xll.QS.CONTEXT.ADD.CURVE(C7580,"SOFR",$K$2:$K$7,$L$2:$L$7,,,"Actual360","LogLinear",TRUE)</f>
        <v>QSObject:ContextInput:w1~input.qs_context_add_curve.2359132437744.7579.3.0:32764</v>
      </c>
      <c r="E7580" s="6" t="str">
        <f>_xll.QS.INSTRUMENT.SWAP("swap.7578",H7580,B7580,"USD","SOFR",I7580,J7580,0,"Actual360","Simple","Annual","Annual","Annual")</f>
        <v>QSObject:Swap:w1~swap.7578:4607</v>
      </c>
      <c r="F7580" s="6" t="str">
        <f>_xll.QS.TRADE.CREATE("trade.7578",E7580,A7580,"Receive")</f>
        <v>QSObject:SwapTrade:w1~trade.7578:24109</v>
      </c>
      <c r="G7580" s="3">
        <f>_xll.QS.EVALUATE(C7580,F7580)</f>
        <v>46934.58310331979</v>
      </c>
      <c r="H7580" s="5" t="s">
        <v>7621</v>
      </c>
      <c r="I7580" s="7">
        <v>1757800</v>
      </c>
      <c r="J7580" s="8">
        <v>3.78E-2</v>
      </c>
    </row>
    <row r="7581" spans="1:10" x14ac:dyDescent="0.25">
      <c r="A7581" s="5" t="s">
        <v>7615</v>
      </c>
      <c r="B7581" s="5" t="s">
        <v>9448</v>
      </c>
      <c r="C7581" s="6" t="str">
        <f>_xll.QS.CONTEXT.CREATE("market.7579",A7581,"USD","SOFR")</f>
        <v>QSObject:PricingContext:w1~market.7579:4606</v>
      </c>
      <c r="D7581" s="6" t="str">
        <f>_xll.QS.CONTEXT.ADD.CURVE(C7581,"SOFR",$K$2:$K$7,$L$2:$L$7,,,"Actual360","LogLinear",TRUE)</f>
        <v>QSObject:ContextInput:w1~input.qs_context_add_curve.2359132437744.7580.3.0:32763</v>
      </c>
      <c r="E7581" s="6" t="str">
        <f>_xll.QS.INSTRUMENT.SWAP("swap.7579",H7581,B7581,"USD","SOFR",I7581,J7581,0,"Actual360","Simple","Annual","Annual","Annual")</f>
        <v>QSObject:Swap:w1~swap.7579:4605</v>
      </c>
      <c r="F7581" s="6" t="str">
        <f>_xll.QS.TRADE.CREATE("trade.7579",E7581,A7581,"Receive")</f>
        <v>QSObject:SwapTrade:w1~trade.7579:24108</v>
      </c>
      <c r="G7581" s="3">
        <f>_xll.QS.EVALUATE(C7581,F7581)</f>
        <v>47587.256902339395</v>
      </c>
      <c r="H7581" s="5" t="s">
        <v>7622</v>
      </c>
      <c r="I7581" s="7">
        <v>1757900</v>
      </c>
      <c r="J7581" s="8">
        <v>3.7900000000000003E-2</v>
      </c>
    </row>
    <row r="7582" spans="1:10" x14ac:dyDescent="0.25">
      <c r="A7582" s="5" t="s">
        <v>7616</v>
      </c>
      <c r="B7582" s="5" t="s">
        <v>9449</v>
      </c>
      <c r="C7582" s="6" t="str">
        <f>_xll.QS.CONTEXT.CREATE("market.7580",A7582,"USD","SOFR")</f>
        <v>QSObject:PricingContext:w1~market.7580:4604</v>
      </c>
      <c r="D7582" s="6" t="str">
        <f>_xll.QS.CONTEXT.ADD.CURVE(C7582,"SOFR",$K$2:$K$7,$L$2:$L$7,,,"Actual360","LogLinear",TRUE)</f>
        <v>QSObject:ContextInput:w1~input.qs_context_add_curve.2359132437744.7581.3.0:32762</v>
      </c>
      <c r="E7582" s="6" t="str">
        <f>_xll.QS.INSTRUMENT.SWAP("swap.7580",H7582,B7582,"USD","SOFR",I7582,J7582,0,"Actual360","Simple","Annual","Annual","Annual")</f>
        <v>QSObject:Swap:w1~swap.7580:4603</v>
      </c>
      <c r="F7582" s="6" t="str">
        <f>_xll.QS.TRADE.CREATE("trade.7580",E7582,A7582,"Receive")</f>
        <v>QSObject:SwapTrade:w1~trade.7580:24107</v>
      </c>
      <c r="G7582" s="3">
        <f>_xll.QS.EVALUATE(C7582,F7582)</f>
        <v>48231.817651511781</v>
      </c>
      <c r="H7582" s="5" t="s">
        <v>7623</v>
      </c>
      <c r="I7582" s="7">
        <v>1758000</v>
      </c>
      <c r="J7582" s="8">
        <v>3.8000000000000013E-2</v>
      </c>
    </row>
    <row r="7583" spans="1:10" x14ac:dyDescent="0.25">
      <c r="A7583" s="5" t="s">
        <v>7617</v>
      </c>
      <c r="B7583" s="5" t="s">
        <v>9450</v>
      </c>
      <c r="C7583" s="6" t="str">
        <f>_xll.QS.CONTEXT.CREATE("market.7581",A7583,"USD","SOFR")</f>
        <v>QSObject:PricingContext:w1~market.7581:4602</v>
      </c>
      <c r="D7583" s="6" t="str">
        <f>_xll.QS.CONTEXT.ADD.CURVE(C7583,"SOFR",$K$2:$K$7,$L$2:$L$7,,,"Actual360","LogLinear",TRUE)</f>
        <v>QSObject:ContextInput:w1~input.qs_context_add_curve.2359132437744.7582.3.0:32761</v>
      </c>
      <c r="E7583" s="6" t="str">
        <f>_xll.QS.INSTRUMENT.SWAP("swap.7581",H7583,B7583,"USD","SOFR",I7583,J7583,0,"Actual360","Simple","Annual","Annual","Annual")</f>
        <v>QSObject:Swap:w1~swap.7581:4601</v>
      </c>
      <c r="F7583" s="6" t="str">
        <f>_xll.QS.TRADE.CREATE("trade.7581",E7583,A7583,"Receive")</f>
        <v>QSObject:SwapTrade:w1~trade.7581:24106</v>
      </c>
      <c r="G7583" s="3">
        <f>_xll.QS.EVALUATE(C7583,F7583)</f>
        <v>49121.943276918224</v>
      </c>
      <c r="H7583" s="5" t="s">
        <v>7624</v>
      </c>
      <c r="I7583" s="7">
        <v>1758100</v>
      </c>
      <c r="J7583" s="8">
        <v>3.8100000000000002E-2</v>
      </c>
    </row>
    <row r="7584" spans="1:10" x14ac:dyDescent="0.25">
      <c r="A7584" s="5" t="s">
        <v>7618</v>
      </c>
      <c r="B7584" s="5" t="s">
        <v>9451</v>
      </c>
      <c r="C7584" s="6" t="str">
        <f>_xll.QS.CONTEXT.CREATE("market.7582",A7584,"USD","SOFR")</f>
        <v>QSObject:PricingContext:w1~market.7582:4600</v>
      </c>
      <c r="D7584" s="6" t="str">
        <f>_xll.QS.CONTEXT.ADD.CURVE(C7584,"SOFR",$K$2:$K$7,$L$2:$L$7,,,"Actual360","LogLinear",TRUE)</f>
        <v>QSObject:ContextInput:w1~input.qs_context_add_curve.2359132437744.7583.3.0:32760</v>
      </c>
      <c r="E7584" s="6" t="str">
        <f>_xll.QS.INSTRUMENT.SWAP("swap.7582",H7584,B7584,"USD","SOFR",I7584,J7584,0,"Actual360","Simple","Annual","Annual","Annual")</f>
        <v>QSObject:Swap:w1~swap.7582:4599</v>
      </c>
      <c r="F7584" s="6" t="str">
        <f>_xll.QS.TRADE.CREATE("trade.7582",E7584,A7584,"Receive")</f>
        <v>QSObject:SwapTrade:w1~trade.7582:24105</v>
      </c>
      <c r="G7584" s="3">
        <f>_xll.QS.EVALUATE(C7584,F7584)</f>
        <v>50009.149274520358</v>
      </c>
      <c r="H7584" s="5" t="s">
        <v>7625</v>
      </c>
      <c r="I7584" s="7">
        <v>1758200</v>
      </c>
      <c r="J7584" s="8">
        <v>3.8199999999999998E-2</v>
      </c>
    </row>
    <row r="7585" spans="1:10" x14ac:dyDescent="0.25">
      <c r="A7585" s="5" t="s">
        <v>7619</v>
      </c>
      <c r="B7585" s="5" t="s">
        <v>9452</v>
      </c>
      <c r="C7585" s="6" t="str">
        <f>_xll.QS.CONTEXT.CREATE("market.7583",A7585,"USD","SOFR")</f>
        <v>QSObject:PricingContext:w1~market.7583:4598</v>
      </c>
      <c r="D7585" s="6" t="str">
        <f>_xll.QS.CONTEXT.ADD.CURVE(C7585,"SOFR",$K$2:$K$7,$L$2:$L$7,,,"Actual360","LogLinear",TRUE)</f>
        <v>QSObject:ContextInput:w1~input.qs_context_add_curve.2359132437744.7584.3.0:32759</v>
      </c>
      <c r="E7585" s="6" t="str">
        <f>_xll.QS.INSTRUMENT.SWAP("swap.7583",H7585,B7585,"USD","SOFR",I7585,J7585,0,"Actual360","Simple","Annual","Annual","Annual")</f>
        <v>QSObject:Swap:w1~swap.7583:4597</v>
      </c>
      <c r="F7585" s="6" t="str">
        <f>_xll.QS.TRADE.CREATE("trade.7583",E7585,A7585,"Receive")</f>
        <v>QSObject:SwapTrade:w1~trade.7583:24104</v>
      </c>
      <c r="G7585" s="3">
        <f>_xll.QS.EVALUATE(C7585,F7585)</f>
        <v>51057.867824589543</v>
      </c>
      <c r="H7585" s="5" t="s">
        <v>7626</v>
      </c>
      <c r="I7585" s="7">
        <v>1758300</v>
      </c>
      <c r="J7585" s="8">
        <v>3.8300000000000001E-2</v>
      </c>
    </row>
    <row r="7586" spans="1:10" x14ac:dyDescent="0.25">
      <c r="A7586" s="5" t="s">
        <v>7620</v>
      </c>
      <c r="B7586" s="5" t="s">
        <v>9453</v>
      </c>
      <c r="C7586" s="6" t="str">
        <f>_xll.QS.CONTEXT.CREATE("market.7584",A7586,"USD","SOFR")</f>
        <v>QSObject:PricingContext:w1~market.7584:4596</v>
      </c>
      <c r="D7586" s="6" t="str">
        <f>_xll.QS.CONTEXT.ADD.CURVE(C7586,"SOFR",$K$2:$K$7,$L$2:$L$7,,,"Actual360","LogLinear",TRUE)</f>
        <v>QSObject:ContextInput:w1~input.qs_context_add_curve.2359132437744.7585.3.0:32758</v>
      </c>
      <c r="E7586" s="6" t="str">
        <f>_xll.QS.INSTRUMENT.SWAP("swap.7584",H7586,B7586,"USD","SOFR",I7586,J7586,0,"Actual360","Simple","Annual","Annual","Annual")</f>
        <v>QSObject:Swap:w1~swap.7584:4595</v>
      </c>
      <c r="F7586" s="6" t="str">
        <f>_xll.QS.TRADE.CREATE("trade.7584",E7586,A7586,"Receive")</f>
        <v>QSObject:SwapTrade:w1~trade.7584:24103</v>
      </c>
      <c r="G7586" s="3">
        <f>_xll.QS.EVALUATE(C7586,F7586)</f>
        <v>51888.620295682631</v>
      </c>
      <c r="H7586" s="5" t="s">
        <v>7627</v>
      </c>
      <c r="I7586" s="7">
        <v>1758400</v>
      </c>
      <c r="J7586" s="8">
        <v>3.8399999999999997E-2</v>
      </c>
    </row>
    <row r="7587" spans="1:10" x14ac:dyDescent="0.25">
      <c r="A7587" s="5" t="s">
        <v>7621</v>
      </c>
      <c r="B7587" s="5" t="s">
        <v>9454</v>
      </c>
      <c r="C7587" s="6" t="str">
        <f>_xll.QS.CONTEXT.CREATE("market.7585",A7587,"USD","SOFR")</f>
        <v>QSObject:PricingContext:w1~market.7585:4594</v>
      </c>
      <c r="D7587" s="6" t="str">
        <f>_xll.QS.CONTEXT.ADD.CURVE(C7587,"SOFR",$K$2:$K$7,$L$2:$L$7,,,"Actual360","LogLinear",TRUE)</f>
        <v>QSObject:ContextInput:w1~input.qs_context_add_curve.2359132437744.7586.3.0:32757</v>
      </c>
      <c r="E7587" s="6" t="str">
        <f>_xll.QS.INSTRUMENT.SWAP("swap.7585",H7587,B7587,"USD","SOFR",I7587,J7587,0,"Actual360","Simple","Annual","Annual","Annual")</f>
        <v>QSObject:Swap:w1~swap.7585:4593</v>
      </c>
      <c r="F7587" s="6" t="str">
        <f>_xll.QS.TRADE.CREATE("trade.7585",E7587,A7587,"Receive")</f>
        <v>QSObject:SwapTrade:w1~trade.7585:24102</v>
      </c>
      <c r="G7587" s="3">
        <f>_xll.QS.EVALUATE(C7587,F7587)</f>
        <v>52702.300008870545</v>
      </c>
      <c r="H7587" s="5" t="s">
        <v>7628</v>
      </c>
      <c r="I7587" s="7">
        <v>1758500</v>
      </c>
      <c r="J7587" s="8">
        <v>3.8500000000000013E-2</v>
      </c>
    </row>
    <row r="7588" spans="1:10" x14ac:dyDescent="0.25">
      <c r="A7588" s="5" t="s">
        <v>7622</v>
      </c>
      <c r="B7588" s="5" t="s">
        <v>9455</v>
      </c>
      <c r="C7588" s="6" t="str">
        <f>_xll.QS.CONTEXT.CREATE("market.7586",A7588,"USD","SOFR")</f>
        <v>QSObject:PricingContext:w1~market.7586:4592</v>
      </c>
      <c r="D7588" s="6" t="str">
        <f>_xll.QS.CONTEXT.ADD.CURVE(C7588,"SOFR",$K$2:$K$7,$L$2:$L$7,,,"Actual360","LogLinear",TRUE)</f>
        <v>QSObject:ContextInput:w1~input.qs_context_add_curve.2359132437744.7587.3.0:32756</v>
      </c>
      <c r="E7588" s="6" t="str">
        <f>_xll.QS.INSTRUMENT.SWAP("swap.7586",H7588,B7588,"USD","SOFR",I7588,J7588,0,"Actual360","Simple","Annual","Annual","Annual")</f>
        <v>QSObject:Swap:w1~swap.7586:4591</v>
      </c>
      <c r="F7588" s="6" t="str">
        <f>_xll.QS.TRADE.CREATE("trade.7586",E7588,A7588,"Receive")</f>
        <v>QSObject:SwapTrade:w1~trade.7586:24101</v>
      </c>
      <c r="G7588" s="3">
        <f>_xll.QS.EVALUATE(C7588,F7588)</f>
        <v>53378.937589590081</v>
      </c>
      <c r="H7588" s="5" t="s">
        <v>7629</v>
      </c>
      <c r="I7588" s="7">
        <v>1758600</v>
      </c>
      <c r="J7588" s="8">
        <v>3.8600000000000002E-2</v>
      </c>
    </row>
    <row r="7589" spans="1:10" x14ac:dyDescent="0.25">
      <c r="A7589" s="5" t="s">
        <v>7623</v>
      </c>
      <c r="B7589" s="5" t="s">
        <v>9456</v>
      </c>
      <c r="C7589" s="6" t="str">
        <f>_xll.QS.CONTEXT.CREATE("market.7587",A7589,"USD","SOFR")</f>
        <v>QSObject:PricingContext:w1~market.7587:4590</v>
      </c>
      <c r="D7589" s="6" t="str">
        <f>_xll.QS.CONTEXT.ADD.CURVE(C7589,"SOFR",$K$2:$K$7,$L$2:$L$7,,,"Actual360","LogLinear",TRUE)</f>
        <v>QSObject:ContextInput:w1~input.qs_context_add_curve.2359132437744.7588.3.0:32755</v>
      </c>
      <c r="E7589" s="6" t="str">
        <f>_xll.QS.INSTRUMENT.SWAP("swap.7587",H7589,B7589,"USD","SOFR",I7589,J7589,0,"Actual360","Simple","Annual","Annual","Annual")</f>
        <v>QSObject:Swap:w1~swap.7587:4589</v>
      </c>
      <c r="F7589" s="6" t="str">
        <f>_xll.QS.TRADE.CREATE("trade.7587",E7589,A7589,"Receive")</f>
        <v>QSObject:SwapTrade:w1~trade.7587:24100</v>
      </c>
      <c r="G7589" s="3">
        <f>_xll.QS.EVALUATE(C7589,F7589)</f>
        <v>54076.163477316266</v>
      </c>
      <c r="H7589" s="5" t="s">
        <v>7630</v>
      </c>
      <c r="I7589" s="7">
        <v>1758700</v>
      </c>
      <c r="J7589" s="8">
        <v>3.8700000000000012E-2</v>
      </c>
    </row>
    <row r="7590" spans="1:10" x14ac:dyDescent="0.25">
      <c r="A7590" s="5" t="s">
        <v>7624</v>
      </c>
      <c r="B7590" s="5" t="s">
        <v>9457</v>
      </c>
      <c r="C7590" s="6" t="str">
        <f>_xll.QS.CONTEXT.CREATE("market.7588",A7590,"USD","SOFR")</f>
        <v>QSObject:PricingContext:w1~market.7588:4588</v>
      </c>
      <c r="D7590" s="6" t="str">
        <f>_xll.QS.CONTEXT.ADD.CURVE(C7590,"SOFR",$K$2:$K$7,$L$2:$L$7,,,"Actual360","LogLinear",TRUE)</f>
        <v>QSObject:ContextInput:w1~input.qs_context_add_curve.2359132437744.7589.3.0:32754</v>
      </c>
      <c r="E7590" s="6" t="str">
        <f>_xll.QS.INSTRUMENT.SWAP("swap.7588",H7590,B7590,"USD","SOFR",I7590,J7590,0,"Actual360","Simple","Annual","Annual","Annual")</f>
        <v>QSObject:Swap:w1~swap.7588:4587</v>
      </c>
      <c r="F7590" s="6" t="str">
        <f>_xll.QS.TRADE.CREATE("trade.7588",E7590,A7590,"Receive")</f>
        <v>QSObject:SwapTrade:w1~trade.7588:24099</v>
      </c>
      <c r="G7590" s="3">
        <f>_xll.QS.EVALUATE(C7590,F7590)</f>
        <v>54894.814138069567</v>
      </c>
      <c r="H7590" s="5" t="s">
        <v>7631</v>
      </c>
      <c r="I7590" s="7">
        <v>1758800</v>
      </c>
      <c r="J7590" s="8">
        <v>3.8800000000000001E-2</v>
      </c>
    </row>
    <row r="7591" spans="1:10" x14ac:dyDescent="0.25">
      <c r="A7591" s="5" t="s">
        <v>7625</v>
      </c>
      <c r="B7591" s="5" t="s">
        <v>9458</v>
      </c>
      <c r="C7591" s="6" t="str">
        <f>_xll.QS.CONTEXT.CREATE("market.7589",A7591,"USD","SOFR")</f>
        <v>QSObject:PricingContext:w1~market.7589:4586</v>
      </c>
      <c r="D7591" s="6" t="str">
        <f>_xll.QS.CONTEXT.ADD.CURVE(C7591,"SOFR",$K$2:$K$7,$L$2:$L$7,,,"Actual360","LogLinear",TRUE)</f>
        <v>QSObject:ContextInput:w1~input.qs_context_add_curve.2359132437744.7590.3.0:32753</v>
      </c>
      <c r="E7591" s="6" t="str">
        <f>_xll.QS.INSTRUMENT.SWAP("swap.7589",H7591,B7591,"USD","SOFR",I7591,J7591,0,"Actual360","Simple","Annual","Annual","Annual")</f>
        <v>QSObject:Swap:w1~swap.7589:4585</v>
      </c>
      <c r="F7591" s="6" t="str">
        <f>_xll.QS.TRADE.CREATE("trade.7589",E7591,A7591,"Receive")</f>
        <v>QSObject:SwapTrade:w1~trade.7589:24098</v>
      </c>
      <c r="G7591" s="3">
        <f>_xll.QS.EVALUATE(C7591,F7591)</f>
        <v>55748.21759771186</v>
      </c>
      <c r="H7591" s="5" t="s">
        <v>7632</v>
      </c>
      <c r="I7591" s="7">
        <v>1758900</v>
      </c>
      <c r="J7591" s="8">
        <v>3.8899999999999997E-2</v>
      </c>
    </row>
    <row r="7592" spans="1:10" x14ac:dyDescent="0.25">
      <c r="A7592" s="5" t="s">
        <v>7626</v>
      </c>
      <c r="B7592" s="5" t="s">
        <v>9459</v>
      </c>
      <c r="C7592" s="6" t="str">
        <f>_xll.QS.CONTEXT.CREATE("market.7590",A7592,"USD","SOFR")</f>
        <v>QSObject:PricingContext:w1~market.7590:4584</v>
      </c>
      <c r="D7592" s="6" t="str">
        <f>_xll.QS.CONTEXT.ADD.CURVE(C7592,"SOFR",$K$2:$K$7,$L$2:$L$7,,,"Actual360","LogLinear",TRUE)</f>
        <v>QSObject:ContextInput:w1~input.qs_context_add_curve.2359132437744.7591.3.0:32752</v>
      </c>
      <c r="E7592" s="6" t="str">
        <f>_xll.QS.INSTRUMENT.SWAP("swap.7590",H7592,B7592,"USD","SOFR",I7592,J7592,0,"Actual360","Simple","Annual","Annual","Annual")</f>
        <v>QSObject:Swap:w1~swap.7590:4583</v>
      </c>
      <c r="F7592" s="6" t="str">
        <f>_xll.QS.TRADE.CREATE("trade.7590",E7592,A7592,"Receive")</f>
        <v>QSObject:SwapTrade:w1~trade.7590:24097</v>
      </c>
      <c r="G7592" s="3">
        <f>_xll.QS.EVALUATE(C7592,F7592)</f>
        <v>56691.188928719515</v>
      </c>
      <c r="H7592" s="5" t="s">
        <v>7633</v>
      </c>
      <c r="I7592" s="7">
        <v>1759000</v>
      </c>
      <c r="J7592" s="8">
        <v>3.9000000000000007E-2</v>
      </c>
    </row>
    <row r="7593" spans="1:10" x14ac:dyDescent="0.25">
      <c r="A7593" s="5" t="s">
        <v>7627</v>
      </c>
      <c r="B7593" s="5" t="s">
        <v>9460</v>
      </c>
      <c r="C7593" s="6" t="str">
        <f>_xll.QS.CONTEXT.CREATE("market.7591",A7593,"USD","SOFR")</f>
        <v>QSObject:PricingContext:w1~market.7591:4582</v>
      </c>
      <c r="D7593" s="6" t="str">
        <f>_xll.QS.CONTEXT.ADD.CURVE(C7593,"SOFR",$K$2:$K$7,$L$2:$L$7,,,"Actual360","LogLinear",TRUE)</f>
        <v>QSObject:ContextInput:w1~input.qs_context_add_curve.2359132437744.7592.3.0:32751</v>
      </c>
      <c r="E7593" s="6" t="str">
        <f>_xll.QS.INSTRUMENT.SWAP("swap.7591",H7593,B7593,"USD","SOFR",I7593,J7593,0,"Actual360","Simple","Annual","Annual","Annual")</f>
        <v>QSObject:Swap:w1~swap.7591:4581</v>
      </c>
      <c r="F7593" s="6" t="str">
        <f>_xll.QS.TRADE.CREATE("trade.7591",E7593,A7593,"Receive")</f>
        <v>QSObject:SwapTrade:w1~trade.7591:24096</v>
      </c>
      <c r="G7593" s="3">
        <f>_xll.QS.EVALUATE(C7593,F7593)</f>
        <v>57582.266918842048</v>
      </c>
      <c r="H7593" s="5" t="s">
        <v>7634</v>
      </c>
      <c r="I7593" s="7">
        <v>1759100</v>
      </c>
      <c r="J7593" s="8">
        <v>3.9100000000000003E-2</v>
      </c>
    </row>
    <row r="7594" spans="1:10" x14ac:dyDescent="0.25">
      <c r="A7594" s="5" t="s">
        <v>7628</v>
      </c>
      <c r="B7594" s="5" t="s">
        <v>9461</v>
      </c>
      <c r="C7594" s="6" t="str">
        <f>_xll.QS.CONTEXT.CREATE("market.7592",A7594,"USD","SOFR")</f>
        <v>QSObject:PricingContext:w1~market.7592:4580</v>
      </c>
      <c r="D7594" s="6" t="str">
        <f>_xll.QS.CONTEXT.ADD.CURVE(C7594,"SOFR",$K$2:$K$7,$L$2:$L$7,,,"Actual360","LogLinear",TRUE)</f>
        <v>QSObject:ContextInput:w1~input.qs_context_add_curve.2359132437744.7593.3.0:32750</v>
      </c>
      <c r="E7594" s="6" t="str">
        <f>_xll.QS.INSTRUMENT.SWAP("swap.7592",H7594,B7594,"USD","SOFR",I7594,J7594,0,"Actual360","Simple","Annual","Annual","Annual")</f>
        <v>QSObject:Swap:w1~swap.7592:4579</v>
      </c>
      <c r="F7594" s="6" t="str">
        <f>_xll.QS.TRADE.CREATE("trade.7592",E7594,A7594,"Receive")</f>
        <v>QSObject:SwapTrade:w1~trade.7592:24095</v>
      </c>
      <c r="G7594" s="3">
        <f>_xll.QS.EVALUATE(C7594,F7594)</f>
        <v>58329.864551160172</v>
      </c>
      <c r="H7594" s="5" t="s">
        <v>7635</v>
      </c>
      <c r="I7594" s="7">
        <v>1759200</v>
      </c>
      <c r="J7594" s="8">
        <v>3.9200000000000013E-2</v>
      </c>
    </row>
    <row r="7595" spans="1:10" x14ac:dyDescent="0.25">
      <c r="A7595" s="5" t="s">
        <v>7629</v>
      </c>
      <c r="B7595" s="5" t="s">
        <v>9462</v>
      </c>
      <c r="C7595" s="6" t="str">
        <f>_xll.QS.CONTEXT.CREATE("market.7593",A7595,"USD","SOFR")</f>
        <v>QSObject:PricingContext:w1~market.7593:4578</v>
      </c>
      <c r="D7595" s="6" t="str">
        <f>_xll.QS.CONTEXT.ADD.CURVE(C7595,"SOFR",$K$2:$K$7,$L$2:$L$7,,,"Actual360","LogLinear",TRUE)</f>
        <v>QSObject:ContextInput:w1~input.qs_context_add_curve.2359132437744.7594.3.0:32749</v>
      </c>
      <c r="E7595" s="6" t="str">
        <f>_xll.QS.INSTRUMENT.SWAP("swap.7593",H7595,B7595,"USD","SOFR",I7595,J7595,0,"Actual360","Simple","Annual","Annual","Annual")</f>
        <v>QSObject:Swap:w1~swap.7593:4577</v>
      </c>
      <c r="F7595" s="6" t="str">
        <f>_xll.QS.TRADE.CREATE("trade.7593",E7595,A7595,"Receive")</f>
        <v>QSObject:SwapTrade:w1~trade.7593:24094</v>
      </c>
      <c r="G7595" s="3">
        <f>_xll.QS.EVALUATE(C7595,F7595)</f>
        <v>59000.393147268805</v>
      </c>
      <c r="H7595" s="5" t="s">
        <v>7636</v>
      </c>
      <c r="I7595" s="7">
        <v>1759300</v>
      </c>
      <c r="J7595" s="8">
        <v>3.9300000000000002E-2</v>
      </c>
    </row>
    <row r="7596" spans="1:10" x14ac:dyDescent="0.25">
      <c r="A7596" s="5" t="s">
        <v>7630</v>
      </c>
      <c r="B7596" s="5" t="s">
        <v>9463</v>
      </c>
      <c r="C7596" s="6" t="str">
        <f>_xll.QS.CONTEXT.CREATE("market.7594",A7596,"USD","SOFR")</f>
        <v>QSObject:PricingContext:w1~market.7594:4576</v>
      </c>
      <c r="D7596" s="6" t="str">
        <f>_xll.QS.CONTEXT.ADD.CURVE(C7596,"SOFR",$K$2:$K$7,$L$2:$L$7,,,"Actual360","LogLinear",TRUE)</f>
        <v>QSObject:ContextInput:w1~input.qs_context_add_curve.2359132437744.7595.3.0:32748</v>
      </c>
      <c r="E7596" s="6" t="str">
        <f>_xll.QS.INSTRUMENT.SWAP("swap.7594",H7596,B7596,"USD","SOFR",I7596,J7596,0,"Actual360","Simple","Annual","Annual","Annual")</f>
        <v>QSObject:Swap:w1~swap.7594:4575</v>
      </c>
      <c r="F7596" s="6" t="str">
        <f>_xll.QS.TRADE.CREATE("trade.7594",E7596,A7596,"Receive")</f>
        <v>QSObject:SwapTrade:w1~trade.7594:24093</v>
      </c>
      <c r="G7596" s="3">
        <f>_xll.QS.EVALUATE(C7596,F7596)</f>
        <v>59707.191777264619</v>
      </c>
      <c r="H7596" s="5" t="s">
        <v>7637</v>
      </c>
      <c r="I7596" s="7">
        <v>1759400</v>
      </c>
      <c r="J7596" s="8">
        <v>3.9399999999999998E-2</v>
      </c>
    </row>
    <row r="7597" spans="1:10" x14ac:dyDescent="0.25">
      <c r="A7597" s="5" t="s">
        <v>7631</v>
      </c>
      <c r="B7597" s="5" t="s">
        <v>9464</v>
      </c>
      <c r="C7597" s="6" t="str">
        <f>_xll.QS.CONTEXT.CREATE("market.7595",A7597,"USD","SOFR")</f>
        <v>QSObject:PricingContext:w1~market.7595:4574</v>
      </c>
      <c r="D7597" s="6" t="str">
        <f>_xll.QS.CONTEXT.ADD.CURVE(C7597,"SOFR",$K$2:$K$7,$L$2:$L$7,,,"Actual360","LogLinear",TRUE)</f>
        <v>QSObject:ContextInput:w1~input.qs_context_add_curve.2359132437744.7596.3.0:32747</v>
      </c>
      <c r="E7597" s="6" t="str">
        <f>_xll.QS.INSTRUMENT.SWAP("swap.7595",H7597,B7597,"USD","SOFR",I7597,J7597,0,"Actual360","Simple","Annual","Annual","Annual")</f>
        <v>QSObject:Swap:w1~swap.7595:4573</v>
      </c>
      <c r="F7597" s="6" t="str">
        <f>_xll.QS.TRADE.CREATE("trade.7595",E7597,A7597,"Receive")</f>
        <v>QSObject:SwapTrade:w1~trade.7595:24092</v>
      </c>
      <c r="G7597" s="3">
        <f>_xll.QS.EVALUATE(C7597,F7597)</f>
        <v>60598.827355428504</v>
      </c>
      <c r="H7597" s="5" t="s">
        <v>7638</v>
      </c>
      <c r="I7597" s="7">
        <v>1759500</v>
      </c>
      <c r="J7597" s="8">
        <v>3.9500000000000007E-2</v>
      </c>
    </row>
    <row r="7598" spans="1:10" x14ac:dyDescent="0.25">
      <c r="A7598" s="5" t="s">
        <v>7632</v>
      </c>
      <c r="B7598" s="5" t="s">
        <v>9465</v>
      </c>
      <c r="C7598" s="6" t="str">
        <f>_xll.QS.CONTEXT.CREATE("market.7596",A7598,"USD","SOFR")</f>
        <v>QSObject:PricingContext:w1~market.7596:4572</v>
      </c>
      <c r="D7598" s="6" t="str">
        <f>_xll.QS.CONTEXT.ADD.CURVE(C7598,"SOFR",$K$2:$K$7,$L$2:$L$7,,,"Actual360","LogLinear",TRUE)</f>
        <v>QSObject:ContextInput:w1~input.qs_context_add_curve.2359132437744.7597.3.0:32746</v>
      </c>
      <c r="E7598" s="6" t="str">
        <f>_xll.QS.INSTRUMENT.SWAP("swap.7596",H7598,B7598,"USD","SOFR",I7598,J7598,0,"Actual360","Simple","Annual","Annual","Annual")</f>
        <v>QSObject:Swap:w1~swap.7596:4571</v>
      </c>
      <c r="F7598" s="6" t="str">
        <f>_xll.QS.TRADE.CREATE("trade.7596",E7598,A7598,"Receive")</f>
        <v>QSObject:SwapTrade:w1~trade.7596:24091</v>
      </c>
      <c r="G7598" s="3">
        <f>_xll.QS.EVALUATE(C7598,F7598)</f>
        <v>61450.18034683197</v>
      </c>
      <c r="H7598" s="5" t="s">
        <v>7639</v>
      </c>
      <c r="I7598" s="7">
        <v>1759600</v>
      </c>
      <c r="J7598" s="8">
        <v>3.9600000000000003E-2</v>
      </c>
    </row>
    <row r="7599" spans="1:10" x14ac:dyDescent="0.25">
      <c r="A7599" s="5" t="s">
        <v>7633</v>
      </c>
      <c r="B7599" s="5" t="s">
        <v>9466</v>
      </c>
      <c r="C7599" s="6" t="str">
        <f>_xll.QS.CONTEXT.CREATE("market.7597",A7599,"USD","SOFR")</f>
        <v>QSObject:PricingContext:w1~market.7597:4570</v>
      </c>
      <c r="D7599" s="6" t="str">
        <f>_xll.QS.CONTEXT.ADD.CURVE(C7599,"SOFR",$K$2:$K$7,$L$2:$L$7,,,"Actual360","LogLinear",TRUE)</f>
        <v>QSObject:ContextInput:w1~input.qs_context_add_curve.2359132437744.7598.3.0:32745</v>
      </c>
      <c r="E7599" s="6" t="str">
        <f>_xll.QS.INSTRUMENT.SWAP("swap.7597",H7599,B7599,"USD","SOFR",I7599,J7599,0,"Actual360","Simple","Annual","Annual","Annual")</f>
        <v>QSObject:Swap:w1~swap.7597:4569</v>
      </c>
      <c r="F7599" s="6" t="str">
        <f>_xll.QS.TRADE.CREATE("trade.7597",E7599,A7599,"Receive")</f>
        <v>QSObject:SwapTrade:w1~trade.7597:24090</v>
      </c>
      <c r="G7599" s="3">
        <f>_xll.QS.EVALUATE(C7599,F7599)</f>
        <v>62394.006513660803</v>
      </c>
      <c r="H7599" s="5" t="s">
        <v>7640</v>
      </c>
      <c r="I7599" s="7">
        <v>1759700</v>
      </c>
      <c r="J7599" s="8">
        <v>3.9700000000000013E-2</v>
      </c>
    </row>
    <row r="7600" spans="1:10" x14ac:dyDescent="0.25">
      <c r="A7600" s="5" t="s">
        <v>7634</v>
      </c>
      <c r="B7600" s="5" t="s">
        <v>9467</v>
      </c>
      <c r="C7600" s="6" t="str">
        <f>_xll.QS.CONTEXT.CREATE("market.7598",A7600,"USD","SOFR")</f>
        <v>QSObject:PricingContext:w1~market.7598:4568</v>
      </c>
      <c r="D7600" s="6" t="str">
        <f>_xll.QS.CONTEXT.ADD.CURVE(C7600,"SOFR",$K$2:$K$7,$L$2:$L$7,,,"Actual360","LogLinear",TRUE)</f>
        <v>QSObject:ContextInput:w1~input.qs_context_add_curve.2359132437744.7599.3.0:32744</v>
      </c>
      <c r="E7600" s="6" t="str">
        <f>_xll.QS.INSTRUMENT.SWAP("swap.7598",H7600,B7600,"USD","SOFR",I7600,J7600,0,"Actual360","Simple","Annual","Annual","Annual")</f>
        <v>QSObject:Swap:w1~swap.7598:4567</v>
      </c>
      <c r="F7600" s="6" t="str">
        <f>_xll.QS.TRADE.CREATE("trade.7598",E7600,A7600,"Receive")</f>
        <v>QSObject:SwapTrade:w1~trade.7598:24089</v>
      </c>
      <c r="G7600" s="3">
        <f>_xll.QS.EVALUATE(C7600,F7600)</f>
        <v>63285.821327987716</v>
      </c>
      <c r="H7600" s="5" t="s">
        <v>7641</v>
      </c>
      <c r="I7600" s="7">
        <v>1759800</v>
      </c>
      <c r="J7600" s="8">
        <v>3.9800000000000002E-2</v>
      </c>
    </row>
    <row r="7601" spans="1:10" x14ac:dyDescent="0.25">
      <c r="A7601" s="5" t="s">
        <v>7635</v>
      </c>
      <c r="B7601" s="5" t="s">
        <v>9468</v>
      </c>
      <c r="C7601" s="6" t="str">
        <f>_xll.QS.CONTEXT.CREATE("market.7599",A7601,"USD","SOFR")</f>
        <v>QSObject:PricingContext:w1~market.7599:4566</v>
      </c>
      <c r="D7601" s="6" t="str">
        <f>_xll.QS.CONTEXT.ADD.CURVE(C7601,"SOFR",$K$2:$K$7,$L$2:$L$7,,,"Actual360","LogLinear",TRUE)</f>
        <v>QSObject:ContextInput:w1~input.qs_context_add_curve.2359132437744.7600.3.0:32743</v>
      </c>
      <c r="E7601" s="6" t="str">
        <f>_xll.QS.INSTRUMENT.SWAP("swap.7599",H7601,B7601,"USD","SOFR",I7601,J7601,0,"Actual360","Simple","Annual","Annual","Annual")</f>
        <v>QSObject:Swap:w1~swap.7599:4565</v>
      </c>
      <c r="F7601" s="6" t="str">
        <f>_xll.QS.TRADE.CREATE("trade.7599",E7601,A7601,"Receive")</f>
        <v>QSObject:SwapTrade:w1~trade.7599:24088</v>
      </c>
      <c r="G7601" s="3">
        <f>_xll.QS.EVALUATE(C7601,F7601)</f>
        <v>64033.807785406447</v>
      </c>
      <c r="H7601" s="5" t="s">
        <v>7642</v>
      </c>
      <c r="I7601" s="7">
        <v>1759900</v>
      </c>
      <c r="J7601" s="8">
        <v>3.9899999999999998E-2</v>
      </c>
    </row>
    <row r="7602" spans="1:10" x14ac:dyDescent="0.25">
      <c r="A7602" s="5" t="s">
        <v>7636</v>
      </c>
      <c r="B7602" s="5" t="s">
        <v>9469</v>
      </c>
      <c r="C7602" s="6" t="str">
        <f>_xll.QS.CONTEXT.CREATE("market.7600",A7602,"USD","SOFR")</f>
        <v>QSObject:PricingContext:w1~market.7600:4564</v>
      </c>
      <c r="D7602" s="6" t="str">
        <f>_xll.QS.CONTEXT.ADD.CURVE(C7602,"SOFR",$K$2:$K$7,$L$2:$L$7,,,"Actual360","LogLinear",TRUE)</f>
        <v>QSObject:ContextInput:w1~input.qs_context_add_curve.2359132437744.7601.3.0:32742</v>
      </c>
      <c r="E7602" s="6" t="str">
        <f>_xll.QS.INSTRUMENT.SWAP("swap.7600",H7602,B7602,"USD","SOFR",I7602,J7602,0,"Actual360","Simple","Annual","Annual","Annual")</f>
        <v>QSObject:Swap:w1~swap.7600:4563</v>
      </c>
      <c r="F7602" s="6" t="str">
        <f>_xll.QS.TRADE.CREATE("trade.7600",E7602,A7602,"Receive")</f>
        <v>QSObject:SwapTrade:w1~trade.7600:24087</v>
      </c>
      <c r="G7602" s="3">
        <f>_xll.QS.EVALUATE(C7602,F7602)</f>
        <v>24215.490049273969</v>
      </c>
      <c r="H7602" s="5" t="s">
        <v>7643</v>
      </c>
      <c r="I7602" s="7">
        <v>1760000</v>
      </c>
      <c r="J7602" s="8">
        <v>3.5000000000000003E-2</v>
      </c>
    </row>
    <row r="7603" spans="1:10" x14ac:dyDescent="0.25">
      <c r="A7603" s="5" t="s">
        <v>7637</v>
      </c>
      <c r="B7603" s="5" t="s">
        <v>9470</v>
      </c>
      <c r="C7603" s="6" t="str">
        <f>_xll.QS.CONTEXT.CREATE("market.7601",A7603,"USD","SOFR")</f>
        <v>QSObject:PricingContext:w1~market.7601:4562</v>
      </c>
      <c r="D7603" s="6" t="str">
        <f>_xll.QS.CONTEXT.ADD.CURVE(C7603,"SOFR",$K$2:$K$7,$L$2:$L$7,,,"Actual360","LogLinear",TRUE)</f>
        <v>QSObject:ContextInput:w1~input.qs_context_add_curve.2359132437744.7602.3.0:32741</v>
      </c>
      <c r="E7603" s="6" t="str">
        <f>_xll.QS.INSTRUMENT.SWAP("swap.7601",H7603,B7603,"USD","SOFR",I7603,J7603,0,"Actual360","Simple","Annual","Annual","Annual")</f>
        <v>QSObject:Swap:w1~swap.7601:4561</v>
      </c>
      <c r="F7603" s="6" t="str">
        <f>_xll.QS.TRADE.CREATE("trade.7601",E7603,A7603,"Receive")</f>
        <v>QSObject:SwapTrade:w1~trade.7601:24086</v>
      </c>
      <c r="G7603" s="3">
        <f>_xll.QS.EVALUATE(C7603,F7603)</f>
        <v>25030.96128720852</v>
      </c>
      <c r="H7603" s="5" t="s">
        <v>7644</v>
      </c>
      <c r="I7603" s="7">
        <v>1760100</v>
      </c>
      <c r="J7603" s="8">
        <v>3.5100000000000013E-2</v>
      </c>
    </row>
    <row r="7604" spans="1:10" x14ac:dyDescent="0.25">
      <c r="A7604" s="5" t="s">
        <v>7638</v>
      </c>
      <c r="B7604" s="5" t="s">
        <v>9471</v>
      </c>
      <c r="C7604" s="6" t="str">
        <f>_xll.QS.CONTEXT.CREATE("market.7602",A7604,"USD","SOFR")</f>
        <v>QSObject:PricingContext:w1~market.7602:4560</v>
      </c>
      <c r="D7604" s="6" t="str">
        <f>_xll.QS.CONTEXT.ADD.CURVE(C7604,"SOFR",$K$2:$K$7,$L$2:$L$7,,,"Actual360","LogLinear",TRUE)</f>
        <v>QSObject:ContextInput:w1~input.qs_context_add_curve.2359132437744.7603.3.0:32740</v>
      </c>
      <c r="E7604" s="6" t="str">
        <f>_xll.QS.INSTRUMENT.SWAP("swap.7602",H7604,B7604,"USD","SOFR",I7604,J7604,0,"Actual360","Simple","Annual","Annual","Annual")</f>
        <v>QSObject:Swap:w1~swap.7602:4559</v>
      </c>
      <c r="F7604" s="6" t="str">
        <f>_xll.QS.TRADE.CREATE("trade.7602",E7604,A7604,"Receive")</f>
        <v>QSObject:SwapTrade:w1~trade.7602:24085</v>
      </c>
      <c r="G7604" s="3">
        <f>_xll.QS.EVALUATE(C7604,F7604)</f>
        <v>25703.11530257354</v>
      </c>
      <c r="H7604" s="5" t="s">
        <v>7645</v>
      </c>
      <c r="I7604" s="7">
        <v>1760200</v>
      </c>
      <c r="J7604" s="8">
        <v>3.5200000000000002E-2</v>
      </c>
    </row>
    <row r="7605" spans="1:10" x14ac:dyDescent="0.25">
      <c r="A7605" s="5" t="s">
        <v>7639</v>
      </c>
      <c r="B7605" s="5" t="s">
        <v>9472</v>
      </c>
      <c r="C7605" s="6" t="str">
        <f>_xll.QS.CONTEXT.CREATE("market.7603",A7605,"USD","SOFR")</f>
        <v>QSObject:PricingContext:w1~market.7603:4558</v>
      </c>
      <c r="D7605" s="6" t="str">
        <f>_xll.QS.CONTEXT.ADD.CURVE(C7605,"SOFR",$K$2:$K$7,$L$2:$L$7,,,"Actual360","LogLinear",TRUE)</f>
        <v>QSObject:ContextInput:w1~input.qs_context_add_curve.2359132437744.7604.3.0:32739</v>
      </c>
      <c r="E7605" s="6" t="str">
        <f>_xll.QS.INSTRUMENT.SWAP("swap.7603",H7605,B7605,"USD","SOFR",I7605,J7605,0,"Actual360","Simple","Annual","Annual","Annual")</f>
        <v>QSObject:Swap:w1~swap.7603:4557</v>
      </c>
      <c r="F7605" s="6" t="str">
        <f>_xll.QS.TRADE.CREATE("trade.7603",E7605,A7605,"Receive")</f>
        <v>QSObject:SwapTrade:w1~trade.7603:24084</v>
      </c>
      <c r="G7605" s="3">
        <f>_xll.QS.EVALUATE(C7605,F7605)</f>
        <v>26569.917180007571</v>
      </c>
      <c r="H7605" s="5" t="s">
        <v>7646</v>
      </c>
      <c r="I7605" s="7">
        <v>1760300</v>
      </c>
      <c r="J7605" s="8">
        <v>3.5299999999999998E-2</v>
      </c>
    </row>
    <row r="7606" spans="1:10" x14ac:dyDescent="0.25">
      <c r="A7606" s="5" t="s">
        <v>7640</v>
      </c>
      <c r="B7606" s="5" t="s">
        <v>9473</v>
      </c>
      <c r="C7606" s="6" t="str">
        <f>_xll.QS.CONTEXT.CREATE("market.7604",A7606,"USD","SOFR")</f>
        <v>QSObject:PricingContext:w1~market.7604:4556</v>
      </c>
      <c r="D7606" s="6" t="str">
        <f>_xll.QS.CONTEXT.ADD.CURVE(C7606,"SOFR",$K$2:$K$7,$L$2:$L$7,,,"Actual360","LogLinear",TRUE)</f>
        <v>QSObject:ContextInput:w1~input.qs_context_add_curve.2359132437744.7605.3.0:32738</v>
      </c>
      <c r="E7606" s="6" t="str">
        <f>_xll.QS.INSTRUMENT.SWAP("swap.7604",H7606,B7606,"USD","SOFR",I7606,J7606,0,"Actual360","Simple","Annual","Annual","Annual")</f>
        <v>QSObject:Swap:w1~swap.7604:4555</v>
      </c>
      <c r="F7606" s="6" t="str">
        <f>_xll.QS.TRADE.CREATE("trade.7604",E7606,A7606,"Receive")</f>
        <v>QSObject:SwapTrade:w1~trade.7604:24083</v>
      </c>
      <c r="G7606" s="3">
        <f>_xll.QS.EVALUATE(C7606,F7606)</f>
        <v>27579.33643308287</v>
      </c>
      <c r="H7606" s="5" t="s">
        <v>7647</v>
      </c>
      <c r="I7606" s="7">
        <v>1760400</v>
      </c>
      <c r="J7606" s="8">
        <v>3.5400000000000001E-2</v>
      </c>
    </row>
    <row r="7607" spans="1:10" x14ac:dyDescent="0.25">
      <c r="A7607" s="5" t="s">
        <v>7641</v>
      </c>
      <c r="B7607" s="5" t="s">
        <v>9474</v>
      </c>
      <c r="C7607" s="6" t="str">
        <f>_xll.QS.CONTEXT.CREATE("market.7605",A7607,"USD","SOFR")</f>
        <v>QSObject:PricingContext:w1~market.7605:4554</v>
      </c>
      <c r="D7607" s="6" t="str">
        <f>_xll.QS.CONTEXT.ADD.CURVE(C7607,"SOFR",$K$2:$K$7,$L$2:$L$7,,,"Actual360","LogLinear",TRUE)</f>
        <v>QSObject:ContextInput:w1~input.qs_context_add_curve.2359132437744.7606.3.0:32737</v>
      </c>
      <c r="E7607" s="6" t="str">
        <f>_xll.QS.INSTRUMENT.SWAP("swap.7605",H7607,B7607,"USD","SOFR",I7607,J7607,0,"Actual360","Simple","Annual","Annual","Annual")</f>
        <v>QSObject:Swap:w1~swap.7605:4553</v>
      </c>
      <c r="F7607" s="6" t="str">
        <f>_xll.QS.TRADE.CREATE("trade.7605",E7607,A7607,"Receive")</f>
        <v>QSObject:SwapTrade:w1~trade.7605:24082</v>
      </c>
      <c r="G7607" s="3">
        <f>_xll.QS.EVALUATE(C7607,F7607)</f>
        <v>28401.750253587437</v>
      </c>
      <c r="H7607" s="5" t="s">
        <v>7648</v>
      </c>
      <c r="I7607" s="7">
        <v>1760500</v>
      </c>
      <c r="J7607" s="8">
        <v>3.5499999999999997E-2</v>
      </c>
    </row>
    <row r="7608" spans="1:10" x14ac:dyDescent="0.25">
      <c r="A7608" s="5" t="s">
        <v>7642</v>
      </c>
      <c r="B7608" s="5" t="s">
        <v>9475</v>
      </c>
      <c r="C7608" s="6" t="str">
        <f>_xll.QS.CONTEXT.CREATE("market.7606",A7608,"USD","SOFR")</f>
        <v>QSObject:PricingContext:w1~market.7606:4552</v>
      </c>
      <c r="D7608" s="6" t="str">
        <f>_xll.QS.CONTEXT.ADD.CURVE(C7608,"SOFR",$K$2:$K$7,$L$2:$L$7,,,"Actual360","LogLinear",TRUE)</f>
        <v>QSObject:ContextInput:w1~input.qs_context_add_curve.2359132437744.7607.3.0:32736</v>
      </c>
      <c r="E7608" s="6" t="str">
        <f>_xll.QS.INSTRUMENT.SWAP("swap.7606",H7608,B7608,"USD","SOFR",I7608,J7608,0,"Actual360","Simple","Annual","Annual","Annual")</f>
        <v>QSObject:Swap:w1~swap.7606:4551</v>
      </c>
      <c r="F7608" s="6" t="str">
        <f>_xll.QS.TRADE.CREATE("trade.7606",E7608,A7608,"Receive")</f>
        <v>QSObject:SwapTrade:w1~trade.7606:24081</v>
      </c>
      <c r="G7608" s="3">
        <f>_xll.QS.EVALUATE(C7608,F7608)</f>
        <v>29148.515731960346</v>
      </c>
      <c r="H7608" s="5" t="s">
        <v>7649</v>
      </c>
      <c r="I7608" s="7">
        <v>1760600</v>
      </c>
      <c r="J7608" s="8">
        <v>3.5600000000000007E-2</v>
      </c>
    </row>
    <row r="7609" spans="1:10" x14ac:dyDescent="0.25">
      <c r="A7609" s="5" t="s">
        <v>7643</v>
      </c>
      <c r="B7609" s="5" t="s">
        <v>9476</v>
      </c>
      <c r="C7609" s="6" t="str">
        <f>_xll.QS.CONTEXT.CREATE("market.7607",A7609,"USD","SOFR")</f>
        <v>QSObject:PricingContext:w1~market.7607:4550</v>
      </c>
      <c r="D7609" s="6" t="str">
        <f>_xll.QS.CONTEXT.ADD.CURVE(C7609,"SOFR",$K$2:$K$7,$L$2:$L$7,,,"Actual360","LogLinear",TRUE)</f>
        <v>QSObject:ContextInput:w1~input.qs_context_add_curve.2359132437744.7608.3.0:32735</v>
      </c>
      <c r="E7609" s="6" t="str">
        <f>_xll.QS.INSTRUMENT.SWAP("swap.7607",H7609,B7609,"USD","SOFR",I7609,J7609,0,"Actual360","Simple","Annual","Annual","Annual")</f>
        <v>QSObject:Swap:w1~swap.7607:4549</v>
      </c>
      <c r="F7609" s="6" t="str">
        <f>_xll.QS.TRADE.CREATE("trade.7607",E7609,A7609,"Receive")</f>
        <v>QSObject:SwapTrade:w1~trade.7607:24080</v>
      </c>
      <c r="G7609" s="3">
        <f>_xll.QS.EVALUATE(C7609,F7609)</f>
        <v>29852.361100659931</v>
      </c>
      <c r="H7609" s="5" t="s">
        <v>7650</v>
      </c>
      <c r="I7609" s="7">
        <v>1760700</v>
      </c>
      <c r="J7609" s="8">
        <v>3.5700000000000003E-2</v>
      </c>
    </row>
    <row r="7610" spans="1:10" x14ac:dyDescent="0.25">
      <c r="A7610" s="5" t="s">
        <v>7644</v>
      </c>
      <c r="B7610" s="5" t="s">
        <v>9477</v>
      </c>
      <c r="C7610" s="6" t="str">
        <f>_xll.QS.CONTEXT.CREATE("market.7608",A7610,"USD","SOFR")</f>
        <v>QSObject:PricingContext:w1~market.7608:4548</v>
      </c>
      <c r="D7610" s="6" t="str">
        <f>_xll.QS.CONTEXT.ADD.CURVE(C7610,"SOFR",$K$2:$K$7,$L$2:$L$7,,,"Actual360","LogLinear",TRUE)</f>
        <v>QSObject:ContextInput:w1~input.qs_context_add_curve.2359132437744.7609.3.0:32734</v>
      </c>
      <c r="E7610" s="6" t="str">
        <f>_xll.QS.INSTRUMENT.SWAP("swap.7608",H7610,B7610,"USD","SOFR",I7610,J7610,0,"Actual360","Simple","Annual","Annual","Annual")</f>
        <v>QSObject:Swap:w1~swap.7608:4547</v>
      </c>
      <c r="F7610" s="6" t="str">
        <f>_xll.QS.TRADE.CREATE("trade.7608",E7610,A7610,"Receive")</f>
        <v>QSObject:SwapTrade:w1~trade.7608:24079</v>
      </c>
      <c r="G7610" s="3">
        <f>_xll.QS.EVALUATE(C7610,F7610)</f>
        <v>30512.745061249836</v>
      </c>
      <c r="H7610" s="5" t="s">
        <v>7651</v>
      </c>
      <c r="I7610" s="7">
        <v>1760800</v>
      </c>
      <c r="J7610" s="8">
        <v>3.5800000000000012E-2</v>
      </c>
    </row>
    <row r="7611" spans="1:10" x14ac:dyDescent="0.25">
      <c r="A7611" s="5" t="s">
        <v>7645</v>
      </c>
      <c r="B7611" s="5" t="s">
        <v>9478</v>
      </c>
      <c r="C7611" s="6" t="str">
        <f>_xll.QS.CONTEXT.CREATE("market.7609",A7611,"USD","SOFR")</f>
        <v>QSObject:PricingContext:w1~market.7609:4546</v>
      </c>
      <c r="D7611" s="6" t="str">
        <f>_xll.QS.CONTEXT.ADD.CURVE(C7611,"SOFR",$K$2:$K$7,$L$2:$L$7,,,"Actual360","LogLinear",TRUE)</f>
        <v>QSObject:ContextInput:w1~input.qs_context_add_curve.2359132437744.7610.3.0:32733</v>
      </c>
      <c r="E7611" s="6" t="str">
        <f>_xll.QS.INSTRUMENT.SWAP("swap.7609",H7611,B7611,"USD","SOFR",I7611,J7611,0,"Actual360","Simple","Annual","Annual","Annual")</f>
        <v>QSObject:Swap:w1~swap.7609:4545</v>
      </c>
      <c r="F7611" s="6" t="str">
        <f>_xll.QS.TRADE.CREATE("trade.7609",E7611,A7611,"Receive")</f>
        <v>QSObject:SwapTrade:w1~trade.7609:24078</v>
      </c>
      <c r="G7611" s="3">
        <f>_xll.QS.EVALUATE(C7611,F7611)</f>
        <v>31400.492127235986</v>
      </c>
      <c r="H7611" s="5" t="s">
        <v>7652</v>
      </c>
      <c r="I7611" s="7">
        <v>1760900</v>
      </c>
      <c r="J7611" s="8">
        <v>3.5900000000000001E-2</v>
      </c>
    </row>
    <row r="7612" spans="1:10" x14ac:dyDescent="0.25">
      <c r="A7612" s="5" t="s">
        <v>7646</v>
      </c>
      <c r="B7612" s="5" t="s">
        <v>9479</v>
      </c>
      <c r="C7612" s="6" t="str">
        <f>_xll.QS.CONTEXT.CREATE("market.7610",A7612,"USD","SOFR")</f>
        <v>QSObject:PricingContext:w1~market.7610:4544</v>
      </c>
      <c r="D7612" s="6" t="str">
        <f>_xll.QS.CONTEXT.ADD.CURVE(C7612,"SOFR",$K$2:$K$7,$L$2:$L$7,,,"Actual360","LogLinear",TRUE)</f>
        <v>QSObject:ContextInput:w1~input.qs_context_add_curve.2359132437744.7611.3.0:32732</v>
      </c>
      <c r="E7612" s="6" t="str">
        <f>_xll.QS.INSTRUMENT.SWAP("swap.7610",H7612,B7612,"USD","SOFR",I7612,J7612,0,"Actual360","Simple","Annual","Annual","Annual")</f>
        <v>QSObject:Swap:w1~swap.7610:4543</v>
      </c>
      <c r="F7612" s="6" t="str">
        <f>_xll.QS.TRADE.CREATE("trade.7610",E7612,A7612,"Receive")</f>
        <v>QSObject:SwapTrade:w1~trade.7610:24077</v>
      </c>
      <c r="G7612" s="3">
        <f>_xll.QS.EVALUATE(C7612,F7612)</f>
        <v>32265.042792760163</v>
      </c>
      <c r="H7612" s="5" t="s">
        <v>7653</v>
      </c>
      <c r="I7612" s="7">
        <v>1761000</v>
      </c>
      <c r="J7612" s="8">
        <v>3.5999999999999997E-2</v>
      </c>
    </row>
    <row r="7613" spans="1:10" x14ac:dyDescent="0.25">
      <c r="A7613" s="5" t="s">
        <v>7647</v>
      </c>
      <c r="B7613" s="5" t="s">
        <v>9480</v>
      </c>
      <c r="C7613" s="6" t="str">
        <f>_xll.QS.CONTEXT.CREATE("market.7611",A7613,"USD","SOFR")</f>
        <v>QSObject:PricingContext:w1~market.7611:4542</v>
      </c>
      <c r="D7613" s="6" t="str">
        <f>_xll.QS.CONTEXT.ADD.CURVE(C7613,"SOFR",$K$2:$K$7,$L$2:$L$7,,,"Actual360","LogLinear",TRUE)</f>
        <v>QSObject:ContextInput:w1~input.qs_context_add_curve.2359132437744.7612.3.0:32731</v>
      </c>
      <c r="E7613" s="6" t="str">
        <f>_xll.QS.INSTRUMENT.SWAP("swap.7611",H7613,B7613,"USD","SOFR",I7613,J7613,0,"Actual360","Simple","Annual","Annual","Annual")</f>
        <v>QSObject:Swap:w1~swap.7611:4541</v>
      </c>
      <c r="F7613" s="6" t="str">
        <f>_xll.QS.TRADE.CREATE("trade.7611",E7613,A7613,"Receive")</f>
        <v>QSObject:SwapTrade:w1~trade.7611:24076</v>
      </c>
      <c r="G7613" s="3">
        <f>_xll.QS.EVALUATE(C7613,F7613)</f>
        <v>33207.418843813226</v>
      </c>
      <c r="H7613" s="5" t="s">
        <v>7654</v>
      </c>
      <c r="I7613" s="7">
        <v>1761100</v>
      </c>
      <c r="J7613" s="8">
        <v>3.61E-2</v>
      </c>
    </row>
    <row r="7614" spans="1:10" x14ac:dyDescent="0.25">
      <c r="A7614" s="5" t="s">
        <v>7648</v>
      </c>
      <c r="B7614" s="5" t="s">
        <v>9481</v>
      </c>
      <c r="C7614" s="6" t="str">
        <f>_xll.QS.CONTEXT.CREATE("market.7612",A7614,"USD","SOFR")</f>
        <v>QSObject:PricingContext:w1~market.7612:4540</v>
      </c>
      <c r="D7614" s="6" t="str">
        <f>_xll.QS.CONTEXT.ADD.CURVE(C7614,"SOFR",$K$2:$K$7,$L$2:$L$7,,,"Actual360","LogLinear",TRUE)</f>
        <v>QSObject:ContextInput:w1~input.qs_context_add_curve.2359132437744.7613.3.0:32730</v>
      </c>
      <c r="E7614" s="6" t="str">
        <f>_xll.QS.INSTRUMENT.SWAP("swap.7612",H7614,B7614,"USD","SOFR",I7614,J7614,0,"Actual360","Simple","Annual","Annual","Annual")</f>
        <v>QSObject:Swap:w1~swap.7612:4539</v>
      </c>
      <c r="F7614" s="6" t="str">
        <f>_xll.QS.TRADE.CREATE("trade.7612",E7614,A7614,"Receive")</f>
        <v>QSObject:SwapTrade:w1~trade.7612:24075</v>
      </c>
      <c r="G7614" s="3">
        <f>_xll.QS.EVALUATE(C7614,F7614)</f>
        <v>34089.808403662944</v>
      </c>
      <c r="H7614" s="5" t="s">
        <v>7655</v>
      </c>
      <c r="I7614" s="7">
        <v>1761200</v>
      </c>
      <c r="J7614" s="8">
        <v>3.6200000000000003E-2</v>
      </c>
    </row>
    <row r="7615" spans="1:10" x14ac:dyDescent="0.25">
      <c r="A7615" s="5" t="s">
        <v>7649</v>
      </c>
      <c r="B7615" s="5" t="s">
        <v>9482</v>
      </c>
      <c r="C7615" s="6" t="str">
        <f>_xll.QS.CONTEXT.CREATE("market.7613",A7615,"USD","SOFR")</f>
        <v>QSObject:PricingContext:w1~market.7613:4538</v>
      </c>
      <c r="D7615" s="6" t="str">
        <f>_xll.QS.CONTEXT.ADD.CURVE(C7615,"SOFR",$K$2:$K$7,$L$2:$L$7,,,"Actual360","LogLinear",TRUE)</f>
        <v>QSObject:ContextInput:w1~input.qs_context_add_curve.2359132437744.7614.3.0:32729</v>
      </c>
      <c r="E7615" s="6" t="str">
        <f>_xll.QS.INSTRUMENT.SWAP("swap.7613",H7615,B7615,"USD","SOFR",I7615,J7615,0,"Actual360","Simple","Annual","Annual","Annual")</f>
        <v>QSObject:Swap:w1~swap.7613:4537</v>
      </c>
      <c r="F7615" s="6" t="str">
        <f>_xll.QS.TRADE.CREATE("trade.7613",E7615,A7615,"Receive")</f>
        <v>QSObject:SwapTrade:w1~trade.7613:24074</v>
      </c>
      <c r="G7615" s="3">
        <f>_xll.QS.EVALUATE(C7615,F7615)</f>
        <v>34911.539371582017</v>
      </c>
      <c r="H7615" s="5" t="s">
        <v>7656</v>
      </c>
      <c r="I7615" s="7">
        <v>1761300</v>
      </c>
      <c r="J7615" s="8">
        <v>3.6300000000000013E-2</v>
      </c>
    </row>
    <row r="7616" spans="1:10" x14ac:dyDescent="0.25">
      <c r="A7616" s="5" t="s">
        <v>7650</v>
      </c>
      <c r="B7616" s="5" t="s">
        <v>9483</v>
      </c>
      <c r="C7616" s="6" t="str">
        <f>_xll.QS.CONTEXT.CREATE("market.7614",A7616,"USD","SOFR")</f>
        <v>QSObject:PricingContext:w1~market.7614:4536</v>
      </c>
      <c r="D7616" s="6" t="str">
        <f>_xll.QS.CONTEXT.ADD.CURVE(C7616,"SOFR",$K$2:$K$7,$L$2:$L$7,,,"Actual360","LogLinear",TRUE)</f>
        <v>QSObject:ContextInput:w1~input.qs_context_add_curve.2359132437744.7615.3.0:32728</v>
      </c>
      <c r="E7616" s="6" t="str">
        <f>_xll.QS.INSTRUMENT.SWAP("swap.7614",H7616,B7616,"USD","SOFR",I7616,J7616,0,"Actual360","Simple","Annual","Annual","Annual")</f>
        <v>QSObject:Swap:w1~swap.7614:4535</v>
      </c>
      <c r="F7616" s="6" t="str">
        <f>_xll.QS.TRADE.CREATE("trade.7614",E7616,A7616,"Receive")</f>
        <v>QSObject:SwapTrade:w1~trade.7614:24073</v>
      </c>
      <c r="G7616" s="3">
        <f>_xll.QS.EVALUATE(C7616,F7616)</f>
        <v>35609.502255614556</v>
      </c>
      <c r="H7616" s="5" t="s">
        <v>7657</v>
      </c>
      <c r="I7616" s="7">
        <v>1761400</v>
      </c>
      <c r="J7616" s="8">
        <v>3.6400000000000002E-2</v>
      </c>
    </row>
    <row r="7617" spans="1:10" x14ac:dyDescent="0.25">
      <c r="A7617" s="5" t="s">
        <v>7651</v>
      </c>
      <c r="B7617" s="5" t="s">
        <v>9484</v>
      </c>
      <c r="C7617" s="6" t="str">
        <f>_xll.QS.CONTEXT.CREATE("market.7615",A7617,"USD","SOFR")</f>
        <v>QSObject:PricingContext:w1~market.7615:4534</v>
      </c>
      <c r="D7617" s="6" t="str">
        <f>_xll.QS.CONTEXT.ADD.CURVE(C7617,"SOFR",$K$2:$K$7,$L$2:$L$7,,,"Actual360","LogLinear",TRUE)</f>
        <v>QSObject:ContextInput:w1~input.qs_context_add_curve.2359132437744.7616.3.0:32727</v>
      </c>
      <c r="E7617" s="6" t="str">
        <f>_xll.QS.INSTRUMENT.SWAP("swap.7615",H7617,B7617,"USD","SOFR",I7617,J7617,0,"Actual360","Simple","Annual","Annual","Annual")</f>
        <v>QSObject:Swap:w1~swap.7615:4533</v>
      </c>
      <c r="F7617" s="6" t="str">
        <f>_xll.QS.TRADE.CREATE("trade.7615",E7617,A7617,"Receive")</f>
        <v>QSObject:SwapTrade:w1~trade.7615:24072</v>
      </c>
      <c r="G7617" s="3">
        <f>_xll.QS.EVALUATE(C7617,F7617)</f>
        <v>36278.998855722115</v>
      </c>
      <c r="H7617" s="5" t="s">
        <v>7658</v>
      </c>
      <c r="I7617" s="7">
        <v>1761500</v>
      </c>
      <c r="J7617" s="8">
        <v>3.6499999999999998E-2</v>
      </c>
    </row>
    <row r="7618" spans="1:10" x14ac:dyDescent="0.25">
      <c r="A7618" s="5" t="s">
        <v>7652</v>
      </c>
      <c r="B7618" s="5" t="s">
        <v>9485</v>
      </c>
      <c r="C7618" s="6" t="str">
        <f>_xll.QS.CONTEXT.CREATE("market.7616",A7618,"USD","SOFR")</f>
        <v>QSObject:PricingContext:w1~market.7616:4532</v>
      </c>
      <c r="D7618" s="6" t="str">
        <f>_xll.QS.CONTEXT.ADD.CURVE(C7618,"SOFR",$K$2:$K$7,$L$2:$L$7,,,"Actual360","LogLinear",TRUE)</f>
        <v>QSObject:ContextInput:w1~input.qs_context_add_curve.2359132437744.7617.3.0:32726</v>
      </c>
      <c r="E7618" s="6" t="str">
        <f>_xll.QS.INSTRUMENT.SWAP("swap.7616",H7618,B7618,"USD","SOFR",I7618,J7618,0,"Actual360","Simple","Annual","Annual","Annual")</f>
        <v>QSObject:Swap:w1~swap.7616:4531</v>
      </c>
      <c r="F7618" s="6" t="str">
        <f>_xll.QS.TRADE.CREATE("trade.7616",E7618,A7618,"Receive")</f>
        <v>QSObject:SwapTrade:w1~trade.7616:24071</v>
      </c>
      <c r="G7618" s="3">
        <f>_xll.QS.EVALUATE(C7618,F7618)</f>
        <v>37167.483414816263</v>
      </c>
      <c r="H7618" s="5" t="s">
        <v>7659</v>
      </c>
      <c r="I7618" s="7">
        <v>1761600</v>
      </c>
      <c r="J7618" s="8">
        <v>3.6600000000000001E-2</v>
      </c>
    </row>
    <row r="7619" spans="1:10" x14ac:dyDescent="0.25">
      <c r="A7619" s="5" t="s">
        <v>7653</v>
      </c>
      <c r="B7619" s="5" t="s">
        <v>9486</v>
      </c>
      <c r="C7619" s="6" t="str">
        <f>_xll.QS.CONTEXT.CREATE("market.7617",A7619,"USD","SOFR")</f>
        <v>QSObject:PricingContext:w1~market.7617:4530</v>
      </c>
      <c r="D7619" s="6" t="str">
        <f>_xll.QS.CONTEXT.ADD.CURVE(C7619,"SOFR",$K$2:$K$7,$L$2:$L$7,,,"Actual360","LogLinear",TRUE)</f>
        <v>QSObject:ContextInput:w1~input.qs_context_add_curve.2359132437744.7618.3.0:32725</v>
      </c>
      <c r="E7619" s="6" t="str">
        <f>_xll.QS.INSTRUMENT.SWAP("swap.7617",H7619,B7619,"USD","SOFR",I7619,J7619,0,"Actual360","Simple","Annual","Annual","Annual")</f>
        <v>QSObject:Swap:w1~swap.7617:4529</v>
      </c>
      <c r="F7619" s="6" t="str">
        <f>_xll.QS.TRADE.CREATE("trade.7617",E7619,A7619,"Receive")</f>
        <v>QSObject:SwapTrade:w1~trade.7617:24070</v>
      </c>
      <c r="G7619" s="3">
        <f>_xll.QS.EVALUATE(C7619,F7619)</f>
        <v>38163.366036321924</v>
      </c>
      <c r="H7619" s="5" t="s">
        <v>7660</v>
      </c>
      <c r="I7619" s="7">
        <v>1761700</v>
      </c>
      <c r="J7619" s="8">
        <v>3.6700000000000003E-2</v>
      </c>
    </row>
    <row r="7620" spans="1:10" x14ac:dyDescent="0.25">
      <c r="A7620" s="5" t="s">
        <v>7654</v>
      </c>
      <c r="B7620" s="5" t="s">
        <v>9487</v>
      </c>
      <c r="C7620" s="6" t="str">
        <f>_xll.QS.CONTEXT.CREATE("market.7618",A7620,"USD","SOFR")</f>
        <v>QSObject:PricingContext:w1~market.7618:4528</v>
      </c>
      <c r="D7620" s="6" t="str">
        <f>_xll.QS.CONTEXT.ADD.CURVE(C7620,"SOFR",$K$2:$K$7,$L$2:$L$7,,,"Actual360","LogLinear",TRUE)</f>
        <v>QSObject:ContextInput:w1~input.qs_context_add_curve.2359132437744.7619.3.0:32724</v>
      </c>
      <c r="E7620" s="6" t="str">
        <f>_xll.QS.INSTRUMENT.SWAP("swap.7618",H7620,B7620,"USD","SOFR",I7620,J7620,0,"Actual360","Simple","Annual","Annual","Annual")</f>
        <v>QSObject:Swap:w1~swap.7618:4527</v>
      </c>
      <c r="F7620" s="6" t="str">
        <f>_xll.QS.TRADE.CREATE("trade.7618",E7620,A7620,"Receive")</f>
        <v>QSObject:SwapTrade:w1~trade.7618:24069</v>
      </c>
      <c r="G7620" s="3">
        <f>_xll.QS.EVALUATE(C7620,F7620)</f>
        <v>38989.264532979396</v>
      </c>
      <c r="H7620" s="5" t="s">
        <v>7661</v>
      </c>
      <c r="I7620" s="7">
        <v>1761800</v>
      </c>
      <c r="J7620" s="8">
        <v>3.6800000000000013E-2</v>
      </c>
    </row>
    <row r="7621" spans="1:10" x14ac:dyDescent="0.25">
      <c r="A7621" s="5" t="s">
        <v>7655</v>
      </c>
      <c r="B7621" s="5" t="s">
        <v>9488</v>
      </c>
      <c r="C7621" s="6" t="str">
        <f>_xll.QS.CONTEXT.CREATE("market.7619",A7621,"USD","SOFR")</f>
        <v>QSObject:PricingContext:w1~market.7619:4526</v>
      </c>
      <c r="D7621" s="6" t="str">
        <f>_xll.QS.CONTEXT.ADD.CURVE(C7621,"SOFR",$K$2:$K$7,$L$2:$L$7,,,"Actual360","LogLinear",TRUE)</f>
        <v>QSObject:ContextInput:w1~input.qs_context_add_curve.2359132437744.7620.3.0:32723</v>
      </c>
      <c r="E7621" s="6" t="str">
        <f>_xll.QS.INSTRUMENT.SWAP("swap.7619",H7621,B7621,"USD","SOFR",I7621,J7621,0,"Actual360","Simple","Annual","Annual","Annual")</f>
        <v>QSObject:Swap:w1~swap.7619:4525</v>
      </c>
      <c r="F7621" s="6" t="str">
        <f>_xll.QS.TRADE.CREATE("trade.7619",E7621,A7621,"Receive")</f>
        <v>QSObject:SwapTrade:w1~trade.7619:24068</v>
      </c>
      <c r="G7621" s="3">
        <f>_xll.QS.EVALUATE(C7621,F7621)</f>
        <v>39799.175061217298</v>
      </c>
      <c r="H7621" s="5" t="s">
        <v>7662</v>
      </c>
      <c r="I7621" s="7">
        <v>1761900</v>
      </c>
      <c r="J7621" s="8">
        <v>3.6900000000000002E-2</v>
      </c>
    </row>
    <row r="7622" spans="1:10" x14ac:dyDescent="0.25">
      <c r="A7622" s="5" t="s">
        <v>7656</v>
      </c>
      <c r="B7622" s="5" t="s">
        <v>9489</v>
      </c>
      <c r="C7622" s="6" t="str">
        <f>_xll.QS.CONTEXT.CREATE("market.7620",A7622,"USD","SOFR")</f>
        <v>QSObject:PricingContext:w1~market.7620:4524</v>
      </c>
      <c r="D7622" s="6" t="str">
        <f>_xll.QS.CONTEXT.ADD.CURVE(C7622,"SOFR",$K$2:$K$7,$L$2:$L$7,,,"Actual360","LogLinear",TRUE)</f>
        <v>QSObject:ContextInput:w1~input.qs_context_add_curve.2359132437744.7621.3.0:32722</v>
      </c>
      <c r="E7622" s="6" t="str">
        <f>_xll.QS.INSTRUMENT.SWAP("swap.7620",H7622,B7622,"USD","SOFR",I7622,J7622,0,"Actual360","Simple","Annual","Annual","Annual")</f>
        <v>QSObject:Swap:w1~swap.7620:4523</v>
      </c>
      <c r="F7622" s="6" t="str">
        <f>_xll.QS.TRADE.CREATE("trade.7620",E7622,A7622,"Receive")</f>
        <v>QSObject:SwapTrade:w1~trade.7620:24067</v>
      </c>
      <c r="G7622" s="3">
        <f>_xll.QS.EVALUATE(C7622,F7622)</f>
        <v>40547.08697138101</v>
      </c>
      <c r="H7622" s="5" t="s">
        <v>7663</v>
      </c>
      <c r="I7622" s="7">
        <v>1762000</v>
      </c>
      <c r="J7622" s="8">
        <v>3.7000000000000012E-2</v>
      </c>
    </row>
    <row r="7623" spans="1:10" x14ac:dyDescent="0.25">
      <c r="A7623" s="5" t="s">
        <v>7657</v>
      </c>
      <c r="B7623" s="5" t="s">
        <v>9490</v>
      </c>
      <c r="C7623" s="6" t="str">
        <f>_xll.QS.CONTEXT.CREATE("market.7621",A7623,"USD","SOFR")</f>
        <v>QSObject:PricingContext:w1~market.7621:4522</v>
      </c>
      <c r="D7623" s="6" t="str">
        <f>_xll.QS.CONTEXT.ADD.CURVE(C7623,"SOFR",$K$2:$K$7,$L$2:$L$7,,,"Actual360","LogLinear",TRUE)</f>
        <v>QSObject:ContextInput:w1~input.qs_context_add_curve.2359132437744.7622.3.0:32721</v>
      </c>
      <c r="E7623" s="6" t="str">
        <f>_xll.QS.INSTRUMENT.SWAP("swap.7621",H7623,B7623,"USD","SOFR",I7623,J7623,0,"Actual360","Simple","Annual","Annual","Annual")</f>
        <v>QSObject:Swap:w1~swap.7621:4521</v>
      </c>
      <c r="F7623" s="6" t="str">
        <f>_xll.QS.TRADE.CREATE("trade.7621",E7623,A7623,"Receive")</f>
        <v>QSObject:SwapTrade:w1~trade.7621:24066</v>
      </c>
      <c r="G7623" s="3">
        <f>_xll.QS.EVALUATE(C7623,F7623)</f>
        <v>41238.729984047626</v>
      </c>
      <c r="H7623" s="5" t="s">
        <v>7664</v>
      </c>
      <c r="I7623" s="7">
        <v>1762100</v>
      </c>
      <c r="J7623" s="8">
        <v>3.7100000000000001E-2</v>
      </c>
    </row>
    <row r="7624" spans="1:10" x14ac:dyDescent="0.25">
      <c r="A7624" s="5" t="s">
        <v>7658</v>
      </c>
      <c r="B7624" s="5" t="s">
        <v>9491</v>
      </c>
      <c r="C7624" s="6" t="str">
        <f>_xll.QS.CONTEXT.CREATE("market.7622",A7624,"USD","SOFR")</f>
        <v>QSObject:PricingContext:w1~market.7622:4520</v>
      </c>
      <c r="D7624" s="6" t="str">
        <f>_xll.QS.CONTEXT.ADD.CURVE(C7624,"SOFR",$K$2:$K$7,$L$2:$L$7,,,"Actual360","LogLinear",TRUE)</f>
        <v>QSObject:ContextInput:w1~input.qs_context_add_curve.2359132437744.7623.3.0:32720</v>
      </c>
      <c r="E7624" s="6" t="str">
        <f>_xll.QS.INSTRUMENT.SWAP("swap.7622",H7624,B7624,"USD","SOFR",I7624,J7624,0,"Actual360","Simple","Annual","Annual","Annual")</f>
        <v>QSObject:Swap:w1~swap.7622:4519</v>
      </c>
      <c r="F7624" s="6" t="str">
        <f>_xll.QS.TRADE.CREATE("trade.7622",E7624,A7624,"Receive")</f>
        <v>QSObject:SwapTrade:w1~trade.7622:24065</v>
      </c>
      <c r="G7624" s="3">
        <f>_xll.QS.EVALUATE(C7624,F7624)</f>
        <v>41917.919504764803</v>
      </c>
      <c r="H7624" s="5" t="s">
        <v>7665</v>
      </c>
      <c r="I7624" s="7">
        <v>1762200</v>
      </c>
      <c r="J7624" s="8">
        <v>3.7199999999999997E-2</v>
      </c>
    </row>
    <row r="7625" spans="1:10" x14ac:dyDescent="0.25">
      <c r="A7625" s="5" t="s">
        <v>7659</v>
      </c>
      <c r="B7625" s="5" t="s">
        <v>9492</v>
      </c>
      <c r="C7625" s="6" t="str">
        <f>_xll.QS.CONTEXT.CREATE("market.7623",A7625,"USD","SOFR")</f>
        <v>QSObject:PricingContext:w1~market.7623:4518</v>
      </c>
      <c r="D7625" s="6" t="str">
        <f>_xll.QS.CONTEXT.ADD.CURVE(C7625,"SOFR",$K$2:$K$7,$L$2:$L$7,,,"Actual360","LogLinear",TRUE)</f>
        <v>QSObject:ContextInput:w1~input.qs_context_add_curve.2359132437744.7624.3.0:32719</v>
      </c>
      <c r="E7625" s="6" t="str">
        <f>_xll.QS.INSTRUMENT.SWAP("swap.7623",H7625,B7625,"USD","SOFR",I7625,J7625,0,"Actual360","Simple","Annual","Annual","Annual")</f>
        <v>QSObject:Swap:w1~swap.7623:4517</v>
      </c>
      <c r="F7625" s="6" t="str">
        <f>_xll.QS.TRADE.CREATE("trade.7623",E7625,A7625,"Receive")</f>
        <v>QSObject:SwapTrade:w1~trade.7623:24064</v>
      </c>
      <c r="G7625" s="3">
        <f>_xll.QS.EVALUATE(C7625,F7625)</f>
        <v>42808.042917529856</v>
      </c>
      <c r="H7625" s="5" t="s">
        <v>7666</v>
      </c>
      <c r="I7625" s="7">
        <v>1762300</v>
      </c>
      <c r="J7625" s="8">
        <v>3.73E-2</v>
      </c>
    </row>
    <row r="7626" spans="1:10" x14ac:dyDescent="0.25">
      <c r="A7626" s="5" t="s">
        <v>7660</v>
      </c>
      <c r="B7626" s="5" t="s">
        <v>9493</v>
      </c>
      <c r="C7626" s="6" t="str">
        <f>_xll.QS.CONTEXT.CREATE("market.7624",A7626,"USD","SOFR")</f>
        <v>QSObject:PricingContext:w1~market.7624:4516</v>
      </c>
      <c r="D7626" s="6" t="str">
        <f>_xll.QS.CONTEXT.ADD.CURVE(C7626,"SOFR",$K$2:$K$7,$L$2:$L$7,,,"Actual360","LogLinear",TRUE)</f>
        <v>QSObject:ContextInput:w1~input.qs_context_add_curve.2359132437744.7625.3.0:32718</v>
      </c>
      <c r="E7626" s="6" t="str">
        <f>_xll.QS.INSTRUMENT.SWAP("swap.7624",H7626,B7626,"USD","SOFR",I7626,J7626,0,"Actual360","Simple","Annual","Annual","Annual")</f>
        <v>QSObject:Swap:w1~swap.7624:4515</v>
      </c>
      <c r="F7626" s="6" t="str">
        <f>_xll.QS.TRADE.CREATE("trade.7624",E7626,A7626,"Receive")</f>
        <v>QSObject:SwapTrade:w1~trade.7624:24063</v>
      </c>
      <c r="G7626" s="3">
        <f>_xll.QS.EVALUATE(C7626,F7626)</f>
        <v>43668.604174279753</v>
      </c>
      <c r="H7626" s="5" t="s">
        <v>7667</v>
      </c>
      <c r="I7626" s="7">
        <v>1762400</v>
      </c>
      <c r="J7626" s="8">
        <v>3.7400000000000003E-2</v>
      </c>
    </row>
    <row r="7627" spans="1:10" x14ac:dyDescent="0.25">
      <c r="A7627" s="5" t="s">
        <v>7661</v>
      </c>
      <c r="B7627" s="5" t="s">
        <v>9494</v>
      </c>
      <c r="C7627" s="6" t="str">
        <f>_xll.QS.CONTEXT.CREATE("market.7625",A7627,"USD","SOFR")</f>
        <v>QSObject:PricingContext:w1~market.7625:4514</v>
      </c>
      <c r="D7627" s="6" t="str">
        <f>_xll.QS.CONTEXT.ADD.CURVE(C7627,"SOFR",$K$2:$K$7,$L$2:$L$7,,,"Actual360","LogLinear",TRUE)</f>
        <v>QSObject:ContextInput:w1~input.qs_context_add_curve.2359132437744.7626.3.0:32717</v>
      </c>
      <c r="E7627" s="6" t="str">
        <f>_xll.QS.INSTRUMENT.SWAP("swap.7625",H7627,B7627,"USD","SOFR",I7627,J7627,0,"Actual360","Simple","Annual","Annual","Annual")</f>
        <v>QSObject:Swap:w1~swap.7625:4513</v>
      </c>
      <c r="F7627" s="6" t="str">
        <f>_xll.QS.TRADE.CREATE("trade.7625",E7627,A7627,"Receive")</f>
        <v>QSObject:SwapTrade:w1~trade.7625:24062</v>
      </c>
      <c r="G7627" s="3">
        <f>_xll.QS.EVALUATE(C7627,F7627)</f>
        <v>44612.576574952436</v>
      </c>
      <c r="H7627" s="5" t="s">
        <v>7668</v>
      </c>
      <c r="I7627" s="7">
        <v>1762500</v>
      </c>
      <c r="J7627" s="8">
        <v>3.7500000000000012E-2</v>
      </c>
    </row>
    <row r="7628" spans="1:10" x14ac:dyDescent="0.25">
      <c r="A7628" s="5" t="s">
        <v>7662</v>
      </c>
      <c r="B7628" s="5" t="s">
        <v>9495</v>
      </c>
      <c r="C7628" s="6" t="str">
        <f>_xll.QS.CONTEXT.CREATE("market.7626",A7628,"USD","SOFR")</f>
        <v>QSObject:PricingContext:w1~market.7626:4512</v>
      </c>
      <c r="D7628" s="6" t="str">
        <f>_xll.QS.CONTEXT.ADD.CURVE(C7628,"SOFR",$K$2:$K$7,$L$2:$L$7,,,"Actual360","LogLinear",TRUE)</f>
        <v>QSObject:ContextInput:w1~input.qs_context_add_curve.2359132437744.7627.3.0:32716</v>
      </c>
      <c r="E7628" s="6" t="str">
        <f>_xll.QS.INSTRUMENT.SWAP("swap.7626",H7628,B7628,"USD","SOFR",I7628,J7628,0,"Actual360","Simple","Annual","Annual","Annual")</f>
        <v>QSObject:Swap:w1~swap.7626:4511</v>
      </c>
      <c r="F7628" s="6" t="str">
        <f>_xll.QS.TRADE.CREATE("trade.7626",E7628,A7628,"Receive")</f>
        <v>QSObject:SwapTrade:w1~trade.7626:24061</v>
      </c>
      <c r="G7628" s="3">
        <f>_xll.QS.EVALUATE(C7628,F7628)</f>
        <v>45476.439566261542</v>
      </c>
      <c r="H7628" s="5" t="s">
        <v>7669</v>
      </c>
      <c r="I7628" s="7">
        <v>1762600</v>
      </c>
      <c r="J7628" s="8">
        <v>3.7600000000000001E-2</v>
      </c>
    </row>
    <row r="7629" spans="1:10" x14ac:dyDescent="0.25">
      <c r="A7629" s="5" t="s">
        <v>7663</v>
      </c>
      <c r="B7629" s="5" t="s">
        <v>9496</v>
      </c>
      <c r="C7629" s="6" t="str">
        <f>_xll.QS.CONTEXT.CREATE("market.7627",A7629,"USD","SOFR")</f>
        <v>QSObject:PricingContext:w1~market.7627:4510</v>
      </c>
      <c r="D7629" s="6" t="str">
        <f>_xll.QS.CONTEXT.ADD.CURVE(C7629,"SOFR",$K$2:$K$7,$L$2:$L$7,,,"Actual360","LogLinear",TRUE)</f>
        <v>QSObject:ContextInput:w1~input.qs_context_add_curve.2359132437744.7628.3.0:32715</v>
      </c>
      <c r="E7629" s="6" t="str">
        <f>_xll.QS.INSTRUMENT.SWAP("swap.7627",H7629,B7629,"USD","SOFR",I7629,J7629,0,"Actual360","Simple","Annual","Annual","Annual")</f>
        <v>QSObject:Swap:w1~swap.7627:4509</v>
      </c>
      <c r="F7629" s="6" t="str">
        <f>_xll.QS.TRADE.CREATE("trade.7627",E7629,A7629,"Receive")</f>
        <v>QSObject:SwapTrade:w1~trade.7627:24060</v>
      </c>
      <c r="G7629" s="3">
        <f>_xll.QS.EVALUATE(C7629,F7629)</f>
        <v>46210.597529583334</v>
      </c>
      <c r="H7629" s="5" t="s">
        <v>7670</v>
      </c>
      <c r="I7629" s="7">
        <v>1762700</v>
      </c>
      <c r="J7629" s="8">
        <v>3.7699999999999997E-2</v>
      </c>
    </row>
    <row r="7630" spans="1:10" x14ac:dyDescent="0.25">
      <c r="A7630" s="5" t="s">
        <v>7664</v>
      </c>
      <c r="B7630" s="5" t="s">
        <v>9497</v>
      </c>
      <c r="C7630" s="6" t="str">
        <f>_xll.QS.CONTEXT.CREATE("market.7628",A7630,"USD","SOFR")</f>
        <v>QSObject:PricingContext:w1~market.7628:4508</v>
      </c>
      <c r="D7630" s="6" t="str">
        <f>_xll.QS.CONTEXT.ADD.CURVE(C7630,"SOFR",$K$2:$K$7,$L$2:$L$7,,,"Actual360","LogLinear",TRUE)</f>
        <v>QSObject:ContextInput:w1~input.qs_context_add_curve.2359132437744.7629.3.0:32714</v>
      </c>
      <c r="E7630" s="6" t="str">
        <f>_xll.QS.INSTRUMENT.SWAP("swap.7628",H7630,B7630,"USD","SOFR",I7630,J7630,0,"Actual360","Simple","Annual","Annual","Annual")</f>
        <v>QSObject:Swap:w1~swap.7628:4507</v>
      </c>
      <c r="F7630" s="6" t="str">
        <f>_xll.QS.TRADE.CREATE("trade.7628",E7630,A7630,"Receive")</f>
        <v>QSObject:SwapTrade:w1~trade.7628:24059</v>
      </c>
      <c r="G7630" s="3">
        <f>_xll.QS.EVALUATE(C7630,F7630)</f>
        <v>46940.112763603836</v>
      </c>
      <c r="H7630" s="5" t="s">
        <v>7671</v>
      </c>
      <c r="I7630" s="7">
        <v>1762800</v>
      </c>
      <c r="J7630" s="8">
        <v>3.78E-2</v>
      </c>
    </row>
    <row r="7631" spans="1:10" x14ac:dyDescent="0.25">
      <c r="A7631" s="5" t="s">
        <v>7665</v>
      </c>
      <c r="B7631" s="5" t="s">
        <v>9498</v>
      </c>
      <c r="C7631" s="6" t="str">
        <f>_xll.QS.CONTEXT.CREATE("market.7629",A7631,"USD","SOFR")</f>
        <v>QSObject:PricingContext:w1~market.7629:4506</v>
      </c>
      <c r="D7631" s="6" t="str">
        <f>_xll.QS.CONTEXT.ADD.CURVE(C7631,"SOFR",$K$2:$K$7,$L$2:$L$7,,,"Actual360","LogLinear",TRUE)</f>
        <v>QSObject:ContextInput:w1~input.qs_context_add_curve.2359132437744.7630.3.0:32713</v>
      </c>
      <c r="E7631" s="6" t="str">
        <f>_xll.QS.INSTRUMENT.SWAP("swap.7629",H7631,B7631,"USD","SOFR",I7631,J7631,0,"Actual360","Simple","Annual","Annual","Annual")</f>
        <v>QSObject:Swap:w1~swap.7629:4505</v>
      </c>
      <c r="F7631" s="6" t="str">
        <f>_xll.QS.TRADE.CREATE("trade.7629",E7631,A7631,"Receive")</f>
        <v>QSObject:SwapTrade:w1~trade.7629:24058</v>
      </c>
      <c r="G7631" s="3">
        <f>_xll.QS.EVALUATE(C7631,F7631)</f>
        <v>47628.699238942427</v>
      </c>
      <c r="H7631" s="5" t="s">
        <v>7672</v>
      </c>
      <c r="I7631" s="7">
        <v>1762900</v>
      </c>
      <c r="J7631" s="8">
        <v>3.7900000000000003E-2</v>
      </c>
    </row>
    <row r="7632" spans="1:10" x14ac:dyDescent="0.25">
      <c r="A7632" s="5" t="s">
        <v>7666</v>
      </c>
      <c r="B7632" s="5" t="s">
        <v>9499</v>
      </c>
      <c r="C7632" s="6" t="str">
        <f>_xll.QS.CONTEXT.CREATE("market.7630",A7632,"USD","SOFR")</f>
        <v>QSObject:PricingContext:w1~market.7630:4504</v>
      </c>
      <c r="D7632" s="6" t="str">
        <f>_xll.QS.CONTEXT.ADD.CURVE(C7632,"SOFR",$K$2:$K$7,$L$2:$L$7,,,"Actual360","LogLinear",TRUE)</f>
        <v>QSObject:ContextInput:w1~input.qs_context_add_curve.2359132437744.7631.3.0:32712</v>
      </c>
      <c r="E7632" s="6" t="str">
        <f>_xll.QS.INSTRUMENT.SWAP("swap.7630",H7632,B7632,"USD","SOFR",I7632,J7632,0,"Actual360","Simple","Annual","Annual","Annual")</f>
        <v>QSObject:Swap:w1~swap.7630:4503</v>
      </c>
      <c r="F7632" s="6" t="str">
        <f>_xll.QS.TRADE.CREATE("trade.7630",E7632,A7632,"Receive")</f>
        <v>QSObject:SwapTrade:w1~trade.7630:24057</v>
      </c>
      <c r="G7632" s="3">
        <f>_xll.QS.EVALUATE(C7632,F7632)</f>
        <v>48583.888752902785</v>
      </c>
      <c r="H7632" s="5" t="s">
        <v>7673</v>
      </c>
      <c r="I7632" s="7">
        <v>1763000</v>
      </c>
      <c r="J7632" s="8">
        <v>3.8000000000000013E-2</v>
      </c>
    </row>
    <row r="7633" spans="1:10" x14ac:dyDescent="0.25">
      <c r="A7633" s="5" t="s">
        <v>7667</v>
      </c>
      <c r="B7633" s="5" t="s">
        <v>9500</v>
      </c>
      <c r="C7633" s="6" t="str">
        <f>_xll.QS.CONTEXT.CREATE("market.7631",A7633,"USD","SOFR")</f>
        <v>QSObject:PricingContext:w1~market.7631:4502</v>
      </c>
      <c r="D7633" s="6" t="str">
        <f>_xll.QS.CONTEXT.ADD.CURVE(C7633,"SOFR",$K$2:$K$7,$L$2:$L$7,,,"Actual360","LogLinear",TRUE)</f>
        <v>QSObject:ContextInput:w1~input.qs_context_add_curve.2359132437744.7632.3.0:32711</v>
      </c>
      <c r="E7633" s="6" t="str">
        <f>_xll.QS.INSTRUMENT.SWAP("swap.7631",H7633,B7633,"USD","SOFR",I7633,J7633,0,"Actual360","Simple","Annual","Annual","Annual")</f>
        <v>QSObject:Swap:w1~swap.7631:4501</v>
      </c>
      <c r="F7633" s="6" t="str">
        <f>_xll.QS.TRADE.CREATE("trade.7631",E7633,A7633,"Receive")</f>
        <v>QSObject:SwapTrade:w1~trade.7631:24056</v>
      </c>
      <c r="G7633" s="3">
        <f>_xll.QS.EVALUATE(C7633,F7633)</f>
        <v>49578.877878316518</v>
      </c>
      <c r="H7633" s="5" t="s">
        <v>7674</v>
      </c>
      <c r="I7633" s="7">
        <v>1763100</v>
      </c>
      <c r="J7633" s="8">
        <v>3.8100000000000002E-2</v>
      </c>
    </row>
    <row r="7634" spans="1:10" x14ac:dyDescent="0.25">
      <c r="A7634" s="5" t="s">
        <v>7668</v>
      </c>
      <c r="B7634" s="5" t="s">
        <v>9501</v>
      </c>
      <c r="C7634" s="6" t="str">
        <f>_xll.QS.CONTEXT.CREATE("market.7632",A7634,"USD","SOFR")</f>
        <v>QSObject:PricingContext:w1~market.7632:4500</v>
      </c>
      <c r="D7634" s="6" t="str">
        <f>_xll.QS.CONTEXT.ADD.CURVE(C7634,"SOFR",$K$2:$K$7,$L$2:$L$7,,,"Actual360","LogLinear",TRUE)</f>
        <v>QSObject:ContextInput:w1~input.qs_context_add_curve.2359132437744.7633.3.0:32710</v>
      </c>
      <c r="E7634" s="6" t="str">
        <f>_xll.QS.INSTRUMENT.SWAP("swap.7632",H7634,B7634,"USD","SOFR",I7634,J7634,0,"Actual360","Simple","Annual","Annual","Annual")</f>
        <v>QSObject:Swap:w1~swap.7632:4499</v>
      </c>
      <c r="F7634" s="6" t="str">
        <f>_xll.QS.TRADE.CREATE("trade.7632",E7634,A7634,"Receive")</f>
        <v>QSObject:SwapTrade:w1~trade.7632:24055</v>
      </c>
      <c r="G7634" s="3">
        <f>_xll.QS.EVALUATE(C7634,F7634)</f>
        <v>50403.297860337814</v>
      </c>
      <c r="H7634" s="5" t="s">
        <v>7675</v>
      </c>
      <c r="I7634" s="7">
        <v>1763200</v>
      </c>
      <c r="J7634" s="8">
        <v>3.8199999999999998E-2</v>
      </c>
    </row>
    <row r="7635" spans="1:10" x14ac:dyDescent="0.25">
      <c r="A7635" s="5" t="s">
        <v>7669</v>
      </c>
      <c r="B7635" s="5" t="s">
        <v>9502</v>
      </c>
      <c r="C7635" s="6" t="str">
        <f>_xll.QS.CONTEXT.CREATE("market.7633",A7635,"USD","SOFR")</f>
        <v>QSObject:PricingContext:w1~market.7633:4498</v>
      </c>
      <c r="D7635" s="6" t="str">
        <f>_xll.QS.CONTEXT.ADD.CURVE(C7635,"SOFR",$K$2:$K$7,$L$2:$L$7,,,"Actual360","LogLinear",TRUE)</f>
        <v>QSObject:ContextInput:w1~input.qs_context_add_curve.2359132437744.7634.3.0:32709</v>
      </c>
      <c r="E7635" s="6" t="str">
        <f>_xll.QS.INSTRUMENT.SWAP("swap.7633",H7635,B7635,"USD","SOFR",I7635,J7635,0,"Actual360","Simple","Annual","Annual","Annual")</f>
        <v>QSObject:Swap:w1~swap.7633:4497</v>
      </c>
      <c r="F7635" s="6" t="str">
        <f>_xll.QS.TRADE.CREATE("trade.7633",E7635,A7635,"Receive")</f>
        <v>QSObject:SwapTrade:w1~trade.7633:24054</v>
      </c>
      <c r="G7635" s="3">
        <f>_xll.QS.EVALUATE(C7635,F7635)</f>
        <v>51214.4662525811</v>
      </c>
      <c r="H7635" s="5" t="s">
        <v>7676</v>
      </c>
      <c r="I7635" s="7">
        <v>1763300</v>
      </c>
      <c r="J7635" s="8">
        <v>3.8300000000000001E-2</v>
      </c>
    </row>
    <row r="7636" spans="1:10" x14ac:dyDescent="0.25">
      <c r="A7636" s="5" t="s">
        <v>7670</v>
      </c>
      <c r="B7636" s="5" t="s">
        <v>9503</v>
      </c>
      <c r="C7636" s="6" t="str">
        <f>_xll.QS.CONTEXT.CREATE("market.7634",A7636,"USD","SOFR")</f>
        <v>QSObject:PricingContext:w1~market.7634:4496</v>
      </c>
      <c r="D7636" s="6" t="str">
        <f>_xll.QS.CONTEXT.ADD.CURVE(C7636,"SOFR",$K$2:$K$7,$L$2:$L$7,,,"Actual360","LogLinear",TRUE)</f>
        <v>QSObject:ContextInput:w1~input.qs_context_add_curve.2359132437744.7635.3.0:32708</v>
      </c>
      <c r="E7636" s="6" t="str">
        <f>_xll.QS.INSTRUMENT.SWAP("swap.7634",H7636,B7636,"USD","SOFR",I7636,J7636,0,"Actual360","Simple","Annual","Annual","Annual")</f>
        <v>QSObject:Swap:w1~swap.7634:4495</v>
      </c>
      <c r="F7636" s="6" t="str">
        <f>_xll.QS.TRADE.CREATE("trade.7634",E7636,A7636,"Receive")</f>
        <v>QSObject:SwapTrade:w1~trade.7634:24053</v>
      </c>
      <c r="G7636" s="3">
        <f>_xll.QS.EVALUATE(C7636,F7636)</f>
        <v>51963.303869033356</v>
      </c>
      <c r="H7636" s="5" t="s">
        <v>7677</v>
      </c>
      <c r="I7636" s="7">
        <v>1763400</v>
      </c>
      <c r="J7636" s="8">
        <v>3.8399999999999997E-2</v>
      </c>
    </row>
    <row r="7637" spans="1:10" x14ac:dyDescent="0.25">
      <c r="A7637" s="5" t="s">
        <v>7671</v>
      </c>
      <c r="B7637" s="5" t="s">
        <v>9504</v>
      </c>
      <c r="C7637" s="6" t="str">
        <f>_xll.QS.CONTEXT.CREATE("market.7635",A7637,"USD","SOFR")</f>
        <v>QSObject:PricingContext:w1~market.7635:4494</v>
      </c>
      <c r="D7637" s="6" t="str">
        <f>_xll.QS.CONTEXT.ADD.CURVE(C7637,"SOFR",$K$2:$K$7,$L$2:$L$7,,,"Actual360","LogLinear",TRUE)</f>
        <v>QSObject:ContextInput:w1~input.qs_context_add_curve.2359132437744.7636.3.0:32707</v>
      </c>
      <c r="E7637" s="6" t="str">
        <f>_xll.QS.INSTRUMENT.SWAP("swap.7635",H7637,B7637,"USD","SOFR",I7637,J7637,0,"Actual360","Simple","Annual","Annual","Annual")</f>
        <v>QSObject:Swap:w1~swap.7635:4493</v>
      </c>
      <c r="F7637" s="6" t="str">
        <f>_xll.QS.TRADE.CREATE("trade.7635",E7637,A7637,"Receive")</f>
        <v>QSObject:SwapTrade:w1~trade.7635:24052</v>
      </c>
      <c r="G7637" s="3">
        <f>_xll.QS.EVALUATE(C7637,F7637)</f>
        <v>52642.723465805619</v>
      </c>
      <c r="H7637" s="5" t="s">
        <v>7678</v>
      </c>
      <c r="I7637" s="7">
        <v>1763500</v>
      </c>
      <c r="J7637" s="8">
        <v>3.8500000000000013E-2</v>
      </c>
    </row>
    <row r="7638" spans="1:10" x14ac:dyDescent="0.25">
      <c r="A7638" s="5" t="s">
        <v>7672</v>
      </c>
      <c r="B7638" s="5" t="s">
        <v>9505</v>
      </c>
      <c r="C7638" s="6" t="str">
        <f>_xll.QS.CONTEXT.CREATE("market.7636",A7638,"USD","SOFR")</f>
        <v>QSObject:PricingContext:w1~market.7636:4492</v>
      </c>
      <c r="D7638" s="6" t="str">
        <f>_xll.QS.CONTEXT.ADD.CURVE(C7638,"SOFR",$K$2:$K$7,$L$2:$L$7,,,"Actual360","LogLinear",TRUE)</f>
        <v>QSObject:ContextInput:w1~input.qs_context_add_curve.2359132437744.7637.3.0:32706</v>
      </c>
      <c r="E7638" s="6" t="str">
        <f>_xll.QS.INSTRUMENT.SWAP("swap.7636",H7638,B7638,"USD","SOFR",I7638,J7638,0,"Actual360","Simple","Annual","Annual","Annual")</f>
        <v>QSObject:Swap:w1~swap.7636:4491</v>
      </c>
      <c r="F7638" s="6" t="str">
        <f>_xll.QS.TRADE.CREATE("trade.7636",E7638,A7638,"Receive")</f>
        <v>QSObject:SwapTrade:w1~trade.7636:24051</v>
      </c>
      <c r="G7638" s="3">
        <f>_xll.QS.EVALUATE(C7638,F7638)</f>
        <v>53340.747542312471</v>
      </c>
      <c r="H7638" s="5" t="s">
        <v>7679</v>
      </c>
      <c r="I7638" s="7">
        <v>1763600</v>
      </c>
      <c r="J7638" s="8">
        <v>3.8600000000000002E-2</v>
      </c>
    </row>
    <row r="7639" spans="1:10" x14ac:dyDescent="0.25">
      <c r="A7639" s="5" t="s">
        <v>7673</v>
      </c>
      <c r="B7639" s="5" t="s">
        <v>9506</v>
      </c>
      <c r="C7639" s="6" t="str">
        <f>_xll.QS.CONTEXT.CREATE("market.7637",A7639,"USD","SOFR")</f>
        <v>QSObject:PricingContext:w1~market.7637:4490</v>
      </c>
      <c r="D7639" s="6" t="str">
        <f>_xll.QS.CONTEXT.ADD.CURVE(C7639,"SOFR",$K$2:$K$7,$L$2:$L$7,,,"Actual360","LogLinear",TRUE)</f>
        <v>QSObject:ContextInput:w1~input.qs_context_add_curve.2359132437744.7638.3.0:32705</v>
      </c>
      <c r="E7639" s="6" t="str">
        <f>_xll.QS.INSTRUMENT.SWAP("swap.7637",H7639,B7639,"USD","SOFR",I7639,J7639,0,"Actual360","Simple","Annual","Annual","Annual")</f>
        <v>QSObject:Swap:w1~swap.7637:4489</v>
      </c>
      <c r="F7639" s="6" t="str">
        <f>_xll.QS.TRADE.CREATE("trade.7637",E7639,A7639,"Receive")</f>
        <v>QSObject:SwapTrade:w1~trade.7637:24050</v>
      </c>
      <c r="G7639" s="3">
        <f>_xll.QS.EVALUATE(C7639,F7639)</f>
        <v>54233.907203515191</v>
      </c>
      <c r="H7639" s="5" t="s">
        <v>7680</v>
      </c>
      <c r="I7639" s="7">
        <v>1763700</v>
      </c>
      <c r="J7639" s="8">
        <v>3.8700000000000012E-2</v>
      </c>
    </row>
    <row r="7640" spans="1:10" x14ac:dyDescent="0.25">
      <c r="A7640" s="5" t="s">
        <v>7674</v>
      </c>
      <c r="B7640" s="5" t="s">
        <v>9507</v>
      </c>
      <c r="C7640" s="6" t="str">
        <f>_xll.QS.CONTEXT.CREATE("market.7638",A7640,"USD","SOFR")</f>
        <v>QSObject:PricingContext:w1~market.7638:4488</v>
      </c>
      <c r="D7640" s="6" t="str">
        <f>_xll.QS.CONTEXT.ADD.CURVE(C7640,"SOFR",$K$2:$K$7,$L$2:$L$7,,,"Actual360","LogLinear",TRUE)</f>
        <v>QSObject:ContextInput:w1~input.qs_context_add_curve.2359132437744.7639.3.0:32704</v>
      </c>
      <c r="E7640" s="6" t="str">
        <f>_xll.QS.INSTRUMENT.SWAP("swap.7638",H7640,B7640,"USD","SOFR",I7640,J7640,0,"Actual360","Simple","Annual","Annual","Annual")</f>
        <v>QSObject:Swap:w1~swap.7638:4487</v>
      </c>
      <c r="F7640" s="6" t="str">
        <f>_xll.QS.TRADE.CREATE("trade.7638",E7640,A7640,"Receive")</f>
        <v>QSObject:SwapTrade:w1~trade.7638:24049</v>
      </c>
      <c r="G7640" s="3">
        <f>_xll.QS.EVALUATE(C7640,F7640)</f>
        <v>55090.10320322273</v>
      </c>
      <c r="H7640" s="5" t="s">
        <v>7681</v>
      </c>
      <c r="I7640" s="7">
        <v>1763800</v>
      </c>
      <c r="J7640" s="8">
        <v>3.8800000000000001E-2</v>
      </c>
    </row>
    <row r="7641" spans="1:10" x14ac:dyDescent="0.25">
      <c r="A7641" s="5" t="s">
        <v>7675</v>
      </c>
      <c r="B7641" s="5" t="s">
        <v>9508</v>
      </c>
      <c r="C7641" s="6" t="str">
        <f>_xll.QS.CONTEXT.CREATE("market.7639",A7641,"USD","SOFR")</f>
        <v>QSObject:PricingContext:w1~market.7639:4486</v>
      </c>
      <c r="D7641" s="6" t="str">
        <f>_xll.QS.CONTEXT.ADD.CURVE(C7641,"SOFR",$K$2:$K$7,$L$2:$L$7,,,"Actual360","LogLinear",TRUE)</f>
        <v>QSObject:ContextInput:w1~input.qs_context_add_curve.2359132437744.7640.3.0:32703</v>
      </c>
      <c r="E7641" s="6" t="str">
        <f>_xll.QS.INSTRUMENT.SWAP("swap.7639",H7641,B7641,"USD","SOFR",I7641,J7641,0,"Actual360","Simple","Annual","Annual","Annual")</f>
        <v>QSObject:Swap:w1~swap.7639:4485</v>
      </c>
      <c r="F7641" s="6" t="str">
        <f>_xll.QS.TRADE.CREATE("trade.7639",E7641,A7641,"Receive")</f>
        <v>QSObject:SwapTrade:w1~trade.7639:24048</v>
      </c>
      <c r="G7641" s="3">
        <f>_xll.QS.EVALUATE(C7641,F7641)</f>
        <v>56035.709054401828</v>
      </c>
      <c r="H7641" s="5" t="s">
        <v>7682</v>
      </c>
      <c r="I7641" s="7">
        <v>1763900</v>
      </c>
      <c r="J7641" s="8">
        <v>3.8899999999999997E-2</v>
      </c>
    </row>
    <row r="7642" spans="1:10" x14ac:dyDescent="0.25">
      <c r="A7642" s="5" t="s">
        <v>7676</v>
      </c>
      <c r="B7642" s="5" t="s">
        <v>9509</v>
      </c>
      <c r="C7642" s="6" t="str">
        <f>_xll.QS.CONTEXT.CREATE("market.7640",A7642,"USD","SOFR")</f>
        <v>QSObject:PricingContext:w1~market.7640:4484</v>
      </c>
      <c r="D7642" s="6" t="str">
        <f>_xll.QS.CONTEXT.ADD.CURVE(C7642,"SOFR",$K$2:$K$7,$L$2:$L$7,,,"Actual360","LogLinear",TRUE)</f>
        <v>QSObject:ContextInput:w1~input.qs_context_add_curve.2359132437744.7641.3.0:32702</v>
      </c>
      <c r="E7642" s="6" t="str">
        <f>_xll.QS.INSTRUMENT.SWAP("swap.7640",H7642,B7642,"USD","SOFR",I7642,J7642,0,"Actual360","Simple","Annual","Annual","Annual")</f>
        <v>QSObject:Swap:w1~swap.7640:4483</v>
      </c>
      <c r="F7642" s="6" t="str">
        <f>_xll.QS.TRADE.CREATE("trade.7640",E7642,A7642,"Receive")</f>
        <v>QSObject:SwapTrade:w1~trade.7640:24047</v>
      </c>
      <c r="G7642" s="3">
        <f>_xll.QS.EVALUATE(C7642,F7642)</f>
        <v>56929.206309976886</v>
      </c>
      <c r="H7642" s="5" t="s">
        <v>7683</v>
      </c>
      <c r="I7642" s="7">
        <v>1764000</v>
      </c>
      <c r="J7642" s="8">
        <v>3.9000000000000007E-2</v>
      </c>
    </row>
    <row r="7643" spans="1:10" x14ac:dyDescent="0.25">
      <c r="A7643" s="5" t="s">
        <v>7677</v>
      </c>
      <c r="B7643" s="5" t="s">
        <v>9510</v>
      </c>
      <c r="C7643" s="6" t="str">
        <f>_xll.QS.CONTEXT.CREATE("market.7641",A7643,"USD","SOFR")</f>
        <v>QSObject:PricingContext:w1~market.7641:4482</v>
      </c>
      <c r="D7643" s="6" t="str">
        <f>_xll.QS.CONTEXT.ADD.CURVE(C7643,"SOFR",$K$2:$K$7,$L$2:$L$7,,,"Actual360","LogLinear",TRUE)</f>
        <v>QSObject:ContextInput:w1~input.qs_context_add_curve.2359132437744.7642.3.0:32701</v>
      </c>
      <c r="E7643" s="6" t="str">
        <f>_xll.QS.INSTRUMENT.SWAP("swap.7641",H7643,B7643,"USD","SOFR",I7643,J7643,0,"Actual360","Simple","Annual","Annual","Annual")</f>
        <v>QSObject:Swap:w1~swap.7641:4481</v>
      </c>
      <c r="F7643" s="6" t="str">
        <f>_xll.QS.TRADE.CREATE("trade.7641",E7643,A7643,"Receive")</f>
        <v>QSObject:SwapTrade:w1~trade.7641:24046</v>
      </c>
      <c r="G7643" s="3">
        <f>_xll.QS.EVALUATE(C7643,F7643)</f>
        <v>57678.837594595105</v>
      </c>
      <c r="H7643" s="5" t="s">
        <v>7684</v>
      </c>
      <c r="I7643" s="7">
        <v>1764100</v>
      </c>
      <c r="J7643" s="8">
        <v>3.9100000000000003E-2</v>
      </c>
    </row>
    <row r="7644" spans="1:10" x14ac:dyDescent="0.25">
      <c r="A7644" s="5" t="s">
        <v>7678</v>
      </c>
      <c r="B7644" s="5" t="s">
        <v>9511</v>
      </c>
      <c r="C7644" s="6" t="str">
        <f>_xll.QS.CONTEXT.CREATE("market.7642",A7644,"USD","SOFR")</f>
        <v>QSObject:PricingContext:w1~market.7642:4480</v>
      </c>
      <c r="D7644" s="6" t="str">
        <f>_xll.QS.CONTEXT.ADD.CURVE(C7644,"SOFR",$K$2:$K$7,$L$2:$L$7,,,"Actual360","LogLinear",TRUE)</f>
        <v>QSObject:ContextInput:w1~input.qs_context_add_curve.2359132437744.7643.3.0:32700</v>
      </c>
      <c r="E7644" s="6" t="str">
        <f>_xll.QS.INSTRUMENT.SWAP("swap.7642",H7644,B7644,"USD","SOFR",I7644,J7644,0,"Actual360","Simple","Annual","Annual","Annual")</f>
        <v>QSObject:Swap:w1~swap.7642:4479</v>
      </c>
      <c r="F7644" s="6" t="str">
        <f>_xll.QS.TRADE.CREATE("trade.7642",E7644,A7644,"Receive")</f>
        <v>QSObject:SwapTrade:w1~trade.7642:24045</v>
      </c>
      <c r="G7644" s="3">
        <f>_xll.QS.EVALUATE(C7644,F7644)</f>
        <v>58352.137130519281</v>
      </c>
      <c r="H7644" s="5" t="s">
        <v>7685</v>
      </c>
      <c r="I7644" s="7">
        <v>1764200</v>
      </c>
      <c r="J7644" s="8">
        <v>3.9200000000000013E-2</v>
      </c>
    </row>
    <row r="7645" spans="1:10" x14ac:dyDescent="0.25">
      <c r="A7645" s="5" t="s">
        <v>7679</v>
      </c>
      <c r="B7645" s="5" t="s">
        <v>9512</v>
      </c>
      <c r="C7645" s="6" t="str">
        <f>_xll.QS.CONTEXT.CREATE("market.7643",A7645,"USD","SOFR")</f>
        <v>QSObject:PricingContext:w1~market.7643:4478</v>
      </c>
      <c r="D7645" s="6" t="str">
        <f>_xll.QS.CONTEXT.ADD.CURVE(C7645,"SOFR",$K$2:$K$7,$L$2:$L$7,,,"Actual360","LogLinear",TRUE)</f>
        <v>QSObject:ContextInput:w1~input.qs_context_add_curve.2359132437744.7644.3.0:32699</v>
      </c>
      <c r="E7645" s="6" t="str">
        <f>_xll.QS.INSTRUMENT.SWAP("swap.7643",H7645,B7645,"USD","SOFR",I7645,J7645,0,"Actual360","Simple","Annual","Annual","Annual")</f>
        <v>QSObject:Swap:w1~swap.7643:4477</v>
      </c>
      <c r="F7645" s="6" t="str">
        <f>_xll.QS.TRADE.CREATE("trade.7643",E7645,A7645,"Receive")</f>
        <v>QSObject:SwapTrade:w1~trade.7643:24044</v>
      </c>
      <c r="G7645" s="3">
        <f>_xll.QS.EVALUATE(C7645,F7645)</f>
        <v>59059.587536136045</v>
      </c>
      <c r="H7645" s="5" t="s">
        <v>7686</v>
      </c>
      <c r="I7645" s="7">
        <v>1764300</v>
      </c>
      <c r="J7645" s="8">
        <v>3.9300000000000002E-2</v>
      </c>
    </row>
    <row r="7646" spans="1:10" x14ac:dyDescent="0.25">
      <c r="A7646" s="5" t="s">
        <v>7680</v>
      </c>
      <c r="B7646" s="5" t="s">
        <v>9513</v>
      </c>
      <c r="C7646" s="6" t="str">
        <f>_xll.QS.CONTEXT.CREATE("market.7644",A7646,"USD","SOFR")</f>
        <v>QSObject:PricingContext:w1~market.7644:4476</v>
      </c>
      <c r="D7646" s="6" t="str">
        <f>_xll.QS.CONTEXT.ADD.CURVE(C7646,"SOFR",$K$2:$K$7,$L$2:$L$7,,,"Actual360","LogLinear",TRUE)</f>
        <v>QSObject:ContextInput:w1~input.qs_context_add_curve.2359132437744.7645.3.0:32698</v>
      </c>
      <c r="E7646" s="6" t="str">
        <f>_xll.QS.INSTRUMENT.SWAP("swap.7644",H7646,B7646,"USD","SOFR",I7646,J7646,0,"Actual360","Simple","Annual","Annual","Annual")</f>
        <v>QSObject:Swap:w1~swap.7644:4475</v>
      </c>
      <c r="F7646" s="6" t="str">
        <f>_xll.QS.TRADE.CREATE("trade.7644",E7646,A7646,"Receive")</f>
        <v>QSObject:SwapTrade:w1~trade.7644:24043</v>
      </c>
      <c r="G7646" s="3">
        <f>_xll.QS.EVALUATE(C7646,F7646)</f>
        <v>59953.568955042465</v>
      </c>
      <c r="H7646" s="5" t="s">
        <v>7687</v>
      </c>
      <c r="I7646" s="7">
        <v>1764400</v>
      </c>
      <c r="J7646" s="8">
        <v>3.9399999999999998E-2</v>
      </c>
    </row>
    <row r="7647" spans="1:10" x14ac:dyDescent="0.25">
      <c r="A7647" s="5" t="s">
        <v>7681</v>
      </c>
      <c r="B7647" s="5" t="s">
        <v>9514</v>
      </c>
      <c r="C7647" s="6" t="str">
        <f>_xll.QS.CONTEXT.CREATE("market.7645",A7647,"USD","SOFR")</f>
        <v>QSObject:PricingContext:w1~market.7645:4474</v>
      </c>
      <c r="D7647" s="6" t="str">
        <f>_xll.QS.CONTEXT.ADD.CURVE(C7647,"SOFR",$K$2:$K$7,$L$2:$L$7,,,"Actual360","LogLinear",TRUE)</f>
        <v>QSObject:ContextInput:w1~input.qs_context_add_curve.2359132437744.7646.3.0:32697</v>
      </c>
      <c r="E7647" s="6" t="str">
        <f>_xll.QS.INSTRUMENT.SWAP("swap.7645",H7647,B7647,"USD","SOFR",I7647,J7647,0,"Actual360","Simple","Annual","Annual","Annual")</f>
        <v>QSObject:Swap:w1~swap.7645:4473</v>
      </c>
      <c r="F7647" s="6" t="str">
        <f>_xll.QS.TRADE.CREATE("trade.7645",E7647,A7647,"Receive")</f>
        <v>QSObject:SwapTrade:w1~trade.7645:24042</v>
      </c>
      <c r="G7647" s="3">
        <f>_xll.QS.EVALUATE(C7647,F7647)</f>
        <v>60807.635566485958</v>
      </c>
      <c r="H7647" s="5" t="s">
        <v>7688</v>
      </c>
      <c r="I7647" s="7">
        <v>1764500</v>
      </c>
      <c r="J7647" s="8">
        <v>3.9500000000000007E-2</v>
      </c>
    </row>
    <row r="7648" spans="1:10" x14ac:dyDescent="0.25">
      <c r="A7648" s="5" t="s">
        <v>7682</v>
      </c>
      <c r="B7648" s="5" t="s">
        <v>9515</v>
      </c>
      <c r="C7648" s="6" t="str">
        <f>_xll.QS.CONTEXT.CREATE("market.7646",A7648,"USD","SOFR")</f>
        <v>QSObject:PricingContext:w1~market.7646:4472</v>
      </c>
      <c r="D7648" s="6" t="str">
        <f>_xll.QS.CONTEXT.ADD.CURVE(C7648,"SOFR",$K$2:$K$7,$L$2:$L$7,,,"Actual360","LogLinear",TRUE)</f>
        <v>QSObject:ContextInput:w1~input.qs_context_add_curve.2359132437744.7647.3.0:32696</v>
      </c>
      <c r="E7648" s="6" t="str">
        <f>_xll.QS.INSTRUMENT.SWAP("swap.7646",H7648,B7648,"USD","SOFR",I7648,J7648,0,"Actual360","Simple","Annual","Annual","Annual")</f>
        <v>QSObject:Swap:w1~swap.7646:4471</v>
      </c>
      <c r="F7648" s="6" t="str">
        <f>_xll.QS.TRADE.CREATE("trade.7646",E7648,A7648,"Receive")</f>
        <v>QSObject:SwapTrade:w1~trade.7646:24041</v>
      </c>
      <c r="G7648" s="3">
        <f>_xll.QS.EVALUATE(C7648,F7648)</f>
        <v>61754.021831515522</v>
      </c>
      <c r="H7648" s="5" t="s">
        <v>7689</v>
      </c>
      <c r="I7648" s="7">
        <v>1764600</v>
      </c>
      <c r="J7648" s="8">
        <v>3.9600000000000003E-2</v>
      </c>
    </row>
    <row r="7649" spans="1:10" x14ac:dyDescent="0.25">
      <c r="A7649" s="5" t="s">
        <v>7683</v>
      </c>
      <c r="B7649" s="5" t="s">
        <v>9516</v>
      </c>
      <c r="C7649" s="6" t="str">
        <f>_xll.QS.CONTEXT.CREATE("market.7647",A7649,"USD","SOFR")</f>
        <v>QSObject:PricingContext:w1~market.7647:4470</v>
      </c>
      <c r="D7649" s="6" t="str">
        <f>_xll.QS.CONTEXT.ADD.CURVE(C7649,"SOFR",$K$2:$K$7,$L$2:$L$7,,,"Actual360","LogLinear",TRUE)</f>
        <v>QSObject:ContextInput:w1~input.qs_context_add_curve.2359132437744.7648.3.0:32695</v>
      </c>
      <c r="E7649" s="6" t="str">
        <f>_xll.QS.INSTRUMENT.SWAP("swap.7647",H7649,B7649,"USD","SOFR",I7649,J7649,0,"Actual360","Simple","Annual","Annual","Annual")</f>
        <v>QSObject:Swap:w1~swap.7647:4469</v>
      </c>
      <c r="F7649" s="6" t="str">
        <f>_xll.QS.TRADE.CREATE("trade.7647",E7649,A7649,"Receive")</f>
        <v>QSObject:SwapTrade:w1~trade.7647:24040</v>
      </c>
      <c r="G7649" s="3">
        <f>_xll.QS.EVALUATE(C7649,F7649)</f>
        <v>62648.255136180596</v>
      </c>
      <c r="H7649" s="5" t="s">
        <v>7690</v>
      </c>
      <c r="I7649" s="7">
        <v>1764700</v>
      </c>
      <c r="J7649" s="8">
        <v>3.9700000000000013E-2</v>
      </c>
    </row>
    <row r="7650" spans="1:10" x14ac:dyDescent="0.25">
      <c r="A7650" s="5" t="s">
        <v>7684</v>
      </c>
      <c r="B7650" s="5" t="s">
        <v>9517</v>
      </c>
      <c r="C7650" s="6" t="str">
        <f>_xll.QS.CONTEXT.CREATE("market.7648",A7650,"USD","SOFR")</f>
        <v>QSObject:PricingContext:w1~market.7648:4468</v>
      </c>
      <c r="D7650" s="6" t="str">
        <f>_xll.QS.CONTEXT.ADD.CURVE(C7650,"SOFR",$K$2:$K$7,$L$2:$L$7,,,"Actual360","LogLinear",TRUE)</f>
        <v>QSObject:ContextInput:w1~input.qs_context_add_curve.2359132437744.7649.3.0:32694</v>
      </c>
      <c r="E7650" s="6" t="str">
        <f>_xll.QS.INSTRUMENT.SWAP("swap.7648",H7650,B7650,"USD","SOFR",I7650,J7650,0,"Actual360","Simple","Annual","Annual","Annual")</f>
        <v>QSObject:Swap:w1~swap.7648:4467</v>
      </c>
      <c r="F7650" s="6" t="str">
        <f>_xll.QS.TRADE.CREATE("trade.7648",E7650,A7650,"Receive")</f>
        <v>QSObject:SwapTrade:w1~trade.7648:24039</v>
      </c>
      <c r="G7650" s="3">
        <f>_xll.QS.EVALUATE(C7650,F7650)</f>
        <v>63398.459472755319</v>
      </c>
      <c r="H7650" s="5" t="s">
        <v>7691</v>
      </c>
      <c r="I7650" s="7">
        <v>1764800</v>
      </c>
      <c r="J7650" s="8">
        <v>3.9800000000000002E-2</v>
      </c>
    </row>
    <row r="7651" spans="1:10" x14ac:dyDescent="0.25">
      <c r="A7651" s="5" t="s">
        <v>7685</v>
      </c>
      <c r="B7651" s="5" t="s">
        <v>9518</v>
      </c>
      <c r="C7651" s="6" t="str">
        <f>_xll.QS.CONTEXT.CREATE("market.7649",A7651,"USD","SOFR")</f>
        <v>QSObject:PricingContext:w1~market.7649:4466</v>
      </c>
      <c r="D7651" s="6" t="str">
        <f>_xll.QS.CONTEXT.ADD.CURVE(C7651,"SOFR",$K$2:$K$7,$L$2:$L$7,,,"Actual360","LogLinear",TRUE)</f>
        <v>QSObject:ContextInput:w1~input.qs_context_add_curve.2359132437744.7650.3.0:32693</v>
      </c>
      <c r="E7651" s="6" t="str">
        <f>_xll.QS.INSTRUMENT.SWAP("swap.7649",H7651,B7651,"USD","SOFR",I7651,J7651,0,"Actual360","Simple","Annual","Annual","Annual")</f>
        <v>QSObject:Swap:w1~swap.7649:4465</v>
      </c>
      <c r="F7651" s="6" t="str">
        <f>_xll.QS.TRADE.CREATE("trade.7649",E7651,A7651,"Receive")</f>
        <v>QSObject:SwapTrade:w1~trade.7649:24038</v>
      </c>
      <c r="G7651" s="3">
        <f>_xll.QS.EVALUATE(C7651,F7651)</f>
        <v>64065.633865046992</v>
      </c>
      <c r="H7651" s="5" t="s">
        <v>7692</v>
      </c>
      <c r="I7651" s="7">
        <v>1764900</v>
      </c>
      <c r="J7651" s="8">
        <v>3.9899999999999998E-2</v>
      </c>
    </row>
    <row r="7652" spans="1:10" x14ac:dyDescent="0.25">
      <c r="A7652" s="5" t="s">
        <v>7686</v>
      </c>
      <c r="B7652" s="5" t="s">
        <v>9519</v>
      </c>
      <c r="C7652" s="6" t="str">
        <f>_xll.QS.CONTEXT.CREATE("market.7650",A7652,"USD","SOFR")</f>
        <v>QSObject:PricingContext:w1~market.7650:4464</v>
      </c>
      <c r="D7652" s="6" t="str">
        <f>_xll.QS.CONTEXT.ADD.CURVE(C7652,"SOFR",$K$2:$K$7,$L$2:$L$7,,,"Actual360","LogLinear",TRUE)</f>
        <v>QSObject:ContextInput:w1~input.qs_context_add_curve.2359132437744.7651.3.0:32692</v>
      </c>
      <c r="E7652" s="6" t="str">
        <f>_xll.QS.INSTRUMENT.SWAP("swap.7650",H7652,B7652,"USD","SOFR",I7652,J7652,0,"Actual360","Simple","Annual","Annual","Annual")</f>
        <v>QSObject:Swap:w1~swap.7650:4463</v>
      </c>
      <c r="F7652" s="6" t="str">
        <f>_xll.QS.TRADE.CREATE("trade.7650",E7652,A7652,"Receive")</f>
        <v>QSObject:SwapTrade:w1~trade.7650:24037</v>
      </c>
      <c r="G7652" s="3">
        <f>_xll.QS.EVALUATE(C7652,F7652)</f>
        <v>24071.813704328844</v>
      </c>
      <c r="H7652" s="5" t="s">
        <v>7693</v>
      </c>
      <c r="I7652" s="7">
        <v>1765000</v>
      </c>
      <c r="J7652" s="8">
        <v>3.5000000000000003E-2</v>
      </c>
    </row>
    <row r="7653" spans="1:10" x14ac:dyDescent="0.25">
      <c r="A7653" s="5" t="s">
        <v>7687</v>
      </c>
      <c r="B7653" s="5" t="s">
        <v>9520</v>
      </c>
      <c r="C7653" s="6" t="str">
        <f>_xll.QS.CONTEXT.CREATE("market.7651",A7653,"USD","SOFR")</f>
        <v>QSObject:PricingContext:w1~market.7651:4462</v>
      </c>
      <c r="D7653" s="6" t="str">
        <f>_xll.QS.CONTEXT.ADD.CURVE(C7653,"SOFR",$K$2:$K$7,$L$2:$L$7,,,"Actual360","LogLinear",TRUE)</f>
        <v>QSObject:ContextInput:w1~input.qs_context_add_curve.2359132437744.7652.3.0:32691</v>
      </c>
      <c r="E7653" s="6" t="str">
        <f>_xll.QS.INSTRUMENT.SWAP("swap.7651",H7653,B7653,"USD","SOFR",I7653,J7653,0,"Actual360","Simple","Annual","Annual","Annual")</f>
        <v>QSObject:Swap:w1~swap.7651:4461</v>
      </c>
      <c r="F7653" s="6" t="str">
        <f>_xll.QS.TRADE.CREATE("trade.7651",E7653,A7653,"Receive")</f>
        <v>QSObject:SwapTrade:w1~trade.7651:24036</v>
      </c>
      <c r="G7653" s="3">
        <f>_xll.QS.EVALUATE(C7653,F7653)</f>
        <v>24960.651315363662</v>
      </c>
      <c r="H7653" s="5" t="s">
        <v>7694</v>
      </c>
      <c r="I7653" s="7">
        <v>1765100</v>
      </c>
      <c r="J7653" s="8">
        <v>3.5100000000000013E-2</v>
      </c>
    </row>
    <row r="7654" spans="1:10" x14ac:dyDescent="0.25">
      <c r="A7654" s="5" t="s">
        <v>7688</v>
      </c>
      <c r="B7654" s="5" t="s">
        <v>9521</v>
      </c>
      <c r="C7654" s="6" t="str">
        <f>_xll.QS.CONTEXT.CREATE("market.7652",A7654,"USD","SOFR")</f>
        <v>QSObject:PricingContext:w1~market.7652:4460</v>
      </c>
      <c r="D7654" s="6" t="str">
        <f>_xll.QS.CONTEXT.ADD.CURVE(C7654,"SOFR",$K$2:$K$7,$L$2:$L$7,,,"Actual360","LogLinear",TRUE)</f>
        <v>QSObject:ContextInput:w1~input.qs_context_add_curve.2359132437744.7653.3.0:32690</v>
      </c>
      <c r="E7654" s="6" t="str">
        <f>_xll.QS.INSTRUMENT.SWAP("swap.7652",H7654,B7654,"USD","SOFR",I7654,J7654,0,"Actual360","Simple","Annual","Annual","Annual")</f>
        <v>QSObject:Swap:w1~swap.7652:4459</v>
      </c>
      <c r="F7654" s="6" t="str">
        <f>_xll.QS.TRADE.CREATE("trade.7652",E7654,A7654,"Receive")</f>
        <v>QSObject:SwapTrade:w1~trade.7652:24035</v>
      </c>
      <c r="G7654" s="3">
        <f>_xll.QS.EVALUATE(C7654,F7654)</f>
        <v>25830.216598946317</v>
      </c>
      <c r="H7654" s="5" t="s">
        <v>7695</v>
      </c>
      <c r="I7654" s="7">
        <v>1765200</v>
      </c>
      <c r="J7654" s="8">
        <v>3.5200000000000002E-2</v>
      </c>
    </row>
    <row r="7655" spans="1:10" x14ac:dyDescent="0.25">
      <c r="A7655" s="5" t="s">
        <v>7689</v>
      </c>
      <c r="B7655" s="5" t="s">
        <v>9522</v>
      </c>
      <c r="C7655" s="6" t="str">
        <f>_xll.QS.CONTEXT.CREATE("market.7653",A7655,"USD","SOFR")</f>
        <v>QSObject:PricingContext:w1~market.7653:4458</v>
      </c>
      <c r="D7655" s="6" t="str">
        <f>_xll.QS.CONTEXT.ADD.CURVE(C7655,"SOFR",$K$2:$K$7,$L$2:$L$7,,,"Actual360","LogLinear",TRUE)</f>
        <v>QSObject:ContextInput:w1~input.qs_context_add_curve.2359132437744.7654.3.0:32689</v>
      </c>
      <c r="E7655" s="6" t="str">
        <f>_xll.QS.INSTRUMENT.SWAP("swap.7653",H7655,B7655,"USD","SOFR",I7655,J7655,0,"Actual360","Simple","Annual","Annual","Annual")</f>
        <v>QSObject:Swap:w1~swap.7653:4457</v>
      </c>
      <c r="F7655" s="6" t="str">
        <f>_xll.QS.TRADE.CREATE("trade.7653",E7655,A7655,"Receive")</f>
        <v>QSObject:SwapTrade:w1~trade.7653:24034</v>
      </c>
      <c r="G7655" s="3">
        <f>_xll.QS.EVALUATE(C7655,F7655)</f>
        <v>26774.468815881512</v>
      </c>
      <c r="H7655" s="5" t="s">
        <v>7696</v>
      </c>
      <c r="I7655" s="7">
        <v>1765300</v>
      </c>
      <c r="J7655" s="8">
        <v>3.5299999999999998E-2</v>
      </c>
    </row>
    <row r="7656" spans="1:10" x14ac:dyDescent="0.25">
      <c r="A7656" s="5" t="s">
        <v>7690</v>
      </c>
      <c r="B7656" s="5" t="s">
        <v>9523</v>
      </c>
      <c r="C7656" s="6" t="str">
        <f>_xll.QS.CONTEXT.CREATE("market.7654",A7656,"USD","SOFR")</f>
        <v>QSObject:PricingContext:w1~market.7654:4456</v>
      </c>
      <c r="D7656" s="6" t="str">
        <f>_xll.QS.CONTEXT.ADD.CURVE(C7656,"SOFR",$K$2:$K$7,$L$2:$L$7,,,"Actual360","LogLinear",TRUE)</f>
        <v>QSObject:ContextInput:w1~input.qs_context_add_curve.2359132437744.7655.3.0:32688</v>
      </c>
      <c r="E7656" s="6" t="str">
        <f>_xll.QS.INSTRUMENT.SWAP("swap.7654",H7656,B7656,"USD","SOFR",I7656,J7656,0,"Actual360","Simple","Annual","Annual","Annual")</f>
        <v>QSObject:Swap:w1~swap.7654:4455</v>
      </c>
      <c r="F7656" s="6" t="str">
        <f>_xll.QS.TRADE.CREATE("trade.7654",E7656,A7656,"Receive")</f>
        <v>QSObject:SwapTrade:w1~trade.7654:24033</v>
      </c>
      <c r="G7656" s="3">
        <f>_xll.QS.EVALUATE(C7656,F7656)</f>
        <v>27666.698354456545</v>
      </c>
      <c r="H7656" s="5" t="s">
        <v>7697</v>
      </c>
      <c r="I7656" s="7">
        <v>1765400</v>
      </c>
      <c r="J7656" s="8">
        <v>3.5400000000000001E-2</v>
      </c>
    </row>
    <row r="7657" spans="1:10" x14ac:dyDescent="0.25">
      <c r="A7657" s="5" t="s">
        <v>7691</v>
      </c>
      <c r="B7657" s="5" t="s">
        <v>9524</v>
      </c>
      <c r="C7657" s="6" t="str">
        <f>_xll.QS.CONTEXT.CREATE("market.7655",A7657,"USD","SOFR")</f>
        <v>QSObject:PricingContext:w1~market.7655:4454</v>
      </c>
      <c r="D7657" s="6" t="str">
        <f>_xll.QS.CONTEXT.ADD.CURVE(C7657,"SOFR",$K$2:$K$7,$L$2:$L$7,,,"Actual360","LogLinear",TRUE)</f>
        <v>QSObject:ContextInput:w1~input.qs_context_add_curve.2359132437744.7656.3.0:32687</v>
      </c>
      <c r="E7657" s="6" t="str">
        <f>_xll.QS.INSTRUMENT.SWAP("swap.7655",H7657,B7657,"USD","SOFR",I7657,J7657,0,"Actual360","Simple","Annual","Annual","Annual")</f>
        <v>QSObject:Swap:w1~swap.7655:4453</v>
      </c>
      <c r="F7657" s="6" t="str">
        <f>_xll.QS.TRADE.CREATE("trade.7655",E7657,A7657,"Receive")</f>
        <v>QSObject:SwapTrade:w1~trade.7655:24032</v>
      </c>
      <c r="G7657" s="3">
        <f>_xll.QS.EVALUATE(C7657,F7657)</f>
        <v>28357.985170557207</v>
      </c>
      <c r="H7657" s="5" t="s">
        <v>7698</v>
      </c>
      <c r="I7657" s="7">
        <v>1765500</v>
      </c>
      <c r="J7657" s="8">
        <v>3.5499999999999997E-2</v>
      </c>
    </row>
    <row r="7658" spans="1:10" x14ac:dyDescent="0.25">
      <c r="A7658" s="5" t="s">
        <v>7692</v>
      </c>
      <c r="B7658" s="5" t="s">
        <v>9525</v>
      </c>
      <c r="C7658" s="6" t="str">
        <f>_xll.QS.CONTEXT.CREATE("market.7656",A7658,"USD","SOFR")</f>
        <v>QSObject:PricingContext:w1~market.7656:4452</v>
      </c>
      <c r="D7658" s="6" t="str">
        <f>_xll.QS.CONTEXT.ADD.CURVE(C7658,"SOFR",$K$2:$K$7,$L$2:$L$7,,,"Actual360","LogLinear",TRUE)</f>
        <v>QSObject:ContextInput:w1~input.qs_context_add_curve.2359132437744.7657.3.0:32686</v>
      </c>
      <c r="E7658" s="6" t="str">
        <f>_xll.QS.INSTRUMENT.SWAP("swap.7656",H7658,B7658,"USD","SOFR",I7658,J7658,0,"Actual360","Simple","Annual","Annual","Annual")</f>
        <v>QSObject:Swap:w1~swap.7656:4451</v>
      </c>
      <c r="F7658" s="6" t="str">
        <f>_xll.QS.TRADE.CREATE("trade.7656",E7658,A7658,"Receive")</f>
        <v>QSObject:SwapTrade:w1~trade.7656:24031</v>
      </c>
      <c r="G7658" s="3">
        <f>_xll.QS.EVALUATE(C7658,F7658)</f>
        <v>28964.068553538003</v>
      </c>
      <c r="H7658" s="5" t="s">
        <v>7699</v>
      </c>
      <c r="I7658" s="7">
        <v>1765600</v>
      </c>
      <c r="J7658" s="8">
        <v>3.5600000000000007E-2</v>
      </c>
    </row>
    <row r="7659" spans="1:10" x14ac:dyDescent="0.25">
      <c r="A7659" s="5" t="s">
        <v>7693</v>
      </c>
      <c r="B7659" s="5" t="s">
        <v>9526</v>
      </c>
      <c r="C7659" s="6" t="str">
        <f>_xll.QS.CONTEXT.CREATE("market.7657",A7659,"USD","SOFR")</f>
        <v>QSObject:PricingContext:w1~market.7657:4450</v>
      </c>
      <c r="D7659" s="6" t="str">
        <f>_xll.QS.CONTEXT.ADD.CURVE(C7659,"SOFR",$K$2:$K$7,$L$2:$L$7,,,"Actual360","LogLinear",TRUE)</f>
        <v>QSObject:ContextInput:w1~input.qs_context_add_curve.2359132437744.7658.3.0:32685</v>
      </c>
      <c r="E7659" s="6" t="str">
        <f>_xll.QS.INSTRUMENT.SWAP("swap.7657",H7659,B7659,"USD","SOFR",I7659,J7659,0,"Actual360","Simple","Annual","Annual","Annual")</f>
        <v>QSObject:Swap:w1~swap.7657:4449</v>
      </c>
      <c r="F7659" s="6" t="str">
        <f>_xll.QS.TRADE.CREATE("trade.7657",E7659,A7659,"Receive")</f>
        <v>QSObject:SwapTrade:w1~trade.7657:24030</v>
      </c>
      <c r="G7659" s="3">
        <f>_xll.QS.EVALUATE(C7659,F7659)</f>
        <v>29782.700845959153</v>
      </c>
      <c r="H7659" s="5" t="s">
        <v>7700</v>
      </c>
      <c r="I7659" s="7">
        <v>1765700</v>
      </c>
      <c r="J7659" s="8">
        <v>3.5700000000000003E-2</v>
      </c>
    </row>
    <row r="7660" spans="1:10" x14ac:dyDescent="0.25">
      <c r="A7660" s="5" t="s">
        <v>7694</v>
      </c>
      <c r="B7660" s="5" t="s">
        <v>9527</v>
      </c>
      <c r="C7660" s="6" t="str">
        <f>_xll.QS.CONTEXT.CREATE("market.7658",A7660,"USD","SOFR")</f>
        <v>QSObject:PricingContext:w1~market.7658:4448</v>
      </c>
      <c r="D7660" s="6" t="str">
        <f>_xll.QS.CONTEXT.ADD.CURVE(C7660,"SOFR",$K$2:$K$7,$L$2:$L$7,,,"Actual360","LogLinear",TRUE)</f>
        <v>QSObject:ContextInput:w1~input.qs_context_add_curve.2359132437744.7659.3.0:32684</v>
      </c>
      <c r="E7660" s="6" t="str">
        <f>_xll.QS.INSTRUMENT.SWAP("swap.7658",H7660,B7660,"USD","SOFR",I7660,J7660,0,"Actual360","Simple","Annual","Annual","Annual")</f>
        <v>QSObject:Swap:w1~swap.7658:4447</v>
      </c>
      <c r="F7660" s="6" t="str">
        <f>_xll.QS.TRADE.CREATE("trade.7658",E7660,A7660,"Receive")</f>
        <v>QSObject:SwapTrade:w1~trade.7658:24029</v>
      </c>
      <c r="G7660" s="3">
        <f>_xll.QS.EVALUATE(C7660,F7660)</f>
        <v>30673.348925877144</v>
      </c>
      <c r="H7660" s="5" t="s">
        <v>7701</v>
      </c>
      <c r="I7660" s="7">
        <v>1765800</v>
      </c>
      <c r="J7660" s="8">
        <v>3.5800000000000012E-2</v>
      </c>
    </row>
    <row r="7661" spans="1:10" x14ac:dyDescent="0.25">
      <c r="A7661" s="5" t="s">
        <v>7695</v>
      </c>
      <c r="B7661" s="5" t="s">
        <v>9528</v>
      </c>
      <c r="C7661" s="6" t="str">
        <f>_xll.QS.CONTEXT.CREATE("market.7659",A7661,"USD","SOFR")</f>
        <v>QSObject:PricingContext:w1~market.7659:4446</v>
      </c>
      <c r="D7661" s="6" t="str">
        <f>_xll.QS.CONTEXT.ADD.CURVE(C7661,"SOFR",$K$2:$K$7,$L$2:$L$7,,,"Actual360","LogLinear",TRUE)</f>
        <v>QSObject:ContextInput:w1~input.qs_context_add_curve.2359132437744.7660.3.0:32683</v>
      </c>
      <c r="E7661" s="6" t="str">
        <f>_xll.QS.INSTRUMENT.SWAP("swap.7659",H7661,B7661,"USD","SOFR",I7661,J7661,0,"Actual360","Simple","Annual","Annual","Annual")</f>
        <v>QSObject:Swap:w1~swap.7659:4445</v>
      </c>
      <c r="F7661" s="6" t="str">
        <f>_xll.QS.TRADE.CREATE("trade.7659",E7661,A7661,"Receive")</f>
        <v>QSObject:SwapTrade:w1~trade.7659:24028</v>
      </c>
      <c r="G7661" s="3">
        <f>_xll.QS.EVALUATE(C7661,F7661)</f>
        <v>31735.624136509483</v>
      </c>
      <c r="H7661" s="5" t="s">
        <v>7702</v>
      </c>
      <c r="I7661" s="7">
        <v>1765900</v>
      </c>
      <c r="J7661" s="8">
        <v>3.5900000000000001E-2</v>
      </c>
    </row>
    <row r="7662" spans="1:10" x14ac:dyDescent="0.25">
      <c r="A7662" s="5" t="s">
        <v>7696</v>
      </c>
      <c r="B7662" s="5" t="s">
        <v>9529</v>
      </c>
      <c r="C7662" s="6" t="str">
        <f>_xll.QS.CONTEXT.CREATE("market.7660",A7662,"USD","SOFR")</f>
        <v>QSObject:PricingContext:w1~market.7660:4444</v>
      </c>
      <c r="D7662" s="6" t="str">
        <f>_xll.QS.CONTEXT.ADD.CURVE(C7662,"SOFR",$K$2:$K$7,$L$2:$L$7,,,"Actual360","LogLinear",TRUE)</f>
        <v>QSObject:ContextInput:w1~input.qs_context_add_curve.2359132437744.7661.3.0:32682</v>
      </c>
      <c r="E7662" s="6" t="str">
        <f>_xll.QS.INSTRUMENT.SWAP("swap.7660",H7662,B7662,"USD","SOFR",I7662,J7662,0,"Actual360","Simple","Annual","Annual","Annual")</f>
        <v>QSObject:Swap:w1~swap.7660:4443</v>
      </c>
      <c r="F7662" s="6" t="str">
        <f>_xll.QS.TRADE.CREATE("trade.7660",E7662,A7662,"Receive")</f>
        <v>QSObject:SwapTrade:w1~trade.7660:24027</v>
      </c>
      <c r="G7662" s="3">
        <f>_xll.QS.EVALUATE(C7662,F7662)</f>
        <v>32567.161824440867</v>
      </c>
      <c r="H7662" s="5" t="s">
        <v>7703</v>
      </c>
      <c r="I7662" s="7">
        <v>1766000</v>
      </c>
      <c r="J7662" s="8">
        <v>3.5999999999999997E-2</v>
      </c>
    </row>
    <row r="7663" spans="1:10" x14ac:dyDescent="0.25">
      <c r="A7663" s="5" t="s">
        <v>7697</v>
      </c>
      <c r="B7663" s="5" t="s">
        <v>9530</v>
      </c>
      <c r="C7663" s="6" t="str">
        <f>_xll.QS.CONTEXT.CREATE("market.7661",A7663,"USD","SOFR")</f>
        <v>QSObject:PricingContext:w1~market.7661:4442</v>
      </c>
      <c r="D7663" s="6" t="str">
        <f>_xll.QS.CONTEXT.ADD.CURVE(C7663,"SOFR",$K$2:$K$7,$L$2:$L$7,,,"Actual360","LogLinear",TRUE)</f>
        <v>QSObject:ContextInput:w1~input.qs_context_add_curve.2359132437744.7662.3.0:32681</v>
      </c>
      <c r="E7663" s="6" t="str">
        <f>_xll.QS.INSTRUMENT.SWAP("swap.7661",H7663,B7663,"USD","SOFR",I7663,J7663,0,"Actual360","Simple","Annual","Annual","Annual")</f>
        <v>QSObject:Swap:w1~swap.7661:4441</v>
      </c>
      <c r="F7663" s="6" t="str">
        <f>_xll.QS.TRADE.CREATE("trade.7661",E7663,A7663,"Receive")</f>
        <v>QSObject:SwapTrade:w1~trade.7661:24026</v>
      </c>
      <c r="G7663" s="3">
        <f>_xll.QS.EVALUATE(C7663,F7663)</f>
        <v>33381.578468589643</v>
      </c>
      <c r="H7663" s="5" t="s">
        <v>7704</v>
      </c>
      <c r="I7663" s="7">
        <v>1766100</v>
      </c>
      <c r="J7663" s="8">
        <v>3.61E-2</v>
      </c>
    </row>
    <row r="7664" spans="1:10" x14ac:dyDescent="0.25">
      <c r="A7664" s="5" t="s">
        <v>7698</v>
      </c>
      <c r="B7664" s="5" t="s">
        <v>9531</v>
      </c>
      <c r="C7664" s="6" t="str">
        <f>_xll.QS.CONTEXT.CREATE("market.7662",A7664,"USD","SOFR")</f>
        <v>QSObject:PricingContext:w1~market.7662:4440</v>
      </c>
      <c r="D7664" s="6" t="str">
        <f>_xll.QS.CONTEXT.ADD.CURVE(C7664,"SOFR",$K$2:$K$7,$L$2:$L$7,,,"Actual360","LogLinear",TRUE)</f>
        <v>QSObject:ContextInput:w1~input.qs_context_add_curve.2359132437744.7663.3.0:32680</v>
      </c>
      <c r="E7664" s="6" t="str">
        <f>_xll.QS.INSTRUMENT.SWAP("swap.7662",H7664,B7664,"USD","SOFR",I7664,J7664,0,"Actual360","Simple","Annual","Annual","Annual")</f>
        <v>QSObject:Swap:w1~swap.7662:4439</v>
      </c>
      <c r="F7664" s="6" t="str">
        <f>_xll.QS.TRADE.CREATE("trade.7662",E7664,A7664,"Receive")</f>
        <v>QSObject:SwapTrade:w1~trade.7662:24025</v>
      </c>
      <c r="G7664" s="3">
        <f>_xll.QS.EVALUATE(C7664,F7664)</f>
        <v>34128.125299316169</v>
      </c>
      <c r="H7664" s="5" t="s">
        <v>7705</v>
      </c>
      <c r="I7664" s="7">
        <v>1766200</v>
      </c>
      <c r="J7664" s="8">
        <v>3.6200000000000003E-2</v>
      </c>
    </row>
    <row r="7665" spans="1:10" x14ac:dyDescent="0.25">
      <c r="A7665" s="5" t="s">
        <v>7699</v>
      </c>
      <c r="B7665" s="5" t="s">
        <v>9532</v>
      </c>
      <c r="C7665" s="6" t="str">
        <f>_xll.QS.CONTEXT.CREATE("market.7663",A7665,"USD","SOFR")</f>
        <v>QSObject:PricingContext:w1~market.7663:4438</v>
      </c>
      <c r="D7665" s="6" t="str">
        <f>_xll.QS.CONTEXT.ADD.CURVE(C7665,"SOFR",$K$2:$K$7,$L$2:$L$7,,,"Actual360","LogLinear",TRUE)</f>
        <v>QSObject:ContextInput:w1~input.qs_context_add_curve.2359132437744.7664.3.0:32679</v>
      </c>
      <c r="E7665" s="6" t="str">
        <f>_xll.QS.INSTRUMENT.SWAP("swap.7663",H7665,B7665,"USD","SOFR",I7665,J7665,0,"Actual360","Simple","Annual","Annual","Annual")</f>
        <v>QSObject:Swap:w1~swap.7663:4437</v>
      </c>
      <c r="F7665" s="6" t="str">
        <f>_xll.QS.TRADE.CREATE("trade.7663",E7665,A7665,"Receive")</f>
        <v>QSObject:SwapTrade:w1~trade.7663:24024</v>
      </c>
      <c r="G7665" s="3">
        <f>_xll.QS.EVALUATE(C7665,F7665)</f>
        <v>34678.756689683258</v>
      </c>
      <c r="H7665" s="5" t="s">
        <v>7706</v>
      </c>
      <c r="I7665" s="7">
        <v>1766300</v>
      </c>
      <c r="J7665" s="8">
        <v>3.6300000000000013E-2</v>
      </c>
    </row>
    <row r="7666" spans="1:10" x14ac:dyDescent="0.25">
      <c r="A7666" s="5" t="s">
        <v>7700</v>
      </c>
      <c r="B7666" s="5" t="s">
        <v>9533</v>
      </c>
      <c r="C7666" s="6" t="str">
        <f>_xll.QS.CONTEXT.CREATE("market.7664",A7666,"USD","SOFR")</f>
        <v>QSObject:PricingContext:w1~market.7664:4436</v>
      </c>
      <c r="D7666" s="6" t="str">
        <f>_xll.QS.CONTEXT.ADD.CURVE(C7666,"SOFR",$K$2:$K$7,$L$2:$L$7,,,"Actual360","LogLinear",TRUE)</f>
        <v>QSObject:ContextInput:w1~input.qs_context_add_curve.2359132437744.7665.3.0:32678</v>
      </c>
      <c r="E7666" s="6" t="str">
        <f>_xll.QS.INSTRUMENT.SWAP("swap.7664",H7666,B7666,"USD","SOFR",I7666,J7666,0,"Actual360","Simple","Annual","Annual","Annual")</f>
        <v>QSObject:Swap:w1~swap.7664:4435</v>
      </c>
      <c r="F7666" s="6" t="str">
        <f>_xll.QS.TRADE.CREATE("trade.7664",E7666,A7666,"Receive")</f>
        <v>QSObject:SwapTrade:w1~trade.7664:24023</v>
      </c>
      <c r="G7666" s="3">
        <f>_xll.QS.EVALUATE(C7666,F7666)</f>
        <v>35498.519360269136</v>
      </c>
      <c r="H7666" s="5" t="s">
        <v>7707</v>
      </c>
      <c r="I7666" s="7">
        <v>1766400</v>
      </c>
      <c r="J7666" s="8">
        <v>3.6400000000000002E-2</v>
      </c>
    </row>
    <row r="7667" spans="1:10" x14ac:dyDescent="0.25">
      <c r="A7667" s="5" t="s">
        <v>7701</v>
      </c>
      <c r="B7667" s="5" t="s">
        <v>9534</v>
      </c>
      <c r="C7667" s="6" t="str">
        <f>_xll.QS.CONTEXT.CREATE("market.7665",A7667,"USD","SOFR")</f>
        <v>QSObject:PricingContext:w1~market.7665:4434</v>
      </c>
      <c r="D7667" s="6" t="str">
        <f>_xll.QS.CONTEXT.ADD.CURVE(C7667,"SOFR",$K$2:$K$7,$L$2:$L$7,,,"Actual360","LogLinear",TRUE)</f>
        <v>QSObject:ContextInput:w1~input.qs_context_add_curve.2359132437744.7666.3.0:32677</v>
      </c>
      <c r="E7667" s="6" t="str">
        <f>_xll.QS.INSTRUMENT.SWAP("swap.7665",H7667,B7667,"USD","SOFR",I7667,J7667,0,"Actual360","Simple","Annual","Annual","Annual")</f>
        <v>QSObject:Swap:w1~swap.7665:4433</v>
      </c>
      <c r="F7667" s="6" t="str">
        <f>_xll.QS.TRADE.CREATE("trade.7665",E7667,A7667,"Receive")</f>
        <v>QSObject:SwapTrade:w1~trade.7665:24022</v>
      </c>
      <c r="G7667" s="3">
        <f>_xll.QS.EVALUATE(C7667,F7667)</f>
        <v>36390.423643785936</v>
      </c>
      <c r="H7667" s="5" t="s">
        <v>7708</v>
      </c>
      <c r="I7667" s="7">
        <v>1766500</v>
      </c>
      <c r="J7667" s="8">
        <v>3.6499999999999998E-2</v>
      </c>
    </row>
    <row r="7668" spans="1:10" x14ac:dyDescent="0.25">
      <c r="A7668" s="5" t="s">
        <v>7702</v>
      </c>
      <c r="B7668" s="5" t="s">
        <v>9535</v>
      </c>
      <c r="C7668" s="6" t="str">
        <f>_xll.QS.CONTEXT.CREATE("market.7666",A7668,"USD","SOFR")</f>
        <v>QSObject:PricingContext:w1~market.7666:4432</v>
      </c>
      <c r="D7668" s="6" t="str">
        <f>_xll.QS.CONTEXT.ADD.CURVE(C7668,"SOFR",$K$2:$K$7,$L$2:$L$7,,,"Actual360","LogLinear",TRUE)</f>
        <v>QSObject:ContextInput:w1~input.qs_context_add_curve.2359132437744.7667.3.0:32676</v>
      </c>
      <c r="E7668" s="6" t="str">
        <f>_xll.QS.INSTRUMENT.SWAP("swap.7666",H7668,B7668,"USD","SOFR",I7668,J7668,0,"Actual360","Simple","Annual","Annual","Annual")</f>
        <v>QSObject:Swap:w1~swap.7666:4431</v>
      </c>
      <c r="F7668" s="6" t="str">
        <f>_xll.QS.TRADE.CREATE("trade.7666",E7668,A7668,"Receive")</f>
        <v>QSObject:SwapTrade:w1~trade.7666:24021</v>
      </c>
      <c r="G7668" s="3">
        <f>_xll.QS.EVALUATE(C7668,F7668)</f>
        <v>37450.782048071211</v>
      </c>
      <c r="H7668" s="5" t="s">
        <v>7709</v>
      </c>
      <c r="I7668" s="7">
        <v>1766600</v>
      </c>
      <c r="J7668" s="8">
        <v>3.6600000000000001E-2</v>
      </c>
    </row>
    <row r="7669" spans="1:10" x14ac:dyDescent="0.25">
      <c r="A7669" s="5" t="s">
        <v>7703</v>
      </c>
      <c r="B7669" s="5" t="s">
        <v>9536</v>
      </c>
      <c r="C7669" s="6" t="str">
        <f>_xll.QS.CONTEXT.CREATE("market.7667",A7669,"USD","SOFR")</f>
        <v>QSObject:PricingContext:w1~market.7667:4430</v>
      </c>
      <c r="D7669" s="6" t="str">
        <f>_xll.QS.CONTEXT.ADD.CURVE(C7669,"SOFR",$K$2:$K$7,$L$2:$L$7,,,"Actual360","LogLinear",TRUE)</f>
        <v>QSObject:ContextInput:w1~input.qs_context_add_curve.2359132437744.7668.3.0:32675</v>
      </c>
      <c r="E7669" s="6" t="str">
        <f>_xll.QS.INSTRUMENT.SWAP("swap.7667",H7669,B7669,"USD","SOFR",I7669,J7669,0,"Actual360","Simple","Annual","Annual","Annual")</f>
        <v>QSObject:Swap:w1~swap.7667:4429</v>
      </c>
      <c r="F7669" s="6" t="str">
        <f>_xll.QS.TRADE.CREATE("trade.7667",E7669,A7669,"Receive")</f>
        <v>QSObject:SwapTrade:w1~trade.7667:24020</v>
      </c>
      <c r="G7669" s="3">
        <f>_xll.QS.EVALUATE(C7669,F7669)</f>
        <v>38267.377606314185</v>
      </c>
      <c r="H7669" s="5" t="s">
        <v>7710</v>
      </c>
      <c r="I7669" s="7">
        <v>1766700</v>
      </c>
      <c r="J7669" s="8">
        <v>3.6700000000000003E-2</v>
      </c>
    </row>
    <row r="7670" spans="1:10" x14ac:dyDescent="0.25">
      <c r="A7670" s="5" t="s">
        <v>7704</v>
      </c>
      <c r="B7670" s="5" t="s">
        <v>9537</v>
      </c>
      <c r="C7670" s="6" t="str">
        <f>_xll.QS.CONTEXT.CREATE("market.7668",A7670,"USD","SOFR")</f>
        <v>QSObject:PricingContext:w1~market.7668:4428</v>
      </c>
      <c r="D7670" s="6" t="str">
        <f>_xll.QS.CONTEXT.ADD.CURVE(C7670,"SOFR",$K$2:$K$7,$L$2:$L$7,,,"Actual360","LogLinear",TRUE)</f>
        <v>QSObject:ContextInput:w1~input.qs_context_add_curve.2359132437744.7669.3.0:32674</v>
      </c>
      <c r="E7670" s="6" t="str">
        <f>_xll.QS.INSTRUMENT.SWAP("swap.7668",H7670,B7670,"USD","SOFR",I7670,J7670,0,"Actual360","Simple","Annual","Annual","Annual")</f>
        <v>QSObject:Swap:w1~swap.7668:4427</v>
      </c>
      <c r="F7670" s="6" t="str">
        <f>_xll.QS.TRADE.CREATE("trade.7668",E7670,A7670,"Receive")</f>
        <v>QSObject:SwapTrade:w1~trade.7668:24019</v>
      </c>
      <c r="G7670" s="3">
        <f>_xll.QS.EVALUATE(C7670,F7670)</f>
        <v>39095.111996202795</v>
      </c>
      <c r="H7670" s="5" t="s">
        <v>7711</v>
      </c>
      <c r="I7670" s="7">
        <v>1766800</v>
      </c>
      <c r="J7670" s="8">
        <v>3.6800000000000013E-2</v>
      </c>
    </row>
    <row r="7671" spans="1:10" x14ac:dyDescent="0.25">
      <c r="A7671" s="5" t="s">
        <v>7705</v>
      </c>
      <c r="B7671" s="5" t="s">
        <v>9538</v>
      </c>
      <c r="C7671" s="6" t="str">
        <f>_xll.QS.CONTEXT.CREATE("market.7669",A7671,"USD","SOFR")</f>
        <v>QSObject:PricingContext:w1~market.7669:4426</v>
      </c>
      <c r="D7671" s="6" t="str">
        <f>_xll.QS.CONTEXT.ADD.CURVE(C7671,"SOFR",$K$2:$K$7,$L$2:$L$7,,,"Actual360","LogLinear",TRUE)</f>
        <v>QSObject:ContextInput:w1~input.qs_context_add_curve.2359132437744.7670.3.0:32673</v>
      </c>
      <c r="E7671" s="6" t="str">
        <f>_xll.QS.INSTRUMENT.SWAP("swap.7669",H7671,B7671,"USD","SOFR",I7671,J7671,0,"Actual360","Simple","Annual","Annual","Annual")</f>
        <v>QSObject:Swap:w1~swap.7669:4425</v>
      </c>
      <c r="F7671" s="6" t="str">
        <f>_xll.QS.TRADE.CREATE("trade.7669",E7671,A7671,"Receive")</f>
        <v>QSObject:SwapTrade:w1~trade.7669:24018</v>
      </c>
      <c r="G7671" s="3">
        <f>_xll.QS.EVALUATE(C7671,F7671)</f>
        <v>39845.057969814516</v>
      </c>
      <c r="H7671" s="5" t="s">
        <v>7712</v>
      </c>
      <c r="I7671" s="7">
        <v>1766900</v>
      </c>
      <c r="J7671" s="8">
        <v>3.6900000000000002E-2</v>
      </c>
    </row>
    <row r="7672" spans="1:10" x14ac:dyDescent="0.25">
      <c r="A7672" s="5" t="s">
        <v>7706</v>
      </c>
      <c r="B7672" s="5" t="s">
        <v>9539</v>
      </c>
      <c r="C7672" s="6" t="str">
        <f>_xll.QS.CONTEXT.CREATE("market.7670",A7672,"USD","SOFR")</f>
        <v>QSObject:PricingContext:w1~market.7670:4424</v>
      </c>
      <c r="D7672" s="6" t="str">
        <f>_xll.QS.CONTEXT.ADD.CURVE(C7672,"SOFR",$K$2:$K$7,$L$2:$L$7,,,"Actual360","LogLinear",TRUE)</f>
        <v>QSObject:ContextInput:w1~input.qs_context_add_curve.2359132437744.7671.3.0:32672</v>
      </c>
      <c r="E7672" s="6" t="str">
        <f>_xll.QS.INSTRUMENT.SWAP("swap.7670",H7672,B7672,"USD","SOFR",I7672,J7672,0,"Actual360","Simple","Annual","Annual","Annual")</f>
        <v>QSObject:Swap:w1~swap.7670:4423</v>
      </c>
      <c r="F7672" s="6" t="str">
        <f>_xll.QS.TRADE.CREATE("trade.7670",E7672,A7672,"Receive")</f>
        <v>QSObject:SwapTrade:w1~trade.7670:24017</v>
      </c>
      <c r="G7672" s="3">
        <f>_xll.QS.EVALUATE(C7672,F7672)</f>
        <v>40539.532026540182</v>
      </c>
      <c r="H7672" s="5" t="s">
        <v>7713</v>
      </c>
      <c r="I7672" s="7">
        <v>1767000</v>
      </c>
      <c r="J7672" s="8">
        <v>3.7000000000000012E-2</v>
      </c>
    </row>
    <row r="7673" spans="1:10" x14ac:dyDescent="0.25">
      <c r="A7673" s="5" t="s">
        <v>7707</v>
      </c>
      <c r="B7673" s="5" t="s">
        <v>9540</v>
      </c>
      <c r="C7673" s="6" t="str">
        <f>_xll.QS.CONTEXT.CREATE("market.7671",A7673,"USD","SOFR")</f>
        <v>QSObject:PricingContext:w1~market.7671:4422</v>
      </c>
      <c r="D7673" s="6" t="str">
        <f>_xll.QS.CONTEXT.ADD.CURVE(C7673,"SOFR",$K$2:$K$7,$L$2:$L$7,,,"Actual360","LogLinear",TRUE)</f>
        <v>QSObject:ContextInput:w1~input.qs_context_add_curve.2359132437744.7672.3.0:32671</v>
      </c>
      <c r="E7673" s="6" t="str">
        <f>_xll.QS.INSTRUMENT.SWAP("swap.7671",H7673,B7673,"USD","SOFR",I7673,J7673,0,"Actual360","Simple","Annual","Annual","Annual")</f>
        <v>QSObject:Swap:w1~swap.7671:4421</v>
      </c>
      <c r="F7673" s="6" t="str">
        <f>_xll.QS.TRADE.CREATE("trade.7671",E7673,A7673,"Receive")</f>
        <v>QSObject:SwapTrade:w1~trade.7671:24016</v>
      </c>
      <c r="G7673" s="3">
        <f>_xll.QS.EVALUATE(C7673,F7673)</f>
        <v>41219.294255602428</v>
      </c>
      <c r="H7673" s="5" t="s">
        <v>7714</v>
      </c>
      <c r="I7673" s="7">
        <v>1767100</v>
      </c>
      <c r="J7673" s="8">
        <v>3.7100000000000001E-2</v>
      </c>
    </row>
    <row r="7674" spans="1:10" x14ac:dyDescent="0.25">
      <c r="A7674" s="5" t="s">
        <v>7708</v>
      </c>
      <c r="B7674" s="5" t="s">
        <v>9541</v>
      </c>
      <c r="C7674" s="6" t="str">
        <f>_xll.QS.CONTEXT.CREATE("market.7672",A7674,"USD","SOFR")</f>
        <v>QSObject:PricingContext:w1~market.7672:4420</v>
      </c>
      <c r="D7674" s="6" t="str">
        <f>_xll.QS.CONTEXT.ADD.CURVE(C7674,"SOFR",$K$2:$K$7,$L$2:$L$7,,,"Actual360","LogLinear",TRUE)</f>
        <v>QSObject:ContextInput:w1~input.qs_context_add_curve.2359132437744.7673.3.0:32670</v>
      </c>
      <c r="E7674" s="6" t="str">
        <f>_xll.QS.INSTRUMENT.SWAP("swap.7672",H7674,B7674,"USD","SOFR",I7674,J7674,0,"Actual360","Simple","Annual","Annual","Annual")</f>
        <v>QSObject:Swap:w1~swap.7672:4419</v>
      </c>
      <c r="F7674" s="6" t="str">
        <f>_xll.QS.TRADE.CREATE("trade.7672",E7674,A7674,"Receive")</f>
        <v>QSObject:SwapTrade:w1~trade.7672:24015</v>
      </c>
      <c r="G7674" s="3">
        <f>_xll.QS.EVALUATE(C7674,F7674)</f>
        <v>42111.874422645626</v>
      </c>
      <c r="H7674" s="5" t="s">
        <v>7715</v>
      </c>
      <c r="I7674" s="7">
        <v>1767200</v>
      </c>
      <c r="J7674" s="8">
        <v>3.7199999999999997E-2</v>
      </c>
    </row>
    <row r="7675" spans="1:10" x14ac:dyDescent="0.25">
      <c r="A7675" s="5" t="s">
        <v>7709</v>
      </c>
      <c r="B7675" s="5" t="s">
        <v>9542</v>
      </c>
      <c r="C7675" s="6" t="str">
        <f>_xll.QS.CONTEXT.CREATE("market.7673",A7675,"USD","SOFR")</f>
        <v>QSObject:PricingContext:w1~market.7673:4418</v>
      </c>
      <c r="D7675" s="6" t="str">
        <f>_xll.QS.CONTEXT.ADD.CURVE(C7675,"SOFR",$K$2:$K$7,$L$2:$L$7,,,"Actual360","LogLinear",TRUE)</f>
        <v>QSObject:ContextInput:w1~input.qs_context_add_curve.2359132437744.7674.3.0:32669</v>
      </c>
      <c r="E7675" s="6" t="str">
        <f>_xll.QS.INSTRUMENT.SWAP("swap.7673",H7675,B7675,"USD","SOFR",I7675,J7675,0,"Actual360","Simple","Annual","Annual","Annual")</f>
        <v>QSObject:Swap:w1~swap.7673:4417</v>
      </c>
      <c r="F7675" s="6" t="str">
        <f>_xll.QS.TRADE.CREATE("trade.7673",E7675,A7675,"Receive")</f>
        <v>QSObject:SwapTrade:w1~trade.7673:24014</v>
      </c>
      <c r="G7675" s="3">
        <f>_xll.QS.EVALUATE(C7675,F7675)</f>
        <v>42975.058248255118</v>
      </c>
      <c r="H7675" s="5" t="s">
        <v>7716</v>
      </c>
      <c r="I7675" s="7">
        <v>1767300</v>
      </c>
      <c r="J7675" s="8">
        <v>3.73E-2</v>
      </c>
    </row>
    <row r="7676" spans="1:10" x14ac:dyDescent="0.25">
      <c r="A7676" s="5" t="s">
        <v>7710</v>
      </c>
      <c r="B7676" s="5" t="s">
        <v>9543</v>
      </c>
      <c r="C7676" s="6" t="str">
        <f>_xll.QS.CONTEXT.CREATE("market.7674",A7676,"USD","SOFR")</f>
        <v>QSObject:PricingContext:w1~market.7674:4416</v>
      </c>
      <c r="D7676" s="6" t="str">
        <f>_xll.QS.CONTEXT.ADD.CURVE(C7676,"SOFR",$K$2:$K$7,$L$2:$L$7,,,"Actual360","LogLinear",TRUE)</f>
        <v>QSObject:ContextInput:w1~input.qs_context_add_curve.2359132437744.7675.3.0:32668</v>
      </c>
      <c r="E7676" s="6" t="str">
        <f>_xll.QS.INSTRUMENT.SWAP("swap.7674",H7676,B7676,"USD","SOFR",I7676,J7676,0,"Actual360","Simple","Annual","Annual","Annual")</f>
        <v>QSObject:Swap:w1~swap.7674:4415</v>
      </c>
      <c r="F7676" s="6" t="str">
        <f>_xll.QS.TRADE.CREATE("trade.7674",E7676,A7676,"Receive")</f>
        <v>QSObject:SwapTrade:w1~trade.7674:24013</v>
      </c>
      <c r="G7676" s="3">
        <f>_xll.QS.EVALUATE(C7676,F7676)</f>
        <v>43921.657199286834</v>
      </c>
      <c r="H7676" s="5" t="s">
        <v>7717</v>
      </c>
      <c r="I7676" s="7">
        <v>1767400</v>
      </c>
      <c r="J7676" s="8">
        <v>3.7400000000000003E-2</v>
      </c>
    </row>
    <row r="7677" spans="1:10" x14ac:dyDescent="0.25">
      <c r="A7677" s="5" t="s">
        <v>7711</v>
      </c>
      <c r="B7677" s="5" t="s">
        <v>9544</v>
      </c>
      <c r="C7677" s="6" t="str">
        <f>_xll.QS.CONTEXT.CREATE("market.7675",A7677,"USD","SOFR")</f>
        <v>QSObject:PricingContext:w1~market.7675:4414</v>
      </c>
      <c r="D7677" s="6" t="str">
        <f>_xll.QS.CONTEXT.ADD.CURVE(C7677,"SOFR",$K$2:$K$7,$L$2:$L$7,,,"Actual360","LogLinear",TRUE)</f>
        <v>QSObject:ContextInput:w1~input.qs_context_add_curve.2359132437744.7676.3.0:32667</v>
      </c>
      <c r="E7677" s="6" t="str">
        <f>_xll.QS.INSTRUMENT.SWAP("swap.7675",H7677,B7677,"USD","SOFR",I7677,J7677,0,"Actual360","Simple","Annual","Annual","Annual")</f>
        <v>QSObject:Swap:w1~swap.7675:4413</v>
      </c>
      <c r="F7677" s="6" t="str">
        <f>_xll.QS.TRADE.CREATE("trade.7675",E7677,A7677,"Receive")</f>
        <v>QSObject:SwapTrade:w1~trade.7675:24012</v>
      </c>
      <c r="G7677" s="3">
        <f>_xll.QS.EVALUATE(C7677,F7677)</f>
        <v>44816.097624538823</v>
      </c>
      <c r="H7677" s="5" t="s">
        <v>7718</v>
      </c>
      <c r="I7677" s="7">
        <v>1767500</v>
      </c>
      <c r="J7677" s="8">
        <v>3.7500000000000012E-2</v>
      </c>
    </row>
    <row r="7678" spans="1:10" x14ac:dyDescent="0.25">
      <c r="A7678" s="5" t="s">
        <v>7712</v>
      </c>
      <c r="B7678" s="5" t="s">
        <v>9545</v>
      </c>
      <c r="C7678" s="6" t="str">
        <f>_xll.QS.CONTEXT.CREATE("market.7676",A7678,"USD","SOFR")</f>
        <v>QSObject:PricingContext:w1~market.7676:4412</v>
      </c>
      <c r="D7678" s="6" t="str">
        <f>_xll.QS.CONTEXT.ADD.CURVE(C7678,"SOFR",$K$2:$K$7,$L$2:$L$7,,,"Actual360","LogLinear",TRUE)</f>
        <v>QSObject:ContextInput:w1~input.qs_context_add_curve.2359132437744.7677.3.0:32666</v>
      </c>
      <c r="E7678" s="6" t="str">
        <f>_xll.QS.INSTRUMENT.SWAP("swap.7676",H7678,B7678,"USD","SOFR",I7678,J7678,0,"Actual360","Simple","Annual","Annual","Annual")</f>
        <v>QSObject:Swap:w1~swap.7676:4411</v>
      </c>
      <c r="F7678" s="6" t="str">
        <f>_xll.QS.TRADE.CREATE("trade.7676",E7678,A7678,"Receive")</f>
        <v>QSObject:SwapTrade:w1~trade.7676:24011</v>
      </c>
      <c r="G7678" s="3">
        <f>_xll.QS.EVALUATE(C7678,F7678)</f>
        <v>45566.455820223891</v>
      </c>
      <c r="H7678" s="5" t="s">
        <v>7719</v>
      </c>
      <c r="I7678" s="7">
        <v>1767600</v>
      </c>
      <c r="J7678" s="8">
        <v>3.7600000000000001E-2</v>
      </c>
    </row>
    <row r="7679" spans="1:10" x14ac:dyDescent="0.25">
      <c r="A7679" s="5" t="s">
        <v>7713</v>
      </c>
      <c r="B7679" s="5" t="s">
        <v>9546</v>
      </c>
      <c r="C7679" s="6" t="str">
        <f>_xll.QS.CONTEXT.CREATE("market.7677",A7679,"USD","SOFR")</f>
        <v>QSObject:PricingContext:w1~market.7677:4410</v>
      </c>
      <c r="D7679" s="6" t="str">
        <f>_xll.QS.CONTEXT.ADD.CURVE(C7679,"SOFR",$K$2:$K$7,$L$2:$L$7,,,"Actual360","LogLinear",TRUE)</f>
        <v>QSObject:ContextInput:w1~input.qs_context_add_curve.2359132437744.7678.3.0:32665</v>
      </c>
      <c r="E7679" s="6" t="str">
        <f>_xll.QS.INSTRUMENT.SWAP("swap.7677",H7679,B7679,"USD","SOFR",I7679,J7679,0,"Actual360","Simple","Annual","Annual","Annual")</f>
        <v>QSObject:Swap:w1~swap.7677:4409</v>
      </c>
      <c r="F7679" s="6" t="str">
        <f>_xll.QS.TRADE.CREATE("trade.7677",E7679,A7679,"Receive")</f>
        <v>QSObject:SwapTrade:w1~trade.7677:24010</v>
      </c>
      <c r="G7679" s="3">
        <f>_xll.QS.EVALUATE(C7679,F7679)</f>
        <v>46225.284418589428</v>
      </c>
      <c r="H7679" s="5" t="s">
        <v>7720</v>
      </c>
      <c r="I7679" s="7">
        <v>1767700</v>
      </c>
      <c r="J7679" s="8">
        <v>3.7699999999999997E-2</v>
      </c>
    </row>
    <row r="7680" spans="1:10" x14ac:dyDescent="0.25">
      <c r="A7680" s="5" t="s">
        <v>7714</v>
      </c>
      <c r="B7680" s="5" t="s">
        <v>9547</v>
      </c>
      <c r="C7680" s="6" t="str">
        <f>_xll.QS.CONTEXT.CREATE("market.7678",A7680,"USD","SOFR")</f>
        <v>QSObject:PricingContext:w1~market.7678:4408</v>
      </c>
      <c r="D7680" s="6" t="str">
        <f>_xll.QS.CONTEXT.ADD.CURVE(C7680,"SOFR",$K$2:$K$7,$L$2:$L$7,,,"Actual360","LogLinear",TRUE)</f>
        <v>QSObject:ContextInput:w1~input.qs_context_add_curve.2359132437744.7679.3.0:32664</v>
      </c>
      <c r="E7680" s="6" t="str">
        <f>_xll.QS.INSTRUMENT.SWAP("swap.7678",H7680,B7680,"USD","SOFR",I7680,J7680,0,"Actual360","Simple","Annual","Annual","Annual")</f>
        <v>QSObject:Swap:w1~swap.7678:4407</v>
      </c>
      <c r="F7680" s="6" t="str">
        <f>_xll.QS.TRADE.CREATE("trade.7678",E7680,A7680,"Receive")</f>
        <v>QSObject:SwapTrade:w1~trade.7678:24009</v>
      </c>
      <c r="G7680" s="3">
        <f>_xll.QS.EVALUATE(C7680,F7680)</f>
        <v>46870.187548316135</v>
      </c>
      <c r="H7680" s="5" t="s">
        <v>7721</v>
      </c>
      <c r="I7680" s="7">
        <v>1767800</v>
      </c>
      <c r="J7680" s="8">
        <v>3.78E-2</v>
      </c>
    </row>
    <row r="7681" spans="1:10" x14ac:dyDescent="0.25">
      <c r="A7681" s="5" t="s">
        <v>7715</v>
      </c>
      <c r="B7681" s="5" t="s">
        <v>9548</v>
      </c>
      <c r="C7681" s="6" t="str">
        <f>_xll.QS.CONTEXT.CREATE("market.7679",A7681,"USD","SOFR")</f>
        <v>QSObject:PricingContext:w1~market.7679:4406</v>
      </c>
      <c r="D7681" s="6" t="str">
        <f>_xll.QS.CONTEXT.ADD.CURVE(C7681,"SOFR",$K$2:$K$7,$L$2:$L$7,,,"Actual360","LogLinear",TRUE)</f>
        <v>QSObject:ContextInput:w1~input.qs_context_add_curve.2359132437744.7680.3.0:32663</v>
      </c>
      <c r="E7681" s="6" t="str">
        <f>_xll.QS.INSTRUMENT.SWAP("swap.7679",H7681,B7681,"USD","SOFR",I7681,J7681,0,"Actual360","Simple","Annual","Annual","Annual")</f>
        <v>QSObject:Swap:w1~swap.7679:4405</v>
      </c>
      <c r="F7681" s="6" t="str">
        <f>_xll.QS.TRADE.CREATE("trade.7679",E7681,A7681,"Receive")</f>
        <v>QSObject:SwapTrade:w1~trade.7679:24008</v>
      </c>
      <c r="G7681" s="3">
        <f>_xll.QS.EVALUATE(C7681,F7681)</f>
        <v>47764.48165494085</v>
      </c>
      <c r="H7681" s="5" t="s">
        <v>7722</v>
      </c>
      <c r="I7681" s="7">
        <v>1767900</v>
      </c>
      <c r="J7681" s="8">
        <v>3.7900000000000003E-2</v>
      </c>
    </row>
    <row r="7682" spans="1:10" x14ac:dyDescent="0.25">
      <c r="A7682" s="5" t="s">
        <v>7716</v>
      </c>
      <c r="B7682" s="5" t="s">
        <v>9549</v>
      </c>
      <c r="C7682" s="6" t="str">
        <f>_xll.QS.CONTEXT.CREATE("market.7680",A7682,"USD","SOFR")</f>
        <v>QSObject:PricingContext:w1~market.7680:4404</v>
      </c>
      <c r="D7682" s="6" t="str">
        <f>_xll.QS.CONTEXT.ADD.CURVE(C7682,"SOFR",$K$2:$K$7,$L$2:$L$7,,,"Actual360","LogLinear",TRUE)</f>
        <v>QSObject:ContextInput:w1~input.qs_context_add_curve.2359132437744.7681.3.0:32662</v>
      </c>
      <c r="E7682" s="6" t="str">
        <f>_xll.QS.INSTRUMENT.SWAP("swap.7680",H7682,B7682,"USD","SOFR",I7682,J7682,0,"Actual360","Simple","Annual","Annual","Annual")</f>
        <v>QSObject:Swap:w1~swap.7680:4403</v>
      </c>
      <c r="F7682" s="6" t="str">
        <f>_xll.QS.TRADE.CREATE("trade.7680",E7682,A7682,"Receive")</f>
        <v>QSObject:SwapTrade:w1~trade.7680:24007</v>
      </c>
      <c r="G7682" s="3">
        <f>_xll.QS.EVALUATE(C7682,F7682)</f>
        <v>48656.385450398171</v>
      </c>
      <c r="H7682" s="5" t="s">
        <v>7723</v>
      </c>
      <c r="I7682" s="7">
        <v>1768000</v>
      </c>
      <c r="J7682" s="8">
        <v>3.8000000000000013E-2</v>
      </c>
    </row>
    <row r="7683" spans="1:10" x14ac:dyDescent="0.25">
      <c r="A7683" s="5" t="s">
        <v>7717</v>
      </c>
      <c r="B7683" s="5" t="s">
        <v>9550</v>
      </c>
      <c r="C7683" s="6" t="str">
        <f>_xll.QS.CONTEXT.CREATE("market.7681",A7683,"USD","SOFR")</f>
        <v>QSObject:PricingContext:w1~market.7681:4402</v>
      </c>
      <c r="D7683" s="6" t="str">
        <f>_xll.QS.CONTEXT.ADD.CURVE(C7683,"SOFR",$K$2:$K$7,$L$2:$L$7,,,"Actual360","LogLinear",TRUE)</f>
        <v>QSObject:ContextInput:w1~input.qs_context_add_curve.2359132437744.7682.3.0:32661</v>
      </c>
      <c r="E7683" s="6" t="str">
        <f>_xll.QS.INSTRUMENT.SWAP("swap.7681",H7683,B7683,"USD","SOFR",I7683,J7683,0,"Actual360","Simple","Annual","Annual","Annual")</f>
        <v>QSObject:Swap:w1~swap.7681:4401</v>
      </c>
      <c r="F7683" s="6" t="str">
        <f>_xll.QS.TRADE.CREATE("trade.7681",E7683,A7683,"Receive")</f>
        <v>QSObject:SwapTrade:w1~trade.7681:24006</v>
      </c>
      <c r="G7683" s="3">
        <f>_xll.QS.EVALUATE(C7683,F7683)</f>
        <v>49711.522304603059</v>
      </c>
      <c r="H7683" s="5" t="s">
        <v>7724</v>
      </c>
      <c r="I7683" s="7">
        <v>1768100</v>
      </c>
      <c r="J7683" s="8">
        <v>3.8100000000000002E-2</v>
      </c>
    </row>
    <row r="7684" spans="1:10" x14ac:dyDescent="0.25">
      <c r="A7684" s="5" t="s">
        <v>7718</v>
      </c>
      <c r="B7684" s="5" t="s">
        <v>9551</v>
      </c>
      <c r="C7684" s="6" t="str">
        <f>_xll.QS.CONTEXT.CREATE("market.7682",A7684,"USD","SOFR")</f>
        <v>QSObject:PricingContext:w1~market.7682:4400</v>
      </c>
      <c r="D7684" s="6" t="str">
        <f>_xll.QS.CONTEXT.ADD.CURVE(C7684,"SOFR",$K$2:$K$7,$L$2:$L$7,,,"Actual360","LogLinear",TRUE)</f>
        <v>QSObject:ContextInput:w1~input.qs_context_add_curve.2359132437744.7683.3.0:32660</v>
      </c>
      <c r="E7684" s="6" t="str">
        <f>_xll.QS.INSTRUMENT.SWAP("swap.7682",H7684,B7684,"USD","SOFR",I7684,J7684,0,"Actual360","Simple","Annual","Annual","Annual")</f>
        <v>QSObject:Swap:w1~swap.7682:4399</v>
      </c>
      <c r="F7684" s="6" t="str">
        <f>_xll.QS.TRADE.CREATE("trade.7682",E7684,A7684,"Receive")</f>
        <v>QSObject:SwapTrade:w1~trade.7682:24005</v>
      </c>
      <c r="G7684" s="3">
        <f>_xll.QS.EVALUATE(C7684,F7684)</f>
        <v>50546.517516615299</v>
      </c>
      <c r="H7684" s="5" t="s">
        <v>7725</v>
      </c>
      <c r="I7684" s="7">
        <v>1768200</v>
      </c>
      <c r="J7684" s="8">
        <v>3.8199999999999998E-2</v>
      </c>
    </row>
    <row r="7685" spans="1:10" x14ac:dyDescent="0.25">
      <c r="A7685" s="5" t="s">
        <v>7719</v>
      </c>
      <c r="B7685" s="5" t="s">
        <v>9552</v>
      </c>
      <c r="C7685" s="6" t="str">
        <f>_xll.QS.CONTEXT.CREATE("market.7683",A7685,"USD","SOFR")</f>
        <v>QSObject:PricingContext:w1~market.7683:4398</v>
      </c>
      <c r="D7685" s="6" t="str">
        <f>_xll.QS.CONTEXT.ADD.CURVE(C7685,"SOFR",$K$2:$K$7,$L$2:$L$7,,,"Actual360","LogLinear",TRUE)</f>
        <v>QSObject:ContextInput:w1~input.qs_context_add_curve.2359132437744.7684.3.0:32659</v>
      </c>
      <c r="E7685" s="6" t="str">
        <f>_xll.QS.INSTRUMENT.SWAP("swap.7683",H7685,B7685,"USD","SOFR",I7685,J7685,0,"Actual360","Simple","Annual","Annual","Annual")</f>
        <v>QSObject:Swap:w1~swap.7683:4397</v>
      </c>
      <c r="F7685" s="6" t="str">
        <f>_xll.QS.TRADE.CREATE("trade.7683",E7685,A7685,"Receive")</f>
        <v>QSObject:SwapTrade:w1~trade.7683:24004</v>
      </c>
      <c r="G7685" s="3">
        <f>_xll.QS.EVALUATE(C7685,F7685)</f>
        <v>51365.172415414796</v>
      </c>
      <c r="H7685" s="5" t="s">
        <v>7726</v>
      </c>
      <c r="I7685" s="7">
        <v>1768300</v>
      </c>
      <c r="J7685" s="8">
        <v>3.8300000000000001E-2</v>
      </c>
    </row>
    <row r="7686" spans="1:10" x14ac:dyDescent="0.25">
      <c r="A7686" s="5" t="s">
        <v>7720</v>
      </c>
      <c r="B7686" s="5" t="s">
        <v>9553</v>
      </c>
      <c r="C7686" s="6" t="str">
        <f>_xll.QS.CONTEXT.CREATE("market.7684",A7686,"USD","SOFR")</f>
        <v>QSObject:PricingContext:w1~market.7684:4396</v>
      </c>
      <c r="D7686" s="6" t="str">
        <f>_xll.QS.CONTEXT.ADD.CURVE(C7686,"SOFR",$K$2:$K$7,$L$2:$L$7,,,"Actual360","LogLinear",TRUE)</f>
        <v>QSObject:ContextInput:w1~input.qs_context_add_curve.2359132437744.7685.3.0:32658</v>
      </c>
      <c r="E7686" s="6" t="str">
        <f>_xll.QS.INSTRUMENT.SWAP("swap.7684",H7686,B7686,"USD","SOFR",I7686,J7686,0,"Actual360","Simple","Annual","Annual","Annual")</f>
        <v>QSObject:Swap:w1~swap.7684:4395</v>
      </c>
      <c r="F7686" s="6" t="str">
        <f>_xll.QS.TRADE.CREATE("trade.7684",E7686,A7686,"Receive")</f>
        <v>QSObject:SwapTrade:w1~trade.7684:24003</v>
      </c>
      <c r="G7686" s="3">
        <f>_xll.QS.EVALUATE(C7686,F7686)</f>
        <v>52047.663322239176</v>
      </c>
      <c r="H7686" s="5" t="s">
        <v>7727</v>
      </c>
      <c r="I7686" s="7">
        <v>1768400</v>
      </c>
      <c r="J7686" s="8">
        <v>3.8399999999999997E-2</v>
      </c>
    </row>
    <row r="7687" spans="1:10" x14ac:dyDescent="0.25">
      <c r="A7687" s="5" t="s">
        <v>7721</v>
      </c>
      <c r="B7687" s="5" t="s">
        <v>9554</v>
      </c>
      <c r="C7687" s="6" t="str">
        <f>_xll.QS.CONTEXT.CREATE("market.7685",A7687,"USD","SOFR")</f>
        <v>QSObject:PricingContext:w1~market.7685:4394</v>
      </c>
      <c r="D7687" s="6" t="str">
        <f>_xll.QS.CONTEXT.ADD.CURVE(C7687,"SOFR",$K$2:$K$7,$L$2:$L$7,,,"Actual360","LogLinear",TRUE)</f>
        <v>QSObject:ContextInput:w1~input.qs_context_add_curve.2359132437744.7686.3.0:32657</v>
      </c>
      <c r="E7687" s="6" t="str">
        <f>_xll.QS.INSTRUMENT.SWAP("swap.7685",H7687,B7687,"USD","SOFR",I7687,J7687,0,"Actual360","Simple","Annual","Annual","Annual")</f>
        <v>QSObject:Swap:w1~swap.7685:4393</v>
      </c>
      <c r="F7687" s="6" t="str">
        <f>_xll.QS.TRADE.CREATE("trade.7685",E7687,A7687,"Receive")</f>
        <v>QSObject:SwapTrade:w1~trade.7685:24002</v>
      </c>
      <c r="G7687" s="3">
        <f>_xll.QS.EVALUATE(C7687,F7687)</f>
        <v>52746.140298177168</v>
      </c>
      <c r="H7687" s="5" t="s">
        <v>7728</v>
      </c>
      <c r="I7687" s="7">
        <v>1768500</v>
      </c>
      <c r="J7687" s="8">
        <v>3.8500000000000013E-2</v>
      </c>
    </row>
    <row r="7688" spans="1:10" x14ac:dyDescent="0.25">
      <c r="A7688" s="5" t="s">
        <v>7722</v>
      </c>
      <c r="B7688" s="5" t="s">
        <v>9555</v>
      </c>
      <c r="C7688" s="6" t="str">
        <f>_xll.QS.CONTEXT.CREATE("market.7686",A7688,"USD","SOFR")</f>
        <v>QSObject:PricingContext:w1~market.7686:4392</v>
      </c>
      <c r="D7688" s="6" t="str">
        <f>_xll.QS.CONTEXT.ADD.CURVE(C7688,"SOFR",$K$2:$K$7,$L$2:$L$7,,,"Actual360","LogLinear",TRUE)</f>
        <v>QSObject:ContextInput:w1~input.qs_context_add_curve.2359132437744.7687.3.0:32656</v>
      </c>
      <c r="E7688" s="6" t="str">
        <f>_xll.QS.INSTRUMENT.SWAP("swap.7686",H7688,B7688,"USD","SOFR",I7688,J7688,0,"Actual360","Simple","Annual","Annual","Annual")</f>
        <v>QSObject:Swap:w1~swap.7686:4391</v>
      </c>
      <c r="F7688" s="6" t="str">
        <f>_xll.QS.TRADE.CREATE("trade.7686",E7688,A7688,"Receive")</f>
        <v>QSObject:SwapTrade:w1~trade.7686:24001</v>
      </c>
      <c r="G7688" s="3">
        <f>_xll.QS.EVALUATE(C7688,F7688)</f>
        <v>53568.926674374256</v>
      </c>
      <c r="H7688" s="5" t="s">
        <v>7729</v>
      </c>
      <c r="I7688" s="7">
        <v>1768600</v>
      </c>
      <c r="J7688" s="8">
        <v>3.8600000000000002E-2</v>
      </c>
    </row>
    <row r="7689" spans="1:10" x14ac:dyDescent="0.25">
      <c r="A7689" s="5" t="s">
        <v>7723</v>
      </c>
      <c r="B7689" s="5" t="s">
        <v>9556</v>
      </c>
      <c r="C7689" s="6" t="str">
        <f>_xll.QS.CONTEXT.CREATE("market.7687",A7689,"USD","SOFR")</f>
        <v>QSObject:PricingContext:w1~market.7687:4390</v>
      </c>
      <c r="D7689" s="6" t="str">
        <f>_xll.QS.CONTEXT.ADD.CURVE(C7689,"SOFR",$K$2:$K$7,$L$2:$L$7,,,"Actual360","LogLinear",TRUE)</f>
        <v>QSObject:ContextInput:w1~input.qs_context_add_curve.2359132437744.7688.3.0:32655</v>
      </c>
      <c r="E7689" s="6" t="str">
        <f>_xll.QS.INSTRUMENT.SWAP("swap.7687",H7689,B7689,"USD","SOFR",I7689,J7689,0,"Actual360","Simple","Annual","Annual","Annual")</f>
        <v>QSObject:Swap:w1~swap.7687:4389</v>
      </c>
      <c r="F7689" s="6" t="str">
        <f>_xll.QS.TRADE.CREATE("trade.7687",E7689,A7689,"Receive")</f>
        <v>QSObject:SwapTrade:w1~trade.7687:24000</v>
      </c>
      <c r="G7689" s="3">
        <f>_xll.QS.EVALUATE(C7689,F7689)</f>
        <v>54427.761378948941</v>
      </c>
      <c r="H7689" s="5" t="s">
        <v>7730</v>
      </c>
      <c r="I7689" s="7">
        <v>1768700</v>
      </c>
      <c r="J7689" s="8">
        <v>3.8700000000000012E-2</v>
      </c>
    </row>
    <row r="7690" spans="1:10" x14ac:dyDescent="0.25">
      <c r="A7690" s="5" t="s">
        <v>7724</v>
      </c>
      <c r="B7690" s="5" t="s">
        <v>9557</v>
      </c>
      <c r="C7690" s="6" t="str">
        <f>_xll.QS.CONTEXT.CREATE("market.7688",A7690,"USD","SOFR")</f>
        <v>QSObject:PricingContext:w1~market.7688:4388</v>
      </c>
      <c r="D7690" s="6" t="str">
        <f>_xll.QS.CONTEXT.ADD.CURVE(C7690,"SOFR",$K$2:$K$7,$L$2:$L$7,,,"Actual360","LogLinear",TRUE)</f>
        <v>QSObject:ContextInput:w1~input.qs_context_add_curve.2359132437744.7689.3.0:32654</v>
      </c>
      <c r="E7690" s="6" t="str">
        <f>_xll.QS.INSTRUMENT.SWAP("swap.7688",H7690,B7690,"USD","SOFR",I7690,J7690,0,"Actual360","Simple","Annual","Annual","Annual")</f>
        <v>QSObject:Swap:w1~swap.7688:4387</v>
      </c>
      <c r="F7690" s="6" t="str">
        <f>_xll.QS.TRADE.CREATE("trade.7688",E7690,A7690,"Receive")</f>
        <v>QSObject:SwapTrade:w1~trade.7688:23999</v>
      </c>
      <c r="G7690" s="3">
        <f>_xll.QS.EVALUATE(C7690,F7690)</f>
        <v>55375.808709114703</v>
      </c>
      <c r="H7690" s="5" t="s">
        <v>7731</v>
      </c>
      <c r="I7690" s="7">
        <v>1768800</v>
      </c>
      <c r="J7690" s="8">
        <v>3.8800000000000001E-2</v>
      </c>
    </row>
    <row r="7691" spans="1:10" x14ac:dyDescent="0.25">
      <c r="A7691" s="5" t="s">
        <v>7725</v>
      </c>
      <c r="B7691" s="5" t="s">
        <v>9558</v>
      </c>
      <c r="C7691" s="6" t="str">
        <f>_xll.QS.CONTEXT.CREATE("market.7689",A7691,"USD","SOFR")</f>
        <v>QSObject:PricingContext:w1~market.7689:4386</v>
      </c>
      <c r="D7691" s="6" t="str">
        <f>_xll.QS.CONTEXT.ADD.CURVE(C7691,"SOFR",$K$2:$K$7,$L$2:$L$7,,,"Actual360","LogLinear",TRUE)</f>
        <v>QSObject:ContextInput:w1~input.qs_context_add_curve.2359132437744.7690.3.0:32653</v>
      </c>
      <c r="E7691" s="6" t="str">
        <f>_xll.QS.INSTRUMENT.SWAP("swap.7689",H7691,B7691,"USD","SOFR",I7691,J7691,0,"Actual360","Simple","Annual","Annual","Annual")</f>
        <v>QSObject:Swap:w1~swap.7689:4385</v>
      </c>
      <c r="F7691" s="6" t="str">
        <f>_xll.QS.TRADE.CREATE("trade.7689",E7691,A7691,"Receive")</f>
        <v>QSObject:SwapTrade:w1~trade.7689:23998</v>
      </c>
      <c r="G7691" s="3">
        <f>_xll.QS.EVALUATE(C7691,F7691)</f>
        <v>56271.626496136363</v>
      </c>
      <c r="H7691" s="5" t="s">
        <v>7732</v>
      </c>
      <c r="I7691" s="7">
        <v>1768900</v>
      </c>
      <c r="J7691" s="8">
        <v>3.8899999999999997E-2</v>
      </c>
    </row>
    <row r="7692" spans="1:10" x14ac:dyDescent="0.25">
      <c r="A7692" s="5" t="s">
        <v>7726</v>
      </c>
      <c r="B7692" s="5" t="s">
        <v>9559</v>
      </c>
      <c r="C7692" s="6" t="str">
        <f>_xll.QS.CONTEXT.CREATE("market.7690",A7692,"USD","SOFR")</f>
        <v>QSObject:PricingContext:w1~market.7690:4384</v>
      </c>
      <c r="D7692" s="6" t="str">
        <f>_xll.QS.CONTEXT.ADD.CURVE(C7692,"SOFR",$K$2:$K$7,$L$2:$L$7,,,"Actual360","LogLinear",TRUE)</f>
        <v>QSObject:ContextInput:w1~input.qs_context_add_curve.2359132437744.7691.3.0:32652</v>
      </c>
      <c r="E7692" s="6" t="str">
        <f>_xll.QS.INSTRUMENT.SWAP("swap.7690",H7692,B7692,"USD","SOFR",I7692,J7692,0,"Actual360","Simple","Annual","Annual","Annual")</f>
        <v>QSObject:Swap:w1~swap.7690:4383</v>
      </c>
      <c r="F7692" s="6" t="str">
        <f>_xll.QS.TRADE.CREATE("trade.7690",E7692,A7692,"Receive")</f>
        <v>QSObject:SwapTrade:w1~trade.7690:23997</v>
      </c>
      <c r="G7692" s="3">
        <f>_xll.QS.EVALUATE(C7692,F7692)</f>
        <v>57023.291469485688</v>
      </c>
      <c r="H7692" s="5" t="s">
        <v>7733</v>
      </c>
      <c r="I7692" s="7">
        <v>1769000</v>
      </c>
      <c r="J7692" s="8">
        <v>3.9000000000000007E-2</v>
      </c>
    </row>
    <row r="7693" spans="1:10" x14ac:dyDescent="0.25">
      <c r="A7693" s="5" t="s">
        <v>7727</v>
      </c>
      <c r="B7693" s="5" t="s">
        <v>9560</v>
      </c>
      <c r="C7693" s="6" t="str">
        <f>_xll.QS.CONTEXT.CREATE("market.7691",A7693,"USD","SOFR")</f>
        <v>QSObject:PricingContext:w1~market.7691:4382</v>
      </c>
      <c r="D7693" s="6" t="str">
        <f>_xll.QS.CONTEXT.ADD.CURVE(C7693,"SOFR",$K$2:$K$7,$L$2:$L$7,,,"Actual360","LogLinear",TRUE)</f>
        <v>QSObject:ContextInput:w1~input.qs_context_add_curve.2359132437744.7692.3.0:32651</v>
      </c>
      <c r="E7693" s="6" t="str">
        <f>_xll.QS.INSTRUMENT.SWAP("swap.7691",H7693,B7693,"USD","SOFR",I7693,J7693,0,"Actual360","Simple","Annual","Annual","Annual")</f>
        <v>QSObject:Swap:w1~swap.7691:4381</v>
      </c>
      <c r="F7693" s="6" t="str">
        <f>_xll.QS.TRADE.CREATE("trade.7691",E7693,A7693,"Receive")</f>
        <v>QSObject:SwapTrade:w1~trade.7691:23996</v>
      </c>
      <c r="G7693" s="3">
        <f>_xll.QS.EVALUATE(C7693,F7693)</f>
        <v>57699.36727091745</v>
      </c>
      <c r="H7693" s="5" t="s">
        <v>7734</v>
      </c>
      <c r="I7693" s="7">
        <v>1769100</v>
      </c>
      <c r="J7693" s="8">
        <v>3.9100000000000003E-2</v>
      </c>
    </row>
    <row r="7694" spans="1:10" x14ac:dyDescent="0.25">
      <c r="A7694" s="5" t="s">
        <v>7728</v>
      </c>
      <c r="B7694" s="5" t="s">
        <v>9561</v>
      </c>
      <c r="C7694" s="6" t="str">
        <f>_xll.QS.CONTEXT.CREATE("market.7692",A7694,"USD","SOFR")</f>
        <v>QSObject:PricingContext:w1~market.7692:4380</v>
      </c>
      <c r="D7694" s="6" t="str">
        <f>_xll.QS.CONTEXT.ADD.CURVE(C7694,"SOFR",$K$2:$K$7,$L$2:$L$7,,,"Actual360","LogLinear",TRUE)</f>
        <v>QSObject:ContextInput:w1~input.qs_context_add_curve.2359132437744.7693.3.0:32650</v>
      </c>
      <c r="E7694" s="6" t="str">
        <f>_xll.QS.INSTRUMENT.SWAP("swap.7692",H7694,B7694,"USD","SOFR",I7694,J7694,0,"Actual360","Simple","Annual","Annual","Annual")</f>
        <v>QSObject:Swap:w1~swap.7692:4379</v>
      </c>
      <c r="F7694" s="6" t="str">
        <f>_xll.QS.TRADE.CREATE("trade.7692",E7694,A7694,"Receive")</f>
        <v>QSObject:SwapTrade:w1~trade.7692:23995</v>
      </c>
      <c r="G7694" s="3">
        <f>_xll.QS.EVALUATE(C7694,F7694)</f>
        <v>58522.211140888889</v>
      </c>
      <c r="H7694" s="5" t="s">
        <v>7735</v>
      </c>
      <c r="I7694" s="7">
        <v>1769200</v>
      </c>
      <c r="J7694" s="8">
        <v>3.9200000000000013E-2</v>
      </c>
    </row>
    <row r="7695" spans="1:10" x14ac:dyDescent="0.25">
      <c r="A7695" s="5" t="s">
        <v>7729</v>
      </c>
      <c r="B7695" s="5" t="s">
        <v>9562</v>
      </c>
      <c r="C7695" s="6" t="str">
        <f>_xll.QS.CONTEXT.CREATE("market.7693",A7695,"USD","SOFR")</f>
        <v>QSObject:PricingContext:w1~market.7693:4378</v>
      </c>
      <c r="D7695" s="6" t="str">
        <f>_xll.QS.CONTEXT.ADD.CURVE(C7695,"SOFR",$K$2:$K$7,$L$2:$L$7,,,"Actual360","LogLinear",TRUE)</f>
        <v>QSObject:ContextInput:w1~input.qs_context_add_curve.2359132437744.7694.3.0:32649</v>
      </c>
      <c r="E7695" s="6" t="str">
        <f>_xll.QS.INSTRUMENT.SWAP("swap.7693",H7695,B7695,"USD","SOFR",I7695,J7695,0,"Actual360","Simple","Annual","Annual","Annual")</f>
        <v>QSObject:Swap:w1~swap.7693:4377</v>
      </c>
      <c r="F7695" s="6" t="str">
        <f>_xll.QS.TRADE.CREATE("trade.7693",E7695,A7695,"Receive")</f>
        <v>QSObject:SwapTrade:w1~trade.7693:23994</v>
      </c>
      <c r="G7695" s="3">
        <f>_xll.QS.EVALUATE(C7695,F7695)</f>
        <v>59417.538638571801</v>
      </c>
      <c r="H7695" s="5" t="s">
        <v>7736</v>
      </c>
      <c r="I7695" s="7">
        <v>1769300</v>
      </c>
      <c r="J7695" s="8">
        <v>3.9300000000000002E-2</v>
      </c>
    </row>
    <row r="7696" spans="1:10" x14ac:dyDescent="0.25">
      <c r="A7696" s="5" t="s">
        <v>7730</v>
      </c>
      <c r="B7696" s="5" t="s">
        <v>9563</v>
      </c>
      <c r="C7696" s="6" t="str">
        <f>_xll.QS.CONTEXT.CREATE("market.7694",A7696,"USD","SOFR")</f>
        <v>QSObject:PricingContext:w1~market.7694:4376</v>
      </c>
      <c r="D7696" s="6" t="str">
        <f>_xll.QS.CONTEXT.ADD.CURVE(C7696,"SOFR",$K$2:$K$7,$L$2:$L$7,,,"Actual360","LogLinear",TRUE)</f>
        <v>QSObject:ContextInput:w1~input.qs_context_add_curve.2359132437744.7695.3.0:32648</v>
      </c>
      <c r="E7696" s="6" t="str">
        <f>_xll.QS.INSTRUMENT.SWAP("swap.7694",H7696,B7696,"USD","SOFR",I7696,J7696,0,"Actual360","Simple","Annual","Annual","Annual")</f>
        <v>QSObject:Swap:w1~swap.7694:4375</v>
      </c>
      <c r="F7696" s="6" t="str">
        <f>_xll.QS.TRADE.CREATE("trade.7694",E7696,A7696,"Receive")</f>
        <v>QSObject:SwapTrade:w1~trade.7694:23993</v>
      </c>
      <c r="G7696" s="3">
        <f>_xll.QS.EVALUATE(C7696,F7696)</f>
        <v>60160.571697282277</v>
      </c>
      <c r="H7696" s="5" t="s">
        <v>7737</v>
      </c>
      <c r="I7696" s="7">
        <v>1769400</v>
      </c>
      <c r="J7696" s="8">
        <v>3.9399999999999998E-2</v>
      </c>
    </row>
    <row r="7697" spans="1:10" x14ac:dyDescent="0.25">
      <c r="A7697" s="5" t="s">
        <v>7731</v>
      </c>
      <c r="B7697" s="5" t="s">
        <v>9564</v>
      </c>
      <c r="C7697" s="6" t="str">
        <f>_xll.QS.CONTEXT.CREATE("market.7695",A7697,"USD","SOFR")</f>
        <v>QSObject:PricingContext:w1~market.7695:4374</v>
      </c>
      <c r="D7697" s="6" t="str">
        <f>_xll.QS.CONTEXT.ADD.CURVE(C7697,"SOFR",$K$2:$K$7,$L$2:$L$7,,,"Actual360","LogLinear",TRUE)</f>
        <v>QSObject:ContextInput:w1~input.qs_context_add_curve.2359132437744.7696.3.0:32647</v>
      </c>
      <c r="E7697" s="6" t="str">
        <f>_xll.QS.INSTRUMENT.SWAP("swap.7695",H7697,B7697,"USD","SOFR",I7697,J7697,0,"Actual360","Simple","Annual","Annual","Annual")</f>
        <v>QSObject:Swap:w1~swap.7695:4373</v>
      </c>
      <c r="F7697" s="6" t="str">
        <f>_xll.QS.TRADE.CREATE("trade.7695",E7697,A7697,"Receive")</f>
        <v>QSObject:SwapTrade:w1~trade.7695:23992</v>
      </c>
      <c r="G7697" s="3">
        <f>_xll.QS.EVALUATE(C7697,F7697)</f>
        <v>61109.517992702378</v>
      </c>
      <c r="H7697" s="5" t="s">
        <v>7738</v>
      </c>
      <c r="I7697" s="7">
        <v>1769500</v>
      </c>
      <c r="J7697" s="8">
        <v>3.9500000000000007E-2</v>
      </c>
    </row>
    <row r="7698" spans="1:10" x14ac:dyDescent="0.25">
      <c r="A7698" s="5" t="s">
        <v>7732</v>
      </c>
      <c r="B7698" s="5" t="s">
        <v>9565</v>
      </c>
      <c r="C7698" s="6" t="str">
        <f>_xll.QS.CONTEXT.CREATE("market.7696",A7698,"USD","SOFR")</f>
        <v>QSObject:PricingContext:w1~market.7696:4372</v>
      </c>
      <c r="D7698" s="6" t="str">
        <f>_xll.QS.CONTEXT.ADD.CURVE(C7698,"SOFR",$K$2:$K$7,$L$2:$L$7,,,"Actual360","LogLinear",TRUE)</f>
        <v>QSObject:ContextInput:w1~input.qs_context_add_curve.2359132437744.7697.3.0:32646</v>
      </c>
      <c r="E7698" s="6" t="str">
        <f>_xll.QS.INSTRUMENT.SWAP("swap.7696",H7698,B7698,"USD","SOFR",I7698,J7698,0,"Actual360","Simple","Annual","Annual","Annual")</f>
        <v>QSObject:Swap:w1~swap.7696:4371</v>
      </c>
      <c r="F7698" s="6" t="str">
        <f>_xll.QS.TRADE.CREATE("trade.7696",E7698,A7698,"Receive")</f>
        <v>QSObject:SwapTrade:w1~trade.7696:23991</v>
      </c>
      <c r="G7698" s="3">
        <f>_xll.QS.EVALUATE(C7698,F7698)</f>
        <v>61934.060921942015</v>
      </c>
      <c r="H7698" s="5" t="s">
        <v>7739</v>
      </c>
      <c r="I7698" s="7">
        <v>1769600</v>
      </c>
      <c r="J7698" s="8">
        <v>3.9600000000000003E-2</v>
      </c>
    </row>
    <row r="7699" spans="1:10" x14ac:dyDescent="0.25">
      <c r="A7699" s="5" t="s">
        <v>7733</v>
      </c>
      <c r="B7699" s="5" t="s">
        <v>9566</v>
      </c>
      <c r="C7699" s="6" t="str">
        <f>_xll.QS.CONTEXT.CREATE("market.7697",A7699,"USD","SOFR")</f>
        <v>QSObject:PricingContext:w1~market.7697:4370</v>
      </c>
      <c r="D7699" s="6" t="str">
        <f>_xll.QS.CONTEXT.ADD.CURVE(C7699,"SOFR",$K$2:$K$7,$L$2:$L$7,,,"Actual360","LogLinear",TRUE)</f>
        <v>QSObject:ContextInput:w1~input.qs_context_add_curve.2359132437744.7698.3.0:32645</v>
      </c>
      <c r="E7699" s="6" t="str">
        <f>_xll.QS.INSTRUMENT.SWAP("swap.7697",H7699,B7699,"USD","SOFR",I7699,J7699,0,"Actual360","Simple","Annual","Annual","Annual")</f>
        <v>QSObject:Swap:w1~swap.7697:4369</v>
      </c>
      <c r="F7699" s="6" t="str">
        <f>_xll.QS.TRADE.CREATE("trade.7697",E7699,A7699,"Receive")</f>
        <v>QSObject:SwapTrade:w1~trade.7697:23990</v>
      </c>
      <c r="G7699" s="3">
        <f>_xll.QS.EVALUATE(C7699,F7699)</f>
        <v>62758.40763979825</v>
      </c>
      <c r="H7699" s="5" t="s">
        <v>7740</v>
      </c>
      <c r="I7699" s="7">
        <v>1769700</v>
      </c>
      <c r="J7699" s="8">
        <v>3.9700000000000013E-2</v>
      </c>
    </row>
    <row r="7700" spans="1:10" x14ac:dyDescent="0.25">
      <c r="A7700" s="5" t="s">
        <v>7734</v>
      </c>
      <c r="B7700" s="5" t="s">
        <v>9567</v>
      </c>
      <c r="C7700" s="6" t="str">
        <f>_xll.QS.CONTEXT.CREATE("market.7698",A7700,"USD","SOFR")</f>
        <v>QSObject:PricingContext:w1~market.7698:4368</v>
      </c>
      <c r="D7700" s="6" t="str">
        <f>_xll.QS.CONTEXT.ADD.CURVE(C7700,"SOFR",$K$2:$K$7,$L$2:$L$7,,,"Actual360","LogLinear",TRUE)</f>
        <v>QSObject:ContextInput:w1~input.qs_context_add_curve.2359132437744.7699.3.0:32644</v>
      </c>
      <c r="E7700" s="6" t="str">
        <f>_xll.QS.INSTRUMENT.SWAP("swap.7698",H7700,B7700,"USD","SOFR",I7700,J7700,0,"Actual360","Simple","Annual","Annual","Annual")</f>
        <v>QSObject:Swap:w1~swap.7698:4367</v>
      </c>
      <c r="F7700" s="6" t="str">
        <f>_xll.QS.TRADE.CREATE("trade.7698",E7700,A7700,"Receive")</f>
        <v>QSObject:SwapTrade:w1~trade.7698:23989</v>
      </c>
      <c r="G7700" s="3">
        <f>_xll.QS.EVALUATE(C7700,F7700)</f>
        <v>63428.340038080627</v>
      </c>
      <c r="H7700" s="5" t="s">
        <v>7741</v>
      </c>
      <c r="I7700" s="7">
        <v>1769800</v>
      </c>
      <c r="J7700" s="8">
        <v>3.9800000000000002E-2</v>
      </c>
    </row>
    <row r="7701" spans="1:10" x14ac:dyDescent="0.25">
      <c r="A7701" s="5" t="s">
        <v>7735</v>
      </c>
      <c r="B7701" s="5" t="s">
        <v>9568</v>
      </c>
      <c r="C7701" s="6" t="str">
        <f>_xll.QS.CONTEXT.CREATE("market.7699",A7701,"USD","SOFR")</f>
        <v>QSObject:PricingContext:w1~market.7699:4366</v>
      </c>
      <c r="D7701" s="6" t="str">
        <f>_xll.QS.CONTEXT.ADD.CURVE(C7701,"SOFR",$K$2:$K$7,$L$2:$L$7,,,"Actual360","LogLinear",TRUE)</f>
        <v>QSObject:ContextInput:w1~input.qs_context_add_curve.2359132437744.7700.3.0:32643</v>
      </c>
      <c r="E7701" s="6" t="str">
        <f>_xll.QS.INSTRUMENT.SWAP("swap.7699",H7701,B7701,"USD","SOFR",I7701,J7701,0,"Actual360","Simple","Annual","Annual","Annual")</f>
        <v>QSObject:Swap:w1~swap.7699:4365</v>
      </c>
      <c r="F7701" s="6" t="str">
        <f>_xll.QS.TRADE.CREATE("trade.7699",E7701,A7701,"Receive")</f>
        <v>QSObject:SwapTrade:w1~trade.7699:23988</v>
      </c>
      <c r="G7701" s="3">
        <f>_xll.QS.EVALUATE(C7701,F7701)</f>
        <v>64145.893540684308</v>
      </c>
      <c r="H7701" s="5" t="s">
        <v>7742</v>
      </c>
      <c r="I7701" s="7">
        <v>1769900</v>
      </c>
      <c r="J7701" s="8">
        <v>3.9899999999999998E-2</v>
      </c>
    </row>
    <row r="7702" spans="1:10" x14ac:dyDescent="0.25">
      <c r="A7702" s="5" t="s">
        <v>7736</v>
      </c>
      <c r="B7702" s="5" t="s">
        <v>9569</v>
      </c>
      <c r="C7702" s="6" t="str">
        <f>_xll.QS.CONTEXT.CREATE("market.7700",A7702,"USD","SOFR")</f>
        <v>QSObject:PricingContext:w1~market.7700:4364</v>
      </c>
      <c r="D7702" s="6" t="str">
        <f>_xll.QS.CONTEXT.ADD.CURVE(C7702,"SOFR",$K$2:$K$7,$L$2:$L$7,,,"Actual360","LogLinear",TRUE)</f>
        <v>QSObject:ContextInput:w1~input.qs_context_add_curve.2359132437744.7701.3.0:32642</v>
      </c>
      <c r="E7702" s="6" t="str">
        <f>_xll.QS.INSTRUMENT.SWAP("swap.7700",H7702,B7702,"USD","SOFR",I7702,J7702,0,"Actual360","Simple","Annual","Annual","Annual")</f>
        <v>QSObject:Swap:w1~swap.7700:4363</v>
      </c>
      <c r="F7702" s="6" t="str">
        <f>_xll.QS.TRADE.CREATE("trade.7700",E7702,A7702,"Receive")</f>
        <v>QSObject:SwapTrade:w1~trade.7700:23987</v>
      </c>
      <c r="G7702" s="3">
        <f>_xll.QS.EVALUATE(C7702,F7702)</f>
        <v>24213.340659161346</v>
      </c>
      <c r="H7702" s="5" t="s">
        <v>7743</v>
      </c>
      <c r="I7702" s="7">
        <v>1770000</v>
      </c>
      <c r="J7702" s="8">
        <v>3.5000000000000003E-2</v>
      </c>
    </row>
    <row r="7703" spans="1:10" x14ac:dyDescent="0.25">
      <c r="A7703" s="5" t="s">
        <v>7737</v>
      </c>
      <c r="B7703" s="5" t="s">
        <v>9570</v>
      </c>
      <c r="C7703" s="6" t="str">
        <f>_xll.QS.CONTEXT.CREATE("market.7701",A7703,"USD","SOFR")</f>
        <v>QSObject:PricingContext:w1~market.7701:4362</v>
      </c>
      <c r="D7703" s="6" t="str">
        <f>_xll.QS.CONTEXT.ADD.CURVE(C7703,"SOFR",$K$2:$K$7,$L$2:$L$7,,,"Actual360","LogLinear",TRUE)</f>
        <v>QSObject:ContextInput:w1~input.qs_context_add_curve.2359132437744.7702.3.0:32641</v>
      </c>
      <c r="E7703" s="6" t="str">
        <f>_xll.QS.INSTRUMENT.SWAP("swap.7701",H7703,B7703,"USD","SOFR",I7703,J7703,0,"Actual360","Simple","Annual","Annual","Annual")</f>
        <v>QSObject:Swap:w1~swap.7701:4361</v>
      </c>
      <c r="F7703" s="6" t="str">
        <f>_xll.QS.TRADE.CREATE("trade.7701",E7703,A7703,"Receive")</f>
        <v>QSObject:SwapTrade:w1~trade.7701:23986</v>
      </c>
      <c r="G7703" s="3">
        <f>_xll.QS.EVALUATE(C7703,F7703)</f>
        <v>25085.669527243306</v>
      </c>
      <c r="H7703" s="5" t="s">
        <v>7744</v>
      </c>
      <c r="I7703" s="7">
        <v>1770100</v>
      </c>
      <c r="J7703" s="8">
        <v>3.5100000000000013E-2</v>
      </c>
    </row>
    <row r="7704" spans="1:10" x14ac:dyDescent="0.25">
      <c r="A7704" s="5" t="s">
        <v>7738</v>
      </c>
      <c r="B7704" s="5" t="s">
        <v>9571</v>
      </c>
      <c r="C7704" s="6" t="str">
        <f>_xll.QS.CONTEXT.CREATE("market.7702",A7704,"USD","SOFR")</f>
        <v>QSObject:PricingContext:w1~market.7702:4360</v>
      </c>
      <c r="D7704" s="6" t="str">
        <f>_xll.QS.CONTEXT.ADD.CURVE(C7704,"SOFR",$K$2:$K$7,$L$2:$L$7,,,"Actual360","LogLinear",TRUE)</f>
        <v>QSObject:ContextInput:w1~input.qs_context_add_curve.2359132437744.7703.3.0:32640</v>
      </c>
      <c r="E7704" s="6" t="str">
        <f>_xll.QS.INSTRUMENT.SWAP("swap.7702",H7704,B7704,"USD","SOFR",I7704,J7704,0,"Actual360","Simple","Annual","Annual","Annual")</f>
        <v>QSObject:Swap:w1~swap.7702:4359</v>
      </c>
      <c r="F7704" s="6" t="str">
        <f>_xll.QS.TRADE.CREATE("trade.7702",E7704,A7704,"Receive")</f>
        <v>QSObject:SwapTrade:w1~trade.7702:23985</v>
      </c>
      <c r="G7704" s="3">
        <f>_xll.QS.EVALUATE(C7704,F7704)</f>
        <v>26032.480311805601</v>
      </c>
      <c r="H7704" s="5" t="s">
        <v>7745</v>
      </c>
      <c r="I7704" s="7">
        <v>1770200</v>
      </c>
      <c r="J7704" s="8">
        <v>3.5200000000000002E-2</v>
      </c>
    </row>
    <row r="7705" spans="1:10" x14ac:dyDescent="0.25">
      <c r="A7705" s="5" t="s">
        <v>7739</v>
      </c>
      <c r="B7705" s="5" t="s">
        <v>9572</v>
      </c>
      <c r="C7705" s="6" t="str">
        <f>_xll.QS.CONTEXT.CREATE("market.7703",A7705,"USD","SOFR")</f>
        <v>QSObject:PricingContext:w1~market.7703:4358</v>
      </c>
      <c r="D7705" s="6" t="str">
        <f>_xll.QS.CONTEXT.ADD.CURVE(C7705,"SOFR",$K$2:$K$7,$L$2:$L$7,,,"Actual360","LogLinear",TRUE)</f>
        <v>QSObject:ContextInput:w1~input.qs_context_add_curve.2359132437744.7704.3.0:32639</v>
      </c>
      <c r="E7705" s="6" t="str">
        <f>_xll.QS.INSTRUMENT.SWAP("swap.7703",H7705,B7705,"USD","SOFR",I7705,J7705,0,"Actual360","Simple","Annual","Annual","Annual")</f>
        <v>QSObject:Swap:w1~swap.7703:4357</v>
      </c>
      <c r="F7705" s="6" t="str">
        <f>_xll.QS.TRADE.CREATE("trade.7703",E7705,A7705,"Receive")</f>
        <v>QSObject:SwapTrade:w1~trade.7703:23984</v>
      </c>
      <c r="G7705" s="3">
        <f>_xll.QS.EVALUATE(C7705,F7705)</f>
        <v>26927.127250350575</v>
      </c>
      <c r="H7705" s="5" t="s">
        <v>7746</v>
      </c>
      <c r="I7705" s="7">
        <v>1770300</v>
      </c>
      <c r="J7705" s="8">
        <v>3.5299999999999998E-2</v>
      </c>
    </row>
    <row r="7706" spans="1:10" x14ac:dyDescent="0.25">
      <c r="A7706" s="5" t="s">
        <v>7740</v>
      </c>
      <c r="B7706" s="5" t="s">
        <v>9573</v>
      </c>
      <c r="C7706" s="6" t="str">
        <f>_xll.QS.CONTEXT.CREATE("market.7704",A7706,"USD","SOFR")</f>
        <v>QSObject:PricingContext:w1~market.7704:4356</v>
      </c>
      <c r="D7706" s="6" t="str">
        <f>_xll.QS.CONTEXT.ADD.CURVE(C7706,"SOFR",$K$2:$K$7,$L$2:$L$7,,,"Actual360","LogLinear",TRUE)</f>
        <v>QSObject:ContextInput:w1~input.qs_context_add_curve.2359132437744.7705.3.0:32638</v>
      </c>
      <c r="E7706" s="6" t="str">
        <f>_xll.QS.INSTRUMENT.SWAP("swap.7704",H7706,B7706,"USD","SOFR",I7706,J7706,0,"Actual360","Simple","Annual","Annual","Annual")</f>
        <v>QSObject:Swap:w1~swap.7704:4355</v>
      </c>
      <c r="F7706" s="6" t="str">
        <f>_xll.QS.TRADE.CREATE("trade.7704",E7706,A7706,"Receive")</f>
        <v>QSObject:SwapTrade:w1~trade.7704:23983</v>
      </c>
      <c r="G7706" s="3">
        <f>_xll.QS.EVALUATE(C7706,F7706)</f>
        <v>27677.961391673758</v>
      </c>
      <c r="H7706" s="5" t="s">
        <v>7747</v>
      </c>
      <c r="I7706" s="7">
        <v>1770400</v>
      </c>
      <c r="J7706" s="8">
        <v>3.5400000000000001E-2</v>
      </c>
    </row>
    <row r="7707" spans="1:10" x14ac:dyDescent="0.25">
      <c r="A7707" s="5" t="s">
        <v>7741</v>
      </c>
      <c r="B7707" s="5" t="s">
        <v>9574</v>
      </c>
      <c r="C7707" s="6" t="str">
        <f>_xll.QS.CONTEXT.CREATE("market.7705",A7707,"USD","SOFR")</f>
        <v>QSObject:PricingContext:w1~market.7705:4354</v>
      </c>
      <c r="D7707" s="6" t="str">
        <f>_xll.QS.CONTEXT.ADD.CURVE(C7707,"SOFR",$K$2:$K$7,$L$2:$L$7,,,"Actual360","LogLinear",TRUE)</f>
        <v>QSObject:ContextInput:w1~input.qs_context_add_curve.2359132437744.7706.3.0:32637</v>
      </c>
      <c r="E7707" s="6" t="str">
        <f>_xll.QS.INSTRUMENT.SWAP("swap.7705",H7707,B7707,"USD","SOFR",I7707,J7707,0,"Actual360","Simple","Annual","Annual","Annual")</f>
        <v>QSObject:Swap:w1~swap.7705:4353</v>
      </c>
      <c r="F7707" s="6" t="str">
        <f>_xll.QS.TRADE.CREATE("trade.7705",E7707,A7707,"Receive")</f>
        <v>QSObject:SwapTrade:w1~trade.7705:23982</v>
      </c>
      <c r="G7707" s="3">
        <f>_xll.QS.EVALUATE(C7707,F7707)</f>
        <v>28387.54721225104</v>
      </c>
      <c r="H7707" s="5" t="s">
        <v>7748</v>
      </c>
      <c r="I7707" s="7">
        <v>1770500</v>
      </c>
      <c r="J7707" s="8">
        <v>3.5499999999999997E-2</v>
      </c>
    </row>
    <row r="7708" spans="1:10" x14ac:dyDescent="0.25">
      <c r="A7708" s="5" t="s">
        <v>7742</v>
      </c>
      <c r="B7708" s="5" t="s">
        <v>9575</v>
      </c>
      <c r="C7708" s="6" t="str">
        <f>_xll.QS.CONTEXT.CREATE("market.7706",A7708,"USD","SOFR")</f>
        <v>QSObject:PricingContext:w1~market.7706:4352</v>
      </c>
      <c r="D7708" s="6" t="str">
        <f>_xll.QS.CONTEXT.ADD.CURVE(C7708,"SOFR",$K$2:$K$7,$L$2:$L$7,,,"Actual360","LogLinear",TRUE)</f>
        <v>QSObject:ContextInput:w1~input.qs_context_add_curve.2359132437744.7707.3.0:32636</v>
      </c>
      <c r="E7708" s="6" t="str">
        <f>_xll.QS.INSTRUMENT.SWAP("swap.7706",H7708,B7708,"USD","SOFR",I7708,J7708,0,"Actual360","Simple","Annual","Annual","Annual")</f>
        <v>QSObject:Swap:w1~swap.7706:4351</v>
      </c>
      <c r="F7708" s="6" t="str">
        <f>_xll.QS.TRADE.CREATE("trade.7706",E7708,A7708,"Receive")</f>
        <v>QSObject:SwapTrade:w1~trade.7706:23981</v>
      </c>
      <c r="G7708" s="3">
        <f>_xll.QS.EVALUATE(C7708,F7708)</f>
        <v>28996.30089086706</v>
      </c>
      <c r="H7708" s="5" t="s">
        <v>7749</v>
      </c>
      <c r="I7708" s="7">
        <v>1770600</v>
      </c>
      <c r="J7708" s="8">
        <v>3.5600000000000007E-2</v>
      </c>
    </row>
    <row r="7709" spans="1:10" x14ac:dyDescent="0.25">
      <c r="A7709" s="5" t="s">
        <v>7743</v>
      </c>
      <c r="B7709" s="5" t="s">
        <v>9576</v>
      </c>
      <c r="C7709" s="6" t="str">
        <f>_xll.QS.CONTEXT.CREATE("market.7707",A7709,"USD","SOFR")</f>
        <v>QSObject:PricingContext:w1~market.7707:4350</v>
      </c>
      <c r="D7709" s="6" t="str">
        <f>_xll.QS.CONTEXT.ADD.CURVE(C7709,"SOFR",$K$2:$K$7,$L$2:$L$7,,,"Actual360","LogLinear",TRUE)</f>
        <v>QSObject:ContextInput:w1~input.qs_context_add_curve.2359132437744.7708.3.0:32635</v>
      </c>
      <c r="E7709" s="6" t="str">
        <f>_xll.QS.INSTRUMENT.SWAP("swap.7707",H7709,B7709,"USD","SOFR",I7709,J7709,0,"Actual360","Simple","Annual","Annual","Annual")</f>
        <v>QSObject:Swap:w1~swap.7707:4349</v>
      </c>
      <c r="F7709" s="6" t="str">
        <f>_xll.QS.TRADE.CREATE("trade.7707",E7709,A7709,"Receive")</f>
        <v>QSObject:SwapTrade:w1~trade.7707:23980</v>
      </c>
      <c r="G7709" s="3">
        <f>_xll.QS.EVALUATE(C7709,F7709)</f>
        <v>29889.082645493203</v>
      </c>
      <c r="H7709" s="5" t="s">
        <v>7750</v>
      </c>
      <c r="I7709" s="7">
        <v>1770700</v>
      </c>
      <c r="J7709" s="8">
        <v>3.5700000000000003E-2</v>
      </c>
    </row>
    <row r="7710" spans="1:10" x14ac:dyDescent="0.25">
      <c r="A7710" s="5" t="s">
        <v>7744</v>
      </c>
      <c r="B7710" s="5" t="s">
        <v>9577</v>
      </c>
      <c r="C7710" s="6" t="str">
        <f>_xll.QS.CONTEXT.CREATE("market.7708",A7710,"USD","SOFR")</f>
        <v>QSObject:PricingContext:w1~market.7708:4348</v>
      </c>
      <c r="D7710" s="6" t="str">
        <f>_xll.QS.CONTEXT.ADD.CURVE(C7710,"SOFR",$K$2:$K$7,$L$2:$L$7,,,"Actual360","LogLinear",TRUE)</f>
        <v>QSObject:ContextInput:w1~input.qs_context_add_curve.2359132437744.7709.3.0:32634</v>
      </c>
      <c r="E7710" s="6" t="str">
        <f>_xll.QS.INSTRUMENT.SWAP("swap.7708",H7710,B7710,"USD","SOFR",I7710,J7710,0,"Actual360","Simple","Annual","Annual","Annual")</f>
        <v>QSObject:Swap:w1~swap.7708:4347</v>
      </c>
      <c r="F7710" s="6" t="str">
        <f>_xll.QS.TRADE.CREATE("trade.7708",E7710,A7710,"Receive")</f>
        <v>QSObject:SwapTrade:w1~trade.7708:23979</v>
      </c>
      <c r="G7710" s="3">
        <f>_xll.QS.EVALUATE(C7710,F7710)</f>
        <v>30759.582274311775</v>
      </c>
      <c r="H7710" s="5" t="s">
        <v>7751</v>
      </c>
      <c r="I7710" s="7">
        <v>1770800</v>
      </c>
      <c r="J7710" s="8">
        <v>3.5800000000000012E-2</v>
      </c>
    </row>
    <row r="7711" spans="1:10" x14ac:dyDescent="0.25">
      <c r="A7711" s="5" t="s">
        <v>7745</v>
      </c>
      <c r="B7711" s="5" t="s">
        <v>9578</v>
      </c>
      <c r="C7711" s="6" t="str">
        <f>_xll.QS.CONTEXT.CREATE("market.7709",A7711,"USD","SOFR")</f>
        <v>QSObject:PricingContext:w1~market.7709:4346</v>
      </c>
      <c r="D7711" s="6" t="str">
        <f>_xll.QS.CONTEXT.ADD.CURVE(C7711,"SOFR",$K$2:$K$7,$L$2:$L$7,,,"Actual360","LogLinear",TRUE)</f>
        <v>QSObject:ContextInput:w1~input.qs_context_add_curve.2359132437744.7710.3.0:32633</v>
      </c>
      <c r="E7711" s="6" t="str">
        <f>_xll.QS.INSTRUMENT.SWAP("swap.7709",H7711,B7711,"USD","SOFR",I7711,J7711,0,"Actual360","Simple","Annual","Annual","Annual")</f>
        <v>QSObject:Swap:w1~swap.7709:4345</v>
      </c>
      <c r="F7711" s="6" t="str">
        <f>_xll.QS.TRADE.CREATE("trade.7709",E7711,A7711,"Receive")</f>
        <v>QSObject:SwapTrade:w1~trade.7709:23978</v>
      </c>
      <c r="G7711" s="3">
        <f>_xll.QS.EVALUATE(C7711,F7711)</f>
        <v>31824.094890957189</v>
      </c>
      <c r="H7711" s="5" t="s">
        <v>7752</v>
      </c>
      <c r="I7711" s="7">
        <v>1770900</v>
      </c>
      <c r="J7711" s="8">
        <v>3.5900000000000001E-2</v>
      </c>
    </row>
    <row r="7712" spans="1:10" x14ac:dyDescent="0.25">
      <c r="A7712" s="5" t="s">
        <v>7746</v>
      </c>
      <c r="B7712" s="5" t="s">
        <v>9579</v>
      </c>
      <c r="C7712" s="6" t="str">
        <f>_xll.QS.CONTEXT.CREATE("market.7710",A7712,"USD","SOFR")</f>
        <v>QSObject:PricingContext:w1~market.7710:4344</v>
      </c>
      <c r="D7712" s="6" t="str">
        <f>_xll.QS.CONTEXT.ADD.CURVE(C7712,"SOFR",$K$2:$K$7,$L$2:$L$7,,,"Actual360","LogLinear",TRUE)</f>
        <v>QSObject:ContextInput:w1~input.qs_context_add_curve.2359132437744.7711.3.0:32632</v>
      </c>
      <c r="E7712" s="6" t="str">
        <f>_xll.QS.INSTRUMENT.SWAP("swap.7710",H7712,B7712,"USD","SOFR",I7712,J7712,0,"Actual360","Simple","Annual","Annual","Annual")</f>
        <v>QSObject:Swap:w1~swap.7710:4343</v>
      </c>
      <c r="F7712" s="6" t="str">
        <f>_xll.QS.TRADE.CREATE("trade.7710",E7712,A7712,"Receive")</f>
        <v>QSObject:SwapTrade:w1~trade.7710:23977</v>
      </c>
      <c r="G7712" s="3">
        <f>_xll.QS.EVALUATE(C7712,F7712)</f>
        <v>32656.269728626336</v>
      </c>
      <c r="H7712" s="5" t="s">
        <v>7753</v>
      </c>
      <c r="I7712" s="7">
        <v>1771000</v>
      </c>
      <c r="J7712" s="8">
        <v>3.5999999999999997E-2</v>
      </c>
    </row>
    <row r="7713" spans="1:10" x14ac:dyDescent="0.25">
      <c r="A7713" s="5" t="s">
        <v>7747</v>
      </c>
      <c r="B7713" s="5" t="s">
        <v>9580</v>
      </c>
      <c r="C7713" s="6" t="str">
        <f>_xll.QS.CONTEXT.CREATE("market.7711",A7713,"USD","SOFR")</f>
        <v>QSObject:PricingContext:w1~market.7711:4342</v>
      </c>
      <c r="D7713" s="6" t="str">
        <f>_xll.QS.CONTEXT.ADD.CURVE(C7713,"SOFR",$K$2:$K$7,$L$2:$L$7,,,"Actual360","LogLinear",TRUE)</f>
        <v>QSObject:ContextInput:w1~input.qs_context_add_curve.2359132437744.7712.3.0:32631</v>
      </c>
      <c r="E7713" s="6" t="str">
        <f>_xll.QS.INSTRUMENT.SWAP("swap.7711",H7713,B7713,"USD","SOFR",I7713,J7713,0,"Actual360","Simple","Annual","Annual","Annual")</f>
        <v>QSObject:Swap:w1~swap.7711:4341</v>
      </c>
      <c r="F7713" s="6" t="str">
        <f>_xll.QS.TRADE.CREATE("trade.7711",E7713,A7713,"Receive")</f>
        <v>QSObject:SwapTrade:w1~trade.7711:23976</v>
      </c>
      <c r="G7713" s="3">
        <f>_xll.QS.EVALUATE(C7713,F7713)</f>
        <v>33472.910425122558</v>
      </c>
      <c r="H7713" s="5" t="s">
        <v>7754</v>
      </c>
      <c r="I7713" s="7">
        <v>1771100</v>
      </c>
      <c r="J7713" s="8">
        <v>3.61E-2</v>
      </c>
    </row>
    <row r="7714" spans="1:10" x14ac:dyDescent="0.25">
      <c r="A7714" s="5" t="s">
        <v>7748</v>
      </c>
      <c r="B7714" s="5" t="s">
        <v>9581</v>
      </c>
      <c r="C7714" s="6" t="str">
        <f>_xll.QS.CONTEXT.CREATE("market.7712",A7714,"USD","SOFR")</f>
        <v>QSObject:PricingContext:w1~market.7712:4340</v>
      </c>
      <c r="D7714" s="6" t="str">
        <f>_xll.QS.CONTEXT.ADD.CURVE(C7714,"SOFR",$K$2:$K$7,$L$2:$L$7,,,"Actual360","LogLinear",TRUE)</f>
        <v>QSObject:ContextInput:w1~input.qs_context_add_curve.2359132437744.7713.3.0:32630</v>
      </c>
      <c r="E7714" s="6" t="str">
        <f>_xll.QS.INSTRUMENT.SWAP("swap.7712",H7714,B7714,"USD","SOFR",I7714,J7714,0,"Actual360","Simple","Annual","Annual","Annual")</f>
        <v>QSObject:Swap:w1~swap.7712:4339</v>
      </c>
      <c r="F7714" s="6" t="str">
        <f>_xll.QS.TRADE.CREATE("trade.7712",E7714,A7714,"Receive")</f>
        <v>QSObject:SwapTrade:w1~trade.7712:23975</v>
      </c>
      <c r="G7714" s="3">
        <f>_xll.QS.EVALUATE(C7714,F7714)</f>
        <v>34154.156170222799</v>
      </c>
      <c r="H7714" s="5" t="s">
        <v>7755</v>
      </c>
      <c r="I7714" s="7">
        <v>1771200</v>
      </c>
      <c r="J7714" s="8">
        <v>3.6200000000000003E-2</v>
      </c>
    </row>
    <row r="7715" spans="1:10" x14ac:dyDescent="0.25">
      <c r="A7715" s="5" t="s">
        <v>7749</v>
      </c>
      <c r="B7715" s="5" t="s">
        <v>9582</v>
      </c>
      <c r="C7715" s="6" t="str">
        <f>_xll.QS.CONTEXT.CREATE("market.7713",A7715,"USD","SOFR")</f>
        <v>QSObject:PricingContext:w1~market.7713:4338</v>
      </c>
      <c r="D7715" s="6" t="str">
        <f>_xll.QS.CONTEXT.ADD.CURVE(C7715,"SOFR",$K$2:$K$7,$L$2:$L$7,,,"Actual360","LogLinear",TRUE)</f>
        <v>QSObject:ContextInput:w1~input.qs_context_add_curve.2359132437744.7714.3.0:32629</v>
      </c>
      <c r="E7715" s="6" t="str">
        <f>_xll.QS.INSTRUMENT.SWAP("swap.7713",H7715,B7715,"USD","SOFR",I7715,J7715,0,"Actual360","Simple","Annual","Annual","Annual")</f>
        <v>QSObject:Swap:w1~swap.7713:4337</v>
      </c>
      <c r="F7715" s="6" t="str">
        <f>_xll.QS.TRADE.CREATE("trade.7713",E7715,A7715,"Receive")</f>
        <v>QSObject:SwapTrade:w1~trade.7713:23974</v>
      </c>
      <c r="G7715" s="3">
        <f>_xll.QS.EVALUATE(C7715,F7715)</f>
        <v>34824.327497390164</v>
      </c>
      <c r="H7715" s="5" t="s">
        <v>7756</v>
      </c>
      <c r="I7715" s="7">
        <v>1771300</v>
      </c>
      <c r="J7715" s="8">
        <v>3.6300000000000013E-2</v>
      </c>
    </row>
    <row r="7716" spans="1:10" x14ac:dyDescent="0.25">
      <c r="A7716" s="5" t="s">
        <v>7750</v>
      </c>
      <c r="B7716" s="5" t="s">
        <v>9583</v>
      </c>
      <c r="C7716" s="6" t="str">
        <f>_xll.QS.CONTEXT.CREATE("market.7714",A7716,"USD","SOFR")</f>
        <v>QSObject:PricingContext:w1~market.7714:4336</v>
      </c>
      <c r="D7716" s="6" t="str">
        <f>_xll.QS.CONTEXT.ADD.CURVE(C7716,"SOFR",$K$2:$K$7,$L$2:$L$7,,,"Actual360","LogLinear",TRUE)</f>
        <v>QSObject:ContextInput:w1~input.qs_context_add_curve.2359132437744.7715.3.0:32628</v>
      </c>
      <c r="E7716" s="6" t="str">
        <f>_xll.QS.INSTRUMENT.SWAP("swap.7714",H7716,B7716,"USD","SOFR",I7716,J7716,0,"Actual360","Simple","Annual","Annual","Annual")</f>
        <v>QSObject:Swap:w1~swap.7714:4335</v>
      </c>
      <c r="F7716" s="6" t="str">
        <f>_xll.QS.TRADE.CREATE("trade.7714",E7716,A7716,"Receive")</f>
        <v>QSObject:SwapTrade:w1~trade.7714:23973</v>
      </c>
      <c r="G7716" s="3">
        <f>_xll.QS.EVALUATE(C7716,F7716)</f>
        <v>35651.294248483449</v>
      </c>
      <c r="H7716" s="5" t="s">
        <v>7757</v>
      </c>
      <c r="I7716" s="7">
        <v>1771400</v>
      </c>
      <c r="J7716" s="8">
        <v>3.6400000000000002E-2</v>
      </c>
    </row>
    <row r="7717" spans="1:10" x14ac:dyDescent="0.25">
      <c r="A7717" s="5" t="s">
        <v>7751</v>
      </c>
      <c r="B7717" s="5" t="s">
        <v>9584</v>
      </c>
      <c r="C7717" s="6" t="str">
        <f>_xll.QS.CONTEXT.CREATE("market.7715",A7717,"USD","SOFR")</f>
        <v>QSObject:PricingContext:w1~market.7715:4334</v>
      </c>
      <c r="D7717" s="6" t="str">
        <f>_xll.QS.CONTEXT.ADD.CURVE(C7717,"SOFR",$K$2:$K$7,$L$2:$L$7,,,"Actual360","LogLinear",TRUE)</f>
        <v>QSObject:ContextInput:w1~input.qs_context_add_curve.2359132437744.7716.3.0:32627</v>
      </c>
      <c r="E7717" s="6" t="str">
        <f>_xll.QS.INSTRUMENT.SWAP("swap.7715",H7717,B7717,"USD","SOFR",I7717,J7717,0,"Actual360","Simple","Annual","Annual","Annual")</f>
        <v>QSObject:Swap:w1~swap.7715:4333</v>
      </c>
      <c r="F7717" s="6" t="str">
        <f>_xll.QS.TRADE.CREATE("trade.7715",E7717,A7717,"Receive")</f>
        <v>QSObject:SwapTrade:w1~trade.7715:23972</v>
      </c>
      <c r="G7717" s="3">
        <f>_xll.QS.EVALUATE(C7717,F7717)</f>
        <v>36542.732493469703</v>
      </c>
      <c r="H7717" s="5" t="s">
        <v>7758</v>
      </c>
      <c r="I7717" s="7">
        <v>1771500</v>
      </c>
      <c r="J7717" s="8">
        <v>3.6499999999999998E-2</v>
      </c>
    </row>
    <row r="7718" spans="1:10" x14ac:dyDescent="0.25">
      <c r="A7718" s="5" t="s">
        <v>7752</v>
      </c>
      <c r="B7718" s="5" t="s">
        <v>9585</v>
      </c>
      <c r="C7718" s="6" t="str">
        <f>_xll.QS.CONTEXT.CREATE("market.7716",A7718,"USD","SOFR")</f>
        <v>QSObject:PricingContext:w1~market.7716:4332</v>
      </c>
      <c r="D7718" s="6" t="str">
        <f>_xll.QS.CONTEXT.ADD.CURVE(C7718,"SOFR",$K$2:$K$7,$L$2:$L$7,,,"Actual360","LogLinear",TRUE)</f>
        <v>QSObject:ContextInput:w1~input.qs_context_add_curve.2359132437744.7717.3.0:32626</v>
      </c>
      <c r="E7718" s="6" t="str">
        <f>_xll.QS.INSTRUMENT.SWAP("swap.7716",H7718,B7718,"USD","SOFR",I7718,J7718,0,"Actual360","Simple","Annual","Annual","Annual")</f>
        <v>QSObject:Swap:w1~swap.7716:4331</v>
      </c>
      <c r="F7718" s="6" t="str">
        <f>_xll.QS.TRADE.CREATE("trade.7716",E7718,A7718,"Receive")</f>
        <v>QSObject:SwapTrade:w1~trade.7716:23971</v>
      </c>
      <c r="G7718" s="3">
        <f>_xll.QS.EVALUATE(C7718,F7718)</f>
        <v>37490.634365703976</v>
      </c>
      <c r="H7718" s="5" t="s">
        <v>7759</v>
      </c>
      <c r="I7718" s="7">
        <v>1771600</v>
      </c>
      <c r="J7718" s="8">
        <v>3.6600000000000001E-2</v>
      </c>
    </row>
    <row r="7719" spans="1:10" x14ac:dyDescent="0.25">
      <c r="A7719" s="5" t="s">
        <v>7753</v>
      </c>
      <c r="B7719" s="5" t="s">
        <v>9586</v>
      </c>
      <c r="C7719" s="6" t="str">
        <f>_xll.QS.CONTEXT.CREATE("market.7717",A7719,"USD","SOFR")</f>
        <v>QSObject:PricingContext:w1~market.7717:4330</v>
      </c>
      <c r="D7719" s="6" t="str">
        <f>_xll.QS.CONTEXT.ADD.CURVE(C7719,"SOFR",$K$2:$K$7,$L$2:$L$7,,,"Actual360","LogLinear",TRUE)</f>
        <v>QSObject:ContextInput:w1~input.qs_context_add_curve.2359132437744.7718.3.0:32625</v>
      </c>
      <c r="E7719" s="6" t="str">
        <f>_xll.QS.INSTRUMENT.SWAP("swap.7717",H7719,B7719,"USD","SOFR",I7719,J7719,0,"Actual360","Simple","Annual","Annual","Annual")</f>
        <v>QSObject:Swap:w1~swap.7717:4329</v>
      </c>
      <c r="F7719" s="6" t="str">
        <f>_xll.QS.TRADE.CREATE("trade.7717",E7719,A7719,"Receive")</f>
        <v>QSObject:SwapTrade:w1~trade.7717:23970</v>
      </c>
      <c r="G7719" s="3">
        <f>_xll.QS.EVALUATE(C7719,F7719)</f>
        <v>38389.658128342257</v>
      </c>
      <c r="H7719" s="5" t="s">
        <v>7760</v>
      </c>
      <c r="I7719" s="7">
        <v>1771700</v>
      </c>
      <c r="J7719" s="8">
        <v>3.6700000000000003E-2</v>
      </c>
    </row>
    <row r="7720" spans="1:10" x14ac:dyDescent="0.25">
      <c r="A7720" s="5" t="s">
        <v>7754</v>
      </c>
      <c r="B7720" s="5" t="s">
        <v>9587</v>
      </c>
      <c r="C7720" s="6" t="str">
        <f>_xll.QS.CONTEXT.CREATE("market.7718",A7720,"USD","SOFR")</f>
        <v>QSObject:PricingContext:w1~market.7718:4328</v>
      </c>
      <c r="D7720" s="6" t="str">
        <f>_xll.QS.CONTEXT.ADD.CURVE(C7720,"SOFR",$K$2:$K$7,$L$2:$L$7,,,"Actual360","LogLinear",TRUE)</f>
        <v>QSObject:ContextInput:w1~input.qs_context_add_curve.2359132437744.7719.3.0:32624</v>
      </c>
      <c r="E7720" s="6" t="str">
        <f>_xll.QS.INSTRUMENT.SWAP("swap.7718",H7720,B7720,"USD","SOFR",I7720,J7720,0,"Actual360","Simple","Annual","Annual","Annual")</f>
        <v>QSObject:Swap:w1~swap.7718:4327</v>
      </c>
      <c r="F7720" s="6" t="str">
        <f>_xll.QS.TRADE.CREATE("trade.7718",E7720,A7720,"Receive")</f>
        <v>QSObject:SwapTrade:w1~trade.7718:23969</v>
      </c>
      <c r="G7720" s="3">
        <f>_xll.QS.EVALUATE(C7720,F7720)</f>
        <v>39210.711293425811</v>
      </c>
      <c r="H7720" s="5" t="s">
        <v>7761</v>
      </c>
      <c r="I7720" s="7">
        <v>1771800</v>
      </c>
      <c r="J7720" s="8">
        <v>3.6800000000000013E-2</v>
      </c>
    </row>
    <row r="7721" spans="1:10" x14ac:dyDescent="0.25">
      <c r="A7721" s="5" t="s">
        <v>7755</v>
      </c>
      <c r="B7721" s="5" t="s">
        <v>9588</v>
      </c>
      <c r="C7721" s="6" t="str">
        <f>_xll.QS.CONTEXT.CREATE("market.7719",A7721,"USD","SOFR")</f>
        <v>QSObject:PricingContext:w1~market.7719:4326</v>
      </c>
      <c r="D7721" s="6" t="str">
        <f>_xll.QS.CONTEXT.ADD.CURVE(C7721,"SOFR",$K$2:$K$7,$L$2:$L$7,,,"Actual360","LogLinear",TRUE)</f>
        <v>QSObject:ContextInput:w1~input.qs_context_add_curve.2359132437744.7720.3.0:32623</v>
      </c>
      <c r="E7721" s="6" t="str">
        <f>_xll.QS.INSTRUMENT.SWAP("swap.7719",H7721,B7721,"USD","SOFR",I7721,J7721,0,"Actual360","Simple","Annual","Annual","Annual")</f>
        <v>QSObject:Swap:w1~swap.7719:4325</v>
      </c>
      <c r="F7721" s="6" t="str">
        <f>_xll.QS.TRADE.CREATE("trade.7719",E7721,A7721,"Receive")</f>
        <v>QSObject:SwapTrade:w1~trade.7719:23968</v>
      </c>
      <c r="G7721" s="3">
        <f>_xll.QS.EVALUATE(C7721,F7721)</f>
        <v>39908.029353580205</v>
      </c>
      <c r="H7721" s="5" t="s">
        <v>7762</v>
      </c>
      <c r="I7721" s="7">
        <v>1771900</v>
      </c>
      <c r="J7721" s="8">
        <v>3.6900000000000002E-2</v>
      </c>
    </row>
    <row r="7722" spans="1:10" x14ac:dyDescent="0.25">
      <c r="A7722" s="5" t="s">
        <v>7756</v>
      </c>
      <c r="B7722" s="5" t="s">
        <v>9589</v>
      </c>
      <c r="C7722" s="6" t="str">
        <f>_xll.QS.CONTEXT.CREATE("market.7720",A7722,"USD","SOFR")</f>
        <v>QSObject:PricingContext:w1~market.7720:4324</v>
      </c>
      <c r="D7722" s="6" t="str">
        <f>_xll.QS.CONTEXT.ADD.CURVE(C7722,"SOFR",$K$2:$K$7,$L$2:$L$7,,,"Actual360","LogLinear",TRUE)</f>
        <v>QSObject:ContextInput:w1~input.qs_context_add_curve.2359132437744.7721.3.0:32622</v>
      </c>
      <c r="E7722" s="6" t="str">
        <f>_xll.QS.INSTRUMENT.SWAP("swap.7720",H7722,B7722,"USD","SOFR",I7722,J7722,0,"Actual360","Simple","Annual","Annual","Annual")</f>
        <v>QSObject:Swap:w1~swap.7720:4323</v>
      </c>
      <c r="F7722" s="6" t="str">
        <f>_xll.QS.TRADE.CREATE("trade.7720",E7722,A7722,"Receive")</f>
        <v>QSObject:SwapTrade:w1~trade.7720:23967</v>
      </c>
      <c r="G7722" s="3">
        <f>_xll.QS.EVALUATE(C7722,F7722)</f>
        <v>40588.193530720884</v>
      </c>
      <c r="H7722" s="5" t="s">
        <v>7763</v>
      </c>
      <c r="I7722" s="7">
        <v>1772000</v>
      </c>
      <c r="J7722" s="8">
        <v>3.7000000000000012E-2</v>
      </c>
    </row>
    <row r="7723" spans="1:10" x14ac:dyDescent="0.25">
      <c r="A7723" s="5" t="s">
        <v>7757</v>
      </c>
      <c r="B7723" s="5" t="s">
        <v>9590</v>
      </c>
      <c r="C7723" s="6" t="str">
        <f>_xll.QS.CONTEXT.CREATE("market.7721",A7723,"USD","SOFR")</f>
        <v>QSObject:PricingContext:w1~market.7721:4322</v>
      </c>
      <c r="D7723" s="6" t="str">
        <f>_xll.QS.CONTEXT.ADD.CURVE(C7723,"SOFR",$K$2:$K$7,$L$2:$L$7,,,"Actual360","LogLinear",TRUE)</f>
        <v>QSObject:ContextInput:w1~input.qs_context_add_curve.2359132437744.7722.3.0:32621</v>
      </c>
      <c r="E7723" s="6" t="str">
        <f>_xll.QS.INSTRUMENT.SWAP("swap.7721",H7723,B7723,"USD","SOFR",I7723,J7723,0,"Actual360","Simple","Annual","Annual","Annual")</f>
        <v>QSObject:Swap:w1~swap.7721:4321</v>
      </c>
      <c r="F7723" s="6" t="str">
        <f>_xll.QS.TRADE.CREATE("trade.7721",E7723,A7723,"Receive")</f>
        <v>QSObject:SwapTrade:w1~trade.7721:23966</v>
      </c>
      <c r="G7723" s="3">
        <f>_xll.QS.EVALUATE(C7723,F7723)</f>
        <v>41411.234484443587</v>
      </c>
      <c r="H7723" s="5" t="s">
        <v>7764</v>
      </c>
      <c r="I7723" s="7">
        <v>1772100</v>
      </c>
      <c r="J7723" s="8">
        <v>3.7100000000000001E-2</v>
      </c>
    </row>
    <row r="7724" spans="1:10" x14ac:dyDescent="0.25">
      <c r="A7724" s="5" t="s">
        <v>7758</v>
      </c>
      <c r="B7724" s="5" t="s">
        <v>9591</v>
      </c>
      <c r="C7724" s="6" t="str">
        <f>_xll.QS.CONTEXT.CREATE("market.7722",A7724,"USD","SOFR")</f>
        <v>QSObject:PricingContext:w1~market.7722:4320</v>
      </c>
      <c r="D7724" s="6" t="str">
        <f>_xll.QS.CONTEXT.ADD.CURVE(C7724,"SOFR",$K$2:$K$7,$L$2:$L$7,,,"Actual360","LogLinear",TRUE)</f>
        <v>QSObject:ContextInput:w1~input.qs_context_add_curve.2359132437744.7723.3.0:32620</v>
      </c>
      <c r="E7724" s="6" t="str">
        <f>_xll.QS.INSTRUMENT.SWAP("swap.7722",H7724,B7724,"USD","SOFR",I7724,J7724,0,"Actual360","Simple","Annual","Annual","Annual")</f>
        <v>QSObject:Swap:w1~swap.7722:4319</v>
      </c>
      <c r="F7724" s="6" t="str">
        <f>_xll.QS.TRADE.CREATE("trade.7722",E7724,A7724,"Receive")</f>
        <v>QSObject:SwapTrade:w1~trade.7722:23965</v>
      </c>
      <c r="G7724" s="3">
        <f>_xll.QS.EVALUATE(C7724,F7724)</f>
        <v>42230.614865334057</v>
      </c>
      <c r="H7724" s="5" t="s">
        <v>7765</v>
      </c>
      <c r="I7724" s="7">
        <v>1772200</v>
      </c>
      <c r="J7724" s="8">
        <v>3.7199999999999997E-2</v>
      </c>
    </row>
    <row r="7725" spans="1:10" x14ac:dyDescent="0.25">
      <c r="A7725" s="5" t="s">
        <v>7759</v>
      </c>
      <c r="B7725" s="5" t="s">
        <v>9592</v>
      </c>
      <c r="C7725" s="6" t="str">
        <f>_xll.QS.CONTEXT.CREATE("market.7723",A7725,"USD","SOFR")</f>
        <v>QSObject:PricingContext:w1~market.7723:4318</v>
      </c>
      <c r="D7725" s="6" t="str">
        <f>_xll.QS.CONTEXT.ADD.CURVE(C7725,"SOFR",$K$2:$K$7,$L$2:$L$7,,,"Actual360","LogLinear",TRUE)</f>
        <v>QSObject:ContextInput:w1~input.qs_context_add_curve.2359132437744.7724.3.0:32619</v>
      </c>
      <c r="E7725" s="6" t="str">
        <f>_xll.QS.INSTRUMENT.SWAP("swap.7723",H7725,B7725,"USD","SOFR",I7725,J7725,0,"Actual360","Simple","Annual","Annual","Annual")</f>
        <v>QSObject:Swap:w1~swap.7723:4317</v>
      </c>
      <c r="F7725" s="6" t="str">
        <f>_xll.QS.TRADE.CREATE("trade.7723",E7725,A7725,"Receive")</f>
        <v>QSObject:SwapTrade:w1~trade.7723:23964</v>
      </c>
      <c r="G7725" s="3">
        <f>_xll.QS.EVALUATE(C7725,F7725)</f>
        <v>43180.098072059838</v>
      </c>
      <c r="H7725" s="5" t="s">
        <v>7766</v>
      </c>
      <c r="I7725" s="7">
        <v>1772300</v>
      </c>
      <c r="J7725" s="8">
        <v>3.73E-2</v>
      </c>
    </row>
    <row r="7726" spans="1:10" x14ac:dyDescent="0.25">
      <c r="A7726" s="5" t="s">
        <v>7760</v>
      </c>
      <c r="B7726" s="5" t="s">
        <v>9593</v>
      </c>
      <c r="C7726" s="6" t="str">
        <f>_xll.QS.CONTEXT.CREATE("market.7724",A7726,"USD","SOFR")</f>
        <v>QSObject:PricingContext:w1~market.7724:4316</v>
      </c>
      <c r="D7726" s="6" t="str">
        <f>_xll.QS.CONTEXT.ADD.CURVE(C7726,"SOFR",$K$2:$K$7,$L$2:$L$7,,,"Actual360","LogLinear",TRUE)</f>
        <v>QSObject:ContextInput:w1~input.qs_context_add_curve.2359132437744.7725.3.0:32618</v>
      </c>
      <c r="E7726" s="6" t="str">
        <f>_xll.QS.INSTRUMENT.SWAP("swap.7724",H7726,B7726,"USD","SOFR",I7726,J7726,0,"Actual360","Simple","Annual","Annual","Annual")</f>
        <v>QSObject:Swap:w1~swap.7724:4315</v>
      </c>
      <c r="F7726" s="6" t="str">
        <f>_xll.QS.TRADE.CREATE("trade.7724",E7726,A7726,"Receive")</f>
        <v>QSObject:SwapTrade:w1~trade.7724:23963</v>
      </c>
      <c r="G7726" s="3">
        <f>_xll.QS.EVALUATE(C7726,F7726)</f>
        <v>44076.981992563742</v>
      </c>
      <c r="H7726" s="5" t="s">
        <v>7767</v>
      </c>
      <c r="I7726" s="7">
        <v>1772400</v>
      </c>
      <c r="J7726" s="8">
        <v>3.7400000000000003E-2</v>
      </c>
    </row>
    <row r="7727" spans="1:10" x14ac:dyDescent="0.25">
      <c r="A7727" s="5" t="s">
        <v>7761</v>
      </c>
      <c r="B7727" s="5" t="s">
        <v>9594</v>
      </c>
      <c r="C7727" s="6" t="str">
        <f>_xll.QS.CONTEXT.CREATE("market.7725",A7727,"USD","SOFR")</f>
        <v>QSObject:PricingContext:w1~market.7725:4314</v>
      </c>
      <c r="D7727" s="6" t="str">
        <f>_xll.QS.CONTEXT.ADD.CURVE(C7727,"SOFR",$K$2:$K$7,$L$2:$L$7,,,"Actual360","LogLinear",TRUE)</f>
        <v>QSObject:ContextInput:w1~input.qs_context_add_curve.2359132437744.7726.3.0:32617</v>
      </c>
      <c r="E7727" s="6" t="str">
        <f>_xll.QS.INSTRUMENT.SWAP("swap.7725",H7727,B7727,"USD","SOFR",I7727,J7727,0,"Actual360","Simple","Annual","Annual","Annual")</f>
        <v>QSObject:Swap:w1~swap.7725:4313</v>
      </c>
      <c r="F7727" s="6" t="str">
        <f>_xll.QS.TRADE.CREATE("trade.7725",E7727,A7727,"Receive")</f>
        <v>QSObject:SwapTrade:w1~trade.7725:23962</v>
      </c>
      <c r="G7727" s="3">
        <f>_xll.QS.EVALUATE(C7727,F7727)</f>
        <v>44899.003956481007</v>
      </c>
      <c r="H7727" s="5" t="s">
        <v>7768</v>
      </c>
      <c r="I7727" s="7">
        <v>1772500</v>
      </c>
      <c r="J7727" s="8">
        <v>3.7500000000000012E-2</v>
      </c>
    </row>
    <row r="7728" spans="1:10" x14ac:dyDescent="0.25">
      <c r="A7728" s="5" t="s">
        <v>7762</v>
      </c>
      <c r="B7728" s="5" t="s">
        <v>9595</v>
      </c>
      <c r="C7728" s="6" t="str">
        <f>_xll.QS.CONTEXT.CREATE("market.7726",A7728,"USD","SOFR")</f>
        <v>QSObject:PricingContext:w1~market.7726:4312</v>
      </c>
      <c r="D7728" s="6" t="str">
        <f>_xll.QS.CONTEXT.ADD.CURVE(C7728,"SOFR",$K$2:$K$7,$L$2:$L$7,,,"Actual360","LogLinear",TRUE)</f>
        <v>QSObject:ContextInput:w1~input.qs_context_add_curve.2359132437744.7727.3.0:32616</v>
      </c>
      <c r="E7728" s="6" t="str">
        <f>_xll.QS.INSTRUMENT.SWAP("swap.7726",H7728,B7728,"USD","SOFR",I7728,J7728,0,"Actual360","Simple","Annual","Annual","Annual")</f>
        <v>QSObject:Swap:w1~swap.7726:4311</v>
      </c>
      <c r="F7728" s="6" t="str">
        <f>_xll.QS.TRADE.CREATE("trade.7726",E7728,A7728,"Receive")</f>
        <v>QSObject:SwapTrade:w1~trade.7726:23961</v>
      </c>
      <c r="G7728" s="3">
        <f>_xll.QS.EVALUATE(C7728,F7728)</f>
        <v>45500.942642703732</v>
      </c>
      <c r="H7728" s="5" t="s">
        <v>7769</v>
      </c>
      <c r="I7728" s="7">
        <v>1772600</v>
      </c>
      <c r="J7728" s="8">
        <v>3.7600000000000001E-2</v>
      </c>
    </row>
    <row r="7729" spans="1:10" x14ac:dyDescent="0.25">
      <c r="A7729" s="5" t="s">
        <v>7763</v>
      </c>
      <c r="B7729" s="5" t="s">
        <v>9596</v>
      </c>
      <c r="C7729" s="6" t="str">
        <f>_xll.QS.CONTEXT.CREATE("market.7727",A7729,"USD","SOFR")</f>
        <v>QSObject:PricingContext:w1~market.7727:4310</v>
      </c>
      <c r="D7729" s="6" t="str">
        <f>_xll.QS.CONTEXT.ADD.CURVE(C7729,"SOFR",$K$2:$K$7,$L$2:$L$7,,,"Actual360","LogLinear",TRUE)</f>
        <v>QSObject:ContextInput:w1~input.qs_context_add_curve.2359132437744.7728.3.0:32615</v>
      </c>
      <c r="E7729" s="6" t="str">
        <f>_xll.QS.INSTRUMENT.SWAP("swap.7727",H7729,B7729,"USD","SOFR",I7729,J7729,0,"Actual360","Simple","Annual","Annual","Annual")</f>
        <v>QSObject:Swap:w1~swap.7727:4309</v>
      </c>
      <c r="F7729" s="6" t="str">
        <f>_xll.QS.TRADE.CREATE("trade.7727",E7729,A7729,"Receive")</f>
        <v>QSObject:SwapTrade:w1~trade.7727:23960</v>
      </c>
      <c r="G7729" s="3">
        <f>_xll.QS.EVALUATE(C7729,F7729)</f>
        <v>46324.861217921993</v>
      </c>
      <c r="H7729" s="5" t="s">
        <v>7770</v>
      </c>
      <c r="I7729" s="7">
        <v>1772700</v>
      </c>
      <c r="J7729" s="8">
        <v>3.7699999999999997E-2</v>
      </c>
    </row>
    <row r="7730" spans="1:10" x14ac:dyDescent="0.25">
      <c r="A7730" s="5" t="s">
        <v>7764</v>
      </c>
      <c r="B7730" s="5" t="s">
        <v>9597</v>
      </c>
      <c r="C7730" s="6" t="str">
        <f>_xll.QS.CONTEXT.CREATE("market.7728",A7730,"USD","SOFR")</f>
        <v>QSObject:PricingContext:w1~market.7728:4308</v>
      </c>
      <c r="D7730" s="6" t="str">
        <f>_xll.QS.CONTEXT.ADD.CURVE(C7730,"SOFR",$K$2:$K$7,$L$2:$L$7,,,"Actual360","LogLinear",TRUE)</f>
        <v>QSObject:ContextInput:w1~input.qs_context_add_curve.2359132437744.7729.3.0:32614</v>
      </c>
      <c r="E7730" s="6" t="str">
        <f>_xll.QS.INSTRUMENT.SWAP("swap.7728",H7730,B7730,"USD","SOFR",I7730,J7730,0,"Actual360","Simple","Annual","Annual","Annual")</f>
        <v>QSObject:Swap:w1~swap.7728:4307</v>
      </c>
      <c r="F7730" s="6" t="str">
        <f>_xll.QS.TRADE.CREATE("trade.7728",E7730,A7730,"Receive")</f>
        <v>QSObject:SwapTrade:w1~trade.7728:23959</v>
      </c>
      <c r="G7730" s="3">
        <f>_xll.QS.EVALUATE(C7730,F7730)</f>
        <v>47220.037634298904</v>
      </c>
      <c r="H7730" s="5" t="s">
        <v>7771</v>
      </c>
      <c r="I7730" s="7">
        <v>1772800</v>
      </c>
      <c r="J7730" s="8">
        <v>3.78E-2</v>
      </c>
    </row>
    <row r="7731" spans="1:10" x14ac:dyDescent="0.25">
      <c r="A7731" s="5" t="s">
        <v>7765</v>
      </c>
      <c r="B7731" s="5" t="s">
        <v>9598</v>
      </c>
      <c r="C7731" s="6" t="str">
        <f>_xll.QS.CONTEXT.CREATE("market.7729",A7731,"USD","SOFR")</f>
        <v>QSObject:PricingContext:w1~market.7729:4306</v>
      </c>
      <c r="D7731" s="6" t="str">
        <f>_xll.QS.CONTEXT.ADD.CURVE(C7731,"SOFR",$K$2:$K$7,$L$2:$L$7,,,"Actual360","LogLinear",TRUE)</f>
        <v>QSObject:ContextInput:w1~input.qs_context_add_curve.2359132437744.7730.3.0:32613</v>
      </c>
      <c r="E7731" s="6" t="str">
        <f>_xll.QS.INSTRUMENT.SWAP("swap.7729",H7731,B7731,"USD","SOFR",I7731,J7731,0,"Actual360","Simple","Annual","Annual","Annual")</f>
        <v>QSObject:Swap:w1~swap.7729:4305</v>
      </c>
      <c r="F7731" s="6" t="str">
        <f>_xll.QS.TRADE.CREATE("trade.7729",E7731,A7731,"Receive")</f>
        <v>QSObject:SwapTrade:w1~trade.7729:23958</v>
      </c>
      <c r="G7731" s="3">
        <f>_xll.QS.EVALUATE(C7731,F7731)</f>
        <v>48170.255573756491</v>
      </c>
      <c r="H7731" s="5" t="s">
        <v>7772</v>
      </c>
      <c r="I7731" s="7">
        <v>1772900</v>
      </c>
      <c r="J7731" s="8">
        <v>3.7900000000000003E-2</v>
      </c>
    </row>
    <row r="7732" spans="1:10" x14ac:dyDescent="0.25">
      <c r="A7732" s="5" t="s">
        <v>7766</v>
      </c>
      <c r="B7732" s="5" t="s">
        <v>9599</v>
      </c>
      <c r="C7732" s="6" t="str">
        <f>_xll.QS.CONTEXT.CREATE("market.7730",A7732,"USD","SOFR")</f>
        <v>QSObject:PricingContext:w1~market.7730:4304</v>
      </c>
      <c r="D7732" s="6" t="str">
        <f>_xll.QS.CONTEXT.ADD.CURVE(C7732,"SOFR",$K$2:$K$7,$L$2:$L$7,,,"Actual360","LogLinear",TRUE)</f>
        <v>QSObject:ContextInput:w1~input.qs_context_add_curve.2359132437744.7731.3.0:32612</v>
      </c>
      <c r="E7732" s="6" t="str">
        <f>_xll.QS.INSTRUMENT.SWAP("swap.7730",H7732,B7732,"USD","SOFR",I7732,J7732,0,"Actual360","Simple","Annual","Annual","Annual")</f>
        <v>QSObject:Swap:w1~swap.7730:4303</v>
      </c>
      <c r="F7732" s="6" t="str">
        <f>_xll.QS.TRADE.CREATE("trade.7730",E7732,A7732,"Receive")</f>
        <v>QSObject:SwapTrade:w1~trade.7730:23957</v>
      </c>
      <c r="G7732" s="3">
        <f>_xll.QS.EVALUATE(C7732,F7732)</f>
        <v>48990.701535127344</v>
      </c>
      <c r="H7732" s="5" t="s">
        <v>7773</v>
      </c>
      <c r="I7732" s="7">
        <v>1773000</v>
      </c>
      <c r="J7732" s="8">
        <v>3.8000000000000013E-2</v>
      </c>
    </row>
    <row r="7733" spans="1:10" x14ac:dyDescent="0.25">
      <c r="A7733" s="5" t="s">
        <v>7767</v>
      </c>
      <c r="B7733" s="5" t="s">
        <v>9600</v>
      </c>
      <c r="C7733" s="6" t="str">
        <f>_xll.QS.CONTEXT.CREATE("market.7731",A7733,"USD","SOFR")</f>
        <v>QSObject:PricingContext:w1~market.7731:4302</v>
      </c>
      <c r="D7733" s="6" t="str">
        <f>_xll.QS.CONTEXT.ADD.CURVE(C7733,"SOFR",$K$2:$K$7,$L$2:$L$7,,,"Actual360","LogLinear",TRUE)</f>
        <v>QSObject:ContextInput:w1~input.qs_context_add_curve.2359132437744.7732.3.0:32611</v>
      </c>
      <c r="E7733" s="6" t="str">
        <f>_xll.QS.INSTRUMENT.SWAP("swap.7731",H7733,B7733,"USD","SOFR",I7733,J7733,0,"Actual360","Simple","Annual","Annual","Annual")</f>
        <v>QSObject:Swap:w1~swap.7731:4301</v>
      </c>
      <c r="F7733" s="6" t="str">
        <f>_xll.QS.TRADE.CREATE("trade.7731",E7733,A7733,"Receive")</f>
        <v>QSObject:SwapTrade:w1~trade.7731:23956</v>
      </c>
      <c r="G7733" s="3">
        <f>_xll.QS.EVALUATE(C7733,F7733)</f>
        <v>49821.035493661839</v>
      </c>
      <c r="H7733" s="5" t="s">
        <v>7774</v>
      </c>
      <c r="I7733" s="7">
        <v>1773100</v>
      </c>
      <c r="J7733" s="8">
        <v>3.8100000000000002E-2</v>
      </c>
    </row>
    <row r="7734" spans="1:10" x14ac:dyDescent="0.25">
      <c r="A7734" s="5" t="s">
        <v>7768</v>
      </c>
      <c r="B7734" s="5" t="s">
        <v>9601</v>
      </c>
      <c r="C7734" s="6" t="str">
        <f>_xll.QS.CONTEXT.CREATE("market.7732",A7734,"USD","SOFR")</f>
        <v>QSObject:PricingContext:w1~market.7732:4300</v>
      </c>
      <c r="D7734" s="6" t="str">
        <f>_xll.QS.CONTEXT.ADD.CURVE(C7734,"SOFR",$K$2:$K$7,$L$2:$L$7,,,"Actual360","LogLinear",TRUE)</f>
        <v>QSObject:ContextInput:w1~input.qs_context_add_curve.2359132437744.7733.3.0:32610</v>
      </c>
      <c r="E7734" s="6" t="str">
        <f>_xll.QS.INSTRUMENT.SWAP("swap.7732",H7734,B7734,"USD","SOFR",I7734,J7734,0,"Actual360","Simple","Annual","Annual","Annual")</f>
        <v>QSObject:Swap:w1~swap.7732:4299</v>
      </c>
      <c r="F7734" s="6" t="str">
        <f>_xll.QS.TRADE.CREATE("trade.7732",E7734,A7734,"Receive")</f>
        <v>QSObject:SwapTrade:w1~trade.7732:23955</v>
      </c>
      <c r="G7734" s="3">
        <f>_xll.QS.EVALUATE(C7734,F7734)</f>
        <v>50643.452588118569</v>
      </c>
      <c r="H7734" s="5" t="s">
        <v>7775</v>
      </c>
      <c r="I7734" s="7">
        <v>1773200</v>
      </c>
      <c r="J7734" s="8">
        <v>3.8199999999999998E-2</v>
      </c>
    </row>
    <row r="7735" spans="1:10" x14ac:dyDescent="0.25">
      <c r="A7735" s="5" t="s">
        <v>7769</v>
      </c>
      <c r="B7735" s="5" t="s">
        <v>9602</v>
      </c>
      <c r="C7735" s="6" t="str">
        <f>_xll.QS.CONTEXT.CREATE("market.7733",A7735,"USD","SOFR")</f>
        <v>QSObject:PricingContext:w1~market.7733:4298</v>
      </c>
      <c r="D7735" s="6" t="str">
        <f>_xll.QS.CONTEXT.ADD.CURVE(C7735,"SOFR",$K$2:$K$7,$L$2:$L$7,,,"Actual360","LogLinear",TRUE)</f>
        <v>QSObject:ContextInput:w1~input.qs_context_add_curve.2359132437744.7734.3.0:32609</v>
      </c>
      <c r="E7735" s="6" t="str">
        <f>_xll.QS.INSTRUMENT.SWAP("swap.7733",H7735,B7735,"USD","SOFR",I7735,J7735,0,"Actual360","Simple","Annual","Annual","Annual")</f>
        <v>QSObject:Swap:w1~swap.7733:4297</v>
      </c>
      <c r="F7735" s="6" t="str">
        <f>_xll.QS.TRADE.CREATE("trade.7733",E7735,A7735,"Receive")</f>
        <v>QSObject:SwapTrade:w1~trade.7733:23954</v>
      </c>
      <c r="G7735" s="3">
        <f>_xll.QS.EVALUATE(C7735,F7735)</f>
        <v>51244.799019514547</v>
      </c>
      <c r="H7735" s="5" t="s">
        <v>7776</v>
      </c>
      <c r="I7735" s="7">
        <v>1773300</v>
      </c>
      <c r="J7735" s="8">
        <v>3.8300000000000001E-2</v>
      </c>
    </row>
    <row r="7736" spans="1:10" x14ac:dyDescent="0.25">
      <c r="A7736" s="5" t="s">
        <v>7770</v>
      </c>
      <c r="B7736" s="5" t="s">
        <v>9603</v>
      </c>
      <c r="C7736" s="6" t="str">
        <f>_xll.QS.CONTEXT.CREATE("market.7734",A7736,"USD","SOFR")</f>
        <v>QSObject:PricingContext:w1~market.7734:4296</v>
      </c>
      <c r="D7736" s="6" t="str">
        <f>_xll.QS.CONTEXT.ADD.CURVE(C7736,"SOFR",$K$2:$K$7,$L$2:$L$7,,,"Actual360","LogLinear",TRUE)</f>
        <v>QSObject:ContextInput:w1~input.qs_context_add_curve.2359132437744.7735.3.0:32608</v>
      </c>
      <c r="E7736" s="6" t="str">
        <f>_xll.QS.INSTRUMENT.SWAP("swap.7734",H7736,B7736,"USD","SOFR",I7736,J7736,0,"Actual360","Simple","Annual","Annual","Annual")</f>
        <v>QSObject:Swap:w1~swap.7734:4295</v>
      </c>
      <c r="F7736" s="6" t="str">
        <f>_xll.QS.TRADE.CREATE("trade.7734",E7736,A7736,"Receive")</f>
        <v>QSObject:SwapTrade:w1~trade.7734:23953</v>
      </c>
      <c r="G7736" s="3">
        <f>_xll.QS.EVALUATE(C7736,F7736)</f>
        <v>52069.845067389309</v>
      </c>
      <c r="H7736" s="5" t="s">
        <v>7777</v>
      </c>
      <c r="I7736" s="7">
        <v>1773400</v>
      </c>
      <c r="J7736" s="8">
        <v>3.8399999999999997E-2</v>
      </c>
    </row>
    <row r="7737" spans="1:10" x14ac:dyDescent="0.25">
      <c r="A7737" s="5" t="s">
        <v>7771</v>
      </c>
      <c r="B7737" s="5" t="s">
        <v>9604</v>
      </c>
      <c r="C7737" s="6" t="str">
        <f>_xll.QS.CONTEXT.CREATE("market.7735",A7737,"USD","SOFR")</f>
        <v>QSObject:PricingContext:w1~market.7735:4294</v>
      </c>
      <c r="D7737" s="6" t="str">
        <f>_xll.QS.CONTEXT.ADD.CURVE(C7737,"SOFR",$K$2:$K$7,$L$2:$L$7,,,"Actual360","LogLinear",TRUE)</f>
        <v>QSObject:ContextInput:w1~input.qs_context_add_curve.2359132437744.7736.3.0:32607</v>
      </c>
      <c r="E7737" s="6" t="str">
        <f>_xll.QS.INSTRUMENT.SWAP("swap.7735",H7737,B7737,"USD","SOFR",I7737,J7737,0,"Actual360","Simple","Annual","Annual","Annual")</f>
        <v>QSObject:Swap:w1~swap.7735:4293</v>
      </c>
      <c r="F7737" s="6" t="str">
        <f>_xll.QS.TRADE.CREATE("trade.7735",E7737,A7737,"Receive")</f>
        <v>QSObject:SwapTrade:w1~trade.7735:23952</v>
      </c>
      <c r="G7737" s="3">
        <f>_xll.QS.EVALUATE(C7737,F7737)</f>
        <v>52966.257103359116</v>
      </c>
      <c r="H7737" s="5" t="s">
        <v>7778</v>
      </c>
      <c r="I7737" s="7">
        <v>1773500</v>
      </c>
      <c r="J7737" s="8">
        <v>3.8500000000000013E-2</v>
      </c>
    </row>
    <row r="7738" spans="1:10" x14ac:dyDescent="0.25">
      <c r="A7738" s="5" t="s">
        <v>7772</v>
      </c>
      <c r="B7738" s="5" t="s">
        <v>9605</v>
      </c>
      <c r="C7738" s="6" t="str">
        <f>_xll.QS.CONTEXT.CREATE("market.7736",A7738,"USD","SOFR")</f>
        <v>QSObject:PricingContext:w1~market.7736:4292</v>
      </c>
      <c r="D7738" s="6" t="str">
        <f>_xll.QS.CONTEXT.ADD.CURVE(C7738,"SOFR",$K$2:$K$7,$L$2:$L$7,,,"Actual360","LogLinear",TRUE)</f>
        <v>QSObject:ContextInput:w1~input.qs_context_add_curve.2359132437744.7737.3.0:32606</v>
      </c>
      <c r="E7738" s="6" t="str">
        <f>_xll.QS.INSTRUMENT.SWAP("swap.7736",H7738,B7738,"USD","SOFR",I7738,J7738,0,"Actual360","Simple","Annual","Annual","Annual")</f>
        <v>QSObject:Swap:w1~swap.7736:4291</v>
      </c>
      <c r="F7738" s="6" t="str">
        <f>_xll.QS.TRADE.CREATE("trade.7736",E7738,A7738,"Receive")</f>
        <v>QSObject:SwapTrade:w1~trade.7736:23951</v>
      </c>
      <c r="G7738" s="3">
        <f>_xll.QS.EVALUATE(C7738,F7738)</f>
        <v>53917.257152921164</v>
      </c>
      <c r="H7738" s="5" t="s">
        <v>7779</v>
      </c>
      <c r="I7738" s="7">
        <v>1773600</v>
      </c>
      <c r="J7738" s="8">
        <v>3.8600000000000002E-2</v>
      </c>
    </row>
    <row r="7739" spans="1:10" x14ac:dyDescent="0.25">
      <c r="A7739" s="5" t="s">
        <v>7773</v>
      </c>
      <c r="B7739" s="5" t="s">
        <v>9606</v>
      </c>
      <c r="C7739" s="6" t="str">
        <f>_xll.QS.CONTEXT.CREATE("market.7737",A7739,"USD","SOFR")</f>
        <v>QSObject:PricingContext:w1~market.7737:4290</v>
      </c>
      <c r="D7739" s="6" t="str">
        <f>_xll.QS.CONTEXT.ADD.CURVE(C7739,"SOFR",$K$2:$K$7,$L$2:$L$7,,,"Actual360","LogLinear",TRUE)</f>
        <v>QSObject:ContextInput:w1~input.qs_context_add_curve.2359132437744.7738.3.0:32605</v>
      </c>
      <c r="E7739" s="6" t="str">
        <f>_xll.QS.INSTRUMENT.SWAP("swap.7737",H7739,B7739,"USD","SOFR",I7739,J7739,0,"Actual360","Simple","Annual","Annual","Annual")</f>
        <v>QSObject:Swap:w1~swap.7737:4289</v>
      </c>
      <c r="F7739" s="6" t="str">
        <f>_xll.QS.TRADE.CREATE("trade.7737",E7739,A7739,"Receive")</f>
        <v>QSObject:SwapTrade:w1~trade.7737:23950</v>
      </c>
      <c r="G7739" s="3">
        <f>_xll.QS.EVALUATE(C7739,F7739)</f>
        <v>54738.337633391682</v>
      </c>
      <c r="H7739" s="5" t="s">
        <v>7780</v>
      </c>
      <c r="I7739" s="7">
        <v>1773700</v>
      </c>
      <c r="J7739" s="8">
        <v>3.8700000000000012E-2</v>
      </c>
    </row>
    <row r="7740" spans="1:10" x14ac:dyDescent="0.25">
      <c r="A7740" s="5" t="s">
        <v>7774</v>
      </c>
      <c r="B7740" s="5" t="s">
        <v>9607</v>
      </c>
      <c r="C7740" s="6" t="str">
        <f>_xll.QS.CONTEXT.CREATE("market.7738",A7740,"USD","SOFR")</f>
        <v>QSObject:PricingContext:w1~market.7738:4288</v>
      </c>
      <c r="D7740" s="6" t="str">
        <f>_xll.QS.CONTEXT.ADD.CURVE(C7740,"SOFR",$K$2:$K$7,$L$2:$L$7,,,"Actual360","LogLinear",TRUE)</f>
        <v>QSObject:ContextInput:w1~input.qs_context_add_curve.2359132437744.7739.3.0:32604</v>
      </c>
      <c r="E7740" s="6" t="str">
        <f>_xll.QS.INSTRUMENT.SWAP("swap.7738",H7740,B7740,"USD","SOFR",I7740,J7740,0,"Actual360","Simple","Annual","Annual","Annual")</f>
        <v>QSObject:Swap:w1~swap.7738:4287</v>
      </c>
      <c r="F7740" s="6" t="str">
        <f>_xll.QS.TRADE.CREATE("trade.7738",E7740,A7740,"Receive")</f>
        <v>QSObject:SwapTrade:w1~trade.7738:23949</v>
      </c>
      <c r="G7740" s="3">
        <f>_xll.QS.EVALUATE(C7740,F7740)</f>
        <v>55569.337238961452</v>
      </c>
      <c r="H7740" s="5" t="s">
        <v>7781</v>
      </c>
      <c r="I7740" s="7">
        <v>1773800</v>
      </c>
      <c r="J7740" s="8">
        <v>3.8800000000000001E-2</v>
      </c>
    </row>
    <row r="7741" spans="1:10" x14ac:dyDescent="0.25">
      <c r="A7741" s="5" t="s">
        <v>7775</v>
      </c>
      <c r="B7741" s="5" t="s">
        <v>9608</v>
      </c>
      <c r="C7741" s="6" t="str">
        <f>_xll.QS.CONTEXT.CREATE("market.7739",A7741,"USD","SOFR")</f>
        <v>QSObject:PricingContext:w1~market.7739:4286</v>
      </c>
      <c r="D7741" s="6" t="str">
        <f>_xll.QS.CONTEXT.ADD.CURVE(C7741,"SOFR",$K$2:$K$7,$L$2:$L$7,,,"Actual360","LogLinear",TRUE)</f>
        <v>QSObject:ContextInput:w1~input.qs_context_add_curve.2359132437744.7740.3.0:32603</v>
      </c>
      <c r="E7741" s="6" t="str">
        <f>_xll.QS.INSTRUMENT.SWAP("swap.7739",H7741,B7741,"USD","SOFR",I7741,J7741,0,"Actual360","Simple","Annual","Annual","Annual")</f>
        <v>QSObject:Swap:w1~swap.7739:4285</v>
      </c>
      <c r="F7741" s="6" t="str">
        <f>_xll.QS.TRADE.CREATE("trade.7739",E7741,A7741,"Receive")</f>
        <v>QSObject:SwapTrade:w1~trade.7739:23948</v>
      </c>
      <c r="G7741" s="3">
        <f>_xll.QS.EVALUATE(C7741,F7741)</f>
        <v>56392.422652088513</v>
      </c>
      <c r="H7741" s="5" t="s">
        <v>7782</v>
      </c>
      <c r="I7741" s="7">
        <v>1773900</v>
      </c>
      <c r="J7741" s="8">
        <v>3.8899999999999997E-2</v>
      </c>
    </row>
    <row r="7742" spans="1:10" x14ac:dyDescent="0.25">
      <c r="A7742" s="5" t="s">
        <v>7776</v>
      </c>
      <c r="B7742" s="5" t="s">
        <v>9609</v>
      </c>
      <c r="C7742" s="6" t="str">
        <f>_xll.QS.CONTEXT.CREATE("market.7740",A7742,"USD","SOFR")</f>
        <v>QSObject:PricingContext:w1~market.7740:4284</v>
      </c>
      <c r="D7742" s="6" t="str">
        <f>_xll.QS.CONTEXT.ADD.CURVE(C7742,"SOFR",$K$2:$K$7,$L$2:$L$7,,,"Actual360","LogLinear",TRUE)</f>
        <v>QSObject:ContextInput:w1~input.qs_context_add_curve.2359132437744.7741.3.0:32602</v>
      </c>
      <c r="E7742" s="6" t="str">
        <f>_xll.QS.INSTRUMENT.SWAP("swap.7740",H7742,B7742,"USD","SOFR",I7742,J7742,0,"Actual360","Simple","Annual","Annual","Annual")</f>
        <v>QSObject:Swap:w1~swap.7740:4283</v>
      </c>
      <c r="F7742" s="6" t="str">
        <f>_xll.QS.TRADE.CREATE("trade.7740",E7742,A7742,"Receive")</f>
        <v>QSObject:SwapTrade:w1~trade.7740:23947</v>
      </c>
      <c r="G7742" s="3">
        <f>_xll.QS.EVALUATE(C7742,F7742)</f>
        <v>56993.175919230125</v>
      </c>
      <c r="H7742" s="5" t="s">
        <v>7783</v>
      </c>
      <c r="I7742" s="7">
        <v>1774000</v>
      </c>
      <c r="J7742" s="8">
        <v>3.9000000000000007E-2</v>
      </c>
    </row>
    <row r="7743" spans="1:10" x14ac:dyDescent="0.25">
      <c r="A7743" s="5" t="s">
        <v>7777</v>
      </c>
      <c r="B7743" s="5" t="s">
        <v>9610</v>
      </c>
      <c r="C7743" s="6" t="str">
        <f>_xll.QS.CONTEXT.CREATE("market.7741",A7743,"USD","SOFR")</f>
        <v>QSObject:PricingContext:w1~market.7741:4282</v>
      </c>
      <c r="D7743" s="6" t="str">
        <f>_xll.QS.CONTEXT.ADD.CURVE(C7743,"SOFR",$K$2:$K$7,$L$2:$L$7,,,"Actual360","LogLinear",TRUE)</f>
        <v>QSObject:ContextInput:w1~input.qs_context_add_curve.2359132437744.7742.3.0:32601</v>
      </c>
      <c r="E7743" s="6" t="str">
        <f>_xll.QS.INSTRUMENT.SWAP("swap.7741",H7743,B7743,"USD","SOFR",I7743,J7743,0,"Actual360","Simple","Annual","Annual","Annual")</f>
        <v>QSObject:Swap:w1~swap.7741:4281</v>
      </c>
      <c r="F7743" s="6" t="str">
        <f>_xll.QS.TRADE.CREATE("trade.7741",E7743,A7743,"Receive")</f>
        <v>QSObject:SwapTrade:w1~trade.7741:23946</v>
      </c>
      <c r="G7743" s="3">
        <f>_xll.QS.EVALUATE(C7743,F7743)</f>
        <v>57819.349818887727</v>
      </c>
      <c r="H7743" s="5" t="s">
        <v>7784</v>
      </c>
      <c r="I7743" s="7">
        <v>1774100</v>
      </c>
      <c r="J7743" s="8">
        <v>3.9100000000000003E-2</v>
      </c>
    </row>
    <row r="7744" spans="1:10" x14ac:dyDescent="0.25">
      <c r="A7744" s="5" t="s">
        <v>7778</v>
      </c>
      <c r="B7744" s="5" t="s">
        <v>9611</v>
      </c>
      <c r="C7744" s="6" t="str">
        <f>_xll.QS.CONTEXT.CREATE("market.7742",A7744,"USD","SOFR")</f>
        <v>QSObject:PricingContext:w1~market.7742:4280</v>
      </c>
      <c r="D7744" s="6" t="str">
        <f>_xll.QS.CONTEXT.ADD.CURVE(C7744,"SOFR",$K$2:$K$7,$L$2:$L$7,,,"Actual360","LogLinear",TRUE)</f>
        <v>QSObject:ContextInput:w1~input.qs_context_add_curve.2359132437744.7743.3.0:32600</v>
      </c>
      <c r="E7744" s="6" t="str">
        <f>_xll.QS.INSTRUMENT.SWAP("swap.7742",H7744,B7744,"USD","SOFR",I7744,J7744,0,"Actual360","Simple","Annual","Annual","Annual")</f>
        <v>QSObject:Swap:w1~swap.7742:4279</v>
      </c>
      <c r="F7744" s="6" t="str">
        <f>_xll.QS.TRADE.CREATE("trade.7742",E7744,A7744,"Receive")</f>
        <v>QSObject:SwapTrade:w1~trade.7742:23945</v>
      </c>
      <c r="G7744" s="3">
        <f>_xll.QS.EVALUATE(C7744,F7744)</f>
        <v>58716.997916722648</v>
      </c>
      <c r="H7744" s="5" t="s">
        <v>7785</v>
      </c>
      <c r="I7744" s="7">
        <v>1774200</v>
      </c>
      <c r="J7744" s="8">
        <v>3.9200000000000013E-2</v>
      </c>
    </row>
    <row r="7745" spans="1:10" x14ac:dyDescent="0.25">
      <c r="A7745" s="5" t="s">
        <v>7779</v>
      </c>
      <c r="B7745" s="5" t="s">
        <v>9612</v>
      </c>
      <c r="C7745" s="6" t="str">
        <f>_xll.QS.CONTEXT.CREATE("market.7743",A7745,"USD","SOFR")</f>
        <v>QSObject:PricingContext:w1~market.7743:4278</v>
      </c>
      <c r="D7745" s="6" t="str">
        <f>_xll.QS.CONTEXT.ADD.CURVE(C7745,"SOFR",$K$2:$K$7,$L$2:$L$7,,,"Actual360","LogLinear",TRUE)</f>
        <v>QSObject:ContextInput:w1~input.qs_context_add_curve.2359132437744.7744.3.0:32599</v>
      </c>
      <c r="E7745" s="6" t="str">
        <f>_xll.QS.INSTRUMENT.SWAP("swap.7743",H7745,B7745,"USD","SOFR",I7745,J7745,0,"Actual360","Simple","Annual","Annual","Annual")</f>
        <v>QSObject:Swap:w1~swap.7743:4277</v>
      </c>
      <c r="F7745" s="6" t="str">
        <f>_xll.QS.TRADE.CREATE("trade.7743",E7745,A7745,"Receive")</f>
        <v>QSObject:SwapTrade:w1~trade.7743:23944</v>
      </c>
      <c r="G7745" s="3">
        <f>_xll.QS.EVALUATE(C7745,F7745)</f>
        <v>59668.780143508724</v>
      </c>
      <c r="H7745" s="5" t="s">
        <v>7786</v>
      </c>
      <c r="I7745" s="7">
        <v>1774300</v>
      </c>
      <c r="J7745" s="8">
        <v>3.9300000000000002E-2</v>
      </c>
    </row>
    <row r="7746" spans="1:10" x14ac:dyDescent="0.25">
      <c r="A7746" s="5" t="s">
        <v>7780</v>
      </c>
      <c r="B7746" s="5" t="s">
        <v>9613</v>
      </c>
      <c r="C7746" s="6" t="str">
        <f>_xll.QS.CONTEXT.CREATE("market.7744",A7746,"USD","SOFR")</f>
        <v>QSObject:PricingContext:w1~market.7744:4276</v>
      </c>
      <c r="D7746" s="6" t="str">
        <f>_xll.QS.CONTEXT.ADD.CURVE(C7746,"SOFR",$K$2:$K$7,$L$2:$L$7,,,"Actual360","LogLinear",TRUE)</f>
        <v>QSObject:ContextInput:w1~input.qs_context_add_curve.2359132437744.7745.3.0:32598</v>
      </c>
      <c r="E7746" s="6" t="str">
        <f>_xll.QS.INSTRUMENT.SWAP("swap.7744",H7746,B7746,"USD","SOFR",I7746,J7746,0,"Actual360","Simple","Annual","Annual","Annual")</f>
        <v>QSObject:Swap:w1~swap.7744:4275</v>
      </c>
      <c r="F7746" s="6" t="str">
        <f>_xll.QS.TRADE.CREATE("trade.7744",E7746,A7746,"Receive")</f>
        <v>QSObject:SwapTrade:w1~trade.7744:23943</v>
      </c>
      <c r="G7746" s="3">
        <f>_xll.QS.EVALUATE(C7746,F7746)</f>
        <v>60490.495134169476</v>
      </c>
      <c r="H7746" s="5" t="s">
        <v>7787</v>
      </c>
      <c r="I7746" s="7">
        <v>1774400</v>
      </c>
      <c r="J7746" s="8">
        <v>3.9399999999999998E-2</v>
      </c>
    </row>
    <row r="7747" spans="1:10" x14ac:dyDescent="0.25">
      <c r="A7747" s="5" t="s">
        <v>7781</v>
      </c>
      <c r="B7747" s="5" t="s">
        <v>9614</v>
      </c>
      <c r="C7747" s="6" t="str">
        <f>_xll.QS.CONTEXT.CREATE("market.7745",A7747,"USD","SOFR")</f>
        <v>QSObject:PricingContext:w1~market.7745:4274</v>
      </c>
      <c r="D7747" s="6" t="str">
        <f>_xll.QS.CONTEXT.ADD.CURVE(C7747,"SOFR",$K$2:$K$7,$L$2:$L$7,,,"Actual360","LogLinear",TRUE)</f>
        <v>QSObject:ContextInput:w1~input.qs_context_add_curve.2359132437744.7746.3.0:32597</v>
      </c>
      <c r="E7747" s="6" t="str">
        <f>_xll.QS.INSTRUMENT.SWAP("swap.7745",H7747,B7747,"USD","SOFR",I7747,J7747,0,"Actual360","Simple","Annual","Annual","Annual")</f>
        <v>QSObject:Swap:w1~swap.7745:4273</v>
      </c>
      <c r="F7747" s="6" t="str">
        <f>_xll.QS.TRADE.CREATE("trade.7745",E7747,A7747,"Receive")</f>
        <v>QSObject:SwapTrade:w1~trade.7745:23942</v>
      </c>
      <c r="G7747" s="3">
        <f>_xll.QS.EVALUATE(C7747,F7747)</f>
        <v>61322.160399382665</v>
      </c>
      <c r="H7747" s="5" t="s">
        <v>7788</v>
      </c>
      <c r="I7747" s="7">
        <v>1774500</v>
      </c>
      <c r="J7747" s="8">
        <v>3.9500000000000007E-2</v>
      </c>
    </row>
    <row r="7748" spans="1:10" x14ac:dyDescent="0.25">
      <c r="A7748" s="5" t="s">
        <v>7782</v>
      </c>
      <c r="B7748" s="5" t="s">
        <v>9615</v>
      </c>
      <c r="C7748" s="6" t="str">
        <f>_xll.QS.CONTEXT.CREATE("market.7746",A7748,"USD","SOFR")</f>
        <v>QSObject:PricingContext:w1~market.7746:4272</v>
      </c>
      <c r="D7748" s="6" t="str">
        <f>_xll.QS.CONTEXT.ADD.CURVE(C7748,"SOFR",$K$2:$K$7,$L$2:$L$7,,,"Actual360","LogLinear",TRUE)</f>
        <v>QSObject:ContextInput:w1~input.qs_context_add_curve.2359132437744.7747.3.0:32596</v>
      </c>
      <c r="E7748" s="6" t="str">
        <f>_xll.QS.INSTRUMENT.SWAP("swap.7746",H7748,B7748,"USD","SOFR",I7748,J7748,0,"Actual360","Simple","Annual","Annual","Annual")</f>
        <v>QSObject:Swap:w1~swap.7746:4271</v>
      </c>
      <c r="F7748" s="6" t="str">
        <f>_xll.QS.TRADE.CREATE("trade.7746",E7748,A7748,"Receive")</f>
        <v>QSObject:SwapTrade:w1~trade.7746:23941</v>
      </c>
      <c r="G7748" s="3">
        <f>_xll.QS.EVALUATE(C7748,F7748)</f>
        <v>62035.379361038795</v>
      </c>
      <c r="H7748" s="5" t="s">
        <v>7789</v>
      </c>
      <c r="I7748" s="7">
        <v>1774600</v>
      </c>
      <c r="J7748" s="8">
        <v>3.9600000000000003E-2</v>
      </c>
    </row>
    <row r="7749" spans="1:10" x14ac:dyDescent="0.25">
      <c r="A7749" s="5" t="s">
        <v>7783</v>
      </c>
      <c r="B7749" s="5" t="s">
        <v>9616</v>
      </c>
      <c r="C7749" s="6" t="str">
        <f>_xll.QS.CONTEXT.CREATE("market.7747",A7749,"USD","SOFR")</f>
        <v>QSObject:PricingContext:w1~market.7747:4270</v>
      </c>
      <c r="D7749" s="6" t="str">
        <f>_xll.QS.CONTEXT.ADD.CURVE(C7749,"SOFR",$K$2:$K$7,$L$2:$L$7,,,"Actual360","LogLinear",TRUE)</f>
        <v>QSObject:ContextInput:w1~input.qs_context_add_curve.2359132437744.7748.3.0:32595</v>
      </c>
      <c r="E7749" s="6" t="str">
        <f>_xll.QS.INSTRUMENT.SWAP("swap.7747",H7749,B7749,"USD","SOFR",I7749,J7749,0,"Actual360","Simple","Annual","Annual","Annual")</f>
        <v>QSObject:Swap:w1~swap.7747:4269</v>
      </c>
      <c r="F7749" s="6" t="str">
        <f>_xll.QS.TRADE.CREATE("trade.7747",E7749,A7749,"Receive")</f>
        <v>QSObject:SwapTrade:w1~trade.7747:23940</v>
      </c>
      <c r="G7749" s="3">
        <f>_xll.QS.EVALUATE(C7749,F7749)</f>
        <v>62746.073341850846</v>
      </c>
      <c r="H7749" s="5" t="s">
        <v>7790</v>
      </c>
      <c r="I7749" s="7">
        <v>1774700</v>
      </c>
      <c r="J7749" s="8">
        <v>3.9700000000000013E-2</v>
      </c>
    </row>
    <row r="7750" spans="1:10" x14ac:dyDescent="0.25">
      <c r="A7750" s="5" t="s">
        <v>7784</v>
      </c>
      <c r="B7750" s="5" t="s">
        <v>9617</v>
      </c>
      <c r="C7750" s="6" t="str">
        <f>_xll.QS.CONTEXT.CREATE("market.7748",A7750,"USD","SOFR")</f>
        <v>QSObject:PricingContext:w1~market.7748:4268</v>
      </c>
      <c r="D7750" s="6" t="str">
        <f>_xll.QS.CONTEXT.ADD.CURVE(C7750,"SOFR",$K$2:$K$7,$L$2:$L$7,,,"Actual360","LogLinear",TRUE)</f>
        <v>QSObject:ContextInput:w1~input.qs_context_add_curve.2359132437744.7749.3.0:32594</v>
      </c>
      <c r="E7750" s="6" t="str">
        <f>_xll.QS.INSTRUMENT.SWAP("swap.7748",H7750,B7750,"USD","SOFR",I7750,J7750,0,"Actual360","Simple","Annual","Annual","Annual")</f>
        <v>QSObject:Swap:w1~swap.7748:4267</v>
      </c>
      <c r="F7750" s="6" t="str">
        <f>_xll.QS.TRADE.CREATE("trade.7748",E7750,A7750,"Receive")</f>
        <v>QSObject:SwapTrade:w1~trade.7748:23939</v>
      </c>
      <c r="G7750" s="3">
        <f>_xll.QS.EVALUATE(C7750,F7750)</f>
        <v>63573.375472417261</v>
      </c>
      <c r="H7750" s="5" t="s">
        <v>7791</v>
      </c>
      <c r="I7750" s="7">
        <v>1774800</v>
      </c>
      <c r="J7750" s="8">
        <v>3.9800000000000002E-2</v>
      </c>
    </row>
    <row r="7751" spans="1:10" x14ac:dyDescent="0.25">
      <c r="A7751" s="5" t="s">
        <v>7785</v>
      </c>
      <c r="B7751" s="5" t="s">
        <v>9618</v>
      </c>
      <c r="C7751" s="6" t="str">
        <f>_xll.QS.CONTEXT.CREATE("market.7749",A7751,"USD","SOFR")</f>
        <v>QSObject:PricingContext:w1~market.7749:4266</v>
      </c>
      <c r="D7751" s="6" t="str">
        <f>_xll.QS.CONTEXT.ADD.CURVE(C7751,"SOFR",$K$2:$K$7,$L$2:$L$7,,,"Actual360","LogLinear",TRUE)</f>
        <v>QSObject:ContextInput:w1~input.qs_context_add_curve.2359132437744.7750.3.0:32593</v>
      </c>
      <c r="E7751" s="6" t="str">
        <f>_xll.QS.INSTRUMENT.SWAP("swap.7749",H7751,B7751,"USD","SOFR",I7751,J7751,0,"Actual360","Simple","Annual","Annual","Annual")</f>
        <v>QSObject:Swap:w1~swap.7749:4265</v>
      </c>
      <c r="F7751" s="6" t="str">
        <f>_xll.QS.TRADE.CREATE("trade.7749",E7751,A7751,"Receive")</f>
        <v>QSObject:SwapTrade:w1~trade.7749:23938</v>
      </c>
      <c r="G7751" s="3">
        <f>_xll.QS.EVALUATE(C7751,F7751)</f>
        <v>64668.944205267246</v>
      </c>
      <c r="H7751" s="5" t="s">
        <v>7792</v>
      </c>
      <c r="I7751" s="7">
        <v>1774900</v>
      </c>
      <c r="J7751" s="8">
        <v>3.9899999999999998E-2</v>
      </c>
    </row>
    <row r="7752" spans="1:10" x14ac:dyDescent="0.25">
      <c r="A7752" s="5" t="s">
        <v>7786</v>
      </c>
      <c r="B7752" s="5" t="s">
        <v>9619</v>
      </c>
      <c r="C7752" s="6" t="str">
        <f>_xll.QS.CONTEXT.CREATE("market.7750",A7752,"USD","SOFR")</f>
        <v>QSObject:PricingContext:w1~market.7750:4264</v>
      </c>
      <c r="D7752" s="6" t="str">
        <f>_xll.QS.CONTEXT.ADD.CURVE(C7752,"SOFR",$K$2:$K$7,$L$2:$L$7,,,"Actual360","LogLinear",TRUE)</f>
        <v>QSObject:ContextInput:w1~input.qs_context_add_curve.2359132437744.7751.3.0:32592</v>
      </c>
      <c r="E7752" s="6" t="str">
        <f>_xll.QS.INSTRUMENT.SWAP("swap.7750",H7752,B7752,"USD","SOFR",I7752,J7752,0,"Actual360","Simple","Annual","Annual","Annual")</f>
        <v>QSObject:Swap:w1~swap.7750:4263</v>
      </c>
      <c r="F7752" s="6" t="str">
        <f>_xll.QS.TRADE.CREATE("trade.7750",E7752,A7752,"Receive")</f>
        <v>QSObject:SwapTrade:w1~trade.7750:23937</v>
      </c>
      <c r="G7752" s="3">
        <f>_xll.QS.EVALUATE(C7752,F7752)</f>
        <v>24543.748601322935</v>
      </c>
      <c r="H7752" s="5" t="s">
        <v>7793</v>
      </c>
      <c r="I7752" s="7">
        <v>1775000</v>
      </c>
      <c r="J7752" s="8">
        <v>3.5000000000000003E-2</v>
      </c>
    </row>
    <row r="7753" spans="1:10" x14ac:dyDescent="0.25">
      <c r="A7753" s="5" t="s">
        <v>7787</v>
      </c>
      <c r="B7753" s="5" t="s">
        <v>9620</v>
      </c>
      <c r="C7753" s="6" t="str">
        <f>_xll.QS.CONTEXT.CREATE("market.7751",A7753,"USD","SOFR")</f>
        <v>QSObject:PricingContext:w1~market.7751:4262</v>
      </c>
      <c r="D7753" s="6" t="str">
        <f>_xll.QS.CONTEXT.ADD.CURVE(C7753,"SOFR",$K$2:$K$7,$L$2:$L$7,,,"Actual360","LogLinear",TRUE)</f>
        <v>QSObject:ContextInput:w1~input.qs_context_add_curve.2359132437744.7752.3.0:32591</v>
      </c>
      <c r="E7753" s="6" t="str">
        <f>_xll.QS.INSTRUMENT.SWAP("swap.7751",H7753,B7753,"USD","SOFR",I7753,J7753,0,"Actual360","Simple","Annual","Annual","Annual")</f>
        <v>QSObject:Swap:w1~swap.7751:4261</v>
      </c>
      <c r="F7753" s="6" t="str">
        <f>_xll.QS.TRADE.CREATE("trade.7751",E7753,A7753,"Receive")</f>
        <v>QSObject:SwapTrade:w1~trade.7751:23936</v>
      </c>
      <c r="G7753" s="3">
        <f>_xll.QS.EVALUATE(C7753,F7753)</f>
        <v>25370.702536725832</v>
      </c>
      <c r="H7753" s="5" t="s">
        <v>7794</v>
      </c>
      <c r="I7753" s="7">
        <v>1775100</v>
      </c>
      <c r="J7753" s="8">
        <v>3.5100000000000013E-2</v>
      </c>
    </row>
    <row r="7754" spans="1:10" x14ac:dyDescent="0.25">
      <c r="A7754" s="5" t="s">
        <v>7788</v>
      </c>
      <c r="B7754" s="5" t="s">
        <v>9621</v>
      </c>
      <c r="C7754" s="6" t="str">
        <f>_xll.QS.CONTEXT.CREATE("market.7752",A7754,"USD","SOFR")</f>
        <v>QSObject:PricingContext:w1~market.7752:4260</v>
      </c>
      <c r="D7754" s="6" t="str">
        <f>_xll.QS.CONTEXT.ADD.CURVE(C7754,"SOFR",$K$2:$K$7,$L$2:$L$7,,,"Actual360","LogLinear",TRUE)</f>
        <v>QSObject:ContextInput:w1~input.qs_context_add_curve.2359132437744.7753.3.0:32590</v>
      </c>
      <c r="E7754" s="6" t="str">
        <f>_xll.QS.INSTRUMENT.SWAP("swap.7752",H7754,B7754,"USD","SOFR",I7754,J7754,0,"Actual360","Simple","Annual","Annual","Annual")</f>
        <v>QSObject:Swap:w1~swap.7752:4259</v>
      </c>
      <c r="F7754" s="6" t="str">
        <f>_xll.QS.TRADE.CREATE("trade.7752",E7754,A7754,"Receive")</f>
        <v>QSObject:SwapTrade:w1~trade.7752:23935</v>
      </c>
      <c r="G7754" s="3">
        <f>_xll.QS.EVALUATE(C7754,F7754)</f>
        <v>26129.493295077678</v>
      </c>
      <c r="H7754" s="5" t="s">
        <v>7795</v>
      </c>
      <c r="I7754" s="7">
        <v>1775200</v>
      </c>
      <c r="J7754" s="8">
        <v>3.5200000000000002E-2</v>
      </c>
    </row>
    <row r="7755" spans="1:10" x14ac:dyDescent="0.25">
      <c r="A7755" s="5" t="s">
        <v>7789</v>
      </c>
      <c r="B7755" s="5" t="s">
        <v>9622</v>
      </c>
      <c r="C7755" s="6" t="str">
        <f>_xll.QS.CONTEXT.CREATE("market.7753",A7755,"USD","SOFR")</f>
        <v>QSObject:PricingContext:w1~market.7753:4258</v>
      </c>
      <c r="D7755" s="6" t="str">
        <f>_xll.QS.CONTEXT.ADD.CURVE(C7755,"SOFR",$K$2:$K$7,$L$2:$L$7,,,"Actual360","LogLinear",TRUE)</f>
        <v>QSObject:ContextInput:w1~input.qs_context_add_curve.2359132437744.7754.3.0:32589</v>
      </c>
      <c r="E7755" s="6" t="str">
        <f>_xll.QS.INSTRUMENT.SWAP("swap.7753",H7755,B7755,"USD","SOFR",I7755,J7755,0,"Actual360","Simple","Annual","Annual","Annual")</f>
        <v>QSObject:Swap:w1~swap.7753:4257</v>
      </c>
      <c r="F7755" s="6" t="str">
        <f>_xll.QS.TRADE.CREATE("trade.7753",E7755,A7755,"Receive")</f>
        <v>QSObject:SwapTrade:w1~trade.7753:23934</v>
      </c>
      <c r="G7755" s="3">
        <f>_xll.QS.EVALUATE(C7755,F7755)</f>
        <v>26949.979150306273</v>
      </c>
      <c r="H7755" s="5" t="s">
        <v>7796</v>
      </c>
      <c r="I7755" s="7">
        <v>1775300</v>
      </c>
      <c r="J7755" s="8">
        <v>3.5299999999999998E-2</v>
      </c>
    </row>
    <row r="7756" spans="1:10" x14ac:dyDescent="0.25">
      <c r="A7756" s="5" t="s">
        <v>7790</v>
      </c>
      <c r="B7756" s="5" t="s">
        <v>9623</v>
      </c>
      <c r="C7756" s="6" t="str">
        <f>_xll.QS.CONTEXT.CREATE("market.7754",A7756,"USD","SOFR")</f>
        <v>QSObject:PricingContext:w1~market.7754:4256</v>
      </c>
      <c r="D7756" s="6" t="str">
        <f>_xll.QS.CONTEXT.ADD.CURVE(C7756,"SOFR",$K$2:$K$7,$L$2:$L$7,,,"Actual360","LogLinear",TRUE)</f>
        <v>QSObject:ContextInput:w1~input.qs_context_add_curve.2359132437744.7755.3.0:32588</v>
      </c>
      <c r="E7756" s="6" t="str">
        <f>_xll.QS.INSTRUMENT.SWAP("swap.7754",H7756,B7756,"USD","SOFR",I7756,J7756,0,"Actual360","Simple","Annual","Annual","Annual")</f>
        <v>QSObject:Swap:w1~swap.7754:4255</v>
      </c>
      <c r="F7756" s="6" t="str">
        <f>_xll.QS.TRADE.CREATE("trade.7754",E7756,A7756,"Receive")</f>
        <v>QSObject:SwapTrade:w1~trade.7754:23933</v>
      </c>
      <c r="G7756" s="3">
        <f>_xll.QS.EVALUATE(C7756,F7756)</f>
        <v>27555.470981565704</v>
      </c>
      <c r="H7756" s="5" t="s">
        <v>7797</v>
      </c>
      <c r="I7756" s="7">
        <v>1775400</v>
      </c>
      <c r="J7756" s="8">
        <v>3.5400000000000001E-2</v>
      </c>
    </row>
    <row r="7757" spans="1:10" x14ac:dyDescent="0.25">
      <c r="A7757" s="5" t="s">
        <v>7791</v>
      </c>
      <c r="B7757" s="5" t="s">
        <v>9624</v>
      </c>
      <c r="C7757" s="6" t="str">
        <f>_xll.QS.CONTEXT.CREATE("market.7755",A7757,"USD","SOFR")</f>
        <v>QSObject:PricingContext:w1~market.7755:4254</v>
      </c>
      <c r="D7757" s="6" t="str">
        <f>_xll.QS.CONTEXT.ADD.CURVE(C7757,"SOFR",$K$2:$K$7,$L$2:$L$7,,,"Actual360","LogLinear",TRUE)</f>
        <v>QSObject:ContextInput:w1~input.qs_context_add_curve.2359132437744.7756.3.0:32587</v>
      </c>
      <c r="E7757" s="6" t="str">
        <f>_xll.QS.INSTRUMENT.SWAP("swap.7755",H7757,B7757,"USD","SOFR",I7757,J7757,0,"Actual360","Simple","Annual","Annual","Annual")</f>
        <v>QSObject:Swap:w1~swap.7755:4253</v>
      </c>
      <c r="F7757" s="6" t="str">
        <f>_xll.QS.TRADE.CREATE("trade.7755",E7757,A7757,"Receive")</f>
        <v>QSObject:SwapTrade:w1~trade.7755:23932</v>
      </c>
      <c r="G7757" s="3">
        <f>_xll.QS.EVALUATE(C7757,F7757)</f>
        <v>28377.960193385072</v>
      </c>
      <c r="H7757" s="5" t="s">
        <v>7798</v>
      </c>
      <c r="I7757" s="7">
        <v>1775500</v>
      </c>
      <c r="J7757" s="8">
        <v>3.5499999999999997E-2</v>
      </c>
    </row>
    <row r="7758" spans="1:10" x14ac:dyDescent="0.25">
      <c r="A7758" s="5" t="s">
        <v>7792</v>
      </c>
      <c r="B7758" s="5" t="s">
        <v>9625</v>
      </c>
      <c r="C7758" s="6" t="str">
        <f>_xll.QS.CONTEXT.CREATE("market.7756",A7758,"USD","SOFR")</f>
        <v>QSObject:PricingContext:w1~market.7756:4252</v>
      </c>
      <c r="D7758" s="6" t="str">
        <f>_xll.QS.CONTEXT.ADD.CURVE(C7758,"SOFR",$K$2:$K$7,$L$2:$L$7,,,"Actual360","LogLinear",TRUE)</f>
        <v>QSObject:ContextInput:w1~input.qs_context_add_curve.2359132437744.7757.3.0:32586</v>
      </c>
      <c r="E7758" s="6" t="str">
        <f>_xll.QS.INSTRUMENT.SWAP("swap.7756",H7758,B7758,"USD","SOFR",I7758,J7758,0,"Actual360","Simple","Annual","Annual","Annual")</f>
        <v>QSObject:Swap:w1~swap.7756:4251</v>
      </c>
      <c r="F7758" s="6" t="str">
        <f>_xll.QS.TRADE.CREATE("trade.7756",E7758,A7758,"Receive")</f>
        <v>QSObject:SwapTrade:w1~trade.7756:23931</v>
      </c>
      <c r="G7758" s="3">
        <f>_xll.QS.EVALUATE(C7758,F7758)</f>
        <v>29271.040530470062</v>
      </c>
      <c r="H7758" s="5" t="s">
        <v>7799</v>
      </c>
      <c r="I7758" s="7">
        <v>1775600</v>
      </c>
      <c r="J7758" s="8">
        <v>3.5600000000000007E-2</v>
      </c>
    </row>
    <row r="7759" spans="1:10" x14ac:dyDescent="0.25">
      <c r="A7759" s="5" t="s">
        <v>7793</v>
      </c>
      <c r="B7759" s="5" t="s">
        <v>9626</v>
      </c>
      <c r="C7759" s="6" t="str">
        <f>_xll.QS.CONTEXT.CREATE("market.7757",A7759,"USD","SOFR")</f>
        <v>QSObject:PricingContext:w1~market.7757:4250</v>
      </c>
      <c r="D7759" s="6" t="str">
        <f>_xll.QS.CONTEXT.ADD.CURVE(C7759,"SOFR",$K$2:$K$7,$L$2:$L$7,,,"Actual360","LogLinear",TRUE)</f>
        <v>QSObject:ContextInput:w1~input.qs_context_add_curve.2359132437744.7758.3.0:32585</v>
      </c>
      <c r="E7759" s="6" t="str">
        <f>_xll.QS.INSTRUMENT.SWAP("swap.7757",H7759,B7759,"USD","SOFR",I7759,J7759,0,"Actual360","Simple","Annual","Annual","Annual")</f>
        <v>QSObject:Swap:w1~swap.7757:4249</v>
      </c>
      <c r="F7759" s="6" t="str">
        <f>_xll.QS.TRADE.CREATE("trade.7757",E7759,A7759,"Receive")</f>
        <v>QSObject:SwapTrade:w1~trade.7757:23930</v>
      </c>
      <c r="G7759" s="3">
        <f>_xll.QS.EVALUATE(C7759,F7759)</f>
        <v>30222.185412108105</v>
      </c>
      <c r="H7759" s="5" t="s">
        <v>7800</v>
      </c>
      <c r="I7759" s="7">
        <v>1775700</v>
      </c>
      <c r="J7759" s="8">
        <v>3.5700000000000003E-2</v>
      </c>
    </row>
    <row r="7760" spans="1:10" x14ac:dyDescent="0.25">
      <c r="A7760" s="5" t="s">
        <v>7794</v>
      </c>
      <c r="B7760" s="5" t="s">
        <v>9627</v>
      </c>
      <c r="C7760" s="6" t="str">
        <f>_xll.QS.CONTEXT.CREATE("market.7758",A7760,"USD","SOFR")</f>
        <v>QSObject:PricingContext:w1~market.7758:4248</v>
      </c>
      <c r="D7760" s="6" t="str">
        <f>_xll.QS.CONTEXT.ADD.CURVE(C7760,"SOFR",$K$2:$K$7,$L$2:$L$7,,,"Actual360","LogLinear",TRUE)</f>
        <v>QSObject:ContextInput:w1~input.qs_context_add_curve.2359132437744.7759.3.0:32584</v>
      </c>
      <c r="E7760" s="6" t="str">
        <f>_xll.QS.INSTRUMENT.SWAP("swap.7758",H7760,B7760,"USD","SOFR",I7760,J7760,0,"Actual360","Simple","Annual","Annual","Annual")</f>
        <v>QSObject:Swap:w1~swap.7758:4247</v>
      </c>
      <c r="F7760" s="6" t="str">
        <f>_xll.QS.TRADE.CREATE("trade.7758",E7760,A7760,"Receive")</f>
        <v>QSObject:SwapTrade:w1~trade.7758:23929</v>
      </c>
      <c r="G7760" s="3">
        <f>_xll.QS.EVALUATE(C7760,F7760)</f>
        <v>31043.170544661145</v>
      </c>
      <c r="H7760" s="5" t="s">
        <v>7801</v>
      </c>
      <c r="I7760" s="7">
        <v>1775800</v>
      </c>
      <c r="J7760" s="8">
        <v>3.5800000000000012E-2</v>
      </c>
    </row>
    <row r="7761" spans="1:10" x14ac:dyDescent="0.25">
      <c r="A7761" s="5" t="s">
        <v>7795</v>
      </c>
      <c r="B7761" s="5" t="s">
        <v>9628</v>
      </c>
      <c r="C7761" s="6" t="str">
        <f>_xll.QS.CONTEXT.CREATE("market.7759",A7761,"USD","SOFR")</f>
        <v>QSObject:PricingContext:w1~market.7759:4246</v>
      </c>
      <c r="D7761" s="6" t="str">
        <f>_xll.QS.CONTEXT.ADD.CURVE(C7761,"SOFR",$K$2:$K$7,$L$2:$L$7,,,"Actual360","LogLinear",TRUE)</f>
        <v>QSObject:ContextInput:w1~input.qs_context_add_curve.2359132437744.7760.3.0:32583</v>
      </c>
      <c r="E7761" s="6" t="str">
        <f>_xll.QS.INSTRUMENT.SWAP("swap.7759",H7761,B7761,"USD","SOFR",I7761,J7761,0,"Actual360","Simple","Annual","Annual","Annual")</f>
        <v>QSObject:Swap:w1~swap.7759:4245</v>
      </c>
      <c r="F7761" s="6" t="str">
        <f>_xll.QS.TRADE.CREATE("trade.7759",E7761,A7761,"Receive")</f>
        <v>QSObject:SwapTrade:w1~trade.7759:23928</v>
      </c>
      <c r="G7761" s="3">
        <f>_xll.QS.EVALUATE(C7761,F7761)</f>
        <v>31875.606097644915</v>
      </c>
      <c r="H7761" s="5" t="s">
        <v>7802</v>
      </c>
      <c r="I7761" s="7">
        <v>1775900</v>
      </c>
      <c r="J7761" s="8">
        <v>3.5900000000000001E-2</v>
      </c>
    </row>
    <row r="7762" spans="1:10" x14ac:dyDescent="0.25">
      <c r="A7762" s="5" t="s">
        <v>7796</v>
      </c>
      <c r="B7762" s="5" t="s">
        <v>9629</v>
      </c>
      <c r="C7762" s="6" t="str">
        <f>_xll.QS.CONTEXT.CREATE("market.7760",A7762,"USD","SOFR")</f>
        <v>QSObject:PricingContext:w1~market.7760:4244</v>
      </c>
      <c r="D7762" s="6" t="str">
        <f>_xll.QS.CONTEXT.ADD.CURVE(C7762,"SOFR",$K$2:$K$7,$L$2:$L$7,,,"Actual360","LogLinear",TRUE)</f>
        <v>QSObject:ContextInput:w1~input.qs_context_add_curve.2359132437744.7761.3.0:32582</v>
      </c>
      <c r="E7762" s="6" t="str">
        <f>_xll.QS.INSTRUMENT.SWAP("swap.7760",H7762,B7762,"USD","SOFR",I7762,J7762,0,"Actual360","Simple","Annual","Annual","Annual")</f>
        <v>QSObject:Swap:w1~swap.7760:4243</v>
      </c>
      <c r="F7762" s="6" t="str">
        <f>_xll.QS.TRADE.CREATE("trade.7760",E7762,A7762,"Receive")</f>
        <v>QSObject:SwapTrade:w1~trade.7760:23927</v>
      </c>
      <c r="G7762" s="3">
        <f>_xll.QS.EVALUATE(C7762,F7762)</f>
        <v>32696.896209008868</v>
      </c>
      <c r="H7762" s="5" t="s">
        <v>7803</v>
      </c>
      <c r="I7762" s="7">
        <v>1776000</v>
      </c>
      <c r="J7762" s="8">
        <v>3.5999999999999997E-2</v>
      </c>
    </row>
    <row r="7763" spans="1:10" x14ac:dyDescent="0.25">
      <c r="A7763" s="5" t="s">
        <v>7797</v>
      </c>
      <c r="B7763" s="5" t="s">
        <v>9630</v>
      </c>
      <c r="C7763" s="6" t="str">
        <f>_xll.QS.CONTEXT.CREATE("market.7761",A7763,"USD","SOFR")</f>
        <v>QSObject:PricingContext:w1~market.7761:4242</v>
      </c>
      <c r="D7763" s="6" t="str">
        <f>_xll.QS.CONTEXT.ADD.CURVE(C7763,"SOFR",$K$2:$K$7,$L$2:$L$7,,,"Actual360","LogLinear",TRUE)</f>
        <v>QSObject:ContextInput:w1~input.qs_context_add_curve.2359132437744.7762.3.0:32581</v>
      </c>
      <c r="E7763" s="6" t="str">
        <f>_xll.QS.INSTRUMENT.SWAP("swap.7761",H7763,B7763,"USD","SOFR",I7763,J7763,0,"Actual360","Simple","Annual","Annual","Annual")</f>
        <v>QSObject:Swap:w1~swap.7761:4241</v>
      </c>
      <c r="F7763" s="6" t="str">
        <f>_xll.QS.TRADE.CREATE("trade.7761",E7763,A7763,"Receive")</f>
        <v>QSObject:SwapTrade:w1~trade.7761:23926</v>
      </c>
      <c r="G7763" s="3">
        <f>_xll.QS.EVALUATE(C7763,F7763)</f>
        <v>33301.799778114611</v>
      </c>
      <c r="H7763" s="5" t="s">
        <v>7804</v>
      </c>
      <c r="I7763" s="7">
        <v>1776100</v>
      </c>
      <c r="J7763" s="8">
        <v>3.61E-2</v>
      </c>
    </row>
    <row r="7764" spans="1:10" x14ac:dyDescent="0.25">
      <c r="A7764" s="5" t="s">
        <v>7798</v>
      </c>
      <c r="B7764" s="5" t="s">
        <v>9631</v>
      </c>
      <c r="C7764" s="6" t="str">
        <f>_xll.QS.CONTEXT.CREATE("market.7762",A7764,"USD","SOFR")</f>
        <v>QSObject:PricingContext:w1~market.7762:4240</v>
      </c>
      <c r="D7764" s="6" t="str">
        <f>_xll.QS.CONTEXT.ADD.CURVE(C7764,"SOFR",$K$2:$K$7,$L$2:$L$7,,,"Actual360","LogLinear",TRUE)</f>
        <v>QSObject:ContextInput:w1~input.qs_context_add_curve.2359132437744.7763.3.0:32580</v>
      </c>
      <c r="E7764" s="6" t="str">
        <f>_xll.QS.INSTRUMENT.SWAP("swap.7762",H7764,B7764,"USD","SOFR",I7764,J7764,0,"Actual360","Simple","Annual","Annual","Annual")</f>
        <v>QSObject:Swap:w1~swap.7762:4239</v>
      </c>
      <c r="F7764" s="6" t="str">
        <f>_xll.QS.TRADE.CREATE("trade.7762",E7764,A7764,"Receive")</f>
        <v>QSObject:SwapTrade:w1~trade.7762:23925</v>
      </c>
      <c r="G7764" s="3">
        <f>_xll.QS.EVALUATE(C7764,F7764)</f>
        <v>34125.967542935345</v>
      </c>
      <c r="H7764" s="5" t="s">
        <v>7805</v>
      </c>
      <c r="I7764" s="7">
        <v>1776200</v>
      </c>
      <c r="J7764" s="8">
        <v>3.6200000000000003E-2</v>
      </c>
    </row>
    <row r="7765" spans="1:10" x14ac:dyDescent="0.25">
      <c r="A7765" s="5" t="s">
        <v>7799</v>
      </c>
      <c r="B7765" s="5" t="s">
        <v>9632</v>
      </c>
      <c r="C7765" s="6" t="str">
        <f>_xll.QS.CONTEXT.CREATE("market.7763",A7765,"USD","SOFR")</f>
        <v>QSObject:PricingContext:w1~market.7763:4238</v>
      </c>
      <c r="D7765" s="6" t="str">
        <f>_xll.QS.CONTEXT.ADD.CURVE(C7765,"SOFR",$K$2:$K$7,$L$2:$L$7,,,"Actual360","LogLinear",TRUE)</f>
        <v>QSObject:ContextInput:w1~input.qs_context_add_curve.2359132437744.7764.3.0:32579</v>
      </c>
      <c r="E7765" s="6" t="str">
        <f>_xll.QS.INSTRUMENT.SWAP("swap.7763",H7765,B7765,"USD","SOFR",I7765,J7765,0,"Actual360","Simple","Annual","Annual","Annual")</f>
        <v>QSObject:Swap:w1~swap.7763:4237</v>
      </c>
      <c r="F7765" s="6" t="str">
        <f>_xll.QS.TRADE.CREATE("trade.7763",E7765,A7765,"Receive")</f>
        <v>QSObject:SwapTrade:w1~trade.7763:23924</v>
      </c>
      <c r="G7765" s="3">
        <f>_xll.QS.EVALUATE(C7765,F7765)</f>
        <v>35019.880177634994</v>
      </c>
      <c r="H7765" s="5" t="s">
        <v>7806</v>
      </c>
      <c r="I7765" s="7">
        <v>1776300</v>
      </c>
      <c r="J7765" s="8">
        <v>3.6300000000000013E-2</v>
      </c>
    </row>
    <row r="7766" spans="1:10" x14ac:dyDescent="0.25">
      <c r="A7766" s="5" t="s">
        <v>7800</v>
      </c>
      <c r="B7766" s="5" t="s">
        <v>9633</v>
      </c>
      <c r="C7766" s="6" t="str">
        <f>_xll.QS.CONTEXT.CREATE("market.7764",A7766,"USD","SOFR")</f>
        <v>QSObject:PricingContext:w1~market.7764:4236</v>
      </c>
      <c r="D7766" s="6" t="str">
        <f>_xll.QS.CONTEXT.ADD.CURVE(C7766,"SOFR",$K$2:$K$7,$L$2:$L$7,,,"Actual360","LogLinear",TRUE)</f>
        <v>QSObject:ContextInput:w1~input.qs_context_add_curve.2359132437744.7765.3.0:32578</v>
      </c>
      <c r="E7766" s="6" t="str">
        <f>_xll.QS.INSTRUMENT.SWAP("swap.7764",H7766,B7766,"USD","SOFR",I7766,J7766,0,"Actual360","Simple","Annual","Annual","Annual")</f>
        <v>QSObject:Swap:w1~swap.7764:4235</v>
      </c>
      <c r="F7766" s="6" t="str">
        <f>_xll.QS.TRADE.CREATE("trade.7764",E7766,A7766,"Receive")</f>
        <v>QSObject:SwapTrade:w1~trade.7764:23923</v>
      </c>
      <c r="G7766" s="3">
        <f>_xll.QS.EVALUATE(C7766,F7766)</f>
        <v>35971.72629889685</v>
      </c>
      <c r="H7766" s="5" t="s">
        <v>7807</v>
      </c>
      <c r="I7766" s="7">
        <v>1776400</v>
      </c>
      <c r="J7766" s="8">
        <v>3.6400000000000002E-2</v>
      </c>
    </row>
    <row r="7767" spans="1:10" x14ac:dyDescent="0.25">
      <c r="A7767" s="5" t="s">
        <v>7801</v>
      </c>
      <c r="B7767" s="5" t="s">
        <v>9634</v>
      </c>
      <c r="C7767" s="6" t="str">
        <f>_xll.QS.CONTEXT.CREATE("market.7765",A7767,"USD","SOFR")</f>
        <v>QSObject:PricingContext:w1~market.7765:4234</v>
      </c>
      <c r="D7767" s="6" t="str">
        <f>_xll.QS.CONTEXT.ADD.CURVE(C7767,"SOFR",$K$2:$K$7,$L$2:$L$7,,,"Actual360","LogLinear",TRUE)</f>
        <v>QSObject:ContextInput:w1~input.qs_context_add_curve.2359132437744.7766.3.0:32577</v>
      </c>
      <c r="E7767" s="6" t="str">
        <f>_xll.QS.INSTRUMENT.SWAP("swap.7765",H7767,B7767,"USD","SOFR",I7767,J7767,0,"Actual360","Simple","Annual","Annual","Annual")</f>
        <v>QSObject:Swap:w1~swap.7765:4233</v>
      </c>
      <c r="F7767" s="6" t="str">
        <f>_xll.QS.TRADE.CREATE("trade.7765",E7767,A7767,"Receive")</f>
        <v>QSObject:SwapTrade:w1~trade.7765:23922</v>
      </c>
      <c r="G7767" s="3">
        <f>_xll.QS.EVALUATE(C7767,F7767)</f>
        <v>36793.115947975501</v>
      </c>
      <c r="H7767" s="5" t="s">
        <v>7808</v>
      </c>
      <c r="I7767" s="7">
        <v>1776500</v>
      </c>
      <c r="J7767" s="8">
        <v>3.6499999999999998E-2</v>
      </c>
    </row>
    <row r="7768" spans="1:10" x14ac:dyDescent="0.25">
      <c r="A7768" s="5" t="s">
        <v>7802</v>
      </c>
      <c r="B7768" s="5" t="s">
        <v>9635</v>
      </c>
      <c r="C7768" s="6" t="str">
        <f>_xll.QS.CONTEXT.CREATE("market.7766",A7768,"USD","SOFR")</f>
        <v>QSObject:PricingContext:w1~market.7766:4232</v>
      </c>
      <c r="D7768" s="6" t="str">
        <f>_xll.QS.CONTEXT.ADD.CURVE(C7768,"SOFR",$K$2:$K$7,$L$2:$L$7,,,"Actual360","LogLinear",TRUE)</f>
        <v>QSObject:ContextInput:w1~input.qs_context_add_curve.2359132437744.7767.3.0:32576</v>
      </c>
      <c r="E7768" s="6" t="str">
        <f>_xll.QS.INSTRUMENT.SWAP("swap.7766",H7768,B7768,"USD","SOFR",I7768,J7768,0,"Actual360","Simple","Annual","Annual","Annual")</f>
        <v>QSObject:Swap:w1~swap.7766:4231</v>
      </c>
      <c r="F7768" s="6" t="str">
        <f>_xll.QS.TRADE.CREATE("trade.7766",E7768,A7768,"Receive")</f>
        <v>QSObject:SwapTrade:w1~trade.7766:23921</v>
      </c>
      <c r="G7768" s="3">
        <f>_xll.QS.EVALUATE(C7768,F7768)</f>
        <v>37624.359876208488</v>
      </c>
      <c r="H7768" s="5" t="s">
        <v>7809</v>
      </c>
      <c r="I7768" s="7">
        <v>1776600</v>
      </c>
      <c r="J7768" s="8">
        <v>3.6600000000000001E-2</v>
      </c>
    </row>
    <row r="7769" spans="1:10" x14ac:dyDescent="0.25">
      <c r="A7769" s="5" t="s">
        <v>7803</v>
      </c>
      <c r="B7769" s="5" t="s">
        <v>9636</v>
      </c>
      <c r="C7769" s="6" t="str">
        <f>_xll.QS.CONTEXT.CREATE("market.7767",A7769,"USD","SOFR")</f>
        <v>QSObject:PricingContext:w1~market.7767:4230</v>
      </c>
      <c r="D7769" s="6" t="str">
        <f>_xll.QS.CONTEXT.ADD.CURVE(C7769,"SOFR",$K$2:$K$7,$L$2:$L$7,,,"Actual360","LogLinear",TRUE)</f>
        <v>QSObject:ContextInput:w1~input.qs_context_add_curve.2359132437744.7768.3.0:32575</v>
      </c>
      <c r="E7769" s="6" t="str">
        <f>_xll.QS.INSTRUMENT.SWAP("swap.7767",H7769,B7769,"USD","SOFR",I7769,J7769,0,"Actual360","Simple","Annual","Annual","Annual")</f>
        <v>QSObject:Swap:w1~swap.7767:4229</v>
      </c>
      <c r="F7769" s="6" t="str">
        <f>_xll.QS.TRADE.CREATE("trade.7767",E7769,A7769,"Receive")</f>
        <v>QSObject:SwapTrade:w1~trade.7767:23920</v>
      </c>
      <c r="G7769" s="3">
        <f>_xll.QS.EVALUATE(C7769,F7769)</f>
        <v>38447.652791822242</v>
      </c>
      <c r="H7769" s="5" t="s">
        <v>7810</v>
      </c>
      <c r="I7769" s="7">
        <v>1776700</v>
      </c>
      <c r="J7769" s="8">
        <v>3.6700000000000003E-2</v>
      </c>
    </row>
    <row r="7770" spans="1:10" x14ac:dyDescent="0.25">
      <c r="A7770" s="5" t="s">
        <v>7804</v>
      </c>
      <c r="B7770" s="5" t="s">
        <v>9637</v>
      </c>
      <c r="C7770" s="6" t="str">
        <f>_xll.QS.CONTEXT.CREATE("market.7768",A7770,"USD","SOFR")</f>
        <v>QSObject:PricingContext:w1~market.7768:4228</v>
      </c>
      <c r="D7770" s="6" t="str">
        <f>_xll.QS.CONTEXT.ADD.CURVE(C7770,"SOFR",$K$2:$K$7,$L$2:$L$7,,,"Actual360","LogLinear",TRUE)</f>
        <v>QSObject:ContextInput:w1~input.qs_context_add_curve.2359132437744.7769.3.0:32574</v>
      </c>
      <c r="E7770" s="6" t="str">
        <f>_xll.QS.INSTRUMENT.SWAP("swap.7768",H7770,B7770,"USD","SOFR",I7770,J7770,0,"Actual360","Simple","Annual","Annual","Annual")</f>
        <v>QSObject:Swap:w1~swap.7768:4227</v>
      </c>
      <c r="F7770" s="6" t="str">
        <f>_xll.QS.TRADE.CREATE("trade.7768",E7770,A7770,"Receive")</f>
        <v>QSObject:SwapTrade:w1~trade.7768:23919</v>
      </c>
      <c r="G7770" s="3">
        <f>_xll.QS.EVALUATE(C7770,F7770)</f>
        <v>39051.952420541478</v>
      </c>
      <c r="H7770" s="5" t="s">
        <v>7811</v>
      </c>
      <c r="I7770" s="7">
        <v>1776800</v>
      </c>
      <c r="J7770" s="8">
        <v>3.6800000000000013E-2</v>
      </c>
    </row>
    <row r="7771" spans="1:10" x14ac:dyDescent="0.25">
      <c r="A7771" s="5" t="s">
        <v>7805</v>
      </c>
      <c r="B7771" s="5" t="s">
        <v>9638</v>
      </c>
      <c r="C7771" s="6" t="str">
        <f>_xll.QS.CONTEXT.CREATE("market.7769",A7771,"USD","SOFR")</f>
        <v>QSObject:PricingContext:w1~market.7769:4226</v>
      </c>
      <c r="D7771" s="6" t="str">
        <f>_xll.QS.CONTEXT.ADD.CURVE(C7771,"SOFR",$K$2:$K$7,$L$2:$L$7,,,"Actual360","LogLinear",TRUE)</f>
        <v>QSObject:ContextInput:w1~input.qs_context_add_curve.2359132437744.7770.3.0:32573</v>
      </c>
      <c r="E7771" s="6" t="str">
        <f>_xll.QS.INSTRUMENT.SWAP("swap.7769",H7771,B7771,"USD","SOFR",I7771,J7771,0,"Actual360","Simple","Annual","Annual","Annual")</f>
        <v>QSObject:Swap:w1~swap.7769:4225</v>
      </c>
      <c r="F7771" s="6" t="str">
        <f>_xll.QS.TRADE.CREATE("trade.7769",E7771,A7771,"Receive")</f>
        <v>QSObject:SwapTrade:w1~trade.7769:23918</v>
      </c>
      <c r="G7771" s="3">
        <f>_xll.QS.EVALUATE(C7771,F7771)</f>
        <v>39876.898039181826</v>
      </c>
      <c r="H7771" s="5" t="s">
        <v>7812</v>
      </c>
      <c r="I7771" s="7">
        <v>1776900</v>
      </c>
      <c r="J7771" s="8">
        <v>3.6900000000000002E-2</v>
      </c>
    </row>
    <row r="7772" spans="1:10" x14ac:dyDescent="0.25">
      <c r="A7772" s="5" t="s">
        <v>7806</v>
      </c>
      <c r="B7772" s="5" t="s">
        <v>9639</v>
      </c>
      <c r="C7772" s="6" t="str">
        <f>_xll.QS.CONTEXT.CREATE("market.7770",A7772,"USD","SOFR")</f>
        <v>QSObject:PricingContext:w1~market.7770:4224</v>
      </c>
      <c r="D7772" s="6" t="str">
        <f>_xll.QS.CONTEXT.ADD.CURVE(C7772,"SOFR",$K$2:$K$7,$L$2:$L$7,,,"Actual360","LogLinear",TRUE)</f>
        <v>QSObject:ContextInput:w1~input.qs_context_add_curve.2359132437744.7771.3.0:32572</v>
      </c>
      <c r="E7772" s="6" t="str">
        <f>_xll.QS.INSTRUMENT.SWAP("swap.7770",H7772,B7772,"USD","SOFR",I7772,J7772,0,"Actual360","Simple","Annual","Annual","Annual")</f>
        <v>QSObject:Swap:w1~swap.7770:4223</v>
      </c>
      <c r="F7772" s="6" t="str">
        <f>_xll.QS.TRADE.CREATE("trade.7770",E7772,A7772,"Receive")</f>
        <v>QSObject:SwapTrade:w1~trade.7770:23917</v>
      </c>
      <c r="G7772" s="3">
        <f>_xll.QS.EVALUATE(C7772,F7772)</f>
        <v>40772.892657536235</v>
      </c>
      <c r="H7772" s="5" t="s">
        <v>7813</v>
      </c>
      <c r="I7772" s="7">
        <v>1777000</v>
      </c>
      <c r="J7772" s="8">
        <v>3.7000000000000012E-2</v>
      </c>
    </row>
    <row r="7773" spans="1:10" x14ac:dyDescent="0.25">
      <c r="A7773" s="5" t="s">
        <v>7807</v>
      </c>
      <c r="B7773" s="5" t="s">
        <v>9640</v>
      </c>
      <c r="C7773" s="6" t="str">
        <f>_xll.QS.CONTEXT.CREATE("market.7771",A7773,"USD","SOFR")</f>
        <v>QSObject:PricingContext:w1~market.7771:4222</v>
      </c>
      <c r="D7773" s="6" t="str">
        <f>_xll.QS.CONTEXT.ADD.CURVE(C7773,"SOFR",$K$2:$K$7,$L$2:$L$7,,,"Actual360","LogLinear",TRUE)</f>
        <v>QSObject:ContextInput:w1~input.qs_context_add_curve.2359132437744.7772.3.0:32571</v>
      </c>
      <c r="E7773" s="6" t="str">
        <f>_xll.QS.INSTRUMENT.SWAP("swap.7771",H7773,B7773,"USD","SOFR",I7773,J7773,0,"Actual360","Simple","Annual","Annual","Annual")</f>
        <v>QSObject:Swap:w1~swap.7771:4221</v>
      </c>
      <c r="F7773" s="6" t="str">
        <f>_xll.QS.TRADE.CREATE("trade.7771",E7773,A7773,"Receive")</f>
        <v>QSObject:SwapTrade:w1~trade.7771:23916</v>
      </c>
      <c r="G7773" s="3">
        <f>_xll.QS.EVALUATE(C7773,F7773)</f>
        <v>41725.189453505096</v>
      </c>
      <c r="H7773" s="5" t="s">
        <v>7814</v>
      </c>
      <c r="I7773" s="7">
        <v>1777100</v>
      </c>
      <c r="J7773" s="8">
        <v>3.7100000000000001E-2</v>
      </c>
    </row>
    <row r="7774" spans="1:10" x14ac:dyDescent="0.25">
      <c r="A7774" s="5" t="s">
        <v>7808</v>
      </c>
      <c r="B7774" s="5" t="s">
        <v>9641</v>
      </c>
      <c r="C7774" s="6" t="str">
        <f>_xll.QS.CONTEXT.CREATE("market.7772",A7774,"USD","SOFR")</f>
        <v>QSObject:PricingContext:w1~market.7772:4220</v>
      </c>
      <c r="D7774" s="6" t="str">
        <f>_xll.QS.CONTEXT.ADD.CURVE(C7774,"SOFR",$K$2:$K$7,$L$2:$L$7,,,"Actual360","LogLinear",TRUE)</f>
        <v>QSObject:ContextInput:w1~input.qs_context_add_curve.2359132437744.7773.3.0:32570</v>
      </c>
      <c r="E7774" s="6" t="str">
        <f>_xll.QS.INSTRUMENT.SWAP("swap.7772",H7774,B7774,"USD","SOFR",I7774,J7774,0,"Actual360","Simple","Annual","Annual","Annual")</f>
        <v>QSObject:Swap:w1~swap.7772:4219</v>
      </c>
      <c r="F7774" s="6" t="str">
        <f>_xll.QS.TRADE.CREATE("trade.7772",E7774,A7774,"Receive")</f>
        <v>QSObject:SwapTrade:w1~trade.7772:23915</v>
      </c>
      <c r="G7774" s="3">
        <f>_xll.QS.EVALUATE(C7774,F7774)</f>
        <v>42547.213919528964</v>
      </c>
      <c r="H7774" s="5" t="s">
        <v>7815</v>
      </c>
      <c r="I7774" s="7">
        <v>1777200</v>
      </c>
      <c r="J7774" s="8">
        <v>3.7199999999999997E-2</v>
      </c>
    </row>
    <row r="7775" spans="1:10" x14ac:dyDescent="0.25">
      <c r="A7775" s="5" t="s">
        <v>7809</v>
      </c>
      <c r="B7775" s="5" t="s">
        <v>9642</v>
      </c>
      <c r="C7775" s="6" t="str">
        <f>_xll.QS.CONTEXT.CREATE("market.7773",A7775,"USD","SOFR")</f>
        <v>QSObject:PricingContext:w1~market.7773:4218</v>
      </c>
      <c r="D7775" s="6" t="str">
        <f>_xll.QS.CONTEXT.ADD.CURVE(C7775,"SOFR",$K$2:$K$7,$L$2:$L$7,,,"Actual360","LogLinear",TRUE)</f>
        <v>QSObject:ContextInput:w1~input.qs_context_add_curve.2359132437744.7774.3.0:32569</v>
      </c>
      <c r="E7775" s="6" t="str">
        <f>_xll.QS.INSTRUMENT.SWAP("swap.7773",H7775,B7775,"USD","SOFR",I7775,J7775,0,"Actual360","Simple","Annual","Annual","Annual")</f>
        <v>QSObject:Swap:w1~swap.7773:4217</v>
      </c>
      <c r="F7775" s="6" t="str">
        <f>_xll.QS.TRADE.CREATE("trade.7773",E7775,A7775,"Receive")</f>
        <v>QSObject:SwapTrade:w1~trade.7773:23914</v>
      </c>
      <c r="G7775" s="3">
        <f>_xll.QS.EVALUATE(C7775,F7775)</f>
        <v>43379.378940894807</v>
      </c>
      <c r="H7775" s="5" t="s">
        <v>7816</v>
      </c>
      <c r="I7775" s="7">
        <v>1777300</v>
      </c>
      <c r="J7775" s="8">
        <v>3.73E-2</v>
      </c>
    </row>
    <row r="7776" spans="1:10" x14ac:dyDescent="0.25">
      <c r="A7776" s="5" t="s">
        <v>7810</v>
      </c>
      <c r="B7776" s="5" t="s">
        <v>9643</v>
      </c>
      <c r="C7776" s="6" t="str">
        <f>_xll.QS.CONTEXT.CREATE("market.7774",A7776,"USD","SOFR")</f>
        <v>QSObject:PricingContext:w1~market.7774:4216</v>
      </c>
      <c r="D7776" s="6" t="str">
        <f>_xll.QS.CONTEXT.ADD.CURVE(C7776,"SOFR",$K$2:$K$7,$L$2:$L$7,,,"Actual360","LogLinear",TRUE)</f>
        <v>QSObject:ContextInput:w1~input.qs_context_add_curve.2359132437744.7775.3.0:32568</v>
      </c>
      <c r="E7776" s="6" t="str">
        <f>_xll.QS.INSTRUMENT.SWAP("swap.7774",H7776,B7776,"USD","SOFR",I7776,J7776,0,"Actual360","Simple","Annual","Annual","Annual")</f>
        <v>QSObject:Swap:w1~swap.7774:4215</v>
      </c>
      <c r="F7776" s="6" t="str">
        <f>_xll.QS.TRADE.CREATE("trade.7774",E7776,A7776,"Receive")</f>
        <v>QSObject:SwapTrade:w1~trade.7774:23913</v>
      </c>
      <c r="G7776" s="3">
        <f>_xll.QS.EVALUATE(C7776,F7776)</f>
        <v>44118.169471478446</v>
      </c>
      <c r="H7776" s="5" t="s">
        <v>7817</v>
      </c>
      <c r="I7776" s="7">
        <v>1777400</v>
      </c>
      <c r="J7776" s="8">
        <v>3.7400000000000003E-2</v>
      </c>
    </row>
    <row r="7777" spans="1:10" x14ac:dyDescent="0.25">
      <c r="A7777" s="5" t="s">
        <v>7811</v>
      </c>
      <c r="B7777" s="5" t="s">
        <v>9644</v>
      </c>
      <c r="C7777" s="6" t="str">
        <f>_xll.QS.CONTEXT.CREATE("market.7775",A7777,"USD","SOFR")</f>
        <v>QSObject:PricingContext:w1~market.7775:4214</v>
      </c>
      <c r="D7777" s="6" t="str">
        <f>_xll.QS.CONTEXT.ADD.CURVE(C7777,"SOFR",$K$2:$K$7,$L$2:$L$7,,,"Actual360","LogLinear",TRUE)</f>
        <v>QSObject:ContextInput:w1~input.qs_context_add_curve.2359132437744.7776.3.0:32567</v>
      </c>
      <c r="E7777" s="6" t="str">
        <f>_xll.QS.INSTRUMENT.SWAP("swap.7775",H7777,B7777,"USD","SOFR",I7777,J7777,0,"Actual360","Simple","Annual","Annual","Annual")</f>
        <v>QSObject:Swap:w1~swap.7775:4213</v>
      </c>
      <c r="F7777" s="6" t="str">
        <f>_xll.QS.TRADE.CREATE("trade.7775",E7777,A7777,"Receive")</f>
        <v>QSObject:SwapTrade:w1~trade.7775:23912</v>
      </c>
      <c r="G7777" s="3">
        <f>_xll.QS.EVALUATE(C7777,F7777)</f>
        <v>44806.808493625074</v>
      </c>
      <c r="H7777" s="5" t="s">
        <v>7818</v>
      </c>
      <c r="I7777" s="7">
        <v>1777500</v>
      </c>
      <c r="J7777" s="8">
        <v>3.7500000000000012E-2</v>
      </c>
    </row>
    <row r="7778" spans="1:10" x14ac:dyDescent="0.25">
      <c r="A7778" s="5" t="s">
        <v>7812</v>
      </c>
      <c r="B7778" s="5" t="s">
        <v>9645</v>
      </c>
      <c r="C7778" s="6" t="str">
        <f>_xll.QS.CONTEXT.CREATE("market.7776",A7778,"USD","SOFR")</f>
        <v>QSObject:PricingContext:w1~market.7776:4212</v>
      </c>
      <c r="D7778" s="6" t="str">
        <f>_xll.QS.CONTEXT.ADD.CURVE(C7778,"SOFR",$K$2:$K$7,$L$2:$L$7,,,"Actual360","LogLinear",TRUE)</f>
        <v>QSObject:ContextInput:w1~input.qs_context_add_curve.2359132437744.7777.3.0:32566</v>
      </c>
      <c r="E7778" s="6" t="str">
        <f>_xll.QS.INSTRUMENT.SWAP("swap.7776",H7778,B7778,"USD","SOFR",I7778,J7778,0,"Actual360","Simple","Annual","Annual","Annual")</f>
        <v>QSObject:Swap:w1~swap.7776:4211</v>
      </c>
      <c r="F7778" s="6" t="str">
        <f>_xll.QS.TRADE.CREATE("trade.7776",E7778,A7778,"Receive")</f>
        <v>QSObject:SwapTrade:w1~trade.7776:23911</v>
      </c>
      <c r="G7778" s="3">
        <f>_xll.QS.EVALUATE(C7778,F7778)</f>
        <v>45632.882508637653</v>
      </c>
      <c r="H7778" s="5" t="s">
        <v>7819</v>
      </c>
      <c r="I7778" s="7">
        <v>1777600</v>
      </c>
      <c r="J7778" s="8">
        <v>3.7600000000000001E-2</v>
      </c>
    </row>
    <row r="7779" spans="1:10" x14ac:dyDescent="0.25">
      <c r="A7779" s="5" t="s">
        <v>7813</v>
      </c>
      <c r="B7779" s="5" t="s">
        <v>9646</v>
      </c>
      <c r="C7779" s="6" t="str">
        <f>_xll.QS.CONTEXT.CREATE("market.7777",A7779,"USD","SOFR")</f>
        <v>QSObject:PricingContext:w1~market.7777:4210</v>
      </c>
      <c r="D7779" s="6" t="str">
        <f>_xll.QS.CONTEXT.ADD.CURVE(C7779,"SOFR",$K$2:$K$7,$L$2:$L$7,,,"Actual360","LogLinear",TRUE)</f>
        <v>QSObject:ContextInput:w1~input.qs_context_add_curve.2359132437744.7778.3.0:32565</v>
      </c>
      <c r="E7779" s="6" t="str">
        <f>_xll.QS.INSTRUMENT.SWAP("swap.7777",H7779,B7779,"USD","SOFR",I7779,J7779,0,"Actual360","Simple","Annual","Annual","Annual")</f>
        <v>QSObject:Swap:w1~swap.7777:4209</v>
      </c>
      <c r="F7779" s="6" t="str">
        <f>_xll.QS.TRADE.CREATE("trade.7777",E7779,A7779,"Receive")</f>
        <v>QSObject:SwapTrade:w1~trade.7777:23910</v>
      </c>
      <c r="G7779" s="3">
        <f>_xll.QS.EVALUATE(C7779,F7779)</f>
        <v>46530.390677499854</v>
      </c>
      <c r="H7779" s="5" t="s">
        <v>7820</v>
      </c>
      <c r="I7779" s="7">
        <v>1777700</v>
      </c>
      <c r="J7779" s="8">
        <v>3.7699999999999997E-2</v>
      </c>
    </row>
    <row r="7780" spans="1:10" x14ac:dyDescent="0.25">
      <c r="A7780" s="5" t="s">
        <v>7814</v>
      </c>
      <c r="B7780" s="5" t="s">
        <v>9647</v>
      </c>
      <c r="C7780" s="6" t="str">
        <f>_xll.QS.CONTEXT.CREATE("market.7778",A7780,"USD","SOFR")</f>
        <v>QSObject:PricingContext:w1~market.7778:4208</v>
      </c>
      <c r="D7780" s="6" t="str">
        <f>_xll.QS.CONTEXT.ADD.CURVE(C7780,"SOFR",$K$2:$K$7,$L$2:$L$7,,,"Actual360","LogLinear",TRUE)</f>
        <v>QSObject:ContextInput:w1~input.qs_context_add_curve.2359132437744.7779.3.0:32564</v>
      </c>
      <c r="E7780" s="6" t="str">
        <f>_xll.QS.INSTRUMENT.SWAP("swap.7778",H7780,B7780,"USD","SOFR",I7780,J7780,0,"Actual360","Simple","Annual","Annual","Annual")</f>
        <v>QSObject:Swap:w1~swap.7778:4207</v>
      </c>
      <c r="F7780" s="6" t="str">
        <f>_xll.QS.TRADE.CREATE("trade.7778",E7780,A7780,"Receive")</f>
        <v>QSObject:SwapTrade:w1~trade.7778:23909</v>
      </c>
      <c r="G7780" s="3">
        <f>_xll.QS.EVALUATE(C7780,F7780)</f>
        <v>47483.169187000596</v>
      </c>
      <c r="H7780" s="5" t="s">
        <v>7821</v>
      </c>
      <c r="I7780" s="7">
        <v>1777800</v>
      </c>
      <c r="J7780" s="8">
        <v>3.78E-2</v>
      </c>
    </row>
    <row r="7781" spans="1:10" x14ac:dyDescent="0.25">
      <c r="A7781" s="5" t="s">
        <v>7815</v>
      </c>
      <c r="B7781" s="5" t="s">
        <v>9648</v>
      </c>
      <c r="C7781" s="6" t="str">
        <f>_xll.QS.CONTEXT.CREATE("market.7779",A7781,"USD","SOFR")</f>
        <v>QSObject:PricingContext:w1~market.7779:4206</v>
      </c>
      <c r="D7781" s="6" t="str">
        <f>_xll.QS.CONTEXT.ADD.CURVE(C7781,"SOFR",$K$2:$K$7,$L$2:$L$7,,,"Actual360","LogLinear",TRUE)</f>
        <v>QSObject:ContextInput:w1~input.qs_context_add_curve.2359132437744.7780.3.0:32563</v>
      </c>
      <c r="E7781" s="6" t="str">
        <f>_xll.QS.INSTRUMENT.SWAP("swap.7779",H7781,B7781,"USD","SOFR",I7781,J7781,0,"Actual360","Simple","Annual","Annual","Annual")</f>
        <v>QSObject:Swap:w1~swap.7779:4205</v>
      </c>
      <c r="F7781" s="6" t="str">
        <f>_xll.QS.TRADE.CREATE("trade.7779",E7781,A7781,"Receive")</f>
        <v>QSObject:SwapTrade:w1~trade.7779:23908</v>
      </c>
      <c r="G7781" s="3">
        <f>_xll.QS.EVALUATE(C7781,F7781)</f>
        <v>48386.063267267615</v>
      </c>
      <c r="H7781" s="5" t="s">
        <v>7822</v>
      </c>
      <c r="I7781" s="7">
        <v>1777900</v>
      </c>
      <c r="J7781" s="8">
        <v>3.7900000000000003E-2</v>
      </c>
    </row>
    <row r="7782" spans="1:10" x14ac:dyDescent="0.25">
      <c r="A7782" s="5" t="s">
        <v>7816</v>
      </c>
      <c r="B7782" s="5" t="s">
        <v>9649</v>
      </c>
      <c r="C7782" s="6" t="str">
        <f>_xll.QS.CONTEXT.CREATE("market.7780",A7782,"USD","SOFR")</f>
        <v>QSObject:PricingContext:w1~market.7780:4204</v>
      </c>
      <c r="D7782" s="6" t="str">
        <f>_xll.QS.CONTEXT.ADD.CURVE(C7782,"SOFR",$K$2:$K$7,$L$2:$L$7,,,"Actual360","LogLinear",TRUE)</f>
        <v>QSObject:ContextInput:w1~input.qs_context_add_curve.2359132437744.7781.3.0:32562</v>
      </c>
      <c r="E7782" s="6" t="str">
        <f>_xll.QS.INSTRUMENT.SWAP("swap.7780",H7782,B7782,"USD","SOFR",I7782,J7782,0,"Actual360","Simple","Annual","Annual","Annual")</f>
        <v>QSObject:Swap:w1~swap.7780:4203</v>
      </c>
      <c r="F7782" s="6" t="str">
        <f>_xll.QS.TRADE.CREATE("trade.7780",E7782,A7782,"Receive")</f>
        <v>QSObject:SwapTrade:w1~trade.7780:23907</v>
      </c>
      <c r="G7782" s="3">
        <f>_xll.QS.EVALUATE(C7782,F7782)</f>
        <v>49210.347319050881</v>
      </c>
      <c r="H7782" s="5" t="s">
        <v>7823</v>
      </c>
      <c r="I7782" s="7">
        <v>1778000</v>
      </c>
      <c r="J7782" s="8">
        <v>3.8000000000000013E-2</v>
      </c>
    </row>
    <row r="7783" spans="1:10" x14ac:dyDescent="0.25">
      <c r="A7783" s="5" t="s">
        <v>7817</v>
      </c>
      <c r="B7783" s="5" t="s">
        <v>9650</v>
      </c>
      <c r="C7783" s="6" t="str">
        <f>_xll.QS.CONTEXT.CREATE("market.7781",A7783,"USD","SOFR")</f>
        <v>QSObject:PricingContext:w1~market.7781:4202</v>
      </c>
      <c r="D7783" s="6" t="str">
        <f>_xll.QS.CONTEXT.ADD.CURVE(C7783,"SOFR",$K$2:$K$7,$L$2:$L$7,,,"Actual360","LogLinear",TRUE)</f>
        <v>QSObject:ContextInput:w1~input.qs_context_add_curve.2359132437744.7782.3.0:32561</v>
      </c>
      <c r="E7783" s="6" t="str">
        <f>_xll.QS.INSTRUMENT.SWAP("swap.7781",H7783,B7783,"USD","SOFR",I7783,J7783,0,"Actual360","Simple","Annual","Annual","Annual")</f>
        <v>QSObject:Swap:w1~swap.7781:4201</v>
      </c>
      <c r="F7783" s="6" t="str">
        <f>_xll.QS.TRADE.CREATE("trade.7781",E7783,A7783,"Receive")</f>
        <v>QSObject:SwapTrade:w1~trade.7781:23906</v>
      </c>
      <c r="G7783" s="3">
        <f>_xll.QS.EVALUATE(C7783,F7783)</f>
        <v>49963.035820347701</v>
      </c>
      <c r="H7783" s="5" t="s">
        <v>7824</v>
      </c>
      <c r="I7783" s="7">
        <v>1778100</v>
      </c>
      <c r="J7783" s="8">
        <v>3.8100000000000002E-2</v>
      </c>
    </row>
    <row r="7784" spans="1:10" x14ac:dyDescent="0.25">
      <c r="A7784" s="5" t="s">
        <v>7818</v>
      </c>
      <c r="B7784" s="5" t="s">
        <v>9651</v>
      </c>
      <c r="C7784" s="6" t="str">
        <f>_xll.QS.CONTEXT.CREATE("market.7782",A7784,"USD","SOFR")</f>
        <v>QSObject:PricingContext:w1~market.7782:4200</v>
      </c>
      <c r="D7784" s="6" t="str">
        <f>_xll.QS.CONTEXT.ADD.CURVE(C7784,"SOFR",$K$2:$K$7,$L$2:$L$7,,,"Actual360","LogLinear",TRUE)</f>
        <v>QSObject:ContextInput:w1~input.qs_context_add_curve.2359132437744.7783.3.0:32560</v>
      </c>
      <c r="E7784" s="6" t="str">
        <f>_xll.QS.INSTRUMENT.SWAP("swap.7782",H7784,B7784,"USD","SOFR",I7784,J7784,0,"Actual360","Simple","Annual","Annual","Annual")</f>
        <v>QSObject:Swap:w1~swap.7782:4199</v>
      </c>
      <c r="F7784" s="6" t="str">
        <f>_xll.QS.TRADE.CREATE("trade.7782",E7784,A7784,"Receive")</f>
        <v>QSObject:SwapTrade:w1~trade.7782:23905</v>
      </c>
      <c r="G7784" s="3">
        <f>_xll.QS.EVALUATE(C7784,F7784)</f>
        <v>50790.13902420766</v>
      </c>
      <c r="H7784" s="5" t="s">
        <v>7825</v>
      </c>
      <c r="I7784" s="7">
        <v>1778200</v>
      </c>
      <c r="J7784" s="8">
        <v>3.8199999999999998E-2</v>
      </c>
    </row>
    <row r="7785" spans="1:10" x14ac:dyDescent="0.25">
      <c r="A7785" s="5" t="s">
        <v>7819</v>
      </c>
      <c r="B7785" s="5" t="s">
        <v>9652</v>
      </c>
      <c r="C7785" s="6" t="str">
        <f>_xll.QS.CONTEXT.CREATE("market.7783",A7785,"USD","SOFR")</f>
        <v>QSObject:PricingContext:w1~market.7783:4198</v>
      </c>
      <c r="D7785" s="6" t="str">
        <f>_xll.QS.CONTEXT.ADD.CURVE(C7785,"SOFR",$K$2:$K$7,$L$2:$L$7,,,"Actual360","LogLinear",TRUE)</f>
        <v>QSObject:ContextInput:w1~input.qs_context_add_curve.2359132437744.7784.3.0:32559</v>
      </c>
      <c r="E7785" s="6" t="str">
        <f>_xll.QS.INSTRUMENT.SWAP("swap.7783",H7785,B7785,"USD","SOFR",I7785,J7785,0,"Actual360","Simple","Annual","Annual","Annual")</f>
        <v>QSObject:Swap:w1~swap.7783:4197</v>
      </c>
      <c r="F7785" s="6" t="str">
        <f>_xll.QS.TRADE.CREATE("trade.7783",E7785,A7785,"Receive")</f>
        <v>QSObject:SwapTrade:w1~trade.7783:23904</v>
      </c>
      <c r="G7785" s="3">
        <f>_xll.QS.EVALUATE(C7785,F7785)</f>
        <v>51393.357670143334</v>
      </c>
      <c r="H7785" s="5" t="s">
        <v>7826</v>
      </c>
      <c r="I7785" s="7">
        <v>1778300</v>
      </c>
      <c r="J7785" s="8">
        <v>3.8300000000000001E-2</v>
      </c>
    </row>
    <row r="7786" spans="1:10" x14ac:dyDescent="0.25">
      <c r="A7786" s="5" t="s">
        <v>7820</v>
      </c>
      <c r="B7786" s="5" t="s">
        <v>9653</v>
      </c>
      <c r="C7786" s="6" t="str">
        <f>_xll.QS.CONTEXT.CREATE("market.7784",A7786,"USD","SOFR")</f>
        <v>QSObject:PricingContext:w1~market.7784:4196</v>
      </c>
      <c r="D7786" s="6" t="str">
        <f>_xll.QS.CONTEXT.ADD.CURVE(C7786,"SOFR",$K$2:$K$7,$L$2:$L$7,,,"Actual360","LogLinear",TRUE)</f>
        <v>QSObject:ContextInput:w1~input.qs_context_add_curve.2359132437744.7785.3.0:32558</v>
      </c>
      <c r="E7786" s="6" t="str">
        <f>_xll.QS.INSTRUMENT.SWAP("swap.7784",H7786,B7786,"USD","SOFR",I7786,J7786,0,"Actual360","Simple","Annual","Annual","Annual")</f>
        <v>QSObject:Swap:w1~swap.7784:4195</v>
      </c>
      <c r="F7786" s="6" t="str">
        <f>_xll.QS.TRADE.CREATE("trade.7784",E7786,A7786,"Receive")</f>
        <v>QSObject:SwapTrade:w1~trade.7784:23903</v>
      </c>
      <c r="G7786" s="3">
        <f>_xll.QS.EVALUATE(C7786,F7786)</f>
        <v>52292.111898457646</v>
      </c>
      <c r="H7786" s="5" t="s">
        <v>7827</v>
      </c>
      <c r="I7786" s="7">
        <v>1778400</v>
      </c>
      <c r="J7786" s="8">
        <v>3.8399999999999997E-2</v>
      </c>
    </row>
    <row r="7787" spans="1:10" x14ac:dyDescent="0.25">
      <c r="A7787" s="5" t="s">
        <v>7821</v>
      </c>
      <c r="B7787" s="5" t="s">
        <v>9654</v>
      </c>
      <c r="C7787" s="6" t="str">
        <f>_xll.QS.CONTEXT.CREATE("market.7785",A7787,"USD","SOFR")</f>
        <v>QSObject:PricingContext:w1~market.7785:4194</v>
      </c>
      <c r="D7787" s="6" t="str">
        <f>_xll.QS.CONTEXT.ADD.CURVE(C7787,"SOFR",$K$2:$K$7,$L$2:$L$7,,,"Actual360","LogLinear",TRUE)</f>
        <v>QSObject:ContextInput:w1~input.qs_context_add_curve.2359132437744.7786.3.0:32557</v>
      </c>
      <c r="E7787" s="6" t="str">
        <f>_xll.QS.INSTRUMENT.SWAP("swap.7785",H7787,B7787,"USD","SOFR",I7787,J7787,0,"Actual360","Simple","Annual","Annual","Annual")</f>
        <v>QSObject:Swap:w1~swap.7785:4193</v>
      </c>
      <c r="F7787" s="6" t="str">
        <f>_xll.QS.TRADE.CREATE("trade.7785",E7787,A7787,"Receive")</f>
        <v>QSObject:SwapTrade:w1~trade.7785:23902</v>
      </c>
      <c r="G7787" s="3">
        <f>_xll.QS.EVALUATE(C7787,F7787)</f>
        <v>53245.672748187149</v>
      </c>
      <c r="H7787" s="5" t="s">
        <v>7828</v>
      </c>
      <c r="I7787" s="7">
        <v>1778500</v>
      </c>
      <c r="J7787" s="8">
        <v>3.8500000000000013E-2</v>
      </c>
    </row>
    <row r="7788" spans="1:10" x14ac:dyDescent="0.25">
      <c r="A7788" s="5" t="s">
        <v>7822</v>
      </c>
      <c r="B7788" s="5" t="s">
        <v>9655</v>
      </c>
      <c r="C7788" s="6" t="str">
        <f>_xll.QS.CONTEXT.CREATE("market.7786",A7788,"USD","SOFR")</f>
        <v>QSObject:PricingContext:w1~market.7786:4192</v>
      </c>
      <c r="D7788" s="6" t="str">
        <f>_xll.QS.CONTEXT.ADD.CURVE(C7788,"SOFR",$K$2:$K$7,$L$2:$L$7,,,"Actual360","LogLinear",TRUE)</f>
        <v>QSObject:ContextInput:w1~input.qs_context_add_curve.2359132437744.7787.3.0:32556</v>
      </c>
      <c r="E7788" s="6" t="str">
        <f>_xll.QS.INSTRUMENT.SWAP("swap.7786",H7788,B7788,"USD","SOFR",I7788,J7788,0,"Actual360","Simple","Annual","Annual","Annual")</f>
        <v>QSObject:Swap:w1~swap.7786:4191</v>
      </c>
      <c r="F7788" s="6" t="str">
        <f>_xll.QS.TRADE.CREATE("trade.7786",E7788,A7788,"Receive")</f>
        <v>QSObject:SwapTrade:w1~trade.7786:23901</v>
      </c>
      <c r="G7788" s="3">
        <f>_xll.QS.EVALUATE(C7788,F7788)</f>
        <v>54069.21615600129</v>
      </c>
      <c r="H7788" s="5" t="s">
        <v>7829</v>
      </c>
      <c r="I7788" s="7">
        <v>1778600</v>
      </c>
      <c r="J7788" s="8">
        <v>3.8600000000000002E-2</v>
      </c>
    </row>
    <row r="7789" spans="1:10" x14ac:dyDescent="0.25">
      <c r="A7789" s="5" t="s">
        <v>7823</v>
      </c>
      <c r="B7789" s="5" t="s">
        <v>9656</v>
      </c>
      <c r="C7789" s="6" t="str">
        <f>_xll.QS.CONTEXT.CREATE("market.7787",A7789,"USD","SOFR")</f>
        <v>QSObject:PricingContext:w1~market.7787:4190</v>
      </c>
      <c r="D7789" s="6" t="str">
        <f>_xll.QS.CONTEXT.ADD.CURVE(C7789,"SOFR",$K$2:$K$7,$L$2:$L$7,,,"Actual360","LogLinear",TRUE)</f>
        <v>QSObject:ContextInput:w1~input.qs_context_add_curve.2359132437744.7788.3.0:32555</v>
      </c>
      <c r="E7789" s="6" t="str">
        <f>_xll.QS.INSTRUMENT.SWAP("swap.7787",H7789,B7789,"USD","SOFR",I7789,J7789,0,"Actual360","Simple","Annual","Annual","Annual")</f>
        <v>QSObject:Swap:w1~swap.7787:4189</v>
      </c>
      <c r="F7789" s="6" t="str">
        <f>_xll.QS.TRADE.CREATE("trade.7787",E7789,A7789,"Receive")</f>
        <v>QSObject:SwapTrade:w1~trade.7787:23900</v>
      </c>
      <c r="G7789" s="3">
        <f>_xll.QS.EVALUATE(C7789,F7789)</f>
        <v>54902.206850850627</v>
      </c>
      <c r="H7789" s="5" t="s">
        <v>7830</v>
      </c>
      <c r="I7789" s="7">
        <v>1778700</v>
      </c>
      <c r="J7789" s="8">
        <v>3.8700000000000012E-2</v>
      </c>
    </row>
    <row r="7790" spans="1:10" x14ac:dyDescent="0.25">
      <c r="A7790" s="5" t="s">
        <v>7824</v>
      </c>
      <c r="B7790" s="5" t="s">
        <v>9657</v>
      </c>
      <c r="C7790" s="6" t="str">
        <f>_xll.QS.CONTEXT.CREATE("market.7788",A7790,"USD","SOFR")</f>
        <v>QSObject:PricingContext:w1~market.7788:4188</v>
      </c>
      <c r="D7790" s="6" t="str">
        <f>_xll.QS.CONTEXT.ADD.CURVE(C7790,"SOFR",$K$2:$K$7,$L$2:$L$7,,,"Actual360","LogLinear",TRUE)</f>
        <v>QSObject:ContextInput:w1~input.qs_context_add_curve.2359132437744.7789.3.0:32554</v>
      </c>
      <c r="E7790" s="6" t="str">
        <f>_xll.QS.INSTRUMENT.SWAP("swap.7788",H7790,B7790,"USD","SOFR",I7790,J7790,0,"Actual360","Simple","Annual","Annual","Annual")</f>
        <v>QSObject:Swap:w1~swap.7788:4187</v>
      </c>
      <c r="F7790" s="6" t="str">
        <f>_xll.QS.TRADE.CREATE("trade.7788",E7790,A7790,"Receive")</f>
        <v>QSObject:SwapTrade:w1~trade.7788:23899</v>
      </c>
      <c r="G7790" s="3">
        <f>_xll.QS.EVALUATE(C7790,F7790)</f>
        <v>55727.507938027673</v>
      </c>
      <c r="H7790" s="5" t="s">
        <v>7831</v>
      </c>
      <c r="I7790" s="7">
        <v>1778800</v>
      </c>
      <c r="J7790" s="8">
        <v>3.8800000000000001E-2</v>
      </c>
    </row>
    <row r="7791" spans="1:10" x14ac:dyDescent="0.25">
      <c r="A7791" s="5" t="s">
        <v>7825</v>
      </c>
      <c r="B7791" s="5" t="s">
        <v>9658</v>
      </c>
      <c r="C7791" s="6" t="str">
        <f>_xll.QS.CONTEXT.CREATE("market.7789",A7791,"USD","SOFR")</f>
        <v>QSObject:PricingContext:w1~market.7789:4186</v>
      </c>
      <c r="D7791" s="6" t="str">
        <f>_xll.QS.CONTEXT.ADD.CURVE(C7791,"SOFR",$K$2:$K$7,$L$2:$L$7,,,"Actual360","LogLinear",TRUE)</f>
        <v>QSObject:ContextInput:w1~input.qs_context_add_curve.2359132437744.7790.3.0:32553</v>
      </c>
      <c r="E7791" s="6" t="str">
        <f>_xll.QS.INSTRUMENT.SWAP("swap.7789",H7791,B7791,"USD","SOFR",I7791,J7791,0,"Actual360","Simple","Annual","Annual","Annual")</f>
        <v>QSObject:Swap:w1~swap.7789:4185</v>
      </c>
      <c r="F7791" s="6" t="str">
        <f>_xll.QS.TRADE.CREATE("trade.7789",E7791,A7791,"Receive")</f>
        <v>QSObject:SwapTrade:w1~trade.7789:23898</v>
      </c>
      <c r="G7791" s="3">
        <f>_xll.QS.EVALUATE(C7791,F7791)</f>
        <v>56330.030719241942</v>
      </c>
      <c r="H7791" s="5" t="s">
        <v>7832</v>
      </c>
      <c r="I7791" s="7">
        <v>1778900</v>
      </c>
      <c r="J7791" s="8">
        <v>3.8899999999999997E-2</v>
      </c>
    </row>
    <row r="7792" spans="1:10" x14ac:dyDescent="0.25">
      <c r="A7792" s="5" t="s">
        <v>7826</v>
      </c>
      <c r="B7792" s="5" t="s">
        <v>9659</v>
      </c>
      <c r="C7792" s="6" t="str">
        <f>_xll.QS.CONTEXT.CREATE("market.7790",A7792,"USD","SOFR")</f>
        <v>QSObject:PricingContext:w1~market.7790:4184</v>
      </c>
      <c r="D7792" s="6" t="str">
        <f>_xll.QS.CONTEXT.ADD.CURVE(C7792,"SOFR",$K$2:$K$7,$L$2:$L$7,,,"Actual360","LogLinear",TRUE)</f>
        <v>QSObject:ContextInput:w1~input.qs_context_add_curve.2359132437744.7791.3.0:32552</v>
      </c>
      <c r="E7792" s="6" t="str">
        <f>_xll.QS.INSTRUMENT.SWAP("swap.7790",H7792,B7792,"USD","SOFR",I7792,J7792,0,"Actual360","Simple","Annual","Annual","Annual")</f>
        <v>QSObject:Swap:w1~swap.7790:4183</v>
      </c>
      <c r="F7792" s="6" t="str">
        <f>_xll.QS.TRADE.CREATE("trade.7790",E7792,A7792,"Receive")</f>
        <v>QSObject:SwapTrade:w1~trade.7790:23897</v>
      </c>
      <c r="G7792" s="3">
        <f>_xll.QS.EVALUATE(C7792,F7792)</f>
        <v>57158.362657176527</v>
      </c>
      <c r="H7792" s="5" t="s">
        <v>7833</v>
      </c>
      <c r="I7792" s="7">
        <v>1779000</v>
      </c>
      <c r="J7792" s="8">
        <v>3.9000000000000007E-2</v>
      </c>
    </row>
    <row r="7793" spans="1:10" x14ac:dyDescent="0.25">
      <c r="A7793" s="5" t="s">
        <v>7827</v>
      </c>
      <c r="B7793" s="5" t="s">
        <v>9660</v>
      </c>
      <c r="C7793" s="6" t="str">
        <f>_xll.QS.CONTEXT.CREATE("market.7791",A7793,"USD","SOFR")</f>
        <v>QSObject:PricingContext:w1~market.7791:4182</v>
      </c>
      <c r="D7793" s="6" t="str">
        <f>_xll.QS.CONTEXT.ADD.CURVE(C7793,"SOFR",$K$2:$K$7,$L$2:$L$7,,,"Actual360","LogLinear",TRUE)</f>
        <v>QSObject:ContextInput:w1~input.qs_context_add_curve.2359132437744.7792.3.0:32551</v>
      </c>
      <c r="E7793" s="6" t="str">
        <f>_xll.QS.INSTRUMENT.SWAP("swap.7791",H7793,B7793,"USD","SOFR",I7793,J7793,0,"Actual360","Simple","Annual","Annual","Annual")</f>
        <v>QSObject:Swap:w1~swap.7791:4181</v>
      </c>
      <c r="F7793" s="6" t="str">
        <f>_xll.QS.TRADE.CREATE("trade.7791",E7793,A7793,"Receive")</f>
        <v>QSObject:SwapTrade:w1~trade.7791:23896</v>
      </c>
      <c r="G7793" s="3">
        <f>_xll.QS.EVALUATE(C7793,F7793)</f>
        <v>58058.354463718591</v>
      </c>
      <c r="H7793" s="5" t="s">
        <v>7834</v>
      </c>
      <c r="I7793" s="7">
        <v>1779100</v>
      </c>
      <c r="J7793" s="8">
        <v>3.9100000000000003E-2</v>
      </c>
    </row>
    <row r="7794" spans="1:10" x14ac:dyDescent="0.25">
      <c r="A7794" s="5" t="s">
        <v>7828</v>
      </c>
      <c r="B7794" s="5" t="s">
        <v>9661</v>
      </c>
      <c r="C7794" s="6" t="str">
        <f>_xll.QS.CONTEXT.CREATE("market.7792",A7794,"USD","SOFR")</f>
        <v>QSObject:PricingContext:w1~market.7792:4180</v>
      </c>
      <c r="D7794" s="6" t="str">
        <f>_xll.QS.CONTEXT.ADD.CURVE(C7794,"SOFR",$K$2:$K$7,$L$2:$L$7,,,"Actual360","LogLinear",TRUE)</f>
        <v>QSObject:ContextInput:w1~input.qs_context_add_curve.2359132437744.7793.3.0:32550</v>
      </c>
      <c r="E7794" s="6" t="str">
        <f>_xll.QS.INSTRUMENT.SWAP("swap.7792",H7794,B7794,"USD","SOFR",I7794,J7794,0,"Actual360","Simple","Annual","Annual","Annual")</f>
        <v>QSObject:Swap:w1~swap.7792:4179</v>
      </c>
      <c r="F7794" s="6" t="str">
        <f>_xll.QS.TRADE.CREATE("trade.7792",E7794,A7794,"Receive")</f>
        <v>QSObject:SwapTrade:w1~trade.7792:23895</v>
      </c>
      <c r="G7794" s="3">
        <f>_xll.QS.EVALUATE(C7794,F7794)</f>
        <v>59012.697720796779</v>
      </c>
      <c r="H7794" s="5" t="s">
        <v>7835</v>
      </c>
      <c r="I7794" s="7">
        <v>1779200</v>
      </c>
      <c r="J7794" s="8">
        <v>3.9200000000000013E-2</v>
      </c>
    </row>
    <row r="7795" spans="1:10" x14ac:dyDescent="0.25">
      <c r="A7795" s="5" t="s">
        <v>7829</v>
      </c>
      <c r="B7795" s="5" t="s">
        <v>9662</v>
      </c>
      <c r="C7795" s="6" t="str">
        <f>_xll.QS.CONTEXT.CREATE("market.7793",A7795,"USD","SOFR")</f>
        <v>QSObject:PricingContext:w1~market.7793:4178</v>
      </c>
      <c r="D7795" s="6" t="str">
        <f>_xll.QS.CONTEXT.ADD.CURVE(C7795,"SOFR",$K$2:$K$7,$L$2:$L$7,,,"Actual360","LogLinear",TRUE)</f>
        <v>QSObject:ContextInput:w1~input.qs_context_add_curve.2359132437744.7794.3.0:32549</v>
      </c>
      <c r="E7795" s="6" t="str">
        <f>_xll.QS.INSTRUMENT.SWAP("swap.7793",H7795,B7795,"USD","SOFR",I7795,J7795,0,"Actual360","Simple","Annual","Annual","Annual")</f>
        <v>QSObject:Swap:w1~swap.7793:4177</v>
      </c>
      <c r="F7795" s="6" t="str">
        <f>_xll.QS.TRADE.CREATE("trade.7793",E7795,A7795,"Receive")</f>
        <v>QSObject:SwapTrade:w1~trade.7793:23894</v>
      </c>
      <c r="G7795" s="3">
        <f>_xll.QS.EVALUATE(C7795,F7795)</f>
        <v>59836.628068749633</v>
      </c>
      <c r="H7795" s="5" t="s">
        <v>7836</v>
      </c>
      <c r="I7795" s="7">
        <v>1779300</v>
      </c>
      <c r="J7795" s="8">
        <v>3.9300000000000002E-2</v>
      </c>
    </row>
    <row r="7796" spans="1:10" x14ac:dyDescent="0.25">
      <c r="A7796" s="5" t="s">
        <v>7830</v>
      </c>
      <c r="B7796" s="5" t="s">
        <v>9663</v>
      </c>
      <c r="C7796" s="6" t="str">
        <f>_xll.QS.CONTEXT.CREATE("market.7794",A7796,"USD","SOFR")</f>
        <v>QSObject:PricingContext:w1~market.7794:4176</v>
      </c>
      <c r="D7796" s="6" t="str">
        <f>_xll.QS.CONTEXT.ADD.CURVE(C7796,"SOFR",$K$2:$K$7,$L$2:$L$7,,,"Actual360","LogLinear",TRUE)</f>
        <v>QSObject:ContextInput:w1~input.qs_context_add_curve.2359132437744.7795.3.0:32548</v>
      </c>
      <c r="E7796" s="6" t="str">
        <f>_xll.QS.INSTRUMENT.SWAP("swap.7794",H7796,B7796,"USD","SOFR",I7796,J7796,0,"Actual360","Simple","Annual","Annual","Annual")</f>
        <v>QSObject:Swap:w1~swap.7794:4175</v>
      </c>
      <c r="F7796" s="6" t="str">
        <f>_xll.QS.TRADE.CREATE("trade.7794",E7796,A7796,"Receive")</f>
        <v>QSObject:SwapTrade:w1~trade.7794:23893</v>
      </c>
      <c r="G7796" s="3">
        <f>_xll.QS.EVALUATE(C7796,F7796)</f>
        <v>60670.532005974332</v>
      </c>
      <c r="H7796" s="5" t="s">
        <v>7837</v>
      </c>
      <c r="I7796" s="7">
        <v>1779400</v>
      </c>
      <c r="J7796" s="8">
        <v>3.9399999999999998E-2</v>
      </c>
    </row>
    <row r="7797" spans="1:10" x14ac:dyDescent="0.25">
      <c r="A7797" s="5" t="s">
        <v>7831</v>
      </c>
      <c r="B7797" s="5" t="s">
        <v>9664</v>
      </c>
      <c r="C7797" s="6" t="str">
        <f>_xll.QS.CONTEXT.CREATE("market.7795",A7797,"USD","SOFR")</f>
        <v>QSObject:PricingContext:w1~market.7795:4174</v>
      </c>
      <c r="D7797" s="6" t="str">
        <f>_xll.QS.CONTEXT.ADD.CURVE(C7797,"SOFR",$K$2:$K$7,$L$2:$L$7,,,"Actual360","LogLinear",TRUE)</f>
        <v>QSObject:ContextInput:w1~input.qs_context_add_curve.2359132437744.7796.3.0:32547</v>
      </c>
      <c r="E7797" s="6" t="str">
        <f>_xll.QS.INSTRUMENT.SWAP("swap.7795",H7797,B7797,"USD","SOFR",I7797,J7797,0,"Actual360","Simple","Annual","Annual","Annual")</f>
        <v>QSObject:Swap:w1~swap.7795:4173</v>
      </c>
      <c r="F7797" s="6" t="str">
        <f>_xll.QS.TRADE.CREATE("trade.7795",E7797,A7797,"Receive")</f>
        <v>QSObject:SwapTrade:w1~trade.7795:23892</v>
      </c>
      <c r="G7797" s="3">
        <f>_xll.QS.EVALUATE(C7797,F7797)</f>
        <v>61496.501488039779</v>
      </c>
      <c r="H7797" s="5" t="s">
        <v>7838</v>
      </c>
      <c r="I7797" s="7">
        <v>1779500</v>
      </c>
      <c r="J7797" s="8">
        <v>3.9500000000000007E-2</v>
      </c>
    </row>
    <row r="7798" spans="1:10" x14ac:dyDescent="0.25">
      <c r="A7798" s="5" t="s">
        <v>7832</v>
      </c>
      <c r="B7798" s="5" t="s">
        <v>9665</v>
      </c>
      <c r="C7798" s="6" t="str">
        <f>_xll.QS.CONTEXT.CREATE("market.7796",A7798,"USD","SOFR")</f>
        <v>QSObject:PricingContext:w1~market.7796:4172</v>
      </c>
      <c r="D7798" s="6" t="str">
        <f>_xll.QS.CONTEXT.ADD.CURVE(C7798,"SOFR",$K$2:$K$7,$L$2:$L$7,,,"Actual360","LogLinear",TRUE)</f>
        <v>QSObject:ContextInput:w1~input.qs_context_add_curve.2359132437744.7797.3.0:32546</v>
      </c>
      <c r="E7798" s="6" t="str">
        <f>_xll.QS.INSTRUMENT.SWAP("swap.7796",H7798,B7798,"USD","SOFR",I7798,J7798,0,"Actual360","Simple","Annual","Annual","Annual")</f>
        <v>QSObject:Swap:w1~swap.7796:4171</v>
      </c>
      <c r="F7798" s="6" t="str">
        <f>_xll.QS.TRADE.CREATE("trade.7796",E7798,A7798,"Receive")</f>
        <v>QSObject:SwapTrade:w1~trade.7796:23891</v>
      </c>
      <c r="G7798" s="3">
        <f>_xll.QS.EVALUATE(C7798,F7798)</f>
        <v>62098.427077535838</v>
      </c>
      <c r="H7798" s="5" t="s">
        <v>7839</v>
      </c>
      <c r="I7798" s="7">
        <v>1779600</v>
      </c>
      <c r="J7798" s="8">
        <v>3.9600000000000003E-2</v>
      </c>
    </row>
    <row r="7799" spans="1:10" x14ac:dyDescent="0.25">
      <c r="A7799" s="5" t="s">
        <v>7833</v>
      </c>
      <c r="B7799" s="5" t="s">
        <v>9666</v>
      </c>
      <c r="C7799" s="6" t="str">
        <f>_xll.QS.CONTEXT.CREATE("market.7797",A7799,"USD","SOFR")</f>
        <v>QSObject:PricingContext:w1~market.7797:4170</v>
      </c>
      <c r="D7799" s="6" t="str">
        <f>_xll.QS.CONTEXT.ADD.CURVE(C7799,"SOFR",$K$2:$K$7,$L$2:$L$7,,,"Actual360","LogLinear",TRUE)</f>
        <v>QSObject:ContextInput:w1~input.qs_context_add_curve.2359132437744.7798.3.0:32545</v>
      </c>
      <c r="E7799" s="6" t="str">
        <f>_xll.QS.INSTRUMENT.SWAP("swap.7797",H7799,B7799,"USD","SOFR",I7799,J7799,0,"Actual360","Simple","Annual","Annual","Annual")</f>
        <v>QSObject:Swap:w1~swap.7797:4169</v>
      </c>
      <c r="F7799" s="6" t="str">
        <f>_xll.QS.TRADE.CREATE("trade.7797",E7799,A7799,"Receive")</f>
        <v>QSObject:SwapTrade:w1~trade.7797:23890</v>
      </c>
      <c r="G7799" s="3">
        <f>_xll.QS.EVALUATE(C7799,F7799)</f>
        <v>62927.888546240523</v>
      </c>
      <c r="H7799" s="5" t="s">
        <v>7840</v>
      </c>
      <c r="I7799" s="7">
        <v>1779700</v>
      </c>
      <c r="J7799" s="8">
        <v>3.9700000000000013E-2</v>
      </c>
    </row>
    <row r="7800" spans="1:10" x14ac:dyDescent="0.25">
      <c r="A7800" s="5" t="s">
        <v>7834</v>
      </c>
      <c r="B7800" s="5" t="s">
        <v>9667</v>
      </c>
      <c r="C7800" s="6" t="str">
        <f>_xll.QS.CONTEXT.CREATE("market.7798",A7800,"USD","SOFR")</f>
        <v>QSObject:PricingContext:w1~market.7798:4168</v>
      </c>
      <c r="D7800" s="6" t="str">
        <f>_xll.QS.CONTEXT.ADD.CURVE(C7800,"SOFR",$K$2:$K$7,$L$2:$L$7,,,"Actual360","LogLinear",TRUE)</f>
        <v>QSObject:ContextInput:w1~input.qs_context_add_curve.2359132437744.7799.3.0:32544</v>
      </c>
      <c r="E7800" s="6" t="str">
        <f>_xll.QS.INSTRUMENT.SWAP("swap.7798",H7800,B7800,"USD","SOFR",I7800,J7800,0,"Actual360","Simple","Annual","Annual","Annual")</f>
        <v>QSObject:Swap:w1~swap.7798:4167</v>
      </c>
      <c r="F7800" s="6" t="str">
        <f>_xll.QS.TRADE.CREATE("trade.7798",E7800,A7800,"Receive")</f>
        <v>QSObject:SwapTrade:w1~trade.7798:23889</v>
      </c>
      <c r="G7800" s="3">
        <f>_xll.QS.EVALUATE(C7800,F7800)</f>
        <v>63829.118373283171</v>
      </c>
      <c r="H7800" s="5" t="s">
        <v>7841</v>
      </c>
      <c r="I7800" s="7">
        <v>1779800</v>
      </c>
      <c r="J7800" s="8">
        <v>3.9800000000000002E-2</v>
      </c>
    </row>
    <row r="7801" spans="1:10" x14ac:dyDescent="0.25">
      <c r="A7801" s="5" t="s">
        <v>7835</v>
      </c>
      <c r="B7801" s="5" t="s">
        <v>9668</v>
      </c>
      <c r="C7801" s="6" t="str">
        <f>_xll.QS.CONTEXT.CREATE("market.7799",A7801,"USD","SOFR")</f>
        <v>QSObject:PricingContext:w1~market.7799:4166</v>
      </c>
      <c r="D7801" s="6" t="str">
        <f>_xll.QS.CONTEXT.ADD.CURVE(C7801,"SOFR",$K$2:$K$7,$L$2:$L$7,,,"Actual360","LogLinear",TRUE)</f>
        <v>QSObject:ContextInput:w1~input.qs_context_add_curve.2359132437744.7800.3.0:32543</v>
      </c>
      <c r="E7801" s="6" t="str">
        <f>_xll.QS.INSTRUMENT.SWAP("swap.7799",H7801,B7801,"USD","SOFR",I7801,J7801,0,"Actual360","Simple","Annual","Annual","Annual")</f>
        <v>QSObject:Swap:w1~swap.7799:4165</v>
      </c>
      <c r="F7801" s="6" t="str">
        <f>_xll.QS.TRADE.CREATE("trade.7799",E7801,A7801,"Receive")</f>
        <v>QSObject:SwapTrade:w1~trade.7799:23888</v>
      </c>
      <c r="G7801" s="3">
        <f>_xll.QS.EVALUATE(C7801,F7801)</f>
        <v>64784.244104829086</v>
      </c>
      <c r="H7801" s="5" t="s">
        <v>7842</v>
      </c>
      <c r="I7801" s="7">
        <v>1779900</v>
      </c>
      <c r="J7801" s="8">
        <v>3.9899999999999998E-2</v>
      </c>
    </row>
    <row r="7802" spans="1:10" x14ac:dyDescent="0.25">
      <c r="A7802" s="5" t="s">
        <v>7836</v>
      </c>
      <c r="B7802" s="5" t="s">
        <v>9669</v>
      </c>
      <c r="C7802" s="6" t="str">
        <f>_xll.QS.CONTEXT.CREATE("market.7800",A7802,"USD","SOFR")</f>
        <v>QSObject:PricingContext:w1~market.7800:4164</v>
      </c>
      <c r="D7802" s="6" t="str">
        <f>_xll.QS.CONTEXT.ADD.CURVE(C7802,"SOFR",$K$2:$K$7,$L$2:$L$7,,,"Actual360","LogLinear",TRUE)</f>
        <v>QSObject:ContextInput:w1~input.qs_context_add_curve.2359132437744.7801.3.0:32542</v>
      </c>
      <c r="E7802" s="6" t="str">
        <f>_xll.QS.INSTRUMENT.SWAP("swap.7800",H7802,B7802,"USD","SOFR",I7802,J7802,0,"Actual360","Simple","Annual","Annual","Annual")</f>
        <v>QSObject:Swap:w1~swap.7800:4163</v>
      </c>
      <c r="F7802" s="6" t="str">
        <f>_xll.QS.TRADE.CREATE("trade.7800",E7802,A7802,"Receive")</f>
        <v>QSObject:SwapTrade:w1~trade.7800:23887</v>
      </c>
      <c r="G7802" s="3">
        <f>_xll.QS.EVALUATE(C7802,F7802)</f>
        <v>24547.09221614289</v>
      </c>
      <c r="H7802" s="5" t="s">
        <v>7843</v>
      </c>
      <c r="I7802" s="7">
        <v>1780000</v>
      </c>
      <c r="J7802" s="8">
        <v>3.5000000000000003E-2</v>
      </c>
    </row>
    <row r="7803" spans="1:10" x14ac:dyDescent="0.25">
      <c r="A7803" s="5" t="s">
        <v>7837</v>
      </c>
      <c r="B7803" s="5" t="s">
        <v>9670</v>
      </c>
      <c r="C7803" s="6" t="str">
        <f>_xll.QS.CONTEXT.CREATE("market.7801",A7803,"USD","SOFR")</f>
        <v>QSObject:PricingContext:w1~market.7801:4162</v>
      </c>
      <c r="D7803" s="6" t="str">
        <f>_xll.QS.CONTEXT.ADD.CURVE(C7803,"SOFR",$K$2:$K$7,$L$2:$L$7,,,"Actual360","LogLinear",TRUE)</f>
        <v>QSObject:ContextInput:w1~input.qs_context_add_curve.2359132437744.7802.3.0:32541</v>
      </c>
      <c r="E7803" s="6" t="str">
        <f>_xll.QS.INSTRUMENT.SWAP("swap.7801",H7803,B7803,"USD","SOFR",I7803,J7803,0,"Actual360","Simple","Annual","Annual","Annual")</f>
        <v>QSObject:Swap:w1~swap.7801:4161</v>
      </c>
      <c r="F7803" s="6" t="str">
        <f>_xll.QS.TRADE.CREATE("trade.7801",E7803,A7803,"Receive")</f>
        <v>QSObject:SwapTrade:w1~trade.7801:23886</v>
      </c>
      <c r="G7803" s="3">
        <f>_xll.QS.EVALUATE(C7803,F7803)</f>
        <v>25379.240525309353</v>
      </c>
      <c r="H7803" s="5" t="s">
        <v>7844</v>
      </c>
      <c r="I7803" s="7">
        <v>1780100</v>
      </c>
      <c r="J7803" s="8">
        <v>3.5100000000000013E-2</v>
      </c>
    </row>
    <row r="7804" spans="1:10" x14ac:dyDescent="0.25">
      <c r="A7804" s="5" t="s">
        <v>7838</v>
      </c>
      <c r="B7804" s="5" t="s">
        <v>9671</v>
      </c>
      <c r="C7804" s="6" t="str">
        <f>_xll.QS.CONTEXT.CREATE("market.7802",A7804,"USD","SOFR")</f>
        <v>QSObject:PricingContext:w1~market.7802:4160</v>
      </c>
      <c r="D7804" s="6" t="str">
        <f>_xll.QS.CONTEXT.ADD.CURVE(C7804,"SOFR",$K$2:$K$7,$L$2:$L$7,,,"Actual360","LogLinear",TRUE)</f>
        <v>QSObject:ContextInput:w1~input.qs_context_add_curve.2359132437744.7803.3.0:32540</v>
      </c>
      <c r="E7804" s="6" t="str">
        <f>_xll.QS.INSTRUMENT.SWAP("swap.7802",H7804,B7804,"USD","SOFR",I7804,J7804,0,"Actual360","Simple","Annual","Annual","Annual")</f>
        <v>QSObject:Swap:w1~swap.7802:4159</v>
      </c>
      <c r="F7804" s="6" t="str">
        <f>_xll.QS.TRADE.CREATE("trade.7802",E7804,A7804,"Receive")</f>
        <v>QSObject:SwapTrade:w1~trade.7802:23885</v>
      </c>
      <c r="G7804" s="3">
        <f>_xll.QS.EVALUATE(C7804,F7804)</f>
        <v>26203.415258005371</v>
      </c>
      <c r="H7804" s="5" t="s">
        <v>7845</v>
      </c>
      <c r="I7804" s="7">
        <v>1780200</v>
      </c>
      <c r="J7804" s="8">
        <v>3.5200000000000002E-2</v>
      </c>
    </row>
    <row r="7805" spans="1:10" x14ac:dyDescent="0.25">
      <c r="A7805" s="5" t="s">
        <v>7839</v>
      </c>
      <c r="B7805" s="5" t="s">
        <v>9672</v>
      </c>
      <c r="C7805" s="6" t="str">
        <f>_xll.QS.CONTEXT.CREATE("market.7803",A7805,"USD","SOFR")</f>
        <v>QSObject:PricingContext:w1~market.7803:4158</v>
      </c>
      <c r="D7805" s="6" t="str">
        <f>_xll.QS.CONTEXT.ADD.CURVE(C7805,"SOFR",$K$2:$K$7,$L$2:$L$7,,,"Actual360","LogLinear",TRUE)</f>
        <v>QSObject:ContextInput:w1~input.qs_context_add_curve.2359132437744.7804.3.0:32539</v>
      </c>
      <c r="E7805" s="6" t="str">
        <f>_xll.QS.INSTRUMENT.SWAP("swap.7803",H7805,B7805,"USD","SOFR",I7805,J7805,0,"Actual360","Simple","Annual","Annual","Annual")</f>
        <v>QSObject:Swap:w1~swap.7803:4157</v>
      </c>
      <c r="F7805" s="6" t="str">
        <f>_xll.QS.TRADE.CREATE("trade.7803",E7805,A7805,"Receive")</f>
        <v>QSObject:SwapTrade:w1~trade.7803:23884</v>
      </c>
      <c r="G7805" s="3">
        <f>_xll.QS.EVALUATE(C7805,F7805)</f>
        <v>26810.696370083075</v>
      </c>
      <c r="H7805" s="5" t="s">
        <v>7846</v>
      </c>
      <c r="I7805" s="7">
        <v>1780300</v>
      </c>
      <c r="J7805" s="8">
        <v>3.5299999999999998E-2</v>
      </c>
    </row>
    <row r="7806" spans="1:10" x14ac:dyDescent="0.25">
      <c r="A7806" s="5" t="s">
        <v>7840</v>
      </c>
      <c r="B7806" s="5" t="s">
        <v>9673</v>
      </c>
      <c r="C7806" s="6" t="str">
        <f>_xll.QS.CONTEXT.CREATE("market.7804",A7806,"USD","SOFR")</f>
        <v>QSObject:PricingContext:w1~market.7804:4156</v>
      </c>
      <c r="D7806" s="6" t="str">
        <f>_xll.QS.CONTEXT.ADD.CURVE(C7806,"SOFR",$K$2:$K$7,$L$2:$L$7,,,"Actual360","LogLinear",TRUE)</f>
        <v>QSObject:ContextInput:w1~input.qs_context_add_curve.2359132437744.7805.3.0:32538</v>
      </c>
      <c r="E7806" s="6" t="str">
        <f>_xll.QS.INSTRUMENT.SWAP("swap.7804",H7806,B7806,"USD","SOFR",I7806,J7806,0,"Actual360","Simple","Annual","Annual","Annual")</f>
        <v>QSObject:Swap:w1~swap.7804:4155</v>
      </c>
      <c r="F7806" s="6" t="str">
        <f>_xll.QS.TRADE.CREATE("trade.7804",E7806,A7806,"Receive")</f>
        <v>QSObject:SwapTrade:w1~trade.7804:23883</v>
      </c>
      <c r="G7806" s="3">
        <f>_xll.QS.EVALUATE(C7806,F7806)</f>
        <v>27635.537500904291</v>
      </c>
      <c r="H7806" s="5" t="s">
        <v>7847</v>
      </c>
      <c r="I7806" s="7">
        <v>1780400</v>
      </c>
      <c r="J7806" s="8">
        <v>3.5400000000000001E-2</v>
      </c>
    </row>
    <row r="7807" spans="1:10" x14ac:dyDescent="0.25">
      <c r="A7807" s="5" t="s">
        <v>7841</v>
      </c>
      <c r="B7807" s="5" t="s">
        <v>9674</v>
      </c>
      <c r="C7807" s="6" t="str">
        <f>_xll.QS.CONTEXT.CREATE("market.7805",A7807,"USD","SOFR")</f>
        <v>QSObject:PricingContext:w1~market.7805:4154</v>
      </c>
      <c r="D7807" s="6" t="str">
        <f>_xll.QS.CONTEXT.ADD.CURVE(C7807,"SOFR",$K$2:$K$7,$L$2:$L$7,,,"Actual360","LogLinear",TRUE)</f>
        <v>QSObject:ContextInput:w1~input.qs_context_add_curve.2359132437744.7806.3.0:32537</v>
      </c>
      <c r="E7807" s="6" t="str">
        <f>_xll.QS.INSTRUMENT.SWAP("swap.7805",H7807,B7807,"USD","SOFR",I7807,J7807,0,"Actual360","Simple","Annual","Annual","Annual")</f>
        <v>QSObject:Swap:w1~swap.7805:4153</v>
      </c>
      <c r="F7807" s="6" t="str">
        <f>_xll.QS.TRADE.CREATE("trade.7805",E7807,A7807,"Receive")</f>
        <v>QSObject:SwapTrade:w1~trade.7805:23882</v>
      </c>
      <c r="G7807" s="3">
        <f>_xll.QS.EVALUATE(C7807,F7807)</f>
        <v>28531.56898894941</v>
      </c>
      <c r="H7807" s="5" t="s">
        <v>7848</v>
      </c>
      <c r="I7807" s="7">
        <v>1780500</v>
      </c>
      <c r="J7807" s="8">
        <v>3.5499999999999997E-2</v>
      </c>
    </row>
    <row r="7808" spans="1:10" x14ac:dyDescent="0.25">
      <c r="A7808" s="5" t="s">
        <v>7842</v>
      </c>
      <c r="B7808" s="5" t="s">
        <v>9675</v>
      </c>
      <c r="C7808" s="6" t="str">
        <f>_xll.QS.CONTEXT.CREATE("market.7806",A7808,"USD","SOFR")</f>
        <v>QSObject:PricingContext:w1~market.7806:4152</v>
      </c>
      <c r="D7808" s="6" t="str">
        <f>_xll.QS.CONTEXT.ADD.CURVE(C7808,"SOFR",$K$2:$K$7,$L$2:$L$7,,,"Actual360","LogLinear",TRUE)</f>
        <v>QSObject:ContextInput:w1~input.qs_context_add_curve.2359132437744.7807.3.0:32536</v>
      </c>
      <c r="E7808" s="6" t="str">
        <f>_xll.QS.INSTRUMENT.SWAP("swap.7806",H7808,B7808,"USD","SOFR",I7808,J7808,0,"Actual360","Simple","Annual","Annual","Annual")</f>
        <v>QSObject:Swap:w1~swap.7806:4151</v>
      </c>
      <c r="F7808" s="6" t="str">
        <f>_xll.QS.TRADE.CREATE("trade.7806",E7808,A7808,"Receive")</f>
        <v>QSObject:SwapTrade:w1~trade.7806:23881</v>
      </c>
      <c r="G7808" s="3">
        <f>_xll.QS.EVALUATE(C7808,F7808)</f>
        <v>29484.479280182095</v>
      </c>
      <c r="H7808" s="5" t="s">
        <v>7849</v>
      </c>
      <c r="I7808" s="7">
        <v>1780600</v>
      </c>
      <c r="J7808" s="8">
        <v>3.5600000000000007E-2</v>
      </c>
    </row>
    <row r="7809" spans="1:10" x14ac:dyDescent="0.25">
      <c r="A7809" s="5" t="s">
        <v>7843</v>
      </c>
      <c r="B7809" s="5" t="s">
        <v>9676</v>
      </c>
      <c r="C7809" s="6" t="str">
        <f>_xll.QS.CONTEXT.CREATE("market.7807",A7809,"USD","SOFR")</f>
        <v>QSObject:PricingContext:w1~market.7807:4150</v>
      </c>
      <c r="D7809" s="6" t="str">
        <f>_xll.QS.CONTEXT.ADD.CURVE(C7809,"SOFR",$K$2:$K$7,$L$2:$L$7,,,"Actual360","LogLinear",TRUE)</f>
        <v>QSObject:ContextInput:w1~input.qs_context_add_curve.2359132437744.7808.3.0:32535</v>
      </c>
      <c r="E7809" s="6" t="str">
        <f>_xll.QS.INSTRUMENT.SWAP("swap.7807",H7809,B7809,"USD","SOFR",I7809,J7809,0,"Actual360","Simple","Annual","Annual","Annual")</f>
        <v>QSObject:Swap:w1~swap.7807:4149</v>
      </c>
      <c r="F7809" s="6" t="str">
        <f>_xll.QS.TRADE.CREATE("trade.7807",E7809,A7809,"Receive")</f>
        <v>QSObject:SwapTrade:w1~trade.7807:23880</v>
      </c>
      <c r="G7809" s="3">
        <f>_xll.QS.EVALUATE(C7809,F7809)</f>
        <v>30307.380654420645</v>
      </c>
      <c r="H7809" s="5" t="s">
        <v>7850</v>
      </c>
      <c r="I7809" s="7">
        <v>1780700</v>
      </c>
      <c r="J7809" s="8">
        <v>3.5700000000000003E-2</v>
      </c>
    </row>
    <row r="7810" spans="1:10" x14ac:dyDescent="0.25">
      <c r="A7810" s="5" t="s">
        <v>7844</v>
      </c>
      <c r="B7810" s="5" t="s">
        <v>9677</v>
      </c>
      <c r="C7810" s="6" t="str">
        <f>_xll.QS.CONTEXT.CREATE("market.7808",A7810,"USD","SOFR")</f>
        <v>QSObject:PricingContext:w1~market.7808:4148</v>
      </c>
      <c r="D7810" s="6" t="str">
        <f>_xll.QS.CONTEXT.ADD.CURVE(C7810,"SOFR",$K$2:$K$7,$L$2:$L$7,,,"Actual360","LogLinear",TRUE)</f>
        <v>QSObject:ContextInput:w1~input.qs_context_add_curve.2359132437744.7809.3.0:32534</v>
      </c>
      <c r="E7810" s="6" t="str">
        <f>_xll.QS.INSTRUMENT.SWAP("swap.7808",H7810,B7810,"USD","SOFR",I7810,J7810,0,"Actual360","Simple","Annual","Annual","Annual")</f>
        <v>QSObject:Swap:w1~swap.7808:4147</v>
      </c>
      <c r="F7810" s="6" t="str">
        <f>_xll.QS.TRADE.CREATE("trade.7808",E7810,A7810,"Receive")</f>
        <v>QSObject:SwapTrade:w1~trade.7808:23879</v>
      </c>
      <c r="G7810" s="3">
        <f>_xll.QS.EVALUATE(C7810,F7810)</f>
        <v>31139.921819225929</v>
      </c>
      <c r="H7810" s="5" t="s">
        <v>7851</v>
      </c>
      <c r="I7810" s="7">
        <v>1780800</v>
      </c>
      <c r="J7810" s="8">
        <v>3.5800000000000012E-2</v>
      </c>
    </row>
    <row r="7811" spans="1:10" x14ac:dyDescent="0.25">
      <c r="A7811" s="5" t="s">
        <v>7845</v>
      </c>
      <c r="B7811" s="5" t="s">
        <v>9678</v>
      </c>
      <c r="C7811" s="6" t="str">
        <f>_xll.QS.CONTEXT.CREATE("market.7809",A7811,"USD","SOFR")</f>
        <v>QSObject:PricingContext:w1~market.7809:4146</v>
      </c>
      <c r="D7811" s="6" t="str">
        <f>_xll.QS.CONTEXT.ADD.CURVE(C7811,"SOFR",$K$2:$K$7,$L$2:$L$7,,,"Actual360","LogLinear",TRUE)</f>
        <v>QSObject:ContextInput:w1~input.qs_context_add_curve.2359132437744.7810.3.0:32533</v>
      </c>
      <c r="E7811" s="6" t="str">
        <f>_xll.QS.INSTRUMENT.SWAP("swap.7809",H7811,B7811,"USD","SOFR",I7811,J7811,0,"Actual360","Simple","Annual","Annual","Annual")</f>
        <v>QSObject:Swap:w1~swap.7809:4145</v>
      </c>
      <c r="F7811" s="6" t="str">
        <f>_xll.QS.TRADE.CREATE("trade.7809",E7811,A7811,"Receive")</f>
        <v>QSObject:SwapTrade:w1~trade.7809:23878</v>
      </c>
      <c r="G7811" s="3">
        <f>_xll.QS.EVALUATE(C7811,F7811)</f>
        <v>31965.418743154354</v>
      </c>
      <c r="H7811" s="5" t="s">
        <v>7852</v>
      </c>
      <c r="I7811" s="7">
        <v>1780900</v>
      </c>
      <c r="J7811" s="8">
        <v>3.5900000000000001E-2</v>
      </c>
    </row>
    <row r="7812" spans="1:10" x14ac:dyDescent="0.25">
      <c r="A7812" s="5" t="s">
        <v>7846</v>
      </c>
      <c r="B7812" s="5" t="s">
        <v>9679</v>
      </c>
      <c r="C7812" s="6" t="str">
        <f>_xll.QS.CONTEXT.CREATE("market.7810",A7812,"USD","SOFR")</f>
        <v>QSObject:PricingContext:w1~market.7810:4144</v>
      </c>
      <c r="D7812" s="6" t="str">
        <f>_xll.QS.CONTEXT.ADD.CURVE(C7812,"SOFR",$K$2:$K$7,$L$2:$L$7,,,"Actual360","LogLinear",TRUE)</f>
        <v>QSObject:ContextInput:w1~input.qs_context_add_curve.2359132437744.7811.3.0:32532</v>
      </c>
      <c r="E7812" s="6" t="str">
        <f>_xll.QS.INSTRUMENT.SWAP("swap.7810",H7812,B7812,"USD","SOFR",I7812,J7812,0,"Actual360","Simple","Annual","Annual","Annual")</f>
        <v>QSObject:Swap:w1~swap.7810:4143</v>
      </c>
      <c r="F7812" s="6" t="str">
        <f>_xll.QS.TRADE.CREATE("trade.7810",E7812,A7812,"Receive")</f>
        <v>QSObject:SwapTrade:w1~trade.7810:23877</v>
      </c>
      <c r="G7812" s="3">
        <f>_xll.QS.EVALUATE(C7812,F7812)</f>
        <v>32499.302559023752</v>
      </c>
      <c r="H7812" s="5" t="s">
        <v>7853</v>
      </c>
      <c r="I7812" s="7">
        <v>1781000</v>
      </c>
      <c r="J7812" s="8">
        <v>3.5999999999999997E-2</v>
      </c>
    </row>
    <row r="7813" spans="1:10" x14ac:dyDescent="0.25">
      <c r="A7813" s="5" t="s">
        <v>7847</v>
      </c>
      <c r="B7813" s="5" t="s">
        <v>9680</v>
      </c>
      <c r="C7813" s="6" t="str">
        <f>_xll.QS.CONTEXT.CREATE("market.7811",A7813,"USD","SOFR")</f>
        <v>QSObject:PricingContext:w1~market.7811:4142</v>
      </c>
      <c r="D7813" s="6" t="str">
        <f>_xll.QS.CONTEXT.ADD.CURVE(C7813,"SOFR",$K$2:$K$7,$L$2:$L$7,,,"Actual360","LogLinear",TRUE)</f>
        <v>QSObject:ContextInput:w1~input.qs_context_add_curve.2359132437744.7812.3.0:32531</v>
      </c>
      <c r="E7813" s="6" t="str">
        <f>_xll.QS.INSTRUMENT.SWAP("swap.7811",H7813,B7813,"USD","SOFR",I7813,J7813,0,"Actual360","Simple","Annual","Annual","Annual")</f>
        <v>QSObject:Swap:w1~swap.7811:4141</v>
      </c>
      <c r="F7813" s="6" t="str">
        <f>_xll.QS.TRADE.CREATE("trade.7811",E7813,A7813,"Receive")</f>
        <v>QSObject:SwapTrade:w1~trade.7811:23876</v>
      </c>
      <c r="G7813" s="3">
        <f>_xll.QS.EVALUATE(C7813,F7813)</f>
        <v>33325.12155145633</v>
      </c>
      <c r="H7813" s="5" t="s">
        <v>7854</v>
      </c>
      <c r="I7813" s="7">
        <v>1781100</v>
      </c>
      <c r="J7813" s="8">
        <v>3.61E-2</v>
      </c>
    </row>
    <row r="7814" spans="1:10" x14ac:dyDescent="0.25">
      <c r="A7814" s="5" t="s">
        <v>7848</v>
      </c>
      <c r="B7814" s="5" t="s">
        <v>9681</v>
      </c>
      <c r="C7814" s="6" t="str">
        <f>_xll.QS.CONTEXT.CREATE("market.7812",A7814,"USD","SOFR")</f>
        <v>QSObject:PricingContext:w1~market.7812:4140</v>
      </c>
      <c r="D7814" s="6" t="str">
        <f>_xll.QS.CONTEXT.ADD.CURVE(C7814,"SOFR",$K$2:$K$7,$L$2:$L$7,,,"Actual360","LogLinear",TRUE)</f>
        <v>QSObject:ContextInput:w1~input.qs_context_add_curve.2359132437744.7813.3.0:32530</v>
      </c>
      <c r="E7814" s="6" t="str">
        <f>_xll.QS.INSTRUMENT.SWAP("swap.7812",H7814,B7814,"USD","SOFR",I7814,J7814,0,"Actual360","Simple","Annual","Annual","Annual")</f>
        <v>QSObject:Swap:w1~swap.7812:4139</v>
      </c>
      <c r="F7814" s="6" t="str">
        <f>_xll.QS.TRADE.CREATE("trade.7812",E7814,A7814,"Receive")</f>
        <v>QSObject:SwapTrade:w1~trade.7812:23875</v>
      </c>
      <c r="G7814" s="3">
        <f>_xll.QS.EVALUATE(C7814,F7814)</f>
        <v>34223.030443522039</v>
      </c>
      <c r="H7814" s="5" t="s">
        <v>7855</v>
      </c>
      <c r="I7814" s="7">
        <v>1781200</v>
      </c>
      <c r="J7814" s="8">
        <v>3.6200000000000003E-2</v>
      </c>
    </row>
    <row r="7815" spans="1:10" x14ac:dyDescent="0.25">
      <c r="A7815" s="5" t="s">
        <v>7849</v>
      </c>
      <c r="B7815" s="5" t="s">
        <v>9682</v>
      </c>
      <c r="C7815" s="6" t="str">
        <f>_xll.QS.CONTEXT.CREATE("market.7813",A7815,"USD","SOFR")</f>
        <v>QSObject:PricingContext:w1~market.7813:4138</v>
      </c>
      <c r="D7815" s="6" t="str">
        <f>_xll.QS.CONTEXT.ADD.CURVE(C7815,"SOFR",$K$2:$K$7,$L$2:$L$7,,,"Actual360","LogLinear",TRUE)</f>
        <v>QSObject:ContextInput:w1~input.qs_context_add_curve.2359132437744.7814.3.0:32529</v>
      </c>
      <c r="E7815" s="6" t="str">
        <f>_xll.QS.INSTRUMENT.SWAP("swap.7813",H7815,B7815,"USD","SOFR",I7815,J7815,0,"Actual360","Simple","Annual","Annual","Annual")</f>
        <v>QSObject:Swap:w1~swap.7813:4137</v>
      </c>
      <c r="F7815" s="6" t="str">
        <f>_xll.QS.TRADE.CREATE("trade.7813",E7815,A7815,"Receive")</f>
        <v>QSObject:SwapTrade:w1~trade.7813:23874</v>
      </c>
      <c r="G7815" s="3">
        <f>_xll.QS.EVALUATE(C7815,F7815)</f>
        <v>35315.523663618813</v>
      </c>
      <c r="H7815" s="5" t="s">
        <v>7856</v>
      </c>
      <c r="I7815" s="7">
        <v>1781300</v>
      </c>
      <c r="J7815" s="8">
        <v>3.6300000000000013E-2</v>
      </c>
    </row>
    <row r="7816" spans="1:10" x14ac:dyDescent="0.25">
      <c r="A7816" s="5" t="s">
        <v>7850</v>
      </c>
      <c r="B7816" s="5" t="s">
        <v>9683</v>
      </c>
      <c r="C7816" s="6" t="str">
        <f>_xll.QS.CONTEXT.CREATE("market.7814",A7816,"USD","SOFR")</f>
        <v>QSObject:PricingContext:w1~market.7814:4136</v>
      </c>
      <c r="D7816" s="6" t="str">
        <f>_xll.QS.CONTEXT.ADD.CURVE(C7816,"SOFR",$K$2:$K$7,$L$2:$L$7,,,"Actual360","LogLinear",TRUE)</f>
        <v>QSObject:ContextInput:w1~input.qs_context_add_curve.2359132437744.7815.3.0:32528</v>
      </c>
      <c r="E7816" s="6" t="str">
        <f>_xll.QS.INSTRUMENT.SWAP("swap.7814",H7816,B7816,"USD","SOFR",I7816,J7816,0,"Actual360","Simple","Annual","Annual","Annual")</f>
        <v>QSObject:Swap:w1~swap.7814:4135</v>
      </c>
      <c r="F7816" s="6" t="str">
        <f>_xll.QS.TRADE.CREATE("trade.7814",E7816,A7816,"Receive")</f>
        <v>QSObject:SwapTrade:w1~trade.7814:23873</v>
      </c>
      <c r="G7816" s="3">
        <f>_xll.QS.EVALUATE(C7816,F7816)</f>
        <v>36138.617291024944</v>
      </c>
      <c r="H7816" s="5" t="s">
        <v>7857</v>
      </c>
      <c r="I7816" s="7">
        <v>1781400</v>
      </c>
      <c r="J7816" s="8">
        <v>3.6400000000000002E-2</v>
      </c>
    </row>
    <row r="7817" spans="1:10" x14ac:dyDescent="0.25">
      <c r="A7817" s="5" t="s">
        <v>7851</v>
      </c>
      <c r="B7817" s="5" t="s">
        <v>9684</v>
      </c>
      <c r="C7817" s="6" t="str">
        <f>_xll.QS.CONTEXT.CREATE("market.7815",A7817,"USD","SOFR")</f>
        <v>QSObject:PricingContext:w1~market.7815:4134</v>
      </c>
      <c r="D7817" s="6" t="str">
        <f>_xll.QS.CONTEXT.ADD.CURVE(C7817,"SOFR",$K$2:$K$7,$L$2:$L$7,,,"Actual360","LogLinear",TRUE)</f>
        <v>QSObject:ContextInput:w1~input.qs_context_add_curve.2359132437744.7816.3.0:32527</v>
      </c>
      <c r="E7817" s="6" t="str">
        <f>_xll.QS.INSTRUMENT.SWAP("swap.7815",H7817,B7817,"USD","SOFR",I7817,J7817,0,"Actual360","Simple","Annual","Annual","Annual")</f>
        <v>QSObject:Swap:w1~swap.7815:4133</v>
      </c>
      <c r="F7817" s="6" t="str">
        <f>_xll.QS.TRADE.CREATE("trade.7815",E7817,A7817,"Receive")</f>
        <v>QSObject:SwapTrade:w1~trade.7815:23872</v>
      </c>
      <c r="G7817" s="3">
        <f>_xll.QS.EVALUATE(C7817,F7817)</f>
        <v>36977.714991253524</v>
      </c>
      <c r="H7817" s="5" t="s">
        <v>7858</v>
      </c>
      <c r="I7817" s="7">
        <v>1781500</v>
      </c>
      <c r="J7817" s="8">
        <v>3.6499999999999998E-2</v>
      </c>
    </row>
    <row r="7818" spans="1:10" x14ac:dyDescent="0.25">
      <c r="A7818" s="5" t="s">
        <v>7852</v>
      </c>
      <c r="B7818" s="5" t="s">
        <v>9685</v>
      </c>
      <c r="C7818" s="6" t="str">
        <f>_xll.QS.CONTEXT.CREATE("market.7816",A7818,"USD","SOFR")</f>
        <v>QSObject:PricingContext:w1~market.7816:4132</v>
      </c>
      <c r="D7818" s="6" t="str">
        <f>_xll.QS.CONTEXT.ADD.CURVE(C7818,"SOFR",$K$2:$K$7,$L$2:$L$7,,,"Actual360","LogLinear",TRUE)</f>
        <v>QSObject:ContextInput:w1~input.qs_context_add_curve.2359132437744.7817.3.0:32526</v>
      </c>
      <c r="E7818" s="6" t="str">
        <f>_xll.QS.INSTRUMENT.SWAP("swap.7816",H7818,B7818,"USD","SOFR",I7818,J7818,0,"Actual360","Simple","Annual","Annual","Annual")</f>
        <v>QSObject:Swap:w1~swap.7816:4131</v>
      </c>
      <c r="F7818" s="6" t="str">
        <f>_xll.QS.TRADE.CREATE("trade.7816",E7818,A7818,"Receive")</f>
        <v>QSObject:SwapTrade:w1~trade.7816:23871</v>
      </c>
      <c r="G7818" s="3">
        <f>_xll.QS.EVALUATE(C7818,F7818)</f>
        <v>37802.967401115515</v>
      </c>
      <c r="H7818" s="5" t="s">
        <v>7859</v>
      </c>
      <c r="I7818" s="7">
        <v>1781600</v>
      </c>
      <c r="J7818" s="8">
        <v>3.6600000000000001E-2</v>
      </c>
    </row>
    <row r="7819" spans="1:10" x14ac:dyDescent="0.25">
      <c r="A7819" s="5" t="s">
        <v>7853</v>
      </c>
      <c r="B7819" s="5" t="s">
        <v>9686</v>
      </c>
      <c r="C7819" s="6" t="str">
        <f>_xll.QS.CONTEXT.CREATE("market.7817",A7819,"USD","SOFR")</f>
        <v>QSObject:PricingContext:w1~market.7817:4130</v>
      </c>
      <c r="D7819" s="6" t="str">
        <f>_xll.QS.CONTEXT.ADD.CURVE(C7819,"SOFR",$K$2:$K$7,$L$2:$L$7,,,"Actual360","LogLinear",TRUE)</f>
        <v>QSObject:ContextInput:w1~input.qs_context_add_curve.2359132437744.7818.3.0:32525</v>
      </c>
      <c r="E7819" s="6" t="str">
        <f>_xll.QS.INSTRUMENT.SWAP("swap.7817",H7819,B7819,"USD","SOFR",I7819,J7819,0,"Actual360","Simple","Annual","Annual","Annual")</f>
        <v>QSObject:Swap:w1~swap.7817:4129</v>
      </c>
      <c r="F7819" s="6" t="str">
        <f>_xll.QS.TRADE.CREATE("trade.7817",E7819,A7819,"Receive")</f>
        <v>QSObject:SwapTrade:w1~trade.7817:23870</v>
      </c>
      <c r="G7819" s="3">
        <f>_xll.QS.EVALUATE(C7819,F7819)</f>
        <v>38409.062587422428</v>
      </c>
      <c r="H7819" s="5" t="s">
        <v>7860</v>
      </c>
      <c r="I7819" s="7">
        <v>1781700</v>
      </c>
      <c r="J7819" s="8">
        <v>3.6700000000000003E-2</v>
      </c>
    </row>
    <row r="7820" spans="1:10" x14ac:dyDescent="0.25">
      <c r="A7820" s="5" t="s">
        <v>7854</v>
      </c>
      <c r="B7820" s="5" t="s">
        <v>9687</v>
      </c>
      <c r="C7820" s="6" t="str">
        <f>_xll.QS.CONTEXT.CREATE("market.7818",A7820,"USD","SOFR")</f>
        <v>QSObject:PricingContext:w1~market.7818:4128</v>
      </c>
      <c r="D7820" s="6" t="str">
        <f>_xll.QS.CONTEXT.ADD.CURVE(C7820,"SOFR",$K$2:$K$7,$L$2:$L$7,,,"Actual360","LogLinear",TRUE)</f>
        <v>QSObject:ContextInput:w1~input.qs_context_add_curve.2359132437744.7819.3.0:32524</v>
      </c>
      <c r="E7820" s="6" t="str">
        <f>_xll.QS.INSTRUMENT.SWAP("swap.7818",H7820,B7820,"USD","SOFR",I7820,J7820,0,"Actual360","Simple","Annual","Annual","Annual")</f>
        <v>QSObject:Swap:w1~swap.7818:4127</v>
      </c>
      <c r="F7820" s="6" t="str">
        <f>_xll.QS.TRADE.CREATE("trade.7818",E7820,A7820,"Receive")</f>
        <v>QSObject:SwapTrade:w1~trade.7818:23869</v>
      </c>
      <c r="G7820" s="3">
        <f>_xll.QS.EVALUATE(C7820,F7820)</f>
        <v>39236.355841386896</v>
      </c>
      <c r="H7820" s="5" t="s">
        <v>7861</v>
      </c>
      <c r="I7820" s="7">
        <v>1781800</v>
      </c>
      <c r="J7820" s="8">
        <v>3.6800000000000013E-2</v>
      </c>
    </row>
    <row r="7821" spans="1:10" x14ac:dyDescent="0.25">
      <c r="A7821" s="5" t="s">
        <v>7855</v>
      </c>
      <c r="B7821" s="5" t="s">
        <v>9688</v>
      </c>
      <c r="C7821" s="6" t="str">
        <f>_xll.QS.CONTEXT.CREATE("market.7819",A7821,"USD","SOFR")</f>
        <v>QSObject:PricingContext:w1~market.7819:4126</v>
      </c>
      <c r="D7821" s="6" t="str">
        <f>_xll.QS.CONTEXT.ADD.CURVE(C7821,"SOFR",$K$2:$K$7,$L$2:$L$7,,,"Actual360","LogLinear",TRUE)</f>
        <v>QSObject:ContextInput:w1~input.qs_context_add_curve.2359132437744.7820.3.0:32523</v>
      </c>
      <c r="E7821" s="6" t="str">
        <f>_xll.QS.INSTRUMENT.SWAP("swap.7819",H7821,B7821,"USD","SOFR",I7821,J7821,0,"Actual360","Simple","Annual","Annual","Annual")</f>
        <v>QSObject:Swap:w1~swap.7819:4125</v>
      </c>
      <c r="F7821" s="6" t="str">
        <f>_xll.QS.TRADE.CREATE("trade.7819",E7821,A7821,"Receive")</f>
        <v>QSObject:SwapTrade:w1~trade.7819:23868</v>
      </c>
      <c r="G7821" s="3">
        <f>_xll.QS.EVALUATE(C7821,F7821)</f>
        <v>40063.520747845869</v>
      </c>
      <c r="H7821" s="5" t="s">
        <v>7862</v>
      </c>
      <c r="I7821" s="7">
        <v>1781900</v>
      </c>
      <c r="J7821" s="8">
        <v>3.6900000000000002E-2</v>
      </c>
    </row>
    <row r="7822" spans="1:10" x14ac:dyDescent="0.25">
      <c r="A7822" s="5" t="s">
        <v>7856</v>
      </c>
      <c r="B7822" s="5" t="s">
        <v>9689</v>
      </c>
      <c r="C7822" s="6" t="str">
        <f>_xll.QS.CONTEXT.CREATE("market.7820",A7822,"USD","SOFR")</f>
        <v>QSObject:PricingContext:w1~market.7820:4124</v>
      </c>
      <c r="D7822" s="6" t="str">
        <f>_xll.QS.CONTEXT.ADD.CURVE(C7822,"SOFR",$K$2:$K$7,$L$2:$L$7,,,"Actual360","LogLinear",TRUE)</f>
        <v>QSObject:ContextInput:w1~input.qs_context_add_curve.2359132437744.7821.3.0:32522</v>
      </c>
      <c r="E7822" s="6" t="str">
        <f>_xll.QS.INSTRUMENT.SWAP("swap.7820",H7822,B7822,"USD","SOFR",I7822,J7822,0,"Actual360","Simple","Annual","Annual","Annual")</f>
        <v>QSObject:Swap:w1~swap.7820:4123</v>
      </c>
      <c r="F7822" s="6" t="str">
        <f>_xll.QS.TRADE.CREATE("trade.7820",E7822,A7822,"Receive")</f>
        <v>QSObject:SwapTrade:w1~trade.7820:23867</v>
      </c>
      <c r="G7822" s="3">
        <f>_xll.QS.EVALUATE(C7822,F7822)</f>
        <v>41018.077257036828</v>
      </c>
      <c r="H7822" s="5" t="s">
        <v>7863</v>
      </c>
      <c r="I7822" s="7">
        <v>1782000</v>
      </c>
      <c r="J7822" s="8">
        <v>3.7000000000000012E-2</v>
      </c>
    </row>
    <row r="7823" spans="1:10" x14ac:dyDescent="0.25">
      <c r="A7823" s="5" t="s">
        <v>7857</v>
      </c>
      <c r="B7823" s="5" t="s">
        <v>9690</v>
      </c>
      <c r="C7823" s="6" t="str">
        <f>_xll.QS.CONTEXT.CREATE("market.7821",A7823,"USD","SOFR")</f>
        <v>QSObject:PricingContext:w1~market.7821:4122</v>
      </c>
      <c r="D7823" s="6" t="str">
        <f>_xll.QS.CONTEXT.ADD.CURVE(C7823,"SOFR",$K$2:$K$7,$L$2:$L$7,,,"Actual360","LogLinear",TRUE)</f>
        <v>QSObject:ContextInput:w1~input.qs_context_add_curve.2359132437744.7822.3.0:32521</v>
      </c>
      <c r="E7823" s="6" t="str">
        <f>_xll.QS.INSTRUMENT.SWAP("swap.7821",H7823,B7823,"USD","SOFR",I7823,J7823,0,"Actual360","Simple","Annual","Annual","Annual")</f>
        <v>QSObject:Swap:w1~swap.7821:4121</v>
      </c>
      <c r="F7823" s="6" t="str">
        <f>_xll.QS.TRADE.CREATE("trade.7821",E7823,A7823,"Receive")</f>
        <v>QSObject:SwapTrade:w1~trade.7821:23866</v>
      </c>
      <c r="G7823" s="3">
        <f>_xll.QS.EVALUATE(C7823,F7823)</f>
        <v>41842.319597167254</v>
      </c>
      <c r="H7823" s="5" t="s">
        <v>7864</v>
      </c>
      <c r="I7823" s="7">
        <v>1782100</v>
      </c>
      <c r="J7823" s="8">
        <v>3.7100000000000001E-2</v>
      </c>
    </row>
    <row r="7824" spans="1:10" x14ac:dyDescent="0.25">
      <c r="A7824" s="5" t="s">
        <v>7858</v>
      </c>
      <c r="B7824" s="5" t="s">
        <v>9691</v>
      </c>
      <c r="C7824" s="6" t="str">
        <f>_xll.QS.CONTEXT.CREATE("market.7822",A7824,"USD","SOFR")</f>
        <v>QSObject:PricingContext:w1~market.7822:4120</v>
      </c>
      <c r="D7824" s="6" t="str">
        <f>_xll.QS.CONTEXT.ADD.CURVE(C7824,"SOFR",$K$2:$K$7,$L$2:$L$7,,,"Actual360","LogLinear",TRUE)</f>
        <v>QSObject:ContextInput:w1~input.qs_context_add_curve.2359132437744.7823.3.0:32520</v>
      </c>
      <c r="E7824" s="6" t="str">
        <f>_xll.QS.INSTRUMENT.SWAP("swap.7822",H7824,B7824,"USD","SOFR",I7824,J7824,0,"Actual360","Simple","Annual","Annual","Annual")</f>
        <v>QSObject:Swap:w1~swap.7822:4119</v>
      </c>
      <c r="F7824" s="6" t="str">
        <f>_xll.QS.TRADE.CREATE("trade.7822",E7824,A7824,"Receive")</f>
        <v>QSObject:SwapTrade:w1~trade.7822:23865</v>
      </c>
      <c r="G7824" s="3">
        <f>_xll.QS.EVALUATE(C7824,F7824)</f>
        <v>42676.464993329479</v>
      </c>
      <c r="H7824" s="5" t="s">
        <v>7865</v>
      </c>
      <c r="I7824" s="7">
        <v>1782200</v>
      </c>
      <c r="J7824" s="8">
        <v>3.7199999999999997E-2</v>
      </c>
    </row>
    <row r="7825" spans="1:10" x14ac:dyDescent="0.25">
      <c r="A7825" s="5" t="s">
        <v>7859</v>
      </c>
      <c r="B7825" s="5" t="s">
        <v>9692</v>
      </c>
      <c r="C7825" s="6" t="str">
        <f>_xll.QS.CONTEXT.CREATE("market.7823",A7825,"USD","SOFR")</f>
        <v>QSObject:PricingContext:w1~market.7823:4118</v>
      </c>
      <c r="D7825" s="6" t="str">
        <f>_xll.QS.CONTEXT.ADD.CURVE(C7825,"SOFR",$K$2:$K$7,$L$2:$L$7,,,"Actual360","LogLinear",TRUE)</f>
        <v>QSObject:ContextInput:w1~input.qs_context_add_curve.2359132437744.7824.3.0:32519</v>
      </c>
      <c r="E7825" s="6" t="str">
        <f>_xll.QS.INSTRUMENT.SWAP("swap.7823",H7825,B7825,"USD","SOFR",I7825,J7825,0,"Actual360","Simple","Annual","Annual","Annual")</f>
        <v>QSObject:Swap:w1~swap.7823:4117</v>
      </c>
      <c r="F7825" s="6" t="str">
        <f>_xll.QS.TRADE.CREATE("trade.7823",E7825,A7825,"Receive")</f>
        <v>QSObject:SwapTrade:w1~trade.7823:23864</v>
      </c>
      <c r="G7825" s="3">
        <f>_xll.QS.EVALUATE(C7825,F7825)</f>
        <v>43502.644881186578</v>
      </c>
      <c r="H7825" s="5" t="s">
        <v>7866</v>
      </c>
      <c r="I7825" s="7">
        <v>1782300</v>
      </c>
      <c r="J7825" s="8">
        <v>3.73E-2</v>
      </c>
    </row>
    <row r="7826" spans="1:10" x14ac:dyDescent="0.25">
      <c r="A7826" s="5" t="s">
        <v>7860</v>
      </c>
      <c r="B7826" s="5" t="s">
        <v>9693</v>
      </c>
      <c r="C7826" s="6" t="str">
        <f>_xll.QS.CONTEXT.CREATE("market.7824",A7826,"USD","SOFR")</f>
        <v>QSObject:PricingContext:w1~market.7824:4116</v>
      </c>
      <c r="D7826" s="6" t="str">
        <f>_xll.QS.CONTEXT.ADD.CURVE(C7826,"SOFR",$K$2:$K$7,$L$2:$L$7,,,"Actual360","LogLinear",TRUE)</f>
        <v>QSObject:ContextInput:w1~input.qs_context_add_curve.2359132437744.7825.3.0:32518</v>
      </c>
      <c r="E7826" s="6" t="str">
        <f>_xll.QS.INSTRUMENT.SWAP("swap.7824",H7826,B7826,"USD","SOFR",I7826,J7826,0,"Actual360","Simple","Annual","Annual","Annual")</f>
        <v>QSObject:Swap:w1~swap.7824:4115</v>
      </c>
      <c r="F7826" s="6" t="str">
        <f>_xll.QS.TRADE.CREATE("trade.7824",E7826,A7826,"Receive")</f>
        <v>QSObject:SwapTrade:w1~trade.7824:23863</v>
      </c>
      <c r="G7826" s="3">
        <f>_xll.QS.EVALUATE(C7826,F7826)</f>
        <v>44108.135977128288</v>
      </c>
      <c r="H7826" s="5" t="s">
        <v>7867</v>
      </c>
      <c r="I7826" s="7">
        <v>1782400</v>
      </c>
      <c r="J7826" s="8">
        <v>3.7400000000000003E-2</v>
      </c>
    </row>
    <row r="7827" spans="1:10" x14ac:dyDescent="0.25">
      <c r="A7827" s="5" t="s">
        <v>7861</v>
      </c>
      <c r="B7827" s="5" t="s">
        <v>9694</v>
      </c>
      <c r="C7827" s="6" t="str">
        <f>_xll.QS.CONTEXT.CREATE("market.7825",A7827,"USD","SOFR")</f>
        <v>QSObject:PricingContext:w1~market.7825:4114</v>
      </c>
      <c r="D7827" s="6" t="str">
        <f>_xll.QS.CONTEXT.ADD.CURVE(C7827,"SOFR",$K$2:$K$7,$L$2:$L$7,,,"Actual360","LogLinear",TRUE)</f>
        <v>QSObject:ContextInput:w1~input.qs_context_add_curve.2359132437744.7826.3.0:32517</v>
      </c>
      <c r="E7827" s="6" t="str">
        <f>_xll.QS.INSTRUMENT.SWAP("swap.7825",H7827,B7827,"USD","SOFR",I7827,J7827,0,"Actual360","Simple","Annual","Annual","Annual")</f>
        <v>QSObject:Swap:w1~swap.7825:4113</v>
      </c>
      <c r="F7827" s="6" t="str">
        <f>_xll.QS.TRADE.CREATE("trade.7825",E7827,A7827,"Receive")</f>
        <v>QSObject:SwapTrade:w1~trade.7825:23862</v>
      </c>
      <c r="G7827" s="3">
        <f>_xll.QS.EVALUATE(C7827,F7827)</f>
        <v>44936.365050329281</v>
      </c>
      <c r="H7827" s="5" t="s">
        <v>7868</v>
      </c>
      <c r="I7827" s="7">
        <v>1782500</v>
      </c>
      <c r="J7827" s="8">
        <v>3.7500000000000012E-2</v>
      </c>
    </row>
    <row r="7828" spans="1:10" x14ac:dyDescent="0.25">
      <c r="A7828" s="5" t="s">
        <v>7862</v>
      </c>
      <c r="B7828" s="5" t="s">
        <v>9695</v>
      </c>
      <c r="C7828" s="6" t="str">
        <f>_xll.QS.CONTEXT.CREATE("market.7826",A7828,"USD","SOFR")</f>
        <v>QSObject:PricingContext:w1~market.7826:4112</v>
      </c>
      <c r="D7828" s="6" t="str">
        <f>_xll.QS.CONTEXT.ADD.CURVE(C7828,"SOFR",$K$2:$K$7,$L$2:$L$7,,,"Actual360","LogLinear",TRUE)</f>
        <v>QSObject:ContextInput:w1~input.qs_context_add_curve.2359132437744.7827.3.0:32516</v>
      </c>
      <c r="E7828" s="6" t="str">
        <f>_xll.QS.INSTRUMENT.SWAP("swap.7826",H7828,B7828,"USD","SOFR",I7828,J7828,0,"Actual360","Simple","Annual","Annual","Annual")</f>
        <v>QSObject:Swap:w1~swap.7826:4111</v>
      </c>
      <c r="F7828" s="6" t="str">
        <f>_xll.QS.TRADE.CREATE("trade.7826",E7828,A7828,"Receive")</f>
        <v>QSObject:SwapTrade:w1~trade.7826:23861</v>
      </c>
      <c r="G7828" s="3">
        <f>_xll.QS.EVALUATE(C7828,F7828)</f>
        <v>45836.222376397454</v>
      </c>
      <c r="H7828" s="5" t="s">
        <v>7869</v>
      </c>
      <c r="I7828" s="7">
        <v>1782600</v>
      </c>
      <c r="J7828" s="8">
        <v>3.7600000000000001E-2</v>
      </c>
    </row>
    <row r="7829" spans="1:10" x14ac:dyDescent="0.25">
      <c r="A7829" s="5" t="s">
        <v>7863</v>
      </c>
      <c r="B7829" s="5" t="s">
        <v>9696</v>
      </c>
      <c r="C7829" s="6" t="str">
        <f>_xll.QS.CONTEXT.CREATE("market.7827",A7829,"USD","SOFR")</f>
        <v>QSObject:PricingContext:w1~market.7827:4110</v>
      </c>
      <c r="D7829" s="6" t="str">
        <f>_xll.QS.CONTEXT.ADD.CURVE(C7829,"SOFR",$K$2:$K$7,$L$2:$L$7,,,"Actual360","LogLinear",TRUE)</f>
        <v>QSObject:ContextInput:w1~input.qs_context_add_curve.2359132437744.7828.3.0:32515</v>
      </c>
      <c r="E7829" s="6" t="str">
        <f>_xll.QS.INSTRUMENT.SWAP("swap.7827",H7829,B7829,"USD","SOFR",I7829,J7829,0,"Actual360","Simple","Annual","Annual","Annual")</f>
        <v>QSObject:Swap:w1~swap.7827:4109</v>
      </c>
      <c r="F7829" s="6" t="str">
        <f>_xll.QS.TRADE.CREATE("trade.7827",E7829,A7829,"Receive")</f>
        <v>QSObject:SwapTrade:w1~trade.7827:23860</v>
      </c>
      <c r="G7829" s="3">
        <f>_xll.QS.EVALUATE(C7829,F7829)</f>
        <v>46791.561388821858</v>
      </c>
      <c r="H7829" s="5" t="s">
        <v>7870</v>
      </c>
      <c r="I7829" s="7">
        <v>1782700</v>
      </c>
      <c r="J7829" s="8">
        <v>3.7699999999999997E-2</v>
      </c>
    </row>
    <row r="7830" spans="1:10" x14ac:dyDescent="0.25">
      <c r="A7830" s="5" t="s">
        <v>7864</v>
      </c>
      <c r="B7830" s="5" t="s">
        <v>9697</v>
      </c>
      <c r="C7830" s="6" t="str">
        <f>_xll.QS.CONTEXT.CREATE("market.7828",A7830,"USD","SOFR")</f>
        <v>QSObject:PricingContext:w1~market.7828:4108</v>
      </c>
      <c r="D7830" s="6" t="str">
        <f>_xll.QS.CONTEXT.ADD.CURVE(C7830,"SOFR",$K$2:$K$7,$L$2:$L$7,,,"Actual360","LogLinear",TRUE)</f>
        <v>QSObject:ContextInput:w1~input.qs_context_add_curve.2359132437744.7829.3.0:32514</v>
      </c>
      <c r="E7830" s="6" t="str">
        <f>_xll.QS.INSTRUMENT.SWAP("swap.7828",H7830,B7830,"USD","SOFR",I7830,J7830,0,"Actual360","Simple","Annual","Annual","Annual")</f>
        <v>QSObject:Swap:w1~swap.7828:4107</v>
      </c>
      <c r="F7830" s="6" t="str">
        <f>_xll.QS.TRADE.CREATE("trade.7828",E7830,A7830,"Receive")</f>
        <v>QSObject:SwapTrade:w1~trade.7828:23859</v>
      </c>
      <c r="G7830" s="3">
        <f>_xll.QS.EVALUATE(C7830,F7830)</f>
        <v>47616.438195869741</v>
      </c>
      <c r="H7830" s="5" t="s">
        <v>7871</v>
      </c>
      <c r="I7830" s="7">
        <v>1782800</v>
      </c>
      <c r="J7830" s="8">
        <v>3.78E-2</v>
      </c>
    </row>
    <row r="7831" spans="1:10" x14ac:dyDescent="0.25">
      <c r="A7831" s="5" t="s">
        <v>7865</v>
      </c>
      <c r="B7831" s="5" t="s">
        <v>9698</v>
      </c>
      <c r="C7831" s="6" t="str">
        <f>_xll.QS.CONTEXT.CREATE("market.7829",A7831,"USD","SOFR")</f>
        <v>QSObject:PricingContext:w1~market.7829:4106</v>
      </c>
      <c r="D7831" s="6" t="str">
        <f>_xll.QS.CONTEXT.ADD.CURVE(C7831,"SOFR",$K$2:$K$7,$L$2:$L$7,,,"Actual360","LogLinear",TRUE)</f>
        <v>QSObject:ContextInput:w1~input.qs_context_add_curve.2359132437744.7830.3.0:32513</v>
      </c>
      <c r="E7831" s="6" t="str">
        <f>_xll.QS.INSTRUMENT.SWAP("swap.7829",H7831,B7831,"USD","SOFR",I7831,J7831,0,"Actual360","Simple","Annual","Annual","Annual")</f>
        <v>QSObject:Swap:w1~swap.7829:4105</v>
      </c>
      <c r="F7831" s="6" t="str">
        <f>_xll.QS.TRADE.CREATE("trade.7829",E7831,A7831,"Receive")</f>
        <v>QSObject:SwapTrade:w1~trade.7829:23858</v>
      </c>
      <c r="G7831" s="3">
        <f>_xll.QS.EVALUATE(C7831,F7831)</f>
        <v>48451.249312912892</v>
      </c>
      <c r="H7831" s="5" t="s">
        <v>7872</v>
      </c>
      <c r="I7831" s="7">
        <v>1782900</v>
      </c>
      <c r="J7831" s="8">
        <v>3.7900000000000003E-2</v>
      </c>
    </row>
    <row r="7832" spans="1:10" x14ac:dyDescent="0.25">
      <c r="A7832" s="5" t="s">
        <v>7866</v>
      </c>
      <c r="B7832" s="5" t="s">
        <v>9699</v>
      </c>
      <c r="C7832" s="6" t="str">
        <f>_xll.QS.CONTEXT.CREATE("market.7830",A7832,"USD","SOFR")</f>
        <v>QSObject:PricingContext:w1~market.7830:4104</v>
      </c>
      <c r="D7832" s="6" t="str">
        <f>_xll.QS.CONTEXT.ADD.CURVE(C7832,"SOFR",$K$2:$K$7,$L$2:$L$7,,,"Actual360","LogLinear",TRUE)</f>
        <v>QSObject:ContextInput:w1~input.qs_context_add_curve.2359132437744.7831.3.0:32512</v>
      </c>
      <c r="E7832" s="6" t="str">
        <f>_xll.QS.INSTRUMENT.SWAP("swap.7830",H7832,B7832,"USD","SOFR",I7832,J7832,0,"Actual360","Simple","Annual","Annual","Annual")</f>
        <v>QSObject:Swap:w1~swap.7830:4103</v>
      </c>
      <c r="F7832" s="6" t="str">
        <f>_xll.QS.TRADE.CREATE("trade.7830",E7832,A7832,"Receive")</f>
        <v>QSObject:SwapTrade:w1~trade.7830:23857</v>
      </c>
      <c r="G7832" s="3">
        <f>_xll.QS.EVALUATE(C7832,F7832)</f>
        <v>49278.097620244698</v>
      </c>
      <c r="H7832" s="5" t="s">
        <v>7873</v>
      </c>
      <c r="I7832" s="7">
        <v>1783000</v>
      </c>
      <c r="J7832" s="8">
        <v>3.8000000000000013E-2</v>
      </c>
    </row>
    <row r="7833" spans="1:10" x14ac:dyDescent="0.25">
      <c r="A7833" s="5" t="s">
        <v>7867</v>
      </c>
      <c r="B7833" s="5" t="s">
        <v>9700</v>
      </c>
      <c r="C7833" s="6" t="str">
        <f>_xll.QS.CONTEXT.CREATE("market.7831",A7833,"USD","SOFR")</f>
        <v>QSObject:PricingContext:w1~market.7831:4102</v>
      </c>
      <c r="D7833" s="6" t="str">
        <f>_xll.QS.CONTEXT.ADD.CURVE(C7833,"SOFR",$K$2:$K$7,$L$2:$L$7,,,"Actual360","LogLinear",TRUE)</f>
        <v>QSObject:ContextInput:w1~input.qs_context_add_curve.2359132437744.7832.3.0:32511</v>
      </c>
      <c r="E7833" s="6" t="str">
        <f>_xll.QS.INSTRUMENT.SWAP("swap.7831",H7833,B7833,"USD","SOFR",I7833,J7833,0,"Actual360","Simple","Annual","Annual","Annual")</f>
        <v>QSObject:Swap:w1~swap.7831:4101</v>
      </c>
      <c r="F7833" s="6" t="str">
        <f>_xll.QS.TRADE.CREATE("trade.7831",E7833,A7833,"Receive")</f>
        <v>QSObject:SwapTrade:w1~trade.7831:23856</v>
      </c>
      <c r="G7833" s="3">
        <f>_xll.QS.EVALUATE(C7833,F7833)</f>
        <v>49882.990225286099</v>
      </c>
      <c r="H7833" s="5" t="s">
        <v>7874</v>
      </c>
      <c r="I7833" s="7">
        <v>1783100</v>
      </c>
      <c r="J7833" s="8">
        <v>3.8100000000000002E-2</v>
      </c>
    </row>
    <row r="7834" spans="1:10" x14ac:dyDescent="0.25">
      <c r="A7834" s="5" t="s">
        <v>7868</v>
      </c>
      <c r="B7834" s="5" t="s">
        <v>9701</v>
      </c>
      <c r="C7834" s="6" t="str">
        <f>_xll.QS.CONTEXT.CREATE("market.7832",A7834,"USD","SOFR")</f>
        <v>QSObject:PricingContext:w1~market.7832:4100</v>
      </c>
      <c r="D7834" s="6" t="str">
        <f>_xll.QS.CONTEXT.ADD.CURVE(C7834,"SOFR",$K$2:$K$7,$L$2:$L$7,,,"Actual360","LogLinear",TRUE)</f>
        <v>QSObject:ContextInput:w1~input.qs_context_add_curve.2359132437744.7833.3.0:32510</v>
      </c>
      <c r="E7834" s="6" t="str">
        <f>_xll.QS.INSTRUMENT.SWAP("swap.7832",H7834,B7834,"USD","SOFR",I7834,J7834,0,"Actual360","Simple","Annual","Annual","Annual")</f>
        <v>QSObject:Swap:w1~swap.7832:4099</v>
      </c>
      <c r="F7834" s="6" t="str">
        <f>_xll.QS.TRADE.CREATE("trade.7832",E7834,A7834,"Receive")</f>
        <v>QSObject:SwapTrade:w1~trade.7832:23855</v>
      </c>
      <c r="G7834" s="3">
        <f>_xll.QS.EVALUATE(C7834,F7834)</f>
        <v>50712.349370866301</v>
      </c>
      <c r="H7834" s="5" t="s">
        <v>7875</v>
      </c>
      <c r="I7834" s="7">
        <v>1783200</v>
      </c>
      <c r="J7834" s="8">
        <v>3.8199999999999998E-2</v>
      </c>
    </row>
    <row r="7835" spans="1:10" x14ac:dyDescent="0.25">
      <c r="A7835" s="5" t="s">
        <v>7869</v>
      </c>
      <c r="B7835" s="5" t="s">
        <v>9702</v>
      </c>
      <c r="C7835" s="6" t="str">
        <f>_xll.QS.CONTEXT.CREATE("market.7833",A7835,"USD","SOFR")</f>
        <v>QSObject:PricingContext:w1~market.7833:4098</v>
      </c>
      <c r="D7835" s="6" t="str">
        <f>_xll.QS.CONTEXT.ADD.CURVE(C7835,"SOFR",$K$2:$K$7,$L$2:$L$7,,,"Actual360","LogLinear",TRUE)</f>
        <v>QSObject:ContextInput:w1~input.qs_context_add_curve.2359132437744.7834.3.0:32509</v>
      </c>
      <c r="E7835" s="6" t="str">
        <f>_xll.QS.INSTRUMENT.SWAP("swap.7833",H7835,B7835,"USD","SOFR",I7835,J7835,0,"Actual360","Simple","Annual","Annual","Annual")</f>
        <v>QSObject:Swap:w1~swap.7833:4097</v>
      </c>
      <c r="F7835" s="6" t="str">
        <f>_xll.QS.TRADE.CREATE("trade.7833",E7835,A7835,"Receive")</f>
        <v>QSObject:SwapTrade:w1~trade.7833:23854</v>
      </c>
      <c r="G7835" s="3">
        <f>_xll.QS.EVALUATE(C7835,F7835)</f>
        <v>51613.445349252594</v>
      </c>
      <c r="H7835" s="5" t="s">
        <v>7876</v>
      </c>
      <c r="I7835" s="7">
        <v>1783300</v>
      </c>
      <c r="J7835" s="8">
        <v>3.8300000000000001E-2</v>
      </c>
    </row>
    <row r="7836" spans="1:10" x14ac:dyDescent="0.25">
      <c r="A7836" s="5" t="s">
        <v>7870</v>
      </c>
      <c r="B7836" s="5" t="s">
        <v>9703</v>
      </c>
      <c r="C7836" s="6" t="str">
        <f>_xll.QS.CONTEXT.CREATE("market.7834",A7836,"USD","SOFR")</f>
        <v>QSObject:PricingContext:w1~market.7834:4096</v>
      </c>
      <c r="D7836" s="6" t="str">
        <f>_xll.QS.CONTEXT.ADD.CURVE(C7836,"SOFR",$K$2:$K$7,$L$2:$L$7,,,"Actual360","LogLinear",TRUE)</f>
        <v>QSObject:ContextInput:w1~input.qs_context_add_curve.2359132437744.7835.3.0:32508</v>
      </c>
      <c r="E7836" s="6" t="str">
        <f>_xll.QS.INSTRUMENT.SWAP("swap.7834",H7836,B7836,"USD","SOFR",I7836,J7836,0,"Actual360","Simple","Annual","Annual","Annual")</f>
        <v>QSObject:Swap:w1~swap.7834:4095</v>
      </c>
      <c r="F7836" s="6" t="str">
        <f>_xll.QS.TRADE.CREATE("trade.7834",E7836,A7836,"Receive")</f>
        <v>QSObject:SwapTrade:w1~trade.7834:23853</v>
      </c>
      <c r="G7836" s="3">
        <f>_xll.QS.EVALUATE(C7836,F7836)</f>
        <v>52569.566932030008</v>
      </c>
      <c r="H7836" s="5" t="s">
        <v>7877</v>
      </c>
      <c r="I7836" s="7">
        <v>1783400</v>
      </c>
      <c r="J7836" s="8">
        <v>3.8399999999999997E-2</v>
      </c>
    </row>
    <row r="7837" spans="1:10" x14ac:dyDescent="0.25">
      <c r="A7837" s="5" t="s">
        <v>7871</v>
      </c>
      <c r="B7837" s="5" t="s">
        <v>9704</v>
      </c>
      <c r="C7837" s="6" t="str">
        <f>_xll.QS.CONTEXT.CREATE("market.7835",A7837,"USD","SOFR")</f>
        <v>QSObject:PricingContext:w1~market.7835:4094</v>
      </c>
      <c r="D7837" s="6" t="str">
        <f>_xll.QS.CONTEXT.ADD.CURVE(C7837,"SOFR",$K$2:$K$7,$L$2:$L$7,,,"Actual360","LogLinear",TRUE)</f>
        <v>QSObject:ContextInput:w1~input.qs_context_add_curve.2359132437744.7836.3.0:32507</v>
      </c>
      <c r="E7837" s="6" t="str">
        <f>_xll.QS.INSTRUMENT.SWAP("swap.7835",H7837,B7837,"USD","SOFR",I7837,J7837,0,"Actual360","Simple","Annual","Annual","Annual")</f>
        <v>QSObject:Swap:w1~swap.7835:4093</v>
      </c>
      <c r="F7837" s="6" t="str">
        <f>_xll.QS.TRADE.CREATE("trade.7835",E7837,A7837,"Receive")</f>
        <v>QSObject:SwapTrade:w1~trade.7835:23852</v>
      </c>
      <c r="G7837" s="3">
        <f>_xll.QS.EVALUATE(C7837,F7837)</f>
        <v>53395.078197086084</v>
      </c>
      <c r="H7837" s="5" t="s">
        <v>7878</v>
      </c>
      <c r="I7837" s="7">
        <v>1783500</v>
      </c>
      <c r="J7837" s="8">
        <v>3.8500000000000013E-2</v>
      </c>
    </row>
    <row r="7838" spans="1:10" x14ac:dyDescent="0.25">
      <c r="A7838" s="5" t="s">
        <v>7872</v>
      </c>
      <c r="B7838" s="5" t="s">
        <v>9705</v>
      </c>
      <c r="C7838" s="6" t="str">
        <f>_xll.QS.CONTEXT.CREATE("market.7836",A7838,"USD","SOFR")</f>
        <v>QSObject:PricingContext:w1~market.7836:4092</v>
      </c>
      <c r="D7838" s="6" t="str">
        <f>_xll.QS.CONTEXT.ADD.CURVE(C7838,"SOFR",$K$2:$K$7,$L$2:$L$7,,,"Actual360","LogLinear",TRUE)</f>
        <v>QSObject:ContextInput:w1~input.qs_context_add_curve.2359132437744.7837.3.0:32506</v>
      </c>
      <c r="E7838" s="6" t="str">
        <f>_xll.QS.INSTRUMENT.SWAP("swap.7836",H7838,B7838,"USD","SOFR",I7838,J7838,0,"Actual360","Simple","Annual","Annual","Annual")</f>
        <v>QSObject:Swap:w1~swap.7836:4091</v>
      </c>
      <c r="F7838" s="6" t="str">
        <f>_xll.QS.TRADE.CREATE("trade.7836",E7838,A7838,"Receive")</f>
        <v>QSObject:SwapTrade:w1~trade.7836:23851</v>
      </c>
      <c r="G7838" s="3">
        <f>_xll.QS.EVALUATE(C7838,F7838)</f>
        <v>54230.555047617723</v>
      </c>
      <c r="H7838" s="5" t="s">
        <v>7879</v>
      </c>
      <c r="I7838" s="7">
        <v>1783600</v>
      </c>
      <c r="J7838" s="8">
        <v>3.8600000000000002E-2</v>
      </c>
    </row>
    <row r="7839" spans="1:10" x14ac:dyDescent="0.25">
      <c r="A7839" s="5" t="s">
        <v>7873</v>
      </c>
      <c r="B7839" s="5" t="s">
        <v>9706</v>
      </c>
      <c r="C7839" s="6" t="str">
        <f>_xll.QS.CONTEXT.CREATE("market.7837",A7839,"USD","SOFR")</f>
        <v>QSObject:PricingContext:w1~market.7837:4090</v>
      </c>
      <c r="D7839" s="6" t="str">
        <f>_xll.QS.CONTEXT.ADD.CURVE(C7839,"SOFR",$K$2:$K$7,$L$2:$L$7,,,"Actual360","LogLinear",TRUE)</f>
        <v>QSObject:ContextInput:w1~input.qs_context_add_curve.2359132437744.7838.3.0:32505</v>
      </c>
      <c r="E7839" s="6" t="str">
        <f>_xll.QS.INSTRUMENT.SWAP("swap.7837",H7839,B7839,"USD","SOFR",I7839,J7839,0,"Actual360","Simple","Annual","Annual","Annual")</f>
        <v>QSObject:Swap:w1~swap.7837:4089</v>
      </c>
      <c r="F7839" s="6" t="str">
        <f>_xll.QS.TRADE.CREATE("trade.7837",E7839,A7839,"Receive")</f>
        <v>QSObject:SwapTrade:w1~trade.7837:23850</v>
      </c>
      <c r="G7839" s="3">
        <f>_xll.QS.EVALUATE(C7839,F7839)</f>
        <v>55058.071791634778</v>
      </c>
      <c r="H7839" s="5" t="s">
        <v>7880</v>
      </c>
      <c r="I7839" s="7">
        <v>1783700</v>
      </c>
      <c r="J7839" s="8">
        <v>3.8700000000000012E-2</v>
      </c>
    </row>
    <row r="7840" spans="1:10" x14ac:dyDescent="0.25">
      <c r="A7840" s="5" t="s">
        <v>7874</v>
      </c>
      <c r="B7840" s="5" t="s">
        <v>9707</v>
      </c>
      <c r="C7840" s="6" t="str">
        <f>_xll.QS.CONTEXT.CREATE("market.7838",A7840,"USD","SOFR")</f>
        <v>QSObject:PricingContext:w1~market.7838:4088</v>
      </c>
      <c r="D7840" s="6" t="str">
        <f>_xll.QS.CONTEXT.ADD.CURVE(C7840,"SOFR",$K$2:$K$7,$L$2:$L$7,,,"Actual360","LogLinear",TRUE)</f>
        <v>QSObject:ContextInput:w1~input.qs_context_add_curve.2359132437744.7839.3.0:32504</v>
      </c>
      <c r="E7840" s="6" t="str">
        <f>_xll.QS.INSTRUMENT.SWAP("swap.7838",H7840,B7840,"USD","SOFR",I7840,J7840,0,"Actual360","Simple","Annual","Annual","Annual")</f>
        <v>QSObject:Swap:w1~swap.7838:4087</v>
      </c>
      <c r="F7840" s="6" t="str">
        <f>_xll.QS.TRADE.CREATE("trade.7838",E7840,A7840,"Receive")</f>
        <v>QSObject:SwapTrade:w1~trade.7838:23849</v>
      </c>
      <c r="G7840" s="3">
        <f>_xll.QS.EVALUATE(C7840,F7840)</f>
        <v>55662.364996348726</v>
      </c>
      <c r="H7840" s="5" t="s">
        <v>7881</v>
      </c>
      <c r="I7840" s="7">
        <v>1783800</v>
      </c>
      <c r="J7840" s="8">
        <v>3.8800000000000001E-2</v>
      </c>
    </row>
    <row r="7841" spans="1:10" x14ac:dyDescent="0.25">
      <c r="A7841" s="5" t="s">
        <v>7875</v>
      </c>
      <c r="B7841" s="5" t="s">
        <v>9708</v>
      </c>
      <c r="C7841" s="6" t="str">
        <f>_xll.QS.CONTEXT.CREATE("market.7839",A7841,"USD","SOFR")</f>
        <v>QSObject:PricingContext:w1~market.7839:4086</v>
      </c>
      <c r="D7841" s="6" t="str">
        <f>_xll.QS.CONTEXT.ADD.CURVE(C7841,"SOFR",$K$2:$K$7,$L$2:$L$7,,,"Actual360","LogLinear",TRUE)</f>
        <v>QSObject:ContextInput:w1~input.qs_context_add_curve.2359132437744.7840.3.0:32503</v>
      </c>
      <c r="E7841" s="6" t="str">
        <f>_xll.QS.INSTRUMENT.SWAP("swap.7839",H7841,B7841,"USD","SOFR",I7841,J7841,0,"Actual360","Simple","Annual","Annual","Annual")</f>
        <v>QSObject:Swap:w1~swap.7839:4085</v>
      </c>
      <c r="F7841" s="6" t="str">
        <f>_xll.QS.TRADE.CREATE("trade.7839",E7841,A7841,"Receive")</f>
        <v>QSObject:SwapTrade:w1~trade.7839:23848</v>
      </c>
      <c r="G7841" s="3">
        <f>_xll.QS.EVALUATE(C7841,F7841)</f>
        <v>56492.854593434211</v>
      </c>
      <c r="H7841" s="5" t="s">
        <v>7882</v>
      </c>
      <c r="I7841" s="7">
        <v>1783900</v>
      </c>
      <c r="J7841" s="8">
        <v>3.8899999999999997E-2</v>
      </c>
    </row>
    <row r="7842" spans="1:10" x14ac:dyDescent="0.25">
      <c r="A7842" s="5" t="s">
        <v>7876</v>
      </c>
      <c r="B7842" s="5" t="s">
        <v>9709</v>
      </c>
      <c r="C7842" s="6" t="str">
        <f>_xll.QS.CONTEXT.CREATE("market.7840",A7842,"USD","SOFR")</f>
        <v>QSObject:PricingContext:w1~market.7840:4084</v>
      </c>
      <c r="D7842" s="6" t="str">
        <f>_xll.QS.CONTEXT.ADD.CURVE(C7842,"SOFR",$K$2:$K$7,$L$2:$L$7,,,"Actual360","LogLinear",TRUE)</f>
        <v>QSObject:ContextInput:w1~input.qs_context_add_curve.2359132437744.7841.3.0:32502</v>
      </c>
      <c r="E7842" s="6" t="str">
        <f>_xll.QS.INSTRUMENT.SWAP("swap.7840",H7842,B7842,"USD","SOFR",I7842,J7842,0,"Actual360","Simple","Annual","Annual","Annual")</f>
        <v>QSObject:Swap:w1~swap.7840:4083</v>
      </c>
      <c r="F7842" s="6" t="str">
        <f>_xll.QS.TRADE.CREATE("trade.7840",E7842,A7842,"Receive")</f>
        <v>QSObject:SwapTrade:w1~trade.7840:23847</v>
      </c>
      <c r="G7842" s="3">
        <f>_xll.QS.EVALUATE(C7842,F7842)</f>
        <v>57395.189666411381</v>
      </c>
      <c r="H7842" s="5" t="s">
        <v>7883</v>
      </c>
      <c r="I7842" s="7">
        <v>1784000</v>
      </c>
      <c r="J7842" s="8">
        <v>3.9000000000000007E-2</v>
      </c>
    </row>
    <row r="7843" spans="1:10" x14ac:dyDescent="0.25">
      <c r="A7843" s="5" t="s">
        <v>7877</v>
      </c>
      <c r="B7843" s="5" t="s">
        <v>9710</v>
      </c>
      <c r="C7843" s="6" t="str">
        <f>_xll.QS.CONTEXT.CREATE("market.7841",A7843,"USD","SOFR")</f>
        <v>QSObject:PricingContext:w1~market.7841:4082</v>
      </c>
      <c r="D7843" s="6" t="str">
        <f>_xll.QS.CONTEXT.ADD.CURVE(C7843,"SOFR",$K$2:$K$7,$L$2:$L$7,,,"Actual360","LogLinear",TRUE)</f>
        <v>QSObject:ContextInput:w1~input.qs_context_add_curve.2359132437744.7842.3.0:32501</v>
      </c>
      <c r="E7843" s="6" t="str">
        <f>_xll.QS.INSTRUMENT.SWAP("swap.7841",H7843,B7843,"USD","SOFR",I7843,J7843,0,"Actual360","Simple","Annual","Annual","Annual")</f>
        <v>QSObject:Swap:w1~swap.7841:4081</v>
      </c>
      <c r="F7843" s="6" t="str">
        <f>_xll.QS.TRADE.CREATE("trade.7841",E7843,A7843,"Receive")</f>
        <v>QSObject:SwapTrade:w1~trade.7841:23846</v>
      </c>
      <c r="G7843" s="3">
        <f>_xll.QS.EVALUATE(C7843,F7843)</f>
        <v>58352.093886661263</v>
      </c>
      <c r="H7843" s="5" t="s">
        <v>7884</v>
      </c>
      <c r="I7843" s="7">
        <v>1784100</v>
      </c>
      <c r="J7843" s="8">
        <v>3.9100000000000003E-2</v>
      </c>
    </row>
    <row r="7844" spans="1:10" x14ac:dyDescent="0.25">
      <c r="A7844" s="5" t="s">
        <v>7878</v>
      </c>
      <c r="B7844" s="5" t="s">
        <v>9711</v>
      </c>
      <c r="C7844" s="6" t="str">
        <f>_xll.QS.CONTEXT.CREATE("market.7842",A7844,"USD","SOFR")</f>
        <v>QSObject:PricingContext:w1~market.7842:4080</v>
      </c>
      <c r="D7844" s="6" t="str">
        <f>_xll.QS.CONTEXT.ADD.CURVE(C7844,"SOFR",$K$2:$K$7,$L$2:$L$7,,,"Actual360","LogLinear",TRUE)</f>
        <v>QSObject:ContextInput:w1~input.qs_context_add_curve.2359132437744.7843.3.0:32500</v>
      </c>
      <c r="E7844" s="6" t="str">
        <f>_xll.QS.INSTRUMENT.SWAP("swap.7842",H7844,B7844,"USD","SOFR",I7844,J7844,0,"Actual360","Simple","Annual","Annual","Annual")</f>
        <v>QSObject:Swap:w1~swap.7842:4079</v>
      </c>
      <c r="F7844" s="6" t="str">
        <f>_xll.QS.TRADE.CREATE("trade.7842",E7844,A7844,"Receive")</f>
        <v>QSObject:SwapTrade:w1~trade.7842:23845</v>
      </c>
      <c r="G7844" s="3">
        <f>_xll.QS.EVALUATE(C7844,F7844)</f>
        <v>59178.515866004862</v>
      </c>
      <c r="H7844" s="5" t="s">
        <v>7885</v>
      </c>
      <c r="I7844" s="7">
        <v>1784200</v>
      </c>
      <c r="J7844" s="8">
        <v>3.9200000000000013E-2</v>
      </c>
    </row>
    <row r="7845" spans="1:10" x14ac:dyDescent="0.25">
      <c r="A7845" s="5" t="s">
        <v>7879</v>
      </c>
      <c r="B7845" s="5" t="s">
        <v>9712</v>
      </c>
      <c r="C7845" s="6" t="str">
        <f>_xll.QS.CONTEXT.CREATE("market.7843",A7845,"USD","SOFR")</f>
        <v>QSObject:PricingContext:w1~market.7843:4078</v>
      </c>
      <c r="D7845" s="6" t="str">
        <f>_xll.QS.CONTEXT.ADD.CURVE(C7845,"SOFR",$K$2:$K$7,$L$2:$L$7,,,"Actual360","LogLinear",TRUE)</f>
        <v>QSObject:ContextInput:w1~input.qs_context_add_curve.2359132437744.7844.3.0:32499</v>
      </c>
      <c r="E7845" s="6" t="str">
        <f>_xll.QS.INSTRUMENT.SWAP("swap.7843",H7845,B7845,"USD","SOFR",I7845,J7845,0,"Actual360","Simple","Annual","Annual","Annual")</f>
        <v>QSObject:Swap:w1~swap.7843:4077</v>
      </c>
      <c r="F7845" s="6" t="str">
        <f>_xll.QS.TRADE.CREATE("trade.7843",E7845,A7845,"Receive")</f>
        <v>QSObject:SwapTrade:w1~trade.7843:23844</v>
      </c>
      <c r="G7845" s="3">
        <f>_xll.QS.EVALUATE(C7845,F7845)</f>
        <v>60015.579551882453</v>
      </c>
      <c r="H7845" s="5" t="s">
        <v>7886</v>
      </c>
      <c r="I7845" s="7">
        <v>1784300</v>
      </c>
      <c r="J7845" s="8">
        <v>3.9300000000000002E-2</v>
      </c>
    </row>
    <row r="7846" spans="1:10" x14ac:dyDescent="0.25">
      <c r="A7846" s="5" t="s">
        <v>7880</v>
      </c>
      <c r="B7846" s="5" t="s">
        <v>9713</v>
      </c>
      <c r="C7846" s="6" t="str">
        <f>_xll.QS.CONTEXT.CREATE("market.7844",A7846,"USD","SOFR")</f>
        <v>QSObject:PricingContext:w1~market.7844:4076</v>
      </c>
      <c r="D7846" s="6" t="str">
        <f>_xll.QS.CONTEXT.ADD.CURVE(C7846,"SOFR",$K$2:$K$7,$L$2:$L$7,,,"Actual360","LogLinear",TRUE)</f>
        <v>QSObject:ContextInput:w1~input.qs_context_add_curve.2359132437744.7845.3.0:32498</v>
      </c>
      <c r="E7846" s="6" t="str">
        <f>_xll.QS.INSTRUMENT.SWAP("swap.7844",H7846,B7846,"USD","SOFR",I7846,J7846,0,"Actual360","Simple","Annual","Annual","Annual")</f>
        <v>QSObject:Swap:w1~swap.7844:4075</v>
      </c>
      <c r="F7846" s="6" t="str">
        <f>_xll.QS.TRADE.CREATE("trade.7844",E7846,A7846,"Receive")</f>
        <v>QSObject:SwapTrade:w1~trade.7844:23843</v>
      </c>
      <c r="G7846" s="3">
        <f>_xll.QS.EVALUATE(C7846,F7846)</f>
        <v>60842.567395356651</v>
      </c>
      <c r="H7846" s="5" t="s">
        <v>7887</v>
      </c>
      <c r="I7846" s="7">
        <v>1784400</v>
      </c>
      <c r="J7846" s="8">
        <v>3.9399999999999998E-2</v>
      </c>
    </row>
    <row r="7847" spans="1:10" x14ac:dyDescent="0.25">
      <c r="A7847" s="5" t="s">
        <v>7881</v>
      </c>
      <c r="B7847" s="5" t="s">
        <v>9714</v>
      </c>
      <c r="C7847" s="6" t="str">
        <f>_xll.QS.CONTEXT.CREATE("market.7845",A7847,"USD","SOFR")</f>
        <v>QSObject:PricingContext:w1~market.7845:4074</v>
      </c>
      <c r="D7847" s="6" t="str">
        <f>_xll.QS.CONTEXT.ADD.CURVE(C7847,"SOFR",$K$2:$K$7,$L$2:$L$7,,,"Actual360","LogLinear",TRUE)</f>
        <v>QSObject:ContextInput:w1~input.qs_context_add_curve.2359132437744.7846.3.0:32497</v>
      </c>
      <c r="E7847" s="6" t="str">
        <f>_xll.QS.INSTRUMENT.SWAP("swap.7845",H7847,B7847,"USD","SOFR",I7847,J7847,0,"Actual360","Simple","Annual","Annual","Annual")</f>
        <v>QSObject:Swap:w1~swap.7845:4073</v>
      </c>
      <c r="F7847" s="6" t="str">
        <f>_xll.QS.TRADE.CREATE("trade.7845",E7847,A7847,"Receive")</f>
        <v>QSObject:SwapTrade:w1~trade.7845:23842</v>
      </c>
      <c r="G7847" s="3">
        <f>_xll.QS.EVALUATE(C7847,F7847)</f>
        <v>61370.260076156745</v>
      </c>
      <c r="H7847" s="5" t="s">
        <v>7888</v>
      </c>
      <c r="I7847" s="7">
        <v>1784500</v>
      </c>
      <c r="J7847" s="8">
        <v>3.9500000000000007E-2</v>
      </c>
    </row>
    <row r="7848" spans="1:10" x14ac:dyDescent="0.25">
      <c r="A7848" s="5" t="s">
        <v>7882</v>
      </c>
      <c r="B7848" s="5" t="s">
        <v>9715</v>
      </c>
      <c r="C7848" s="6" t="str">
        <f>_xll.QS.CONTEXT.CREATE("market.7846",A7848,"USD","SOFR")</f>
        <v>QSObject:PricingContext:w1~market.7846:4072</v>
      </c>
      <c r="D7848" s="6" t="str">
        <f>_xll.QS.CONTEXT.ADD.CURVE(C7848,"SOFR",$K$2:$K$7,$L$2:$L$7,,,"Actual360","LogLinear",TRUE)</f>
        <v>QSObject:ContextInput:w1~input.qs_context_add_curve.2359132437744.7847.3.0:32496</v>
      </c>
      <c r="E7848" s="6" t="str">
        <f>_xll.QS.INSTRUMENT.SWAP("swap.7846",H7848,B7848,"USD","SOFR",I7848,J7848,0,"Actual360","Simple","Annual","Annual","Annual")</f>
        <v>QSObject:Swap:w1~swap.7846:4071</v>
      </c>
      <c r="F7848" s="6" t="str">
        <f>_xll.QS.TRADE.CREATE("trade.7846",E7848,A7848,"Receive")</f>
        <v>QSObject:SwapTrade:w1~trade.7846:23841</v>
      </c>
      <c r="G7848" s="3">
        <f>_xll.QS.EVALUATE(C7848,F7848)</f>
        <v>62201.671542471922</v>
      </c>
      <c r="H7848" s="5" t="s">
        <v>7889</v>
      </c>
      <c r="I7848" s="7">
        <v>1784600</v>
      </c>
      <c r="J7848" s="8">
        <v>3.9600000000000003E-2</v>
      </c>
    </row>
    <row r="7849" spans="1:10" x14ac:dyDescent="0.25">
      <c r="A7849" s="5" t="s">
        <v>7883</v>
      </c>
      <c r="B7849" s="5" t="s">
        <v>9716</v>
      </c>
      <c r="C7849" s="6" t="str">
        <f>_xll.QS.CONTEXT.CREATE("market.7847",A7849,"USD","SOFR")</f>
        <v>QSObject:PricingContext:w1~market.7847:4070</v>
      </c>
      <c r="D7849" s="6" t="str">
        <f>_xll.QS.CONTEXT.ADD.CURVE(C7849,"SOFR",$K$2:$K$7,$L$2:$L$7,,,"Actual360","LogLinear",TRUE)</f>
        <v>QSObject:ContextInput:w1~input.qs_context_add_curve.2359132437744.7848.3.0:32495</v>
      </c>
      <c r="E7849" s="6" t="str">
        <f>_xll.QS.INSTRUMENT.SWAP("swap.7847",H7849,B7849,"USD","SOFR",I7849,J7849,0,"Actual360","Simple","Annual","Annual","Annual")</f>
        <v>QSObject:Swap:w1~swap.7847:4069</v>
      </c>
      <c r="F7849" s="6" t="str">
        <f>_xll.QS.TRADE.CREATE("trade.7847",E7849,A7849,"Receive")</f>
        <v>QSObject:SwapTrade:w1~trade.7847:23840</v>
      </c>
      <c r="G7849" s="3">
        <f>_xll.QS.EVALUATE(C7849,F7849)</f>
        <v>63103.82961459244</v>
      </c>
      <c r="H7849" s="5" t="s">
        <v>7890</v>
      </c>
      <c r="I7849" s="7">
        <v>1784700</v>
      </c>
      <c r="J7849" s="8">
        <v>3.9700000000000013E-2</v>
      </c>
    </row>
    <row r="7850" spans="1:10" x14ac:dyDescent="0.25">
      <c r="A7850" s="5" t="s">
        <v>7884</v>
      </c>
      <c r="B7850" s="5" t="s">
        <v>9717</v>
      </c>
      <c r="C7850" s="6" t="str">
        <f>_xll.QS.CONTEXT.CREATE("market.7848",A7850,"USD","SOFR")</f>
        <v>QSObject:PricingContext:w1~market.7848:4068</v>
      </c>
      <c r="D7850" s="6" t="str">
        <f>_xll.QS.CONTEXT.ADD.CURVE(C7850,"SOFR",$K$2:$K$7,$L$2:$L$7,,,"Actual360","LogLinear",TRUE)</f>
        <v>QSObject:ContextInput:w1~input.qs_context_add_curve.2359132437744.7849.3.0:32494</v>
      </c>
      <c r="E7850" s="6" t="str">
        <f>_xll.QS.INSTRUMENT.SWAP("swap.7848",H7850,B7850,"USD","SOFR",I7850,J7850,0,"Actual360","Simple","Annual","Annual","Annual")</f>
        <v>QSObject:Swap:w1~swap.7848:4067</v>
      </c>
      <c r="F7850" s="6" t="str">
        <f>_xll.QS.TRADE.CREATE("trade.7848",E7850,A7850,"Receive")</f>
        <v>QSObject:SwapTrade:w1~trade.7848:23839</v>
      </c>
      <c r="G7850" s="3">
        <f>_xll.QS.EVALUATE(C7850,F7850)</f>
        <v>64204.745022479969</v>
      </c>
      <c r="H7850" s="5" t="s">
        <v>7891</v>
      </c>
      <c r="I7850" s="7">
        <v>1784800</v>
      </c>
      <c r="J7850" s="8">
        <v>3.9800000000000002E-2</v>
      </c>
    </row>
    <row r="7851" spans="1:10" x14ac:dyDescent="0.25">
      <c r="A7851" s="5" t="s">
        <v>7885</v>
      </c>
      <c r="B7851" s="5" t="s">
        <v>9718</v>
      </c>
      <c r="C7851" s="6" t="str">
        <f>_xll.QS.CONTEXT.CREATE("market.7849",A7851,"USD","SOFR")</f>
        <v>QSObject:PricingContext:w1~market.7849:4066</v>
      </c>
      <c r="D7851" s="6" t="str">
        <f>_xll.QS.CONTEXT.ADD.CURVE(C7851,"SOFR",$K$2:$K$7,$L$2:$L$7,,,"Actual360","LogLinear",TRUE)</f>
        <v>QSObject:ContextInput:w1~input.qs_context_add_curve.2359132437744.7850.3.0:32493</v>
      </c>
      <c r="E7851" s="6" t="str">
        <f>_xll.QS.INSTRUMENT.SWAP("swap.7849",H7851,B7851,"USD","SOFR",I7851,J7851,0,"Actual360","Simple","Annual","Annual","Annual")</f>
        <v>QSObject:Swap:w1~swap.7849:4065</v>
      </c>
      <c r="F7851" s="6" t="str">
        <f>_xll.QS.TRADE.CREATE("trade.7849",E7851,A7851,"Receive")</f>
        <v>QSObject:SwapTrade:w1~trade.7849:23838</v>
      </c>
      <c r="G7851" s="3">
        <f>_xll.QS.EVALUATE(C7851,F7851)</f>
        <v>65032.49007080368</v>
      </c>
      <c r="H7851" s="5" t="s">
        <v>7892</v>
      </c>
      <c r="I7851" s="7">
        <v>1784900</v>
      </c>
      <c r="J7851" s="8">
        <v>3.9899999999999998E-2</v>
      </c>
    </row>
    <row r="7852" spans="1:10" x14ac:dyDescent="0.25">
      <c r="A7852" s="5" t="s">
        <v>7886</v>
      </c>
      <c r="B7852" s="5" t="s">
        <v>9719</v>
      </c>
      <c r="C7852" s="6" t="str">
        <f>_xll.QS.CONTEXT.CREATE("market.7850",A7852,"USD","SOFR")</f>
        <v>QSObject:PricingContext:w1~market.7850:4064</v>
      </c>
      <c r="D7852" s="6" t="str">
        <f>_xll.QS.CONTEXT.ADD.CURVE(C7852,"SOFR",$K$2:$K$7,$L$2:$L$7,,,"Actual360","LogLinear",TRUE)</f>
        <v>QSObject:ContextInput:w1~input.qs_context_add_curve.2359132437744.7851.3.0:32492</v>
      </c>
      <c r="E7852" s="6" t="str">
        <f>_xll.QS.INSTRUMENT.SWAP("swap.7850",H7852,B7852,"USD","SOFR",I7852,J7852,0,"Actual360","Simple","Annual","Annual","Annual")</f>
        <v>QSObject:Swap:w1~swap.7850:4063</v>
      </c>
      <c r="F7852" s="6" t="str">
        <f>_xll.QS.TRADE.CREATE("trade.7850",E7852,A7852,"Receive")</f>
        <v>QSObject:SwapTrade:w1~trade.7850:23837</v>
      </c>
      <c r="G7852" s="3">
        <f>_xll.QS.EVALUATE(C7852,F7852)</f>
        <v>24697.434584077979</v>
      </c>
      <c r="H7852" s="5" t="s">
        <v>7893</v>
      </c>
      <c r="I7852" s="7">
        <v>1785000</v>
      </c>
      <c r="J7852" s="8">
        <v>3.5000000000000003E-2</v>
      </c>
    </row>
    <row r="7853" spans="1:10" x14ac:dyDescent="0.25">
      <c r="A7853" s="5" t="s">
        <v>7887</v>
      </c>
      <c r="B7853" s="5" t="s">
        <v>9720</v>
      </c>
      <c r="C7853" s="6" t="str">
        <f>_xll.QS.CONTEXT.CREATE("market.7851",A7853,"USD","SOFR")</f>
        <v>QSObject:PricingContext:w1~market.7851:4062</v>
      </c>
      <c r="D7853" s="6" t="str">
        <f>_xll.QS.CONTEXT.ADD.CURVE(C7853,"SOFR",$K$2:$K$7,$L$2:$L$7,,,"Actual360","LogLinear",TRUE)</f>
        <v>QSObject:ContextInput:w1~input.qs_context_add_curve.2359132437744.7852.3.0:32491</v>
      </c>
      <c r="E7853" s="6" t="str">
        <f>_xll.QS.INSTRUMENT.SWAP("swap.7851",H7853,B7853,"USD","SOFR",I7853,J7853,0,"Actual360","Simple","Annual","Annual","Annual")</f>
        <v>QSObject:Swap:w1~swap.7851:4061</v>
      </c>
      <c r="F7853" s="6" t="str">
        <f>_xll.QS.TRADE.CREATE("trade.7851",E7853,A7853,"Receive")</f>
        <v>QSObject:SwapTrade:w1~trade.7851:23836</v>
      </c>
      <c r="G7853" s="3">
        <f>_xll.QS.EVALUATE(C7853,F7853)</f>
        <v>25523.168853993076</v>
      </c>
      <c r="H7853" s="5" t="s">
        <v>7894</v>
      </c>
      <c r="I7853" s="7">
        <v>1785100</v>
      </c>
      <c r="J7853" s="8">
        <v>3.5100000000000013E-2</v>
      </c>
    </row>
    <row r="7854" spans="1:10" x14ac:dyDescent="0.25">
      <c r="A7854" s="5" t="s">
        <v>7888</v>
      </c>
      <c r="B7854" s="5" t="s">
        <v>9721</v>
      </c>
      <c r="C7854" s="6" t="str">
        <f>_xll.QS.CONTEXT.CREATE("market.7852",A7854,"USD","SOFR")</f>
        <v>QSObject:PricingContext:w1~market.7852:4060</v>
      </c>
      <c r="D7854" s="6" t="str">
        <f>_xll.QS.CONTEXT.ADD.CURVE(C7854,"SOFR",$K$2:$K$7,$L$2:$L$7,,,"Actual360","LogLinear",TRUE)</f>
        <v>QSObject:ContextInput:w1~input.qs_context_add_curve.2359132437744.7853.3.0:32490</v>
      </c>
      <c r="E7854" s="6" t="str">
        <f>_xll.QS.INSTRUMENT.SWAP("swap.7852",H7854,B7854,"USD","SOFR",I7854,J7854,0,"Actual360","Simple","Annual","Annual","Annual")</f>
        <v>QSObject:Swap:w1~swap.7852:4059</v>
      </c>
      <c r="F7854" s="6" t="str">
        <f>_xll.QS.TRADE.CREATE("trade.7852",E7854,A7854,"Receive")</f>
        <v>QSObject:SwapTrade:w1~trade.7852:23835</v>
      </c>
      <c r="G7854" s="3">
        <f>_xll.QS.EVALUATE(C7854,F7854)</f>
        <v>26132.242751285834</v>
      </c>
      <c r="H7854" s="5" t="s">
        <v>7895</v>
      </c>
      <c r="I7854" s="7">
        <v>1785200</v>
      </c>
      <c r="J7854" s="8">
        <v>3.5200000000000002E-2</v>
      </c>
    </row>
    <row r="7855" spans="1:10" x14ac:dyDescent="0.25">
      <c r="A7855" s="5" t="s">
        <v>7889</v>
      </c>
      <c r="B7855" s="5" t="s">
        <v>9722</v>
      </c>
      <c r="C7855" s="6" t="str">
        <f>_xll.QS.CONTEXT.CREATE("market.7853",A7855,"USD","SOFR")</f>
        <v>QSObject:PricingContext:w1~market.7853:4058</v>
      </c>
      <c r="D7855" s="6" t="str">
        <f>_xll.QS.CONTEXT.ADD.CURVE(C7855,"SOFR",$K$2:$K$7,$L$2:$L$7,,,"Actual360","LogLinear",TRUE)</f>
        <v>QSObject:ContextInput:w1~input.qs_context_add_curve.2359132437744.7854.3.0:32489</v>
      </c>
      <c r="E7855" s="6" t="str">
        <f>_xll.QS.INSTRUMENT.SWAP("swap.7853",H7855,B7855,"USD","SOFR",I7855,J7855,0,"Actual360","Simple","Annual","Annual","Annual")</f>
        <v>QSObject:Swap:w1~swap.7853:4057</v>
      </c>
      <c r="F7855" s="6" t="str">
        <f>_xll.QS.TRADE.CREATE("trade.7853",E7855,A7855,"Receive")</f>
        <v>QSObject:SwapTrade:w1~trade.7853:23834</v>
      </c>
      <c r="G7855" s="3">
        <f>_xll.QS.EVALUATE(C7855,F7855)</f>
        <v>26959.421847785859</v>
      </c>
      <c r="H7855" s="5" t="s">
        <v>7896</v>
      </c>
      <c r="I7855" s="7">
        <v>1785300</v>
      </c>
      <c r="J7855" s="8">
        <v>3.5299999999999998E-2</v>
      </c>
    </row>
    <row r="7856" spans="1:10" x14ac:dyDescent="0.25">
      <c r="A7856" s="5" t="s">
        <v>7890</v>
      </c>
      <c r="B7856" s="5" t="s">
        <v>9723</v>
      </c>
      <c r="C7856" s="6" t="str">
        <f>_xll.QS.CONTEXT.CREATE("market.7854",A7856,"USD","SOFR")</f>
        <v>QSObject:PricingContext:w1~market.7854:4056</v>
      </c>
      <c r="D7856" s="6" t="str">
        <f>_xll.QS.CONTEXT.ADD.CURVE(C7856,"SOFR",$K$2:$K$7,$L$2:$L$7,,,"Actual360","LogLinear",TRUE)</f>
        <v>QSObject:ContextInput:w1~input.qs_context_add_curve.2359132437744.7855.3.0:32488</v>
      </c>
      <c r="E7856" s="6" t="str">
        <f>_xll.QS.INSTRUMENT.SWAP("swap.7854",H7856,B7856,"USD","SOFR",I7856,J7856,0,"Actual360","Simple","Annual","Annual","Annual")</f>
        <v>QSObject:Swap:w1~swap.7854:4055</v>
      </c>
      <c r="F7856" s="6" t="str">
        <f>_xll.QS.TRADE.CREATE("trade.7854",E7856,A7856,"Receive")</f>
        <v>QSObject:SwapTrade:w1~trade.7854:23833</v>
      </c>
      <c r="G7856" s="3">
        <f>_xll.QS.EVALUATE(C7856,F7856)</f>
        <v>27786.486622554206</v>
      </c>
      <c r="H7856" s="5" t="s">
        <v>7897</v>
      </c>
      <c r="I7856" s="7">
        <v>1785400</v>
      </c>
      <c r="J7856" s="8">
        <v>3.5400000000000001E-2</v>
      </c>
    </row>
    <row r="7857" spans="1:10" x14ac:dyDescent="0.25">
      <c r="A7857" s="5" t="s">
        <v>7891</v>
      </c>
      <c r="B7857" s="5" t="s">
        <v>9724</v>
      </c>
      <c r="C7857" s="6" t="str">
        <f>_xll.QS.CONTEXT.CREATE("market.7855",A7857,"USD","SOFR")</f>
        <v>QSObject:PricingContext:w1~market.7855:4054</v>
      </c>
      <c r="D7857" s="6" t="str">
        <f>_xll.QS.CONTEXT.ADD.CURVE(C7857,"SOFR",$K$2:$K$7,$L$2:$L$7,,,"Actual360","LogLinear",TRUE)</f>
        <v>QSObject:ContextInput:w1~input.qs_context_add_curve.2359132437744.7856.3.0:32487</v>
      </c>
      <c r="E7857" s="6" t="str">
        <f>_xll.QS.INSTRUMENT.SWAP("swap.7855",H7857,B7857,"USD","SOFR",I7857,J7857,0,"Actual360","Simple","Annual","Annual","Annual")</f>
        <v>QSObject:Swap:w1~swap.7855:4053</v>
      </c>
      <c r="F7857" s="6" t="str">
        <f>_xll.QS.TRADE.CREATE("trade.7855",E7857,A7857,"Receive")</f>
        <v>QSObject:SwapTrade:w1~trade.7855:23832</v>
      </c>
      <c r="G7857" s="3">
        <f>_xll.QS.EVALUATE(C7857,F7857)</f>
        <v>28742.038072068222</v>
      </c>
      <c r="H7857" s="5" t="s">
        <v>7898</v>
      </c>
      <c r="I7857" s="7">
        <v>1785500</v>
      </c>
      <c r="J7857" s="8">
        <v>3.5499999999999997E-2</v>
      </c>
    </row>
    <row r="7858" spans="1:10" x14ac:dyDescent="0.25">
      <c r="A7858" s="5" t="s">
        <v>7892</v>
      </c>
      <c r="B7858" s="5" t="s">
        <v>9725</v>
      </c>
      <c r="C7858" s="6" t="str">
        <f>_xll.QS.CONTEXT.CREATE("market.7856",A7858,"USD","SOFR")</f>
        <v>QSObject:PricingContext:w1~market.7856:4052</v>
      </c>
      <c r="D7858" s="6" t="str">
        <f>_xll.QS.CONTEXT.ADD.CURVE(C7858,"SOFR",$K$2:$K$7,$L$2:$L$7,,,"Actual360","LogLinear",TRUE)</f>
        <v>QSObject:ContextInput:w1~input.qs_context_add_curve.2359132437744.7857.3.0:32486</v>
      </c>
      <c r="E7858" s="6" t="str">
        <f>_xll.QS.INSTRUMENT.SWAP("swap.7856",H7858,B7858,"USD","SOFR",I7858,J7858,0,"Actual360","Simple","Annual","Annual","Annual")</f>
        <v>QSObject:Swap:w1~swap.7856:4051</v>
      </c>
      <c r="F7858" s="6" t="str">
        <f>_xll.QS.TRADE.CREATE("trade.7856",E7858,A7858,"Receive")</f>
        <v>QSObject:SwapTrade:w1~trade.7856:23831</v>
      </c>
      <c r="G7858" s="3">
        <f>_xll.QS.EVALUATE(C7858,F7858)</f>
        <v>29567.22697947605</v>
      </c>
      <c r="H7858" s="5" t="s">
        <v>7899</v>
      </c>
      <c r="I7858" s="7">
        <v>1785600</v>
      </c>
      <c r="J7858" s="8">
        <v>3.5600000000000007E-2</v>
      </c>
    </row>
    <row r="7859" spans="1:10" x14ac:dyDescent="0.25">
      <c r="A7859" s="5" t="s">
        <v>7893</v>
      </c>
      <c r="B7859" s="5" t="s">
        <v>9726</v>
      </c>
      <c r="C7859" s="6" t="str">
        <f>_xll.QS.CONTEXT.CREATE("market.7857",A7859,"USD","SOFR")</f>
        <v>QSObject:PricingContext:w1~market.7857:4050</v>
      </c>
      <c r="D7859" s="6" t="str">
        <f>_xll.QS.CONTEXT.ADD.CURVE(C7859,"SOFR",$K$2:$K$7,$L$2:$L$7,,,"Actual360","LogLinear",TRUE)</f>
        <v>QSObject:ContextInput:w1~input.qs_context_add_curve.2359132437744.7858.3.0:32485</v>
      </c>
      <c r="E7859" s="6" t="str">
        <f>_xll.QS.INSTRUMENT.SWAP("swap.7857",H7859,B7859,"USD","SOFR",I7859,J7859,0,"Actual360","Simple","Annual","Annual","Annual")</f>
        <v>QSObject:Swap:w1~swap.7857:4049</v>
      </c>
      <c r="F7859" s="6" t="str">
        <f>_xll.QS.TRADE.CREATE("trade.7857",E7859,A7859,"Receive")</f>
        <v>QSObject:SwapTrade:w1~trade.7857:23830</v>
      </c>
      <c r="G7859" s="3">
        <f>_xll.QS.EVALUATE(C7859,F7859)</f>
        <v>30402.279402362721</v>
      </c>
      <c r="H7859" s="5" t="s">
        <v>7900</v>
      </c>
      <c r="I7859" s="7">
        <v>1785700</v>
      </c>
      <c r="J7859" s="8">
        <v>3.5700000000000003E-2</v>
      </c>
    </row>
    <row r="7860" spans="1:10" x14ac:dyDescent="0.25">
      <c r="A7860" s="5" t="s">
        <v>7894</v>
      </c>
      <c r="B7860" s="5" t="s">
        <v>9727</v>
      </c>
      <c r="C7860" s="6" t="str">
        <f>_xll.QS.CONTEXT.CREATE("market.7858",A7860,"USD","SOFR")</f>
        <v>QSObject:PricingContext:w1~market.7858:4048</v>
      </c>
      <c r="D7860" s="6" t="str">
        <f>_xll.QS.CONTEXT.ADD.CURVE(C7860,"SOFR",$K$2:$K$7,$L$2:$L$7,,,"Actual360","LogLinear",TRUE)</f>
        <v>QSObject:ContextInput:w1~input.qs_context_add_curve.2359132437744.7859.3.0:32484</v>
      </c>
      <c r="E7860" s="6" t="str">
        <f>_xll.QS.INSTRUMENT.SWAP("swap.7858",H7860,B7860,"USD","SOFR",I7860,J7860,0,"Actual360","Simple","Annual","Annual","Annual")</f>
        <v>QSObject:Swap:w1~swap.7858:4047</v>
      </c>
      <c r="F7860" s="6" t="str">
        <f>_xll.QS.TRADE.CREATE("trade.7858",E7860,A7860,"Receive")</f>
        <v>QSObject:SwapTrade:w1~trade.7858:23829</v>
      </c>
      <c r="G7860" s="3">
        <f>_xll.QS.EVALUATE(C7860,F7860)</f>
        <v>31229.337906501467</v>
      </c>
      <c r="H7860" s="5" t="s">
        <v>7901</v>
      </c>
      <c r="I7860" s="7">
        <v>1785800</v>
      </c>
      <c r="J7860" s="8">
        <v>3.5800000000000012E-2</v>
      </c>
    </row>
    <row r="7861" spans="1:10" x14ac:dyDescent="0.25">
      <c r="A7861" s="5" t="s">
        <v>7895</v>
      </c>
      <c r="B7861" s="5" t="s">
        <v>9728</v>
      </c>
      <c r="C7861" s="6" t="str">
        <f>_xll.QS.CONTEXT.CREATE("market.7859",A7861,"USD","SOFR")</f>
        <v>QSObject:PricingContext:w1~market.7859:4046</v>
      </c>
      <c r="D7861" s="6" t="str">
        <f>_xll.QS.CONTEXT.ADD.CURVE(C7861,"SOFR",$K$2:$K$7,$L$2:$L$7,,,"Actual360","LogLinear",TRUE)</f>
        <v>QSObject:ContextInput:w1~input.qs_context_add_curve.2359132437744.7860.3.0:32483</v>
      </c>
      <c r="E7861" s="6" t="str">
        <f>_xll.QS.INSTRUMENT.SWAP("swap.7859",H7861,B7861,"USD","SOFR",I7861,J7861,0,"Actual360","Simple","Annual","Annual","Annual")</f>
        <v>QSObject:Swap:w1~swap.7859:4045</v>
      </c>
      <c r="F7861" s="6" t="str">
        <f>_xll.QS.TRADE.CREATE("trade.7859",E7861,A7861,"Receive")</f>
        <v>QSObject:SwapTrade:w1~trade.7859:23828</v>
      </c>
      <c r="G7861" s="3">
        <f>_xll.QS.EVALUATE(C7861,F7861)</f>
        <v>31837.807061034793</v>
      </c>
      <c r="H7861" s="5" t="s">
        <v>7902</v>
      </c>
      <c r="I7861" s="7">
        <v>1785900</v>
      </c>
      <c r="J7861" s="8">
        <v>3.5900000000000001E-2</v>
      </c>
    </row>
    <row r="7862" spans="1:10" x14ac:dyDescent="0.25">
      <c r="A7862" s="5" t="s">
        <v>7896</v>
      </c>
      <c r="B7862" s="5" t="s">
        <v>9729</v>
      </c>
      <c r="C7862" s="6" t="str">
        <f>_xll.QS.CONTEXT.CREATE("market.7860",A7862,"USD","SOFR")</f>
        <v>QSObject:PricingContext:w1~market.7860:4044</v>
      </c>
      <c r="D7862" s="6" t="str">
        <f>_xll.QS.CONTEXT.ADD.CURVE(C7862,"SOFR",$K$2:$K$7,$L$2:$L$7,,,"Actual360","LogLinear",TRUE)</f>
        <v>QSObject:ContextInput:w1~input.qs_context_add_curve.2359132437744.7861.3.0:32482</v>
      </c>
      <c r="E7862" s="6" t="str">
        <f>_xll.QS.INSTRUMENT.SWAP("swap.7860",H7862,B7862,"USD","SOFR",I7862,J7862,0,"Actual360","Simple","Annual","Annual","Annual")</f>
        <v>QSObject:Swap:w1~swap.7860:4043</v>
      </c>
      <c r="F7862" s="6" t="str">
        <f>_xll.QS.TRADE.CREATE("trade.7860",E7862,A7862,"Receive")</f>
        <v>QSObject:SwapTrade:w1~trade.7860:23827</v>
      </c>
      <c r="G7862" s="3">
        <f>_xll.QS.EVALUATE(C7862,F7862)</f>
        <v>32665.929207436107</v>
      </c>
      <c r="H7862" s="5" t="s">
        <v>7903</v>
      </c>
      <c r="I7862" s="7">
        <v>1786000</v>
      </c>
      <c r="J7862" s="8">
        <v>3.5999999999999997E-2</v>
      </c>
    </row>
    <row r="7863" spans="1:10" x14ac:dyDescent="0.25">
      <c r="A7863" s="5" t="s">
        <v>7897</v>
      </c>
      <c r="B7863" s="5" t="s">
        <v>9730</v>
      </c>
      <c r="C7863" s="6" t="str">
        <f>_xll.QS.CONTEXT.CREATE("market.7861",A7863,"USD","SOFR")</f>
        <v>QSObject:PricingContext:w1~market.7861:4042</v>
      </c>
      <c r="D7863" s="6" t="str">
        <f>_xll.QS.CONTEXT.ADD.CURVE(C7863,"SOFR",$K$2:$K$7,$L$2:$L$7,,,"Actual360","LogLinear",TRUE)</f>
        <v>QSObject:ContextInput:w1~input.qs_context_add_curve.2359132437744.7862.3.0:32481</v>
      </c>
      <c r="E7863" s="6" t="str">
        <f>_xll.QS.INSTRUMENT.SWAP("swap.7861",H7863,B7863,"USD","SOFR",I7863,J7863,0,"Actual360","Simple","Annual","Annual","Annual")</f>
        <v>QSObject:Swap:w1~swap.7861:4041</v>
      </c>
      <c r="F7863" s="6" t="str">
        <f>_xll.QS.TRADE.CREATE("trade.7861",E7863,A7863,"Receive")</f>
        <v>QSObject:SwapTrade:w1~trade.7861:23826</v>
      </c>
      <c r="G7863" s="3">
        <f>_xll.QS.EVALUATE(C7863,F7863)</f>
        <v>33565.647314396621</v>
      </c>
      <c r="H7863" s="5" t="s">
        <v>7904</v>
      </c>
      <c r="I7863" s="7">
        <v>1786100</v>
      </c>
      <c r="J7863" s="8">
        <v>3.61E-2</v>
      </c>
    </row>
    <row r="7864" spans="1:10" x14ac:dyDescent="0.25">
      <c r="A7864" s="5" t="s">
        <v>7898</v>
      </c>
      <c r="B7864" s="5" t="s">
        <v>9731</v>
      </c>
      <c r="C7864" s="6" t="str">
        <f>_xll.QS.CONTEXT.CREATE("market.7862",A7864,"USD","SOFR")</f>
        <v>QSObject:PricingContext:w1~market.7862:4040</v>
      </c>
      <c r="D7864" s="6" t="str">
        <f>_xll.QS.CONTEXT.ADD.CURVE(C7864,"SOFR",$K$2:$K$7,$L$2:$L$7,,,"Actual360","LogLinear",TRUE)</f>
        <v>QSObject:ContextInput:w1~input.qs_context_add_curve.2359132437744.7863.3.0:32480</v>
      </c>
      <c r="E7864" s="6" t="str">
        <f>_xll.QS.INSTRUMENT.SWAP("swap.7862",H7864,B7864,"USD","SOFR",I7864,J7864,0,"Actual360","Simple","Annual","Annual","Annual")</f>
        <v>QSObject:Swap:w1~swap.7862:4039</v>
      </c>
      <c r="F7864" s="6" t="str">
        <f>_xll.QS.TRADE.CREATE("trade.7862",E7864,A7864,"Receive")</f>
        <v>QSObject:SwapTrade:w1~trade.7862:23825</v>
      </c>
      <c r="G7864" s="3">
        <f>_xll.QS.EVALUATE(C7864,F7864)</f>
        <v>34521.981363029125</v>
      </c>
      <c r="H7864" s="5" t="s">
        <v>7905</v>
      </c>
      <c r="I7864" s="7">
        <v>1786200</v>
      </c>
      <c r="J7864" s="8">
        <v>3.6200000000000003E-2</v>
      </c>
    </row>
    <row r="7865" spans="1:10" x14ac:dyDescent="0.25">
      <c r="A7865" s="5" t="s">
        <v>7899</v>
      </c>
      <c r="B7865" s="5" t="s">
        <v>9732</v>
      </c>
      <c r="C7865" s="6" t="str">
        <f>_xll.QS.CONTEXT.CREATE("market.7863",A7865,"USD","SOFR")</f>
        <v>QSObject:PricingContext:w1~market.7863:4038</v>
      </c>
      <c r="D7865" s="6" t="str">
        <f>_xll.QS.CONTEXT.ADD.CURVE(C7865,"SOFR",$K$2:$K$7,$L$2:$L$7,,,"Actual360","LogLinear",TRUE)</f>
        <v>QSObject:ContextInput:w1~input.qs_context_add_curve.2359132437744.7864.3.0:32479</v>
      </c>
      <c r="E7865" s="6" t="str">
        <f>_xll.QS.INSTRUMENT.SWAP("swap.7863",H7865,B7865,"USD","SOFR",I7865,J7865,0,"Actual360","Simple","Annual","Annual","Annual")</f>
        <v>QSObject:Swap:w1~swap.7863:4037</v>
      </c>
      <c r="F7865" s="6" t="str">
        <f>_xll.QS.TRADE.CREATE("trade.7863",E7865,A7865,"Receive")</f>
        <v>QSObject:SwapTrade:w1~trade.7863:23824</v>
      </c>
      <c r="G7865" s="3">
        <f>_xll.QS.EVALUATE(C7865,F7865)</f>
        <v>35347.804724626985</v>
      </c>
      <c r="H7865" s="5" t="s">
        <v>7906</v>
      </c>
      <c r="I7865" s="7">
        <v>1786300</v>
      </c>
      <c r="J7865" s="8">
        <v>3.6300000000000013E-2</v>
      </c>
    </row>
    <row r="7866" spans="1:10" x14ac:dyDescent="0.25">
      <c r="A7866" s="5" t="s">
        <v>7900</v>
      </c>
      <c r="B7866" s="5" t="s">
        <v>9733</v>
      </c>
      <c r="C7866" s="6" t="str">
        <f>_xll.QS.CONTEXT.CREATE("market.7864",A7866,"USD","SOFR")</f>
        <v>QSObject:PricingContext:w1~market.7864:4036</v>
      </c>
      <c r="D7866" s="6" t="str">
        <f>_xll.QS.CONTEXT.ADD.CURVE(C7866,"SOFR",$K$2:$K$7,$L$2:$L$7,,,"Actual360","LogLinear",TRUE)</f>
        <v>QSObject:ContextInput:w1~input.qs_context_add_curve.2359132437744.7865.3.0:32478</v>
      </c>
      <c r="E7866" s="6" t="str">
        <f>_xll.QS.INSTRUMENT.SWAP("swap.7864",H7866,B7866,"USD","SOFR",I7866,J7866,0,"Actual360","Simple","Annual","Annual","Annual")</f>
        <v>QSObject:Swap:w1~swap.7864:4035</v>
      </c>
      <c r="F7866" s="6" t="str">
        <f>_xll.QS.TRADE.CREATE("trade.7864",E7866,A7866,"Receive")</f>
        <v>QSObject:SwapTrade:w1~trade.7864:23823</v>
      </c>
      <c r="G7866" s="3">
        <f>_xll.QS.EVALUATE(C7866,F7866)</f>
        <v>36183.522886405626</v>
      </c>
      <c r="H7866" s="5" t="s">
        <v>7907</v>
      </c>
      <c r="I7866" s="7">
        <v>1786400</v>
      </c>
      <c r="J7866" s="8">
        <v>3.6400000000000002E-2</v>
      </c>
    </row>
    <row r="7867" spans="1:10" x14ac:dyDescent="0.25">
      <c r="A7867" s="5" t="s">
        <v>7901</v>
      </c>
      <c r="B7867" s="5" t="s">
        <v>9734</v>
      </c>
      <c r="C7867" s="6" t="str">
        <f>_xll.QS.CONTEXT.CREATE("market.7865",A7867,"USD","SOFR")</f>
        <v>QSObject:PricingContext:w1~market.7865:4034</v>
      </c>
      <c r="D7867" s="6" t="str">
        <f>_xll.QS.CONTEXT.ADD.CURVE(C7867,"SOFR",$K$2:$K$7,$L$2:$L$7,,,"Actual360","LogLinear",TRUE)</f>
        <v>QSObject:ContextInput:w1~input.qs_context_add_curve.2359132437744.7866.3.0:32477</v>
      </c>
      <c r="E7867" s="6" t="str">
        <f>_xll.QS.INSTRUMENT.SWAP("swap.7865",H7867,B7867,"USD","SOFR",I7867,J7867,0,"Actual360","Simple","Annual","Annual","Annual")</f>
        <v>QSObject:Swap:w1~swap.7865:4033</v>
      </c>
      <c r="F7867" s="6" t="str">
        <f>_xll.QS.TRADE.CREATE("trade.7865",E7867,A7867,"Receive")</f>
        <v>QSObject:SwapTrade:w1~trade.7865:23822</v>
      </c>
      <c r="G7867" s="3">
        <f>_xll.QS.EVALUATE(C7867,F7867)</f>
        <v>37011.249834605325</v>
      </c>
      <c r="H7867" s="5" t="s">
        <v>7908</v>
      </c>
      <c r="I7867" s="7">
        <v>1786500</v>
      </c>
      <c r="J7867" s="8">
        <v>3.6499999999999998E-2</v>
      </c>
    </row>
    <row r="7868" spans="1:10" x14ac:dyDescent="0.25">
      <c r="A7868" s="5" t="s">
        <v>7902</v>
      </c>
      <c r="B7868" s="5" t="s">
        <v>9735</v>
      </c>
      <c r="C7868" s="6" t="str">
        <f>_xll.QS.CONTEXT.CREATE("market.7866",A7868,"USD","SOFR")</f>
        <v>QSObject:PricingContext:w1~market.7866:4032</v>
      </c>
      <c r="D7868" s="6" t="str">
        <f>_xll.QS.CONTEXT.ADD.CURVE(C7868,"SOFR",$K$2:$K$7,$L$2:$L$7,,,"Actual360","LogLinear",TRUE)</f>
        <v>QSObject:ContextInput:w1~input.qs_context_add_curve.2359132437744.7867.3.0:32476</v>
      </c>
      <c r="E7868" s="6" t="str">
        <f>_xll.QS.INSTRUMENT.SWAP("swap.7866",H7868,B7868,"USD","SOFR",I7868,J7868,0,"Actual360","Simple","Annual","Annual","Annual")</f>
        <v>QSObject:Swap:w1~swap.7866:4031</v>
      </c>
      <c r="F7868" s="6" t="str">
        <f>_xll.QS.TRADE.CREATE("trade.7866",E7868,A7868,"Receive")</f>
        <v>QSObject:SwapTrade:w1~trade.7866:23821</v>
      </c>
      <c r="G7868" s="3">
        <f>_xll.QS.EVALUATE(C7868,F7868)</f>
        <v>37619.119199056593</v>
      </c>
      <c r="H7868" s="5" t="s">
        <v>7909</v>
      </c>
      <c r="I7868" s="7">
        <v>1786600</v>
      </c>
      <c r="J7868" s="8">
        <v>3.6600000000000001E-2</v>
      </c>
    </row>
    <row r="7869" spans="1:10" x14ac:dyDescent="0.25">
      <c r="A7869" s="5" t="s">
        <v>7903</v>
      </c>
      <c r="B7869" s="5" t="s">
        <v>9736</v>
      </c>
      <c r="C7869" s="6" t="str">
        <f>_xll.QS.CONTEXT.CREATE("market.7867",A7869,"USD","SOFR")</f>
        <v>QSObject:PricingContext:w1~market.7867:4030</v>
      </c>
      <c r="D7869" s="6" t="str">
        <f>_xll.QS.CONTEXT.ADD.CURVE(C7869,"SOFR",$K$2:$K$7,$L$2:$L$7,,,"Actual360","LogLinear",TRUE)</f>
        <v>QSObject:ContextInput:w1~input.qs_context_add_curve.2359132437744.7868.3.0:32475</v>
      </c>
      <c r="E7869" s="6" t="str">
        <f>_xll.QS.INSTRUMENT.SWAP("swap.7867",H7869,B7869,"USD","SOFR",I7869,J7869,0,"Actual360","Simple","Annual","Annual","Annual")</f>
        <v>QSObject:Swap:w1~swap.7867:4029</v>
      </c>
      <c r="F7869" s="6" t="str">
        <f>_xll.QS.TRADE.CREATE("trade.7867",E7869,A7869,"Receive")</f>
        <v>QSObject:SwapTrade:w1~trade.7867:23820</v>
      </c>
      <c r="G7869" s="3">
        <f>_xll.QS.EVALUATE(C7869,F7869)</f>
        <v>38448.371959445911</v>
      </c>
      <c r="H7869" s="5" t="s">
        <v>7910</v>
      </c>
      <c r="I7869" s="7">
        <v>1786700</v>
      </c>
      <c r="J7869" s="8">
        <v>3.6700000000000003E-2</v>
      </c>
    </row>
    <row r="7870" spans="1:10" x14ac:dyDescent="0.25">
      <c r="A7870" s="5" t="s">
        <v>7904</v>
      </c>
      <c r="B7870" s="5" t="s">
        <v>9737</v>
      </c>
      <c r="C7870" s="6" t="str">
        <f>_xll.QS.CONTEXT.CREATE("market.7868",A7870,"USD","SOFR")</f>
        <v>QSObject:PricingContext:w1~market.7868:4028</v>
      </c>
      <c r="D7870" s="6" t="str">
        <f>_xll.QS.CONTEXT.ADD.CURVE(C7870,"SOFR",$K$2:$K$7,$L$2:$L$7,,,"Actual360","LogLinear",TRUE)</f>
        <v>QSObject:ContextInput:w1~input.qs_context_add_curve.2359132437744.7869.3.0:32474</v>
      </c>
      <c r="E7870" s="6" t="str">
        <f>_xll.QS.INSTRUMENT.SWAP("swap.7868",H7870,B7870,"USD","SOFR",I7870,J7870,0,"Actual360","Simple","Annual","Annual","Annual")</f>
        <v>QSObject:Swap:w1~swap.7868:4027</v>
      </c>
      <c r="F7870" s="6" t="str">
        <f>_xll.QS.TRADE.CREATE("trade.7868",E7870,A7870,"Receive")</f>
        <v>QSObject:SwapTrade:w1~trade.7868:23819</v>
      </c>
      <c r="G7870" s="3">
        <f>_xll.QS.EVALUATE(C7870,F7870)</f>
        <v>39349.329350542408</v>
      </c>
      <c r="H7870" s="5" t="s">
        <v>7911</v>
      </c>
      <c r="I7870" s="7">
        <v>1786800</v>
      </c>
      <c r="J7870" s="8">
        <v>3.6800000000000013E-2</v>
      </c>
    </row>
    <row r="7871" spans="1:10" x14ac:dyDescent="0.25">
      <c r="A7871" s="5" t="s">
        <v>7905</v>
      </c>
      <c r="B7871" s="5" t="s">
        <v>9738</v>
      </c>
      <c r="C7871" s="6" t="str">
        <f>_xll.QS.CONTEXT.CREATE("market.7869",A7871,"USD","SOFR")</f>
        <v>QSObject:PricingContext:w1~market.7869:4026</v>
      </c>
      <c r="D7871" s="6" t="str">
        <f>_xll.QS.CONTEXT.ADD.CURVE(C7871,"SOFR",$K$2:$K$7,$L$2:$L$7,,,"Actual360","LogLinear",TRUE)</f>
        <v>QSObject:ContextInput:w1~input.qs_context_add_curve.2359132437744.7870.3.0:32473</v>
      </c>
      <c r="E7871" s="6" t="str">
        <f>_xll.QS.INSTRUMENT.SWAP("swap.7869",H7871,B7871,"USD","SOFR",I7871,J7871,0,"Actual360","Simple","Annual","Annual","Annual")</f>
        <v>QSObject:Swap:w1~swap.7869:4025</v>
      </c>
      <c r="F7871" s="6" t="str">
        <f>_xll.QS.TRADE.CREATE("trade.7869",E7871,A7871,"Receive")</f>
        <v>QSObject:SwapTrade:w1~trade.7869:23818</v>
      </c>
      <c r="G7871" s="3">
        <f>_xll.QS.EVALUATE(C7871,F7871)</f>
        <v>40306.446065413118</v>
      </c>
      <c r="H7871" s="5" t="s">
        <v>7912</v>
      </c>
      <c r="I7871" s="7">
        <v>1786900</v>
      </c>
      <c r="J7871" s="8">
        <v>3.6900000000000002E-2</v>
      </c>
    </row>
    <row r="7872" spans="1:10" x14ac:dyDescent="0.25">
      <c r="A7872" s="5" t="s">
        <v>7906</v>
      </c>
      <c r="B7872" s="5" t="s">
        <v>9739</v>
      </c>
      <c r="C7872" s="6" t="str">
        <f>_xll.QS.CONTEXT.CREATE("market.7870",A7872,"USD","SOFR")</f>
        <v>QSObject:PricingContext:w1~market.7870:4024</v>
      </c>
      <c r="D7872" s="6" t="str">
        <f>_xll.QS.CONTEXT.ADD.CURVE(C7872,"SOFR",$K$2:$K$7,$L$2:$L$7,,,"Actual360","LogLinear",TRUE)</f>
        <v>QSObject:ContextInput:w1~input.qs_context_add_curve.2359132437744.7871.3.0:32472</v>
      </c>
      <c r="E7872" s="6" t="str">
        <f>_xll.QS.INSTRUMENT.SWAP("swap.7870",H7872,B7872,"USD","SOFR",I7872,J7872,0,"Actual360","Simple","Annual","Annual","Annual")</f>
        <v>QSObject:Swap:w1~swap.7870:4023</v>
      </c>
      <c r="F7872" s="6" t="str">
        <f>_xll.QS.TRADE.CREATE("trade.7870",E7872,A7872,"Receive")</f>
        <v>QSObject:SwapTrade:w1~trade.7870:23817</v>
      </c>
      <c r="G7872" s="3">
        <f>_xll.QS.EVALUATE(C7872,F7872)</f>
        <v>41132.903872291448</v>
      </c>
      <c r="H7872" s="5" t="s">
        <v>7913</v>
      </c>
      <c r="I7872" s="7">
        <v>1787000</v>
      </c>
      <c r="J7872" s="8">
        <v>3.7000000000000012E-2</v>
      </c>
    </row>
    <row r="7873" spans="1:10" x14ac:dyDescent="0.25">
      <c r="A7873" s="5" t="s">
        <v>7907</v>
      </c>
      <c r="B7873" s="5" t="s">
        <v>9740</v>
      </c>
      <c r="C7873" s="6" t="str">
        <f>_xll.QS.CONTEXT.CREATE("market.7871",A7873,"USD","SOFR")</f>
        <v>QSObject:PricingContext:w1~market.7871:4022</v>
      </c>
      <c r="D7873" s="6" t="str">
        <f>_xll.QS.CONTEXT.ADD.CURVE(C7873,"SOFR",$K$2:$K$7,$L$2:$L$7,,,"Actual360","LogLinear",TRUE)</f>
        <v>QSObject:ContextInput:w1~input.qs_context_add_curve.2359132437744.7872.3.0:32471</v>
      </c>
      <c r="E7873" s="6" t="str">
        <f>_xll.QS.INSTRUMENT.SWAP("swap.7871",H7873,B7873,"USD","SOFR",I7873,J7873,0,"Actual360","Simple","Annual","Annual","Annual")</f>
        <v>QSObject:Swap:w1~swap.7871:4021</v>
      </c>
      <c r="F7873" s="6" t="str">
        <f>_xll.QS.TRADE.CREATE("trade.7871",E7873,A7873,"Receive")</f>
        <v>QSObject:SwapTrade:w1~trade.7871:23816</v>
      </c>
      <c r="G7873" s="3">
        <f>_xll.QS.EVALUATE(C7873,F7873)</f>
        <v>41969.287785569941</v>
      </c>
      <c r="H7873" s="5" t="s">
        <v>7914</v>
      </c>
      <c r="I7873" s="7">
        <v>1787100</v>
      </c>
      <c r="J7873" s="8">
        <v>3.7100000000000001E-2</v>
      </c>
    </row>
    <row r="7874" spans="1:10" x14ac:dyDescent="0.25">
      <c r="A7874" s="5" t="s">
        <v>7908</v>
      </c>
      <c r="B7874" s="5" t="s">
        <v>9741</v>
      </c>
      <c r="C7874" s="6" t="str">
        <f>_xll.QS.CONTEXT.CREATE("market.7872",A7874,"USD","SOFR")</f>
        <v>QSObject:PricingContext:w1~market.7872:4020</v>
      </c>
      <c r="D7874" s="6" t="str">
        <f>_xll.QS.CONTEXT.ADD.CURVE(C7874,"SOFR",$K$2:$K$7,$L$2:$L$7,,,"Actual360","LogLinear",TRUE)</f>
        <v>QSObject:ContextInput:w1~input.qs_context_add_curve.2359132437744.7873.3.0:32470</v>
      </c>
      <c r="E7874" s="6" t="str">
        <f>_xll.QS.INSTRUMENT.SWAP("swap.7872",H7874,B7874,"USD","SOFR",I7874,J7874,0,"Actual360","Simple","Annual","Annual","Annual")</f>
        <v>QSObject:Swap:w1~swap.7872:4019</v>
      </c>
      <c r="F7874" s="6" t="str">
        <f>_xll.QS.TRADE.CREATE("trade.7872",E7874,A7874,"Receive")</f>
        <v>QSObject:SwapTrade:w1~trade.7872:23815</v>
      </c>
      <c r="G7874" s="3">
        <f>_xll.QS.EVALUATE(C7874,F7874)</f>
        <v>42797.6831950411</v>
      </c>
      <c r="H7874" s="5" t="s">
        <v>7915</v>
      </c>
      <c r="I7874" s="7">
        <v>1787200</v>
      </c>
      <c r="J7874" s="8">
        <v>3.7199999999999997E-2</v>
      </c>
    </row>
    <row r="7875" spans="1:10" x14ac:dyDescent="0.25">
      <c r="A7875" s="5" t="s">
        <v>7909</v>
      </c>
      <c r="B7875" s="5" t="s">
        <v>9742</v>
      </c>
      <c r="C7875" s="6" t="str">
        <f>_xll.QS.CONTEXT.CREATE("market.7873",A7875,"USD","SOFR")</f>
        <v>QSObject:PricingContext:w1~market.7873:4018</v>
      </c>
      <c r="D7875" s="6" t="str">
        <f>_xll.QS.CONTEXT.ADD.CURVE(C7875,"SOFR",$K$2:$K$7,$L$2:$L$7,,,"Actual360","LogLinear",TRUE)</f>
        <v>QSObject:ContextInput:w1~input.qs_context_add_curve.2359132437744.7874.3.0:32469</v>
      </c>
      <c r="E7875" s="6" t="str">
        <f>_xll.QS.INSTRUMENT.SWAP("swap.7873",H7875,B7875,"USD","SOFR",I7875,J7875,0,"Actual360","Simple","Annual","Annual","Annual")</f>
        <v>QSObject:Swap:w1~swap.7873:4017</v>
      </c>
      <c r="F7875" s="6" t="str">
        <f>_xll.QS.TRADE.CREATE("trade.7873",E7875,A7875,"Receive")</f>
        <v>QSObject:SwapTrade:w1~trade.7873:23814</v>
      </c>
      <c r="G7875" s="3">
        <f>_xll.QS.EVALUATE(C7875,F7875)</f>
        <v>43627.970272752398</v>
      </c>
      <c r="H7875" s="5" t="s">
        <v>7916</v>
      </c>
      <c r="I7875" s="7">
        <v>1787300</v>
      </c>
      <c r="J7875" s="8">
        <v>3.73E-2</v>
      </c>
    </row>
    <row r="7876" spans="1:10" x14ac:dyDescent="0.25">
      <c r="A7876" s="5" t="s">
        <v>7910</v>
      </c>
      <c r="B7876" s="5" t="s">
        <v>9743</v>
      </c>
      <c r="C7876" s="6" t="str">
        <f>_xll.QS.CONTEXT.CREATE("market.7874",A7876,"USD","SOFR")</f>
        <v>QSObject:PricingContext:w1~market.7874:4016</v>
      </c>
      <c r="D7876" s="6" t="str">
        <f>_xll.QS.CONTEXT.ADD.CURVE(C7876,"SOFR",$K$2:$K$7,$L$2:$L$7,,,"Actual360","LogLinear",TRUE)</f>
        <v>QSObject:ContextInput:w1~input.qs_context_add_curve.2359132437744.7875.3.0:32468</v>
      </c>
      <c r="E7876" s="6" t="str">
        <f>_xll.QS.INSTRUMENT.SWAP("swap.7874",H7876,B7876,"USD","SOFR",I7876,J7876,0,"Actual360","Simple","Annual","Annual","Annual")</f>
        <v>QSObject:Swap:w1~swap.7874:4015</v>
      </c>
      <c r="F7876" s="6" t="str">
        <f>_xll.QS.TRADE.CREATE("trade.7874",E7876,A7876,"Receive")</f>
        <v>QSObject:SwapTrade:w1~trade.7874:23813</v>
      </c>
      <c r="G7876" s="3">
        <f>_xll.QS.EVALUATE(C7876,F7876)</f>
        <v>44458.510076119019</v>
      </c>
      <c r="H7876" s="5" t="s">
        <v>7917</v>
      </c>
      <c r="I7876" s="7">
        <v>1787400</v>
      </c>
      <c r="J7876" s="8">
        <v>3.7400000000000003E-2</v>
      </c>
    </row>
    <row r="7877" spans="1:10" x14ac:dyDescent="0.25">
      <c r="A7877" s="5" t="s">
        <v>7911</v>
      </c>
      <c r="B7877" s="5" t="s">
        <v>9744</v>
      </c>
      <c r="C7877" s="6" t="str">
        <f>_xll.QS.CONTEXT.CREATE("market.7875",A7877,"USD","SOFR")</f>
        <v>QSObject:PricingContext:w1~market.7875:4014</v>
      </c>
      <c r="D7877" s="6" t="str">
        <f>_xll.QS.CONTEXT.ADD.CURVE(C7877,"SOFR",$K$2:$K$7,$L$2:$L$7,,,"Actual360","LogLinear",TRUE)</f>
        <v>QSObject:ContextInput:w1~input.qs_context_add_curve.2359132437744.7876.3.0:32467</v>
      </c>
      <c r="E7877" s="6" t="str">
        <f>_xll.QS.INSTRUMENT.SWAP("swap.7875",H7877,B7877,"USD","SOFR",I7877,J7877,0,"Actual360","Simple","Annual","Annual","Annual")</f>
        <v>QSObject:Swap:w1~swap.7875:4013</v>
      </c>
      <c r="F7877" s="6" t="str">
        <f>_xll.QS.TRADE.CREATE("trade.7875",E7877,A7877,"Receive")</f>
        <v>QSObject:SwapTrade:w1~trade.7875:23812</v>
      </c>
      <c r="G7877" s="3">
        <f>_xll.QS.EVALUATE(C7877,F7877)</f>
        <v>45137.532730991596</v>
      </c>
      <c r="H7877" s="5" t="s">
        <v>7918</v>
      </c>
      <c r="I7877" s="7">
        <v>1787500</v>
      </c>
      <c r="J7877" s="8">
        <v>3.7500000000000012E-2</v>
      </c>
    </row>
    <row r="7878" spans="1:10" x14ac:dyDescent="0.25">
      <c r="A7878" s="5" t="s">
        <v>7912</v>
      </c>
      <c r="B7878" s="5" t="s">
        <v>9745</v>
      </c>
      <c r="C7878" s="6" t="str">
        <f>_xll.QS.CONTEXT.CREATE("market.7876",A7878,"USD","SOFR")</f>
        <v>QSObject:PricingContext:w1~market.7876:4012</v>
      </c>
      <c r="D7878" s="6" t="str">
        <f>_xll.QS.CONTEXT.ADD.CURVE(C7878,"SOFR",$K$2:$K$7,$L$2:$L$7,,,"Actual360","LogLinear",TRUE)</f>
        <v>QSObject:ContextInput:w1~input.qs_context_add_curve.2359132437744.7877.3.0:32466</v>
      </c>
      <c r="E7878" s="6" t="str">
        <f>_xll.QS.INSTRUMENT.SWAP("swap.7876",H7878,B7878,"USD","SOFR",I7878,J7878,0,"Actual360","Simple","Annual","Annual","Annual")</f>
        <v>QSObject:Swap:w1~swap.7876:4011</v>
      </c>
      <c r="F7878" s="6" t="str">
        <f>_xll.QS.TRADE.CREATE("trade.7876",E7878,A7878,"Receive")</f>
        <v>QSObject:SwapTrade:w1~trade.7876:23811</v>
      </c>
      <c r="G7878" s="3">
        <f>_xll.QS.EVALUATE(C7878,F7878)</f>
        <v>46095.432179219984</v>
      </c>
      <c r="H7878" s="5" t="s">
        <v>7919</v>
      </c>
      <c r="I7878" s="7">
        <v>1787600</v>
      </c>
      <c r="J7878" s="8">
        <v>3.7600000000000001E-2</v>
      </c>
    </row>
    <row r="7879" spans="1:10" x14ac:dyDescent="0.25">
      <c r="A7879" s="5" t="s">
        <v>7913</v>
      </c>
      <c r="B7879" s="5" t="s">
        <v>9746</v>
      </c>
      <c r="C7879" s="6" t="str">
        <f>_xll.QS.CONTEXT.CREATE("market.7877",A7879,"USD","SOFR")</f>
        <v>QSObject:PricingContext:w1~market.7877:4010</v>
      </c>
      <c r="D7879" s="6" t="str">
        <f>_xll.QS.CONTEXT.ADD.CURVE(C7879,"SOFR",$K$2:$K$7,$L$2:$L$7,,,"Actual360","LogLinear",TRUE)</f>
        <v>QSObject:ContextInput:w1~input.qs_context_add_curve.2359132437744.7878.3.0:32465</v>
      </c>
      <c r="E7879" s="6" t="str">
        <f>_xll.QS.INSTRUMENT.SWAP("swap.7877",H7879,B7879,"USD","SOFR",I7879,J7879,0,"Actual360","Simple","Annual","Annual","Annual")</f>
        <v>QSObject:Swap:w1~swap.7877:4009</v>
      </c>
      <c r="F7879" s="6" t="str">
        <f>_xll.QS.TRADE.CREATE("trade.7877",E7879,A7879,"Receive")</f>
        <v>QSObject:SwapTrade:w1~trade.7877:23810</v>
      </c>
      <c r="G7879" s="3">
        <f>_xll.QS.EVALUATE(C7879,F7879)</f>
        <v>46923.161330884934</v>
      </c>
      <c r="H7879" s="5" t="s">
        <v>7920</v>
      </c>
      <c r="I7879" s="7">
        <v>1787700</v>
      </c>
      <c r="J7879" s="8">
        <v>3.7699999999999997E-2</v>
      </c>
    </row>
    <row r="7880" spans="1:10" x14ac:dyDescent="0.25">
      <c r="A7880" s="5" t="s">
        <v>7914</v>
      </c>
      <c r="B7880" s="5" t="s">
        <v>9747</v>
      </c>
      <c r="C7880" s="6" t="str">
        <f>_xll.QS.CONTEXT.CREATE("market.7878",A7880,"USD","SOFR")</f>
        <v>QSObject:PricingContext:w1~market.7878:4008</v>
      </c>
      <c r="D7880" s="6" t="str">
        <f>_xll.QS.CONTEXT.ADD.CURVE(C7880,"SOFR",$K$2:$K$7,$L$2:$L$7,,,"Actual360","LogLinear",TRUE)</f>
        <v>QSObject:ContextInput:w1~input.qs_context_add_curve.2359132437744.7879.3.0:32464</v>
      </c>
      <c r="E7880" s="6" t="str">
        <f>_xll.QS.INSTRUMENT.SWAP("swap.7878",H7880,B7880,"USD","SOFR",I7880,J7880,0,"Actual360","Simple","Annual","Annual","Annual")</f>
        <v>QSObject:Swap:w1~swap.7878:4007</v>
      </c>
      <c r="F7880" s="6" t="str">
        <f>_xll.QS.TRADE.CREATE("trade.7878",E7880,A7880,"Receive")</f>
        <v>QSObject:SwapTrade:w1~trade.7878:23809</v>
      </c>
      <c r="G7880" s="3">
        <f>_xll.QS.EVALUATE(C7880,F7880)</f>
        <v>47759.574099855883</v>
      </c>
      <c r="H7880" s="5" t="s">
        <v>7921</v>
      </c>
      <c r="I7880" s="7">
        <v>1787800</v>
      </c>
      <c r="J7880" s="8">
        <v>3.78E-2</v>
      </c>
    </row>
    <row r="7881" spans="1:10" x14ac:dyDescent="0.25">
      <c r="A7881" s="5" t="s">
        <v>7915</v>
      </c>
      <c r="B7881" s="5" t="s">
        <v>9748</v>
      </c>
      <c r="C7881" s="6" t="str">
        <f>_xll.QS.CONTEXT.CREATE("market.7879",A7881,"USD","SOFR")</f>
        <v>QSObject:PricingContext:w1~market.7879:4006</v>
      </c>
      <c r="D7881" s="6" t="str">
        <f>_xll.QS.CONTEXT.ADD.CURVE(C7881,"SOFR",$K$2:$K$7,$L$2:$L$7,,,"Actual360","LogLinear",TRUE)</f>
        <v>QSObject:ContextInput:w1~input.qs_context_add_curve.2359132437744.7880.3.0:32463</v>
      </c>
      <c r="E7881" s="6" t="str">
        <f>_xll.QS.INSTRUMENT.SWAP("swap.7879",H7881,B7881,"USD","SOFR",I7881,J7881,0,"Actual360","Simple","Annual","Annual","Annual")</f>
        <v>QSObject:Swap:w1~swap.7879:4005</v>
      </c>
      <c r="F7881" s="6" t="str">
        <f>_xll.QS.TRADE.CREATE("trade.7879",E7881,A7881,"Receive")</f>
        <v>QSObject:SwapTrade:w1~trade.7879:23808</v>
      </c>
      <c r="G7881" s="3">
        <f>_xll.QS.EVALUATE(C7881,F7881)</f>
        <v>48588.637987809438</v>
      </c>
      <c r="H7881" s="5" t="s">
        <v>7922</v>
      </c>
      <c r="I7881" s="7">
        <v>1787900</v>
      </c>
      <c r="J7881" s="8">
        <v>3.7900000000000003E-2</v>
      </c>
    </row>
    <row r="7882" spans="1:10" x14ac:dyDescent="0.25">
      <c r="A7882" s="5" t="s">
        <v>7916</v>
      </c>
      <c r="B7882" s="5" t="s">
        <v>9749</v>
      </c>
      <c r="C7882" s="6" t="str">
        <f>_xll.QS.CONTEXT.CREATE("market.7880",A7882,"USD","SOFR")</f>
        <v>QSObject:PricingContext:w1~market.7880:4004</v>
      </c>
      <c r="D7882" s="6" t="str">
        <f>_xll.QS.CONTEXT.ADD.CURVE(C7882,"SOFR",$K$2:$K$7,$L$2:$L$7,,,"Actual360","LogLinear",TRUE)</f>
        <v>QSObject:ContextInput:w1~input.qs_context_add_curve.2359132437744.7881.3.0:32462</v>
      </c>
      <c r="E7882" s="6" t="str">
        <f>_xll.QS.INSTRUMENT.SWAP("swap.7880",H7882,B7882,"USD","SOFR",I7882,J7882,0,"Actual360","Simple","Annual","Annual","Annual")</f>
        <v>QSObject:Swap:w1~swap.7880:4003</v>
      </c>
      <c r="F7882" s="6" t="str">
        <f>_xll.QS.TRADE.CREATE("trade.7880",E7882,A7882,"Receive")</f>
        <v>QSObject:SwapTrade:w1~trade.7880:23807</v>
      </c>
      <c r="G7882" s="3">
        <f>_xll.QS.EVALUATE(C7882,F7882)</f>
        <v>49195.305043814864</v>
      </c>
      <c r="H7882" s="5" t="s">
        <v>7923</v>
      </c>
      <c r="I7882" s="7">
        <v>1788000</v>
      </c>
      <c r="J7882" s="8">
        <v>3.8000000000000013E-2</v>
      </c>
    </row>
    <row r="7883" spans="1:10" x14ac:dyDescent="0.25">
      <c r="A7883" s="5" t="s">
        <v>7917</v>
      </c>
      <c r="B7883" s="5" t="s">
        <v>9750</v>
      </c>
      <c r="C7883" s="6" t="str">
        <f>_xll.QS.CONTEXT.CREATE("market.7881",A7883,"USD","SOFR")</f>
        <v>QSObject:PricingContext:w1~market.7881:4002</v>
      </c>
      <c r="D7883" s="6" t="str">
        <f>_xll.QS.CONTEXT.ADD.CURVE(C7883,"SOFR",$K$2:$K$7,$L$2:$L$7,,,"Actual360","LogLinear",TRUE)</f>
        <v>QSObject:ContextInput:w1~input.qs_context_add_curve.2359132437744.7882.3.0:32461</v>
      </c>
      <c r="E7883" s="6" t="str">
        <f>_xll.QS.INSTRUMENT.SWAP("swap.7881",H7883,B7883,"USD","SOFR",I7883,J7883,0,"Actual360","Simple","Annual","Annual","Annual")</f>
        <v>QSObject:Swap:w1~swap.7881:4001</v>
      </c>
      <c r="F7883" s="6" t="str">
        <f>_xll.QS.TRADE.CREATE("trade.7881",E7883,A7883,"Receive")</f>
        <v>QSObject:SwapTrade:w1~trade.7881:23806</v>
      </c>
      <c r="G7883" s="3">
        <f>_xll.QS.EVALUATE(C7883,F7883)</f>
        <v>50026.820169558116</v>
      </c>
      <c r="H7883" s="5" t="s">
        <v>7924</v>
      </c>
      <c r="I7883" s="7">
        <v>1788100</v>
      </c>
      <c r="J7883" s="8">
        <v>3.8100000000000002E-2</v>
      </c>
    </row>
    <row r="7884" spans="1:10" x14ac:dyDescent="0.25">
      <c r="A7884" s="5" t="s">
        <v>7918</v>
      </c>
      <c r="B7884" s="5" t="s">
        <v>9751</v>
      </c>
      <c r="C7884" s="6" t="str">
        <f>_xll.QS.CONTEXT.CREATE("market.7882",A7884,"USD","SOFR")</f>
        <v>QSObject:PricingContext:w1~market.7882:4000</v>
      </c>
      <c r="D7884" s="6" t="str">
        <f>_xll.QS.CONTEXT.ADD.CURVE(C7884,"SOFR",$K$2:$K$7,$L$2:$L$7,,,"Actual360","LogLinear",TRUE)</f>
        <v>QSObject:ContextInput:w1~input.qs_context_add_curve.2359132437744.7883.3.0:32460</v>
      </c>
      <c r="E7884" s="6" t="str">
        <f>_xll.QS.INSTRUMENT.SWAP("swap.7882",H7884,B7884,"USD","SOFR",I7884,J7884,0,"Actual360","Simple","Annual","Annual","Annual")</f>
        <v>QSObject:Swap:w1~swap.7882:3999</v>
      </c>
      <c r="F7884" s="6" t="str">
        <f>_xll.QS.TRADE.CREATE("trade.7882",E7884,A7884,"Receive")</f>
        <v>QSObject:SwapTrade:w1~trade.7882:23805</v>
      </c>
      <c r="G7884" s="3">
        <f>_xll.QS.EVALUATE(C7884,F7884)</f>
        <v>50930.257455744184</v>
      </c>
      <c r="H7884" s="5" t="s">
        <v>7925</v>
      </c>
      <c r="I7884" s="7">
        <v>1788200</v>
      </c>
      <c r="J7884" s="8">
        <v>3.8199999999999998E-2</v>
      </c>
    </row>
    <row r="7885" spans="1:10" x14ac:dyDescent="0.25">
      <c r="A7885" s="5" t="s">
        <v>7919</v>
      </c>
      <c r="B7885" s="5" t="s">
        <v>9752</v>
      </c>
      <c r="C7885" s="6" t="str">
        <f>_xll.QS.CONTEXT.CREATE("market.7883",A7885,"USD","SOFR")</f>
        <v>QSObject:PricingContext:w1~market.7883:3998</v>
      </c>
      <c r="D7885" s="6" t="str">
        <f>_xll.QS.CONTEXT.ADD.CURVE(C7885,"SOFR",$K$2:$K$7,$L$2:$L$7,,,"Actual360","LogLinear",TRUE)</f>
        <v>QSObject:ContextInput:w1~input.qs_context_add_curve.2359132437744.7884.3.0:32459</v>
      </c>
      <c r="E7885" s="6" t="str">
        <f>_xll.QS.INSTRUMENT.SWAP("swap.7883",H7885,B7885,"USD","SOFR",I7885,J7885,0,"Actual360","Simple","Annual","Annual","Annual")</f>
        <v>QSObject:Swap:w1~swap.7883:3997</v>
      </c>
      <c r="F7885" s="6" t="str">
        <f>_xll.QS.TRADE.CREATE("trade.7883",E7885,A7885,"Receive")</f>
        <v>QSObject:SwapTrade:w1~trade.7883:23804</v>
      </c>
      <c r="G7885" s="3">
        <f>_xll.QS.EVALUATE(C7885,F7885)</f>
        <v>51888.939704450007</v>
      </c>
      <c r="H7885" s="5" t="s">
        <v>7926</v>
      </c>
      <c r="I7885" s="7">
        <v>1788300</v>
      </c>
      <c r="J7885" s="8">
        <v>3.8300000000000001E-2</v>
      </c>
    </row>
    <row r="7886" spans="1:10" x14ac:dyDescent="0.25">
      <c r="A7886" s="5" t="s">
        <v>7920</v>
      </c>
      <c r="B7886" s="5" t="s">
        <v>9753</v>
      </c>
      <c r="C7886" s="6" t="str">
        <f>_xll.QS.CONTEXT.CREATE("market.7884",A7886,"USD","SOFR")</f>
        <v>QSObject:PricingContext:w1~market.7884:3996</v>
      </c>
      <c r="D7886" s="6" t="str">
        <f>_xll.QS.CONTEXT.ADD.CURVE(C7886,"SOFR",$K$2:$K$7,$L$2:$L$7,,,"Actual360","LogLinear",TRUE)</f>
        <v>QSObject:ContextInput:w1~input.qs_context_add_curve.2359132437744.7885.3.0:32458</v>
      </c>
      <c r="E7886" s="6" t="str">
        <f>_xll.QS.INSTRUMENT.SWAP("swap.7884",H7886,B7886,"USD","SOFR",I7886,J7886,0,"Actual360","Simple","Annual","Annual","Annual")</f>
        <v>QSObject:Swap:w1~swap.7884:3995</v>
      </c>
      <c r="F7886" s="6" t="str">
        <f>_xll.QS.TRADE.CREATE("trade.7884",E7886,A7886,"Receive")</f>
        <v>QSObject:SwapTrade:w1~trade.7884:23803</v>
      </c>
      <c r="G7886" s="3">
        <f>_xll.QS.EVALUATE(C7886,F7886)</f>
        <v>52716.666375162196</v>
      </c>
      <c r="H7886" s="5" t="s">
        <v>7927</v>
      </c>
      <c r="I7886" s="7">
        <v>1788400</v>
      </c>
      <c r="J7886" s="8">
        <v>3.8399999999999997E-2</v>
      </c>
    </row>
    <row r="7887" spans="1:10" x14ac:dyDescent="0.25">
      <c r="A7887" s="5" t="s">
        <v>7921</v>
      </c>
      <c r="B7887" s="5" t="s">
        <v>9754</v>
      </c>
      <c r="C7887" s="6" t="str">
        <f>_xll.QS.CONTEXT.CREATE("market.7885",A7887,"USD","SOFR")</f>
        <v>QSObject:PricingContext:w1~market.7885:3994</v>
      </c>
      <c r="D7887" s="6" t="str">
        <f>_xll.QS.CONTEXT.ADD.CURVE(C7887,"SOFR",$K$2:$K$7,$L$2:$L$7,,,"Actual360","LogLinear",TRUE)</f>
        <v>QSObject:ContextInput:w1~input.qs_context_add_curve.2359132437744.7886.3.0:32457</v>
      </c>
      <c r="E7887" s="6" t="str">
        <f>_xll.QS.INSTRUMENT.SWAP("swap.7885",H7887,B7887,"USD","SOFR",I7887,J7887,0,"Actual360","Simple","Annual","Annual","Annual")</f>
        <v>QSObject:Swap:w1~swap.7885:3993</v>
      </c>
      <c r="F7887" s="6" t="str">
        <f>_xll.QS.TRADE.CREATE("trade.7885",E7887,A7887,"Receive")</f>
        <v>QSObject:SwapTrade:w1~trade.7885:23802</v>
      </c>
      <c r="G7887" s="3">
        <f>_xll.QS.EVALUATE(C7887,F7887)</f>
        <v>53554.381829263701</v>
      </c>
      <c r="H7887" s="5" t="s">
        <v>7928</v>
      </c>
      <c r="I7887" s="7">
        <v>1788500</v>
      </c>
      <c r="J7887" s="8">
        <v>3.8500000000000013E-2</v>
      </c>
    </row>
    <row r="7888" spans="1:10" x14ac:dyDescent="0.25">
      <c r="A7888" s="5" t="s">
        <v>7922</v>
      </c>
      <c r="B7888" s="5" t="s">
        <v>9755</v>
      </c>
      <c r="C7888" s="6" t="str">
        <f>_xll.QS.CONTEXT.CREATE("market.7886",A7888,"USD","SOFR")</f>
        <v>QSObject:PricingContext:w1~market.7886:3992</v>
      </c>
      <c r="D7888" s="6" t="str">
        <f>_xll.QS.CONTEXT.ADD.CURVE(C7888,"SOFR",$K$2:$K$7,$L$2:$L$7,,,"Actual360","LogLinear",TRUE)</f>
        <v>QSObject:ContextInput:w1~input.qs_context_add_curve.2359132437744.7887.3.0:32456</v>
      </c>
      <c r="E7888" s="6" t="str">
        <f>_xll.QS.INSTRUMENT.SWAP("swap.7886",H7888,B7888,"USD","SOFR",I7888,J7888,0,"Actual360","Simple","Annual","Annual","Annual")</f>
        <v>QSObject:Swap:w1~swap.7886:3991</v>
      </c>
      <c r="F7888" s="6" t="str">
        <f>_xll.QS.TRADE.CREATE("trade.7886",E7888,A7888,"Receive")</f>
        <v>QSObject:SwapTrade:w1~trade.7886:23801</v>
      </c>
      <c r="G7888" s="3">
        <f>_xll.QS.EVALUATE(C7888,F7888)</f>
        <v>54384.114212909379</v>
      </c>
      <c r="H7888" s="5" t="s">
        <v>7929</v>
      </c>
      <c r="I7888" s="7">
        <v>1788600</v>
      </c>
      <c r="J7888" s="8">
        <v>3.8600000000000002E-2</v>
      </c>
    </row>
    <row r="7889" spans="1:10" x14ac:dyDescent="0.25">
      <c r="A7889" s="5" t="s">
        <v>7923</v>
      </c>
      <c r="B7889" s="5" t="s">
        <v>9756</v>
      </c>
      <c r="C7889" s="6" t="str">
        <f>_xll.QS.CONTEXT.CREATE("market.7887",A7889,"USD","SOFR")</f>
        <v>QSObject:PricingContext:w1~market.7887:3990</v>
      </c>
      <c r="D7889" s="6" t="str">
        <f>_xll.QS.CONTEXT.ADD.CURVE(C7889,"SOFR",$K$2:$K$7,$L$2:$L$7,,,"Actual360","LogLinear",TRUE)</f>
        <v>QSObject:ContextInput:w1~input.qs_context_add_curve.2359132437744.7888.3.0:32455</v>
      </c>
      <c r="E7889" s="6" t="str">
        <f>_xll.QS.INSTRUMENT.SWAP("swap.7887",H7889,B7889,"USD","SOFR",I7889,J7889,0,"Actual360","Simple","Annual","Annual","Annual")</f>
        <v>QSObject:Swap:w1~swap.7887:3989</v>
      </c>
      <c r="F7889" s="6" t="str">
        <f>_xll.QS.TRADE.CREATE("trade.7887",E7889,A7889,"Receive")</f>
        <v>QSObject:SwapTrade:w1~trade.7887:23800</v>
      </c>
      <c r="G7889" s="3">
        <f>_xll.QS.EVALUATE(C7889,F7889)</f>
        <v>54990.178750551138</v>
      </c>
      <c r="H7889" s="5" t="s">
        <v>7930</v>
      </c>
      <c r="I7889" s="7">
        <v>1788700</v>
      </c>
      <c r="J7889" s="8">
        <v>3.8700000000000012E-2</v>
      </c>
    </row>
    <row r="7890" spans="1:10" x14ac:dyDescent="0.25">
      <c r="A7890" s="5" t="s">
        <v>7924</v>
      </c>
      <c r="B7890" s="5" t="s">
        <v>9757</v>
      </c>
      <c r="C7890" s="6" t="str">
        <f>_xll.QS.CONTEXT.CREATE("market.7888",A7890,"USD","SOFR")</f>
        <v>QSObject:PricingContext:w1~market.7888:3988</v>
      </c>
      <c r="D7890" s="6" t="str">
        <f>_xll.QS.CONTEXT.ADD.CURVE(C7890,"SOFR",$K$2:$K$7,$L$2:$L$7,,,"Actual360","LogLinear",TRUE)</f>
        <v>QSObject:ContextInput:w1~input.qs_context_add_curve.2359132437744.7889.3.0:32454</v>
      </c>
      <c r="E7890" s="6" t="str">
        <f>_xll.QS.INSTRUMENT.SWAP("swap.7888",H7890,B7890,"USD","SOFR",I7890,J7890,0,"Actual360","Simple","Annual","Annual","Annual")</f>
        <v>QSObject:Swap:w1~swap.7888:3987</v>
      </c>
      <c r="F7890" s="6" t="str">
        <f>_xll.QS.TRADE.CREATE("trade.7888",E7890,A7890,"Receive")</f>
        <v>QSObject:SwapTrade:w1~trade.7888:23799</v>
      </c>
      <c r="G7890" s="3">
        <f>_xll.QS.EVALUATE(C7890,F7890)</f>
        <v>55822.825627660786</v>
      </c>
      <c r="H7890" s="5" t="s">
        <v>7931</v>
      </c>
      <c r="I7890" s="7">
        <v>1788800</v>
      </c>
      <c r="J7890" s="8">
        <v>3.8800000000000001E-2</v>
      </c>
    </row>
    <row r="7891" spans="1:10" x14ac:dyDescent="0.25">
      <c r="A7891" s="5" t="s">
        <v>7925</v>
      </c>
      <c r="B7891" s="5" t="s">
        <v>9758</v>
      </c>
      <c r="C7891" s="6" t="str">
        <f>_xll.QS.CONTEXT.CREATE("market.7889",A7891,"USD","SOFR")</f>
        <v>QSObject:PricingContext:w1~market.7889:3986</v>
      </c>
      <c r="D7891" s="6" t="str">
        <f>_xll.QS.CONTEXT.ADD.CURVE(C7891,"SOFR",$K$2:$K$7,$L$2:$L$7,,,"Actual360","LogLinear",TRUE)</f>
        <v>QSObject:ContextInput:w1~input.qs_context_add_curve.2359132437744.7890.3.0:32453</v>
      </c>
      <c r="E7891" s="6" t="str">
        <f>_xll.QS.INSTRUMENT.SWAP("swap.7889",H7891,B7891,"USD","SOFR",I7891,J7891,0,"Actual360","Simple","Annual","Annual","Annual")</f>
        <v>QSObject:Swap:w1~swap.7889:3985</v>
      </c>
      <c r="F7891" s="6" t="str">
        <f>_xll.QS.TRADE.CREATE("trade.7889",E7891,A7891,"Receive")</f>
        <v>QSObject:SwapTrade:w1~trade.7889:23798</v>
      </c>
      <c r="G7891" s="3">
        <f>_xll.QS.EVALUATE(C7891,F7891)</f>
        <v>56727.50352480037</v>
      </c>
      <c r="H7891" s="5" t="s">
        <v>7932</v>
      </c>
      <c r="I7891" s="7">
        <v>1788900</v>
      </c>
      <c r="J7891" s="8">
        <v>3.8899999999999997E-2</v>
      </c>
    </row>
    <row r="7892" spans="1:10" x14ac:dyDescent="0.25">
      <c r="A7892" s="5" t="s">
        <v>7926</v>
      </c>
      <c r="B7892" s="5" t="s">
        <v>9759</v>
      </c>
      <c r="C7892" s="6" t="str">
        <f>_xll.QS.CONTEXT.CREATE("market.7890",A7892,"USD","SOFR")</f>
        <v>QSObject:PricingContext:w1~market.7890:3984</v>
      </c>
      <c r="D7892" s="6" t="str">
        <f>_xll.QS.CONTEXT.ADD.CURVE(C7892,"SOFR",$K$2:$K$7,$L$2:$L$7,,,"Actual360","LogLinear",TRUE)</f>
        <v>QSObject:ContextInput:w1~input.qs_context_add_curve.2359132437744.7891.3.0:32452</v>
      </c>
      <c r="E7892" s="6" t="str">
        <f>_xll.QS.INSTRUMENT.SWAP("swap.7890",H7892,B7892,"USD","SOFR",I7892,J7892,0,"Actual360","Simple","Annual","Annual","Annual")</f>
        <v>QSObject:Swap:w1~swap.7890:3983</v>
      </c>
      <c r="F7892" s="6" t="str">
        <f>_xll.QS.TRADE.CREATE("trade.7890",E7892,A7892,"Receive")</f>
        <v>QSObject:SwapTrade:w1~trade.7890:23797</v>
      </c>
      <c r="G7892" s="3">
        <f>_xll.QS.EVALUATE(C7892,F7892)</f>
        <v>57686.968641103063</v>
      </c>
      <c r="H7892" s="5" t="s">
        <v>7933</v>
      </c>
      <c r="I7892" s="7">
        <v>1789000</v>
      </c>
      <c r="J7892" s="8">
        <v>3.9000000000000007E-2</v>
      </c>
    </row>
    <row r="7893" spans="1:10" x14ac:dyDescent="0.25">
      <c r="A7893" s="5" t="s">
        <v>7927</v>
      </c>
      <c r="B7893" s="5" t="s">
        <v>9760</v>
      </c>
      <c r="C7893" s="6" t="str">
        <f>_xll.QS.CONTEXT.CREATE("market.7891",A7893,"USD","SOFR")</f>
        <v>QSObject:PricingContext:w1~market.7891:3982</v>
      </c>
      <c r="D7893" s="6" t="str">
        <f>_xll.QS.CONTEXT.ADD.CURVE(C7893,"SOFR",$K$2:$K$7,$L$2:$L$7,,,"Actual360","LogLinear",TRUE)</f>
        <v>QSObject:ContextInput:w1~input.qs_context_add_curve.2359132437744.7892.3.0:32451</v>
      </c>
      <c r="E7893" s="6" t="str">
        <f>_xll.QS.INSTRUMENT.SWAP("swap.7891",H7893,B7893,"USD","SOFR",I7893,J7893,0,"Actual360","Simple","Annual","Annual","Annual")</f>
        <v>QSObject:Swap:w1~swap.7891:3981</v>
      </c>
      <c r="F7893" s="6" t="str">
        <f>_xll.QS.TRADE.CREATE("trade.7891",E7893,A7893,"Receive")</f>
        <v>QSObject:SwapTrade:w1~trade.7891:23796</v>
      </c>
      <c r="G7893" s="3">
        <f>_xll.QS.EVALUATE(C7893,F7893)</f>
        <v>58515.329730368489</v>
      </c>
      <c r="H7893" s="5" t="s">
        <v>7934</v>
      </c>
      <c r="I7893" s="7">
        <v>1789100</v>
      </c>
      <c r="J7893" s="8">
        <v>3.9100000000000003E-2</v>
      </c>
    </row>
    <row r="7894" spans="1:10" x14ac:dyDescent="0.25">
      <c r="A7894" s="5" t="s">
        <v>7928</v>
      </c>
      <c r="B7894" s="5" t="s">
        <v>9761</v>
      </c>
      <c r="C7894" s="6" t="str">
        <f>_xll.QS.CONTEXT.CREATE("market.7892",A7894,"USD","SOFR")</f>
        <v>QSObject:PricingContext:w1~market.7892:3980</v>
      </c>
      <c r="D7894" s="6" t="str">
        <f>_xll.QS.CONTEXT.ADD.CURVE(C7894,"SOFR",$K$2:$K$7,$L$2:$L$7,,,"Actual360","LogLinear",TRUE)</f>
        <v>QSObject:ContextInput:w1~input.qs_context_add_curve.2359132437744.7893.3.0:32450</v>
      </c>
      <c r="E7894" s="6" t="str">
        <f>_xll.QS.INSTRUMENT.SWAP("swap.7892",H7894,B7894,"USD","SOFR",I7894,J7894,0,"Actual360","Simple","Annual","Annual","Annual")</f>
        <v>QSObject:Swap:w1~swap.7892:3979</v>
      </c>
      <c r="F7894" s="6" t="str">
        <f>_xll.QS.TRADE.CREATE("trade.7892",E7894,A7894,"Receive")</f>
        <v>QSObject:SwapTrade:w1~trade.7892:23795</v>
      </c>
      <c r="G7894" s="3">
        <f>_xll.QS.EVALUATE(C7894,F7894)</f>
        <v>59353.710973792869</v>
      </c>
      <c r="H7894" s="5" t="s">
        <v>7935</v>
      </c>
      <c r="I7894" s="7">
        <v>1789200</v>
      </c>
      <c r="J7894" s="8">
        <v>3.9200000000000013E-2</v>
      </c>
    </row>
    <row r="7895" spans="1:10" x14ac:dyDescent="0.25">
      <c r="A7895" s="5" t="s">
        <v>7929</v>
      </c>
      <c r="B7895" s="5" t="s">
        <v>9762</v>
      </c>
      <c r="C7895" s="6" t="str">
        <f>_xll.QS.CONTEXT.CREATE("market.7893",A7895,"USD","SOFR")</f>
        <v>QSObject:PricingContext:w1~market.7893:3978</v>
      </c>
      <c r="D7895" s="6" t="str">
        <f>_xll.QS.CONTEXT.ADD.CURVE(C7895,"SOFR",$K$2:$K$7,$L$2:$L$7,,,"Actual360","LogLinear",TRUE)</f>
        <v>QSObject:ContextInput:w1~input.qs_context_add_curve.2359132437744.7894.3.0:32449</v>
      </c>
      <c r="E7895" s="6" t="str">
        <f>_xll.QS.INSTRUMENT.SWAP("swap.7893",H7895,B7895,"USD","SOFR",I7895,J7895,0,"Actual360","Simple","Annual","Annual","Annual")</f>
        <v>QSObject:Swap:w1~swap.7893:3977</v>
      </c>
      <c r="F7895" s="6" t="str">
        <f>_xll.QS.TRADE.CREATE("trade.7893",E7895,A7895,"Receive")</f>
        <v>QSObject:SwapTrade:w1~trade.7893:23794</v>
      </c>
      <c r="G7895" s="3">
        <f>_xll.QS.EVALUATE(C7895,F7895)</f>
        <v>60184.111870341672</v>
      </c>
      <c r="H7895" s="5" t="s">
        <v>7936</v>
      </c>
      <c r="I7895" s="7">
        <v>1789300</v>
      </c>
      <c r="J7895" s="8">
        <v>3.9300000000000002E-2</v>
      </c>
    </row>
    <row r="7896" spans="1:10" x14ac:dyDescent="0.25">
      <c r="A7896" s="5" t="s">
        <v>7930</v>
      </c>
      <c r="B7896" s="5" t="s">
        <v>9763</v>
      </c>
      <c r="C7896" s="6" t="str">
        <f>_xll.QS.CONTEXT.CREATE("market.7894",A7896,"USD","SOFR")</f>
        <v>QSObject:PricingContext:w1~market.7894:3976</v>
      </c>
      <c r="D7896" s="6" t="str">
        <f>_xll.QS.CONTEXT.ADD.CURVE(C7896,"SOFR",$K$2:$K$7,$L$2:$L$7,,,"Actual360","LogLinear",TRUE)</f>
        <v>QSObject:ContextInput:w1~input.qs_context_add_curve.2359132437744.7895.3.0:32448</v>
      </c>
      <c r="E7896" s="6" t="str">
        <f>_xll.QS.INSTRUMENT.SWAP("swap.7894",H7896,B7896,"USD","SOFR",I7896,J7896,0,"Actual360","Simple","Annual","Annual","Annual")</f>
        <v>QSObject:Swap:w1~swap.7894:3975</v>
      </c>
      <c r="F7896" s="6" t="str">
        <f>_xll.QS.TRADE.CREATE("trade.7894",E7896,A7896,"Receive")</f>
        <v>QSObject:SwapTrade:w1~trade.7894:23793</v>
      </c>
      <c r="G7896" s="3">
        <f>_xll.QS.EVALUATE(C7896,F7896)</f>
        <v>60789.572980191966</v>
      </c>
      <c r="H7896" s="5" t="s">
        <v>7937</v>
      </c>
      <c r="I7896" s="7">
        <v>1789400</v>
      </c>
      <c r="J7896" s="8">
        <v>3.9399999999999998E-2</v>
      </c>
    </row>
    <row r="7897" spans="1:10" x14ac:dyDescent="0.25">
      <c r="A7897" s="5" t="s">
        <v>7931</v>
      </c>
      <c r="B7897" s="5" t="s">
        <v>9764</v>
      </c>
      <c r="C7897" s="6" t="str">
        <f>_xll.QS.CONTEXT.CREATE("market.7895",A7897,"USD","SOFR")</f>
        <v>QSObject:PricingContext:w1~market.7895:3974</v>
      </c>
      <c r="D7897" s="6" t="str">
        <f>_xll.QS.CONTEXT.ADD.CURVE(C7897,"SOFR",$K$2:$K$7,$L$2:$L$7,,,"Actual360","LogLinear",TRUE)</f>
        <v>QSObject:ContextInput:w1~input.qs_context_add_curve.2359132437744.7896.3.0:32447</v>
      </c>
      <c r="E7897" s="6" t="str">
        <f>_xll.QS.INSTRUMENT.SWAP("swap.7895",H7897,B7897,"USD","SOFR",I7897,J7897,0,"Actual360","Simple","Annual","Annual","Annual")</f>
        <v>QSObject:Swap:w1~swap.7895:3973</v>
      </c>
      <c r="F7897" s="6" t="str">
        <f>_xll.QS.TRADE.CREATE("trade.7895",E7897,A7897,"Receive")</f>
        <v>QSObject:SwapTrade:w1~trade.7895:23792</v>
      </c>
      <c r="G7897" s="3">
        <f>_xll.QS.EVALUATE(C7897,F7897)</f>
        <v>61623.3519877945</v>
      </c>
      <c r="H7897" s="5" t="s">
        <v>7938</v>
      </c>
      <c r="I7897" s="7">
        <v>1789500</v>
      </c>
      <c r="J7897" s="8">
        <v>3.9500000000000007E-2</v>
      </c>
    </row>
    <row r="7898" spans="1:10" x14ac:dyDescent="0.25">
      <c r="A7898" s="5" t="s">
        <v>7932</v>
      </c>
      <c r="B7898" s="5" t="s">
        <v>9765</v>
      </c>
      <c r="C7898" s="6" t="str">
        <f>_xll.QS.CONTEXT.CREATE("market.7896",A7898,"USD","SOFR")</f>
        <v>QSObject:PricingContext:w1~market.7896:3972</v>
      </c>
      <c r="D7898" s="6" t="str">
        <f>_xll.QS.CONTEXT.ADD.CURVE(C7898,"SOFR",$K$2:$K$7,$L$2:$L$7,,,"Actual360","LogLinear",TRUE)</f>
        <v>QSObject:ContextInput:w1~input.qs_context_add_curve.2359132437744.7897.3.0:32446</v>
      </c>
      <c r="E7898" s="6" t="str">
        <f>_xll.QS.INSTRUMENT.SWAP("swap.7896",H7898,B7898,"USD","SOFR",I7898,J7898,0,"Actual360","Simple","Annual","Annual","Annual")</f>
        <v>QSObject:Swap:w1~swap.7896:3971</v>
      </c>
      <c r="F7898" s="6" t="str">
        <f>_xll.QS.TRADE.CREATE("trade.7896",E7898,A7898,"Receive")</f>
        <v>QSObject:SwapTrade:w1~trade.7896:23791</v>
      </c>
      <c r="G7898" s="3">
        <f>_xll.QS.EVALUATE(C7898,F7898)</f>
        <v>62529.270938160145</v>
      </c>
      <c r="H7898" s="5" t="s">
        <v>7939</v>
      </c>
      <c r="I7898" s="7">
        <v>1789600</v>
      </c>
      <c r="J7898" s="8">
        <v>3.9600000000000003E-2</v>
      </c>
    </row>
    <row r="7899" spans="1:10" x14ac:dyDescent="0.25">
      <c r="A7899" s="5" t="s">
        <v>7933</v>
      </c>
      <c r="B7899" s="5" t="s">
        <v>9766</v>
      </c>
      <c r="C7899" s="6" t="str">
        <f>_xll.QS.CONTEXT.CREATE("market.7897",A7899,"USD","SOFR")</f>
        <v>QSObject:PricingContext:w1~market.7897:3970</v>
      </c>
      <c r="D7899" s="6" t="str">
        <f>_xll.QS.CONTEXT.ADD.CURVE(C7899,"SOFR",$K$2:$K$7,$L$2:$L$7,,,"Actual360","LogLinear",TRUE)</f>
        <v>QSObject:ContextInput:w1~input.qs_context_add_curve.2359132437744.7898.3.0:32445</v>
      </c>
      <c r="E7899" s="6" t="str">
        <f>_xll.QS.INSTRUMENT.SWAP("swap.7897",H7899,B7899,"USD","SOFR",I7899,J7899,0,"Actual360","Simple","Annual","Annual","Annual")</f>
        <v>QSObject:Swap:w1~swap.7897:3969</v>
      </c>
      <c r="F7899" s="6" t="str">
        <f>_xll.QS.TRADE.CREATE("trade.7897",E7899,A7899,"Receive")</f>
        <v>QSObject:SwapTrade:w1~trade.7897:23790</v>
      </c>
      <c r="G7899" s="3">
        <f>_xll.QS.EVALUATE(C7899,F7899)</f>
        <v>63489.518989179051</v>
      </c>
      <c r="H7899" s="5" t="s">
        <v>7940</v>
      </c>
      <c r="I7899" s="7">
        <v>1789700</v>
      </c>
      <c r="J7899" s="8">
        <v>3.9700000000000013E-2</v>
      </c>
    </row>
    <row r="7900" spans="1:10" x14ac:dyDescent="0.25">
      <c r="A7900" s="5" t="s">
        <v>7934</v>
      </c>
      <c r="B7900" s="5" t="s">
        <v>9767</v>
      </c>
      <c r="C7900" s="6" t="str">
        <f>_xll.QS.CONTEXT.CREATE("market.7898",A7900,"USD","SOFR")</f>
        <v>QSObject:PricingContext:w1~market.7898:3968</v>
      </c>
      <c r="D7900" s="6" t="str">
        <f>_xll.QS.CONTEXT.ADD.CURVE(C7900,"SOFR",$K$2:$K$7,$L$2:$L$7,,,"Actual360","LogLinear",TRUE)</f>
        <v>QSObject:ContextInput:w1~input.qs_context_add_curve.2359132437744.7899.3.0:32444</v>
      </c>
      <c r="E7900" s="6" t="str">
        <f>_xll.QS.INSTRUMENT.SWAP("swap.7898",H7900,B7900,"USD","SOFR",I7900,J7900,0,"Actual360","Simple","Annual","Annual","Annual")</f>
        <v>QSObject:Swap:w1~swap.7898:3967</v>
      </c>
      <c r="F7900" s="6" t="str">
        <f>_xll.QS.TRADE.CREATE("trade.7898",E7900,A7900,"Receive")</f>
        <v>QSObject:SwapTrade:w1~trade.7898:23789</v>
      </c>
      <c r="G7900" s="3">
        <f>_xll.QS.EVALUATE(C7900,F7900)</f>
        <v>64318.514488088564</v>
      </c>
      <c r="H7900" s="5" t="s">
        <v>7941</v>
      </c>
      <c r="I7900" s="7">
        <v>1789800</v>
      </c>
      <c r="J7900" s="8">
        <v>3.9800000000000002E-2</v>
      </c>
    </row>
    <row r="7901" spans="1:10" x14ac:dyDescent="0.25">
      <c r="A7901" s="5" t="s">
        <v>7935</v>
      </c>
      <c r="B7901" s="5" t="s">
        <v>9768</v>
      </c>
      <c r="C7901" s="6" t="str">
        <f>_xll.QS.CONTEXT.CREATE("market.7899",A7901,"USD","SOFR")</f>
        <v>QSObject:PricingContext:w1~market.7899:3966</v>
      </c>
      <c r="D7901" s="6" t="str">
        <f>_xll.QS.CONTEXT.ADD.CURVE(C7901,"SOFR",$K$2:$K$7,$L$2:$L$7,,,"Actual360","LogLinear",TRUE)</f>
        <v>QSObject:ContextInput:w1~input.qs_context_add_curve.2359132437744.7900.3.0:32443</v>
      </c>
      <c r="E7901" s="6" t="str">
        <f>_xll.QS.INSTRUMENT.SWAP("swap.7899",H7901,B7901,"USD","SOFR",I7901,J7901,0,"Actual360","Simple","Annual","Annual","Annual")</f>
        <v>QSObject:Swap:w1~swap.7899:3965</v>
      </c>
      <c r="F7901" s="6" t="str">
        <f>_xll.QS.TRADE.CREATE("trade.7899",E7901,A7901,"Receive")</f>
        <v>QSObject:SwapTrade:w1~trade.7899:23788</v>
      </c>
      <c r="G7901" s="3">
        <f>_xll.QS.EVALUATE(C7901,F7901)</f>
        <v>65157.561533443441</v>
      </c>
      <c r="H7901" s="5" t="s">
        <v>7942</v>
      </c>
      <c r="I7901" s="7">
        <v>1789900</v>
      </c>
      <c r="J7901" s="8">
        <v>3.9899999999999998E-2</v>
      </c>
    </row>
    <row r="7902" spans="1:10" x14ac:dyDescent="0.25">
      <c r="A7902" s="5" t="s">
        <v>7936</v>
      </c>
      <c r="B7902" s="5" t="s">
        <v>9769</v>
      </c>
      <c r="C7902" s="6" t="str">
        <f>_xll.QS.CONTEXT.CREATE("market.7900",A7902,"USD","SOFR")</f>
        <v>QSObject:PricingContext:w1~market.7900:3964</v>
      </c>
      <c r="D7902" s="6" t="str">
        <f>_xll.QS.CONTEXT.ADD.CURVE(C7902,"SOFR",$K$2:$K$7,$L$2:$L$7,,,"Actual360","LogLinear",TRUE)</f>
        <v>QSObject:ContextInput:w1~input.qs_context_add_curve.2359132437744.7901.3.0:32442</v>
      </c>
      <c r="E7902" s="6" t="str">
        <f>_xll.QS.INSTRUMENT.SWAP("swap.7900",H7902,B7902,"USD","SOFR",I7902,J7902,0,"Actual360","Simple","Annual","Annual","Annual")</f>
        <v>QSObject:Swap:w1~swap.7900:3963</v>
      </c>
      <c r="F7902" s="6" t="str">
        <f>_xll.QS.TRADE.CREATE("trade.7900",E7902,A7902,"Receive")</f>
        <v>QSObject:SwapTrade:w1~trade.7900:23787</v>
      </c>
      <c r="G7902" s="3">
        <f>_xll.QS.EVALUATE(C7902,F7902)</f>
        <v>24695.958131121959</v>
      </c>
      <c r="H7902" s="5" t="s">
        <v>7943</v>
      </c>
      <c r="I7902" s="7">
        <v>1790000</v>
      </c>
      <c r="J7902" s="8">
        <v>3.5000000000000003E-2</v>
      </c>
    </row>
    <row r="7903" spans="1:10" x14ac:dyDescent="0.25">
      <c r="A7903" s="5" t="s">
        <v>7937</v>
      </c>
      <c r="B7903" s="5" t="s">
        <v>9770</v>
      </c>
      <c r="C7903" s="6" t="str">
        <f>_xll.QS.CONTEXT.CREATE("market.7901",A7903,"USD","SOFR")</f>
        <v>QSObject:PricingContext:w1~market.7901:3962</v>
      </c>
      <c r="D7903" s="6" t="str">
        <f>_xll.QS.CONTEXT.ADD.CURVE(C7903,"SOFR",$K$2:$K$7,$L$2:$L$7,,,"Actual360","LogLinear",TRUE)</f>
        <v>QSObject:ContextInput:w1~input.qs_context_add_curve.2359132437744.7902.3.0:32441</v>
      </c>
      <c r="E7903" s="6" t="str">
        <f>_xll.QS.INSTRUMENT.SWAP("swap.7901",H7903,B7903,"USD","SOFR",I7903,J7903,0,"Actual360","Simple","Annual","Annual","Annual")</f>
        <v>QSObject:Swap:w1~swap.7901:3961</v>
      </c>
      <c r="F7903" s="6" t="str">
        <f>_xll.QS.TRADE.CREATE("trade.7901",E7903,A7903,"Receive")</f>
        <v>QSObject:SwapTrade:w1~trade.7901:23786</v>
      </c>
      <c r="G7903" s="3">
        <f>_xll.QS.EVALUATE(C7903,F7903)</f>
        <v>25306.81399884753</v>
      </c>
      <c r="H7903" s="5" t="s">
        <v>7944</v>
      </c>
      <c r="I7903" s="7">
        <v>1790100</v>
      </c>
      <c r="J7903" s="8">
        <v>3.5100000000000013E-2</v>
      </c>
    </row>
    <row r="7904" spans="1:10" x14ac:dyDescent="0.25">
      <c r="A7904" s="5" t="s">
        <v>7938</v>
      </c>
      <c r="B7904" s="5" t="s">
        <v>9771</v>
      </c>
      <c r="C7904" s="6" t="str">
        <f>_xll.QS.CONTEXT.CREATE("market.7902",A7904,"USD","SOFR")</f>
        <v>QSObject:PricingContext:w1~market.7902:3960</v>
      </c>
      <c r="D7904" s="6" t="str">
        <f>_xll.QS.CONTEXT.ADD.CURVE(C7904,"SOFR",$K$2:$K$7,$L$2:$L$7,,,"Actual360","LogLinear",TRUE)</f>
        <v>QSObject:ContextInput:w1~input.qs_context_add_curve.2359132437744.7903.3.0:32440</v>
      </c>
      <c r="E7904" s="6" t="str">
        <f>_xll.QS.INSTRUMENT.SWAP("swap.7902",H7904,B7904,"USD","SOFR",I7904,J7904,0,"Actual360","Simple","Annual","Annual","Annual")</f>
        <v>QSObject:Swap:w1~swap.7902:3959</v>
      </c>
      <c r="F7904" s="6" t="str">
        <f>_xll.QS.TRADE.CREATE("trade.7902",E7904,A7904,"Receive")</f>
        <v>QSObject:SwapTrade:w1~trade.7902:23785</v>
      </c>
      <c r="G7904" s="3">
        <f>_xll.QS.EVALUATE(C7904,F7904)</f>
        <v>26135.956311979178</v>
      </c>
      <c r="H7904" s="5" t="s">
        <v>7945</v>
      </c>
      <c r="I7904" s="7">
        <v>1790200</v>
      </c>
      <c r="J7904" s="8">
        <v>3.5200000000000002E-2</v>
      </c>
    </row>
    <row r="7905" spans="1:10" x14ac:dyDescent="0.25">
      <c r="A7905" s="5" t="s">
        <v>7939</v>
      </c>
      <c r="B7905" s="5" t="s">
        <v>9772</v>
      </c>
      <c r="C7905" s="6" t="str">
        <f>_xll.QS.CONTEXT.CREATE("market.7903",A7905,"USD","SOFR")</f>
        <v>QSObject:PricingContext:w1~market.7903:3958</v>
      </c>
      <c r="D7905" s="6" t="str">
        <f>_xll.QS.CONTEXT.ADD.CURVE(C7905,"SOFR",$K$2:$K$7,$L$2:$L$7,,,"Actual360","LogLinear",TRUE)</f>
        <v>QSObject:ContextInput:w1~input.qs_context_add_curve.2359132437744.7904.3.0:32439</v>
      </c>
      <c r="E7905" s="6" t="str">
        <f>_xll.QS.INSTRUMENT.SWAP("swap.7903",H7905,B7905,"USD","SOFR",I7905,J7905,0,"Actual360","Simple","Annual","Annual","Annual")</f>
        <v>QSObject:Swap:w1~swap.7903:3957</v>
      </c>
      <c r="F7905" s="6" t="str">
        <f>_xll.QS.TRADE.CREATE("trade.7903",E7905,A7905,"Receive")</f>
        <v>QSObject:SwapTrade:w1~trade.7903:23784</v>
      </c>
      <c r="G7905" s="3">
        <f>_xll.QS.EVALUATE(C7905,F7905)</f>
        <v>27036.770377152119</v>
      </c>
      <c r="H7905" s="5" t="s">
        <v>7946</v>
      </c>
      <c r="I7905" s="7">
        <v>1790300</v>
      </c>
      <c r="J7905" s="8">
        <v>3.5299999999999998E-2</v>
      </c>
    </row>
    <row r="7906" spans="1:10" x14ac:dyDescent="0.25">
      <c r="A7906" s="5" t="s">
        <v>7940</v>
      </c>
      <c r="B7906" s="5" t="s">
        <v>9773</v>
      </c>
      <c r="C7906" s="6" t="str">
        <f>_xll.QS.CONTEXT.CREATE("market.7904",A7906,"USD","SOFR")</f>
        <v>QSObject:PricingContext:w1~market.7904:3956</v>
      </c>
      <c r="D7906" s="6" t="str">
        <f>_xll.QS.CONTEXT.ADD.CURVE(C7906,"SOFR",$K$2:$K$7,$L$2:$L$7,,,"Actual360","LogLinear",TRUE)</f>
        <v>QSObject:ContextInput:w1~input.qs_context_add_curve.2359132437744.7905.3.0:32438</v>
      </c>
      <c r="E7906" s="6" t="str">
        <f>_xll.QS.INSTRUMENT.SWAP("swap.7904",H7906,B7906,"USD","SOFR",I7906,J7906,0,"Actual360","Simple","Annual","Annual","Annual")</f>
        <v>QSObject:Swap:w1~swap.7904:3955</v>
      </c>
      <c r="F7906" s="6" t="str">
        <f>_xll.QS.TRADE.CREATE("trade.7904",E7906,A7906,"Receive")</f>
        <v>QSObject:SwapTrade:w1~trade.7904:23783</v>
      </c>
      <c r="G7906" s="3">
        <f>_xll.QS.EVALUATE(C7906,F7906)</f>
        <v>27995.123996867515</v>
      </c>
      <c r="H7906" s="5" t="s">
        <v>7947</v>
      </c>
      <c r="I7906" s="7">
        <v>1790400</v>
      </c>
      <c r="J7906" s="8">
        <v>3.5400000000000001E-2</v>
      </c>
    </row>
    <row r="7907" spans="1:10" x14ac:dyDescent="0.25">
      <c r="A7907" s="5" t="s">
        <v>7941</v>
      </c>
      <c r="B7907" s="5" t="s">
        <v>9774</v>
      </c>
      <c r="C7907" s="6" t="str">
        <f>_xll.QS.CONTEXT.CREATE("market.7905",A7907,"USD","SOFR")</f>
        <v>QSObject:PricingContext:w1~market.7905:3954</v>
      </c>
      <c r="D7907" s="6" t="str">
        <f>_xll.QS.CONTEXT.ADD.CURVE(C7907,"SOFR",$K$2:$K$7,$L$2:$L$7,,,"Actual360","LogLinear",TRUE)</f>
        <v>QSObject:ContextInput:w1~input.qs_context_add_curve.2359132437744.7906.3.0:32437</v>
      </c>
      <c r="E7907" s="6" t="str">
        <f>_xll.QS.INSTRUMENT.SWAP("swap.7905",H7907,B7907,"USD","SOFR",I7907,J7907,0,"Actual360","Simple","Annual","Annual","Annual")</f>
        <v>QSObject:Swap:w1~swap.7905:3953</v>
      </c>
      <c r="F7907" s="6" t="str">
        <f>_xll.QS.TRADE.CREATE("trade.7905",E7907,A7907,"Receive")</f>
        <v>QSObject:SwapTrade:w1~trade.7905:23782</v>
      </c>
      <c r="G7907" s="3">
        <f>_xll.QS.EVALUATE(C7907,F7907)</f>
        <v>28822.780226173301</v>
      </c>
      <c r="H7907" s="5" t="s">
        <v>7948</v>
      </c>
      <c r="I7907" s="7">
        <v>1790500</v>
      </c>
      <c r="J7907" s="8">
        <v>3.5499999999999997E-2</v>
      </c>
    </row>
    <row r="7908" spans="1:10" x14ac:dyDescent="0.25">
      <c r="A7908" s="5" t="s">
        <v>7942</v>
      </c>
      <c r="B7908" s="5" t="s">
        <v>9775</v>
      </c>
      <c r="C7908" s="6" t="str">
        <f>_xll.QS.CONTEXT.CREATE("market.7906",A7908,"USD","SOFR")</f>
        <v>QSObject:PricingContext:w1~market.7906:3952</v>
      </c>
      <c r="D7908" s="6" t="str">
        <f>_xll.QS.CONTEXT.ADD.CURVE(C7908,"SOFR",$K$2:$K$7,$L$2:$L$7,,,"Actual360","LogLinear",TRUE)</f>
        <v>QSObject:ContextInput:w1~input.qs_context_add_curve.2359132437744.7907.3.0:32436</v>
      </c>
      <c r="E7908" s="6" t="str">
        <f>_xll.QS.INSTRUMENT.SWAP("swap.7906",H7908,B7908,"USD","SOFR",I7908,J7908,0,"Actual360","Simple","Annual","Annual","Annual")</f>
        <v>QSObject:Swap:w1~swap.7906:3951</v>
      </c>
      <c r="F7908" s="6" t="str">
        <f>_xll.QS.TRADE.CREATE("trade.7906",E7908,A7908,"Receive")</f>
        <v>QSObject:SwapTrade:w1~trade.7906:23781</v>
      </c>
      <c r="G7908" s="3">
        <f>_xll.QS.EVALUATE(C7908,F7908)</f>
        <v>29658.918550755901</v>
      </c>
      <c r="H7908" s="5" t="s">
        <v>7949</v>
      </c>
      <c r="I7908" s="7">
        <v>1790600</v>
      </c>
      <c r="J7908" s="8">
        <v>3.5600000000000007E-2</v>
      </c>
    </row>
    <row r="7909" spans="1:10" x14ac:dyDescent="0.25">
      <c r="A7909" s="5" t="s">
        <v>7943</v>
      </c>
      <c r="B7909" s="5" t="s">
        <v>9776</v>
      </c>
      <c r="C7909" s="6" t="str">
        <f>_xll.QS.CONTEXT.CREATE("market.7907",A7909,"USD","SOFR")</f>
        <v>QSObject:PricingContext:w1~market.7907:3950</v>
      </c>
      <c r="D7909" s="6" t="str">
        <f>_xll.QS.CONTEXT.ADD.CURVE(C7909,"SOFR",$K$2:$K$7,$L$2:$L$7,,,"Actual360","LogLinear",TRUE)</f>
        <v>QSObject:ContextInput:w1~input.qs_context_add_curve.2359132437744.7908.3.0:32435</v>
      </c>
      <c r="E7909" s="6" t="str">
        <f>_xll.QS.INSTRUMENT.SWAP("swap.7907",H7909,B7909,"USD","SOFR",I7909,J7909,0,"Actual360","Simple","Annual","Annual","Annual")</f>
        <v>QSObject:Swap:w1~swap.7907:3949</v>
      </c>
      <c r="F7909" s="6" t="str">
        <f>_xll.QS.TRADE.CREATE("trade.7907",E7909,A7909,"Receive")</f>
        <v>QSObject:SwapTrade:w1~trade.7907:23780</v>
      </c>
      <c r="G7909" s="3">
        <f>_xll.QS.EVALUATE(C7909,F7909)</f>
        <v>30488.562026752101</v>
      </c>
      <c r="H7909" s="5" t="s">
        <v>7950</v>
      </c>
      <c r="I7909" s="7">
        <v>1790700</v>
      </c>
      <c r="J7909" s="8">
        <v>3.5700000000000003E-2</v>
      </c>
    </row>
    <row r="7910" spans="1:10" x14ac:dyDescent="0.25">
      <c r="A7910" s="5" t="s">
        <v>7944</v>
      </c>
      <c r="B7910" s="5" t="s">
        <v>9777</v>
      </c>
      <c r="C7910" s="6" t="str">
        <f>_xll.QS.CONTEXT.CREATE("market.7908",A7910,"USD","SOFR")</f>
        <v>QSObject:PricingContext:w1~market.7908:3948</v>
      </c>
      <c r="D7910" s="6" t="str">
        <f>_xll.QS.CONTEXT.ADD.CURVE(C7910,"SOFR",$K$2:$K$7,$L$2:$L$7,,,"Actual360","LogLinear",TRUE)</f>
        <v>QSObject:ContextInput:w1~input.qs_context_add_curve.2359132437744.7909.3.0:32434</v>
      </c>
      <c r="E7910" s="6" t="str">
        <f>_xll.QS.INSTRUMENT.SWAP("swap.7908",H7910,B7910,"USD","SOFR",I7910,J7910,0,"Actual360","Simple","Annual","Annual","Annual")</f>
        <v>QSObject:Swap:w1~swap.7908:3947</v>
      </c>
      <c r="F7910" s="6" t="str">
        <f>_xll.QS.TRADE.CREATE("trade.7908",E7910,A7910,"Receive")</f>
        <v>QSObject:SwapTrade:w1~trade.7908:23779</v>
      </c>
      <c r="G7910" s="3">
        <f>_xll.QS.EVALUATE(C7910,F7910)</f>
        <v>31025.776003322149</v>
      </c>
      <c r="H7910" s="5" t="s">
        <v>7951</v>
      </c>
      <c r="I7910" s="7">
        <v>1790800</v>
      </c>
      <c r="J7910" s="8">
        <v>3.5800000000000012E-2</v>
      </c>
    </row>
    <row r="7911" spans="1:10" x14ac:dyDescent="0.25">
      <c r="A7911" s="5" t="s">
        <v>7945</v>
      </c>
      <c r="B7911" s="5" t="s">
        <v>9778</v>
      </c>
      <c r="C7911" s="6" t="str">
        <f>_xll.QS.CONTEXT.CREATE("market.7909",A7911,"USD","SOFR")</f>
        <v>QSObject:PricingContext:w1~market.7909:3946</v>
      </c>
      <c r="D7911" s="6" t="str">
        <f>_xll.QS.CONTEXT.ADD.CURVE(C7911,"SOFR",$K$2:$K$7,$L$2:$L$7,,,"Actual360","LogLinear",TRUE)</f>
        <v>QSObject:ContextInput:w1~input.qs_context_add_curve.2359132437744.7910.3.0:32433</v>
      </c>
      <c r="E7911" s="6" t="str">
        <f>_xll.QS.INSTRUMENT.SWAP("swap.7909",H7911,B7911,"USD","SOFR",I7911,J7911,0,"Actual360","Simple","Annual","Annual","Annual")</f>
        <v>QSObject:Swap:w1~swap.7909:3945</v>
      </c>
      <c r="F7911" s="6" t="str">
        <f>_xll.QS.TRADE.CREATE("trade.7909",E7911,A7911,"Receive")</f>
        <v>QSObject:SwapTrade:w1~trade.7909:23778</v>
      </c>
      <c r="G7911" s="3">
        <f>_xll.QS.EVALUATE(C7911,F7911)</f>
        <v>31855.898219455557</v>
      </c>
      <c r="H7911" s="5" t="s">
        <v>7952</v>
      </c>
      <c r="I7911" s="7">
        <v>1790900</v>
      </c>
      <c r="J7911" s="8">
        <v>3.5900000000000001E-2</v>
      </c>
    </row>
    <row r="7912" spans="1:10" x14ac:dyDescent="0.25">
      <c r="A7912" s="5" t="s">
        <v>7946</v>
      </c>
      <c r="B7912" s="5" t="s">
        <v>9779</v>
      </c>
      <c r="C7912" s="6" t="str">
        <f>_xll.QS.CONTEXT.CREATE("market.7910",A7912,"USD","SOFR")</f>
        <v>QSObject:PricingContext:w1~market.7910:3944</v>
      </c>
      <c r="D7912" s="6" t="str">
        <f>_xll.QS.CONTEXT.ADD.CURVE(C7912,"SOFR",$K$2:$K$7,$L$2:$L$7,,,"Actual360","LogLinear",TRUE)</f>
        <v>QSObject:ContextInput:w1~input.qs_context_add_curve.2359132437744.7911.3.0:32432</v>
      </c>
      <c r="E7912" s="6" t="str">
        <f>_xll.QS.INSTRUMENT.SWAP("swap.7910",H7912,B7912,"USD","SOFR",I7912,J7912,0,"Actual360","Simple","Annual","Annual","Annual")</f>
        <v>QSObject:Swap:w1~swap.7910:3943</v>
      </c>
      <c r="F7912" s="6" t="str">
        <f>_xll.QS.TRADE.CREATE("trade.7910",E7912,A7912,"Receive")</f>
        <v>QSObject:SwapTrade:w1~trade.7910:23777</v>
      </c>
      <c r="G7912" s="3">
        <f>_xll.QS.EVALUATE(C7912,F7912)</f>
        <v>32756.873935122661</v>
      </c>
      <c r="H7912" s="5" t="s">
        <v>7953</v>
      </c>
      <c r="I7912" s="7">
        <v>1791000</v>
      </c>
      <c r="J7912" s="8">
        <v>3.5999999999999997E-2</v>
      </c>
    </row>
    <row r="7913" spans="1:10" x14ac:dyDescent="0.25">
      <c r="A7913" s="5" t="s">
        <v>7947</v>
      </c>
      <c r="B7913" s="5" t="s">
        <v>9780</v>
      </c>
      <c r="C7913" s="6" t="str">
        <f>_xll.QS.CONTEXT.CREATE("market.7911",A7913,"USD","SOFR")</f>
        <v>QSObject:PricingContext:w1~market.7911:3942</v>
      </c>
      <c r="D7913" s="6" t="str">
        <f>_xll.QS.CONTEXT.ADD.CURVE(C7913,"SOFR",$K$2:$K$7,$L$2:$L$7,,,"Actual360","LogLinear",TRUE)</f>
        <v>QSObject:ContextInput:w1~input.qs_context_add_curve.2359132437744.7912.3.0:32431</v>
      </c>
      <c r="E7913" s="6" t="str">
        <f>_xll.QS.INSTRUMENT.SWAP("swap.7911",H7913,B7913,"USD","SOFR",I7913,J7913,0,"Actual360","Simple","Annual","Annual","Annual")</f>
        <v>QSObject:Swap:w1~swap.7911:3941</v>
      </c>
      <c r="F7913" s="6" t="str">
        <f>_xll.QS.TRADE.CREATE("trade.7911",E7913,A7913,"Receive")</f>
        <v>QSObject:SwapTrade:w1~trade.7911:23776</v>
      </c>
      <c r="G7913" s="3">
        <f>_xll.QS.EVALUATE(C7913,F7913)</f>
        <v>33856.556417915759</v>
      </c>
      <c r="H7913" s="5" t="s">
        <v>7954</v>
      </c>
      <c r="I7913" s="7">
        <v>1791100</v>
      </c>
      <c r="J7913" s="8">
        <v>3.61E-2</v>
      </c>
    </row>
    <row r="7914" spans="1:10" x14ac:dyDescent="0.25">
      <c r="A7914" s="5" t="s">
        <v>7948</v>
      </c>
      <c r="B7914" s="5" t="s">
        <v>9781</v>
      </c>
      <c r="C7914" s="6" t="str">
        <f>_xll.QS.CONTEXT.CREATE("market.7912",A7914,"USD","SOFR")</f>
        <v>QSObject:PricingContext:w1~market.7912:3940</v>
      </c>
      <c r="D7914" s="6" t="str">
        <f>_xll.QS.CONTEXT.ADD.CURVE(C7914,"SOFR",$K$2:$K$7,$L$2:$L$7,,,"Actual360","LogLinear",TRUE)</f>
        <v>QSObject:ContextInput:w1~input.qs_context_add_curve.2359132437744.7913.3.0:32430</v>
      </c>
      <c r="E7914" s="6" t="str">
        <f>_xll.QS.INSTRUMENT.SWAP("swap.7912",H7914,B7914,"USD","SOFR",I7914,J7914,0,"Actual360","Simple","Annual","Annual","Annual")</f>
        <v>QSObject:Swap:w1~swap.7912:3939</v>
      </c>
      <c r="F7914" s="6" t="str">
        <f>_xll.QS.TRADE.CREATE("trade.7912",E7914,A7914,"Receive")</f>
        <v>QSObject:SwapTrade:w1~trade.7912:23775</v>
      </c>
      <c r="G7914" s="3">
        <f>_xll.QS.EVALUATE(C7914,F7914)</f>
        <v>34684.540757967596</v>
      </c>
      <c r="H7914" s="5" t="s">
        <v>7955</v>
      </c>
      <c r="I7914" s="7">
        <v>1791200</v>
      </c>
      <c r="J7914" s="8">
        <v>3.6200000000000003E-2</v>
      </c>
    </row>
    <row r="7915" spans="1:10" x14ac:dyDescent="0.25">
      <c r="A7915" s="5" t="s">
        <v>7949</v>
      </c>
      <c r="B7915" s="5" t="s">
        <v>9782</v>
      </c>
      <c r="C7915" s="6" t="str">
        <f>_xll.QS.CONTEXT.CREATE("market.7913",A7915,"USD","SOFR")</f>
        <v>QSObject:PricingContext:w1~market.7913:3938</v>
      </c>
      <c r="D7915" s="6" t="str">
        <f>_xll.QS.CONTEXT.ADD.CURVE(C7915,"SOFR",$K$2:$K$7,$L$2:$L$7,,,"Actual360","LogLinear",TRUE)</f>
        <v>QSObject:ContextInput:w1~input.qs_context_add_curve.2359132437744.7914.3.0:32429</v>
      </c>
      <c r="E7915" s="6" t="str">
        <f>_xll.QS.INSTRUMENT.SWAP("swap.7913",H7915,B7915,"USD","SOFR",I7915,J7915,0,"Actual360","Simple","Annual","Annual","Annual")</f>
        <v>QSObject:Swap:w1~swap.7913:3937</v>
      </c>
      <c r="F7915" s="6" t="str">
        <f>_xll.QS.TRADE.CREATE("trade.7913",E7915,A7915,"Receive")</f>
        <v>QSObject:SwapTrade:w1~trade.7913:23774</v>
      </c>
      <c r="G7915" s="3">
        <f>_xll.QS.EVALUATE(C7915,F7915)</f>
        <v>35528.676620075836</v>
      </c>
      <c r="H7915" s="5" t="s">
        <v>7956</v>
      </c>
      <c r="I7915" s="7">
        <v>1791300</v>
      </c>
      <c r="J7915" s="8">
        <v>3.6300000000000013E-2</v>
      </c>
    </row>
    <row r="7916" spans="1:10" x14ac:dyDescent="0.25">
      <c r="A7916" s="5" t="s">
        <v>7950</v>
      </c>
      <c r="B7916" s="5" t="s">
        <v>9783</v>
      </c>
      <c r="C7916" s="6" t="str">
        <f>_xll.QS.CONTEXT.CREATE("market.7914",A7916,"USD","SOFR")</f>
        <v>QSObject:PricingContext:w1~market.7914:3936</v>
      </c>
      <c r="D7916" s="6" t="str">
        <f>_xll.QS.CONTEXT.ADD.CURVE(C7916,"SOFR",$K$2:$K$7,$L$2:$L$7,,,"Actual360","LogLinear",TRUE)</f>
        <v>QSObject:ContextInput:w1~input.qs_context_add_curve.2359132437744.7915.3.0:32428</v>
      </c>
      <c r="E7916" s="6" t="str">
        <f>_xll.QS.INSTRUMENT.SWAP("swap.7914",H7916,B7916,"USD","SOFR",I7916,J7916,0,"Actual360","Simple","Annual","Annual","Annual")</f>
        <v>QSObject:Swap:w1~swap.7914:3935</v>
      </c>
      <c r="F7916" s="6" t="str">
        <f>_xll.QS.TRADE.CREATE("trade.7914",E7916,A7916,"Receive")</f>
        <v>QSObject:SwapTrade:w1~trade.7914:23773</v>
      </c>
      <c r="G7916" s="3">
        <f>_xll.QS.EVALUATE(C7916,F7916)</f>
        <v>36357.946551020614</v>
      </c>
      <c r="H7916" s="5" t="s">
        <v>7957</v>
      </c>
      <c r="I7916" s="7">
        <v>1791400</v>
      </c>
      <c r="J7916" s="8">
        <v>3.6400000000000002E-2</v>
      </c>
    </row>
    <row r="7917" spans="1:10" x14ac:dyDescent="0.25">
      <c r="A7917" s="5" t="s">
        <v>7951</v>
      </c>
      <c r="B7917" s="5" t="s">
        <v>9784</v>
      </c>
      <c r="C7917" s="6" t="str">
        <f>_xll.QS.CONTEXT.CREATE("market.7915",A7917,"USD","SOFR")</f>
        <v>QSObject:PricingContext:w1~market.7915:3934</v>
      </c>
      <c r="D7917" s="6" t="str">
        <f>_xll.QS.CONTEXT.ADD.CURVE(C7917,"SOFR",$K$2:$K$7,$L$2:$L$7,,,"Actual360","LogLinear",TRUE)</f>
        <v>QSObject:ContextInput:w1~input.qs_context_add_curve.2359132437744.7916.3.0:32427</v>
      </c>
      <c r="E7917" s="6" t="str">
        <f>_xll.QS.INSTRUMENT.SWAP("swap.7915",H7917,B7917,"USD","SOFR",I7917,J7917,0,"Actual360","Simple","Annual","Annual","Annual")</f>
        <v>QSObject:Swap:w1~swap.7915:3933</v>
      </c>
      <c r="F7917" s="6" t="str">
        <f>_xll.QS.TRADE.CREATE("trade.7915",E7917,A7917,"Receive")</f>
        <v>QSObject:SwapTrade:w1~trade.7915:23772</v>
      </c>
      <c r="G7917" s="3">
        <f>_xll.QS.EVALUATE(C7917,F7917)</f>
        <v>36967.604273047778</v>
      </c>
      <c r="H7917" s="5" t="s">
        <v>7958</v>
      </c>
      <c r="I7917" s="7">
        <v>1791500</v>
      </c>
      <c r="J7917" s="8">
        <v>3.6499999999999998E-2</v>
      </c>
    </row>
    <row r="7918" spans="1:10" x14ac:dyDescent="0.25">
      <c r="A7918" s="5" t="s">
        <v>7952</v>
      </c>
      <c r="B7918" s="5" t="s">
        <v>9785</v>
      </c>
      <c r="C7918" s="6" t="str">
        <f>_xll.QS.CONTEXT.CREATE("market.7916",A7918,"USD","SOFR")</f>
        <v>QSObject:PricingContext:w1~market.7916:3932</v>
      </c>
      <c r="D7918" s="6" t="str">
        <f>_xll.QS.CONTEXT.ADD.CURVE(C7918,"SOFR",$K$2:$K$7,$L$2:$L$7,,,"Actual360","LogLinear",TRUE)</f>
        <v>QSObject:ContextInput:w1~input.qs_context_add_curve.2359132437744.7917.3.0:32426</v>
      </c>
      <c r="E7918" s="6" t="str">
        <f>_xll.QS.INSTRUMENT.SWAP("swap.7916",H7918,B7918,"USD","SOFR",I7918,J7918,0,"Actual360","Simple","Annual","Annual","Annual")</f>
        <v>QSObject:Swap:w1~swap.7916:3931</v>
      </c>
      <c r="F7918" s="6" t="str">
        <f>_xll.QS.TRADE.CREATE("trade.7916",E7918,A7918,"Receive")</f>
        <v>QSObject:SwapTrade:w1~trade.7916:23771</v>
      </c>
      <c r="G7918" s="3">
        <f>_xll.QS.EVALUATE(C7918,F7918)</f>
        <v>37799.204026113955</v>
      </c>
      <c r="H7918" s="5" t="s">
        <v>7959</v>
      </c>
      <c r="I7918" s="7">
        <v>1791600</v>
      </c>
      <c r="J7918" s="8">
        <v>3.6600000000000001E-2</v>
      </c>
    </row>
    <row r="7919" spans="1:10" x14ac:dyDescent="0.25">
      <c r="A7919" s="5" t="s">
        <v>7953</v>
      </c>
      <c r="B7919" s="5" t="s">
        <v>9786</v>
      </c>
      <c r="C7919" s="6" t="str">
        <f>_xll.QS.CONTEXT.CREATE("market.7917",A7919,"USD","SOFR")</f>
        <v>QSObject:PricingContext:w1~market.7917:3930</v>
      </c>
      <c r="D7919" s="6" t="str">
        <f>_xll.QS.CONTEXT.ADD.CURVE(C7919,"SOFR",$K$2:$K$7,$L$2:$L$7,,,"Actual360","LogLinear",TRUE)</f>
        <v>QSObject:ContextInput:w1~input.qs_context_add_curve.2359132437744.7918.3.0:32425</v>
      </c>
      <c r="E7919" s="6" t="str">
        <f>_xll.QS.INSTRUMENT.SWAP("swap.7917",H7919,B7919,"USD","SOFR",I7919,J7919,0,"Actual360","Simple","Annual","Annual","Annual")</f>
        <v>QSObject:Swap:w1~swap.7917:3929</v>
      </c>
      <c r="F7919" s="6" t="str">
        <f>_xll.QS.TRADE.CREATE("trade.7917",E7919,A7919,"Receive")</f>
        <v>QSObject:SwapTrade:w1~trade.7917:23770</v>
      </c>
      <c r="G7919" s="3">
        <f>_xll.QS.EVALUATE(C7919,F7919)</f>
        <v>38630.676153400724</v>
      </c>
      <c r="H7919" s="5" t="s">
        <v>7960</v>
      </c>
      <c r="I7919" s="7">
        <v>1791700</v>
      </c>
      <c r="J7919" s="8">
        <v>3.6700000000000003E-2</v>
      </c>
    </row>
    <row r="7920" spans="1:10" x14ac:dyDescent="0.25">
      <c r="A7920" s="5" t="s">
        <v>7954</v>
      </c>
      <c r="B7920" s="5" t="s">
        <v>9787</v>
      </c>
      <c r="C7920" s="6" t="str">
        <f>_xll.QS.CONTEXT.CREATE("market.7918",A7920,"USD","SOFR")</f>
        <v>QSObject:PricingContext:w1~market.7918:3928</v>
      </c>
      <c r="D7920" s="6" t="str">
        <f>_xll.QS.CONTEXT.ADD.CURVE(C7920,"SOFR",$K$2:$K$7,$L$2:$L$7,,,"Actual360","LogLinear",TRUE)</f>
        <v>QSObject:ContextInput:w1~input.qs_context_add_curve.2359132437744.7919.3.0:32424</v>
      </c>
      <c r="E7920" s="6" t="str">
        <f>_xll.QS.INSTRUMENT.SWAP("swap.7918",H7920,B7920,"USD","SOFR",I7920,J7920,0,"Actual360","Simple","Annual","Annual","Annual")</f>
        <v>QSObject:Swap:w1~swap.7918:3927</v>
      </c>
      <c r="F7920" s="6" t="str">
        <f>_xll.QS.TRADE.CREATE("trade.7918",E7920,A7920,"Receive")</f>
        <v>QSObject:SwapTrade:w1~trade.7918:23769</v>
      </c>
      <c r="G7920" s="3">
        <f>_xll.QS.EVALUATE(C7920,F7920)</f>
        <v>39590.293462366601</v>
      </c>
      <c r="H7920" s="5" t="s">
        <v>7961</v>
      </c>
      <c r="I7920" s="7">
        <v>1791800</v>
      </c>
      <c r="J7920" s="8">
        <v>3.6800000000000013E-2</v>
      </c>
    </row>
    <row r="7921" spans="1:10" x14ac:dyDescent="0.25">
      <c r="A7921" s="5" t="s">
        <v>7955</v>
      </c>
      <c r="B7921" s="5" t="s">
        <v>9788</v>
      </c>
      <c r="C7921" s="6" t="str">
        <f>_xll.QS.CONTEXT.CREATE("market.7919",A7921,"USD","SOFR")</f>
        <v>QSObject:PricingContext:w1~market.7919:3926</v>
      </c>
      <c r="D7921" s="6" t="str">
        <f>_xll.QS.CONTEXT.ADD.CURVE(C7921,"SOFR",$K$2:$K$7,$L$2:$L$7,,,"Actual360","LogLinear",TRUE)</f>
        <v>QSObject:ContextInput:w1~input.qs_context_add_curve.2359132437744.7920.3.0:32423</v>
      </c>
      <c r="E7921" s="6" t="str">
        <f>_xll.QS.INSTRUMENT.SWAP("swap.7919",H7921,B7921,"USD","SOFR",I7921,J7921,0,"Actual360","Simple","Annual","Annual","Annual")</f>
        <v>QSObject:Swap:w1~swap.7919:3925</v>
      </c>
      <c r="F7921" s="6" t="str">
        <f>_xll.QS.TRADE.CREATE("trade.7919",E7921,A7921,"Receive")</f>
        <v>QSObject:SwapTrade:w1~trade.7919:23768</v>
      </c>
      <c r="G7921" s="3">
        <f>_xll.QS.EVALUATE(C7921,F7921)</f>
        <v>40418.966744902078</v>
      </c>
      <c r="H7921" s="5" t="s">
        <v>7962</v>
      </c>
      <c r="I7921" s="7">
        <v>1791900</v>
      </c>
      <c r="J7921" s="8">
        <v>3.6900000000000002E-2</v>
      </c>
    </row>
    <row r="7922" spans="1:10" x14ac:dyDescent="0.25">
      <c r="A7922" s="5" t="s">
        <v>7956</v>
      </c>
      <c r="B7922" s="5" t="s">
        <v>9789</v>
      </c>
      <c r="C7922" s="6" t="str">
        <f>_xll.QS.CONTEXT.CREATE("market.7920",A7922,"USD","SOFR")</f>
        <v>QSObject:PricingContext:w1~market.7920:3924</v>
      </c>
      <c r="D7922" s="6" t="str">
        <f>_xll.QS.CONTEXT.ADD.CURVE(C7922,"SOFR",$K$2:$K$7,$L$2:$L$7,,,"Actual360","LogLinear",TRUE)</f>
        <v>QSObject:ContextInput:w1~input.qs_context_add_curve.2359132437744.7921.3.0:32422</v>
      </c>
      <c r="E7922" s="6" t="str">
        <f>_xll.QS.INSTRUMENT.SWAP("swap.7920",H7922,B7922,"USD","SOFR",I7922,J7922,0,"Actual360","Simple","Annual","Annual","Annual")</f>
        <v>QSObject:Swap:w1~swap.7920:3923</v>
      </c>
      <c r="F7922" s="6" t="str">
        <f>_xll.QS.TRADE.CREATE("trade.7920",E7922,A7922,"Receive")</f>
        <v>QSObject:SwapTrade:w1~trade.7920:23767</v>
      </c>
      <c r="G7922" s="3">
        <f>_xll.QS.EVALUATE(C7922,F7922)</f>
        <v>41257.589162688819</v>
      </c>
      <c r="H7922" s="5" t="s">
        <v>7963</v>
      </c>
      <c r="I7922" s="7">
        <v>1792000</v>
      </c>
      <c r="J7922" s="8">
        <v>3.7000000000000012E-2</v>
      </c>
    </row>
    <row r="7923" spans="1:10" x14ac:dyDescent="0.25">
      <c r="A7923" s="5" t="s">
        <v>7957</v>
      </c>
      <c r="B7923" s="5" t="s">
        <v>9790</v>
      </c>
      <c r="C7923" s="6" t="str">
        <f>_xll.QS.CONTEXT.CREATE("market.7921",A7923,"USD","SOFR")</f>
        <v>QSObject:PricingContext:w1~market.7921:3922</v>
      </c>
      <c r="D7923" s="6" t="str">
        <f>_xll.QS.CONTEXT.ADD.CURVE(C7923,"SOFR",$K$2:$K$7,$L$2:$L$7,,,"Actual360","LogLinear",TRUE)</f>
        <v>QSObject:ContextInput:w1~input.qs_context_add_curve.2359132437744.7922.3.0:32421</v>
      </c>
      <c r="E7923" s="6" t="str">
        <f>_xll.QS.INSTRUMENT.SWAP("swap.7921",H7923,B7923,"USD","SOFR",I7923,J7923,0,"Actual360","Simple","Annual","Annual","Annual")</f>
        <v>QSObject:Swap:w1~swap.7921:3921</v>
      </c>
      <c r="F7923" s="6" t="str">
        <f>_xll.QS.TRADE.CREATE("trade.7921",E7923,A7923,"Receive")</f>
        <v>QSObject:SwapTrade:w1~trade.7921:23766</v>
      </c>
      <c r="G7923" s="3">
        <f>_xll.QS.EVALUATE(C7923,F7923)</f>
        <v>42088.200076563662</v>
      </c>
      <c r="H7923" s="5" t="s">
        <v>7964</v>
      </c>
      <c r="I7923" s="7">
        <v>1792100</v>
      </c>
      <c r="J7923" s="8">
        <v>3.7100000000000001E-2</v>
      </c>
    </row>
    <row r="7924" spans="1:10" x14ac:dyDescent="0.25">
      <c r="A7924" s="5" t="s">
        <v>7958</v>
      </c>
      <c r="B7924" s="5" t="s">
        <v>9791</v>
      </c>
      <c r="C7924" s="6" t="str">
        <f>_xll.QS.CONTEXT.CREATE("market.7922",A7924,"USD","SOFR")</f>
        <v>QSObject:PricingContext:w1~market.7922:3920</v>
      </c>
      <c r="D7924" s="6" t="str">
        <f>_xll.QS.CONTEXT.ADD.CURVE(C7924,"SOFR",$K$2:$K$7,$L$2:$L$7,,,"Actual360","LogLinear",TRUE)</f>
        <v>QSObject:ContextInput:w1~input.qs_context_add_curve.2359132437744.7923.3.0:32420</v>
      </c>
      <c r="E7924" s="6" t="str">
        <f>_xll.QS.INSTRUMENT.SWAP("swap.7922",H7924,B7924,"USD","SOFR",I7924,J7924,0,"Actual360","Simple","Annual","Annual","Annual")</f>
        <v>QSObject:Swap:w1~swap.7922:3919</v>
      </c>
      <c r="F7924" s="6" t="str">
        <f>_xll.QS.TRADE.CREATE("trade.7922",E7924,A7924,"Receive")</f>
        <v>QSObject:SwapTrade:w1~trade.7922:23765</v>
      </c>
      <c r="G7924" s="3">
        <f>_xll.QS.EVALUATE(C7924,F7924)</f>
        <v>42697.247219933568</v>
      </c>
      <c r="H7924" s="5" t="s">
        <v>7965</v>
      </c>
      <c r="I7924" s="7">
        <v>1792200</v>
      </c>
      <c r="J7924" s="8">
        <v>3.7199999999999997E-2</v>
      </c>
    </row>
    <row r="7925" spans="1:10" x14ac:dyDescent="0.25">
      <c r="A7925" s="5" t="s">
        <v>7959</v>
      </c>
      <c r="B7925" s="5" t="s">
        <v>9792</v>
      </c>
      <c r="C7925" s="6" t="str">
        <f>_xll.QS.CONTEXT.CREATE("market.7923",A7925,"USD","SOFR")</f>
        <v>QSObject:PricingContext:w1~market.7923:3918</v>
      </c>
      <c r="D7925" s="6" t="str">
        <f>_xll.QS.CONTEXT.ADD.CURVE(C7925,"SOFR",$K$2:$K$7,$L$2:$L$7,,,"Actual360","LogLinear",TRUE)</f>
        <v>QSObject:ContextInput:w1~input.qs_context_add_curve.2359132437744.7924.3.0:32419</v>
      </c>
      <c r="E7925" s="6" t="str">
        <f>_xll.QS.INSTRUMENT.SWAP("swap.7923",H7925,B7925,"USD","SOFR",I7925,J7925,0,"Actual360","Simple","Annual","Annual","Annual")</f>
        <v>QSObject:Swap:w1~swap.7923:3917</v>
      </c>
      <c r="F7925" s="6" t="str">
        <f>_xll.QS.TRADE.CREATE("trade.7923",E7925,A7925,"Receive")</f>
        <v>QSObject:SwapTrade:w1~trade.7923:23764</v>
      </c>
      <c r="G7925" s="3">
        <f>_xll.QS.EVALUATE(C7925,F7925)</f>
        <v>43529.78527461279</v>
      </c>
      <c r="H7925" s="5" t="s">
        <v>7966</v>
      </c>
      <c r="I7925" s="7">
        <v>1792300</v>
      </c>
      <c r="J7925" s="8">
        <v>3.73E-2</v>
      </c>
    </row>
    <row r="7926" spans="1:10" x14ac:dyDescent="0.25">
      <c r="A7926" s="5" t="s">
        <v>7960</v>
      </c>
      <c r="B7926" s="5" t="s">
        <v>9793</v>
      </c>
      <c r="C7926" s="6" t="str">
        <f>_xll.QS.CONTEXT.CREATE("market.7924",A7926,"USD","SOFR")</f>
        <v>QSObject:PricingContext:w1~market.7924:3916</v>
      </c>
      <c r="D7926" s="6" t="str">
        <f>_xll.QS.CONTEXT.ADD.CURVE(C7926,"SOFR",$K$2:$K$7,$L$2:$L$7,,,"Actual360","LogLinear",TRUE)</f>
        <v>QSObject:ContextInput:w1~input.qs_context_add_curve.2359132437744.7925.3.0:32418</v>
      </c>
      <c r="E7926" s="6" t="str">
        <f>_xll.QS.INSTRUMENT.SWAP("swap.7924",H7926,B7926,"USD","SOFR",I7926,J7926,0,"Actual360","Simple","Annual","Annual","Annual")</f>
        <v>QSObject:Swap:w1~swap.7924:3915</v>
      </c>
      <c r="F7926" s="6" t="str">
        <f>_xll.QS.TRADE.CREATE("trade.7924",E7926,A7926,"Receive")</f>
        <v>QSObject:SwapTrade:w1~trade.7924:23763</v>
      </c>
      <c r="G7926" s="3">
        <f>_xll.QS.EVALUATE(C7926,F7926)</f>
        <v>44434.321741282365</v>
      </c>
      <c r="H7926" s="5" t="s">
        <v>7967</v>
      </c>
      <c r="I7926" s="7">
        <v>1792400</v>
      </c>
      <c r="J7926" s="8">
        <v>3.7400000000000003E-2</v>
      </c>
    </row>
    <row r="7927" spans="1:10" x14ac:dyDescent="0.25">
      <c r="A7927" s="5" t="s">
        <v>7961</v>
      </c>
      <c r="B7927" s="5" t="s">
        <v>9794</v>
      </c>
      <c r="C7927" s="6" t="str">
        <f>_xll.QS.CONTEXT.CREATE("market.7925",A7927,"USD","SOFR")</f>
        <v>QSObject:PricingContext:w1~market.7925:3914</v>
      </c>
      <c r="D7927" s="6" t="str">
        <f>_xll.QS.CONTEXT.ADD.CURVE(C7927,"SOFR",$K$2:$K$7,$L$2:$L$7,,,"Actual360","LogLinear",TRUE)</f>
        <v>QSObject:ContextInput:w1~input.qs_context_add_curve.2359132437744.7926.3.0:32417</v>
      </c>
      <c r="E7927" s="6" t="str">
        <f>_xll.QS.INSTRUMENT.SWAP("swap.7925",H7927,B7927,"USD","SOFR",I7927,J7927,0,"Actual360","Simple","Annual","Annual","Annual")</f>
        <v>QSObject:Swap:w1~swap.7925:3913</v>
      </c>
      <c r="F7927" s="6" t="str">
        <f>_xll.QS.TRADE.CREATE("trade.7925",E7927,A7927,"Receive")</f>
        <v>QSObject:SwapTrade:w1~trade.7925:23762</v>
      </c>
      <c r="G7927" s="3">
        <f>_xll.QS.EVALUATE(C7927,F7927)</f>
        <v>45394.781558195282</v>
      </c>
      <c r="H7927" s="5" t="s">
        <v>7968</v>
      </c>
      <c r="I7927" s="7">
        <v>1792500</v>
      </c>
      <c r="J7927" s="8">
        <v>3.7500000000000012E-2</v>
      </c>
    </row>
    <row r="7928" spans="1:10" x14ac:dyDescent="0.25">
      <c r="A7928" s="5" t="s">
        <v>7962</v>
      </c>
      <c r="B7928" s="5" t="s">
        <v>9795</v>
      </c>
      <c r="C7928" s="6" t="str">
        <f>_xll.QS.CONTEXT.CREATE("market.7926",A7928,"USD","SOFR")</f>
        <v>QSObject:PricingContext:w1~market.7926:3912</v>
      </c>
      <c r="D7928" s="6" t="str">
        <f>_xll.QS.CONTEXT.ADD.CURVE(C7928,"SOFR",$K$2:$K$7,$L$2:$L$7,,,"Actual360","LogLinear",TRUE)</f>
        <v>QSObject:ContextInput:w1~input.qs_context_add_curve.2359132437744.7927.3.0:32416</v>
      </c>
      <c r="E7928" s="6" t="str">
        <f>_xll.QS.INSTRUMENT.SWAP("swap.7926",H7928,B7928,"USD","SOFR",I7928,J7928,0,"Actual360","Simple","Annual","Annual","Annual")</f>
        <v>QSObject:Swap:w1~swap.7926:3911</v>
      </c>
      <c r="F7928" s="6" t="str">
        <f>_xll.QS.TRADE.CREATE("trade.7926",E7928,A7928,"Receive")</f>
        <v>QSObject:SwapTrade:w1~trade.7926:23761</v>
      </c>
      <c r="G7928" s="3">
        <f>_xll.QS.EVALUATE(C7928,F7928)</f>
        <v>46224.089246556498</v>
      </c>
      <c r="H7928" s="5" t="s">
        <v>7969</v>
      </c>
      <c r="I7928" s="7">
        <v>1792600</v>
      </c>
      <c r="J7928" s="8">
        <v>3.7600000000000001E-2</v>
      </c>
    </row>
    <row r="7929" spans="1:10" x14ac:dyDescent="0.25">
      <c r="A7929" s="5" t="s">
        <v>7963</v>
      </c>
      <c r="B7929" s="5" t="s">
        <v>9796</v>
      </c>
      <c r="C7929" s="6" t="str">
        <f>_xll.QS.CONTEXT.CREATE("market.7927",A7929,"USD","SOFR")</f>
        <v>QSObject:PricingContext:w1~market.7927:3910</v>
      </c>
      <c r="D7929" s="6" t="str">
        <f>_xll.QS.CONTEXT.ADD.CURVE(C7929,"SOFR",$K$2:$K$7,$L$2:$L$7,,,"Actual360","LogLinear",TRUE)</f>
        <v>QSObject:ContextInput:w1~input.qs_context_add_curve.2359132437744.7928.3.0:32415</v>
      </c>
      <c r="E7929" s="6" t="str">
        <f>_xll.QS.INSTRUMENT.SWAP("swap.7927",H7929,B7929,"USD","SOFR",I7929,J7929,0,"Actual360","Simple","Annual","Annual","Annual")</f>
        <v>QSObject:Swap:w1~swap.7927:3909</v>
      </c>
      <c r="F7929" s="6" t="str">
        <f>_xll.QS.TRADE.CREATE("trade.7927",E7929,A7929,"Receive")</f>
        <v>QSObject:SwapTrade:w1~trade.7927:23760</v>
      </c>
      <c r="G7929" s="3">
        <f>_xll.QS.EVALUATE(C7929,F7929)</f>
        <v>47063.377471677253</v>
      </c>
      <c r="H7929" s="5" t="s">
        <v>7970</v>
      </c>
      <c r="I7929" s="7">
        <v>1792700</v>
      </c>
      <c r="J7929" s="8">
        <v>3.7699999999999997E-2</v>
      </c>
    </row>
    <row r="7930" spans="1:10" x14ac:dyDescent="0.25">
      <c r="A7930" s="5" t="s">
        <v>7964</v>
      </c>
      <c r="B7930" s="5" t="s">
        <v>9797</v>
      </c>
      <c r="C7930" s="6" t="str">
        <f>_xll.QS.CONTEXT.CREATE("market.7928",A7930,"USD","SOFR")</f>
        <v>QSObject:PricingContext:w1~market.7928:3908</v>
      </c>
      <c r="D7930" s="6" t="str">
        <f>_xll.QS.CONTEXT.ADD.CURVE(C7930,"SOFR",$K$2:$K$7,$L$2:$L$7,,,"Actual360","LogLinear",TRUE)</f>
        <v>QSObject:ContextInput:w1~input.qs_context_add_curve.2359132437744.7929.3.0:32414</v>
      </c>
      <c r="E7930" s="6" t="str">
        <f>_xll.QS.INSTRUMENT.SWAP("swap.7928",H7930,B7930,"USD","SOFR",I7930,J7930,0,"Actual360","Simple","Annual","Annual","Annual")</f>
        <v>QSObject:Swap:w1~swap.7928:3907</v>
      </c>
      <c r="F7930" s="6" t="str">
        <f>_xll.QS.TRADE.CREATE("trade.7928",E7930,A7930,"Receive")</f>
        <v>QSObject:SwapTrade:w1~trade.7928:23759</v>
      </c>
      <c r="G7930" s="3">
        <f>_xll.QS.EVALUATE(C7930,F7930)</f>
        <v>47894.656923041883</v>
      </c>
      <c r="H7930" s="5" t="s">
        <v>7971</v>
      </c>
      <c r="I7930" s="7">
        <v>1792800</v>
      </c>
      <c r="J7930" s="8">
        <v>3.78E-2</v>
      </c>
    </row>
    <row r="7931" spans="1:10" x14ac:dyDescent="0.25">
      <c r="A7931" s="5" t="s">
        <v>7965</v>
      </c>
      <c r="B7931" s="5" t="s">
        <v>9798</v>
      </c>
      <c r="C7931" s="6" t="str">
        <f>_xll.QS.CONTEXT.CREATE("market.7929",A7931,"USD","SOFR")</f>
        <v>QSObject:PricingContext:w1~market.7929:3906</v>
      </c>
      <c r="D7931" s="6" t="str">
        <f>_xll.QS.CONTEXT.ADD.CURVE(C7931,"SOFR",$K$2:$K$7,$L$2:$L$7,,,"Actual360","LogLinear",TRUE)</f>
        <v>QSObject:ContextInput:w1~input.qs_context_add_curve.2359132437744.7930.3.0:32413</v>
      </c>
      <c r="E7931" s="6" t="str">
        <f>_xll.QS.INSTRUMENT.SWAP("swap.7929",H7931,B7931,"USD","SOFR",I7931,J7931,0,"Actual360","Simple","Annual","Annual","Annual")</f>
        <v>QSObject:Swap:w1~swap.7929:3905</v>
      </c>
      <c r="F7931" s="6" t="str">
        <f>_xll.QS.TRADE.CREATE("trade.7929",E7931,A7931,"Receive")</f>
        <v>QSObject:SwapTrade:w1~trade.7929:23758</v>
      </c>
      <c r="G7931" s="3">
        <f>_xll.QS.EVALUATE(C7931,F7931)</f>
        <v>48503.099339438661</v>
      </c>
      <c r="H7931" s="5" t="s">
        <v>7972</v>
      </c>
      <c r="I7931" s="7">
        <v>1792900</v>
      </c>
      <c r="J7931" s="8">
        <v>3.7900000000000003E-2</v>
      </c>
    </row>
    <row r="7932" spans="1:10" x14ac:dyDescent="0.25">
      <c r="A7932" s="5" t="s">
        <v>7966</v>
      </c>
      <c r="B7932" s="5" t="s">
        <v>9799</v>
      </c>
      <c r="C7932" s="6" t="str">
        <f>_xll.QS.CONTEXT.CREATE("market.7930",A7932,"USD","SOFR")</f>
        <v>QSObject:PricingContext:w1~market.7930:3904</v>
      </c>
      <c r="D7932" s="6" t="str">
        <f>_xll.QS.CONTEXT.ADD.CURVE(C7932,"SOFR",$K$2:$K$7,$L$2:$L$7,,,"Actual360","LogLinear",TRUE)</f>
        <v>QSObject:ContextInput:w1~input.qs_context_add_curve.2359132437744.7931.3.0:32412</v>
      </c>
      <c r="E7932" s="6" t="str">
        <f>_xll.QS.INSTRUMENT.SWAP("swap.7930",H7932,B7932,"USD","SOFR",I7932,J7932,0,"Actual360","Simple","Annual","Annual","Annual")</f>
        <v>QSObject:Swap:w1~swap.7930:3903</v>
      </c>
      <c r="F7932" s="6" t="str">
        <f>_xll.QS.TRADE.CREATE("trade.7930",E7932,A7932,"Receive")</f>
        <v>QSObject:SwapTrade:w1~trade.7930:23757</v>
      </c>
      <c r="G7932" s="3">
        <f>_xll.QS.EVALUATE(C7932,F7932)</f>
        <v>49336.770066219331</v>
      </c>
      <c r="H7932" s="5" t="s">
        <v>7973</v>
      </c>
      <c r="I7932" s="7">
        <v>1793000</v>
      </c>
      <c r="J7932" s="8">
        <v>3.8000000000000013E-2</v>
      </c>
    </row>
    <row r="7933" spans="1:10" x14ac:dyDescent="0.25">
      <c r="A7933" s="5" t="s">
        <v>7967</v>
      </c>
      <c r="B7933" s="5" t="s">
        <v>9800</v>
      </c>
      <c r="C7933" s="6" t="str">
        <f>_xll.QS.CONTEXT.CREATE("market.7931",A7933,"USD","SOFR")</f>
        <v>QSObject:PricingContext:w1~market.7931:3902</v>
      </c>
      <c r="D7933" s="6" t="str">
        <f>_xll.QS.CONTEXT.ADD.CURVE(C7933,"SOFR",$K$2:$K$7,$L$2:$L$7,,,"Actual360","LogLinear",TRUE)</f>
        <v>QSObject:ContextInput:w1~input.qs_context_add_curve.2359132437744.7932.3.0:32411</v>
      </c>
      <c r="E7933" s="6" t="str">
        <f>_xll.QS.INSTRUMENT.SWAP("swap.7931",H7933,B7933,"USD","SOFR",I7933,J7933,0,"Actual360","Simple","Annual","Annual","Annual")</f>
        <v>QSObject:Swap:w1~swap.7931:3901</v>
      </c>
      <c r="F7933" s="6" t="str">
        <f>_xll.QS.TRADE.CREATE("trade.7931",E7933,A7933,"Receive")</f>
        <v>QSObject:SwapTrade:w1~trade.7931:23756</v>
      </c>
      <c r="G7933" s="3">
        <f>_xll.QS.EVALUATE(C7933,F7933)</f>
        <v>50242.548217932555</v>
      </c>
      <c r="H7933" s="5" t="s">
        <v>7974</v>
      </c>
      <c r="I7933" s="7">
        <v>1793100</v>
      </c>
      <c r="J7933" s="8">
        <v>3.8100000000000002E-2</v>
      </c>
    </row>
    <row r="7934" spans="1:10" x14ac:dyDescent="0.25">
      <c r="A7934" s="5" t="s">
        <v>7968</v>
      </c>
      <c r="B7934" s="5" t="s">
        <v>9801</v>
      </c>
      <c r="C7934" s="6" t="str">
        <f>_xll.QS.CONTEXT.CREATE("market.7932",A7934,"USD","SOFR")</f>
        <v>QSObject:PricingContext:w1~market.7932:3900</v>
      </c>
      <c r="D7934" s="6" t="str">
        <f>_xll.QS.CONTEXT.ADD.CURVE(C7934,"SOFR",$K$2:$K$7,$L$2:$L$7,,,"Actual360","LogLinear",TRUE)</f>
        <v>QSObject:ContextInput:w1~input.qs_context_add_curve.2359132437744.7933.3.0:32410</v>
      </c>
      <c r="E7934" s="6" t="str">
        <f>_xll.QS.INSTRUMENT.SWAP("swap.7932",H7934,B7934,"USD","SOFR",I7934,J7934,0,"Actual360","Simple","Annual","Annual","Annual")</f>
        <v>QSObject:Swap:w1~swap.7932:3899</v>
      </c>
      <c r="F7934" s="6" t="str">
        <f>_xll.QS.TRADE.CREATE("trade.7932",E7934,A7934,"Receive")</f>
        <v>QSObject:SwapTrade:w1~trade.7932:23755</v>
      </c>
      <c r="G7934" s="3">
        <f>_xll.QS.EVALUATE(C7934,F7934)</f>
        <v>51203.79106544688</v>
      </c>
      <c r="H7934" s="5" t="s">
        <v>7975</v>
      </c>
      <c r="I7934" s="7">
        <v>1793200</v>
      </c>
      <c r="J7934" s="8">
        <v>3.8199999999999998E-2</v>
      </c>
    </row>
    <row r="7935" spans="1:10" x14ac:dyDescent="0.25">
      <c r="A7935" s="5" t="s">
        <v>7969</v>
      </c>
      <c r="B7935" s="5" t="s">
        <v>9802</v>
      </c>
      <c r="C7935" s="6" t="str">
        <f>_xll.QS.CONTEXT.CREATE("market.7933",A7935,"USD","SOFR")</f>
        <v>QSObject:PricingContext:w1~market.7933:3898</v>
      </c>
      <c r="D7935" s="6" t="str">
        <f>_xll.QS.CONTEXT.ADD.CURVE(C7935,"SOFR",$K$2:$K$7,$L$2:$L$7,,,"Actual360","LogLinear",TRUE)</f>
        <v>QSObject:ContextInput:w1~input.qs_context_add_curve.2359132437744.7934.3.0:32409</v>
      </c>
      <c r="E7935" s="6" t="str">
        <f>_xll.QS.INSTRUMENT.SWAP("swap.7933",H7935,B7935,"USD","SOFR",I7935,J7935,0,"Actual360","Simple","Annual","Annual","Annual")</f>
        <v>QSObject:Swap:w1~swap.7933:3897</v>
      </c>
      <c r="F7935" s="6" t="str">
        <f>_xll.QS.TRADE.CREATE("trade.7933",E7935,A7935,"Receive")</f>
        <v>QSObject:SwapTrade:w1~trade.7933:23754</v>
      </c>
      <c r="G7935" s="3">
        <f>_xll.QS.EVALUATE(C7935,F7935)</f>
        <v>52033.733150724751</v>
      </c>
      <c r="H7935" s="5" t="s">
        <v>7976</v>
      </c>
      <c r="I7935" s="7">
        <v>1793300</v>
      </c>
      <c r="J7935" s="8">
        <v>3.8300000000000001E-2</v>
      </c>
    </row>
    <row r="7936" spans="1:10" x14ac:dyDescent="0.25">
      <c r="A7936" s="5" t="s">
        <v>7970</v>
      </c>
      <c r="B7936" s="5" t="s">
        <v>9803</v>
      </c>
      <c r="C7936" s="6" t="str">
        <f>_xll.QS.CONTEXT.CREATE("market.7934",A7936,"USD","SOFR")</f>
        <v>QSObject:PricingContext:w1~market.7934:3896</v>
      </c>
      <c r="D7936" s="6" t="str">
        <f>_xll.QS.CONTEXT.ADD.CURVE(C7936,"SOFR",$K$2:$K$7,$L$2:$L$7,,,"Actual360","LogLinear",TRUE)</f>
        <v>QSObject:ContextInput:w1~input.qs_context_add_curve.2359132437744.7935.3.0:32408</v>
      </c>
      <c r="E7936" s="6" t="str">
        <f>_xll.QS.INSTRUMENT.SWAP("swap.7934",H7936,B7936,"USD","SOFR",I7936,J7936,0,"Actual360","Simple","Annual","Annual","Annual")</f>
        <v>QSObject:Swap:w1~swap.7934:3895</v>
      </c>
      <c r="F7936" s="6" t="str">
        <f>_xll.QS.TRADE.CREATE("trade.7934",E7936,A7936,"Receive")</f>
        <v>QSObject:SwapTrade:w1~trade.7934:23753</v>
      </c>
      <c r="G7936" s="3">
        <f>_xll.QS.EVALUATE(C7936,F7936)</f>
        <v>52874.036881288266</v>
      </c>
      <c r="H7936" s="5" t="s">
        <v>7977</v>
      </c>
      <c r="I7936" s="7">
        <v>1793400</v>
      </c>
      <c r="J7936" s="8">
        <v>3.8399999999999997E-2</v>
      </c>
    </row>
    <row r="7937" spans="1:10" x14ac:dyDescent="0.25">
      <c r="A7937" s="5" t="s">
        <v>7971</v>
      </c>
      <c r="B7937" s="5" t="s">
        <v>9804</v>
      </c>
      <c r="C7937" s="6" t="str">
        <f>_xll.QS.CONTEXT.CREATE("market.7935",A7937,"USD","SOFR")</f>
        <v>QSObject:PricingContext:w1~market.7935:3894</v>
      </c>
      <c r="D7937" s="6" t="str">
        <f>_xll.QS.CONTEXT.ADD.CURVE(C7937,"SOFR",$K$2:$K$7,$L$2:$L$7,,,"Actual360","LogLinear",TRUE)</f>
        <v>QSObject:ContextInput:w1~input.qs_context_add_curve.2359132437744.7936.3.0:32407</v>
      </c>
      <c r="E7937" s="6" t="str">
        <f>_xll.QS.INSTRUMENT.SWAP("swap.7935",H7937,B7937,"USD","SOFR",I7937,J7937,0,"Actual360","Simple","Annual","Annual","Annual")</f>
        <v>QSObject:Swap:w1~swap.7935:3893</v>
      </c>
      <c r="F7937" s="6" t="str">
        <f>_xll.QS.TRADE.CREATE("trade.7935",E7937,A7937,"Receive")</f>
        <v>QSObject:SwapTrade:w1~trade.7935:23752</v>
      </c>
      <c r="G7937" s="3">
        <f>_xll.QS.EVALUATE(C7937,F7937)</f>
        <v>53704.810668034428</v>
      </c>
      <c r="H7937" s="5" t="s">
        <v>7978</v>
      </c>
      <c r="I7937" s="7">
        <v>1793500</v>
      </c>
      <c r="J7937" s="8">
        <v>3.8500000000000013E-2</v>
      </c>
    </row>
    <row r="7938" spans="1:10" x14ac:dyDescent="0.25">
      <c r="A7938" s="5" t="s">
        <v>7972</v>
      </c>
      <c r="B7938" s="5" t="s">
        <v>9805</v>
      </c>
      <c r="C7938" s="6" t="str">
        <f>_xll.QS.CONTEXT.CREATE("market.7936",A7938,"USD","SOFR")</f>
        <v>QSObject:PricingContext:w1~market.7936:3892</v>
      </c>
      <c r="D7938" s="6" t="str">
        <f>_xll.QS.CONTEXT.ADD.CURVE(C7938,"SOFR",$K$2:$K$7,$L$2:$L$7,,,"Actual360","LogLinear",TRUE)</f>
        <v>QSObject:ContextInput:w1~input.qs_context_add_curve.2359132437744.7937.3.0:32406</v>
      </c>
      <c r="E7938" s="6" t="str">
        <f>_xll.QS.INSTRUMENT.SWAP("swap.7936",H7938,B7938,"USD","SOFR",I7938,J7938,0,"Actual360","Simple","Annual","Annual","Annual")</f>
        <v>QSObject:Swap:w1~swap.7936:3891</v>
      </c>
      <c r="F7938" s="6" t="str">
        <f>_xll.QS.TRADE.CREATE("trade.7936",E7938,A7938,"Receive")</f>
        <v>QSObject:SwapTrade:w1~trade.7936:23751</v>
      </c>
      <c r="G7938" s="3">
        <f>_xll.QS.EVALUATE(C7938,F7938)</f>
        <v>54313.471981848263</v>
      </c>
      <c r="H7938" s="5" t="s">
        <v>7979</v>
      </c>
      <c r="I7938" s="7">
        <v>1793600</v>
      </c>
      <c r="J7938" s="8">
        <v>3.8600000000000002E-2</v>
      </c>
    </row>
    <row r="7939" spans="1:10" x14ac:dyDescent="0.25">
      <c r="A7939" s="5" t="s">
        <v>7973</v>
      </c>
      <c r="B7939" s="5" t="s">
        <v>9806</v>
      </c>
      <c r="C7939" s="6" t="str">
        <f>_xll.QS.CONTEXT.CREATE("market.7937",A7939,"USD","SOFR")</f>
        <v>QSObject:PricingContext:w1~market.7937:3890</v>
      </c>
      <c r="D7939" s="6" t="str">
        <f>_xll.QS.CONTEXT.ADD.CURVE(C7939,"SOFR",$K$2:$K$7,$L$2:$L$7,,,"Actual360","LogLinear",TRUE)</f>
        <v>QSObject:ContextInput:w1~input.qs_context_add_curve.2359132437744.7938.3.0:32405</v>
      </c>
      <c r="E7939" s="6" t="str">
        <f>_xll.QS.INSTRUMENT.SWAP("swap.7937",H7939,B7939,"USD","SOFR",I7939,J7939,0,"Actual360","Simple","Annual","Annual","Annual")</f>
        <v>QSObject:Swap:w1~swap.7937:3889</v>
      </c>
      <c r="F7939" s="6" t="str">
        <f>_xll.QS.TRADE.CREATE("trade.7937",E7939,A7939,"Receive")</f>
        <v>QSObject:SwapTrade:w1~trade.7937:23750</v>
      </c>
      <c r="G7939" s="3">
        <f>_xll.QS.EVALUATE(C7939,F7939)</f>
        <v>55148.275759856675</v>
      </c>
      <c r="H7939" s="5" t="s">
        <v>7980</v>
      </c>
      <c r="I7939" s="7">
        <v>1793700</v>
      </c>
      <c r="J7939" s="8">
        <v>3.8700000000000012E-2</v>
      </c>
    </row>
    <row r="7940" spans="1:10" x14ac:dyDescent="0.25">
      <c r="A7940" s="5" t="s">
        <v>7974</v>
      </c>
      <c r="B7940" s="5" t="s">
        <v>9807</v>
      </c>
      <c r="C7940" s="6" t="str">
        <f>_xll.QS.CONTEXT.CREATE("market.7938",A7940,"USD","SOFR")</f>
        <v>QSObject:PricingContext:w1~market.7938:3888</v>
      </c>
      <c r="D7940" s="6" t="str">
        <f>_xll.QS.CONTEXT.ADD.CURVE(C7940,"SOFR",$K$2:$K$7,$L$2:$L$7,,,"Actual360","LogLinear",TRUE)</f>
        <v>QSObject:ContextInput:w1~input.qs_context_add_curve.2359132437744.7939.3.0:32404</v>
      </c>
      <c r="E7940" s="6" t="str">
        <f>_xll.QS.INSTRUMENT.SWAP("swap.7938",H7940,B7940,"USD","SOFR",I7940,J7940,0,"Actual360","Simple","Annual","Annual","Annual")</f>
        <v>QSObject:Swap:w1~swap.7938:3887</v>
      </c>
      <c r="F7940" s="6" t="str">
        <f>_xll.QS.TRADE.CREATE("trade.7938",E7940,A7940,"Receive")</f>
        <v>QSObject:SwapTrade:w1~trade.7938:23749</v>
      </c>
      <c r="G7940" s="3">
        <f>_xll.QS.EVALUATE(C7940,F7940)</f>
        <v>56055.296038886183</v>
      </c>
      <c r="H7940" s="5" t="s">
        <v>7981</v>
      </c>
      <c r="I7940" s="7">
        <v>1793800</v>
      </c>
      <c r="J7940" s="8">
        <v>3.8800000000000001E-2</v>
      </c>
    </row>
    <row r="7941" spans="1:10" x14ac:dyDescent="0.25">
      <c r="A7941" s="5" t="s">
        <v>7975</v>
      </c>
      <c r="B7941" s="5" t="s">
        <v>9808</v>
      </c>
      <c r="C7941" s="6" t="str">
        <f>_xll.QS.CONTEXT.CREATE("market.7939",A7941,"USD","SOFR")</f>
        <v>QSObject:PricingContext:w1~market.7939:3886</v>
      </c>
      <c r="D7941" s="6" t="str">
        <f>_xll.QS.CONTEXT.ADD.CURVE(C7941,"SOFR",$K$2:$K$7,$L$2:$L$7,,,"Actual360","LogLinear",TRUE)</f>
        <v>QSObject:ContextInput:w1~input.qs_context_add_curve.2359132437744.7940.3.0:32403</v>
      </c>
      <c r="E7941" s="6" t="str">
        <f>_xll.QS.INSTRUMENT.SWAP("swap.7939",H7941,B7941,"USD","SOFR",I7941,J7941,0,"Actual360","Simple","Annual","Annual","Annual")</f>
        <v>QSObject:Swap:w1~swap.7939:3885</v>
      </c>
      <c r="F7941" s="6" t="str">
        <f>_xll.QS.TRADE.CREATE("trade.7939",E7941,A7941,"Receive")</f>
        <v>QSObject:SwapTrade:w1~trade.7939:23748</v>
      </c>
      <c r="G7941" s="3">
        <f>_xll.QS.EVALUATE(C7941,F7941)</f>
        <v>57017.962436751368</v>
      </c>
      <c r="H7941" s="5" t="s">
        <v>7982</v>
      </c>
      <c r="I7941" s="7">
        <v>1793900</v>
      </c>
      <c r="J7941" s="8">
        <v>3.8899999999999997E-2</v>
      </c>
    </row>
    <row r="7942" spans="1:10" x14ac:dyDescent="0.25">
      <c r="A7942" s="5" t="s">
        <v>7976</v>
      </c>
      <c r="B7942" s="5" t="s">
        <v>9809</v>
      </c>
      <c r="C7942" s="6" t="str">
        <f>_xll.QS.CONTEXT.CREATE("market.7940",A7942,"USD","SOFR")</f>
        <v>QSObject:PricingContext:w1~market.7940:3884</v>
      </c>
      <c r="D7942" s="6" t="str">
        <f>_xll.QS.CONTEXT.ADD.CURVE(C7942,"SOFR",$K$2:$K$7,$L$2:$L$7,,,"Actual360","LogLinear",TRUE)</f>
        <v>QSObject:ContextInput:w1~input.qs_context_add_curve.2359132437744.7941.3.0:32402</v>
      </c>
      <c r="E7942" s="6" t="str">
        <f>_xll.QS.INSTRUMENT.SWAP("swap.7940",H7942,B7942,"USD","SOFR",I7942,J7942,0,"Actual360","Simple","Annual","Annual","Annual")</f>
        <v>QSObject:Swap:w1~swap.7940:3883</v>
      </c>
      <c r="F7942" s="6" t="str">
        <f>_xll.QS.TRADE.CREATE("trade.7940",E7942,A7942,"Receive")</f>
        <v>QSObject:SwapTrade:w1~trade.7940:23747</v>
      </c>
      <c r="G7942" s="3">
        <f>_xll.QS.EVALUATE(C7942,F7942)</f>
        <v>57848.575122546223</v>
      </c>
      <c r="H7942" s="5" t="s">
        <v>7983</v>
      </c>
      <c r="I7942" s="7">
        <v>1794000</v>
      </c>
      <c r="J7942" s="8">
        <v>3.9000000000000007E-2</v>
      </c>
    </row>
    <row r="7943" spans="1:10" x14ac:dyDescent="0.25">
      <c r="A7943" s="5" t="s">
        <v>7977</v>
      </c>
      <c r="B7943" s="5" t="s">
        <v>9810</v>
      </c>
      <c r="C7943" s="6" t="str">
        <f>_xll.QS.CONTEXT.CREATE("market.7941",A7943,"USD","SOFR")</f>
        <v>QSObject:PricingContext:w1~market.7941:3882</v>
      </c>
      <c r="D7943" s="6" t="str">
        <f>_xll.QS.CONTEXT.ADD.CURVE(C7943,"SOFR",$K$2:$K$7,$L$2:$L$7,,,"Actual360","LogLinear",TRUE)</f>
        <v>QSObject:ContextInput:w1~input.qs_context_add_curve.2359132437744.7942.3.0:32401</v>
      </c>
      <c r="E7943" s="6" t="str">
        <f>_xll.QS.INSTRUMENT.SWAP("swap.7941",H7943,B7943,"USD","SOFR",I7943,J7943,0,"Actual360","Simple","Annual","Annual","Annual")</f>
        <v>QSObject:Swap:w1~swap.7941:3881</v>
      </c>
      <c r="F7943" s="6" t="str">
        <f>_xll.QS.TRADE.CREATE("trade.7941",E7943,A7943,"Receive")</f>
        <v>QSObject:SwapTrade:w1~trade.7941:23746</v>
      </c>
      <c r="G7943" s="3">
        <f>_xll.QS.EVALUATE(C7943,F7943)</f>
        <v>58688.332552971158</v>
      </c>
      <c r="H7943" s="5" t="s">
        <v>7984</v>
      </c>
      <c r="I7943" s="7">
        <v>1794100</v>
      </c>
      <c r="J7943" s="8">
        <v>3.9100000000000003E-2</v>
      </c>
    </row>
    <row r="7944" spans="1:10" x14ac:dyDescent="0.25">
      <c r="A7944" s="5" t="s">
        <v>7978</v>
      </c>
      <c r="B7944" s="5" t="s">
        <v>9811</v>
      </c>
      <c r="C7944" s="6" t="str">
        <f>_xll.QS.CONTEXT.CREATE("market.7942",A7944,"USD","SOFR")</f>
        <v>QSObject:PricingContext:w1~market.7942:3880</v>
      </c>
      <c r="D7944" s="6" t="str">
        <f>_xll.QS.CONTEXT.ADD.CURVE(C7944,"SOFR",$K$2:$K$7,$L$2:$L$7,,,"Actual360","LogLinear",TRUE)</f>
        <v>QSObject:ContextInput:w1~input.qs_context_add_curve.2359132437744.7943.3.0:32400</v>
      </c>
      <c r="E7944" s="6" t="str">
        <f>_xll.QS.INSTRUMENT.SWAP("swap.7942",H7944,B7944,"USD","SOFR",I7944,J7944,0,"Actual360","Simple","Annual","Annual","Annual")</f>
        <v>QSObject:Swap:w1~swap.7942:3879</v>
      </c>
      <c r="F7944" s="6" t="str">
        <f>_xll.QS.TRADE.CREATE("trade.7942",E7944,A7944,"Receive")</f>
        <v>QSObject:SwapTrade:w1~trade.7942:23745</v>
      </c>
      <c r="G7944" s="3">
        <f>_xll.QS.EVALUATE(C7944,F7944)</f>
        <v>59521.50157724454</v>
      </c>
      <c r="H7944" s="5" t="s">
        <v>7985</v>
      </c>
      <c r="I7944" s="7">
        <v>1794200</v>
      </c>
      <c r="J7944" s="8">
        <v>3.9200000000000013E-2</v>
      </c>
    </row>
    <row r="7945" spans="1:10" x14ac:dyDescent="0.25">
      <c r="A7945" s="5" t="s">
        <v>7979</v>
      </c>
      <c r="B7945" s="5" t="s">
        <v>9812</v>
      </c>
      <c r="C7945" s="6" t="str">
        <f>_xll.QS.CONTEXT.CREATE("market.7943",A7945,"USD","SOFR")</f>
        <v>QSObject:PricingContext:w1~market.7943:3878</v>
      </c>
      <c r="D7945" s="6" t="str">
        <f>_xll.QS.CONTEXT.ADD.CURVE(C7945,"SOFR",$K$2:$K$7,$L$2:$L$7,,,"Actual360","LogLinear",TRUE)</f>
        <v>QSObject:ContextInput:w1~input.qs_context_add_curve.2359132437744.7944.3.0:32399</v>
      </c>
      <c r="E7945" s="6" t="str">
        <f>_xll.QS.INSTRUMENT.SWAP("swap.7943",H7945,B7945,"USD","SOFR",I7945,J7945,0,"Actual360","Simple","Annual","Annual","Annual")</f>
        <v>QSObject:Swap:w1~swap.7943:3877</v>
      </c>
      <c r="F7945" s="6" t="str">
        <f>_xll.QS.TRADE.CREATE("trade.7943",E7945,A7945,"Receive")</f>
        <v>QSObject:SwapTrade:w1~trade.7943:23744</v>
      </c>
      <c r="G7945" s="3">
        <f>_xll.QS.EVALUATE(C7945,F7945)</f>
        <v>60052.550943081522</v>
      </c>
      <c r="H7945" s="5" t="s">
        <v>7986</v>
      </c>
      <c r="I7945" s="7">
        <v>1794300</v>
      </c>
      <c r="J7945" s="8">
        <v>3.9300000000000002E-2</v>
      </c>
    </row>
    <row r="7946" spans="1:10" x14ac:dyDescent="0.25">
      <c r="A7946" s="5" t="s">
        <v>7980</v>
      </c>
      <c r="B7946" s="5" t="s">
        <v>9813</v>
      </c>
      <c r="C7946" s="6" t="str">
        <f>_xll.QS.CONTEXT.CREATE("market.7944",A7946,"USD","SOFR")</f>
        <v>QSObject:PricingContext:w1~market.7944:3876</v>
      </c>
      <c r="D7946" s="6" t="str">
        <f>_xll.QS.CONTEXT.ADD.CURVE(C7946,"SOFR",$K$2:$K$7,$L$2:$L$7,,,"Actual360","LogLinear",TRUE)</f>
        <v>QSObject:ContextInput:w1~input.qs_context_add_curve.2359132437744.7945.3.0:32398</v>
      </c>
      <c r="E7946" s="6" t="str">
        <f>_xll.QS.INSTRUMENT.SWAP("swap.7944",H7946,B7946,"USD","SOFR",I7946,J7946,0,"Actual360","Simple","Annual","Annual","Annual")</f>
        <v>QSObject:Swap:w1~swap.7944:3875</v>
      </c>
      <c r="F7946" s="6" t="str">
        <f>_xll.QS.TRADE.CREATE("trade.7944",E7946,A7946,"Receive")</f>
        <v>QSObject:SwapTrade:w1~trade.7944:23743</v>
      </c>
      <c r="G7946" s="3">
        <f>_xll.QS.EVALUATE(C7946,F7946)</f>
        <v>60888.523144821083</v>
      </c>
      <c r="H7946" s="5" t="s">
        <v>7987</v>
      </c>
      <c r="I7946" s="7">
        <v>1794400</v>
      </c>
      <c r="J7946" s="8">
        <v>3.9399999999999998E-2</v>
      </c>
    </row>
    <row r="7947" spans="1:10" x14ac:dyDescent="0.25">
      <c r="A7947" s="5" t="s">
        <v>7981</v>
      </c>
      <c r="B7947" s="5" t="s">
        <v>9814</v>
      </c>
      <c r="C7947" s="6" t="str">
        <f>_xll.QS.CONTEXT.CREATE("market.7945",A7947,"USD","SOFR")</f>
        <v>QSObject:PricingContext:w1~market.7945:3874</v>
      </c>
      <c r="D7947" s="6" t="str">
        <f>_xll.QS.CONTEXT.ADD.CURVE(C7947,"SOFR",$K$2:$K$7,$L$2:$L$7,,,"Actual360","LogLinear",TRUE)</f>
        <v>QSObject:ContextInput:w1~input.qs_context_add_curve.2359132437744.7946.3.0:32397</v>
      </c>
      <c r="E7947" s="6" t="str">
        <f>_xll.QS.INSTRUMENT.SWAP("swap.7945",H7947,B7947,"USD","SOFR",I7947,J7947,0,"Actual360","Simple","Annual","Annual","Annual")</f>
        <v>QSObject:Swap:w1~swap.7945:3873</v>
      </c>
      <c r="F7947" s="6" t="str">
        <f>_xll.QS.TRADE.CREATE("trade.7945",E7947,A7947,"Receive")</f>
        <v>QSObject:SwapTrade:w1~trade.7945:23742</v>
      </c>
      <c r="G7947" s="3">
        <f>_xll.QS.EVALUATE(C7947,F7947)</f>
        <v>61796.668949382169</v>
      </c>
      <c r="H7947" s="5" t="s">
        <v>7988</v>
      </c>
      <c r="I7947" s="7">
        <v>1794500</v>
      </c>
      <c r="J7947" s="8">
        <v>3.9500000000000007E-2</v>
      </c>
    </row>
    <row r="7948" spans="1:10" x14ac:dyDescent="0.25">
      <c r="A7948" s="5" t="s">
        <v>7982</v>
      </c>
      <c r="B7948" s="5" t="s">
        <v>9815</v>
      </c>
      <c r="C7948" s="6" t="str">
        <f>_xll.QS.CONTEXT.CREATE("market.7946",A7948,"USD","SOFR")</f>
        <v>QSObject:PricingContext:w1~market.7946:3872</v>
      </c>
      <c r="D7948" s="6" t="str">
        <f>_xll.QS.CONTEXT.ADD.CURVE(C7948,"SOFR",$K$2:$K$7,$L$2:$L$7,,,"Actual360","LogLinear",TRUE)</f>
        <v>QSObject:ContextInput:w1~input.qs_context_add_curve.2359132437744.7947.3.0:32396</v>
      </c>
      <c r="E7948" s="6" t="str">
        <f>_xll.QS.INSTRUMENT.SWAP("swap.7946",H7948,B7948,"USD","SOFR",I7948,J7948,0,"Actual360","Simple","Annual","Annual","Annual")</f>
        <v>QSObject:Swap:w1~swap.7946:3871</v>
      </c>
      <c r="F7948" s="6" t="str">
        <f>_xll.QS.TRADE.CREATE("trade.7946",E7948,A7948,"Receive")</f>
        <v>QSObject:SwapTrade:w1~trade.7946:23741</v>
      </c>
      <c r="G7948" s="3">
        <f>_xll.QS.EVALUATE(C7948,F7948)</f>
        <v>62901.710199024892</v>
      </c>
      <c r="H7948" s="5" t="s">
        <v>7989</v>
      </c>
      <c r="I7948" s="7">
        <v>1794600</v>
      </c>
      <c r="J7948" s="8">
        <v>3.9600000000000003E-2</v>
      </c>
    </row>
    <row r="7949" spans="1:10" x14ac:dyDescent="0.25">
      <c r="A7949" s="5" t="s">
        <v>7983</v>
      </c>
      <c r="B7949" s="5" t="s">
        <v>9816</v>
      </c>
      <c r="C7949" s="6" t="str">
        <f>_xll.QS.CONTEXT.CREATE("market.7947",A7949,"USD","SOFR")</f>
        <v>QSObject:PricingContext:w1~market.7947:3870</v>
      </c>
      <c r="D7949" s="6" t="str">
        <f>_xll.QS.CONTEXT.ADD.CURVE(C7949,"SOFR",$K$2:$K$7,$L$2:$L$7,,,"Actual360","LogLinear",TRUE)</f>
        <v>QSObject:ContextInput:w1~input.qs_context_add_curve.2359132437744.7948.3.0:32395</v>
      </c>
      <c r="E7949" s="6" t="str">
        <f>_xll.QS.INSTRUMENT.SWAP("swap.7947",H7949,B7949,"USD","SOFR",I7949,J7949,0,"Actual360","Simple","Annual","Annual","Annual")</f>
        <v>QSObject:Swap:w1~swap.7947:3869</v>
      </c>
      <c r="F7949" s="6" t="str">
        <f>_xll.QS.TRADE.CREATE("trade.7947",E7949,A7949,"Receive")</f>
        <v>QSObject:SwapTrade:w1~trade.7947:23740</v>
      </c>
      <c r="G7949" s="3">
        <f>_xll.QS.EVALUATE(C7949,F7949)</f>
        <v>63732.845619726344</v>
      </c>
      <c r="H7949" s="5" t="s">
        <v>7990</v>
      </c>
      <c r="I7949" s="7">
        <v>1794700</v>
      </c>
      <c r="J7949" s="8">
        <v>3.9700000000000013E-2</v>
      </c>
    </row>
    <row r="7950" spans="1:10" x14ac:dyDescent="0.25">
      <c r="A7950" s="5" t="s">
        <v>7984</v>
      </c>
      <c r="B7950" s="5" t="s">
        <v>9817</v>
      </c>
      <c r="C7950" s="6" t="str">
        <f>_xll.QS.CONTEXT.CREATE("market.7948",A7950,"USD","SOFR")</f>
        <v>QSObject:PricingContext:w1~market.7948:3868</v>
      </c>
      <c r="D7950" s="6" t="str">
        <f>_xll.QS.CONTEXT.ADD.CURVE(C7950,"SOFR",$K$2:$K$7,$L$2:$L$7,,,"Actual360","LogLinear",TRUE)</f>
        <v>QSObject:ContextInput:w1~input.qs_context_add_curve.2359132437744.7949.3.0:32394</v>
      </c>
      <c r="E7950" s="6" t="str">
        <f>_xll.QS.INSTRUMENT.SWAP("swap.7948",H7950,B7950,"USD","SOFR",I7950,J7950,0,"Actual360","Simple","Annual","Annual","Annual")</f>
        <v>QSObject:Swap:w1~swap.7948:3867</v>
      </c>
      <c r="F7950" s="6" t="str">
        <f>_xll.QS.TRADE.CREATE("trade.7948",E7950,A7950,"Receive")</f>
        <v>QSObject:SwapTrade:w1~trade.7948:23739</v>
      </c>
      <c r="G7950" s="3">
        <f>_xll.QS.EVALUATE(C7950,F7950)</f>
        <v>64580.324040949585</v>
      </c>
      <c r="H7950" s="5" t="s">
        <v>7991</v>
      </c>
      <c r="I7950" s="7">
        <v>1794800</v>
      </c>
      <c r="J7950" s="8">
        <v>3.9800000000000002E-2</v>
      </c>
    </row>
    <row r="7951" spans="1:10" x14ac:dyDescent="0.25">
      <c r="A7951" s="5" t="s">
        <v>7985</v>
      </c>
      <c r="B7951" s="5" t="s">
        <v>9818</v>
      </c>
      <c r="C7951" s="6" t="str">
        <f>_xll.QS.CONTEXT.CREATE("market.7949",A7951,"USD","SOFR")</f>
        <v>QSObject:PricingContext:w1~market.7949:3866</v>
      </c>
      <c r="D7951" s="6" t="str">
        <f>_xll.QS.CONTEXT.ADD.CURVE(C7951,"SOFR",$K$2:$K$7,$L$2:$L$7,,,"Actual360","LogLinear",TRUE)</f>
        <v>QSObject:ContextInput:w1~input.qs_context_add_curve.2359132437744.7950.3.0:32393</v>
      </c>
      <c r="E7951" s="6" t="str">
        <f>_xll.QS.INSTRUMENT.SWAP("swap.7949",H7951,B7951,"USD","SOFR",I7951,J7951,0,"Actual360","Simple","Annual","Annual","Annual")</f>
        <v>QSObject:Swap:w1~swap.7949:3865</v>
      </c>
      <c r="F7951" s="6" t="str">
        <f>_xll.QS.TRADE.CREATE("trade.7949",E7951,A7951,"Receive")</f>
        <v>QSObject:SwapTrade:w1~trade.7949:23738</v>
      </c>
      <c r="G7951" s="3">
        <f>_xll.QS.EVALUATE(C7951,F7951)</f>
        <v>65413.509561786123</v>
      </c>
      <c r="H7951" s="5" t="s">
        <v>7992</v>
      </c>
      <c r="I7951" s="7">
        <v>1794900</v>
      </c>
      <c r="J7951" s="8">
        <v>3.9899999999999998E-2</v>
      </c>
    </row>
    <row r="7952" spans="1:10" x14ac:dyDescent="0.25">
      <c r="A7952" s="5" t="s">
        <v>7986</v>
      </c>
      <c r="B7952" s="5" t="s">
        <v>9819</v>
      </c>
      <c r="C7952" s="6" t="str">
        <f>_xll.QS.CONTEXT.CREATE("market.7950",A7952,"USD","SOFR")</f>
        <v>QSObject:PricingContext:w1~market.7950:3864</v>
      </c>
      <c r="D7952" s="6" t="str">
        <f>_xll.QS.CONTEXT.ADD.CURVE(C7952,"SOFR",$K$2:$K$7,$L$2:$L$7,,,"Actual360","LogLinear",TRUE)</f>
        <v>QSObject:ContextInput:w1~input.qs_context_add_curve.2359132437744.7951.3.0:32392</v>
      </c>
      <c r="E7952" s="6" t="str">
        <f>_xll.QS.INSTRUMENT.SWAP("swap.7950",H7952,B7952,"USD","SOFR",I7952,J7952,0,"Actual360","Simple","Annual","Annual","Annual")</f>
        <v>QSObject:Swap:w1~swap.7950:3863</v>
      </c>
      <c r="F7952" s="6" t="str">
        <f>_xll.QS.TRADE.CREATE("trade.7950",E7952,A7952,"Receive")</f>
        <v>QSObject:SwapTrade:w1~trade.7950:23737</v>
      </c>
      <c r="G7952" s="3">
        <f>_xll.QS.EVALUATE(C7952,F7952)</f>
        <v>24620.112090828938</v>
      </c>
      <c r="H7952" s="5" t="s">
        <v>7993</v>
      </c>
      <c r="I7952" s="7">
        <v>1795000</v>
      </c>
      <c r="J7952" s="8">
        <v>3.5000000000000003E-2</v>
      </c>
    </row>
    <row r="7953" spans="1:10" x14ac:dyDescent="0.25">
      <c r="A7953" s="5" t="s">
        <v>7987</v>
      </c>
      <c r="B7953" s="5" t="s">
        <v>9820</v>
      </c>
      <c r="C7953" s="6" t="str">
        <f>_xll.QS.CONTEXT.CREATE("market.7951",A7953,"USD","SOFR")</f>
        <v>QSObject:PricingContext:w1~market.7951:3862</v>
      </c>
      <c r="D7953" s="6" t="str">
        <f>_xll.QS.CONTEXT.ADD.CURVE(C7953,"SOFR",$K$2:$K$7,$L$2:$L$7,,,"Actual360","LogLinear",TRUE)</f>
        <v>QSObject:ContextInput:w1~input.qs_context_add_curve.2359132437744.7952.3.0:32391</v>
      </c>
      <c r="E7953" s="6" t="str">
        <f>_xll.QS.INSTRUMENT.SWAP("swap.7951",H7953,B7953,"USD","SOFR",I7953,J7953,0,"Actual360","Simple","Annual","Annual","Annual")</f>
        <v>QSObject:Swap:w1~swap.7951:3861</v>
      </c>
      <c r="F7953" s="6" t="str">
        <f>_xll.QS.TRADE.CREATE("trade.7951",E7953,A7953,"Receive")</f>
        <v>QSObject:SwapTrade:w1~trade.7951:23736</v>
      </c>
      <c r="G7953" s="3">
        <f>_xll.QS.EVALUATE(C7953,F7953)</f>
        <v>25451.593214812405</v>
      </c>
      <c r="H7953" s="5" t="s">
        <v>7994</v>
      </c>
      <c r="I7953" s="7">
        <v>1795100</v>
      </c>
      <c r="J7953" s="8">
        <v>3.5100000000000013E-2</v>
      </c>
    </row>
    <row r="7954" spans="1:10" x14ac:dyDescent="0.25">
      <c r="A7954" s="5" t="s">
        <v>7988</v>
      </c>
      <c r="B7954" s="5" t="s">
        <v>9821</v>
      </c>
      <c r="C7954" s="6" t="str">
        <f>_xll.QS.CONTEXT.CREATE("market.7952",A7954,"USD","SOFR")</f>
        <v>QSObject:PricingContext:w1~market.7952:3860</v>
      </c>
      <c r="D7954" s="6" t="str">
        <f>_xll.QS.CONTEXT.ADD.CURVE(C7954,"SOFR",$K$2:$K$7,$L$2:$L$7,,,"Actual360","LogLinear",TRUE)</f>
        <v>QSObject:ContextInput:w1~input.qs_context_add_curve.2359132437744.7953.3.0:32390</v>
      </c>
      <c r="E7954" s="6" t="str">
        <f>_xll.QS.INSTRUMENT.SWAP("swap.7952",H7954,B7954,"USD","SOFR",I7954,J7954,0,"Actual360","Simple","Annual","Annual","Annual")</f>
        <v>QSObject:Swap:w1~swap.7952:3859</v>
      </c>
      <c r="F7954" s="6" t="str">
        <f>_xll.QS.TRADE.CREATE("trade.7952",E7954,A7954,"Receive")</f>
        <v>QSObject:SwapTrade:w1~trade.7952:23735</v>
      </c>
      <c r="G7954" s="3">
        <f>_xll.QS.EVALUATE(C7954,F7954)</f>
        <v>26282.791700263289</v>
      </c>
      <c r="H7954" s="5" t="s">
        <v>7995</v>
      </c>
      <c r="I7954" s="7">
        <v>1795200</v>
      </c>
      <c r="J7954" s="8">
        <v>3.5200000000000002E-2</v>
      </c>
    </row>
    <row r="7955" spans="1:10" x14ac:dyDescent="0.25">
      <c r="A7955" s="5" t="s">
        <v>7989</v>
      </c>
      <c r="B7955" s="5" t="s">
        <v>9822</v>
      </c>
      <c r="C7955" s="6" t="str">
        <f>_xll.QS.CONTEXT.CREATE("market.7953",A7955,"USD","SOFR")</f>
        <v>QSObject:PricingContext:w1~market.7953:3858</v>
      </c>
      <c r="D7955" s="6" t="str">
        <f>_xll.QS.CONTEXT.ADD.CURVE(C7955,"SOFR",$K$2:$K$7,$L$2:$L$7,,,"Actual360","LogLinear",TRUE)</f>
        <v>QSObject:ContextInput:w1~input.qs_context_add_curve.2359132437744.7954.3.0:32389</v>
      </c>
      <c r="E7955" s="6" t="str">
        <f>_xll.QS.INSTRUMENT.SWAP("swap.7953",H7955,B7955,"USD","SOFR",I7955,J7955,0,"Actual360","Simple","Annual","Annual","Annual")</f>
        <v>QSObject:Swap:w1~swap.7953:3857</v>
      </c>
      <c r="F7955" s="6" t="str">
        <f>_xll.QS.TRADE.CREATE("trade.7953",E7955,A7955,"Receive")</f>
        <v>QSObject:SwapTrade:w1~trade.7953:23734</v>
      </c>
      <c r="G7955" s="3">
        <f>_xll.QS.EVALUATE(C7955,F7955)</f>
        <v>27243.359599908406</v>
      </c>
      <c r="H7955" s="5" t="s">
        <v>7996</v>
      </c>
      <c r="I7955" s="7">
        <v>1795300</v>
      </c>
      <c r="J7955" s="8">
        <v>3.5299999999999998E-2</v>
      </c>
    </row>
    <row r="7956" spans="1:10" x14ac:dyDescent="0.25">
      <c r="A7956" s="5" t="s">
        <v>7990</v>
      </c>
      <c r="B7956" s="5" t="s">
        <v>9823</v>
      </c>
      <c r="C7956" s="6" t="str">
        <f>_xll.QS.CONTEXT.CREATE("market.7954",A7956,"USD","SOFR")</f>
        <v>QSObject:PricingContext:w1~market.7954:3856</v>
      </c>
      <c r="D7956" s="6" t="str">
        <f>_xll.QS.CONTEXT.ADD.CURVE(C7956,"SOFR",$K$2:$K$7,$L$2:$L$7,,,"Actual360","LogLinear",TRUE)</f>
        <v>QSObject:ContextInput:w1~input.qs_context_add_curve.2359132437744.7955.3.0:32388</v>
      </c>
      <c r="E7956" s="6" t="str">
        <f>_xll.QS.INSTRUMENT.SWAP("swap.7954",H7956,B7956,"USD","SOFR",I7956,J7956,0,"Actual360","Simple","Annual","Annual","Annual")</f>
        <v>QSObject:Swap:w1~swap.7954:3855</v>
      </c>
      <c r="F7956" s="6" t="str">
        <f>_xll.QS.TRADE.CREATE("trade.7954",E7956,A7956,"Receive")</f>
        <v>QSObject:SwapTrade:w1~trade.7954:23733</v>
      </c>
      <c r="G7956" s="3">
        <f>_xll.QS.EVALUATE(C7956,F7956)</f>
        <v>28072.906898630441</v>
      </c>
      <c r="H7956" s="5" t="s">
        <v>7997</v>
      </c>
      <c r="I7956" s="7">
        <v>1795400</v>
      </c>
      <c r="J7956" s="8">
        <v>3.5400000000000001E-2</v>
      </c>
    </row>
    <row r="7957" spans="1:10" x14ac:dyDescent="0.25">
      <c r="A7957" s="5" t="s">
        <v>7991</v>
      </c>
      <c r="B7957" s="5" t="s">
        <v>9824</v>
      </c>
      <c r="C7957" s="6" t="str">
        <f>_xll.QS.CONTEXT.CREATE("market.7955",A7957,"USD","SOFR")</f>
        <v>QSObject:PricingContext:w1~market.7955:3854</v>
      </c>
      <c r="D7957" s="6" t="str">
        <f>_xll.QS.CONTEXT.ADD.CURVE(C7957,"SOFR",$K$2:$K$7,$L$2:$L$7,,,"Actual360","LogLinear",TRUE)</f>
        <v>QSObject:ContextInput:w1~input.qs_context_add_curve.2359132437744.7956.3.0:32387</v>
      </c>
      <c r="E7957" s="6" t="str">
        <f>_xll.QS.INSTRUMENT.SWAP("swap.7955",H7957,B7957,"USD","SOFR",I7957,J7957,0,"Actual360","Simple","Annual","Annual","Annual")</f>
        <v>QSObject:Swap:w1~swap.7955:3853</v>
      </c>
      <c r="F7957" s="6" t="str">
        <f>_xll.QS.TRADE.CREATE("trade.7955",E7957,A7957,"Receive")</f>
        <v>QSObject:SwapTrade:w1~trade.7955:23732</v>
      </c>
      <c r="G7957" s="3">
        <f>_xll.QS.EVALUATE(C7957,F7957)</f>
        <v>28912.352762668124</v>
      </c>
      <c r="H7957" s="5" t="s">
        <v>7998</v>
      </c>
      <c r="I7957" s="7">
        <v>1795500</v>
      </c>
      <c r="J7957" s="8">
        <v>3.5499999999999997E-2</v>
      </c>
    </row>
    <row r="7958" spans="1:10" x14ac:dyDescent="0.25">
      <c r="A7958" s="5" t="s">
        <v>7992</v>
      </c>
      <c r="B7958" s="5" t="s">
        <v>9825</v>
      </c>
      <c r="C7958" s="6" t="str">
        <f>_xll.QS.CONTEXT.CREATE("market.7956",A7958,"USD","SOFR")</f>
        <v>QSObject:PricingContext:w1~market.7956:3852</v>
      </c>
      <c r="D7958" s="6" t="str">
        <f>_xll.QS.CONTEXT.ADD.CURVE(C7958,"SOFR",$K$2:$K$7,$L$2:$L$7,,,"Actual360","LogLinear",TRUE)</f>
        <v>QSObject:ContextInput:w1~input.qs_context_add_curve.2359132437744.7957.3.0:32386</v>
      </c>
      <c r="E7958" s="6" t="str">
        <f>_xll.QS.INSTRUMENT.SWAP("swap.7956",H7958,B7958,"USD","SOFR",I7958,J7958,0,"Actual360","Simple","Annual","Annual","Annual")</f>
        <v>QSObject:Swap:w1~swap.7956:3851</v>
      </c>
      <c r="F7958" s="6" t="str">
        <f>_xll.QS.TRADE.CREATE("trade.7956",E7958,A7958,"Receive")</f>
        <v>QSObject:SwapTrade:w1~trade.7956:23731</v>
      </c>
      <c r="G7958" s="3">
        <f>_xll.QS.EVALUATE(C7958,F7958)</f>
        <v>29743.842022373959</v>
      </c>
      <c r="H7958" s="5" t="s">
        <v>7999</v>
      </c>
      <c r="I7958" s="7">
        <v>1795600</v>
      </c>
      <c r="J7958" s="8">
        <v>3.5600000000000007E-2</v>
      </c>
    </row>
    <row r="7959" spans="1:10" x14ac:dyDescent="0.25">
      <c r="A7959" s="5" t="s">
        <v>7993</v>
      </c>
      <c r="B7959" s="5" t="s">
        <v>9826</v>
      </c>
      <c r="C7959" s="6" t="str">
        <f>_xll.QS.CONTEXT.CREATE("market.7957",A7959,"USD","SOFR")</f>
        <v>QSObject:PricingContext:w1~market.7957:3850</v>
      </c>
      <c r="D7959" s="6" t="str">
        <f>_xll.QS.CONTEXT.ADD.CURVE(C7959,"SOFR",$K$2:$K$7,$L$2:$L$7,,,"Actual360","LogLinear",TRUE)</f>
        <v>QSObject:ContextInput:w1~input.qs_context_add_curve.2359132437744.7958.3.0:32385</v>
      </c>
      <c r="E7959" s="6" t="str">
        <f>_xll.QS.INSTRUMENT.SWAP("swap.7957",H7959,B7959,"USD","SOFR",I7959,J7959,0,"Actual360","Simple","Annual","Annual","Annual")</f>
        <v>QSObject:Swap:w1~swap.7957:3849</v>
      </c>
      <c r="F7959" s="6" t="str">
        <f>_xll.QS.TRADE.CREATE("trade.7957",E7959,A7959,"Receive")</f>
        <v>QSObject:SwapTrade:w1~trade.7957:23730</v>
      </c>
      <c r="G7959" s="3">
        <f>_xll.QS.EVALUATE(C7959,F7959)</f>
        <v>30355.881515336449</v>
      </c>
      <c r="H7959" s="5" t="s">
        <v>8000</v>
      </c>
      <c r="I7959" s="7">
        <v>1795700</v>
      </c>
      <c r="J7959" s="8">
        <v>3.5700000000000003E-2</v>
      </c>
    </row>
    <row r="7960" spans="1:10" x14ac:dyDescent="0.25">
      <c r="A7960" s="5" t="s">
        <v>7994</v>
      </c>
      <c r="B7960" s="5" t="s">
        <v>9827</v>
      </c>
      <c r="C7960" s="6" t="str">
        <f>_xll.QS.CONTEXT.CREATE("market.7958",A7960,"USD","SOFR")</f>
        <v>QSObject:PricingContext:w1~market.7958:3848</v>
      </c>
      <c r="D7960" s="6" t="str">
        <f>_xll.QS.CONTEXT.ADD.CURVE(C7960,"SOFR",$K$2:$K$7,$L$2:$L$7,,,"Actual360","LogLinear",TRUE)</f>
        <v>QSObject:ContextInput:w1~input.qs_context_add_curve.2359132437744.7959.3.0:32384</v>
      </c>
      <c r="E7960" s="6" t="str">
        <f>_xll.QS.INSTRUMENT.SWAP("swap.7958",H7960,B7960,"USD","SOFR",I7960,J7960,0,"Actual360","Simple","Annual","Annual","Annual")</f>
        <v>QSObject:Swap:w1~swap.7958:3847</v>
      </c>
      <c r="F7960" s="6" t="str">
        <f>_xll.QS.TRADE.CREATE("trade.7958",E7960,A7960,"Receive")</f>
        <v>QSObject:SwapTrade:w1~trade.7958:23729</v>
      </c>
      <c r="G7960" s="3">
        <f>_xll.QS.EVALUATE(C7960,F7960)</f>
        <v>31188.306685518532</v>
      </c>
      <c r="H7960" s="5" t="s">
        <v>8001</v>
      </c>
      <c r="I7960" s="7">
        <v>1795800</v>
      </c>
      <c r="J7960" s="8">
        <v>3.5800000000000012E-2</v>
      </c>
    </row>
    <row r="7961" spans="1:10" x14ac:dyDescent="0.25">
      <c r="A7961" s="5" t="s">
        <v>7995</v>
      </c>
      <c r="B7961" s="5" t="s">
        <v>9828</v>
      </c>
      <c r="C7961" s="6" t="str">
        <f>_xll.QS.CONTEXT.CREATE("market.7959",A7961,"USD","SOFR")</f>
        <v>QSObject:PricingContext:w1~market.7959:3846</v>
      </c>
      <c r="D7961" s="6" t="str">
        <f>_xll.QS.CONTEXT.ADD.CURVE(C7961,"SOFR",$K$2:$K$7,$L$2:$L$7,,,"Actual360","LogLinear",TRUE)</f>
        <v>QSObject:ContextInput:w1~input.qs_context_add_curve.2359132437744.7960.3.0:32383</v>
      </c>
      <c r="E7961" s="6" t="str">
        <f>_xll.QS.INSTRUMENT.SWAP("swap.7959",H7961,B7961,"USD","SOFR",I7961,J7961,0,"Actual360","Simple","Annual","Annual","Annual")</f>
        <v>QSObject:Swap:w1~swap.7959:3845</v>
      </c>
      <c r="F7961" s="6" t="str">
        <f>_xll.QS.TRADE.CREATE("trade.7959",E7961,A7961,"Receive")</f>
        <v>QSObject:SwapTrade:w1~trade.7959:23728</v>
      </c>
      <c r="G7961" s="3">
        <f>_xll.QS.EVALUATE(C7961,F7961)</f>
        <v>32092.696983084294</v>
      </c>
      <c r="H7961" s="5" t="s">
        <v>8002</v>
      </c>
      <c r="I7961" s="7">
        <v>1795900</v>
      </c>
      <c r="J7961" s="8">
        <v>3.5900000000000001E-2</v>
      </c>
    </row>
    <row r="7962" spans="1:10" x14ac:dyDescent="0.25">
      <c r="A7962" s="5" t="s">
        <v>7996</v>
      </c>
      <c r="B7962" s="5" t="s">
        <v>9829</v>
      </c>
      <c r="C7962" s="6" t="str">
        <f>_xll.QS.CONTEXT.CREATE("market.7960",A7962,"USD","SOFR")</f>
        <v>QSObject:PricingContext:w1~market.7960:3844</v>
      </c>
      <c r="D7962" s="6" t="str">
        <f>_xll.QS.CONTEXT.ADD.CURVE(C7962,"SOFR",$K$2:$K$7,$L$2:$L$7,,,"Actual360","LogLinear",TRUE)</f>
        <v>QSObject:ContextInput:w1~input.qs_context_add_curve.2359132437744.7961.3.0:32382</v>
      </c>
      <c r="E7962" s="6" t="str">
        <f>_xll.QS.INSTRUMENT.SWAP("swap.7960",H7962,B7962,"USD","SOFR",I7962,J7962,0,"Actual360","Simple","Annual","Annual","Annual")</f>
        <v>QSObject:Swap:w1~swap.7960:3843</v>
      </c>
      <c r="F7962" s="6" t="str">
        <f>_xll.QS.TRADE.CREATE("trade.7960",E7962,A7962,"Receive")</f>
        <v>QSObject:SwapTrade:w1~trade.7960:23727</v>
      </c>
      <c r="G7962" s="3">
        <f>_xll.QS.EVALUATE(C7962,F7962)</f>
        <v>33054.150781469456</v>
      </c>
      <c r="H7962" s="5" t="s">
        <v>8003</v>
      </c>
      <c r="I7962" s="7">
        <v>1796000</v>
      </c>
      <c r="J7962" s="8">
        <v>3.5999999999999997E-2</v>
      </c>
    </row>
    <row r="7963" spans="1:10" x14ac:dyDescent="0.25">
      <c r="A7963" s="5" t="s">
        <v>7997</v>
      </c>
      <c r="B7963" s="5" t="s">
        <v>9830</v>
      </c>
      <c r="C7963" s="6" t="str">
        <f>_xll.QS.CONTEXT.CREATE("market.7961",A7963,"USD","SOFR")</f>
        <v>QSObject:PricingContext:w1~market.7961:3842</v>
      </c>
      <c r="D7963" s="6" t="str">
        <f>_xll.QS.CONTEXT.ADD.CURVE(C7963,"SOFR",$K$2:$K$7,$L$2:$L$7,,,"Actual360","LogLinear",TRUE)</f>
        <v>QSObject:ContextInput:w1~input.qs_context_add_curve.2359132437744.7962.3.0:32381</v>
      </c>
      <c r="E7963" s="6" t="str">
        <f>_xll.QS.INSTRUMENT.SWAP("swap.7961",H7963,B7963,"USD","SOFR",I7963,J7963,0,"Actual360","Simple","Annual","Annual","Annual")</f>
        <v>QSObject:Swap:w1~swap.7961:3841</v>
      </c>
      <c r="F7963" s="6" t="str">
        <f>_xll.QS.TRADE.CREATE("trade.7961",E7963,A7963,"Receive")</f>
        <v>QSObject:SwapTrade:w1~trade.7961:23726</v>
      </c>
      <c r="G7963" s="3">
        <f>_xll.QS.EVALUATE(C7963,F7963)</f>
        <v>33884.405164381955</v>
      </c>
      <c r="H7963" s="5" t="s">
        <v>8004</v>
      </c>
      <c r="I7963" s="7">
        <v>1796100</v>
      </c>
      <c r="J7963" s="8">
        <v>3.61E-2</v>
      </c>
    </row>
    <row r="7964" spans="1:10" x14ac:dyDescent="0.25">
      <c r="A7964" s="5" t="s">
        <v>7998</v>
      </c>
      <c r="B7964" s="5" t="s">
        <v>9831</v>
      </c>
      <c r="C7964" s="6" t="str">
        <f>_xll.QS.CONTEXT.CREATE("market.7962",A7964,"USD","SOFR")</f>
        <v>QSObject:PricingContext:w1~market.7962:3840</v>
      </c>
      <c r="D7964" s="6" t="str">
        <f>_xll.QS.CONTEXT.ADD.CURVE(C7964,"SOFR",$K$2:$K$7,$L$2:$L$7,,,"Actual360","LogLinear",TRUE)</f>
        <v>QSObject:ContextInput:w1~input.qs_context_add_curve.2359132437744.7963.3.0:32380</v>
      </c>
      <c r="E7964" s="6" t="str">
        <f>_xll.QS.INSTRUMENT.SWAP("swap.7962",H7964,B7964,"USD","SOFR",I7964,J7964,0,"Actual360","Simple","Annual","Annual","Annual")</f>
        <v>QSObject:Swap:w1~swap.7962:3839</v>
      </c>
      <c r="F7964" s="6" t="str">
        <f>_xll.QS.TRADE.CREATE("trade.7962",E7964,A7964,"Receive")</f>
        <v>QSObject:SwapTrade:w1~trade.7962:23725</v>
      </c>
      <c r="G7964" s="3">
        <f>_xll.QS.EVALUATE(C7964,F7964)</f>
        <v>34724.60023611629</v>
      </c>
      <c r="H7964" s="5" t="s">
        <v>8005</v>
      </c>
      <c r="I7964" s="7">
        <v>1796200</v>
      </c>
      <c r="J7964" s="8">
        <v>3.6200000000000003E-2</v>
      </c>
    </row>
    <row r="7965" spans="1:10" x14ac:dyDescent="0.25">
      <c r="A7965" s="5" t="s">
        <v>7999</v>
      </c>
      <c r="B7965" s="5" t="s">
        <v>9832</v>
      </c>
      <c r="C7965" s="6" t="str">
        <f>_xll.QS.CONTEXT.CREATE("market.7963",A7965,"USD","SOFR")</f>
        <v>QSObject:PricingContext:w1~market.7963:3838</v>
      </c>
      <c r="D7965" s="6" t="str">
        <f>_xll.QS.CONTEXT.ADD.CURVE(C7965,"SOFR",$K$2:$K$7,$L$2:$L$7,,,"Actual360","LogLinear",TRUE)</f>
        <v>QSObject:ContextInput:w1~input.qs_context_add_curve.2359132437744.7964.3.0:32379</v>
      </c>
      <c r="E7965" s="6" t="str">
        <f>_xll.QS.INSTRUMENT.SWAP("swap.7963",H7965,B7965,"USD","SOFR",I7965,J7965,0,"Actual360","Simple","Annual","Annual","Annual")</f>
        <v>QSObject:Swap:w1~swap.7963:3837</v>
      </c>
      <c r="F7965" s="6" t="str">
        <f>_xll.QS.TRADE.CREATE("trade.7963",E7965,A7965,"Receive")</f>
        <v>QSObject:SwapTrade:w1~trade.7963:23724</v>
      </c>
      <c r="G7965" s="3">
        <f>_xll.QS.EVALUATE(C7965,F7965)</f>
        <v>35556.758057898107</v>
      </c>
      <c r="H7965" s="5" t="s">
        <v>8006</v>
      </c>
      <c r="I7965" s="7">
        <v>1796300</v>
      </c>
      <c r="J7965" s="8">
        <v>3.6300000000000013E-2</v>
      </c>
    </row>
    <row r="7966" spans="1:10" x14ac:dyDescent="0.25">
      <c r="A7966" s="5" t="s">
        <v>8000</v>
      </c>
      <c r="B7966" s="5" t="s">
        <v>9833</v>
      </c>
      <c r="C7966" s="6" t="str">
        <f>_xll.QS.CONTEXT.CREATE("market.7964",A7966,"USD","SOFR")</f>
        <v>QSObject:PricingContext:w1~market.7964:3836</v>
      </c>
      <c r="D7966" s="6" t="str">
        <f>_xll.QS.CONTEXT.ADD.CURVE(C7966,"SOFR",$K$2:$K$7,$L$2:$L$7,,,"Actual360","LogLinear",TRUE)</f>
        <v>QSObject:ContextInput:w1~input.qs_context_add_curve.2359132437744.7965.3.0:32378</v>
      </c>
      <c r="E7966" s="6" t="str">
        <f>_xll.QS.INSTRUMENT.SWAP("swap.7964",H7966,B7966,"USD","SOFR",I7966,J7966,0,"Actual360","Simple","Annual","Annual","Annual")</f>
        <v>QSObject:Swap:w1~swap.7964:3835</v>
      </c>
      <c r="F7966" s="6" t="str">
        <f>_xll.QS.TRADE.CREATE("trade.7964",E7966,A7966,"Receive")</f>
        <v>QSObject:SwapTrade:w1~trade.7964:23723</v>
      </c>
      <c r="G7966" s="3">
        <f>_xll.QS.EVALUATE(C7966,F7966)</f>
        <v>36168.191524705493</v>
      </c>
      <c r="H7966" s="5" t="s">
        <v>8007</v>
      </c>
      <c r="I7966" s="7">
        <v>1796400</v>
      </c>
      <c r="J7966" s="8">
        <v>3.6400000000000002E-2</v>
      </c>
    </row>
    <row r="7967" spans="1:10" x14ac:dyDescent="0.25">
      <c r="A7967" s="5" t="s">
        <v>8001</v>
      </c>
      <c r="B7967" s="5" t="s">
        <v>9834</v>
      </c>
      <c r="C7967" s="6" t="str">
        <f>_xll.QS.CONTEXT.CREATE("market.7965",A7967,"USD","SOFR")</f>
        <v>QSObject:PricingContext:w1~market.7965:3834</v>
      </c>
      <c r="D7967" s="6" t="str">
        <f>_xll.QS.CONTEXT.ADD.CURVE(C7967,"SOFR",$K$2:$K$7,$L$2:$L$7,,,"Actual360","LogLinear",TRUE)</f>
        <v>QSObject:ContextInput:w1~input.qs_context_add_curve.2359132437744.7966.3.0:32377</v>
      </c>
      <c r="E7967" s="6" t="str">
        <f>_xll.QS.INSTRUMENT.SWAP("swap.7965",H7967,B7967,"USD","SOFR",I7967,J7967,0,"Actual360","Simple","Annual","Annual","Annual")</f>
        <v>QSObject:Swap:w1~swap.7965:3833</v>
      </c>
      <c r="F7967" s="6" t="str">
        <f>_xll.QS.TRADE.CREATE("trade.7965",E7967,A7967,"Receive")</f>
        <v>QSObject:SwapTrade:w1~trade.7965:23722</v>
      </c>
      <c r="G7967" s="3">
        <f>_xll.QS.EVALUATE(C7967,F7967)</f>
        <v>37001.638881570339</v>
      </c>
      <c r="H7967" s="5" t="s">
        <v>8008</v>
      </c>
      <c r="I7967" s="7">
        <v>1796500</v>
      </c>
      <c r="J7967" s="8">
        <v>3.6499999999999998E-2</v>
      </c>
    </row>
    <row r="7968" spans="1:10" x14ac:dyDescent="0.25">
      <c r="A7968" s="5" t="s">
        <v>8002</v>
      </c>
      <c r="B7968" s="5" t="s">
        <v>9835</v>
      </c>
      <c r="C7968" s="6" t="str">
        <f>_xll.QS.CONTEXT.CREATE("market.7966",A7968,"USD","SOFR")</f>
        <v>QSObject:PricingContext:w1~market.7966:3832</v>
      </c>
      <c r="D7968" s="6" t="str">
        <f>_xll.QS.CONTEXT.ADD.CURVE(C7968,"SOFR",$K$2:$K$7,$L$2:$L$7,,,"Actual360","LogLinear",TRUE)</f>
        <v>QSObject:ContextInput:w1~input.qs_context_add_curve.2359132437744.7967.3.0:32376</v>
      </c>
      <c r="E7968" s="6" t="str">
        <f>_xll.QS.INSTRUMENT.SWAP("swap.7966",H7968,B7968,"USD","SOFR",I7968,J7968,0,"Actual360","Simple","Annual","Annual","Annual")</f>
        <v>QSObject:Swap:w1~swap.7966:3831</v>
      </c>
      <c r="F7968" s="6" t="str">
        <f>_xll.QS.TRADE.CREATE("trade.7966",E7968,A7968,"Receive")</f>
        <v>QSObject:SwapTrade:w1~trade.7966:23721</v>
      </c>
      <c r="G7968" s="3">
        <f>_xll.QS.EVALUATE(C7968,F7968)</f>
        <v>37908.077864965438</v>
      </c>
      <c r="H7968" s="5" t="s">
        <v>8009</v>
      </c>
      <c r="I7968" s="7">
        <v>1796600</v>
      </c>
      <c r="J7968" s="8">
        <v>3.6600000000000001E-2</v>
      </c>
    </row>
    <row r="7969" spans="1:10" x14ac:dyDescent="0.25">
      <c r="A7969" s="5" t="s">
        <v>8003</v>
      </c>
      <c r="B7969" s="5" t="s">
        <v>9836</v>
      </c>
      <c r="C7969" s="6" t="str">
        <f>_xll.QS.CONTEXT.CREATE("market.7967",A7969,"USD","SOFR")</f>
        <v>QSObject:PricingContext:w1~market.7967:3830</v>
      </c>
      <c r="D7969" s="6" t="str">
        <f>_xll.QS.CONTEXT.ADD.CURVE(C7969,"SOFR",$K$2:$K$7,$L$2:$L$7,,,"Actual360","LogLinear",TRUE)</f>
        <v>QSObject:ContextInput:w1~input.qs_context_add_curve.2359132437744.7968.3.0:32375</v>
      </c>
      <c r="E7969" s="6" t="str">
        <f>_xll.QS.INSTRUMENT.SWAP("swap.7967",H7969,B7969,"USD","SOFR",I7969,J7969,0,"Actual360","Simple","Annual","Annual","Annual")</f>
        <v>QSObject:Swap:w1~swap.7967:3829</v>
      </c>
      <c r="F7969" s="6" t="str">
        <f>_xll.QS.TRADE.CREATE("trade.7967",E7969,A7969,"Receive")</f>
        <v>QSObject:SwapTrade:w1~trade.7967:23720</v>
      </c>
      <c r="G7969" s="3">
        <f>_xll.QS.EVALUATE(C7969,F7969)</f>
        <v>38870.131908189032</v>
      </c>
      <c r="H7969" s="5" t="s">
        <v>8010</v>
      </c>
      <c r="I7969" s="7">
        <v>1796700</v>
      </c>
      <c r="J7969" s="8">
        <v>3.6700000000000003E-2</v>
      </c>
    </row>
    <row r="7970" spans="1:10" x14ac:dyDescent="0.25">
      <c r="A7970" s="5" t="s">
        <v>8004</v>
      </c>
      <c r="B7970" s="5" t="s">
        <v>9837</v>
      </c>
      <c r="C7970" s="6" t="str">
        <f>_xll.QS.CONTEXT.CREATE("market.7968",A7970,"USD","SOFR")</f>
        <v>QSObject:PricingContext:w1~market.7968:3828</v>
      </c>
      <c r="D7970" s="6" t="str">
        <f>_xll.QS.CONTEXT.ADD.CURVE(C7970,"SOFR",$K$2:$K$7,$L$2:$L$7,,,"Actual360","LogLinear",TRUE)</f>
        <v>QSObject:ContextInput:w1~input.qs_context_add_curve.2359132437744.7969.3.0:32374</v>
      </c>
      <c r="E7970" s="6" t="str">
        <f>_xll.QS.INSTRUMENT.SWAP("swap.7968",H7970,B7970,"USD","SOFR",I7970,J7970,0,"Actual360","Simple","Annual","Annual","Annual")</f>
        <v>QSObject:Swap:w1~swap.7968:3827</v>
      </c>
      <c r="F7970" s="6" t="str">
        <f>_xll.QS.TRADE.CREATE("trade.7968",E7970,A7970,"Receive")</f>
        <v>QSObject:SwapTrade:w1~trade.7968:23719</v>
      </c>
      <c r="G7970" s="3">
        <f>_xll.QS.EVALUATE(C7970,F7970)</f>
        <v>39701.019609468225</v>
      </c>
      <c r="H7970" s="5" t="s">
        <v>8011</v>
      </c>
      <c r="I7970" s="7">
        <v>1796800</v>
      </c>
      <c r="J7970" s="8">
        <v>3.6800000000000013E-2</v>
      </c>
    </row>
    <row r="7971" spans="1:10" x14ac:dyDescent="0.25">
      <c r="A7971" s="5" t="s">
        <v>8005</v>
      </c>
      <c r="B7971" s="5" t="s">
        <v>9838</v>
      </c>
      <c r="C7971" s="6" t="str">
        <f>_xll.QS.CONTEXT.CREATE("market.7969",A7971,"USD","SOFR")</f>
        <v>QSObject:PricingContext:w1~market.7969:3826</v>
      </c>
      <c r="D7971" s="6" t="str">
        <f>_xll.QS.CONTEXT.ADD.CURVE(C7971,"SOFR",$K$2:$K$7,$L$2:$L$7,,,"Actual360","LogLinear",TRUE)</f>
        <v>QSObject:ContextInput:w1~input.qs_context_add_curve.2359132437744.7970.3.0:32373</v>
      </c>
      <c r="E7971" s="6" t="str">
        <f>_xll.QS.INSTRUMENT.SWAP("swap.7969",H7971,B7971,"USD","SOFR",I7971,J7971,0,"Actual360","Simple","Annual","Annual","Annual")</f>
        <v>QSObject:Swap:w1~swap.7969:3825</v>
      </c>
      <c r="F7971" s="6" t="str">
        <f>_xll.QS.TRADE.CREATE("trade.7969",E7971,A7971,"Receive")</f>
        <v>QSObject:SwapTrade:w1~trade.7969:23718</v>
      </c>
      <c r="G7971" s="3">
        <f>_xll.QS.EVALUATE(C7971,F7971)</f>
        <v>40541.092414407183</v>
      </c>
      <c r="H7971" s="5" t="s">
        <v>8012</v>
      </c>
      <c r="I7971" s="7">
        <v>1796900</v>
      </c>
      <c r="J7971" s="8">
        <v>3.6900000000000002E-2</v>
      </c>
    </row>
    <row r="7972" spans="1:10" x14ac:dyDescent="0.25">
      <c r="A7972" s="5" t="s">
        <v>8006</v>
      </c>
      <c r="B7972" s="5" t="s">
        <v>9839</v>
      </c>
      <c r="C7972" s="6" t="str">
        <f>_xll.QS.CONTEXT.CREATE("market.7970",A7972,"USD","SOFR")</f>
        <v>QSObject:PricingContext:w1~market.7970:3824</v>
      </c>
      <c r="D7972" s="6" t="str">
        <f>_xll.QS.CONTEXT.ADD.CURVE(C7972,"SOFR",$K$2:$K$7,$L$2:$L$7,,,"Actual360","LogLinear",TRUE)</f>
        <v>QSObject:ContextInput:w1~input.qs_context_add_curve.2359132437744.7971.3.0:32372</v>
      </c>
      <c r="E7972" s="6" t="str">
        <f>_xll.QS.INSTRUMENT.SWAP("swap.7970",H7972,B7972,"USD","SOFR",I7972,J7972,0,"Actual360","Simple","Annual","Annual","Annual")</f>
        <v>QSObject:Swap:w1~swap.7970:3823</v>
      </c>
      <c r="F7972" s="6" t="str">
        <f>_xll.QS.TRADE.CREATE("trade.7970",E7972,A7972,"Receive")</f>
        <v>QSObject:SwapTrade:w1~trade.7970:23717</v>
      </c>
      <c r="G7972" s="3">
        <f>_xll.QS.EVALUATE(C7972,F7972)</f>
        <v>41374.195525754221</v>
      </c>
      <c r="H7972" s="5" t="s">
        <v>8013</v>
      </c>
      <c r="I7972" s="7">
        <v>1797000</v>
      </c>
      <c r="J7972" s="8">
        <v>3.7000000000000012E-2</v>
      </c>
    </row>
    <row r="7973" spans="1:10" x14ac:dyDescent="0.25">
      <c r="A7973" s="5" t="s">
        <v>8007</v>
      </c>
      <c r="B7973" s="5" t="s">
        <v>9840</v>
      </c>
      <c r="C7973" s="6" t="str">
        <f>_xll.QS.CONTEXT.CREATE("market.7971",A7973,"USD","SOFR")</f>
        <v>QSObject:PricingContext:w1~market.7971:3822</v>
      </c>
      <c r="D7973" s="6" t="str">
        <f>_xll.QS.CONTEXT.ADD.CURVE(C7973,"SOFR",$K$2:$K$7,$L$2:$L$7,,,"Actual360","LogLinear",TRUE)</f>
        <v>QSObject:ContextInput:w1~input.qs_context_add_curve.2359132437744.7972.3.0:32371</v>
      </c>
      <c r="E7973" s="6" t="str">
        <f>_xll.QS.INSTRUMENT.SWAP("swap.7971",H7973,B7973,"USD","SOFR",I7973,J7973,0,"Actual360","Simple","Annual","Annual","Annual")</f>
        <v>QSObject:Swap:w1~swap.7971:3821</v>
      </c>
      <c r="F7973" s="6" t="str">
        <f>_xll.QS.TRADE.CREATE("trade.7971",E7973,A7973,"Receive")</f>
        <v>QSObject:SwapTrade:w1~trade.7971:23716</v>
      </c>
      <c r="G7973" s="3">
        <f>_xll.QS.EVALUATE(C7973,F7973)</f>
        <v>41985.022056979091</v>
      </c>
      <c r="H7973" s="5" t="s">
        <v>8014</v>
      </c>
      <c r="I7973" s="7">
        <v>1797100</v>
      </c>
      <c r="J7973" s="8">
        <v>3.7100000000000001E-2</v>
      </c>
    </row>
    <row r="7974" spans="1:10" x14ac:dyDescent="0.25">
      <c r="A7974" s="5" t="s">
        <v>8008</v>
      </c>
      <c r="B7974" s="5" t="s">
        <v>9841</v>
      </c>
      <c r="C7974" s="6" t="str">
        <f>_xll.QS.CONTEXT.CREATE("market.7972",A7974,"USD","SOFR")</f>
        <v>QSObject:PricingContext:w1~market.7972:3820</v>
      </c>
      <c r="D7974" s="6" t="str">
        <f>_xll.QS.CONTEXT.ADD.CURVE(C7974,"SOFR",$K$2:$K$7,$L$2:$L$7,,,"Actual360","LogLinear",TRUE)</f>
        <v>QSObject:ContextInput:w1~input.qs_context_add_curve.2359132437744.7973.3.0:32370</v>
      </c>
      <c r="E7974" s="6" t="str">
        <f>_xll.QS.INSTRUMENT.SWAP("swap.7972",H7974,B7974,"USD","SOFR",I7974,J7974,0,"Actual360","Simple","Annual","Annual","Annual")</f>
        <v>QSObject:Swap:w1~swap.7972:3819</v>
      </c>
      <c r="F7974" s="6" t="str">
        <f>_xll.QS.TRADE.CREATE("trade.7972",E7974,A7974,"Receive")</f>
        <v>QSObject:SwapTrade:w1~trade.7972:23715</v>
      </c>
      <c r="G7974" s="3">
        <f>_xll.QS.EVALUATE(C7974,F7974)</f>
        <v>42819.71403370794</v>
      </c>
      <c r="H7974" s="5" t="s">
        <v>8015</v>
      </c>
      <c r="I7974" s="7">
        <v>1797200</v>
      </c>
      <c r="J7974" s="8">
        <v>3.7199999999999997E-2</v>
      </c>
    </row>
    <row r="7975" spans="1:10" x14ac:dyDescent="0.25">
      <c r="A7975" s="5" t="s">
        <v>8009</v>
      </c>
      <c r="B7975" s="5" t="s">
        <v>9842</v>
      </c>
      <c r="C7975" s="6" t="str">
        <f>_xll.QS.CONTEXT.CREATE("market.7973",A7975,"USD","SOFR")</f>
        <v>QSObject:PricingContext:w1~market.7973:3818</v>
      </c>
      <c r="D7975" s="6" t="str">
        <f>_xll.QS.CONTEXT.ADD.CURVE(C7975,"SOFR",$K$2:$K$7,$L$2:$L$7,,,"Actual360","LogLinear",TRUE)</f>
        <v>QSObject:ContextInput:w1~input.qs_context_add_curve.2359132437744.7974.3.0:32369</v>
      </c>
      <c r="E7975" s="6" t="str">
        <f>_xll.QS.INSTRUMENT.SWAP("swap.7973",H7975,B7975,"USD","SOFR",I7975,J7975,0,"Actual360","Simple","Annual","Annual","Annual")</f>
        <v>QSObject:Swap:w1~swap.7973:3817</v>
      </c>
      <c r="F7975" s="6" t="str">
        <f>_xll.QS.TRADE.CREATE("trade.7973",E7975,A7975,"Receive")</f>
        <v>QSObject:SwapTrade:w1~trade.7973:23714</v>
      </c>
      <c r="G7975" s="3">
        <f>_xll.QS.EVALUATE(C7975,F7975)</f>
        <v>43726.589407269559</v>
      </c>
      <c r="H7975" s="5" t="s">
        <v>8016</v>
      </c>
      <c r="I7975" s="7">
        <v>1797300</v>
      </c>
      <c r="J7975" s="8">
        <v>3.73E-2</v>
      </c>
    </row>
    <row r="7976" spans="1:10" x14ac:dyDescent="0.25">
      <c r="A7976" s="5" t="s">
        <v>8010</v>
      </c>
      <c r="B7976" s="5" t="s">
        <v>9843</v>
      </c>
      <c r="C7976" s="6" t="str">
        <f>_xll.QS.CONTEXT.CREATE("market.7974",A7976,"USD","SOFR")</f>
        <v>QSObject:PricingContext:w1~market.7974:3816</v>
      </c>
      <c r="D7976" s="6" t="str">
        <f>_xll.QS.CONTEXT.ADD.CURVE(C7976,"SOFR",$K$2:$K$7,$L$2:$L$7,,,"Actual360","LogLinear",TRUE)</f>
        <v>QSObject:ContextInput:w1~input.qs_context_add_curve.2359132437744.7975.3.0:32368</v>
      </c>
      <c r="E7976" s="6" t="str">
        <f>_xll.QS.INSTRUMENT.SWAP("swap.7974",H7976,B7976,"USD","SOFR",I7976,J7976,0,"Actual360","Simple","Annual","Annual","Annual")</f>
        <v>QSObject:Swap:w1~swap.7974:3815</v>
      </c>
      <c r="F7976" s="6" t="str">
        <f>_xll.QS.TRADE.CREATE("trade.7974",E7976,A7976,"Receive")</f>
        <v>QSObject:SwapTrade:w1~trade.7974:23713</v>
      </c>
      <c r="G7976" s="3">
        <f>_xll.QS.EVALUATE(C7976,F7976)</f>
        <v>44689.609525747532</v>
      </c>
      <c r="H7976" s="5" t="s">
        <v>8017</v>
      </c>
      <c r="I7976" s="7">
        <v>1797400</v>
      </c>
      <c r="J7976" s="8">
        <v>3.7400000000000003E-2</v>
      </c>
    </row>
    <row r="7977" spans="1:10" x14ac:dyDescent="0.25">
      <c r="A7977" s="5" t="s">
        <v>8011</v>
      </c>
      <c r="B7977" s="5" t="s">
        <v>9844</v>
      </c>
      <c r="C7977" s="6" t="str">
        <f>_xll.QS.CONTEXT.CREATE("market.7975",A7977,"USD","SOFR")</f>
        <v>QSObject:PricingContext:w1~market.7975:3814</v>
      </c>
      <c r="D7977" s="6" t="str">
        <f>_xll.QS.CONTEXT.ADD.CURVE(C7977,"SOFR",$K$2:$K$7,$L$2:$L$7,,,"Actual360","LogLinear",TRUE)</f>
        <v>QSObject:ContextInput:w1~input.qs_context_add_curve.2359132437744.7976.3.0:32367</v>
      </c>
      <c r="E7977" s="6" t="str">
        <f>_xll.QS.INSTRUMENT.SWAP("swap.7975",H7977,B7977,"USD","SOFR",I7977,J7977,0,"Actual360","Simple","Annual","Annual","Annual")</f>
        <v>QSObject:Swap:w1~swap.7975:3813</v>
      </c>
      <c r="F7977" s="6" t="str">
        <f>_xll.QS.TRADE.CREATE("trade.7975",E7977,A7977,"Receive")</f>
        <v>QSObject:SwapTrade:w1~trade.7975:23712</v>
      </c>
      <c r="G7977" s="3">
        <f>_xll.QS.EVALUATE(C7977,F7977)</f>
        <v>45520.983493333399</v>
      </c>
      <c r="H7977" s="5" t="s">
        <v>8018</v>
      </c>
      <c r="I7977" s="7">
        <v>1797500</v>
      </c>
      <c r="J7977" s="8">
        <v>3.7500000000000012E-2</v>
      </c>
    </row>
    <row r="7978" spans="1:10" x14ac:dyDescent="0.25">
      <c r="A7978" s="5" t="s">
        <v>8012</v>
      </c>
      <c r="B7978" s="5" t="s">
        <v>9845</v>
      </c>
      <c r="C7978" s="6" t="str">
        <f>_xll.QS.CONTEXT.CREATE("market.7976",A7978,"USD","SOFR")</f>
        <v>QSObject:PricingContext:w1~market.7976:3812</v>
      </c>
      <c r="D7978" s="6" t="str">
        <f>_xll.QS.CONTEXT.ADD.CURVE(C7978,"SOFR",$K$2:$K$7,$L$2:$L$7,,,"Actual360","LogLinear",TRUE)</f>
        <v>QSObject:ContextInput:w1~input.qs_context_add_curve.2359132437744.7977.3.0:32366</v>
      </c>
      <c r="E7978" s="6" t="str">
        <f>_xll.QS.INSTRUMENT.SWAP("swap.7976",H7978,B7978,"USD","SOFR",I7978,J7978,0,"Actual360","Simple","Annual","Annual","Annual")</f>
        <v>QSObject:Swap:w1~swap.7976:3811</v>
      </c>
      <c r="F7978" s="6" t="str">
        <f>_xll.QS.TRADE.CREATE("trade.7976",E7978,A7978,"Receive")</f>
        <v>QSObject:SwapTrade:w1~trade.7976:23711</v>
      </c>
      <c r="G7978" s="3">
        <f>_xll.QS.EVALUATE(C7978,F7978)</f>
        <v>46362.032043675252</v>
      </c>
      <c r="H7978" s="5" t="s">
        <v>8019</v>
      </c>
      <c r="I7978" s="7">
        <v>1797600</v>
      </c>
      <c r="J7978" s="8">
        <v>3.7600000000000001E-2</v>
      </c>
    </row>
    <row r="7979" spans="1:10" x14ac:dyDescent="0.25">
      <c r="A7979" s="5" t="s">
        <v>8013</v>
      </c>
      <c r="B7979" s="5" t="s">
        <v>9846</v>
      </c>
      <c r="C7979" s="6" t="str">
        <f>_xll.QS.CONTEXT.CREATE("market.7977",A7979,"USD","SOFR")</f>
        <v>QSObject:PricingContext:w1~market.7977:3810</v>
      </c>
      <c r="D7979" s="6" t="str">
        <f>_xll.QS.CONTEXT.ADD.CURVE(C7979,"SOFR",$K$2:$K$7,$L$2:$L$7,,,"Actual360","LogLinear",TRUE)</f>
        <v>QSObject:ContextInput:w1~input.qs_context_add_curve.2359132437744.7978.3.0:32365</v>
      </c>
      <c r="E7979" s="6" t="str">
        <f>_xll.QS.INSTRUMENT.SWAP("swap.7977",H7979,B7979,"USD","SOFR",I7979,J7979,0,"Actual360","Simple","Annual","Annual","Annual")</f>
        <v>QSObject:Swap:w1~swap.7977:3809</v>
      </c>
      <c r="F7979" s="6" t="str">
        <f>_xll.QS.TRADE.CREATE("trade.7977",E7979,A7979,"Receive")</f>
        <v>QSObject:SwapTrade:w1~trade.7977:23710</v>
      </c>
      <c r="G7979" s="3">
        <f>_xll.QS.EVALUATE(C7979,F7979)</f>
        <v>46970.732074067208</v>
      </c>
      <c r="H7979" s="5" t="s">
        <v>8020</v>
      </c>
      <c r="I7979" s="7">
        <v>1797700</v>
      </c>
      <c r="J7979" s="8">
        <v>3.7699999999999997E-2</v>
      </c>
    </row>
    <row r="7980" spans="1:10" x14ac:dyDescent="0.25">
      <c r="A7980" s="5" t="s">
        <v>8014</v>
      </c>
      <c r="B7980" s="5" t="s">
        <v>9847</v>
      </c>
      <c r="C7980" s="6" t="str">
        <f>_xll.QS.CONTEXT.CREATE("market.7978",A7980,"USD","SOFR")</f>
        <v>QSObject:PricingContext:w1~market.7978:3808</v>
      </c>
      <c r="D7980" s="6" t="str">
        <f>_xll.QS.CONTEXT.ADD.CURVE(C7980,"SOFR",$K$2:$K$7,$L$2:$L$7,,,"Actual360","LogLinear",TRUE)</f>
        <v>QSObject:ContextInput:w1~input.qs_context_add_curve.2359132437744.7979.3.0:32364</v>
      </c>
      <c r="E7980" s="6" t="str">
        <f>_xll.QS.INSTRUMENT.SWAP("swap.7978",H7980,B7980,"USD","SOFR",I7980,J7980,0,"Actual360","Simple","Annual","Annual","Annual")</f>
        <v>QSObject:Swap:w1~swap.7978:3807</v>
      </c>
      <c r="F7980" s="6" t="str">
        <f>_xll.QS.TRADE.CREATE("trade.7978",E7980,A7980,"Receive")</f>
        <v>QSObject:SwapTrade:w1~trade.7978:23709</v>
      </c>
      <c r="G7980" s="3">
        <f>_xll.QS.EVALUATE(C7980,F7980)</f>
        <v>47806.613130695856</v>
      </c>
      <c r="H7980" s="5" t="s">
        <v>8021</v>
      </c>
      <c r="I7980" s="7">
        <v>1797800</v>
      </c>
      <c r="J7980" s="8">
        <v>3.78E-2</v>
      </c>
    </row>
    <row r="7981" spans="1:10" x14ac:dyDescent="0.25">
      <c r="A7981" s="5" t="s">
        <v>8015</v>
      </c>
      <c r="B7981" s="5" t="s">
        <v>9848</v>
      </c>
      <c r="C7981" s="6" t="str">
        <f>_xll.QS.CONTEXT.CREATE("market.7979",A7981,"USD","SOFR")</f>
        <v>QSObject:PricingContext:w1~market.7979:3806</v>
      </c>
      <c r="D7981" s="6" t="str">
        <f>_xll.QS.CONTEXT.ADD.CURVE(C7981,"SOFR",$K$2:$K$7,$L$2:$L$7,,,"Actual360","LogLinear",TRUE)</f>
        <v>QSObject:ContextInput:w1~input.qs_context_add_curve.2359132437744.7980.3.0:32363</v>
      </c>
      <c r="E7981" s="6" t="str">
        <f>_xll.QS.INSTRUMENT.SWAP("swap.7979",H7981,B7981,"USD","SOFR",I7981,J7981,0,"Actual360","Simple","Annual","Annual","Annual")</f>
        <v>QSObject:Swap:w1~swap.7979:3805</v>
      </c>
      <c r="F7981" s="6" t="str">
        <f>_xll.QS.TRADE.CREATE("trade.7979",E7981,A7981,"Receive")</f>
        <v>QSObject:SwapTrade:w1~trade.7979:23708</v>
      </c>
      <c r="G7981" s="3">
        <f>_xll.QS.EVALUATE(C7981,F7981)</f>
        <v>48642.351804404658</v>
      </c>
      <c r="H7981" s="5" t="s">
        <v>8022</v>
      </c>
      <c r="I7981" s="7">
        <v>1797900</v>
      </c>
      <c r="J7981" s="8">
        <v>3.7900000000000003E-2</v>
      </c>
    </row>
    <row r="7982" spans="1:10" x14ac:dyDescent="0.25">
      <c r="A7982" s="5" t="s">
        <v>8016</v>
      </c>
      <c r="B7982" s="5" t="s">
        <v>9849</v>
      </c>
      <c r="C7982" s="6" t="str">
        <f>_xll.QS.CONTEXT.CREATE("market.7980",A7982,"USD","SOFR")</f>
        <v>QSObject:PricingContext:w1~market.7980:3804</v>
      </c>
      <c r="D7982" s="6" t="str">
        <f>_xll.QS.CONTEXT.ADD.CURVE(C7982,"SOFR",$K$2:$K$7,$L$2:$L$7,,,"Actual360","LogLinear",TRUE)</f>
        <v>QSObject:ContextInput:w1~input.qs_context_add_curve.2359132437744.7981.3.0:32362</v>
      </c>
      <c r="E7982" s="6" t="str">
        <f>_xll.QS.INSTRUMENT.SWAP("swap.7980",H7982,B7982,"USD","SOFR",I7982,J7982,0,"Actual360","Simple","Annual","Annual","Annual")</f>
        <v>QSObject:Swap:w1~swap.7980:3803</v>
      </c>
      <c r="F7982" s="6" t="str">
        <f>_xll.QS.TRADE.CREATE("trade.7980",E7982,A7982,"Receive")</f>
        <v>QSObject:SwapTrade:w1~trade.7980:23707</v>
      </c>
      <c r="G7982" s="3">
        <f>_xll.QS.EVALUATE(C7982,F7982)</f>
        <v>49749.861054952671</v>
      </c>
      <c r="H7982" s="5" t="s">
        <v>8023</v>
      </c>
      <c r="I7982" s="7">
        <v>1798000</v>
      </c>
      <c r="J7982" s="8">
        <v>3.8000000000000013E-2</v>
      </c>
    </row>
    <row r="7983" spans="1:10" x14ac:dyDescent="0.25">
      <c r="A7983" s="5" t="s">
        <v>8017</v>
      </c>
      <c r="B7983" s="5" t="s">
        <v>9850</v>
      </c>
      <c r="C7983" s="6" t="str">
        <f>_xll.QS.CONTEXT.CREATE("market.7981",A7983,"USD","SOFR")</f>
        <v>QSObject:PricingContext:w1~market.7981:3802</v>
      </c>
      <c r="D7983" s="6" t="str">
        <f>_xll.QS.CONTEXT.ADD.CURVE(C7983,"SOFR",$K$2:$K$7,$L$2:$L$7,,,"Actual360","LogLinear",TRUE)</f>
        <v>QSObject:ContextInput:w1~input.qs_context_add_curve.2359132437744.7982.3.0:32361</v>
      </c>
      <c r="E7983" s="6" t="str">
        <f>_xll.QS.INSTRUMENT.SWAP("swap.7981",H7983,B7983,"USD","SOFR",I7983,J7983,0,"Actual360","Simple","Annual","Annual","Annual")</f>
        <v>QSObject:Swap:w1~swap.7981:3801</v>
      </c>
      <c r="F7983" s="6" t="str">
        <f>_xll.QS.TRADE.CREATE("trade.7981",E7983,A7983,"Receive")</f>
        <v>QSObject:SwapTrade:w1~trade.7981:23706</v>
      </c>
      <c r="G7983" s="3">
        <f>_xll.QS.EVALUATE(C7983,F7983)</f>
        <v>50580.789082849748</v>
      </c>
      <c r="H7983" s="5" t="s">
        <v>8024</v>
      </c>
      <c r="I7983" s="7">
        <v>1798100</v>
      </c>
      <c r="J7983" s="8">
        <v>3.8100000000000002E-2</v>
      </c>
    </row>
    <row r="7984" spans="1:10" x14ac:dyDescent="0.25">
      <c r="A7984" s="5" t="s">
        <v>8018</v>
      </c>
      <c r="B7984" s="5" t="s">
        <v>9851</v>
      </c>
      <c r="C7984" s="6" t="str">
        <f>_xll.QS.CONTEXT.CREATE("market.7982",A7984,"USD","SOFR")</f>
        <v>QSObject:PricingContext:w1~market.7982:3800</v>
      </c>
      <c r="D7984" s="6" t="str">
        <f>_xll.QS.CONTEXT.ADD.CURVE(C7984,"SOFR",$K$2:$K$7,$L$2:$L$7,,,"Actual360","LogLinear",TRUE)</f>
        <v>QSObject:ContextInput:w1~input.qs_context_add_curve.2359132437744.7983.3.0:32360</v>
      </c>
      <c r="E7984" s="6" t="str">
        <f>_xll.QS.INSTRUMENT.SWAP("swap.7982",H7984,B7984,"USD","SOFR",I7984,J7984,0,"Actual360","Simple","Annual","Annual","Annual")</f>
        <v>QSObject:Swap:w1~swap.7982:3799</v>
      </c>
      <c r="F7984" s="6" t="str">
        <f>_xll.QS.TRADE.CREATE("trade.7982",E7984,A7984,"Receive")</f>
        <v>QSObject:SwapTrade:w1~trade.7982:23705</v>
      </c>
      <c r="G7984" s="3">
        <f>_xll.QS.EVALUATE(C7984,F7984)</f>
        <v>51427.462359588484</v>
      </c>
      <c r="H7984" s="5" t="s">
        <v>8025</v>
      </c>
      <c r="I7984" s="7">
        <v>1798200</v>
      </c>
      <c r="J7984" s="8">
        <v>3.8199999999999998E-2</v>
      </c>
    </row>
    <row r="7985" spans="1:10" x14ac:dyDescent="0.25">
      <c r="A7985" s="5" t="s">
        <v>8019</v>
      </c>
      <c r="B7985" s="5" t="s">
        <v>9852</v>
      </c>
      <c r="C7985" s="6" t="str">
        <f>_xll.QS.CONTEXT.CREATE("market.7983",A7985,"USD","SOFR")</f>
        <v>QSObject:PricingContext:w1~market.7983:3798</v>
      </c>
      <c r="D7985" s="6" t="str">
        <f>_xll.QS.CONTEXT.ADD.CURVE(C7985,"SOFR",$K$2:$K$7,$L$2:$L$7,,,"Actual360","LogLinear",TRUE)</f>
        <v>QSObject:ContextInput:w1~input.qs_context_add_curve.2359132437744.7984.3.0:32359</v>
      </c>
      <c r="E7985" s="6" t="str">
        <f>_xll.QS.INSTRUMENT.SWAP("swap.7983",H7985,B7985,"USD","SOFR",I7985,J7985,0,"Actual360","Simple","Annual","Annual","Annual")</f>
        <v>QSObject:Swap:w1~swap.7983:3797</v>
      </c>
      <c r="F7985" s="6" t="str">
        <f>_xll.QS.TRADE.CREATE("trade.7983",E7985,A7985,"Receive")</f>
        <v>QSObject:SwapTrade:w1~trade.7983:23704</v>
      </c>
      <c r="G7985" s="3">
        <f>_xll.QS.EVALUATE(C7985,F7985)</f>
        <v>52261.272046827005</v>
      </c>
      <c r="H7985" s="5" t="s">
        <v>8026</v>
      </c>
      <c r="I7985" s="7">
        <v>1798300</v>
      </c>
      <c r="J7985" s="8">
        <v>3.8300000000000001E-2</v>
      </c>
    </row>
    <row r="7986" spans="1:10" x14ac:dyDescent="0.25">
      <c r="A7986" s="5" t="s">
        <v>8020</v>
      </c>
      <c r="B7986" s="5" t="s">
        <v>9853</v>
      </c>
      <c r="C7986" s="6" t="str">
        <f>_xll.QS.CONTEXT.CREATE("market.7984",A7986,"USD","SOFR")</f>
        <v>QSObject:PricingContext:w1~market.7984:3796</v>
      </c>
      <c r="D7986" s="6" t="str">
        <f>_xll.QS.CONTEXT.ADD.CURVE(C7986,"SOFR",$K$2:$K$7,$L$2:$L$7,,,"Actual360","LogLinear",TRUE)</f>
        <v>QSObject:ContextInput:w1~input.qs_context_add_curve.2359132437744.7985.3.0:32358</v>
      </c>
      <c r="E7986" s="6" t="str">
        <f>_xll.QS.INSTRUMENT.SWAP("swap.7984",H7986,B7986,"USD","SOFR",I7986,J7986,0,"Actual360","Simple","Annual","Annual","Annual")</f>
        <v>QSObject:Swap:w1~swap.7984:3795</v>
      </c>
      <c r="F7986" s="6" t="str">
        <f>_xll.QS.TRADE.CREATE("trade.7984",E7986,A7986,"Receive")</f>
        <v>QSObject:SwapTrade:w1~trade.7984:23703</v>
      </c>
      <c r="G7986" s="3">
        <f>_xll.QS.EVALUATE(C7986,F7986)</f>
        <v>53022.634758462715</v>
      </c>
      <c r="H7986" s="5" t="s">
        <v>8027</v>
      </c>
      <c r="I7986" s="7">
        <v>1798400</v>
      </c>
      <c r="J7986" s="8">
        <v>3.8399999999999997E-2</v>
      </c>
    </row>
    <row r="7987" spans="1:10" x14ac:dyDescent="0.25">
      <c r="A7987" s="5" t="s">
        <v>8021</v>
      </c>
      <c r="B7987" s="5" t="s">
        <v>9854</v>
      </c>
      <c r="C7987" s="6" t="str">
        <f>_xll.QS.CONTEXT.CREATE("market.7985",A7987,"USD","SOFR")</f>
        <v>QSObject:PricingContext:w1~market.7985:3794</v>
      </c>
      <c r="D7987" s="6" t="str">
        <f>_xll.QS.CONTEXT.ADD.CURVE(C7987,"SOFR",$K$2:$K$7,$L$2:$L$7,,,"Actual360","LogLinear",TRUE)</f>
        <v>QSObject:ContextInput:w1~input.qs_context_add_curve.2359132437744.7986.3.0:32357</v>
      </c>
      <c r="E7987" s="6" t="str">
        <f>_xll.QS.INSTRUMENT.SWAP("swap.7985",H7987,B7987,"USD","SOFR",I7987,J7987,0,"Actual360","Simple","Annual","Annual","Annual")</f>
        <v>QSObject:Swap:w1~swap.7985:3793</v>
      </c>
      <c r="F7987" s="6" t="str">
        <f>_xll.QS.TRADE.CREATE("trade.7985",E7987,A7987,"Receive")</f>
        <v>QSObject:SwapTrade:w1~trade.7985:23702</v>
      </c>
      <c r="G7987" s="3">
        <f>_xll.QS.EVALUATE(C7987,F7987)</f>
        <v>53632.244690241074</v>
      </c>
      <c r="H7987" s="5" t="s">
        <v>8028</v>
      </c>
      <c r="I7987" s="7">
        <v>1798500</v>
      </c>
      <c r="J7987" s="8">
        <v>3.8500000000000013E-2</v>
      </c>
    </row>
    <row r="7988" spans="1:10" x14ac:dyDescent="0.25">
      <c r="A7988" s="5" t="s">
        <v>8022</v>
      </c>
      <c r="B7988" s="5" t="s">
        <v>9855</v>
      </c>
      <c r="C7988" s="6" t="str">
        <f>_xll.QS.CONTEXT.CREATE("market.7986",A7988,"USD","SOFR")</f>
        <v>QSObject:PricingContext:w1~market.7986:3792</v>
      </c>
      <c r="D7988" s="6" t="str">
        <f>_xll.QS.CONTEXT.ADD.CURVE(C7988,"SOFR",$K$2:$K$7,$L$2:$L$7,,,"Actual360","LogLinear",TRUE)</f>
        <v>QSObject:ContextInput:w1~input.qs_context_add_curve.2359132437744.7987.3.0:32356</v>
      </c>
      <c r="E7988" s="6" t="str">
        <f>_xll.QS.INSTRUMENT.SWAP("swap.7986",H7988,B7988,"USD","SOFR",I7988,J7988,0,"Actual360","Simple","Annual","Annual","Annual")</f>
        <v>QSObject:Swap:w1~swap.7986:3791</v>
      </c>
      <c r="F7988" s="6" t="str">
        <f>_xll.QS.TRADE.CREATE("trade.7986",E7988,A7988,"Receive")</f>
        <v>QSObject:SwapTrade:w1~trade.7986:23701</v>
      </c>
      <c r="G7988" s="3">
        <f>_xll.QS.EVALUATE(C7988,F7988)</f>
        <v>54469.204990021317</v>
      </c>
      <c r="H7988" s="5" t="s">
        <v>8029</v>
      </c>
      <c r="I7988" s="7">
        <v>1798600</v>
      </c>
      <c r="J7988" s="8">
        <v>3.8600000000000002E-2</v>
      </c>
    </row>
    <row r="7989" spans="1:10" x14ac:dyDescent="0.25">
      <c r="A7989" s="5" t="s">
        <v>8023</v>
      </c>
      <c r="B7989" s="5" t="s">
        <v>9856</v>
      </c>
      <c r="C7989" s="6" t="str">
        <f>_xll.QS.CONTEXT.CREATE("market.7987",A7989,"USD","SOFR")</f>
        <v>QSObject:PricingContext:w1~market.7987:3790</v>
      </c>
      <c r="D7989" s="6" t="str">
        <f>_xll.QS.CONTEXT.ADD.CURVE(C7989,"SOFR",$K$2:$K$7,$L$2:$L$7,,,"Actual360","LogLinear",TRUE)</f>
        <v>QSObject:ContextInput:w1~input.qs_context_add_curve.2359132437744.7988.3.0:32355</v>
      </c>
      <c r="E7989" s="6" t="str">
        <f>_xll.QS.INSTRUMENT.SWAP("swap.7987",H7989,B7989,"USD","SOFR",I7989,J7989,0,"Actual360","Simple","Annual","Annual","Annual")</f>
        <v>QSObject:Swap:w1~swap.7987:3789</v>
      </c>
      <c r="F7989" s="6" t="str">
        <f>_xll.QS.TRADE.CREATE("trade.7987",E7989,A7989,"Receive")</f>
        <v>QSObject:SwapTrade:w1~trade.7987:23700</v>
      </c>
      <c r="G7989" s="3">
        <f>_xll.QS.EVALUATE(C7989,F7989)</f>
        <v>55378.567208668552</v>
      </c>
      <c r="H7989" s="5" t="s">
        <v>8030</v>
      </c>
      <c r="I7989" s="7">
        <v>1798700</v>
      </c>
      <c r="J7989" s="8">
        <v>3.8700000000000012E-2</v>
      </c>
    </row>
    <row r="7990" spans="1:10" x14ac:dyDescent="0.25">
      <c r="A7990" s="5" t="s">
        <v>8024</v>
      </c>
      <c r="B7990" s="5" t="s">
        <v>9857</v>
      </c>
      <c r="C7990" s="6" t="str">
        <f>_xll.QS.CONTEXT.CREATE("market.7988",A7990,"USD","SOFR")</f>
        <v>QSObject:PricingContext:w1~market.7988:3788</v>
      </c>
      <c r="D7990" s="6" t="str">
        <f>_xll.QS.CONTEXT.ADD.CURVE(C7990,"SOFR",$K$2:$K$7,$L$2:$L$7,,,"Actual360","LogLinear",TRUE)</f>
        <v>QSObject:ContextInput:w1~input.qs_context_add_curve.2359132437744.7989.3.0:32354</v>
      </c>
      <c r="E7990" s="6" t="str">
        <f>_xll.QS.INSTRUMENT.SWAP("swap.7988",H7990,B7990,"USD","SOFR",I7990,J7990,0,"Actual360","Simple","Annual","Annual","Annual")</f>
        <v>QSObject:Swap:w1~swap.7988:3787</v>
      </c>
      <c r="F7990" s="6" t="str">
        <f>_xll.QS.TRADE.CREATE("trade.7988",E7990,A7990,"Receive")</f>
        <v>QSObject:SwapTrade:w1~trade.7988:23699</v>
      </c>
      <c r="G7990" s="3">
        <f>_xll.QS.EVALUATE(C7990,F7990)</f>
        <v>56343.018268938591</v>
      </c>
      <c r="H7990" s="5" t="s">
        <v>8031</v>
      </c>
      <c r="I7990" s="7">
        <v>1798800</v>
      </c>
      <c r="J7990" s="8">
        <v>3.8800000000000001E-2</v>
      </c>
    </row>
    <row r="7991" spans="1:10" x14ac:dyDescent="0.25">
      <c r="A7991" s="5" t="s">
        <v>8025</v>
      </c>
      <c r="B7991" s="5" t="s">
        <v>9858</v>
      </c>
      <c r="C7991" s="6" t="str">
        <f>_xll.QS.CONTEXT.CREATE("market.7989",A7991,"USD","SOFR")</f>
        <v>QSObject:PricingContext:w1~market.7989:3786</v>
      </c>
      <c r="D7991" s="6" t="str">
        <f>_xll.QS.CONTEXT.ADD.CURVE(C7991,"SOFR",$K$2:$K$7,$L$2:$L$7,,,"Actual360","LogLinear",TRUE)</f>
        <v>QSObject:ContextInput:w1~input.qs_context_add_curve.2359132437744.7990.3.0:32353</v>
      </c>
      <c r="E7991" s="6" t="str">
        <f>_xll.QS.INSTRUMENT.SWAP("swap.7989",H7991,B7991,"USD","SOFR",I7991,J7991,0,"Actual360","Simple","Annual","Annual","Annual")</f>
        <v>QSObject:Swap:w1~swap.7989:3785</v>
      </c>
      <c r="F7991" s="6" t="str">
        <f>_xll.QS.TRADE.CREATE("trade.7989",E7991,A7991,"Receive")</f>
        <v>QSObject:SwapTrade:w1~trade.7989:23698</v>
      </c>
      <c r="G7991" s="3">
        <f>_xll.QS.EVALUATE(C7991,F7991)</f>
        <v>57175.945781931943</v>
      </c>
      <c r="H7991" s="5" t="s">
        <v>8032</v>
      </c>
      <c r="I7991" s="7">
        <v>1798900</v>
      </c>
      <c r="J7991" s="8">
        <v>3.8899999999999997E-2</v>
      </c>
    </row>
    <row r="7992" spans="1:10" x14ac:dyDescent="0.25">
      <c r="A7992" s="5" t="s">
        <v>8026</v>
      </c>
      <c r="B7992" s="5" t="s">
        <v>9859</v>
      </c>
      <c r="C7992" s="6" t="str">
        <f>_xll.QS.CONTEXT.CREATE("market.7990",A7992,"USD","SOFR")</f>
        <v>QSObject:PricingContext:w1~market.7990:3784</v>
      </c>
      <c r="D7992" s="6" t="str">
        <f>_xll.QS.CONTEXT.ADD.CURVE(C7992,"SOFR",$K$2:$K$7,$L$2:$L$7,,,"Actual360","LogLinear",TRUE)</f>
        <v>QSObject:ContextInput:w1~input.qs_context_add_curve.2359132437744.7991.3.0:32352</v>
      </c>
      <c r="E7992" s="6" t="str">
        <f>_xll.QS.INSTRUMENT.SWAP("swap.7990",H7992,B7992,"USD","SOFR",I7992,J7992,0,"Actual360","Simple","Annual","Annual","Annual")</f>
        <v>QSObject:Swap:w1~swap.7990:3783</v>
      </c>
      <c r="F7992" s="6" t="str">
        <f>_xll.QS.TRADE.CREATE("trade.7990",E7992,A7992,"Receive")</f>
        <v>QSObject:SwapTrade:w1~trade.7990:23697</v>
      </c>
      <c r="G7992" s="3">
        <f>_xll.QS.EVALUATE(C7992,F7992)</f>
        <v>57944.285816722302</v>
      </c>
      <c r="H7992" s="5" t="s">
        <v>8033</v>
      </c>
      <c r="I7992" s="7">
        <v>1799000</v>
      </c>
      <c r="J7992" s="8">
        <v>3.9000000000000007E-2</v>
      </c>
    </row>
    <row r="7993" spans="1:10" x14ac:dyDescent="0.25">
      <c r="A7993" s="5" t="s">
        <v>8027</v>
      </c>
      <c r="B7993" s="5" t="s">
        <v>9860</v>
      </c>
      <c r="C7993" s="6" t="str">
        <f>_xll.QS.CONTEXT.CREATE("market.7991",A7993,"USD","SOFR")</f>
        <v>QSObject:PricingContext:w1~market.7991:3782</v>
      </c>
      <c r="D7993" s="6" t="str">
        <f>_xll.QS.CONTEXT.ADD.CURVE(C7993,"SOFR",$K$2:$K$7,$L$2:$L$7,,,"Actual360","LogLinear",TRUE)</f>
        <v>QSObject:ContextInput:w1~input.qs_context_add_curve.2359132437744.7992.3.0:32351</v>
      </c>
      <c r="E7993" s="6" t="str">
        <f>_xll.QS.INSTRUMENT.SWAP("swap.7991",H7993,B7993,"USD","SOFR",I7993,J7993,0,"Actual360","Simple","Annual","Annual","Annual")</f>
        <v>QSObject:Swap:w1~swap.7991:3781</v>
      </c>
      <c r="F7993" s="6" t="str">
        <f>_xll.QS.TRADE.CREATE("trade.7991",E7993,A7993,"Receive")</f>
        <v>QSObject:SwapTrade:w1~trade.7991:23696</v>
      </c>
      <c r="G7993" s="3">
        <f>_xll.QS.EVALUATE(C7993,F7993)</f>
        <v>58919.855084974814</v>
      </c>
      <c r="H7993" s="5" t="s">
        <v>8034</v>
      </c>
      <c r="I7993" s="7">
        <v>1799100</v>
      </c>
      <c r="J7993" s="8">
        <v>3.9100000000000003E-2</v>
      </c>
    </row>
    <row r="7994" spans="1:10" x14ac:dyDescent="0.25">
      <c r="A7994" s="5" t="s">
        <v>8028</v>
      </c>
      <c r="B7994" s="5" t="s">
        <v>9861</v>
      </c>
      <c r="C7994" s="6" t="str">
        <f>_xll.QS.CONTEXT.CREATE("market.7992",A7994,"USD","SOFR")</f>
        <v>QSObject:PricingContext:w1~market.7992:3780</v>
      </c>
      <c r="D7994" s="6" t="str">
        <f>_xll.QS.CONTEXT.ADD.CURVE(C7994,"SOFR",$K$2:$K$7,$L$2:$L$7,,,"Actual360","LogLinear",TRUE)</f>
        <v>QSObject:ContextInput:w1~input.qs_context_add_curve.2359132437744.7993.3.0:32350</v>
      </c>
      <c r="E7994" s="6" t="str">
        <f>_xll.QS.INSTRUMENT.SWAP("swap.7992",H7994,B7994,"USD","SOFR",I7994,J7994,0,"Actual360","Simple","Annual","Annual","Annual")</f>
        <v>QSObject:Swap:w1~swap.7992:3779</v>
      </c>
      <c r="F7994" s="6" t="str">
        <f>_xll.QS.TRADE.CREATE("trade.7992",E7994,A7994,"Receive")</f>
        <v>QSObject:SwapTrade:w1~trade.7992:23695</v>
      </c>
      <c r="G7994" s="3">
        <f>_xll.QS.EVALUATE(C7994,F7994)</f>
        <v>59528.675419959145</v>
      </c>
      <c r="H7994" s="5" t="s">
        <v>8035</v>
      </c>
      <c r="I7994" s="7">
        <v>1799200</v>
      </c>
      <c r="J7994" s="8">
        <v>3.9200000000000013E-2</v>
      </c>
    </row>
    <row r="7995" spans="1:10" x14ac:dyDescent="0.25">
      <c r="A7995" s="5" t="s">
        <v>8029</v>
      </c>
      <c r="B7995" s="5" t="s">
        <v>9862</v>
      </c>
      <c r="C7995" s="6" t="str">
        <f>_xll.QS.CONTEXT.CREATE("market.7993",A7995,"USD","SOFR")</f>
        <v>QSObject:PricingContext:w1~market.7993:3778</v>
      </c>
      <c r="D7995" s="6" t="str">
        <f>_xll.QS.CONTEXT.ADD.CURVE(C7995,"SOFR",$K$2:$K$7,$L$2:$L$7,,,"Actual360","LogLinear",TRUE)</f>
        <v>QSObject:ContextInput:w1~input.qs_context_add_curve.2359132437744.7994.3.0:32349</v>
      </c>
      <c r="E7995" s="6" t="str">
        <f>_xll.QS.INSTRUMENT.SWAP("swap.7993",H7995,B7995,"USD","SOFR",I7995,J7995,0,"Actual360","Simple","Annual","Annual","Annual")</f>
        <v>QSObject:Swap:w1~swap.7993:3777</v>
      </c>
      <c r="F7995" s="6" t="str">
        <f>_xll.QS.TRADE.CREATE("trade.7993",E7995,A7995,"Receive")</f>
        <v>QSObject:SwapTrade:w1~trade.7993:23694</v>
      </c>
      <c r="G7995" s="3">
        <f>_xll.QS.EVALUATE(C7995,F7995)</f>
        <v>60367.096502583343</v>
      </c>
      <c r="H7995" s="5" t="s">
        <v>8036</v>
      </c>
      <c r="I7995" s="7">
        <v>1799300</v>
      </c>
      <c r="J7995" s="8">
        <v>3.9300000000000002E-2</v>
      </c>
    </row>
    <row r="7996" spans="1:10" x14ac:dyDescent="0.25">
      <c r="A7996" s="5" t="s">
        <v>8030</v>
      </c>
      <c r="B7996" s="5" t="s">
        <v>9863</v>
      </c>
      <c r="C7996" s="6" t="str">
        <f>_xll.QS.CONTEXT.CREATE("market.7994",A7996,"USD","SOFR")</f>
        <v>QSObject:PricingContext:w1~market.7994:3776</v>
      </c>
      <c r="D7996" s="6" t="str">
        <f>_xll.QS.CONTEXT.ADD.CURVE(C7996,"SOFR",$K$2:$K$7,$L$2:$L$7,,,"Actual360","LogLinear",TRUE)</f>
        <v>QSObject:ContextInput:w1~input.qs_context_add_curve.2359132437744.7995.3.0:32348</v>
      </c>
      <c r="E7996" s="6" t="str">
        <f>_xll.QS.INSTRUMENT.SWAP("swap.7994",H7996,B7996,"USD","SOFR",I7996,J7996,0,"Actual360","Simple","Annual","Annual","Annual")</f>
        <v>QSObject:Swap:w1~swap.7994:3775</v>
      </c>
      <c r="F7996" s="6" t="str">
        <f>_xll.QS.TRADE.CREATE("trade.7994",E7996,A7996,"Receive")</f>
        <v>QSObject:SwapTrade:w1~trade.7994:23693</v>
      </c>
      <c r="G7996" s="3">
        <f>_xll.QS.EVALUATE(C7996,F7996)</f>
        <v>61410.531311712606</v>
      </c>
      <c r="H7996" s="5" t="s">
        <v>8037</v>
      </c>
      <c r="I7996" s="7">
        <v>1799400</v>
      </c>
      <c r="J7996" s="8">
        <v>3.9399999999999998E-2</v>
      </c>
    </row>
    <row r="7997" spans="1:10" x14ac:dyDescent="0.25">
      <c r="A7997" s="5" t="s">
        <v>8031</v>
      </c>
      <c r="B7997" s="5" t="s">
        <v>9864</v>
      </c>
      <c r="C7997" s="6" t="str">
        <f>_xll.QS.CONTEXT.CREATE("market.7995",A7997,"USD","SOFR")</f>
        <v>QSObject:PricingContext:w1~market.7995:3774</v>
      </c>
      <c r="D7997" s="6" t="str">
        <f>_xll.QS.CONTEXT.ADD.CURVE(C7997,"SOFR",$K$2:$K$7,$L$2:$L$7,,,"Actual360","LogLinear",TRUE)</f>
        <v>QSObject:ContextInput:w1~input.qs_context_add_curve.2359132437744.7996.3.0:32347</v>
      </c>
      <c r="E7997" s="6" t="str">
        <f>_xll.QS.INSTRUMENT.SWAP("swap.7995",H7997,B7997,"USD","SOFR",I7997,J7997,0,"Actual360","Simple","Annual","Annual","Annual")</f>
        <v>QSObject:Swap:w1~swap.7995:3773</v>
      </c>
      <c r="F7997" s="6" t="str">
        <f>_xll.QS.TRADE.CREATE("trade.7995",E7997,A7997,"Receive")</f>
        <v>QSObject:SwapTrade:w1~trade.7995:23692</v>
      </c>
      <c r="G7997" s="3">
        <f>_xll.QS.EVALUATE(C7997,F7997)</f>
        <v>62248.449783431643</v>
      </c>
      <c r="H7997" s="5" t="s">
        <v>8038</v>
      </c>
      <c r="I7997" s="7">
        <v>1799500</v>
      </c>
      <c r="J7997" s="8">
        <v>3.9500000000000007E-2</v>
      </c>
    </row>
    <row r="7998" spans="1:10" x14ac:dyDescent="0.25">
      <c r="A7998" s="5" t="s">
        <v>8032</v>
      </c>
      <c r="B7998" s="5" t="s">
        <v>9865</v>
      </c>
      <c r="C7998" s="6" t="str">
        <f>_xll.QS.CONTEXT.CREATE("market.7996",A7998,"USD","SOFR")</f>
        <v>QSObject:PricingContext:w1~market.7996:3772</v>
      </c>
      <c r="D7998" s="6" t="str">
        <f>_xll.QS.CONTEXT.ADD.CURVE(C7998,"SOFR",$K$2:$K$7,$L$2:$L$7,,,"Actual360","LogLinear",TRUE)</f>
        <v>QSObject:ContextInput:w1~input.qs_context_add_curve.2359132437744.7997.3.0:32346</v>
      </c>
      <c r="E7998" s="6" t="str">
        <f>_xll.QS.INSTRUMENT.SWAP("swap.7996",H7998,B7998,"USD","SOFR",I7998,J7998,0,"Actual360","Simple","Annual","Annual","Annual")</f>
        <v>QSObject:Swap:w1~swap.7996:3771</v>
      </c>
      <c r="F7998" s="6" t="str">
        <f>_xll.QS.TRADE.CREATE("trade.7996",E7998,A7998,"Receive")</f>
        <v>QSObject:SwapTrade:w1~trade.7996:23691</v>
      </c>
      <c r="G7998" s="3">
        <f>_xll.QS.EVALUATE(C7998,F7998)</f>
        <v>63092.981042731946</v>
      </c>
      <c r="H7998" s="5" t="s">
        <v>8039</v>
      </c>
      <c r="I7998" s="7">
        <v>1799600</v>
      </c>
      <c r="J7998" s="8">
        <v>3.9600000000000003E-2</v>
      </c>
    </row>
    <row r="7999" spans="1:10" x14ac:dyDescent="0.25">
      <c r="A7999" s="5" t="s">
        <v>8033</v>
      </c>
      <c r="B7999" s="5" t="s">
        <v>9866</v>
      </c>
      <c r="C7999" s="6" t="str">
        <f>_xll.QS.CONTEXT.CREATE("market.7997",A7999,"USD","SOFR")</f>
        <v>QSObject:PricingContext:w1~market.7997:3770</v>
      </c>
      <c r="D7999" s="6" t="str">
        <f>_xll.QS.CONTEXT.ADD.CURVE(C7999,"SOFR",$K$2:$K$7,$L$2:$L$7,,,"Actual360","LogLinear",TRUE)</f>
        <v>QSObject:ContextInput:w1~input.qs_context_add_curve.2359132437744.7998.3.0:32345</v>
      </c>
      <c r="E7999" s="6" t="str">
        <f>_xll.QS.INSTRUMENT.SWAP("swap.7997",H7999,B7999,"USD","SOFR",I7999,J7999,0,"Actual360","Simple","Annual","Annual","Annual")</f>
        <v>QSObject:Swap:w1~swap.7997:3769</v>
      </c>
      <c r="F7999" s="6" t="str">
        <f>_xll.QS.TRADE.CREATE("trade.7997",E7999,A7999,"Receive")</f>
        <v>QSObject:SwapTrade:w1~trade.7997:23690</v>
      </c>
      <c r="G7999" s="3">
        <f>_xll.QS.EVALUATE(C7999,F7999)</f>
        <v>63853.972440313504</v>
      </c>
      <c r="H7999" s="5" t="s">
        <v>8040</v>
      </c>
      <c r="I7999" s="7">
        <v>1799700</v>
      </c>
      <c r="J7999" s="8">
        <v>3.9700000000000013E-2</v>
      </c>
    </row>
    <row r="8000" spans="1:10" x14ac:dyDescent="0.25">
      <c r="A8000" s="5" t="s">
        <v>8034</v>
      </c>
      <c r="B8000" s="5" t="s">
        <v>9867</v>
      </c>
      <c r="C8000" s="6" t="str">
        <f>_xll.QS.CONTEXT.CREATE("market.7998",A8000,"USD","SOFR")</f>
        <v>QSObject:PricingContext:w1~market.7998:3768</v>
      </c>
      <c r="D8000" s="6" t="str">
        <f>_xll.QS.CONTEXT.ADD.CURVE(C8000,"SOFR",$K$2:$K$7,$L$2:$L$7,,,"Actual360","LogLinear",TRUE)</f>
        <v>QSObject:ContextInput:w1~input.qs_context_add_curve.2359132437744.7999.3.0:32344</v>
      </c>
      <c r="E8000" s="6" t="str">
        <f>_xll.QS.INSTRUMENT.SWAP("swap.7998",H8000,B8000,"USD","SOFR",I8000,J8000,0,"Actual360","Simple","Annual","Annual","Annual")</f>
        <v>QSObject:Swap:w1~swap.7998:3767</v>
      </c>
      <c r="F8000" s="6" t="str">
        <f>_xll.QS.TRADE.CREATE("trade.7998",E8000,A8000,"Receive")</f>
        <v>QSObject:SwapTrade:w1~trade.7998:23689</v>
      </c>
      <c r="G8000" s="3">
        <f>_xll.QS.EVALUATE(C8000,F8000)</f>
        <v>64688.935188474243</v>
      </c>
      <c r="H8000" s="5" t="s">
        <v>8041</v>
      </c>
      <c r="I8000" s="7">
        <v>1799800</v>
      </c>
      <c r="J8000" s="8">
        <v>3.9800000000000002E-2</v>
      </c>
    </row>
    <row r="8001" spans="1:10" x14ac:dyDescent="0.25">
      <c r="A8001" s="5" t="s">
        <v>8035</v>
      </c>
      <c r="B8001" s="5" t="s">
        <v>9868</v>
      </c>
      <c r="C8001" s="6" t="str">
        <f>_xll.QS.CONTEXT.CREATE("market.7999",A8001,"USD","SOFR")</f>
        <v>QSObject:PricingContext:w1~market.7999:3766</v>
      </c>
      <c r="D8001" s="6" t="str">
        <f>_xll.QS.CONTEXT.ADD.CURVE(C8001,"SOFR",$K$2:$K$7,$L$2:$L$7,,,"Actual360","LogLinear",TRUE)</f>
        <v>QSObject:ContextInput:w1~input.qs_context_add_curve.2359132437744.8000.3.0:32343</v>
      </c>
      <c r="E8001" s="6" t="str">
        <f>_xll.QS.INSTRUMENT.SWAP("swap.7999",H8001,B8001,"USD","SOFR",I8001,J8001,0,"Actual360","Simple","Annual","Annual","Annual")</f>
        <v>QSObject:Swap:w1~swap.7999:3765</v>
      </c>
      <c r="F8001" s="6" t="str">
        <f>_xll.QS.TRADE.CREATE("trade.7999",E8001,A8001,"Receive")</f>
        <v>QSObject:SwapTrade:w1~trade.7999:23688</v>
      </c>
      <c r="G8001" s="3">
        <f>_xll.QS.EVALUATE(C8001,F8001)</f>
        <v>65297.328621270797</v>
      </c>
      <c r="H8001" s="5" t="s">
        <v>8042</v>
      </c>
      <c r="I8001" s="7">
        <v>1799900</v>
      </c>
      <c r="J8001" s="8">
        <v>3.9899999999999998E-2</v>
      </c>
    </row>
    <row r="8002" spans="1:10" x14ac:dyDescent="0.25">
      <c r="A8002" s="5" t="s">
        <v>8036</v>
      </c>
      <c r="B8002" s="5" t="s">
        <v>9869</v>
      </c>
      <c r="C8002" s="6" t="str">
        <f>_xll.QS.CONTEXT.CREATE("market.8000",A8002,"USD","SOFR")</f>
        <v>QSObject:PricingContext:w1~market.8000:3764</v>
      </c>
      <c r="D8002" s="6" t="str">
        <f>_xll.QS.CONTEXT.ADD.CURVE(C8002,"SOFR",$K$2:$K$7,$L$2:$L$7,,,"Actual360","LogLinear",TRUE)</f>
        <v>QSObject:ContextInput:w1~input.qs_context_add_curve.2359132437744.8001.3.0:32342</v>
      </c>
      <c r="E8002" s="6" t="str">
        <f>_xll.QS.INSTRUMENT.SWAP("swap.8000",H8002,B8002,"USD","SOFR",I8002,J8002,0,"Actual360","Simple","Annual","Annual","Annual")</f>
        <v>QSObject:Swap:w1~swap.8000:3763</v>
      </c>
      <c r="F8002" s="6" t="str">
        <f>_xll.QS.TRADE.CREATE("trade.8000",E8002,A8002,"Receive")</f>
        <v>QSObject:SwapTrade:w1~trade.8000:23687</v>
      </c>
      <c r="G8002" s="3">
        <f>_xll.QS.EVALUATE(C8002,F8002)</f>
        <v>24618.072791988256</v>
      </c>
      <c r="H8002" s="5" t="s">
        <v>8043</v>
      </c>
      <c r="I8002" s="7">
        <v>1800000</v>
      </c>
      <c r="J8002" s="8">
        <v>3.5000000000000003E-2</v>
      </c>
    </row>
    <row r="8003" spans="1:10" x14ac:dyDescent="0.25">
      <c r="A8003" s="5" t="s">
        <v>8037</v>
      </c>
      <c r="B8003" s="5" t="s">
        <v>9870</v>
      </c>
      <c r="C8003" s="6" t="str">
        <f>_xll.QS.CONTEXT.CREATE("market.8001",A8003,"USD","SOFR")</f>
        <v>QSObject:PricingContext:w1~market.8001:3762</v>
      </c>
      <c r="D8003" s="6" t="str">
        <f>_xll.QS.CONTEXT.ADD.CURVE(C8003,"SOFR",$K$2:$K$7,$L$2:$L$7,,,"Actual360","LogLinear",TRUE)</f>
        <v>QSObject:ContextInput:w1~input.qs_context_add_curve.2359132437744.8002.3.0:32341</v>
      </c>
      <c r="E8003" s="6" t="str">
        <f>_xll.QS.INSTRUMENT.SWAP("swap.8001",H8003,B8003,"USD","SOFR",I8003,J8003,0,"Actual360","Simple","Annual","Annual","Annual")</f>
        <v>QSObject:Swap:w1~swap.8001:3761</v>
      </c>
      <c r="F8003" s="6" t="str">
        <f>_xll.QS.TRADE.CREATE("trade.8001",E8003,A8003,"Receive")</f>
        <v>QSObject:SwapTrade:w1~trade.8001:23686</v>
      </c>
      <c r="G8003" s="3">
        <f>_xll.QS.EVALUATE(C8003,F8003)</f>
        <v>25522.619059215103</v>
      </c>
      <c r="H8003" s="5" t="s">
        <v>8044</v>
      </c>
      <c r="I8003" s="7">
        <v>1800100</v>
      </c>
      <c r="J8003" s="8">
        <v>3.5100000000000013E-2</v>
      </c>
    </row>
    <row r="8004" spans="1:10" x14ac:dyDescent="0.25">
      <c r="A8004" s="5" t="s">
        <v>8038</v>
      </c>
      <c r="B8004" s="5" t="s">
        <v>9871</v>
      </c>
      <c r="C8004" s="6" t="str">
        <f>_xll.QS.CONTEXT.CREATE("market.8002",A8004,"USD","SOFR")</f>
        <v>QSObject:PricingContext:w1~market.8002:3760</v>
      </c>
      <c r="D8004" s="6" t="str">
        <f>_xll.QS.CONTEXT.ADD.CURVE(C8004,"SOFR",$K$2:$K$7,$L$2:$L$7,,,"Actual360","LogLinear",TRUE)</f>
        <v>QSObject:ContextInput:w1~input.qs_context_add_curve.2359132437744.8003.3.0:32340</v>
      </c>
      <c r="E8004" s="6" t="str">
        <f>_xll.QS.INSTRUMENT.SWAP("swap.8002",H8004,B8004,"USD","SOFR",I8004,J8004,0,"Actual360","Simple","Annual","Annual","Annual")</f>
        <v>QSObject:Swap:w1~swap.8002:3759</v>
      </c>
      <c r="F8004" s="6" t="str">
        <f>_xll.QS.TRADE.CREATE("trade.8002",E8004,A8004,"Receive")</f>
        <v>QSObject:SwapTrade:w1~trade.8002:23685</v>
      </c>
      <c r="G8004" s="3">
        <f>_xll.QS.EVALUATE(C8004,F8004)</f>
        <v>26487.003122638191</v>
      </c>
      <c r="H8004" s="5" t="s">
        <v>8045</v>
      </c>
      <c r="I8004" s="7">
        <v>1800200</v>
      </c>
      <c r="J8004" s="8">
        <v>3.5200000000000002E-2</v>
      </c>
    </row>
    <row r="8005" spans="1:10" x14ac:dyDescent="0.25">
      <c r="A8005" s="5" t="s">
        <v>8039</v>
      </c>
      <c r="B8005" s="5" t="s">
        <v>9872</v>
      </c>
      <c r="C8005" s="6" t="str">
        <f>_xll.QS.CONTEXT.CREATE("market.8003",A8005,"USD","SOFR")</f>
        <v>QSObject:PricingContext:w1~market.8003:3758</v>
      </c>
      <c r="D8005" s="6" t="str">
        <f>_xll.QS.CONTEXT.ADD.CURVE(C8005,"SOFR",$K$2:$K$7,$L$2:$L$7,,,"Actual360","LogLinear",TRUE)</f>
        <v>QSObject:ContextInput:w1~input.qs_context_add_curve.2359132437744.8004.3.0:32339</v>
      </c>
      <c r="E8005" s="6" t="str">
        <f>_xll.QS.INSTRUMENT.SWAP("swap.8003",H8005,B8005,"USD","SOFR",I8005,J8005,0,"Actual360","Simple","Annual","Annual","Annual")</f>
        <v>QSObject:Swap:w1~swap.8003:3757</v>
      </c>
      <c r="F8005" s="6" t="str">
        <f>_xll.QS.TRADE.CREATE("trade.8003",E8005,A8005,"Receive")</f>
        <v>QSObject:SwapTrade:w1~trade.8003:23684</v>
      </c>
      <c r="G8005" s="3">
        <f>_xll.QS.EVALUATE(C8005,F8005)</f>
        <v>27318.838676036765</v>
      </c>
      <c r="H8005" s="5" t="s">
        <v>8046</v>
      </c>
      <c r="I8005" s="7">
        <v>1800300</v>
      </c>
      <c r="J8005" s="8">
        <v>3.5299999999999998E-2</v>
      </c>
    </row>
    <row r="8006" spans="1:10" x14ac:dyDescent="0.25">
      <c r="A8006" s="5" t="s">
        <v>8040</v>
      </c>
      <c r="B8006" s="5" t="s">
        <v>9873</v>
      </c>
      <c r="C8006" s="6" t="str">
        <f>_xll.QS.CONTEXT.CREATE("market.8004",A8006,"USD","SOFR")</f>
        <v>QSObject:PricingContext:w1~market.8004:3756</v>
      </c>
      <c r="D8006" s="6" t="str">
        <f>_xll.QS.CONTEXT.ADD.CURVE(C8006,"SOFR",$K$2:$K$7,$L$2:$L$7,,,"Actual360","LogLinear",TRUE)</f>
        <v>QSObject:ContextInput:w1~input.qs_context_add_curve.2359132437744.8005.3.0:32338</v>
      </c>
      <c r="E8006" s="6" t="str">
        <f>_xll.QS.INSTRUMENT.SWAP("swap.8004",H8006,B8006,"USD","SOFR",I8006,J8006,0,"Actual360","Simple","Annual","Annual","Annual")</f>
        <v>QSObject:Swap:w1~swap.8004:3755</v>
      </c>
      <c r="F8006" s="6" t="str">
        <f>_xll.QS.TRADE.CREATE("trade.8004",E8006,A8006,"Receive")</f>
        <v>QSObject:SwapTrade:w1~trade.8004:23683</v>
      </c>
      <c r="G8006" s="3">
        <f>_xll.QS.EVALUATE(C8006,F8006)</f>
        <v>28160.605431265532</v>
      </c>
      <c r="H8006" s="5" t="s">
        <v>8047</v>
      </c>
      <c r="I8006" s="7">
        <v>1800400</v>
      </c>
      <c r="J8006" s="8">
        <v>3.5400000000000001E-2</v>
      </c>
    </row>
    <row r="8007" spans="1:10" x14ac:dyDescent="0.25">
      <c r="A8007" s="5" t="s">
        <v>8041</v>
      </c>
      <c r="B8007" s="5" t="s">
        <v>9874</v>
      </c>
      <c r="C8007" s="6" t="str">
        <f>_xll.QS.CONTEXT.CREATE("market.8005",A8007,"USD","SOFR")</f>
        <v>QSObject:PricingContext:w1~market.8005:3754</v>
      </c>
      <c r="D8007" s="6" t="str">
        <f>_xll.QS.CONTEXT.ADD.CURVE(C8007,"SOFR",$K$2:$K$7,$L$2:$L$7,,,"Actual360","LogLinear",TRUE)</f>
        <v>QSObject:ContextInput:w1~input.qs_context_add_curve.2359132437744.8006.3.0:32337</v>
      </c>
      <c r="E8007" s="6" t="str">
        <f>_xll.QS.INSTRUMENT.SWAP("swap.8005",H8007,B8007,"USD","SOFR",I8007,J8007,0,"Actual360","Simple","Annual","Annual","Annual")</f>
        <v>QSObject:Swap:w1~swap.8005:3753</v>
      </c>
      <c r="F8007" s="6" t="str">
        <f>_xll.QS.TRADE.CREATE("trade.8005",E8007,A8007,"Receive")</f>
        <v>QSObject:SwapTrade:w1~trade.8005:23682</v>
      </c>
      <c r="G8007" s="3">
        <f>_xll.QS.EVALUATE(C8007,F8007)</f>
        <v>28994.311931811935</v>
      </c>
      <c r="H8007" s="5" t="s">
        <v>8048</v>
      </c>
      <c r="I8007" s="7">
        <v>1800500</v>
      </c>
      <c r="J8007" s="8">
        <v>3.5499999999999997E-2</v>
      </c>
    </row>
    <row r="8008" spans="1:10" x14ac:dyDescent="0.25">
      <c r="A8008" s="5" t="s">
        <v>8042</v>
      </c>
      <c r="B8008" s="5" t="s">
        <v>9875</v>
      </c>
      <c r="C8008" s="6" t="str">
        <f>_xll.QS.CONTEXT.CREATE("market.8006",A8008,"USD","SOFR")</f>
        <v>QSObject:PricingContext:w1~market.8006:3752</v>
      </c>
      <c r="D8008" s="6" t="str">
        <f>_xll.QS.CONTEXT.ADD.CURVE(C8008,"SOFR",$K$2:$K$7,$L$2:$L$7,,,"Actual360","LogLinear",TRUE)</f>
        <v>QSObject:ContextInput:w1~input.qs_context_add_curve.2359132437744.8007.3.0:32336</v>
      </c>
      <c r="E8008" s="6" t="str">
        <f>_xll.QS.INSTRUMENT.SWAP("swap.8006",H8008,B8008,"USD","SOFR",I8008,J8008,0,"Actual360","Simple","Annual","Annual","Annual")</f>
        <v>QSObject:Swap:w1~swap.8006:3751</v>
      </c>
      <c r="F8008" s="6" t="str">
        <f>_xll.QS.TRADE.CREATE("trade.8006",E8008,A8008,"Receive")</f>
        <v>QSObject:SwapTrade:w1~trade.8006:23681</v>
      </c>
      <c r="G8008" s="3">
        <f>_xll.QS.EVALUATE(C8008,F8008)</f>
        <v>29608.137958130414</v>
      </c>
      <c r="H8008" s="5" t="s">
        <v>8049</v>
      </c>
      <c r="I8008" s="7">
        <v>1800600</v>
      </c>
      <c r="J8008" s="8">
        <v>3.5600000000000007E-2</v>
      </c>
    </row>
    <row r="8009" spans="1:10" x14ac:dyDescent="0.25">
      <c r="A8009" s="5" t="s">
        <v>8043</v>
      </c>
      <c r="B8009" s="5" t="s">
        <v>9876</v>
      </c>
      <c r="C8009" s="6" t="str">
        <f>_xll.QS.CONTEXT.CREATE("market.8007",A8009,"USD","SOFR")</f>
        <v>QSObject:PricingContext:w1~market.8007:3750</v>
      </c>
      <c r="D8009" s="6" t="str">
        <f>_xll.QS.CONTEXT.ADD.CURVE(C8009,"SOFR",$K$2:$K$7,$L$2:$L$7,,,"Actual360","LogLinear",TRUE)</f>
        <v>QSObject:ContextInput:w1~input.qs_context_add_curve.2359132437744.8008.3.0:32335</v>
      </c>
      <c r="E8009" s="6" t="str">
        <f>_xll.QS.INSTRUMENT.SWAP("swap.8007",H8009,B8009,"USD","SOFR",I8009,J8009,0,"Actual360","Simple","Annual","Annual","Annual")</f>
        <v>QSObject:Swap:w1~swap.8007:3749</v>
      </c>
      <c r="F8009" s="6" t="str">
        <f>_xll.QS.TRADE.CREATE("trade.8007",E8009,A8009,"Receive")</f>
        <v>QSObject:SwapTrade:w1~trade.8007:23680</v>
      </c>
      <c r="G8009" s="3">
        <f>_xll.QS.EVALUATE(C8009,F8009)</f>
        <v>30442.714071513234</v>
      </c>
      <c r="H8009" s="5" t="s">
        <v>8050</v>
      </c>
      <c r="I8009" s="7">
        <v>1800700</v>
      </c>
      <c r="J8009" s="8">
        <v>3.5700000000000003E-2</v>
      </c>
    </row>
    <row r="8010" spans="1:10" x14ac:dyDescent="0.25">
      <c r="A8010" s="5" t="s">
        <v>8044</v>
      </c>
      <c r="B8010" s="5" t="s">
        <v>9877</v>
      </c>
      <c r="C8010" s="6" t="str">
        <f>_xll.QS.CONTEXT.CREATE("market.8008",A8010,"USD","SOFR")</f>
        <v>QSObject:PricingContext:w1~market.8008:3748</v>
      </c>
      <c r="D8010" s="6" t="str">
        <f>_xll.QS.CONTEXT.ADD.CURVE(C8010,"SOFR",$K$2:$K$7,$L$2:$L$7,,,"Actual360","LogLinear",TRUE)</f>
        <v>QSObject:ContextInput:w1~input.qs_context_add_curve.2359132437744.8009.3.0:32334</v>
      </c>
      <c r="E8010" s="6" t="str">
        <f>_xll.QS.INSTRUMENT.SWAP("swap.8008",H8010,B8010,"USD","SOFR",I8010,J8010,0,"Actual360","Simple","Annual","Annual","Annual")</f>
        <v>QSObject:Swap:w1~swap.8008:3747</v>
      </c>
      <c r="F8010" s="6" t="str">
        <f>_xll.QS.TRADE.CREATE("trade.8008",E8010,A8010,"Receive")</f>
        <v>QSObject:SwapTrade:w1~trade.8008:23679</v>
      </c>
      <c r="G8010" s="3">
        <f>_xll.QS.EVALUATE(C8010,F8010)</f>
        <v>31349.439800973072</v>
      </c>
      <c r="H8010" s="5" t="s">
        <v>8051</v>
      </c>
      <c r="I8010" s="7">
        <v>1800800</v>
      </c>
      <c r="J8010" s="8">
        <v>3.5800000000000012E-2</v>
      </c>
    </row>
    <row r="8011" spans="1:10" x14ac:dyDescent="0.25">
      <c r="A8011" s="5" t="s">
        <v>8045</v>
      </c>
      <c r="B8011" s="5" t="s">
        <v>9878</v>
      </c>
      <c r="C8011" s="6" t="str">
        <f>_xll.QS.CONTEXT.CREATE("market.8009",A8011,"USD","SOFR")</f>
        <v>QSObject:PricingContext:w1~market.8009:3746</v>
      </c>
      <c r="D8011" s="6" t="str">
        <f>_xll.QS.CONTEXT.ADD.CURVE(C8011,"SOFR",$K$2:$K$7,$L$2:$L$7,,,"Actual360","LogLinear",TRUE)</f>
        <v>QSObject:ContextInput:w1~input.qs_context_add_curve.2359132437744.8010.3.0:32333</v>
      </c>
      <c r="E8011" s="6" t="str">
        <f>_xll.QS.INSTRUMENT.SWAP("swap.8009",H8011,B8011,"USD","SOFR",I8011,J8011,0,"Actual360","Simple","Annual","Annual","Annual")</f>
        <v>QSObject:Swap:w1~swap.8009:3745</v>
      </c>
      <c r="F8011" s="6" t="str">
        <f>_xll.QS.TRADE.CREATE("trade.8009",E8011,A8011,"Receive")</f>
        <v>QSObject:SwapTrade:w1~trade.8009:23678</v>
      </c>
      <c r="G8011" s="3">
        <f>_xll.QS.EVALUATE(C8011,F8011)</f>
        <v>32313.453373555065</v>
      </c>
      <c r="H8011" s="5" t="s">
        <v>8052</v>
      </c>
      <c r="I8011" s="7">
        <v>1800900</v>
      </c>
      <c r="J8011" s="8">
        <v>3.5900000000000001E-2</v>
      </c>
    </row>
    <row r="8012" spans="1:10" x14ac:dyDescent="0.25">
      <c r="A8012" s="5" t="s">
        <v>8046</v>
      </c>
      <c r="B8012" s="5" t="s">
        <v>9879</v>
      </c>
      <c r="C8012" s="6" t="str">
        <f>_xll.QS.CONTEXT.CREATE("market.8010",A8012,"USD","SOFR")</f>
        <v>QSObject:PricingContext:w1~market.8010:3744</v>
      </c>
      <c r="D8012" s="6" t="str">
        <f>_xll.QS.CONTEXT.ADD.CURVE(C8012,"SOFR",$K$2:$K$7,$L$2:$L$7,,,"Actual360","LogLinear",TRUE)</f>
        <v>QSObject:ContextInput:w1~input.qs_context_add_curve.2359132437744.8011.3.0:32332</v>
      </c>
      <c r="E8012" s="6" t="str">
        <f>_xll.QS.INSTRUMENT.SWAP("swap.8010",H8012,B8012,"USD","SOFR",I8012,J8012,0,"Actual360","Simple","Annual","Annual","Annual")</f>
        <v>QSObject:Swap:w1~swap.8010:3743</v>
      </c>
      <c r="F8012" s="6" t="str">
        <f>_xll.QS.TRADE.CREATE("trade.8010",E8012,A8012,"Receive")</f>
        <v>QSObject:SwapTrade:w1~trade.8010:23677</v>
      </c>
      <c r="G8012" s="3">
        <f>_xll.QS.EVALUATE(C8012,F8012)</f>
        <v>33145.923280488554</v>
      </c>
      <c r="H8012" s="5" t="s">
        <v>8053</v>
      </c>
      <c r="I8012" s="7">
        <v>1801000</v>
      </c>
      <c r="J8012" s="8">
        <v>3.5999999999999997E-2</v>
      </c>
    </row>
    <row r="8013" spans="1:10" x14ac:dyDescent="0.25">
      <c r="A8013" s="5" t="s">
        <v>8047</v>
      </c>
      <c r="B8013" s="5" t="s">
        <v>9880</v>
      </c>
      <c r="C8013" s="6" t="str">
        <f>_xll.QS.CONTEXT.CREATE("market.8011",A8013,"USD","SOFR")</f>
        <v>QSObject:PricingContext:w1~market.8011:3742</v>
      </c>
      <c r="D8013" s="6" t="str">
        <f>_xll.QS.CONTEXT.ADD.CURVE(C8013,"SOFR",$K$2:$K$7,$L$2:$L$7,,,"Actual360","LogLinear",TRUE)</f>
        <v>QSObject:ContextInput:w1~input.qs_context_add_curve.2359132437744.8012.3.0:32331</v>
      </c>
      <c r="E8013" s="6" t="str">
        <f>_xll.QS.INSTRUMENT.SWAP("swap.8011",H8013,B8013,"USD","SOFR",I8013,J8013,0,"Actual360","Simple","Annual","Annual","Annual")</f>
        <v>QSObject:Swap:w1~swap.8011:3741</v>
      </c>
      <c r="F8013" s="6" t="str">
        <f>_xll.QS.TRADE.CREATE("trade.8011",E8013,A8013,"Receive")</f>
        <v>QSObject:SwapTrade:w1~trade.8011:23676</v>
      </c>
      <c r="G8013" s="3">
        <f>_xll.QS.EVALUATE(C8013,F8013)</f>
        <v>33988.356788289188</v>
      </c>
      <c r="H8013" s="5" t="s">
        <v>8054</v>
      </c>
      <c r="I8013" s="7">
        <v>1801100</v>
      </c>
      <c r="J8013" s="8">
        <v>3.61E-2</v>
      </c>
    </row>
    <row r="8014" spans="1:10" x14ac:dyDescent="0.25">
      <c r="A8014" s="5" t="s">
        <v>8048</v>
      </c>
      <c r="B8014" s="5" t="s">
        <v>9881</v>
      </c>
      <c r="C8014" s="6" t="str">
        <f>_xll.QS.CONTEXT.CREATE("market.8012",A8014,"USD","SOFR")</f>
        <v>QSObject:PricingContext:w1~market.8012:3740</v>
      </c>
      <c r="D8014" s="6" t="str">
        <f>_xll.QS.CONTEXT.ADD.CURVE(C8014,"SOFR",$K$2:$K$7,$L$2:$L$7,,,"Actual360","LogLinear",TRUE)</f>
        <v>QSObject:ContextInput:w1~input.qs_context_add_curve.2359132437744.8013.3.0:32330</v>
      </c>
      <c r="E8014" s="6" t="str">
        <f>_xll.QS.INSTRUMENT.SWAP("swap.8012",H8014,B8014,"USD","SOFR",I8014,J8014,0,"Actual360","Simple","Annual","Annual","Annual")</f>
        <v>QSObject:Swap:w1~swap.8012:3739</v>
      </c>
      <c r="F8014" s="6" t="str">
        <f>_xll.QS.TRADE.CREATE("trade.8012",E8014,A8014,"Receive")</f>
        <v>QSObject:SwapTrade:w1~trade.8012:23675</v>
      </c>
      <c r="G8014" s="3">
        <f>_xll.QS.EVALUATE(C8014,F8014)</f>
        <v>34822.730021046271</v>
      </c>
      <c r="H8014" s="5" t="s">
        <v>8055</v>
      </c>
      <c r="I8014" s="7">
        <v>1801200</v>
      </c>
      <c r="J8014" s="8">
        <v>3.6200000000000003E-2</v>
      </c>
    </row>
    <row r="8015" spans="1:10" x14ac:dyDescent="0.25">
      <c r="A8015" s="5" t="s">
        <v>8049</v>
      </c>
      <c r="B8015" s="5" t="s">
        <v>9882</v>
      </c>
      <c r="C8015" s="6" t="str">
        <f>_xll.QS.CONTEXT.CREATE("market.8013",A8015,"USD","SOFR")</f>
        <v>QSObject:PricingContext:w1~market.8013:3738</v>
      </c>
      <c r="D8015" s="6" t="str">
        <f>_xll.QS.CONTEXT.ADD.CURVE(C8015,"SOFR",$K$2:$K$7,$L$2:$L$7,,,"Actual360","LogLinear",TRUE)</f>
        <v>QSObject:ContextInput:w1~input.qs_context_add_curve.2359132437744.8014.3.0:32329</v>
      </c>
      <c r="E8015" s="6" t="str">
        <f>_xll.QS.INSTRUMENT.SWAP("swap.8013",H8015,B8015,"USD","SOFR",I8015,J8015,0,"Actual360","Simple","Annual","Annual","Annual")</f>
        <v>QSObject:Swap:w1~swap.8013:3737</v>
      </c>
      <c r="F8015" s="6" t="str">
        <f>_xll.QS.TRADE.CREATE("trade.8013",E8015,A8015,"Receive")</f>
        <v>QSObject:SwapTrade:w1~trade.8013:23674</v>
      </c>
      <c r="G8015" s="3">
        <f>_xll.QS.EVALUATE(C8015,F8015)</f>
        <v>35435.946903172851</v>
      </c>
      <c r="H8015" s="5" t="s">
        <v>8056</v>
      </c>
      <c r="I8015" s="7">
        <v>1801300</v>
      </c>
      <c r="J8015" s="8">
        <v>3.6300000000000013E-2</v>
      </c>
    </row>
    <row r="8016" spans="1:10" x14ac:dyDescent="0.25">
      <c r="A8016" s="5" t="s">
        <v>8050</v>
      </c>
      <c r="B8016" s="5" t="s">
        <v>9883</v>
      </c>
      <c r="C8016" s="6" t="str">
        <f>_xll.QS.CONTEXT.CREATE("market.8014",A8016,"USD","SOFR")</f>
        <v>QSObject:PricingContext:w1~market.8014:3736</v>
      </c>
      <c r="D8016" s="6" t="str">
        <f>_xll.QS.CONTEXT.ADD.CURVE(C8016,"SOFR",$K$2:$K$7,$L$2:$L$7,,,"Actual360","LogLinear",TRUE)</f>
        <v>QSObject:ContextInput:w1~input.qs_context_add_curve.2359132437744.8015.3.0:32328</v>
      </c>
      <c r="E8016" s="6" t="str">
        <f>_xll.QS.INSTRUMENT.SWAP("swap.8014",H8016,B8016,"USD","SOFR",I8016,J8016,0,"Actual360","Simple","Annual","Annual","Annual")</f>
        <v>QSObject:Swap:w1~swap.8014:3735</v>
      </c>
      <c r="F8016" s="6" t="str">
        <f>_xll.QS.TRADE.CREATE("trade.8014",E8016,A8016,"Receive")</f>
        <v>QSObject:SwapTrade:w1~trade.8014:23673</v>
      </c>
      <c r="G8016" s="3">
        <f>_xll.QS.EVALUATE(C8016,F8016)</f>
        <v>36271.657530127319</v>
      </c>
      <c r="H8016" s="5" t="s">
        <v>8057</v>
      </c>
      <c r="I8016" s="7">
        <v>1801400</v>
      </c>
      <c r="J8016" s="8">
        <v>3.6400000000000002E-2</v>
      </c>
    </row>
    <row r="8017" spans="1:10" x14ac:dyDescent="0.25">
      <c r="A8017" s="5" t="s">
        <v>8051</v>
      </c>
      <c r="B8017" s="5" t="s">
        <v>9884</v>
      </c>
      <c r="C8017" s="6" t="str">
        <f>_xll.QS.CONTEXT.CREATE("market.8015",A8017,"USD","SOFR")</f>
        <v>QSObject:PricingContext:w1~market.8015:3734</v>
      </c>
      <c r="D8017" s="6" t="str">
        <f>_xll.QS.CONTEXT.ADD.CURVE(C8017,"SOFR",$K$2:$K$7,$L$2:$L$7,,,"Actual360","LogLinear",TRUE)</f>
        <v>QSObject:ContextInput:w1~input.qs_context_add_curve.2359132437744.8016.3.0:32327</v>
      </c>
      <c r="E8017" s="6" t="str">
        <f>_xll.QS.INSTRUMENT.SWAP("swap.8015",H8017,B8017,"USD","SOFR",I8017,J8017,0,"Actual360","Simple","Annual","Annual","Annual")</f>
        <v>QSObject:Swap:w1~swap.8015:3733</v>
      </c>
      <c r="F8017" s="6" t="str">
        <f>_xll.QS.TRADE.CREATE("trade.8015",E8017,A8017,"Receive")</f>
        <v>QSObject:SwapTrade:w1~trade.8015:23672</v>
      </c>
      <c r="G8017" s="3">
        <f>_xll.QS.EVALUATE(C8017,F8017)</f>
        <v>37179.62709281149</v>
      </c>
      <c r="H8017" s="5" t="s">
        <v>8058</v>
      </c>
      <c r="I8017" s="7">
        <v>1801500</v>
      </c>
      <c r="J8017" s="8">
        <v>3.6499999999999998E-2</v>
      </c>
    </row>
    <row r="8018" spans="1:10" x14ac:dyDescent="0.25">
      <c r="A8018" s="5" t="s">
        <v>8052</v>
      </c>
      <c r="B8018" s="5" t="s">
        <v>9885</v>
      </c>
      <c r="C8018" s="6" t="str">
        <f>_xll.QS.CONTEXT.CREATE("market.8016",A8018,"USD","SOFR")</f>
        <v>QSObject:PricingContext:w1~market.8016:3732</v>
      </c>
      <c r="D8018" s="6" t="str">
        <f>_xll.QS.CONTEXT.ADD.CURVE(C8018,"SOFR",$K$2:$K$7,$L$2:$L$7,,,"Actual360","LogLinear",TRUE)</f>
        <v>QSObject:ContextInput:w1~input.qs_context_add_curve.2359132437744.8017.3.0:32326</v>
      </c>
      <c r="E8018" s="6" t="str">
        <f>_xll.QS.INSTRUMENT.SWAP("swap.8016",H8018,B8018,"USD","SOFR",I8018,J8018,0,"Actual360","Simple","Annual","Annual","Annual")</f>
        <v>QSObject:Swap:w1~swap.8016:3731</v>
      </c>
      <c r="F8018" s="6" t="str">
        <f>_xll.QS.TRADE.CREATE("trade.8016",E8018,A8018,"Receive")</f>
        <v>QSObject:SwapTrade:w1~trade.8016:23671</v>
      </c>
      <c r="G8018" s="3">
        <f>_xll.QS.EVALUATE(C8018,F8018)</f>
        <v>38144.424022004336</v>
      </c>
      <c r="H8018" s="5" t="s">
        <v>8059</v>
      </c>
      <c r="I8018" s="7">
        <v>1801600</v>
      </c>
      <c r="J8018" s="8">
        <v>3.6600000000000001E-2</v>
      </c>
    </row>
    <row r="8019" spans="1:10" x14ac:dyDescent="0.25">
      <c r="A8019" s="5" t="s">
        <v>8053</v>
      </c>
      <c r="B8019" s="5" t="s">
        <v>9886</v>
      </c>
      <c r="C8019" s="6" t="str">
        <f>_xll.QS.CONTEXT.CREATE("market.8017",A8019,"USD","SOFR")</f>
        <v>QSObject:PricingContext:w1~market.8017:3730</v>
      </c>
      <c r="D8019" s="6" t="str">
        <f>_xll.QS.CONTEXT.ADD.CURVE(C8019,"SOFR",$K$2:$K$7,$L$2:$L$7,,,"Actual360","LogLinear",TRUE)</f>
        <v>QSObject:ContextInput:w1~input.qs_context_add_curve.2359132437744.8018.3.0:32304</v>
      </c>
      <c r="E8019" s="6" t="str">
        <f>_xll.QS.INSTRUMENT.SWAP("swap.8017",H8019,B8019,"USD","SOFR",I8019,J8019,0,"Actual360","Simple","Annual","Annual","Annual")</f>
        <v>QSObject:Swap:w1~swap.8017:3729</v>
      </c>
      <c r="F8019" s="6" t="str">
        <f>_xll.QS.TRADE.CREATE("trade.8017",E8019,A8019,"Receive")</f>
        <v>QSObject:SwapTrade:w1~trade.8017:23670</v>
      </c>
      <c r="G8019" s="3">
        <f>_xll.QS.EVALUATE(C8019,F8019)</f>
        <v>38977.528282581297</v>
      </c>
      <c r="H8019" s="5" t="s">
        <v>8060</v>
      </c>
      <c r="I8019" s="7">
        <v>1801700</v>
      </c>
      <c r="J8019" s="8">
        <v>3.6700000000000003E-2</v>
      </c>
    </row>
    <row r="8020" spans="1:10" x14ac:dyDescent="0.25">
      <c r="A8020" s="5" t="s">
        <v>8054</v>
      </c>
      <c r="B8020" s="5" t="s">
        <v>9887</v>
      </c>
      <c r="C8020" s="6" t="str">
        <f>_xll.QS.CONTEXT.CREATE("market.8018",A8020,"USD","SOFR")</f>
        <v>QSObject:PricingContext:w1~market.8018:3728</v>
      </c>
      <c r="D8020" s="6" t="str">
        <f>_xll.QS.CONTEXT.ADD.CURVE(C8020,"SOFR",$K$2:$K$7,$L$2:$L$7,,,"Actual360","LogLinear",TRUE)</f>
        <v>QSObject:ContextInput:w1~input.qs_context_add_curve.2359132437744.8019.3.0:32303</v>
      </c>
      <c r="E8020" s="6" t="str">
        <f>_xll.QS.INSTRUMENT.SWAP("swap.8018",H8020,B8020,"USD","SOFR",I8020,J8020,0,"Actual360","Simple","Annual","Annual","Annual")</f>
        <v>QSObject:Swap:w1~swap.8018:3727</v>
      </c>
      <c r="F8020" s="6" t="str">
        <f>_xll.QS.TRADE.CREATE("trade.8018",E8020,A8020,"Receive")</f>
        <v>QSObject:SwapTrade:w1~trade.8018:23669</v>
      </c>
      <c r="G8020" s="3">
        <f>_xll.QS.EVALUATE(C8020,F8020)</f>
        <v>39820.62767156148</v>
      </c>
      <c r="H8020" s="5" t="s">
        <v>8061</v>
      </c>
      <c r="I8020" s="7">
        <v>1801800</v>
      </c>
      <c r="J8020" s="8">
        <v>3.6800000000000013E-2</v>
      </c>
    </row>
    <row r="8021" spans="1:10" x14ac:dyDescent="0.25">
      <c r="A8021" s="5" t="s">
        <v>8055</v>
      </c>
      <c r="B8021" s="5" t="s">
        <v>9888</v>
      </c>
      <c r="C8021" s="6" t="str">
        <f>_xll.QS.CONTEXT.CREATE("market.8019",A8021,"USD","SOFR")</f>
        <v>QSObject:PricingContext:w1~market.8019:3726</v>
      </c>
      <c r="D8021" s="6" t="str">
        <f>_xll.QS.CONTEXT.ADD.CURVE(C8021,"SOFR",$K$2:$K$7,$L$2:$L$7,,,"Actual360","LogLinear",TRUE)</f>
        <v>QSObject:ContextInput:w1~input.qs_context_add_curve.2359132437744.8020.3.0:32302</v>
      </c>
      <c r="E8021" s="6" t="str">
        <f>_xll.QS.INSTRUMENT.SWAP("swap.8019",H8021,B8021,"USD","SOFR",I8021,J8021,0,"Actual360","Simple","Annual","Annual","Annual")</f>
        <v>QSObject:Swap:w1~swap.8019:3725</v>
      </c>
      <c r="F8021" s="6" t="str">
        <f>_xll.QS.TRADE.CREATE("trade.8019",E8021,A8021,"Receive")</f>
        <v>QSObject:SwapTrade:w1~trade.8019:23668</v>
      </c>
      <c r="G8021" s="3">
        <f>_xll.QS.EVALUATE(C8021,F8021)</f>
        <v>40655.669542612319</v>
      </c>
      <c r="H8021" s="5" t="s">
        <v>8062</v>
      </c>
      <c r="I8021" s="7">
        <v>1801900</v>
      </c>
      <c r="J8021" s="8">
        <v>3.6900000000000002E-2</v>
      </c>
    </row>
    <row r="8022" spans="1:10" x14ac:dyDescent="0.25">
      <c r="A8022" s="5" t="s">
        <v>8056</v>
      </c>
      <c r="B8022" s="5" t="s">
        <v>9889</v>
      </c>
      <c r="C8022" s="6" t="str">
        <f>_xll.QS.CONTEXT.CREATE("market.8020",A8022,"USD","SOFR")</f>
        <v>QSObject:PricingContext:w1~market.8020:3724</v>
      </c>
      <c r="D8022" s="6" t="str">
        <f>_xll.QS.CONTEXT.ADD.CURVE(C8022,"SOFR",$K$2:$K$7,$L$2:$L$7,,,"Actual360","LogLinear",TRUE)</f>
        <v>QSObject:ContextInput:w1~input.qs_context_add_curve.2359132437744.8021.3.0:32301</v>
      </c>
      <c r="E8022" s="6" t="str">
        <f>_xll.QS.INSTRUMENT.SWAP("swap.8020",H8022,B8022,"USD","SOFR",I8022,J8022,0,"Actual360","Simple","Annual","Annual","Annual")</f>
        <v>QSObject:Swap:w1~swap.8020:3723</v>
      </c>
      <c r="F8022" s="6" t="str">
        <f>_xll.QS.TRADE.CREATE("trade.8020",E8022,A8022,"Receive")</f>
        <v>QSObject:SwapTrade:w1~trade.8020:23667</v>
      </c>
      <c r="G8022" s="3">
        <f>_xll.QS.EVALUATE(C8022,F8022)</f>
        <v>41193.507838109006</v>
      </c>
      <c r="H8022" s="5" t="s">
        <v>8063</v>
      </c>
      <c r="I8022" s="7">
        <v>1802000</v>
      </c>
      <c r="J8022" s="8">
        <v>3.7000000000000012E-2</v>
      </c>
    </row>
    <row r="8023" spans="1:10" x14ac:dyDescent="0.25">
      <c r="A8023" s="5" t="s">
        <v>8057</v>
      </c>
      <c r="B8023" s="5" t="s">
        <v>9890</v>
      </c>
      <c r="C8023" s="6" t="str">
        <f>_xll.QS.CONTEXT.CREATE("market.8021",A8023,"USD","SOFR")</f>
        <v>QSObject:PricingContext:w1~market.8021:3722</v>
      </c>
      <c r="D8023" s="6" t="str">
        <f>_xll.QS.CONTEXT.ADD.CURVE(C8023,"SOFR",$K$2:$K$7,$L$2:$L$7,,,"Actual360","LogLinear",TRUE)</f>
        <v>QSObject:ContextInput:w1~input.qs_context_add_curve.2359132437744.8022.3.0:32300</v>
      </c>
      <c r="E8023" s="6" t="str">
        <f>_xll.QS.INSTRUMENT.SWAP("swap.8021",H8023,B8023,"USD","SOFR",I8023,J8023,0,"Actual360","Simple","Annual","Annual","Annual")</f>
        <v>QSObject:Swap:w1~swap.8021:3721</v>
      </c>
      <c r="F8023" s="6" t="str">
        <f>_xll.QS.TRADE.CREATE("trade.8021",E8023,A8023,"Receive")</f>
        <v>QSObject:SwapTrade:w1~trade.8021:23666</v>
      </c>
      <c r="G8023" s="3">
        <f>_xll.QS.EVALUATE(C8023,F8023)</f>
        <v>42029.923880952119</v>
      </c>
      <c r="H8023" s="5" t="s">
        <v>8064</v>
      </c>
      <c r="I8023" s="7">
        <v>1802100</v>
      </c>
      <c r="J8023" s="8">
        <v>3.7100000000000001E-2</v>
      </c>
    </row>
    <row r="8024" spans="1:10" x14ac:dyDescent="0.25">
      <c r="A8024" s="5" t="s">
        <v>8058</v>
      </c>
      <c r="B8024" s="5" t="s">
        <v>9891</v>
      </c>
      <c r="C8024" s="6" t="str">
        <f>_xll.QS.CONTEXT.CREATE("market.8022",A8024,"USD","SOFR")</f>
        <v>QSObject:PricingContext:w1~market.8022:3720</v>
      </c>
      <c r="D8024" s="6" t="str">
        <f>_xll.QS.CONTEXT.ADD.CURVE(C8024,"SOFR",$K$2:$K$7,$L$2:$L$7,,,"Actual360","LogLinear",TRUE)</f>
        <v>QSObject:ContextInput:w1~input.qs_context_add_curve.2359132437744.8023.3.0:32299</v>
      </c>
      <c r="E8024" s="6" t="str">
        <f>_xll.QS.INSTRUMENT.SWAP("swap.8022",H8024,B8024,"USD","SOFR",I8024,J8024,0,"Actual360","Simple","Annual","Annual","Annual")</f>
        <v>QSObject:Swap:w1~swap.8022:3719</v>
      </c>
      <c r="F8024" s="6" t="str">
        <f>_xll.QS.TRADE.CREATE("trade.8022",E8024,A8024,"Receive")</f>
        <v>QSObject:SwapTrade:w1~trade.8022:23665</v>
      </c>
      <c r="G8024" s="3">
        <f>_xll.QS.EVALUATE(C8024,F8024)</f>
        <v>42939.648318362131</v>
      </c>
      <c r="H8024" s="5" t="s">
        <v>8065</v>
      </c>
      <c r="I8024" s="7">
        <v>1802200</v>
      </c>
      <c r="J8024" s="8">
        <v>3.7199999999999997E-2</v>
      </c>
    </row>
    <row r="8025" spans="1:10" x14ac:dyDescent="0.25">
      <c r="A8025" s="5" t="s">
        <v>8059</v>
      </c>
      <c r="B8025" s="5" t="s">
        <v>9892</v>
      </c>
      <c r="C8025" s="6" t="str">
        <f>_xll.QS.CONTEXT.CREATE("market.8023",A8025,"USD","SOFR")</f>
        <v>QSObject:PricingContext:w1~market.8023:3718</v>
      </c>
      <c r="D8025" s="6" t="str">
        <f>_xll.QS.CONTEXT.ADD.CURVE(C8025,"SOFR",$K$2:$K$7,$L$2:$L$7,,,"Actual360","LogLinear",TRUE)</f>
        <v>QSObject:ContextInput:w1~input.qs_context_add_curve.2359132437744.8024.3.0:32298</v>
      </c>
      <c r="E8025" s="6" t="str">
        <f>_xll.QS.INSTRUMENT.SWAP("swap.8023",H8025,B8025,"USD","SOFR",I8025,J8025,0,"Actual360","Simple","Annual","Annual","Annual")</f>
        <v>QSObject:Swap:w1~swap.8023:3717</v>
      </c>
      <c r="F8025" s="6" t="str">
        <f>_xll.QS.TRADE.CREATE("trade.8023",E8025,A8025,"Receive")</f>
        <v>QSObject:SwapTrade:w1~trade.8023:23664</v>
      </c>
      <c r="G8025" s="3">
        <f>_xll.QS.EVALUATE(C8025,F8025)</f>
        <v>44046.581884596584</v>
      </c>
      <c r="H8025" s="5" t="s">
        <v>8066</v>
      </c>
      <c r="I8025" s="7">
        <v>1802300</v>
      </c>
      <c r="J8025" s="8">
        <v>3.73E-2</v>
      </c>
    </row>
    <row r="8026" spans="1:10" x14ac:dyDescent="0.25">
      <c r="A8026" s="5" t="s">
        <v>8060</v>
      </c>
      <c r="B8026" s="5" t="s">
        <v>9893</v>
      </c>
      <c r="C8026" s="6" t="str">
        <f>_xll.QS.CONTEXT.CREATE("market.8024",A8026,"USD","SOFR")</f>
        <v>QSObject:PricingContext:w1~market.8024:3716</v>
      </c>
      <c r="D8026" s="6" t="str">
        <f>_xll.QS.CONTEXT.ADD.CURVE(C8026,"SOFR",$K$2:$K$7,$L$2:$L$7,,,"Actual360","LogLinear",TRUE)</f>
        <v>QSObject:ContextInput:w1~input.qs_context_add_curve.2359132437744.8025.3.0:32297</v>
      </c>
      <c r="E8026" s="6" t="str">
        <f>_xll.QS.INSTRUMENT.SWAP("swap.8024",H8026,B8026,"USD","SOFR",I8026,J8026,0,"Actual360","Simple","Annual","Annual","Annual")</f>
        <v>QSObject:Swap:w1~swap.8024:3715</v>
      </c>
      <c r="F8026" s="6" t="str">
        <f>_xll.QS.TRADE.CREATE("trade.8024",E8026,A8026,"Receive")</f>
        <v>QSObject:SwapTrade:w1~trade.8024:23663</v>
      </c>
      <c r="G8026" s="3">
        <f>_xll.QS.EVALUATE(C8026,F8026)</f>
        <v>44880.338969408578</v>
      </c>
      <c r="H8026" s="5" t="s">
        <v>8067</v>
      </c>
      <c r="I8026" s="7">
        <v>1802400</v>
      </c>
      <c r="J8026" s="8">
        <v>3.7400000000000003E-2</v>
      </c>
    </row>
    <row r="8027" spans="1:10" x14ac:dyDescent="0.25">
      <c r="A8027" s="5" t="s">
        <v>8061</v>
      </c>
      <c r="B8027" s="5" t="s">
        <v>9894</v>
      </c>
      <c r="C8027" s="6" t="str">
        <f>_xll.QS.CONTEXT.CREATE("market.8025",A8027,"USD","SOFR")</f>
        <v>QSObject:PricingContext:w1~market.8025:3714</v>
      </c>
      <c r="D8027" s="6" t="str">
        <f>_xll.QS.CONTEXT.ADD.CURVE(C8027,"SOFR",$K$2:$K$7,$L$2:$L$7,,,"Actual360","LogLinear",TRUE)</f>
        <v>QSObject:ContextInput:w1~input.qs_context_add_curve.2359132437744.8026.3.0:32296</v>
      </c>
      <c r="E8027" s="6" t="str">
        <f>_xll.QS.INSTRUMENT.SWAP("swap.8025",H8027,B8027,"USD","SOFR",I8027,J8027,0,"Actual360","Simple","Annual","Annual","Annual")</f>
        <v>QSObject:Swap:w1~swap.8025:3713</v>
      </c>
      <c r="F8027" s="6" t="str">
        <f>_xll.QS.TRADE.CREATE("trade.8025",E8027,A8027,"Receive")</f>
        <v>QSObject:SwapTrade:w1~trade.8025:23662</v>
      </c>
      <c r="G8027" s="3">
        <f>_xll.QS.EVALUATE(C8027,F8027)</f>
        <v>45730.296596051376</v>
      </c>
      <c r="H8027" s="5" t="s">
        <v>8068</v>
      </c>
      <c r="I8027" s="7">
        <v>1802500</v>
      </c>
      <c r="J8027" s="8">
        <v>3.7500000000000012E-2</v>
      </c>
    </row>
    <row r="8028" spans="1:10" x14ac:dyDescent="0.25">
      <c r="A8028" s="5" t="s">
        <v>8062</v>
      </c>
      <c r="B8028" s="5" t="s">
        <v>9895</v>
      </c>
      <c r="C8028" s="6" t="str">
        <f>_xll.QS.CONTEXT.CREATE("market.8026",A8028,"USD","SOFR")</f>
        <v>QSObject:PricingContext:w1~market.8026:3712</v>
      </c>
      <c r="D8028" s="6" t="str">
        <f>_xll.QS.CONTEXT.ADD.CURVE(C8028,"SOFR",$K$2:$K$7,$L$2:$L$7,,,"Actual360","LogLinear",TRUE)</f>
        <v>QSObject:ContextInput:w1~input.qs_context_add_curve.2359132437744.8027.3.0:32295</v>
      </c>
      <c r="E8028" s="6" t="str">
        <f>_xll.QS.INSTRUMENT.SWAP("swap.8026",H8028,B8028,"USD","SOFR",I8028,J8028,0,"Actual360","Simple","Annual","Annual","Annual")</f>
        <v>QSObject:Swap:w1~swap.8026:3711</v>
      </c>
      <c r="F8028" s="6" t="str">
        <f>_xll.QS.TRADE.CREATE("trade.8026",E8028,A8028,"Receive")</f>
        <v>QSObject:SwapTrade:w1~trade.8026:23661</v>
      </c>
      <c r="G8028" s="3">
        <f>_xll.QS.EVALUATE(C8028,F8028)</f>
        <v>46565.314006298642</v>
      </c>
      <c r="H8028" s="5" t="s">
        <v>8069</v>
      </c>
      <c r="I8028" s="7">
        <v>1802600</v>
      </c>
      <c r="J8028" s="8">
        <v>3.7600000000000001E-2</v>
      </c>
    </row>
    <row r="8029" spans="1:10" x14ac:dyDescent="0.25">
      <c r="A8029" s="5" t="s">
        <v>8063</v>
      </c>
      <c r="B8029" s="5" t="s">
        <v>9896</v>
      </c>
      <c r="C8029" s="6" t="str">
        <f>_xll.QS.CONTEXT.CREATE("market.8027",A8029,"USD","SOFR")</f>
        <v>QSObject:PricingContext:w1~market.8027:3710</v>
      </c>
      <c r="D8029" s="6" t="str">
        <f>_xll.QS.CONTEXT.ADD.CURVE(C8029,"SOFR",$K$2:$K$7,$L$2:$L$7,,,"Actual360","LogLinear",TRUE)</f>
        <v>QSObject:ContextInput:w1~input.qs_context_add_curve.2359132437744.8028.3.0:32294</v>
      </c>
      <c r="E8029" s="6" t="str">
        <f>_xll.QS.INSTRUMENT.SWAP("swap.8027",H8029,B8029,"USD","SOFR",I8029,J8029,0,"Actual360","Simple","Annual","Annual","Annual")</f>
        <v>QSObject:Swap:w1~swap.8027:3709</v>
      </c>
      <c r="F8029" s="6" t="str">
        <f>_xll.QS.TRADE.CREATE("trade.8027",E8029,A8029,"Receive")</f>
        <v>QSObject:SwapTrade:w1~trade.8027:23660</v>
      </c>
      <c r="G8029" s="3">
        <f>_xll.QS.EVALUATE(C8029,F8029)</f>
        <v>47403.213052641651</v>
      </c>
      <c r="H8029" s="5" t="s">
        <v>8070</v>
      </c>
      <c r="I8029" s="7">
        <v>1802700</v>
      </c>
      <c r="J8029" s="8">
        <v>3.7699999999999997E-2</v>
      </c>
    </row>
    <row r="8030" spans="1:10" x14ac:dyDescent="0.25">
      <c r="A8030" s="5" t="s">
        <v>8064</v>
      </c>
      <c r="B8030" s="5" t="s">
        <v>9897</v>
      </c>
      <c r="C8030" s="6" t="str">
        <f>_xll.QS.CONTEXT.CREATE("market.8028",A8030,"USD","SOFR")</f>
        <v>QSObject:PricingContext:w1~market.8028:3708</v>
      </c>
      <c r="D8030" s="6" t="str">
        <f>_xll.QS.CONTEXT.ADD.CURVE(C8030,"SOFR",$K$2:$K$7,$L$2:$L$7,,,"Actual360","LogLinear",TRUE)</f>
        <v>QSObject:ContextInput:w1~input.qs_context_add_curve.2359132437744.8029.3.0:32293</v>
      </c>
      <c r="E8030" s="6" t="str">
        <f>_xll.QS.INSTRUMENT.SWAP("swap.8028",H8030,B8030,"USD","SOFR",I8030,J8030,0,"Actual360","Simple","Annual","Annual","Annual")</f>
        <v>QSObject:Swap:w1~swap.8028:3707</v>
      </c>
      <c r="F8030" s="6" t="str">
        <f>_xll.QS.TRADE.CREATE("trade.8028",E8030,A8030,"Receive")</f>
        <v>QSObject:SwapTrade:w1~trade.8028:23659</v>
      </c>
      <c r="G8030" s="3">
        <f>_xll.QS.EVALUATE(C8030,F8030)</f>
        <v>47939.863710220685</v>
      </c>
      <c r="H8030" s="5" t="s">
        <v>8071</v>
      </c>
      <c r="I8030" s="7">
        <v>1802800</v>
      </c>
      <c r="J8030" s="8">
        <v>3.78E-2</v>
      </c>
    </row>
    <row r="8031" spans="1:10" x14ac:dyDescent="0.25">
      <c r="A8031" s="5" t="s">
        <v>8065</v>
      </c>
      <c r="B8031" s="5" t="s">
        <v>9898</v>
      </c>
      <c r="C8031" s="6" t="str">
        <f>_xll.QS.CONTEXT.CREATE("market.8029",A8031,"USD","SOFR")</f>
        <v>QSObject:PricingContext:w1~market.8029:3706</v>
      </c>
      <c r="D8031" s="6" t="str">
        <f>_xll.QS.CONTEXT.ADD.CURVE(C8031,"SOFR",$K$2:$K$7,$L$2:$L$7,,,"Actual360","LogLinear",TRUE)</f>
        <v>QSObject:ContextInput:w1~input.qs_context_add_curve.2359132437744.8030.3.0:32292</v>
      </c>
      <c r="E8031" s="6" t="str">
        <f>_xll.QS.INSTRUMENT.SWAP("swap.8029",H8031,B8031,"USD","SOFR",I8031,J8031,0,"Actual360","Simple","Annual","Annual","Annual")</f>
        <v>QSObject:Swap:w1~swap.8029:3705</v>
      </c>
      <c r="F8031" s="6" t="str">
        <f>_xll.QS.TRADE.CREATE("trade.8029",E8031,A8031,"Receive")</f>
        <v>QSObject:SwapTrade:w1~trade.8029:23658</v>
      </c>
      <c r="G8031" s="3">
        <f>_xll.QS.EVALUATE(C8031,F8031)</f>
        <v>48778.297909436806</v>
      </c>
      <c r="H8031" s="5" t="s">
        <v>8072</v>
      </c>
      <c r="I8031" s="7">
        <v>1802900</v>
      </c>
      <c r="J8031" s="8">
        <v>3.7900000000000003E-2</v>
      </c>
    </row>
    <row r="8032" spans="1:10" x14ac:dyDescent="0.25">
      <c r="A8032" s="5" t="s">
        <v>8066</v>
      </c>
      <c r="B8032" s="5" t="s">
        <v>9899</v>
      </c>
      <c r="C8032" s="6" t="str">
        <f>_xll.QS.CONTEXT.CREATE("market.8030",A8032,"USD","SOFR")</f>
        <v>QSObject:PricingContext:w1~market.8030:3704</v>
      </c>
      <c r="D8032" s="6" t="str">
        <f>_xll.QS.CONTEXT.ADD.CURVE(C8032,"SOFR",$K$2:$K$7,$L$2:$L$7,,,"Actual360","LogLinear",TRUE)</f>
        <v>QSObject:ContextInput:w1~input.qs_context_add_curve.2359132437744.8031.3.0:32291</v>
      </c>
      <c r="E8032" s="6" t="str">
        <f>_xll.QS.INSTRUMENT.SWAP("swap.8030",H8032,B8032,"USD","SOFR",I8032,J8032,0,"Actual360","Simple","Annual","Annual","Annual")</f>
        <v>QSObject:Swap:w1~swap.8030:3703</v>
      </c>
      <c r="F8032" s="6" t="str">
        <f>_xll.QS.TRADE.CREATE("trade.8030",E8032,A8032,"Receive")</f>
        <v>QSObject:SwapTrade:w1~trade.8030:23657</v>
      </c>
      <c r="G8032" s="3">
        <f>_xll.QS.EVALUATE(C8032,F8032)</f>
        <v>49886.667047842682</v>
      </c>
      <c r="H8032" s="5" t="s">
        <v>8073</v>
      </c>
      <c r="I8032" s="7">
        <v>1803000</v>
      </c>
      <c r="J8032" s="8">
        <v>3.8000000000000013E-2</v>
      </c>
    </row>
    <row r="8033" spans="1:10" x14ac:dyDescent="0.25">
      <c r="A8033" s="5" t="s">
        <v>8067</v>
      </c>
      <c r="B8033" s="5" t="s">
        <v>9900</v>
      </c>
      <c r="C8033" s="6" t="str">
        <f>_xll.QS.CONTEXT.CREATE("market.8031",A8033,"USD","SOFR")</f>
        <v>QSObject:PricingContext:w1~market.8031:3702</v>
      </c>
      <c r="D8033" s="6" t="str">
        <f>_xll.QS.CONTEXT.ADD.CURVE(C8033,"SOFR",$K$2:$K$7,$L$2:$L$7,,,"Actual360","LogLinear",TRUE)</f>
        <v>QSObject:ContextInput:w1~input.qs_context_add_curve.2359132437744.8032.3.0:32290</v>
      </c>
      <c r="E8033" s="6" t="str">
        <f>_xll.QS.INSTRUMENT.SWAP("swap.8031",H8033,B8033,"USD","SOFR",I8033,J8033,0,"Actual360","Simple","Annual","Annual","Annual")</f>
        <v>QSObject:Swap:w1~swap.8031:3701</v>
      </c>
      <c r="F8033" s="6" t="str">
        <f>_xll.QS.TRADE.CREATE("trade.8031",E8033,A8033,"Receive")</f>
        <v>QSObject:SwapTrade:w1~trade.8031:23656</v>
      </c>
      <c r="G8033" s="3">
        <f>_xll.QS.EVALUATE(C8033,F8033)</f>
        <v>50721.28499880532</v>
      </c>
      <c r="H8033" s="5" t="s">
        <v>8074</v>
      </c>
      <c r="I8033" s="7">
        <v>1803100</v>
      </c>
      <c r="J8033" s="8">
        <v>3.8100000000000002E-2</v>
      </c>
    </row>
    <row r="8034" spans="1:10" x14ac:dyDescent="0.25">
      <c r="A8034" s="5" t="s">
        <v>8068</v>
      </c>
      <c r="B8034" s="5" t="s">
        <v>9901</v>
      </c>
      <c r="C8034" s="6" t="str">
        <f>_xll.QS.CONTEXT.CREATE("market.8032",A8034,"USD","SOFR")</f>
        <v>QSObject:PricingContext:w1~market.8032:3700</v>
      </c>
      <c r="D8034" s="6" t="str">
        <f>_xll.QS.CONTEXT.ADD.CURVE(C8034,"SOFR",$K$2:$K$7,$L$2:$L$7,,,"Actual360","LogLinear",TRUE)</f>
        <v>QSObject:ContextInput:w1~input.qs_context_add_curve.2359132437744.8033.3.0:32289</v>
      </c>
      <c r="E8034" s="6" t="str">
        <f>_xll.QS.INSTRUMENT.SWAP("swap.8032",H8034,B8034,"USD","SOFR",I8034,J8034,0,"Actual360","Simple","Annual","Annual","Annual")</f>
        <v>QSObject:Swap:w1~swap.8032:3699</v>
      </c>
      <c r="F8034" s="6" t="str">
        <f>_xll.QS.TRADE.CREATE("trade.8032",E8034,A8034,"Receive")</f>
        <v>QSObject:SwapTrade:w1~trade.8032:23655</v>
      </c>
      <c r="G8034" s="3">
        <f>_xll.QS.EVALUATE(C8034,F8034)</f>
        <v>51571.721158242886</v>
      </c>
      <c r="H8034" s="5" t="s">
        <v>8075</v>
      </c>
      <c r="I8034" s="7">
        <v>1803200</v>
      </c>
      <c r="J8034" s="8">
        <v>3.8199999999999998E-2</v>
      </c>
    </row>
    <row r="8035" spans="1:10" x14ac:dyDescent="0.25">
      <c r="A8035" s="5" t="s">
        <v>8069</v>
      </c>
      <c r="B8035" s="5" t="s">
        <v>9902</v>
      </c>
      <c r="C8035" s="6" t="str">
        <f>_xll.QS.CONTEXT.CREATE("market.8033",A8035,"USD","SOFR")</f>
        <v>QSObject:PricingContext:w1~market.8033:3698</v>
      </c>
      <c r="D8035" s="6" t="str">
        <f>_xll.QS.CONTEXT.ADD.CURVE(C8035,"SOFR",$K$2:$K$7,$L$2:$L$7,,,"Actual360","LogLinear",TRUE)</f>
        <v>QSObject:ContextInput:w1~input.qs_context_add_curve.2359132437744.8034.3.0:32288</v>
      </c>
      <c r="E8035" s="6" t="str">
        <f>_xll.QS.INSTRUMENT.SWAP("swap.8033",H8035,B8035,"USD","SOFR",I8035,J8035,0,"Actual360","Simple","Annual","Annual","Annual")</f>
        <v>QSObject:Swap:w1~swap.8033:3697</v>
      </c>
      <c r="F8035" s="6" t="str">
        <f>_xll.QS.TRADE.CREATE("trade.8033",E8035,A8035,"Receive")</f>
        <v>QSObject:SwapTrade:w1~trade.8033:23654</v>
      </c>
      <c r="G8035" s="3">
        <f>_xll.QS.EVALUATE(C8035,F8035)</f>
        <v>52407.43192232072</v>
      </c>
      <c r="H8035" s="5" t="s">
        <v>8076</v>
      </c>
      <c r="I8035" s="7">
        <v>1803300</v>
      </c>
      <c r="J8035" s="8">
        <v>3.8300000000000001E-2</v>
      </c>
    </row>
    <row r="8036" spans="1:10" x14ac:dyDescent="0.25">
      <c r="A8036" s="5" t="s">
        <v>8070</v>
      </c>
      <c r="B8036" s="5" t="s">
        <v>9903</v>
      </c>
      <c r="C8036" s="6" t="str">
        <f>_xll.QS.CONTEXT.CREATE("market.8034",A8036,"USD","SOFR")</f>
        <v>QSObject:PricingContext:w1~market.8034:3696</v>
      </c>
      <c r="D8036" s="6" t="str">
        <f>_xll.QS.CONTEXT.ADD.CURVE(C8036,"SOFR",$K$2:$K$7,$L$2:$L$7,,,"Actual360","LogLinear",TRUE)</f>
        <v>QSObject:ContextInput:w1~input.qs_context_add_curve.2359132437744.8035.3.0:32287</v>
      </c>
      <c r="E8036" s="6" t="str">
        <f>_xll.QS.INSTRUMENT.SWAP("swap.8034",H8036,B8036,"USD","SOFR",I8036,J8036,0,"Actual360","Simple","Annual","Annual","Annual")</f>
        <v>QSObject:Swap:w1~swap.8034:3695</v>
      </c>
      <c r="F8036" s="6" t="str">
        <f>_xll.QS.TRADE.CREATE("trade.8034",E8036,A8036,"Receive")</f>
        <v>QSObject:SwapTrade:w1~trade.8034:23653</v>
      </c>
      <c r="G8036" s="3">
        <f>_xll.QS.EVALUATE(C8036,F8036)</f>
        <v>53018.823200795647</v>
      </c>
      <c r="H8036" s="5" t="s">
        <v>8077</v>
      </c>
      <c r="I8036" s="7">
        <v>1803400</v>
      </c>
      <c r="J8036" s="8">
        <v>3.8399999999999997E-2</v>
      </c>
    </row>
    <row r="8037" spans="1:10" x14ac:dyDescent="0.25">
      <c r="A8037" s="5" t="s">
        <v>8071</v>
      </c>
      <c r="B8037" s="5" t="s">
        <v>9904</v>
      </c>
      <c r="C8037" s="6" t="str">
        <f>_xll.QS.CONTEXT.CREATE("market.8035",A8037,"USD","SOFR")</f>
        <v>QSObject:PricingContext:w1~market.8035:3694</v>
      </c>
      <c r="D8037" s="6" t="str">
        <f>_xll.QS.CONTEXT.ADD.CURVE(C8037,"SOFR",$K$2:$K$7,$L$2:$L$7,,,"Actual360","LogLinear",TRUE)</f>
        <v>QSObject:ContextInput:w1~input.qs_context_add_curve.2359132437744.8036.3.0:32286</v>
      </c>
      <c r="E8037" s="6" t="str">
        <f>_xll.QS.INSTRUMENT.SWAP("swap.8035",H8037,B8037,"USD","SOFR",I8037,J8037,0,"Actual360","Simple","Annual","Annual","Annual")</f>
        <v>QSObject:Swap:w1~swap.8035:3693</v>
      </c>
      <c r="F8037" s="6" t="str">
        <f>_xll.QS.TRADE.CREATE("trade.8035",E8037,A8037,"Receive")</f>
        <v>QSObject:SwapTrade:w1~trade.8035:23652</v>
      </c>
      <c r="G8037" s="3">
        <f>_xll.QS.EVALUATE(C8037,F8037)</f>
        <v>53858.14391477235</v>
      </c>
      <c r="H8037" s="5" t="s">
        <v>8078</v>
      </c>
      <c r="I8037" s="7">
        <v>1803500</v>
      </c>
      <c r="J8037" s="8">
        <v>3.8500000000000013E-2</v>
      </c>
    </row>
    <row r="8038" spans="1:10" x14ac:dyDescent="0.25">
      <c r="A8038" s="5" t="s">
        <v>8072</v>
      </c>
      <c r="B8038" s="5" t="s">
        <v>9905</v>
      </c>
      <c r="C8038" s="6" t="str">
        <f>_xll.QS.CONTEXT.CREATE("market.8036",A8038,"USD","SOFR")</f>
        <v>QSObject:PricingContext:w1~market.8036:3692</v>
      </c>
      <c r="D8038" s="6" t="str">
        <f>_xll.QS.CONTEXT.ADD.CURVE(C8038,"SOFR",$K$2:$K$7,$L$2:$L$7,,,"Actual360","LogLinear",TRUE)</f>
        <v>QSObject:ContextInput:w1~input.qs_context_add_curve.2359132437744.8037.3.0:32285</v>
      </c>
      <c r="E8038" s="6" t="str">
        <f>_xll.QS.INSTRUMENT.SWAP("swap.8036",H8038,B8038,"USD","SOFR",I8038,J8038,0,"Actual360","Simple","Annual","Annual","Annual")</f>
        <v>QSObject:Swap:w1~swap.8036:3691</v>
      </c>
      <c r="F8038" s="6" t="str">
        <f>_xll.QS.TRADE.CREATE("trade.8036",E8038,A8038,"Receive")</f>
        <v>QSObject:SwapTrade:w1~trade.8036:23651</v>
      </c>
      <c r="G8038" s="3">
        <f>_xll.QS.EVALUATE(C8038,F8038)</f>
        <v>54697.317034147367</v>
      </c>
      <c r="H8038" s="5" t="s">
        <v>8079</v>
      </c>
      <c r="I8038" s="7">
        <v>1803600</v>
      </c>
      <c r="J8038" s="8">
        <v>3.8600000000000002E-2</v>
      </c>
    </row>
    <row r="8039" spans="1:10" x14ac:dyDescent="0.25">
      <c r="A8039" s="5" t="s">
        <v>8073</v>
      </c>
      <c r="B8039" s="5" t="s">
        <v>9906</v>
      </c>
      <c r="C8039" s="6" t="str">
        <f>_xll.QS.CONTEXT.CREATE("market.8037",A8039,"USD","SOFR")</f>
        <v>QSObject:PricingContext:w1~market.8037:3690</v>
      </c>
      <c r="D8039" s="6" t="str">
        <f>_xll.QS.CONTEXT.ADD.CURVE(C8039,"SOFR",$K$2:$K$7,$L$2:$L$7,,,"Actual360","LogLinear",TRUE)</f>
        <v>QSObject:ContextInput:w1~input.qs_context_add_curve.2359132437744.8038.3.0:32284</v>
      </c>
      <c r="E8039" s="6" t="str">
        <f>_xll.QS.INSTRUMENT.SWAP("swap.8037",H8039,B8039,"USD","SOFR",I8039,J8039,0,"Actual360","Simple","Annual","Annual","Annual")</f>
        <v>QSObject:Swap:w1~swap.8037:3689</v>
      </c>
      <c r="F8039" s="6" t="str">
        <f>_xll.QS.TRADE.CREATE("trade.8037",E8039,A8039,"Receive")</f>
        <v>QSObject:SwapTrade:w1~trade.8037:23650</v>
      </c>
      <c r="G8039" s="3">
        <f>_xll.QS.EVALUATE(C8039,F8039)</f>
        <v>55664.464435890222</v>
      </c>
      <c r="H8039" s="5" t="s">
        <v>8080</v>
      </c>
      <c r="I8039" s="7">
        <v>1803700</v>
      </c>
      <c r="J8039" s="8">
        <v>3.8700000000000012E-2</v>
      </c>
    </row>
    <row r="8040" spans="1:10" x14ac:dyDescent="0.25">
      <c r="A8040" s="5" t="s">
        <v>8074</v>
      </c>
      <c r="B8040" s="5" t="s">
        <v>9907</v>
      </c>
      <c r="C8040" s="6" t="str">
        <f>_xll.QS.CONTEXT.CREATE("market.8038",A8040,"USD","SOFR")</f>
        <v>QSObject:PricingContext:w1~market.8038:3688</v>
      </c>
      <c r="D8040" s="6" t="str">
        <f>_xll.QS.CONTEXT.ADD.CURVE(C8040,"SOFR",$K$2:$K$7,$L$2:$L$7,,,"Actual360","LogLinear",TRUE)</f>
        <v>QSObject:ContextInput:w1~input.qs_context_add_curve.2359132437744.8039.3.0:32283</v>
      </c>
      <c r="E8040" s="6" t="str">
        <f>_xll.QS.INSTRUMENT.SWAP("swap.8038",H8040,B8040,"USD","SOFR",I8040,J8040,0,"Actual360","Simple","Annual","Annual","Annual")</f>
        <v>QSObject:Swap:w1~swap.8038:3687</v>
      </c>
      <c r="F8040" s="6" t="str">
        <f>_xll.QS.TRADE.CREATE("trade.8038",E8040,A8040,"Receive")</f>
        <v>QSObject:SwapTrade:w1~trade.8038:23649</v>
      </c>
      <c r="G8040" s="3">
        <f>_xll.QS.EVALUATE(C8040,F8040)</f>
        <v>56499.471703942698</v>
      </c>
      <c r="H8040" s="5" t="s">
        <v>8081</v>
      </c>
      <c r="I8040" s="7">
        <v>1803800</v>
      </c>
      <c r="J8040" s="8">
        <v>3.8800000000000001E-2</v>
      </c>
    </row>
    <row r="8041" spans="1:10" x14ac:dyDescent="0.25">
      <c r="A8041" s="5" t="s">
        <v>8075</v>
      </c>
      <c r="B8041" s="5" t="s">
        <v>9908</v>
      </c>
      <c r="C8041" s="6" t="str">
        <f>_xll.QS.CONTEXT.CREATE("market.8039",A8041,"USD","SOFR")</f>
        <v>QSObject:PricingContext:w1~market.8039:3686</v>
      </c>
      <c r="D8041" s="6" t="str">
        <f>_xll.QS.CONTEXT.ADD.CURVE(C8041,"SOFR",$K$2:$K$7,$L$2:$L$7,,,"Actual360","LogLinear",TRUE)</f>
        <v>QSObject:ContextInput:w1~input.qs_context_add_curve.2359132437744.8040.3.0:32282</v>
      </c>
      <c r="E8041" s="6" t="str">
        <f>_xll.QS.INSTRUMENT.SWAP("swap.8039",H8041,B8041,"USD","SOFR",I8041,J8041,0,"Actual360","Simple","Annual","Annual","Annual")</f>
        <v>QSObject:Swap:w1~swap.8039:3685</v>
      </c>
      <c r="F8041" s="6" t="str">
        <f>_xll.QS.TRADE.CREATE("trade.8039",E8041,A8041,"Receive")</f>
        <v>QSObject:SwapTrade:w1~trade.8039:23648</v>
      </c>
      <c r="G8041" s="3">
        <f>_xll.QS.EVALUATE(C8041,F8041)</f>
        <v>57344.568812108228</v>
      </c>
      <c r="H8041" s="5" t="s">
        <v>8082</v>
      </c>
      <c r="I8041" s="7">
        <v>1803900</v>
      </c>
      <c r="J8041" s="8">
        <v>3.8899999999999997E-2</v>
      </c>
    </row>
    <row r="8042" spans="1:10" x14ac:dyDescent="0.25">
      <c r="A8042" s="5" t="s">
        <v>8076</v>
      </c>
      <c r="B8042" s="5" t="s">
        <v>9909</v>
      </c>
      <c r="C8042" s="6" t="str">
        <f>_xll.QS.CONTEXT.CREATE("market.8040",A8042,"USD","SOFR")</f>
        <v>QSObject:PricingContext:w1~market.8040:3684</v>
      </c>
      <c r="D8042" s="6" t="str">
        <f>_xll.QS.CONTEXT.ADD.CURVE(C8042,"SOFR",$K$2:$K$7,$L$2:$L$7,,,"Actual360","LogLinear",TRUE)</f>
        <v>QSObject:ContextInput:w1~input.qs_context_add_curve.2359132437744.8041.3.0:32281</v>
      </c>
      <c r="E8042" s="6" t="str">
        <f>_xll.QS.INSTRUMENT.SWAP("swap.8040",H8042,B8042,"USD","SOFR",I8042,J8042,0,"Actual360","Simple","Annual","Annual","Annual")</f>
        <v>QSObject:Swap:w1~swap.8040:3683</v>
      </c>
      <c r="F8042" s="6" t="str">
        <f>_xll.QS.TRADE.CREATE("trade.8040",E8042,A8042,"Receive")</f>
        <v>QSObject:SwapTrade:w1~trade.8040:23647</v>
      </c>
      <c r="G8042" s="3">
        <f>_xll.QS.EVALUATE(C8042,F8042)</f>
        <v>58181.616701303901</v>
      </c>
      <c r="H8042" s="5" t="s">
        <v>8083</v>
      </c>
      <c r="I8042" s="7">
        <v>1804000</v>
      </c>
      <c r="J8042" s="8">
        <v>3.9000000000000007E-2</v>
      </c>
    </row>
    <row r="8043" spans="1:10" x14ac:dyDescent="0.25">
      <c r="A8043" s="5" t="s">
        <v>8077</v>
      </c>
      <c r="B8043" s="5" t="s">
        <v>9910</v>
      </c>
      <c r="C8043" s="6" t="str">
        <f>_xll.QS.CONTEXT.CREATE("market.8041",A8043,"USD","SOFR")</f>
        <v>QSObject:PricingContext:w1~market.8041:3682</v>
      </c>
      <c r="D8043" s="6" t="str">
        <f>_xll.QS.CONTEXT.ADD.CURVE(C8043,"SOFR",$K$2:$K$7,$L$2:$L$7,,,"Actual360","LogLinear",TRUE)</f>
        <v>QSObject:ContextInput:w1~input.qs_context_add_curve.2359132437744.8042.3.0:32280</v>
      </c>
      <c r="E8043" s="6" t="str">
        <f>_xll.QS.INSTRUMENT.SWAP("swap.8041",H8043,B8043,"USD","SOFR",I8043,J8043,0,"Actual360","Simple","Annual","Annual","Annual")</f>
        <v>QSObject:Swap:w1~swap.8041:3681</v>
      </c>
      <c r="F8043" s="6" t="str">
        <f>_xll.QS.TRADE.CREATE("trade.8041",E8043,A8043,"Receive")</f>
        <v>QSObject:SwapTrade:w1~trade.8041:23646</v>
      </c>
      <c r="G8043" s="3">
        <f>_xll.QS.EVALUATE(C8043,F8043)</f>
        <v>58715.869639290642</v>
      </c>
      <c r="H8043" s="5" t="s">
        <v>8084</v>
      </c>
      <c r="I8043" s="7">
        <v>1804100</v>
      </c>
      <c r="J8043" s="8">
        <v>3.9100000000000003E-2</v>
      </c>
    </row>
    <row r="8044" spans="1:10" x14ac:dyDescent="0.25">
      <c r="A8044" s="5" t="s">
        <v>8078</v>
      </c>
      <c r="B8044" s="5" t="s">
        <v>9911</v>
      </c>
      <c r="C8044" s="6" t="str">
        <f>_xll.QS.CONTEXT.CREATE("market.8042",A8044,"USD","SOFR")</f>
        <v>QSObject:PricingContext:w1~market.8042:3680</v>
      </c>
      <c r="D8044" s="6" t="str">
        <f>_xll.QS.CONTEXT.ADD.CURVE(C8044,"SOFR",$K$2:$K$7,$L$2:$L$7,,,"Actual360","LogLinear",TRUE)</f>
        <v>QSObject:ContextInput:w1~input.qs_context_add_curve.2359132437744.8043.3.0:32279</v>
      </c>
      <c r="E8044" s="6" t="str">
        <f>_xll.QS.INSTRUMENT.SWAP("swap.8042",H8044,B8044,"USD","SOFR",I8044,J8044,0,"Actual360","Simple","Annual","Annual","Annual")</f>
        <v>QSObject:Swap:w1~swap.8042:3679</v>
      </c>
      <c r="F8044" s="6" t="str">
        <f>_xll.QS.TRADE.CREATE("trade.8042",E8044,A8044,"Receive")</f>
        <v>QSObject:SwapTrade:w1~trade.8042:23645</v>
      </c>
      <c r="G8044" s="3">
        <f>_xll.QS.EVALUATE(C8044,F8044)</f>
        <v>59556.070998826195</v>
      </c>
      <c r="H8044" s="5" t="s">
        <v>8085</v>
      </c>
      <c r="I8044" s="7">
        <v>1804200</v>
      </c>
      <c r="J8044" s="8">
        <v>3.9200000000000013E-2</v>
      </c>
    </row>
    <row r="8045" spans="1:10" x14ac:dyDescent="0.25">
      <c r="A8045" s="5" t="s">
        <v>8079</v>
      </c>
      <c r="B8045" s="5" t="s">
        <v>9912</v>
      </c>
      <c r="C8045" s="6" t="str">
        <f>_xll.QS.CONTEXT.CREATE("market.8043",A8045,"USD","SOFR")</f>
        <v>QSObject:PricingContext:w1~market.8043:3678</v>
      </c>
      <c r="D8045" s="6" t="str">
        <f>_xll.QS.CONTEXT.ADD.CURVE(C8045,"SOFR",$K$2:$K$7,$L$2:$L$7,,,"Actual360","LogLinear",TRUE)</f>
        <v>QSObject:ContextInput:w1~input.qs_context_add_curve.2359132437744.8044.3.0:32278</v>
      </c>
      <c r="E8045" s="6" t="str">
        <f>_xll.QS.INSTRUMENT.SWAP("swap.8043",H8045,B8045,"USD","SOFR",I8045,J8045,0,"Actual360","Simple","Annual","Annual","Annual")</f>
        <v>QSObject:Swap:w1~swap.8043:3677</v>
      </c>
      <c r="F8045" s="6" t="str">
        <f>_xll.QS.TRADE.CREATE("trade.8043",E8045,A8045,"Receive")</f>
        <v>QSObject:SwapTrade:w1~trade.8043:23644</v>
      </c>
      <c r="G8045" s="3">
        <f>_xll.QS.EVALUATE(C8045,F8045)</f>
        <v>60468.899650156716</v>
      </c>
      <c r="H8045" s="5" t="s">
        <v>8086</v>
      </c>
      <c r="I8045" s="7">
        <v>1804300</v>
      </c>
      <c r="J8045" s="8">
        <v>3.9300000000000002E-2</v>
      </c>
    </row>
    <row r="8046" spans="1:10" x14ac:dyDescent="0.25">
      <c r="A8046" s="5" t="s">
        <v>8080</v>
      </c>
      <c r="B8046" s="5" t="s">
        <v>9913</v>
      </c>
      <c r="C8046" s="6" t="str">
        <f>_xll.QS.CONTEXT.CREATE("market.8044",A8046,"USD","SOFR")</f>
        <v>QSObject:PricingContext:w1~market.8044:3676</v>
      </c>
      <c r="D8046" s="6" t="str">
        <f>_xll.QS.CONTEXT.ADD.CURVE(C8046,"SOFR",$K$2:$K$7,$L$2:$L$7,,,"Actual360","LogLinear",TRUE)</f>
        <v>QSObject:ContextInput:w1~input.qs_context_add_curve.2359132437744.8045.3.0:32277</v>
      </c>
      <c r="E8046" s="6" t="str">
        <f>_xll.QS.INSTRUMENT.SWAP("swap.8044",H8046,B8046,"USD","SOFR",I8046,J8046,0,"Actual360","Simple","Annual","Annual","Annual")</f>
        <v>QSObject:Swap:w1~swap.8044:3675</v>
      </c>
      <c r="F8046" s="6" t="str">
        <f>_xll.QS.TRADE.CREATE("trade.8044",E8046,A8046,"Receive")</f>
        <v>QSObject:SwapTrade:w1~trade.8044:23643</v>
      </c>
      <c r="G8046" s="3">
        <f>_xll.QS.EVALUATE(C8046,F8046)</f>
        <v>61580.003887602463</v>
      </c>
      <c r="H8046" s="5" t="s">
        <v>8087</v>
      </c>
      <c r="I8046" s="7">
        <v>1804400</v>
      </c>
      <c r="J8046" s="8">
        <v>3.9399999999999998E-2</v>
      </c>
    </row>
    <row r="8047" spans="1:10" x14ac:dyDescent="0.25">
      <c r="A8047" s="5" t="s">
        <v>8081</v>
      </c>
      <c r="B8047" s="5" t="s">
        <v>9914</v>
      </c>
      <c r="C8047" s="6" t="str">
        <f>_xll.QS.CONTEXT.CREATE("market.8045",A8047,"USD","SOFR")</f>
        <v>QSObject:PricingContext:w1~market.8045:3674</v>
      </c>
      <c r="D8047" s="6" t="str">
        <f>_xll.QS.CONTEXT.ADD.CURVE(C8047,"SOFR",$K$2:$K$7,$L$2:$L$7,,,"Actual360","LogLinear",TRUE)</f>
        <v>QSObject:ContextInput:w1~input.qs_context_add_curve.2359132437744.8046.3.0:32276</v>
      </c>
      <c r="E8047" s="6" t="str">
        <f>_xll.QS.INSTRUMENT.SWAP("swap.8045",H8047,B8047,"USD","SOFR",I8047,J8047,0,"Actual360","Simple","Annual","Annual","Annual")</f>
        <v>QSObject:Swap:w1~swap.8045:3673</v>
      </c>
      <c r="F8047" s="6" t="str">
        <f>_xll.QS.TRADE.CREATE("trade.8045",E8047,A8047,"Receive")</f>
        <v>QSObject:SwapTrade:w1~trade.8045:23642</v>
      </c>
      <c r="G8047" s="3">
        <f>_xll.QS.EVALUATE(C8047,F8047)</f>
        <v>62415.583750206097</v>
      </c>
      <c r="H8047" s="5" t="s">
        <v>8088</v>
      </c>
      <c r="I8047" s="7">
        <v>1804500</v>
      </c>
      <c r="J8047" s="8">
        <v>3.9500000000000007E-2</v>
      </c>
    </row>
    <row r="8048" spans="1:10" x14ac:dyDescent="0.25">
      <c r="A8048" s="5" t="s">
        <v>8082</v>
      </c>
      <c r="B8048" s="5" t="s">
        <v>9915</v>
      </c>
      <c r="C8048" s="6" t="str">
        <f>_xll.QS.CONTEXT.CREATE("market.8046",A8048,"USD","SOFR")</f>
        <v>QSObject:PricingContext:w1~market.8046:3672</v>
      </c>
      <c r="D8048" s="6" t="str">
        <f>_xll.QS.CONTEXT.ADD.CURVE(C8048,"SOFR",$K$2:$K$7,$L$2:$L$7,,,"Actual360","LogLinear",TRUE)</f>
        <v>QSObject:ContextInput:w1~input.qs_context_add_curve.2359132437744.8047.3.0:32275</v>
      </c>
      <c r="E8048" s="6" t="str">
        <f>_xll.QS.INSTRUMENT.SWAP("swap.8046",H8048,B8048,"USD","SOFR",I8048,J8048,0,"Actual360","Simple","Annual","Annual","Annual")</f>
        <v>QSObject:Swap:w1~swap.8046:3671</v>
      </c>
      <c r="F8048" s="6" t="str">
        <f>_xll.QS.TRADE.CREATE("trade.8046",E8048,A8048,"Receive")</f>
        <v>QSObject:SwapTrade:w1~trade.8046:23641</v>
      </c>
      <c r="G8048" s="3">
        <f>_xll.QS.EVALUATE(C8048,F8048)</f>
        <v>63268.12418066775</v>
      </c>
      <c r="H8048" s="5" t="s">
        <v>8089</v>
      </c>
      <c r="I8048" s="7">
        <v>1804600</v>
      </c>
      <c r="J8048" s="8">
        <v>3.9600000000000003E-2</v>
      </c>
    </row>
    <row r="8049" spans="1:10" x14ac:dyDescent="0.25">
      <c r="A8049" s="5" t="s">
        <v>8083</v>
      </c>
      <c r="B8049" s="5" t="s">
        <v>9916</v>
      </c>
      <c r="C8049" s="6" t="str">
        <f>_xll.QS.CONTEXT.CREATE("market.8047",A8049,"USD","SOFR")</f>
        <v>QSObject:PricingContext:w1~market.8047:3670</v>
      </c>
      <c r="D8049" s="6" t="str">
        <f>_xll.QS.CONTEXT.ADD.CURVE(C8049,"SOFR",$K$2:$K$7,$L$2:$L$7,,,"Actual360","LogLinear",TRUE)</f>
        <v>QSObject:ContextInput:w1~input.qs_context_add_curve.2359132437744.8048.3.0:32274</v>
      </c>
      <c r="E8049" s="6" t="str">
        <f>_xll.QS.INSTRUMENT.SWAP("swap.8047",H8049,B8049,"USD","SOFR",I8049,J8049,0,"Actual360","Simple","Annual","Annual","Annual")</f>
        <v>QSObject:Swap:w1~swap.8047:3669</v>
      </c>
      <c r="F8049" s="6" t="str">
        <f>_xll.QS.TRADE.CREATE("trade.8047",E8049,A8049,"Receive")</f>
        <v>QSObject:SwapTrade:w1~trade.8047:23640</v>
      </c>
      <c r="G8049" s="3">
        <f>_xll.QS.EVALUATE(C8049,F8049)</f>
        <v>64105.755651169195</v>
      </c>
      <c r="H8049" s="5" t="s">
        <v>8090</v>
      </c>
      <c r="I8049" s="7">
        <v>1804700</v>
      </c>
      <c r="J8049" s="8">
        <v>3.9700000000000013E-2</v>
      </c>
    </row>
    <row r="8050" spans="1:10" x14ac:dyDescent="0.25">
      <c r="A8050" s="5" t="s">
        <v>8084</v>
      </c>
      <c r="B8050" s="5" t="s">
        <v>9917</v>
      </c>
      <c r="C8050" s="6" t="str">
        <f>_xll.QS.CONTEXT.CREATE("market.8048",A8050,"USD","SOFR")</f>
        <v>QSObject:PricingContext:w1~market.8048:3668</v>
      </c>
      <c r="D8050" s="6" t="str">
        <f>_xll.QS.CONTEXT.ADD.CURVE(C8050,"SOFR",$K$2:$K$7,$L$2:$L$7,,,"Actual360","LogLinear",TRUE)</f>
        <v>QSObject:ContextInput:w1~input.qs_context_add_curve.2359132437744.8049.3.0:32273</v>
      </c>
      <c r="E8050" s="6" t="str">
        <f>_xll.QS.INSTRUMENT.SWAP("swap.8048",H8050,B8050,"USD","SOFR",I8050,J8050,0,"Actual360","Simple","Annual","Annual","Annual")</f>
        <v>QSObject:Swap:w1~swap.8048:3667</v>
      </c>
      <c r="F8050" s="6" t="str">
        <f>_xll.QS.TRADE.CREATE("trade.8048",E8050,A8050,"Receive")</f>
        <v>QSObject:SwapTrade:w1~trade.8048:23639</v>
      </c>
      <c r="G8050" s="3">
        <f>_xll.QS.EVALUATE(C8050,F8050)</f>
        <v>64716.257069625273</v>
      </c>
      <c r="H8050" s="5" t="s">
        <v>8091</v>
      </c>
      <c r="I8050" s="7">
        <v>1804800</v>
      </c>
      <c r="J8050" s="8">
        <v>3.9800000000000002E-2</v>
      </c>
    </row>
    <row r="8051" spans="1:10" x14ac:dyDescent="0.25">
      <c r="A8051" s="5" t="s">
        <v>8085</v>
      </c>
      <c r="B8051" s="5" t="s">
        <v>9918</v>
      </c>
      <c r="C8051" s="6" t="str">
        <f>_xll.QS.CONTEXT.CREATE("market.8049",A8051,"USD","SOFR")</f>
        <v>QSObject:PricingContext:w1~market.8049:3666</v>
      </c>
      <c r="D8051" s="6" t="str">
        <f>_xll.QS.CONTEXT.ADD.CURVE(C8051,"SOFR",$K$2:$K$7,$L$2:$L$7,,,"Actual360","LogLinear",TRUE)</f>
        <v>QSObject:ContextInput:w1~input.qs_context_add_curve.2359132437744.8050.3.0:32272</v>
      </c>
      <c r="E8051" s="6" t="str">
        <f>_xll.QS.INSTRUMENT.SWAP("swap.8049",H8051,B8051,"USD","SOFR",I8051,J8051,0,"Actual360","Simple","Annual","Annual","Annual")</f>
        <v>QSObject:Swap:w1~swap.8049:3665</v>
      </c>
      <c r="F8051" s="6" t="str">
        <f>_xll.QS.TRADE.CREATE("trade.8049",E8051,A8051,"Receive")</f>
        <v>QSObject:SwapTrade:w1~trade.8049:23638</v>
      </c>
      <c r="G8051" s="3">
        <f>_xll.QS.EVALUATE(C8051,F8051)</f>
        <v>65557.573719761669</v>
      </c>
      <c r="H8051" s="5" t="s">
        <v>8092</v>
      </c>
      <c r="I8051" s="7">
        <v>1804900</v>
      </c>
      <c r="J8051" s="8">
        <v>3.9899999999999998E-2</v>
      </c>
    </row>
    <row r="8052" spans="1:10" x14ac:dyDescent="0.25">
      <c r="A8052" s="5" t="s">
        <v>8086</v>
      </c>
      <c r="B8052" s="5" t="s">
        <v>9919</v>
      </c>
      <c r="C8052" s="6" t="str">
        <f>_xll.QS.CONTEXT.CREATE("market.8050",A8052,"USD","SOFR")</f>
        <v>QSObject:PricingContext:w1~market.8050:3664</v>
      </c>
      <c r="D8052" s="6" t="str">
        <f>_xll.QS.CONTEXT.ADD.CURVE(C8052,"SOFR",$K$2:$K$7,$L$2:$L$7,,,"Actual360","LogLinear",TRUE)</f>
        <v>QSObject:ContextInput:w1~input.qs_context_add_curve.2359132437744.8051.3.0:32271</v>
      </c>
      <c r="E8052" s="6" t="str">
        <f>_xll.QS.INSTRUMENT.SWAP("swap.8050",H8052,B8052,"USD","SOFR",I8052,J8052,0,"Actual360","Simple","Annual","Annual","Annual")</f>
        <v>QSObject:Swap:w1~swap.8050:3663</v>
      </c>
      <c r="F8052" s="6" t="str">
        <f>_xll.QS.TRADE.CREATE("trade.8050",E8052,A8052,"Receive")</f>
        <v>QSObject:SwapTrade:w1~trade.8050:23637</v>
      </c>
      <c r="G8052" s="3">
        <f>_xll.QS.EVALUATE(C8052,F8052)</f>
        <v>24761.245132411706</v>
      </c>
      <c r="H8052" s="5" t="s">
        <v>8093</v>
      </c>
      <c r="I8052" s="7">
        <v>1805000</v>
      </c>
      <c r="J8052" s="8">
        <v>3.5000000000000003E-2</v>
      </c>
    </row>
    <row r="8053" spans="1:10" x14ac:dyDescent="0.25">
      <c r="A8053" s="5" t="s">
        <v>8087</v>
      </c>
      <c r="B8053" s="5" t="s">
        <v>9920</v>
      </c>
      <c r="C8053" s="6" t="str">
        <f>_xll.QS.CONTEXT.CREATE("market.8051",A8053,"USD","SOFR")</f>
        <v>QSObject:PricingContext:w1~market.8051:3662</v>
      </c>
      <c r="D8053" s="6" t="str">
        <f>_xll.QS.CONTEXT.ADD.CURVE(C8053,"SOFR",$K$2:$K$7,$L$2:$L$7,,,"Actual360","LogLinear",TRUE)</f>
        <v>QSObject:ContextInput:w1~input.qs_context_add_curve.2359132437744.8052.3.0:32270</v>
      </c>
      <c r="E8053" s="6" t="str">
        <f>_xll.QS.INSTRUMENT.SWAP("swap.8051",H8053,B8053,"USD","SOFR",I8053,J8053,0,"Actual360","Simple","Annual","Annual","Annual")</f>
        <v>QSObject:Swap:w1~swap.8051:3661</v>
      </c>
      <c r="F8053" s="6" t="str">
        <f>_xll.QS.TRADE.CREATE("trade.8051",E8053,A8053,"Receive")</f>
        <v>QSObject:SwapTrade:w1~trade.8051:23636</v>
      </c>
      <c r="G8053" s="3">
        <f>_xll.QS.EVALUATE(C8053,F8053)</f>
        <v>25726.578264724791</v>
      </c>
      <c r="H8053" s="5" t="s">
        <v>8094</v>
      </c>
      <c r="I8053" s="7">
        <v>1805100</v>
      </c>
      <c r="J8053" s="8">
        <v>3.5100000000000013E-2</v>
      </c>
    </row>
    <row r="8054" spans="1:10" x14ac:dyDescent="0.25">
      <c r="A8054" s="5" t="s">
        <v>8088</v>
      </c>
      <c r="B8054" s="5" t="s">
        <v>9921</v>
      </c>
      <c r="C8054" s="6" t="str">
        <f>_xll.QS.CONTEXT.CREATE("market.8052",A8054,"USD","SOFR")</f>
        <v>QSObject:PricingContext:w1~market.8052:3660</v>
      </c>
      <c r="D8054" s="6" t="str">
        <f>_xll.QS.CONTEXT.ADD.CURVE(C8054,"SOFR",$K$2:$K$7,$L$2:$L$7,,,"Actual360","LogLinear",TRUE)</f>
        <v>QSObject:ContextInput:w1~input.qs_context_add_curve.2359132437744.8053.3.0:32269</v>
      </c>
      <c r="E8054" s="6" t="str">
        <f>_xll.QS.INSTRUMENT.SWAP("swap.8052",H8054,B8054,"USD","SOFR",I8054,J8054,0,"Actual360","Simple","Annual","Annual","Annual")</f>
        <v>QSObject:Swap:w1~swap.8052:3659</v>
      </c>
      <c r="F8054" s="6" t="str">
        <f>_xll.QS.TRADE.CREATE("trade.8052",E8054,A8054,"Receive")</f>
        <v>QSObject:SwapTrade:w1~trade.8052:23635</v>
      </c>
      <c r="G8054" s="3">
        <f>_xll.QS.EVALUATE(C8054,F8054)</f>
        <v>26560.542967148504</v>
      </c>
      <c r="H8054" s="5" t="s">
        <v>8095</v>
      </c>
      <c r="I8054" s="7">
        <v>1805200</v>
      </c>
      <c r="J8054" s="8">
        <v>3.5200000000000002E-2</v>
      </c>
    </row>
    <row r="8055" spans="1:10" x14ac:dyDescent="0.25">
      <c r="A8055" s="5" t="s">
        <v>8089</v>
      </c>
      <c r="B8055" s="5" t="s">
        <v>9922</v>
      </c>
      <c r="C8055" s="6" t="str">
        <f>_xll.QS.CONTEXT.CREATE("market.8053",A8055,"USD","SOFR")</f>
        <v>QSObject:PricingContext:w1~market.8053:3658</v>
      </c>
      <c r="D8055" s="6" t="str">
        <f>_xll.QS.CONTEXT.ADD.CURVE(C8055,"SOFR",$K$2:$K$7,$L$2:$L$7,,,"Actual360","LogLinear",TRUE)</f>
        <v>QSObject:ContextInput:w1~input.qs_context_add_curve.2359132437744.8054.3.0:32268</v>
      </c>
      <c r="E8055" s="6" t="str">
        <f>_xll.QS.INSTRUMENT.SWAP("swap.8053",H8055,B8055,"USD","SOFR",I8055,J8055,0,"Actual360","Simple","Annual","Annual","Annual")</f>
        <v>QSObject:Swap:w1~swap.8053:3657</v>
      </c>
      <c r="F8055" s="6" t="str">
        <f>_xll.QS.TRADE.CREATE("trade.8053",E8055,A8055,"Receive")</f>
        <v>QSObject:SwapTrade:w1~trade.8053:23634</v>
      </c>
      <c r="G8055" s="3">
        <f>_xll.QS.EVALUATE(C8055,F8055)</f>
        <v>27404.340462486842</v>
      </c>
      <c r="H8055" s="5" t="s">
        <v>8096</v>
      </c>
      <c r="I8055" s="7">
        <v>1805300</v>
      </c>
      <c r="J8055" s="8">
        <v>3.5299999999999998E-2</v>
      </c>
    </row>
    <row r="8056" spans="1:10" x14ac:dyDescent="0.25">
      <c r="A8056" s="5" t="s">
        <v>8090</v>
      </c>
      <c r="B8056" s="5" t="s">
        <v>9923</v>
      </c>
      <c r="C8056" s="6" t="str">
        <f>_xll.QS.CONTEXT.CREATE("market.8054",A8056,"USD","SOFR")</f>
        <v>QSObject:PricingContext:w1~market.8054:3656</v>
      </c>
      <c r="D8056" s="6" t="str">
        <f>_xll.QS.CONTEXT.ADD.CURVE(C8056,"SOFR",$K$2:$K$7,$L$2:$L$7,,,"Actual360","LogLinear",TRUE)</f>
        <v>QSObject:ContextInput:w1~input.qs_context_add_curve.2359132437744.8055.3.0:32267</v>
      </c>
      <c r="E8056" s="6" t="str">
        <f>_xll.QS.INSTRUMENT.SWAP("swap.8054",H8056,B8056,"USD","SOFR",I8056,J8056,0,"Actual360","Simple","Annual","Annual","Annual")</f>
        <v>QSObject:Swap:w1~swap.8054:3655</v>
      </c>
      <c r="F8056" s="6" t="str">
        <f>_xll.QS.TRADE.CREATE("trade.8054",E8056,A8056,"Receive")</f>
        <v>QSObject:SwapTrade:w1~trade.8054:23633</v>
      </c>
      <c r="G8056" s="3">
        <f>_xll.QS.EVALUATE(C8056,F8056)</f>
        <v>28240.260408918162</v>
      </c>
      <c r="H8056" s="5" t="s">
        <v>8097</v>
      </c>
      <c r="I8056" s="7">
        <v>1805400</v>
      </c>
      <c r="J8056" s="8">
        <v>3.5400000000000001E-2</v>
      </c>
    </row>
    <row r="8057" spans="1:10" x14ac:dyDescent="0.25">
      <c r="A8057" s="5" t="s">
        <v>8091</v>
      </c>
      <c r="B8057" s="5" t="s">
        <v>9924</v>
      </c>
      <c r="C8057" s="6" t="str">
        <f>_xll.QS.CONTEXT.CREATE("market.8055",A8057,"USD","SOFR")</f>
        <v>QSObject:PricingContext:w1~market.8055:3654</v>
      </c>
      <c r="D8057" s="6" t="str">
        <f>_xll.QS.CONTEXT.ADD.CURVE(C8057,"SOFR",$K$2:$K$7,$L$2:$L$7,,,"Actual360","LogLinear",TRUE)</f>
        <v>QSObject:ContextInput:w1~input.qs_context_add_curve.2359132437744.8056.3.0:32266</v>
      </c>
      <c r="E8057" s="6" t="str">
        <f>_xll.QS.INSTRUMENT.SWAP("swap.8055",H8057,B8057,"USD","SOFR",I8057,J8057,0,"Actual360","Simple","Annual","Annual","Annual")</f>
        <v>QSObject:Swap:w1~swap.8055:3653</v>
      </c>
      <c r="F8057" s="6" t="str">
        <f>_xll.QS.TRADE.CREATE("trade.8055",E8057,A8057,"Receive")</f>
        <v>QSObject:SwapTrade:w1~trade.8055:23632</v>
      </c>
      <c r="G8057" s="3">
        <f>_xll.QS.EVALUATE(C8057,F8057)</f>
        <v>28855.873878019083</v>
      </c>
      <c r="H8057" s="5" t="s">
        <v>8098</v>
      </c>
      <c r="I8057" s="7">
        <v>1805500</v>
      </c>
      <c r="J8057" s="8">
        <v>3.5499999999999997E-2</v>
      </c>
    </row>
    <row r="8058" spans="1:10" x14ac:dyDescent="0.25">
      <c r="A8058" s="5" t="s">
        <v>8092</v>
      </c>
      <c r="B8058" s="5" t="s">
        <v>9925</v>
      </c>
      <c r="C8058" s="6" t="str">
        <f>_xll.QS.CONTEXT.CREATE("market.8056",A8058,"USD","SOFR")</f>
        <v>QSObject:PricingContext:w1~market.8056:3652</v>
      </c>
      <c r="D8058" s="6" t="str">
        <f>_xll.QS.CONTEXT.ADD.CURVE(C8058,"SOFR",$K$2:$K$7,$L$2:$L$7,,,"Actual360","LogLinear",TRUE)</f>
        <v>QSObject:ContextInput:w1~input.qs_context_add_curve.2359132437744.8057.3.0:32265</v>
      </c>
      <c r="E8058" s="6" t="str">
        <f>_xll.QS.INSTRUMENT.SWAP("swap.8056",H8058,B8058,"USD","SOFR",I8058,J8058,0,"Actual360","Simple","Annual","Annual","Annual")</f>
        <v>QSObject:Swap:w1~swap.8056:3651</v>
      </c>
      <c r="F8058" s="6" t="str">
        <f>_xll.QS.TRADE.CREATE("trade.8056",E8058,A8058,"Receive")</f>
        <v>QSObject:SwapTrade:w1~trade.8056:23631</v>
      </c>
      <c r="G8058" s="3">
        <f>_xll.QS.EVALUATE(C8058,F8058)</f>
        <v>29692.600555477184</v>
      </c>
      <c r="H8058" s="5" t="s">
        <v>8099</v>
      </c>
      <c r="I8058" s="7">
        <v>1805600</v>
      </c>
      <c r="J8058" s="8">
        <v>3.5600000000000007E-2</v>
      </c>
    </row>
    <row r="8059" spans="1:10" x14ac:dyDescent="0.25">
      <c r="A8059" s="5" t="s">
        <v>8093</v>
      </c>
      <c r="B8059" s="5" t="s">
        <v>9926</v>
      </c>
      <c r="C8059" s="6" t="str">
        <f>_xll.QS.CONTEXT.CREATE("market.8057",A8059,"USD","SOFR")</f>
        <v>QSObject:PricingContext:w1~market.8057:3650</v>
      </c>
      <c r="D8059" s="6" t="str">
        <f>_xll.QS.CONTEXT.ADD.CURVE(C8059,"SOFR",$K$2:$K$7,$L$2:$L$7,,,"Actual360","LogLinear",TRUE)</f>
        <v>QSObject:ContextInput:w1~input.qs_context_add_curve.2359132437744.8058.3.0:32264</v>
      </c>
      <c r="E8059" s="6" t="str">
        <f>_xll.QS.INSTRUMENT.SWAP("swap.8057",H8059,B8059,"USD","SOFR",I8059,J8059,0,"Actual360","Simple","Annual","Annual","Annual")</f>
        <v>QSObject:Swap:w1~swap.8057:3649</v>
      </c>
      <c r="F8059" s="6" t="str">
        <f>_xll.QS.TRADE.CREATE("trade.8057",E8059,A8059,"Receive")</f>
        <v>QSObject:SwapTrade:w1~trade.8057:23630</v>
      </c>
      <c r="G8059" s="3">
        <f>_xll.QS.EVALUATE(C8059,F8059)</f>
        <v>30601.84294801225</v>
      </c>
      <c r="H8059" s="5" t="s">
        <v>8100</v>
      </c>
      <c r="I8059" s="7">
        <v>1805700</v>
      </c>
      <c r="J8059" s="8">
        <v>3.5700000000000003E-2</v>
      </c>
    </row>
    <row r="8060" spans="1:10" x14ac:dyDescent="0.25">
      <c r="A8060" s="5" t="s">
        <v>8094</v>
      </c>
      <c r="B8060" s="5" t="s">
        <v>9927</v>
      </c>
      <c r="C8060" s="6" t="str">
        <f>_xll.QS.CONTEXT.CREATE("market.8058",A8060,"USD","SOFR")</f>
        <v>QSObject:PricingContext:w1~market.8058:3648</v>
      </c>
      <c r="D8060" s="6" t="str">
        <f>_xll.QS.CONTEXT.ADD.CURVE(C8060,"SOFR",$K$2:$K$7,$L$2:$L$7,,,"Actual360","LogLinear",TRUE)</f>
        <v>QSObject:ContextInput:w1~input.qs_context_add_curve.2359132437744.8059.3.0:32263</v>
      </c>
      <c r="E8060" s="6" t="str">
        <f>_xll.QS.INSTRUMENT.SWAP("swap.8058",H8060,B8060,"USD","SOFR",I8060,J8060,0,"Actual360","Simple","Annual","Annual","Annual")</f>
        <v>QSObject:Swap:w1~swap.8058:3647</v>
      </c>
      <c r="F8060" s="6" t="str">
        <f>_xll.QS.TRADE.CREATE("trade.8058",E8060,A8060,"Receive")</f>
        <v>QSObject:SwapTrade:w1~trade.8058:23629</v>
      </c>
      <c r="G8060" s="3">
        <f>_xll.QS.EVALUATE(C8060,F8060)</f>
        <v>31568.662194293931</v>
      </c>
      <c r="H8060" s="5" t="s">
        <v>8101</v>
      </c>
      <c r="I8060" s="7">
        <v>1805800</v>
      </c>
      <c r="J8060" s="8">
        <v>3.5800000000000012E-2</v>
      </c>
    </row>
    <row r="8061" spans="1:10" x14ac:dyDescent="0.25">
      <c r="A8061" s="5" t="s">
        <v>8095</v>
      </c>
      <c r="B8061" s="5" t="s">
        <v>9928</v>
      </c>
      <c r="C8061" s="6" t="str">
        <f>_xll.QS.CONTEXT.CREATE("market.8059",A8061,"USD","SOFR")</f>
        <v>QSObject:PricingContext:w1~market.8059:3646</v>
      </c>
      <c r="D8061" s="6" t="str">
        <f>_xll.QS.CONTEXT.ADD.CURVE(C8061,"SOFR",$K$2:$K$7,$L$2:$L$7,,,"Actual360","LogLinear",TRUE)</f>
        <v>QSObject:ContextInput:w1~input.qs_context_add_curve.2359132437744.8060.3.0:32262</v>
      </c>
      <c r="E8061" s="6" t="str">
        <f>_xll.QS.INSTRUMENT.SWAP("swap.8059",H8061,B8061,"USD","SOFR",I8061,J8061,0,"Actual360","Simple","Annual","Annual","Annual")</f>
        <v>QSObject:Swap:w1~swap.8059:3645</v>
      </c>
      <c r="F8061" s="6" t="str">
        <f>_xll.QS.TRADE.CREATE("trade.8059",E8061,A8061,"Receive")</f>
        <v>QSObject:SwapTrade:w1~trade.8059:23628</v>
      </c>
      <c r="G8061" s="3">
        <f>_xll.QS.EVALUATE(C8061,F8061)</f>
        <v>32402.919994081531</v>
      </c>
      <c r="H8061" s="5" t="s">
        <v>8102</v>
      </c>
      <c r="I8061" s="7">
        <v>1805900</v>
      </c>
      <c r="J8061" s="8">
        <v>3.5900000000000001E-2</v>
      </c>
    </row>
    <row r="8062" spans="1:10" x14ac:dyDescent="0.25">
      <c r="A8062" s="5" t="s">
        <v>8096</v>
      </c>
      <c r="B8062" s="5" t="s">
        <v>9929</v>
      </c>
      <c r="C8062" s="6" t="str">
        <f>_xll.QS.CONTEXT.CREATE("market.8060",A8062,"USD","SOFR")</f>
        <v>QSObject:PricingContext:w1~market.8060:3644</v>
      </c>
      <c r="D8062" s="6" t="str">
        <f>_xll.QS.CONTEXT.ADD.CURVE(C8062,"SOFR",$K$2:$K$7,$L$2:$L$7,,,"Actual360","LogLinear",TRUE)</f>
        <v>QSObject:ContextInput:w1~input.qs_context_add_curve.2359132437744.8061.3.0:32261</v>
      </c>
      <c r="E8062" s="6" t="str">
        <f>_xll.QS.INSTRUMENT.SWAP("swap.8060",H8062,B8062,"USD","SOFR",I8062,J8062,0,"Actual360","Simple","Annual","Annual","Annual")</f>
        <v>QSObject:Swap:w1~swap.8060:3643</v>
      </c>
      <c r="F8062" s="6" t="str">
        <f>_xll.QS.TRADE.CREATE("trade.8060",E8062,A8062,"Receive")</f>
        <v>QSObject:SwapTrade:w1~trade.8060:23627</v>
      </c>
      <c r="G8062" s="3">
        <f>_xll.QS.EVALUATE(C8062,F8062)</f>
        <v>33247.376424979091</v>
      </c>
      <c r="H8062" s="5" t="s">
        <v>8103</v>
      </c>
      <c r="I8062" s="7">
        <v>1806000</v>
      </c>
      <c r="J8062" s="8">
        <v>3.5999999999999997E-2</v>
      </c>
    </row>
    <row r="8063" spans="1:10" x14ac:dyDescent="0.25">
      <c r="A8063" s="5" t="s">
        <v>8097</v>
      </c>
      <c r="B8063" s="5" t="s">
        <v>9930</v>
      </c>
      <c r="C8063" s="6" t="str">
        <f>_xll.QS.CONTEXT.CREATE("market.8061",A8063,"USD","SOFR")</f>
        <v>QSObject:PricingContext:w1~market.8061:3642</v>
      </c>
      <c r="D8063" s="6" t="str">
        <f>_xll.QS.CONTEXT.ADD.CURVE(C8063,"SOFR",$K$2:$K$7,$L$2:$L$7,,,"Actual360","LogLinear",TRUE)</f>
        <v>QSObject:ContextInput:w1~input.qs_context_add_curve.2359132437744.8062.3.0:32260</v>
      </c>
      <c r="E8063" s="6" t="str">
        <f>_xll.QS.INSTRUMENT.SWAP("swap.8061",H8063,B8063,"USD","SOFR",I8063,J8063,0,"Actual360","Simple","Annual","Annual","Annual")</f>
        <v>QSObject:Swap:w1~swap.8061:3641</v>
      </c>
      <c r="F8063" s="6" t="str">
        <f>_xll.QS.TRADE.CREATE("trade.8061",E8063,A8063,"Receive")</f>
        <v>QSObject:SwapTrade:w1~trade.8061:23626</v>
      </c>
      <c r="G8063" s="3">
        <f>_xll.QS.EVALUATE(C8063,F8063)</f>
        <v>34083.777544486533</v>
      </c>
      <c r="H8063" s="5" t="s">
        <v>8104</v>
      </c>
      <c r="I8063" s="7">
        <v>1806100</v>
      </c>
      <c r="J8063" s="8">
        <v>3.61E-2</v>
      </c>
    </row>
    <row r="8064" spans="1:10" x14ac:dyDescent="0.25">
      <c r="A8064" s="5" t="s">
        <v>8098</v>
      </c>
      <c r="B8064" s="5" t="s">
        <v>9931</v>
      </c>
      <c r="C8064" s="6" t="str">
        <f>_xll.QS.CONTEXT.CREATE("market.8062",A8064,"USD","SOFR")</f>
        <v>QSObject:PricingContext:w1~market.8062:3640</v>
      </c>
      <c r="D8064" s="6" t="str">
        <f>_xll.QS.CONTEXT.ADD.CURVE(C8064,"SOFR",$K$2:$K$7,$L$2:$L$7,,,"Actual360","LogLinear",TRUE)</f>
        <v>QSObject:ContextInput:w1~input.qs_context_add_curve.2359132437744.8063.3.0:32259</v>
      </c>
      <c r="E8064" s="6" t="str">
        <f>_xll.QS.INSTRUMENT.SWAP("swap.8062",H8064,B8064,"USD","SOFR",I8064,J8064,0,"Actual360","Simple","Annual","Annual","Annual")</f>
        <v>QSObject:Swap:w1~swap.8062:3639</v>
      </c>
      <c r="F8064" s="6" t="str">
        <f>_xll.QS.TRADE.CREATE("trade.8062",E8064,A8064,"Receive")</f>
        <v>QSObject:SwapTrade:w1~trade.8062:23625</v>
      </c>
      <c r="G8064" s="3">
        <f>_xll.QS.EVALUATE(C8064,F8064)</f>
        <v>34698.779785075538</v>
      </c>
      <c r="H8064" s="5" t="s">
        <v>8105</v>
      </c>
      <c r="I8064" s="7">
        <v>1806200</v>
      </c>
      <c r="J8064" s="8">
        <v>3.6200000000000003E-2</v>
      </c>
    </row>
    <row r="8065" spans="1:10" x14ac:dyDescent="0.25">
      <c r="A8065" s="5" t="s">
        <v>8099</v>
      </c>
      <c r="B8065" s="5" t="s">
        <v>9932</v>
      </c>
      <c r="C8065" s="6" t="str">
        <f>_xll.QS.CONTEXT.CREATE("market.8063",A8065,"USD","SOFR")</f>
        <v>QSObject:PricingContext:w1~market.8063:3638</v>
      </c>
      <c r="D8065" s="6" t="str">
        <f>_xll.QS.CONTEXT.ADD.CURVE(C8065,"SOFR",$K$2:$K$7,$L$2:$L$7,,,"Actual360","LogLinear",TRUE)</f>
        <v>QSObject:ContextInput:w1~input.qs_context_add_curve.2359132437744.8064.3.0:32258</v>
      </c>
      <c r="E8065" s="6" t="str">
        <f>_xll.QS.INSTRUMENT.SWAP("swap.8063",H8065,B8065,"USD","SOFR",I8065,J8065,0,"Actual360","Simple","Annual","Annual","Annual")</f>
        <v>QSObject:Swap:w1~swap.8063:3637</v>
      </c>
      <c r="F8065" s="6" t="str">
        <f>_xll.QS.TRADE.CREATE("trade.8063",E8065,A8065,"Receive")</f>
        <v>QSObject:SwapTrade:w1~trade.8063:23624</v>
      </c>
      <c r="G8065" s="3">
        <f>_xll.QS.EVALUATE(C8065,F8065)</f>
        <v>35536.642140217271</v>
      </c>
      <c r="H8065" s="5" t="s">
        <v>8106</v>
      </c>
      <c r="I8065" s="7">
        <v>1806300</v>
      </c>
      <c r="J8065" s="8">
        <v>3.6300000000000013E-2</v>
      </c>
    </row>
    <row r="8066" spans="1:10" x14ac:dyDescent="0.25">
      <c r="A8066" s="5" t="s">
        <v>8100</v>
      </c>
      <c r="B8066" s="5" t="s">
        <v>9933</v>
      </c>
      <c r="C8066" s="6" t="str">
        <f>_xll.QS.CONTEXT.CREATE("market.8064",A8066,"USD","SOFR")</f>
        <v>QSObject:PricingContext:w1~market.8064:3636</v>
      </c>
      <c r="D8066" s="6" t="str">
        <f>_xll.QS.CONTEXT.ADD.CURVE(C8066,"SOFR",$K$2:$K$7,$L$2:$L$7,,,"Actual360","LogLinear",TRUE)</f>
        <v>QSObject:ContextInput:w1~input.qs_context_add_curve.2359132437744.8065.3.0:32257</v>
      </c>
      <c r="E8066" s="6" t="str">
        <f>_xll.QS.INSTRUMENT.SWAP("swap.8064",H8066,B8066,"USD","SOFR",I8066,J8066,0,"Actual360","Simple","Annual","Annual","Annual")</f>
        <v>QSObject:Swap:w1~swap.8064:3635</v>
      </c>
      <c r="F8066" s="6" t="str">
        <f>_xll.QS.TRADE.CREATE("trade.8064",E8066,A8066,"Receive")</f>
        <v>QSObject:SwapTrade:w1~trade.8064:23623</v>
      </c>
      <c r="G8066" s="3">
        <f>_xll.QS.EVALUATE(C8066,F8066)</f>
        <v>36447.350318294273</v>
      </c>
      <c r="H8066" s="5" t="s">
        <v>8107</v>
      </c>
      <c r="I8066" s="7">
        <v>1806400</v>
      </c>
      <c r="J8066" s="8">
        <v>3.6400000000000002E-2</v>
      </c>
    </row>
    <row r="8067" spans="1:10" x14ac:dyDescent="0.25">
      <c r="A8067" s="5" t="s">
        <v>8101</v>
      </c>
      <c r="B8067" s="5" t="s">
        <v>9934</v>
      </c>
      <c r="C8067" s="6" t="str">
        <f>_xll.QS.CONTEXT.CREATE("market.8065",A8067,"USD","SOFR")</f>
        <v>QSObject:PricingContext:w1~market.8065:3634</v>
      </c>
      <c r="D8067" s="6" t="str">
        <f>_xll.QS.CONTEXT.ADD.CURVE(C8067,"SOFR",$K$2:$K$7,$L$2:$L$7,,,"Actual360","LogLinear",TRUE)</f>
        <v>QSObject:ContextInput:w1~input.qs_context_add_curve.2359132437744.8066.3.0:32256</v>
      </c>
      <c r="E8067" s="6" t="str">
        <f>_xll.QS.INSTRUMENT.SWAP("swap.8065",H8067,B8067,"USD","SOFR",I8067,J8067,0,"Actual360","Simple","Annual","Annual","Annual")</f>
        <v>QSObject:Swap:w1~swap.8065:3633</v>
      </c>
      <c r="F8067" s="6" t="str">
        <f>_xll.QS.TRADE.CREATE("trade.8065",E8067,A8067,"Receive")</f>
        <v>QSObject:SwapTrade:w1~trade.8065:23622</v>
      </c>
      <c r="G8067" s="3">
        <f>_xll.QS.EVALUATE(C8067,F8067)</f>
        <v>37414.70718468869</v>
      </c>
      <c r="H8067" s="5" t="s">
        <v>8108</v>
      </c>
      <c r="I8067" s="7">
        <v>1806500</v>
      </c>
      <c r="J8067" s="8">
        <v>3.6499999999999998E-2</v>
      </c>
    </row>
    <row r="8068" spans="1:10" x14ac:dyDescent="0.25">
      <c r="A8068" s="5" t="s">
        <v>8102</v>
      </c>
      <c r="B8068" s="5" t="s">
        <v>9935</v>
      </c>
      <c r="C8068" s="6" t="str">
        <f>_xll.QS.CONTEXT.CREATE("market.8066",A8068,"USD","SOFR")</f>
        <v>QSObject:PricingContext:w1~market.8066:3632</v>
      </c>
      <c r="D8068" s="6" t="str">
        <f>_xll.QS.CONTEXT.ADD.CURVE(C8068,"SOFR",$K$2:$K$7,$L$2:$L$7,,,"Actual360","LogLinear",TRUE)</f>
        <v>QSObject:ContextInput:w1~input.qs_context_add_curve.2359132437744.8067.3.0:32255</v>
      </c>
      <c r="E8068" s="6" t="str">
        <f>_xll.QS.INSTRUMENT.SWAP("swap.8066",H8068,B8068,"USD","SOFR",I8068,J8068,0,"Actual360","Simple","Annual","Annual","Annual")</f>
        <v>QSObject:Swap:w1~swap.8066:3631</v>
      </c>
      <c r="F8068" s="6" t="str">
        <f>_xll.QS.TRADE.CREATE("trade.8066",E8068,A8068,"Receive")</f>
        <v>QSObject:SwapTrade:w1~trade.8066:23621</v>
      </c>
      <c r="G8068" s="3">
        <f>_xll.QS.EVALUATE(C8068,F8068)</f>
        <v>38250.026947650382</v>
      </c>
      <c r="H8068" s="5" t="s">
        <v>8109</v>
      </c>
      <c r="I8068" s="7">
        <v>1806600</v>
      </c>
      <c r="J8068" s="8">
        <v>3.6600000000000001E-2</v>
      </c>
    </row>
    <row r="8069" spans="1:10" x14ac:dyDescent="0.25">
      <c r="A8069" s="5" t="s">
        <v>8103</v>
      </c>
      <c r="B8069" s="5" t="s">
        <v>9936</v>
      </c>
      <c r="C8069" s="6" t="str">
        <f>_xll.QS.CONTEXT.CREATE("market.8067",A8069,"USD","SOFR")</f>
        <v>QSObject:PricingContext:w1~market.8067:3630</v>
      </c>
      <c r="D8069" s="6" t="str">
        <f>_xll.QS.CONTEXT.ADD.CURVE(C8069,"SOFR",$K$2:$K$7,$L$2:$L$7,,,"Actual360","LogLinear",TRUE)</f>
        <v>QSObject:ContextInput:w1~input.qs_context_add_curve.2359132437744.8068.3.0:32254</v>
      </c>
      <c r="E8069" s="6" t="str">
        <f>_xll.QS.INSTRUMENT.SWAP("swap.8067",H8069,B8069,"USD","SOFR",I8069,J8069,0,"Actual360","Simple","Annual","Annual","Annual")</f>
        <v>QSObject:Swap:w1~swap.8067:3629</v>
      </c>
      <c r="F8069" s="6" t="str">
        <f>_xll.QS.TRADE.CREATE("trade.8067",E8069,A8069,"Receive")</f>
        <v>QSObject:SwapTrade:w1~trade.8067:23620</v>
      </c>
      <c r="G8069" s="3">
        <f>_xll.QS.EVALUATE(C8069,F8069)</f>
        <v>39095.364803315519</v>
      </c>
      <c r="H8069" s="5" t="s">
        <v>8110</v>
      </c>
      <c r="I8069" s="7">
        <v>1806700</v>
      </c>
      <c r="J8069" s="8">
        <v>3.6700000000000003E-2</v>
      </c>
    </row>
    <row r="8070" spans="1:10" x14ac:dyDescent="0.25">
      <c r="A8070" s="5" t="s">
        <v>8104</v>
      </c>
      <c r="B8070" s="5" t="s">
        <v>9937</v>
      </c>
      <c r="C8070" s="6" t="str">
        <f>_xll.QS.CONTEXT.CREATE("market.8068",A8070,"USD","SOFR")</f>
        <v>QSObject:PricingContext:w1~market.8068:3628</v>
      </c>
      <c r="D8070" s="6" t="str">
        <f>_xll.QS.CONTEXT.ADD.CURVE(C8070,"SOFR",$K$2:$K$7,$L$2:$L$7,,,"Actual360","LogLinear",TRUE)</f>
        <v>QSObject:ContextInput:w1~input.qs_context_add_curve.2359132437744.8069.3.0:32253</v>
      </c>
      <c r="E8070" s="6" t="str">
        <f>_xll.QS.INSTRUMENT.SWAP("swap.8068",H8070,B8070,"USD","SOFR",I8070,J8070,0,"Actual360","Simple","Annual","Annual","Annual")</f>
        <v>QSObject:Swap:w1~swap.8068:3627</v>
      </c>
      <c r="F8070" s="6" t="str">
        <f>_xll.QS.TRADE.CREATE("trade.8068",E8070,A8070,"Receive")</f>
        <v>QSObject:SwapTrade:w1~trade.8068:23619</v>
      </c>
      <c r="G8070" s="3">
        <f>_xll.QS.EVALUATE(C8070,F8070)</f>
        <v>39932.622127138682</v>
      </c>
      <c r="H8070" s="5" t="s">
        <v>8111</v>
      </c>
      <c r="I8070" s="7">
        <v>1806800</v>
      </c>
      <c r="J8070" s="8">
        <v>3.6800000000000013E-2</v>
      </c>
    </row>
    <row r="8071" spans="1:10" x14ac:dyDescent="0.25">
      <c r="A8071" s="5" t="s">
        <v>8105</v>
      </c>
      <c r="B8071" s="5" t="s">
        <v>9938</v>
      </c>
      <c r="C8071" s="6" t="str">
        <f>_xll.QS.CONTEXT.CREATE("market.8069",A8071,"USD","SOFR")</f>
        <v>QSObject:PricingContext:w1~market.8069:3626</v>
      </c>
      <c r="D8071" s="6" t="str">
        <f>_xll.QS.CONTEXT.ADD.CURVE(C8071,"SOFR",$K$2:$K$7,$L$2:$L$7,,,"Actual360","LogLinear",TRUE)</f>
        <v>QSObject:ContextInput:w1~input.qs_context_add_curve.2359132437744.8070.3.0:32252</v>
      </c>
      <c r="E8071" s="6" t="str">
        <f>_xll.QS.INSTRUMENT.SWAP("swap.8069",H8071,B8071,"USD","SOFR",I8071,J8071,0,"Actual360","Simple","Annual","Annual","Annual")</f>
        <v>QSObject:Swap:w1~swap.8069:3625</v>
      </c>
      <c r="F8071" s="6" t="str">
        <f>_xll.QS.TRADE.CREATE("trade.8069",E8071,A8071,"Receive")</f>
        <v>QSObject:SwapTrade:w1~trade.8069:23618</v>
      </c>
      <c r="G8071" s="3">
        <f>_xll.QS.EVALUATE(C8071,F8071)</f>
        <v>40547.010162355975</v>
      </c>
      <c r="H8071" s="5" t="s">
        <v>8112</v>
      </c>
      <c r="I8071" s="7">
        <v>1806900</v>
      </c>
      <c r="J8071" s="8">
        <v>3.6900000000000002E-2</v>
      </c>
    </row>
    <row r="8072" spans="1:10" x14ac:dyDescent="0.25">
      <c r="A8072" s="5" t="s">
        <v>8106</v>
      </c>
      <c r="B8072" s="5" t="s">
        <v>9939</v>
      </c>
      <c r="C8072" s="6" t="str">
        <f>_xll.QS.CONTEXT.CREATE("market.8070",A8072,"USD","SOFR")</f>
        <v>QSObject:PricingContext:w1~market.8070:3624</v>
      </c>
      <c r="D8072" s="6" t="str">
        <f>_xll.QS.CONTEXT.ADD.CURVE(C8072,"SOFR",$K$2:$K$7,$L$2:$L$7,,,"Actual360","LogLinear",TRUE)</f>
        <v>QSObject:ContextInput:w1~input.qs_context_add_curve.2359132437744.8071.3.0:32251</v>
      </c>
      <c r="E8072" s="6" t="str">
        <f>_xll.QS.INSTRUMENT.SWAP("swap.8070",H8072,B8072,"USD","SOFR",I8072,J8072,0,"Actual360","Simple","Annual","Annual","Annual")</f>
        <v>QSObject:Swap:w1~swap.8070:3623</v>
      </c>
      <c r="F8072" s="6" t="str">
        <f>_xll.QS.TRADE.CREATE("trade.8070",E8072,A8072,"Receive")</f>
        <v>QSObject:SwapTrade:w1~trade.8070:23617</v>
      </c>
      <c r="G8072" s="3">
        <f>_xll.QS.EVALUATE(C8072,F8072)</f>
        <v>41386.008845805569</v>
      </c>
      <c r="H8072" s="5" t="s">
        <v>8113</v>
      </c>
      <c r="I8072" s="7">
        <v>1807000</v>
      </c>
      <c r="J8072" s="8">
        <v>3.7000000000000012E-2</v>
      </c>
    </row>
    <row r="8073" spans="1:10" x14ac:dyDescent="0.25">
      <c r="A8073" s="5" t="s">
        <v>8107</v>
      </c>
      <c r="B8073" s="5" t="s">
        <v>9940</v>
      </c>
      <c r="C8073" s="6" t="str">
        <f>_xll.QS.CONTEXT.CREATE("market.8071",A8073,"USD","SOFR")</f>
        <v>QSObject:PricingContext:w1~market.8071:3622</v>
      </c>
      <c r="D8073" s="6" t="str">
        <f>_xll.QS.CONTEXT.ADD.CURVE(C8073,"SOFR",$K$2:$K$7,$L$2:$L$7,,,"Actual360","LogLinear",TRUE)</f>
        <v>QSObject:ContextInput:w1~input.qs_context_add_curve.2359132437744.8072.3.0:32250</v>
      </c>
      <c r="E8073" s="6" t="str">
        <f>_xll.QS.INSTRUMENT.SWAP("swap.8071",H8073,B8073,"USD","SOFR",I8073,J8073,0,"Actual360","Simple","Annual","Annual","Annual")</f>
        <v>QSObject:Swap:w1~swap.8071:3621</v>
      </c>
      <c r="F8073" s="6" t="str">
        <f>_xll.QS.TRADE.CREATE("trade.8071",E8073,A8073,"Receive")</f>
        <v>QSObject:SwapTrade:w1~trade.8071:23616</v>
      </c>
      <c r="G8073" s="3">
        <f>_xll.QS.EVALUATE(C8073,F8073)</f>
        <v>42297.441342644088</v>
      </c>
      <c r="H8073" s="5" t="s">
        <v>8114</v>
      </c>
      <c r="I8073" s="7">
        <v>1807100</v>
      </c>
      <c r="J8073" s="8">
        <v>3.7100000000000001E-2</v>
      </c>
    </row>
    <row r="8074" spans="1:10" x14ac:dyDescent="0.25">
      <c r="A8074" s="5" t="s">
        <v>8108</v>
      </c>
      <c r="B8074" s="5" t="s">
        <v>9941</v>
      </c>
      <c r="C8074" s="6" t="str">
        <f>_xll.QS.CONTEXT.CREATE("market.8072",A8074,"USD","SOFR")</f>
        <v>QSObject:PricingContext:w1~market.8072:3620</v>
      </c>
      <c r="D8074" s="6" t="str">
        <f>_xll.QS.CONTEXT.ADD.CURVE(C8074,"SOFR",$K$2:$K$7,$L$2:$L$7,,,"Actual360","LogLinear",TRUE)</f>
        <v>QSObject:ContextInput:w1~input.qs_context_add_curve.2359132437744.8073.3.0:32249</v>
      </c>
      <c r="E8074" s="6" t="str">
        <f>_xll.QS.INSTRUMENT.SWAP("swap.8072",H8074,B8074,"USD","SOFR",I8074,J8074,0,"Actual360","Simple","Annual","Annual","Annual")</f>
        <v>QSObject:Swap:w1~swap.8072:3619</v>
      </c>
      <c r="F8074" s="6" t="str">
        <f>_xll.QS.TRADE.CREATE("trade.8072",E8074,A8074,"Receive")</f>
        <v>QSObject:SwapTrade:w1~trade.8072:23615</v>
      </c>
      <c r="G8074" s="3">
        <f>_xll.QS.EVALUATE(C8074,F8074)</f>
        <v>43265.495534726942</v>
      </c>
      <c r="H8074" s="5" t="s">
        <v>8115</v>
      </c>
      <c r="I8074" s="7">
        <v>1807200</v>
      </c>
      <c r="J8074" s="8">
        <v>3.7199999999999997E-2</v>
      </c>
    </row>
    <row r="8075" spans="1:10" x14ac:dyDescent="0.25">
      <c r="A8075" s="5" t="s">
        <v>8109</v>
      </c>
      <c r="B8075" s="5" t="s">
        <v>9942</v>
      </c>
      <c r="C8075" s="6" t="str">
        <f>_xll.QS.CONTEXT.CREATE("market.8073",A8075,"USD","SOFR")</f>
        <v>QSObject:PricingContext:w1~market.8073:3618</v>
      </c>
      <c r="D8075" s="6" t="str">
        <f>_xll.QS.CONTEXT.ADD.CURVE(C8075,"SOFR",$K$2:$K$7,$L$2:$L$7,,,"Actual360","LogLinear",TRUE)</f>
        <v>QSObject:ContextInput:w1~input.qs_context_add_curve.2359132437744.8074.3.0:32248</v>
      </c>
      <c r="E8075" s="6" t="str">
        <f>_xll.QS.INSTRUMENT.SWAP("swap.8073",H8075,B8075,"USD","SOFR",I8075,J8075,0,"Actual360","Simple","Annual","Annual","Annual")</f>
        <v>QSObject:Swap:w1~swap.8073:3617</v>
      </c>
      <c r="F8075" s="6" t="str">
        <f>_xll.QS.TRADE.CREATE("trade.8073",E8075,A8075,"Receive")</f>
        <v>QSObject:SwapTrade:w1~trade.8073:23614</v>
      </c>
      <c r="G8075" s="3">
        <f>_xll.QS.EVALUATE(C8075,F8075)</f>
        <v>44101.373280550848</v>
      </c>
      <c r="H8075" s="5" t="s">
        <v>8116</v>
      </c>
      <c r="I8075" s="7">
        <v>1807300</v>
      </c>
      <c r="J8075" s="8">
        <v>3.73E-2</v>
      </c>
    </row>
    <row r="8076" spans="1:10" x14ac:dyDescent="0.25">
      <c r="A8076" s="5" t="s">
        <v>8110</v>
      </c>
      <c r="B8076" s="5" t="s">
        <v>9943</v>
      </c>
      <c r="C8076" s="6" t="str">
        <f>_xll.QS.CONTEXT.CREATE("market.8074",A8076,"USD","SOFR")</f>
        <v>QSObject:PricingContext:w1~market.8074:3616</v>
      </c>
      <c r="D8076" s="6" t="str">
        <f>_xll.QS.CONTEXT.ADD.CURVE(C8076,"SOFR",$K$2:$K$7,$L$2:$L$7,,,"Actual360","LogLinear",TRUE)</f>
        <v>QSObject:ContextInput:w1~input.qs_context_add_curve.2359132437744.8075.3.0:32247</v>
      </c>
      <c r="E8076" s="6" t="str">
        <f>_xll.QS.INSTRUMENT.SWAP("swap.8074",H8076,B8076,"USD","SOFR",I8076,J8076,0,"Actual360","Simple","Annual","Annual","Annual")</f>
        <v>QSObject:Swap:w1~swap.8074:3615</v>
      </c>
      <c r="F8076" s="6" t="str">
        <f>_xll.QS.TRADE.CREATE("trade.8074",E8076,A8076,"Receive")</f>
        <v>QSObject:SwapTrade:w1~trade.8074:23613</v>
      </c>
      <c r="G8076" s="3">
        <f>_xll.QS.EVALUATE(C8076,F8076)</f>
        <v>44947.082510194137</v>
      </c>
      <c r="H8076" s="5" t="s">
        <v>8117</v>
      </c>
      <c r="I8076" s="7">
        <v>1807400</v>
      </c>
      <c r="J8076" s="8">
        <v>3.7400000000000003E-2</v>
      </c>
    </row>
    <row r="8077" spans="1:10" x14ac:dyDescent="0.25">
      <c r="A8077" s="5" t="s">
        <v>8111</v>
      </c>
      <c r="B8077" s="5" t="s">
        <v>9944</v>
      </c>
      <c r="C8077" s="6" t="str">
        <f>_xll.QS.CONTEXT.CREATE("market.8075",A8077,"USD","SOFR")</f>
        <v>QSObject:PricingContext:w1~market.8075:3614</v>
      </c>
      <c r="D8077" s="6" t="str">
        <f>_xll.QS.CONTEXT.ADD.CURVE(C8077,"SOFR",$K$2:$K$7,$L$2:$L$7,,,"Actual360","LogLinear",TRUE)</f>
        <v>QSObject:ContextInput:w1~input.qs_context_add_curve.2359132437744.8076.3.0:32246</v>
      </c>
      <c r="E8077" s="6" t="str">
        <f>_xll.QS.INSTRUMENT.SWAP("swap.8075",H8077,B8077,"USD","SOFR",I8077,J8077,0,"Actual360","Simple","Annual","Annual","Annual")</f>
        <v>QSObject:Swap:w1~swap.8075:3613</v>
      </c>
      <c r="F8077" s="6" t="str">
        <f>_xll.QS.TRADE.CREATE("trade.8075",E8077,A8077,"Receive")</f>
        <v>QSObject:SwapTrade:w1~trade.8075:23612</v>
      </c>
      <c r="G8077" s="3">
        <f>_xll.QS.EVALUATE(C8077,F8077)</f>
        <v>45785.692977739083</v>
      </c>
      <c r="H8077" s="5" t="s">
        <v>8118</v>
      </c>
      <c r="I8077" s="7">
        <v>1807500</v>
      </c>
      <c r="J8077" s="8">
        <v>3.7500000000000012E-2</v>
      </c>
    </row>
    <row r="8078" spans="1:10" x14ac:dyDescent="0.25">
      <c r="A8078" s="5" t="s">
        <v>8112</v>
      </c>
      <c r="B8078" s="5" t="s">
        <v>9945</v>
      </c>
      <c r="C8078" s="6" t="str">
        <f>_xll.QS.CONTEXT.CREATE("market.8076",A8078,"USD","SOFR")</f>
        <v>QSObject:PricingContext:w1~market.8076:3612</v>
      </c>
      <c r="D8078" s="6" t="str">
        <f>_xll.QS.CONTEXT.ADD.CURVE(C8078,"SOFR",$K$2:$K$7,$L$2:$L$7,,,"Actual360","LogLinear",TRUE)</f>
        <v>QSObject:ContextInput:w1~input.qs_context_add_curve.2359132437744.8077.3.0:32245</v>
      </c>
      <c r="E8078" s="6" t="str">
        <f>_xll.QS.INSTRUMENT.SWAP("swap.8076",H8078,B8078,"USD","SOFR",I8078,J8078,0,"Actual360","Simple","Annual","Annual","Annual")</f>
        <v>QSObject:Swap:w1~swap.8076:3611</v>
      </c>
      <c r="F8078" s="6" t="str">
        <f>_xll.QS.TRADE.CREATE("trade.8076",E8078,A8078,"Receive")</f>
        <v>QSObject:SwapTrade:w1~trade.8076:23611</v>
      </c>
      <c r="G8078" s="3">
        <f>_xll.QS.EVALUATE(C8078,F8078)</f>
        <v>46324.323139417931</v>
      </c>
      <c r="H8078" s="5" t="s">
        <v>8119</v>
      </c>
      <c r="I8078" s="7">
        <v>1807600</v>
      </c>
      <c r="J8078" s="8">
        <v>3.7600000000000001E-2</v>
      </c>
    </row>
    <row r="8079" spans="1:10" x14ac:dyDescent="0.25">
      <c r="A8079" s="5" t="s">
        <v>8113</v>
      </c>
      <c r="B8079" s="5" t="s">
        <v>9946</v>
      </c>
      <c r="C8079" s="6" t="str">
        <f>_xll.QS.CONTEXT.CREATE("market.8077",A8079,"USD","SOFR")</f>
        <v>QSObject:PricingContext:w1~market.8077:3610</v>
      </c>
      <c r="D8079" s="6" t="str">
        <f>_xll.QS.CONTEXT.ADD.CURVE(C8079,"SOFR",$K$2:$K$7,$L$2:$L$7,,,"Actual360","LogLinear",TRUE)</f>
        <v>QSObject:ContextInput:w1~input.qs_context_add_curve.2359132437744.8078.3.0:32244</v>
      </c>
      <c r="E8079" s="6" t="str">
        <f>_xll.QS.INSTRUMENT.SWAP("swap.8077",H8079,B8079,"USD","SOFR",I8079,J8079,0,"Actual360","Simple","Annual","Annual","Annual")</f>
        <v>QSObject:Swap:w1~swap.8077:3609</v>
      </c>
      <c r="F8079" s="6" t="str">
        <f>_xll.QS.TRADE.CREATE("trade.8077",E8079,A8079,"Receive")</f>
        <v>QSObject:SwapTrade:w1~trade.8077:23610</v>
      </c>
      <c r="G8079" s="3">
        <f>_xll.QS.EVALUATE(C8079,F8079)</f>
        <v>47164.302115339378</v>
      </c>
      <c r="H8079" s="5" t="s">
        <v>8120</v>
      </c>
      <c r="I8079" s="7">
        <v>1807700</v>
      </c>
      <c r="J8079" s="8">
        <v>3.7699999999999997E-2</v>
      </c>
    </row>
    <row r="8080" spans="1:10" x14ac:dyDescent="0.25">
      <c r="A8080" s="5" t="s">
        <v>8114</v>
      </c>
      <c r="B8080" s="5" t="s">
        <v>9947</v>
      </c>
      <c r="C8080" s="6" t="str">
        <f>_xll.QS.CONTEXT.CREATE("market.8078",A8080,"USD","SOFR")</f>
        <v>QSObject:PricingContext:w1~market.8078:3608</v>
      </c>
      <c r="D8080" s="6" t="str">
        <f>_xll.QS.CONTEXT.ADD.CURVE(C8080,"SOFR",$K$2:$K$7,$L$2:$L$7,,,"Actual360","LogLinear",TRUE)</f>
        <v>QSObject:ContextInput:w1~input.qs_context_add_curve.2359132437744.8079.3.0:32243</v>
      </c>
      <c r="E8080" s="6" t="str">
        <f>_xll.QS.INSTRUMENT.SWAP("swap.8078",H8080,B8080,"USD","SOFR",I8080,J8080,0,"Actual360","Simple","Annual","Annual","Annual")</f>
        <v>QSObject:Swap:w1~swap.8078:3607</v>
      </c>
      <c r="F8080" s="6" t="str">
        <f>_xll.QS.TRADE.CREATE("trade.8078",E8080,A8080,"Receive")</f>
        <v>QSObject:SwapTrade:w1~trade.8078:23609</v>
      </c>
      <c r="G8080" s="3">
        <f>_xll.QS.EVALUATE(C8080,F8080)</f>
        <v>48077.538070419825</v>
      </c>
      <c r="H8080" s="5" t="s">
        <v>8121</v>
      </c>
      <c r="I8080" s="7">
        <v>1807800</v>
      </c>
      <c r="J8080" s="8">
        <v>3.78E-2</v>
      </c>
    </row>
    <row r="8081" spans="1:10" x14ac:dyDescent="0.25">
      <c r="A8081" s="5" t="s">
        <v>8115</v>
      </c>
      <c r="B8081" s="5" t="s">
        <v>9948</v>
      </c>
      <c r="C8081" s="6" t="str">
        <f>_xll.QS.CONTEXT.CREATE("market.8079",A8081,"USD","SOFR")</f>
        <v>QSObject:PricingContext:w1~market.8079:3606</v>
      </c>
      <c r="D8081" s="6" t="str">
        <f>_xll.QS.CONTEXT.ADD.CURVE(C8081,"SOFR",$K$2:$K$7,$L$2:$L$7,,,"Actual360","LogLinear",TRUE)</f>
        <v>QSObject:ContextInput:w1~input.qs_context_add_curve.2359132437744.8080.3.0:32242</v>
      </c>
      <c r="E8081" s="6" t="str">
        <f>_xll.QS.INSTRUMENT.SWAP("swap.8079",H8081,B8081,"USD","SOFR",I8081,J8081,0,"Actual360","Simple","Annual","Annual","Annual")</f>
        <v>QSObject:Swap:w1~swap.8079:3605</v>
      </c>
      <c r="F8081" s="6" t="str">
        <f>_xll.QS.TRADE.CREATE("trade.8079",E8081,A8081,"Receive")</f>
        <v>QSObject:SwapTrade:w1~trade.8079:23608</v>
      </c>
      <c r="G8081" s="3">
        <f>_xll.QS.EVALUATE(C8081,F8081)</f>
        <v>49188.29355077965</v>
      </c>
      <c r="H8081" s="5" t="s">
        <v>8122</v>
      </c>
      <c r="I8081" s="7">
        <v>1807900</v>
      </c>
      <c r="J8081" s="8">
        <v>3.7900000000000003E-2</v>
      </c>
    </row>
    <row r="8082" spans="1:10" x14ac:dyDescent="0.25">
      <c r="A8082" s="5" t="s">
        <v>8116</v>
      </c>
      <c r="B8082" s="5" t="s">
        <v>9949</v>
      </c>
      <c r="C8082" s="6" t="str">
        <f>_xll.QS.CONTEXT.CREATE("market.8080",A8082,"USD","SOFR")</f>
        <v>QSObject:PricingContext:w1~market.8080:3604</v>
      </c>
      <c r="D8082" s="6" t="str">
        <f>_xll.QS.CONTEXT.ADD.CURVE(C8082,"SOFR",$K$2:$K$7,$L$2:$L$7,,,"Actual360","LogLinear",TRUE)</f>
        <v>QSObject:ContextInput:w1~input.qs_context_add_curve.2359132437744.8081.3.0:32241</v>
      </c>
      <c r="E8082" s="6" t="str">
        <f>_xll.QS.INSTRUMENT.SWAP("swap.8080",H8082,B8082,"USD","SOFR",I8082,J8082,0,"Actual360","Simple","Annual","Annual","Annual")</f>
        <v>QSObject:Swap:w1~swap.8080:3603</v>
      </c>
      <c r="F8082" s="6" t="str">
        <f>_xll.QS.TRADE.CREATE("trade.8080",E8082,A8082,"Receive")</f>
        <v>QSObject:SwapTrade:w1~trade.8080:23607</v>
      </c>
      <c r="G8082" s="3">
        <f>_xll.QS.EVALUATE(C8082,F8082)</f>
        <v>50024.813449706075</v>
      </c>
      <c r="H8082" s="5" t="s">
        <v>8123</v>
      </c>
      <c r="I8082" s="7">
        <v>1808000</v>
      </c>
      <c r="J8082" s="8">
        <v>3.8000000000000013E-2</v>
      </c>
    </row>
    <row r="8083" spans="1:10" x14ac:dyDescent="0.25">
      <c r="A8083" s="5" t="s">
        <v>8117</v>
      </c>
      <c r="B8083" s="5" t="s">
        <v>9950</v>
      </c>
      <c r="C8083" s="6" t="str">
        <f>_xll.QS.CONTEXT.CREATE("market.8081",A8083,"USD","SOFR")</f>
        <v>QSObject:PricingContext:w1~market.8081:3602</v>
      </c>
      <c r="D8083" s="6" t="str">
        <f>_xll.QS.CONTEXT.ADD.CURVE(C8083,"SOFR",$K$2:$K$7,$L$2:$L$7,,,"Actual360","LogLinear",TRUE)</f>
        <v>QSObject:ContextInput:w1~input.qs_context_add_curve.2359132437744.8082.3.0:32240</v>
      </c>
      <c r="E8083" s="6" t="str">
        <f>_xll.QS.INSTRUMENT.SWAP("swap.8081",H8083,B8083,"USD","SOFR",I8083,J8083,0,"Actual360","Simple","Annual","Annual","Annual")</f>
        <v>QSObject:Swap:w1~swap.8081:3601</v>
      </c>
      <c r="F8083" s="6" t="str">
        <f>_xll.QS.TRADE.CREATE("trade.8081",E8083,A8083,"Receive")</f>
        <v>QSObject:SwapTrade:w1~trade.8081:23606</v>
      </c>
      <c r="G8083" s="3">
        <f>_xll.QS.EVALUATE(C8083,F8083)</f>
        <v>50877.648790447733</v>
      </c>
      <c r="H8083" s="5" t="s">
        <v>8124</v>
      </c>
      <c r="I8083" s="7">
        <v>1808100</v>
      </c>
      <c r="J8083" s="8">
        <v>3.8100000000000002E-2</v>
      </c>
    </row>
    <row r="8084" spans="1:10" x14ac:dyDescent="0.25">
      <c r="A8084" s="5" t="s">
        <v>8118</v>
      </c>
      <c r="B8084" s="5" t="s">
        <v>9951</v>
      </c>
      <c r="C8084" s="6" t="str">
        <f>_xll.QS.CONTEXT.CREATE("market.8082",A8084,"USD","SOFR")</f>
        <v>QSObject:PricingContext:w1~market.8082:3600</v>
      </c>
      <c r="D8084" s="6" t="str">
        <f>_xll.QS.CONTEXT.ADD.CURVE(C8084,"SOFR",$K$2:$K$7,$L$2:$L$7,,,"Actual360","LogLinear",TRUE)</f>
        <v>QSObject:ContextInput:w1~input.qs_context_add_curve.2359132437744.8083.3.0:32239</v>
      </c>
      <c r="E8084" s="6" t="str">
        <f>_xll.QS.INSTRUMENT.SWAP("swap.8082",H8084,B8084,"USD","SOFR",I8084,J8084,0,"Actual360","Simple","Annual","Annual","Annual")</f>
        <v>QSObject:Swap:w1~swap.8082:3599</v>
      </c>
      <c r="F8084" s="6" t="str">
        <f>_xll.QS.TRADE.CREATE("trade.8082",E8084,A8084,"Receive")</f>
        <v>QSObject:SwapTrade:w1~trade.8082:23605</v>
      </c>
      <c r="G8084" s="3">
        <f>_xll.QS.EVALUATE(C8084,F8084)</f>
        <v>51715.573482907595</v>
      </c>
      <c r="H8084" s="5" t="s">
        <v>8125</v>
      </c>
      <c r="I8084" s="7">
        <v>1808200</v>
      </c>
      <c r="J8084" s="8">
        <v>3.8199999999999998E-2</v>
      </c>
    </row>
    <row r="8085" spans="1:10" x14ac:dyDescent="0.25">
      <c r="A8085" s="5" t="s">
        <v>8119</v>
      </c>
      <c r="B8085" s="5" t="s">
        <v>9952</v>
      </c>
      <c r="C8085" s="6" t="str">
        <f>_xll.QS.CONTEXT.CREATE("market.8083",A8085,"USD","SOFR")</f>
        <v>QSObject:PricingContext:w1~market.8083:3598</v>
      </c>
      <c r="D8085" s="6" t="str">
        <f>_xll.QS.CONTEXT.ADD.CURVE(C8085,"SOFR",$K$2:$K$7,$L$2:$L$7,,,"Actual360","LogLinear",TRUE)</f>
        <v>QSObject:ContextInput:w1~input.qs_context_add_curve.2359132437744.8084.3.0:32238</v>
      </c>
      <c r="E8085" s="6" t="str">
        <f>_xll.QS.INSTRUMENT.SWAP("swap.8083",H8085,B8085,"USD","SOFR",I8085,J8085,0,"Actual360","Simple","Annual","Annual","Annual")</f>
        <v>QSObject:Swap:w1~swap.8083:3597</v>
      </c>
      <c r="F8085" s="6" t="str">
        <f>_xll.QS.TRADE.CREATE("trade.8083",E8085,A8085,"Receive")</f>
        <v>QSObject:SwapTrade:w1~trade.8083:23604</v>
      </c>
      <c r="G8085" s="3">
        <f>_xll.QS.EVALUATE(C8085,F8085)</f>
        <v>52328.739696916324</v>
      </c>
      <c r="H8085" s="5" t="s">
        <v>8126</v>
      </c>
      <c r="I8085" s="7">
        <v>1808300</v>
      </c>
      <c r="J8085" s="8">
        <v>3.8300000000000001E-2</v>
      </c>
    </row>
    <row r="8086" spans="1:10" x14ac:dyDescent="0.25">
      <c r="A8086" s="5" t="s">
        <v>8120</v>
      </c>
      <c r="B8086" s="5" t="s">
        <v>9953</v>
      </c>
      <c r="C8086" s="6" t="str">
        <f>_xll.QS.CONTEXT.CREATE("market.8084",A8086,"USD","SOFR")</f>
        <v>QSObject:PricingContext:w1~market.8084:3596</v>
      </c>
      <c r="D8086" s="6" t="str">
        <f>_xll.QS.CONTEXT.ADD.CURVE(C8086,"SOFR",$K$2:$K$7,$L$2:$L$7,,,"Actual360","LogLinear",TRUE)</f>
        <v>QSObject:ContextInput:w1~input.qs_context_add_curve.2359132437744.8085.3.0:32237</v>
      </c>
      <c r="E8086" s="6" t="str">
        <f>_xll.QS.INSTRUMENT.SWAP("swap.8084",H8086,B8086,"USD","SOFR",I8086,J8086,0,"Actual360","Simple","Annual","Annual","Annual")</f>
        <v>QSObject:Swap:w1~swap.8084:3595</v>
      </c>
      <c r="F8086" s="6" t="str">
        <f>_xll.QS.TRADE.CREATE("trade.8084",E8086,A8086,"Receive")</f>
        <v>QSObject:SwapTrade:w1~trade.8084:23603</v>
      </c>
      <c r="G8086" s="3">
        <f>_xll.QS.EVALUATE(C8086,F8086)</f>
        <v>53170.216241624439</v>
      </c>
      <c r="H8086" s="5" t="s">
        <v>8127</v>
      </c>
      <c r="I8086" s="7">
        <v>1808400</v>
      </c>
      <c r="J8086" s="8">
        <v>3.8399999999999997E-2</v>
      </c>
    </row>
    <row r="8087" spans="1:10" x14ac:dyDescent="0.25">
      <c r="A8087" s="5" t="s">
        <v>8121</v>
      </c>
      <c r="B8087" s="5" t="s">
        <v>9954</v>
      </c>
      <c r="C8087" s="6" t="str">
        <f>_xll.QS.CONTEXT.CREATE("market.8085",A8087,"USD","SOFR")</f>
        <v>QSObject:PricingContext:w1~market.8085:3594</v>
      </c>
      <c r="D8087" s="6" t="str">
        <f>_xll.QS.CONTEXT.ADD.CURVE(C8087,"SOFR",$K$2:$K$7,$L$2:$L$7,,,"Actual360","LogLinear",TRUE)</f>
        <v>QSObject:ContextInput:w1~input.qs_context_add_curve.2359132437744.8086.3.0:32236</v>
      </c>
      <c r="E8087" s="6" t="str">
        <f>_xll.QS.INSTRUMENT.SWAP("swap.8085",H8087,B8087,"USD","SOFR",I8087,J8087,0,"Actual360","Simple","Annual","Annual","Annual")</f>
        <v>QSObject:Swap:w1~swap.8085:3593</v>
      </c>
      <c r="F8087" s="6" t="str">
        <f>_xll.QS.TRADE.CREATE("trade.8085",E8087,A8087,"Receive")</f>
        <v>QSObject:SwapTrade:w1~trade.8085:23602</v>
      </c>
      <c r="G8087" s="3">
        <f>_xll.QS.EVALUATE(C8087,F8087)</f>
        <v>54011.545515322774</v>
      </c>
      <c r="H8087" s="5" t="s">
        <v>8128</v>
      </c>
      <c r="I8087" s="7">
        <v>1808500</v>
      </c>
      <c r="J8087" s="8">
        <v>3.8500000000000013E-2</v>
      </c>
    </row>
    <row r="8088" spans="1:10" x14ac:dyDescent="0.25">
      <c r="A8088" s="5" t="s">
        <v>8122</v>
      </c>
      <c r="B8088" s="5" t="s">
        <v>9955</v>
      </c>
      <c r="C8088" s="6" t="str">
        <f>_xll.QS.CONTEXT.CREATE("market.8086",A8088,"USD","SOFR")</f>
        <v>QSObject:PricingContext:w1~market.8086:3592</v>
      </c>
      <c r="D8088" s="6" t="str">
        <f>_xll.QS.CONTEXT.ADD.CURVE(C8088,"SOFR",$K$2:$K$7,$L$2:$L$7,,,"Actual360","LogLinear",TRUE)</f>
        <v>QSObject:ContextInput:w1~input.qs_context_add_curve.2359132437744.8087.3.0:32235</v>
      </c>
      <c r="E8088" s="6" t="str">
        <f>_xll.QS.INSTRUMENT.SWAP("swap.8086",H8088,B8088,"USD","SOFR",I8088,J8088,0,"Actual360","Simple","Annual","Annual","Annual")</f>
        <v>QSObject:Swap:w1~swap.8086:3591</v>
      </c>
      <c r="F8088" s="6" t="str">
        <f>_xll.QS.TRADE.CREATE("trade.8086",E8088,A8088,"Receive")</f>
        <v>QSObject:SwapTrade:w1~trade.8086:23601</v>
      </c>
      <c r="G8088" s="3">
        <f>_xll.QS.EVALUATE(C8088,F8088)</f>
        <v>54981.520644534692</v>
      </c>
      <c r="H8088" s="5" t="s">
        <v>8129</v>
      </c>
      <c r="I8088" s="7">
        <v>1808600</v>
      </c>
      <c r="J8088" s="8">
        <v>3.8600000000000002E-2</v>
      </c>
    </row>
    <row r="8089" spans="1:10" x14ac:dyDescent="0.25">
      <c r="A8089" s="5" t="s">
        <v>8123</v>
      </c>
      <c r="B8089" s="5" t="s">
        <v>9955</v>
      </c>
      <c r="C8089" s="6" t="str">
        <f>_xll.QS.CONTEXT.CREATE("market.8087",A8089,"USD","SOFR")</f>
        <v>QSObject:PricingContext:w1~market.8087:3590</v>
      </c>
      <c r="D8089" s="6" t="str">
        <f>_xll.QS.CONTEXT.ADD.CURVE(C8089,"SOFR",$K$2:$K$7,$L$2:$L$7,,,"Actual360","LogLinear",TRUE)</f>
        <v>QSObject:ContextInput:w1~input.qs_context_add_curve.2359132437744.8088.3.0:32234</v>
      </c>
      <c r="E8089" s="6" t="str">
        <f>_xll.QS.INSTRUMENT.SWAP("swap.8087",H8089,B8089,"USD","SOFR",I8089,J8089,0,"Actual360","Simple","Annual","Annual","Annual")</f>
        <v>QSObject:Swap:w1~swap.8087:3589</v>
      </c>
      <c r="F8089" s="6" t="str">
        <f>_xll.QS.TRADE.CREATE("trade.8087",E8089,A8089,"Receive")</f>
        <v>QSObject:SwapTrade:w1~trade.8087:23600</v>
      </c>
      <c r="G8089" s="3">
        <f>_xll.QS.EVALUATE(C8089,F8089)</f>
        <v>55860.406278891525</v>
      </c>
      <c r="H8089" s="5" t="s">
        <v>9956</v>
      </c>
      <c r="I8089" s="7">
        <v>1808700</v>
      </c>
      <c r="J8089" s="8">
        <v>3.8700000000000012E-2</v>
      </c>
    </row>
    <row r="8090" spans="1:10" x14ac:dyDescent="0.25">
      <c r="A8090" s="5" t="s">
        <v>8124</v>
      </c>
      <c r="B8090" s="5" t="s">
        <v>9957</v>
      </c>
      <c r="C8090" s="6" t="str">
        <f>_xll.QS.CONTEXT.CREATE("market.8088",A8090,"USD","SOFR")</f>
        <v>QSObject:PricingContext:w1~market.8088:3588</v>
      </c>
      <c r="D8090" s="6" t="str">
        <f>_xll.QS.CONTEXT.ADD.CURVE(C8090,"SOFR",$K$2:$K$7,$L$2:$L$7,,,"Actual360","LogLinear",TRUE)</f>
        <v>QSObject:ContextInput:w1~input.qs_context_add_curve.2359132437744.8089.3.0:32233</v>
      </c>
      <c r="E8090" s="6" t="str">
        <f>_xll.QS.INSTRUMENT.SWAP("swap.8088",H8090,B8090,"USD","SOFR",I8090,J8090,0,"Actual360","Simple","Annual","Annual","Annual")</f>
        <v>QSObject:Swap:w1~swap.8088:3587</v>
      </c>
      <c r="F8090" s="6" t="str">
        <f>_xll.QS.TRADE.CREATE("trade.8088",E8090,A8090,"Receive")</f>
        <v>QSObject:SwapTrade:w1~trade.8088:23599</v>
      </c>
      <c r="G8090" s="3">
        <f>_xll.QS.EVALUATE(C8090,F8090)</f>
        <v>56706.929061943243</v>
      </c>
      <c r="H8090" s="5" t="s">
        <v>8130</v>
      </c>
      <c r="I8090" s="7">
        <v>1808800</v>
      </c>
      <c r="J8090" s="8">
        <v>3.8800000000000001E-2</v>
      </c>
    </row>
    <row r="8091" spans="1:10" x14ac:dyDescent="0.25">
      <c r="A8091" s="5" t="s">
        <v>8125</v>
      </c>
      <c r="B8091" s="5" t="s">
        <v>9958</v>
      </c>
      <c r="C8091" s="6" t="str">
        <f>_xll.QS.CONTEXT.CREATE("market.8089",A8091,"USD","SOFR")</f>
        <v>QSObject:PricingContext:w1~market.8089:3586</v>
      </c>
      <c r="D8091" s="6" t="str">
        <f>_xll.QS.CONTEXT.ADD.CURVE(C8091,"SOFR",$K$2:$K$7,$L$2:$L$7,,,"Actual360","LogLinear",TRUE)</f>
        <v>QSObject:ContextInput:w1~input.qs_context_add_curve.2359132437744.8090.3.0:32232</v>
      </c>
      <c r="E8091" s="6" t="str">
        <f>_xll.QS.INSTRUMENT.SWAP("swap.8089",H8091,B8091,"USD","SOFR",I8091,J8091,0,"Actual360","Simple","Annual","Annual","Annual")</f>
        <v>QSObject:Swap:w1~swap.8089:3585</v>
      </c>
      <c r="F8091" s="6" t="str">
        <f>_xll.QS.TRADE.CREATE("trade.8089",E8091,A8091,"Receive")</f>
        <v>QSObject:SwapTrade:w1~trade.8089:23598</v>
      </c>
      <c r="G8091" s="3">
        <f>_xll.QS.EVALUATE(C8091,F8091)</f>
        <v>57545.300641351554</v>
      </c>
      <c r="H8091" s="5" t="s">
        <v>8131</v>
      </c>
      <c r="I8091" s="7">
        <v>1808900</v>
      </c>
      <c r="J8091" s="8">
        <v>3.8899999999999997E-2</v>
      </c>
    </row>
    <row r="8092" spans="1:10" x14ac:dyDescent="0.25">
      <c r="A8092" s="5" t="s">
        <v>8126</v>
      </c>
      <c r="B8092" s="5" t="s">
        <v>9959</v>
      </c>
      <c r="C8092" s="6" t="str">
        <f>_xll.QS.CONTEXT.CREATE("market.8090",A8092,"USD","SOFR")</f>
        <v>QSObject:PricingContext:w1~market.8090:3584</v>
      </c>
      <c r="D8092" s="6" t="str">
        <f>_xll.QS.CONTEXT.ADD.CURVE(C8092,"SOFR",$K$2:$K$7,$L$2:$L$7,,,"Actual360","LogLinear",TRUE)</f>
        <v>QSObject:ContextInput:w1~input.qs_context_add_curve.2359132437744.8091.3.0:32231</v>
      </c>
      <c r="E8092" s="6" t="str">
        <f>_xll.QS.INSTRUMENT.SWAP("swap.8090",H8092,B8092,"USD","SOFR",I8092,J8092,0,"Actual360","Simple","Annual","Annual","Annual")</f>
        <v>QSObject:Swap:w1~swap.8090:3583</v>
      </c>
      <c r="F8092" s="6" t="str">
        <f>_xll.QS.TRADE.CREATE("trade.8090",E8092,A8092,"Receive")</f>
        <v>QSObject:SwapTrade:w1~trade.8090:23597</v>
      </c>
      <c r="G8092" s="3">
        <f>_xll.QS.EVALUATE(C8092,F8092)</f>
        <v>58237.708792545811</v>
      </c>
      <c r="H8092" s="5" t="s">
        <v>8132</v>
      </c>
      <c r="I8092" s="7">
        <v>1809000</v>
      </c>
      <c r="J8092" s="8">
        <v>3.9000000000000007E-2</v>
      </c>
    </row>
    <row r="8093" spans="1:10" x14ac:dyDescent="0.25">
      <c r="A8093" s="5" t="s">
        <v>8127</v>
      </c>
      <c r="B8093" s="5" t="s">
        <v>9960</v>
      </c>
      <c r="C8093" s="6" t="str">
        <f>_xll.QS.CONTEXT.CREATE("market.8091",A8093,"USD","SOFR")</f>
        <v>QSObject:PricingContext:w1~market.8091:3582</v>
      </c>
      <c r="D8093" s="6" t="str">
        <f>_xll.QS.CONTEXT.ADD.CURVE(C8093,"SOFR",$K$2:$K$7,$L$2:$L$7,,,"Actual360","LogLinear",TRUE)</f>
        <v>QSObject:ContextInput:w1~input.qs_context_add_curve.2359132437744.8092.3.0:32230</v>
      </c>
      <c r="E8093" s="6" t="str">
        <f>_xll.QS.INSTRUMENT.SWAP("swap.8091",H8093,B8093,"USD","SOFR",I8093,J8093,0,"Actual360","Simple","Annual","Annual","Annual")</f>
        <v>QSObject:Swap:w1~swap.8091:3581</v>
      </c>
      <c r="F8093" s="6" t="str">
        <f>_xll.QS.TRADE.CREATE("trade.8091",E8093,A8093,"Receive")</f>
        <v>QSObject:SwapTrade:w1~trade.8091:23596</v>
      </c>
      <c r="G8093" s="3">
        <f>_xll.QS.EVALUATE(C8093,F8093)</f>
        <v>58960.067216975258</v>
      </c>
      <c r="H8093" s="5" t="s">
        <v>8133</v>
      </c>
      <c r="I8093" s="7">
        <v>1809100</v>
      </c>
      <c r="J8093" s="8">
        <v>3.9100000000000003E-2</v>
      </c>
    </row>
    <row r="8094" spans="1:10" x14ac:dyDescent="0.25">
      <c r="A8094" s="5" t="s">
        <v>8128</v>
      </c>
      <c r="B8094" s="5" t="s">
        <v>9961</v>
      </c>
      <c r="C8094" s="6" t="str">
        <f>_xll.QS.CONTEXT.CREATE("market.8092",A8094,"USD","SOFR")</f>
        <v>QSObject:PricingContext:w1~market.8092:3580</v>
      </c>
      <c r="D8094" s="6" t="str">
        <f>_xll.QS.CONTEXT.ADD.CURVE(C8094,"SOFR",$K$2:$K$7,$L$2:$L$7,,,"Actual360","LogLinear",TRUE)</f>
        <v>QSObject:ContextInput:w1~input.qs_context_add_curve.2359132437744.8093.3.0:32229</v>
      </c>
      <c r="E8094" s="6" t="str">
        <f>_xll.QS.INSTRUMENT.SWAP("swap.8092",H8094,B8094,"USD","SOFR",I8094,J8094,0,"Actual360","Simple","Annual","Annual","Annual")</f>
        <v>QSObject:Swap:w1~swap.8092:3579</v>
      </c>
      <c r="F8094" s="6" t="str">
        <f>_xll.QS.TRADE.CREATE("trade.8092",E8094,A8094,"Receive")</f>
        <v>QSObject:SwapTrade:w1~trade.8092:23595</v>
      </c>
      <c r="G8094" s="3">
        <f>_xll.QS.EVALUATE(C8094,F8094)</f>
        <v>59805.212829784825</v>
      </c>
      <c r="H8094" s="5" t="s">
        <v>8134</v>
      </c>
      <c r="I8094" s="7">
        <v>1809200</v>
      </c>
      <c r="J8094" s="8">
        <v>3.9200000000000013E-2</v>
      </c>
    </row>
    <row r="8095" spans="1:10" x14ac:dyDescent="0.25">
      <c r="A8095" s="5" t="s">
        <v>8129</v>
      </c>
      <c r="B8095" s="5" t="s">
        <v>9962</v>
      </c>
      <c r="C8095" s="6" t="str">
        <f>_xll.QS.CONTEXT.CREATE("market.8093",A8095,"USD","SOFR")</f>
        <v>QSObject:PricingContext:w1~market.8093:3578</v>
      </c>
      <c r="D8095" s="6" t="str">
        <f>_xll.QS.CONTEXT.ADD.CURVE(C8095,"SOFR",$K$2:$K$7,$L$2:$L$7,,,"Actual360","LogLinear",TRUE)</f>
        <v>QSObject:ContextInput:w1~input.qs_context_add_curve.2359132437744.8094.3.0:32228</v>
      </c>
      <c r="E8095" s="6" t="str">
        <f>_xll.QS.INSTRUMENT.SWAP("swap.8093",H8095,B8095,"USD","SOFR",I8095,J8095,0,"Actual360","Simple","Annual","Annual","Annual")</f>
        <v>QSObject:Swap:w1~swap.8093:3577</v>
      </c>
      <c r="F8095" s="6" t="str">
        <f>_xll.QS.TRADE.CREATE("trade.8093",E8095,A8095,"Receive")</f>
        <v>QSObject:SwapTrade:w1~trade.8093:23594</v>
      </c>
      <c r="G8095" s="3">
        <f>_xll.QS.EVALUATE(C8095,F8095)</f>
        <v>60683.181727456642</v>
      </c>
      <c r="H8095" s="5" t="s">
        <v>8135</v>
      </c>
      <c r="I8095" s="7">
        <v>1809300</v>
      </c>
      <c r="J8095" s="8">
        <v>3.9300000000000002E-2</v>
      </c>
    </row>
    <row r="8096" spans="1:10" x14ac:dyDescent="0.25">
      <c r="A8096" s="5" t="s">
        <v>9956</v>
      </c>
      <c r="B8096" s="5" t="s">
        <v>9963</v>
      </c>
      <c r="C8096" s="6" t="str">
        <f>_xll.QS.CONTEXT.CREATE("market.8094",A8096,"USD","SOFR")</f>
        <v>QSObject:PricingContext:w1~market.8094:3576</v>
      </c>
      <c r="D8096" s="6" t="str">
        <f>_xll.QS.CONTEXT.ADD.CURVE(C8096,"SOFR",$K$2:$K$7,$L$2:$L$7,,,"Actual360","LogLinear",TRUE)</f>
        <v>QSObject:ContextInput:w1~input.qs_context_add_curve.2359132437744.8095.3.0:32227</v>
      </c>
      <c r="E8096" s="6" t="str">
        <f>_xll.QS.INSTRUMENT.SWAP("swap.8094",H8096,B8096,"USD","SOFR",I8096,J8096,0,"Actual360","Simple","Annual","Annual","Annual")</f>
        <v>QSObject:Swap:w1~swap.8094:3575</v>
      </c>
      <c r="F8096" s="6" t="str">
        <f>_xll.QS.TRADE.CREATE("trade.8094",E8096,A8096,"Receive")</f>
        <v>QSObject:SwapTrade:w1~trade.8094:23593</v>
      </c>
      <c r="G8096" s="3">
        <f>_xll.QS.EVALUATE(C8096,F8096)</f>
        <v>61653.32403297886</v>
      </c>
      <c r="H8096" s="5" t="s">
        <v>8136</v>
      </c>
      <c r="I8096" s="7">
        <v>1809400</v>
      </c>
      <c r="J8096" s="8">
        <v>3.9399999999999998E-2</v>
      </c>
    </row>
    <row r="8097" spans="1:10" x14ac:dyDescent="0.25">
      <c r="A8097" s="5" t="s">
        <v>8130</v>
      </c>
      <c r="B8097" s="5" t="s">
        <v>9964</v>
      </c>
      <c r="C8097" s="6" t="str">
        <f>_xll.QS.CONTEXT.CREATE("market.8095",A8097,"USD","SOFR")</f>
        <v>QSObject:PricingContext:w1~market.8095:3574</v>
      </c>
      <c r="D8097" s="6" t="str">
        <f>_xll.QS.CONTEXT.ADD.CURVE(C8097,"SOFR",$K$2:$K$7,$L$2:$L$7,,,"Actual360","LogLinear",TRUE)</f>
        <v>QSObject:ContextInput:w1~input.qs_context_add_curve.2359132437744.8096.3.0:32226</v>
      </c>
      <c r="E8097" s="6" t="str">
        <f>_xll.QS.INSTRUMENT.SWAP("swap.8095",H8097,B8097,"USD","SOFR",I8097,J8097,0,"Actual360","Simple","Annual","Annual","Annual")</f>
        <v>QSObject:Swap:w1~swap.8095:3573</v>
      </c>
      <c r="F8097" s="6" t="str">
        <f>_xll.QS.TRADE.CREATE("trade.8095",E8097,A8097,"Receive")</f>
        <v>QSObject:SwapTrade:w1~trade.8095:23592</v>
      </c>
      <c r="G8097" s="3">
        <f>_xll.QS.EVALUATE(C8097,F8097)</f>
        <v>62570.416137126776</v>
      </c>
      <c r="H8097" s="5" t="s">
        <v>8137</v>
      </c>
      <c r="I8097" s="7">
        <v>1809500</v>
      </c>
      <c r="J8097" s="8">
        <v>3.9500000000000007E-2</v>
      </c>
    </row>
    <row r="8098" spans="1:10" x14ac:dyDescent="0.25">
      <c r="A8098" s="5" t="s">
        <v>8131</v>
      </c>
      <c r="B8098" s="5" t="s">
        <v>9965</v>
      </c>
      <c r="C8098" s="6" t="str">
        <f>_xll.QS.CONTEXT.CREATE("market.8096",A8098,"USD","SOFR")</f>
        <v>QSObject:PricingContext:w1~market.8096:3572</v>
      </c>
      <c r="D8098" s="6" t="str">
        <f>_xll.QS.CONTEXT.ADD.CURVE(C8098,"SOFR",$K$2:$K$7,$L$2:$L$7,,,"Actual360","LogLinear",TRUE)</f>
        <v>QSObject:ContextInput:w1~input.qs_context_add_curve.2359132437744.8097.3.0:32225</v>
      </c>
      <c r="E8098" s="6" t="str">
        <f>_xll.QS.INSTRUMENT.SWAP("swap.8096",H8098,B8098,"USD","SOFR",I8098,J8098,0,"Actual360","Simple","Annual","Annual","Annual")</f>
        <v>QSObject:Swap:w1~swap.8096:3571</v>
      </c>
      <c r="F8098" s="6" t="str">
        <f>_xll.QS.TRADE.CREATE("trade.8096",E8098,A8098,"Receive")</f>
        <v>QSObject:SwapTrade:w1~trade.8096:23591</v>
      </c>
      <c r="G8098" s="3">
        <f>_xll.QS.EVALUATE(C8098,F8098)</f>
        <v>63338.430399431898</v>
      </c>
      <c r="H8098" s="5" t="s">
        <v>8138</v>
      </c>
      <c r="I8098" s="7">
        <v>1809600</v>
      </c>
      <c r="J8098" s="8">
        <v>3.9600000000000003E-2</v>
      </c>
    </row>
    <row r="8099" spans="1:10" x14ac:dyDescent="0.25">
      <c r="A8099" s="5" t="s">
        <v>8132</v>
      </c>
      <c r="B8099" s="5" t="s">
        <v>9966</v>
      </c>
      <c r="C8099" s="6" t="str">
        <f>_xll.QS.CONTEXT.CREATE("market.8097",A8099,"USD","SOFR")</f>
        <v>QSObject:PricingContext:w1~market.8097:3570</v>
      </c>
      <c r="D8099" s="6" t="str">
        <f>_xll.QS.CONTEXT.ADD.CURVE(C8099,"SOFR",$K$2:$K$7,$L$2:$L$7,,,"Actual360","LogLinear",TRUE)</f>
        <v>QSObject:ContextInput:w1~input.qs_context_add_curve.2359132437744.8098.3.0:32224</v>
      </c>
      <c r="E8099" s="6" t="str">
        <f>_xll.QS.INSTRUMENT.SWAP("swap.8097",H8099,B8099,"USD","SOFR",I8099,J8099,0,"Actual360","Simple","Annual","Annual","Annual")</f>
        <v>QSObject:Swap:w1~swap.8097:3569</v>
      </c>
      <c r="F8099" s="6" t="str">
        <f>_xll.QS.TRADE.CREATE("trade.8097",E8099,A8099,"Receive")</f>
        <v>QSObject:SwapTrade:w1~trade.8097:23590</v>
      </c>
      <c r="G8099" s="3">
        <f>_xll.QS.EVALUATE(C8099,F8099)</f>
        <v>64024.611389008285</v>
      </c>
      <c r="H8099" s="5" t="s">
        <v>8139</v>
      </c>
      <c r="I8099" s="7">
        <v>1809700</v>
      </c>
      <c r="J8099" s="8">
        <v>3.9700000000000013E-2</v>
      </c>
    </row>
    <row r="8100" spans="1:10" x14ac:dyDescent="0.25">
      <c r="A8100" s="5" t="s">
        <v>8133</v>
      </c>
      <c r="B8100" s="5" t="s">
        <v>9967</v>
      </c>
      <c r="C8100" s="6" t="str">
        <f>_xll.QS.CONTEXT.CREATE("market.8098",A8100,"USD","SOFR")</f>
        <v>QSObject:PricingContext:w1~market.8098:3568</v>
      </c>
      <c r="D8100" s="6" t="str">
        <f>_xll.QS.CONTEXT.ADD.CURVE(C8100,"SOFR",$K$2:$K$7,$L$2:$L$7,,,"Actual360","LogLinear",TRUE)</f>
        <v>QSObject:ContextInput:w1~input.qs_context_add_curve.2359132437744.8099.3.0:32223</v>
      </c>
      <c r="E8100" s="6" t="str">
        <f>_xll.QS.INSTRUMENT.SWAP("swap.8098",H8100,B8100,"USD","SOFR",I8100,J8100,0,"Actual360","Simple","Annual","Annual","Annual")</f>
        <v>QSObject:Swap:w1~swap.8098:3567</v>
      </c>
      <c r="F8100" s="6" t="str">
        <f>_xll.QS.TRADE.CREATE("trade.8098",E8100,A8100,"Receive")</f>
        <v>QSObject:SwapTrade:w1~trade.8098:23589</v>
      </c>
      <c r="G8100" s="3">
        <f>_xll.QS.EVALUATE(C8100,F8100)</f>
        <v>64756.94602108578</v>
      </c>
      <c r="H8100" s="5" t="s">
        <v>8140</v>
      </c>
      <c r="I8100" s="7">
        <v>1809800</v>
      </c>
      <c r="J8100" s="8">
        <v>3.9800000000000002E-2</v>
      </c>
    </row>
    <row r="8101" spans="1:10" x14ac:dyDescent="0.25">
      <c r="A8101" s="5" t="s">
        <v>8134</v>
      </c>
      <c r="B8101" s="5" t="s">
        <v>9968</v>
      </c>
      <c r="C8101" s="6" t="str">
        <f>_xll.QS.CONTEXT.CREATE("market.8099",A8101,"USD","SOFR")</f>
        <v>QSObject:PricingContext:w1~market.8099:3566</v>
      </c>
      <c r="D8101" s="6" t="str">
        <f>_xll.QS.CONTEXT.ADD.CURVE(C8101,"SOFR",$K$2:$K$7,$L$2:$L$7,,,"Actual360","LogLinear",TRUE)</f>
        <v>QSObject:ContextInput:w1~input.qs_context_add_curve.2359132437744.8100.3.0:32222</v>
      </c>
      <c r="E8101" s="6" t="str">
        <f>_xll.QS.INSTRUMENT.SWAP("swap.8099",H8101,B8101,"USD","SOFR",I8101,J8101,0,"Actual360","Simple","Annual","Annual","Annual")</f>
        <v>QSObject:Swap:w1~swap.8099:3565</v>
      </c>
      <c r="F8101" s="6" t="str">
        <f>_xll.QS.TRADE.CREATE("trade.8099",E8101,A8101,"Receive")</f>
        <v>QSObject:SwapTrade:w1~trade.8099:23588</v>
      </c>
      <c r="G8101" s="3">
        <f>_xll.QS.EVALUATE(C8101,F8101)</f>
        <v>65673.645906081714</v>
      </c>
      <c r="H8101" s="5" t="s">
        <v>8141</v>
      </c>
      <c r="I8101" s="7">
        <v>1809900</v>
      </c>
      <c r="J8101" s="8">
        <v>3.9899999999999998E-2</v>
      </c>
    </row>
    <row r="8102" spans="1:10" x14ac:dyDescent="0.25">
      <c r="A8102" s="5" t="s">
        <v>8135</v>
      </c>
      <c r="B8102" s="5" t="s">
        <v>9969</v>
      </c>
      <c r="C8102" s="6" t="str">
        <f>_xll.QS.CONTEXT.CREATE("market.8100",A8102,"USD","SOFR")</f>
        <v>QSObject:PricingContext:w1~market.8100:3564</v>
      </c>
      <c r="D8102" s="6" t="str">
        <f>_xll.QS.CONTEXT.ADD.CURVE(C8102,"SOFR",$K$2:$K$7,$L$2:$L$7,,,"Actual360","LogLinear",TRUE)</f>
        <v>QSObject:ContextInput:w1~input.qs_context_add_curve.2359132437744.8101.3.0:32221</v>
      </c>
      <c r="E8102" s="6" t="str">
        <f>_xll.QS.INSTRUMENT.SWAP("swap.8100",H8102,B8102,"USD","SOFR",I8102,J8102,0,"Actual360","Simple","Annual","Annual","Annual")</f>
        <v>QSObject:Swap:w1~swap.8100:3563</v>
      </c>
      <c r="F8102" s="6" t="str">
        <f>_xll.QS.TRADE.CREATE("trade.8100",E8102,A8102,"Receive")</f>
        <v>QSObject:SwapTrade:w1~trade.8100:23587</v>
      </c>
      <c r="G8102" s="3">
        <f>_xll.QS.EVALUATE(C8102,F8102)</f>
        <v>24816.75208393138</v>
      </c>
      <c r="H8102" s="5" t="s">
        <v>8142</v>
      </c>
      <c r="I8102" s="7">
        <v>1810000</v>
      </c>
      <c r="J8102" s="8">
        <v>3.5000000000000003E-2</v>
      </c>
    </row>
    <row r="8103" spans="1:10" x14ac:dyDescent="0.25">
      <c r="A8103" s="5" t="s">
        <v>8136</v>
      </c>
      <c r="B8103" s="5" t="s">
        <v>9970</v>
      </c>
      <c r="C8103" s="6" t="str">
        <f>_xll.QS.CONTEXT.CREATE("market.8101",A8103,"USD","SOFR")</f>
        <v>QSObject:PricingContext:w1~market.8101:3562</v>
      </c>
      <c r="D8103" s="6" t="str">
        <f>_xll.QS.CONTEXT.ADD.CURVE(C8103,"SOFR",$K$2:$K$7,$L$2:$L$7,,,"Actual360","LogLinear",TRUE)</f>
        <v>QSObject:ContextInput:w1~input.qs_context_add_curve.2359132437744.8102.3.0:32220</v>
      </c>
      <c r="E8103" s="6" t="str">
        <f>_xll.QS.INSTRUMENT.SWAP("swap.8101",H8103,B8103,"USD","SOFR",I8103,J8103,0,"Actual360","Simple","Annual","Annual","Annual")</f>
        <v>QSObject:Swap:w1~swap.8101:3561</v>
      </c>
      <c r="F8103" s="6" t="str">
        <f>_xll.QS.TRADE.CREATE("trade.8101",E8103,A8103,"Receive")</f>
        <v>QSObject:SwapTrade:w1~trade.8101:23586</v>
      </c>
      <c r="G8103" s="3">
        <f>_xll.QS.EVALUATE(C8103,F8103)</f>
        <v>25784.752975298295</v>
      </c>
      <c r="H8103" s="5" t="s">
        <v>8143</v>
      </c>
      <c r="I8103" s="7">
        <v>1810100</v>
      </c>
      <c r="J8103" s="8">
        <v>3.5100000000000013E-2</v>
      </c>
    </row>
    <row r="8104" spans="1:10" x14ac:dyDescent="0.25">
      <c r="A8104" s="5" t="s">
        <v>8137</v>
      </c>
      <c r="B8104" s="5" t="s">
        <v>9971</v>
      </c>
      <c r="C8104" s="6" t="str">
        <f>_xll.QS.CONTEXT.CREATE("market.8102",A8104,"USD","SOFR")</f>
        <v>QSObject:PricingContext:w1~market.8102:3560</v>
      </c>
      <c r="D8104" s="6" t="str">
        <f>_xll.QS.CONTEXT.ADD.CURVE(C8104,"SOFR",$K$2:$K$7,$L$2:$L$7,,,"Actual360","LogLinear",TRUE)</f>
        <v>QSObject:ContextInput:w1~input.qs_context_add_curve.2359132437744.8103.3.0:32219</v>
      </c>
      <c r="E8104" s="6" t="str">
        <f>_xll.QS.INSTRUMENT.SWAP("swap.8102",H8104,B8104,"USD","SOFR",I8104,J8104,0,"Actual360","Simple","Annual","Annual","Annual")</f>
        <v>QSObject:Swap:w1~swap.8102:3559</v>
      </c>
      <c r="F8104" s="6" t="str">
        <f>_xll.QS.TRADE.CREATE("trade.8102",E8104,A8104,"Receive")</f>
        <v>QSObject:SwapTrade:w1~trade.8102:23585</v>
      </c>
      <c r="G8104" s="3">
        <f>_xll.QS.EVALUATE(C8104,F8104)</f>
        <v>26699.803506901306</v>
      </c>
      <c r="H8104" s="5" t="s">
        <v>8144</v>
      </c>
      <c r="I8104" s="7">
        <v>1810200</v>
      </c>
      <c r="J8104" s="8">
        <v>3.5200000000000002E-2</v>
      </c>
    </row>
    <row r="8105" spans="1:10" x14ac:dyDescent="0.25">
      <c r="A8105" s="5" t="s">
        <v>8138</v>
      </c>
      <c r="B8105" s="5" t="s">
        <v>9972</v>
      </c>
      <c r="C8105" s="6" t="str">
        <f>_xll.QS.CONTEXT.CREATE("market.8103",A8105,"USD","SOFR")</f>
        <v>QSObject:PricingContext:w1~market.8103:3558</v>
      </c>
      <c r="D8105" s="6" t="str">
        <f>_xll.QS.CONTEXT.ADD.CURVE(C8105,"SOFR",$K$2:$K$7,$L$2:$L$7,,,"Actual360","LogLinear",TRUE)</f>
        <v>QSObject:ContextInput:w1~input.qs_context_add_curve.2359132437744.8104.3.0:32218</v>
      </c>
      <c r="E8105" s="6" t="str">
        <f>_xll.QS.INSTRUMENT.SWAP("swap.8103",H8105,B8105,"USD","SOFR",I8105,J8105,0,"Actual360","Simple","Annual","Annual","Annual")</f>
        <v>QSObject:Swap:w1~swap.8103:3557</v>
      </c>
      <c r="F8105" s="6" t="str">
        <f>_xll.QS.TRADE.CREATE("trade.8103",E8105,A8105,"Receive")</f>
        <v>QSObject:SwapTrade:w1~trade.8103:23584</v>
      </c>
      <c r="G8105" s="3">
        <f>_xll.QS.EVALUATE(C8105,F8105)</f>
        <v>27466.518508172965</v>
      </c>
      <c r="H8105" s="5" t="s">
        <v>8145</v>
      </c>
      <c r="I8105" s="7">
        <v>1810300</v>
      </c>
      <c r="J8105" s="8">
        <v>3.5299999999999998E-2</v>
      </c>
    </row>
    <row r="8106" spans="1:10" x14ac:dyDescent="0.25">
      <c r="A8106" s="5" t="s">
        <v>8139</v>
      </c>
      <c r="B8106" s="5" t="s">
        <v>9973</v>
      </c>
      <c r="C8106" s="6" t="str">
        <f>_xll.QS.CONTEXT.CREATE("market.8104",A8106,"USD","SOFR")</f>
        <v>QSObject:PricingContext:w1~market.8104:3556</v>
      </c>
      <c r="D8106" s="6" t="str">
        <f>_xll.QS.CONTEXT.ADD.CURVE(C8106,"SOFR",$K$2:$K$7,$L$2:$L$7,,,"Actual360","LogLinear",TRUE)</f>
        <v>QSObject:ContextInput:w1~input.qs_context_add_curve.2359132437744.8105.3.0:32217</v>
      </c>
      <c r="E8106" s="6" t="str">
        <f>_xll.QS.INSTRUMENT.SWAP("swap.8104",H8106,B8106,"USD","SOFR",I8106,J8106,0,"Actual360","Simple","Annual","Annual","Annual")</f>
        <v>QSObject:Swap:w1~swap.8104:3555</v>
      </c>
      <c r="F8106" s="6" t="str">
        <f>_xll.QS.TRADE.CREATE("trade.8104",E8106,A8106,"Receive")</f>
        <v>QSObject:SwapTrade:w1~trade.8104:23583</v>
      </c>
      <c r="G8106" s="3">
        <f>_xll.QS.EVALUATE(C8106,F8106)</f>
        <v>28193.254856055813</v>
      </c>
      <c r="H8106" s="5" t="s">
        <v>8146</v>
      </c>
      <c r="I8106" s="7">
        <v>1810400</v>
      </c>
      <c r="J8106" s="8">
        <v>3.5400000000000001E-2</v>
      </c>
    </row>
    <row r="8107" spans="1:10" x14ac:dyDescent="0.25">
      <c r="A8107" s="5" t="s">
        <v>8140</v>
      </c>
      <c r="B8107" s="5" t="s">
        <v>9974</v>
      </c>
      <c r="C8107" s="6" t="str">
        <f>_xll.QS.CONTEXT.CREATE("market.8105",A8107,"USD","SOFR")</f>
        <v>QSObject:PricingContext:w1~market.8105:3554</v>
      </c>
      <c r="D8107" s="6" t="str">
        <f>_xll.QS.CONTEXT.ADD.CURVE(C8107,"SOFR",$K$2:$K$7,$L$2:$L$7,,,"Actual360","LogLinear",TRUE)</f>
        <v>QSObject:ContextInput:w1~input.qs_context_add_curve.2359132437744.8106.3.0:32216</v>
      </c>
      <c r="E8107" s="6" t="str">
        <f>_xll.QS.INSTRUMENT.SWAP("swap.8105",H8107,B8107,"USD","SOFR",I8107,J8107,0,"Actual360","Simple","Annual","Annual","Annual")</f>
        <v>QSObject:Swap:w1~swap.8105:3553</v>
      </c>
      <c r="F8107" s="6" t="str">
        <f>_xll.QS.TRADE.CREATE("trade.8105",E8107,A8107,"Receive")</f>
        <v>QSObject:SwapTrade:w1~trade.8105:23582</v>
      </c>
      <c r="G8107" s="3">
        <f>_xll.QS.EVALUATE(C8107,F8107)</f>
        <v>28868.233434877693</v>
      </c>
      <c r="H8107" s="5" t="s">
        <v>8147</v>
      </c>
      <c r="I8107" s="7">
        <v>1810500</v>
      </c>
      <c r="J8107" s="8">
        <v>3.5499999999999997E-2</v>
      </c>
    </row>
    <row r="8108" spans="1:10" x14ac:dyDescent="0.25">
      <c r="A8108" s="5" t="s">
        <v>8141</v>
      </c>
      <c r="B8108" s="5" t="s">
        <v>9975</v>
      </c>
      <c r="C8108" s="6" t="str">
        <f>_xll.QS.CONTEXT.CREATE("market.8106",A8108,"USD","SOFR")</f>
        <v>QSObject:PricingContext:w1~market.8106:3552</v>
      </c>
      <c r="D8108" s="6" t="str">
        <f>_xll.QS.CONTEXT.ADD.CURVE(C8108,"SOFR",$K$2:$K$7,$L$2:$L$7,,,"Actual360","LogLinear",TRUE)</f>
        <v>QSObject:ContextInput:w1~input.qs_context_add_curve.2359132437744.8107.3.0:32215</v>
      </c>
      <c r="E8108" s="6" t="str">
        <f>_xll.QS.INSTRUMENT.SWAP("swap.8106",H8108,B8108,"USD","SOFR",I8108,J8108,0,"Actual360","Simple","Annual","Annual","Annual")</f>
        <v>QSObject:Swap:w1~swap.8106:3551</v>
      </c>
      <c r="F8108" s="6" t="str">
        <f>_xll.QS.TRADE.CREATE("trade.8106",E8108,A8108,"Receive")</f>
        <v>QSObject:SwapTrade:w1~trade.8106:23581</v>
      </c>
      <c r="G8108" s="3">
        <f>_xll.QS.EVALUATE(C8108,F8108)</f>
        <v>29779.824980886377</v>
      </c>
      <c r="H8108" s="5" t="s">
        <v>8148</v>
      </c>
      <c r="I8108" s="7">
        <v>1810600</v>
      </c>
      <c r="J8108" s="8">
        <v>3.5600000000000007E-2</v>
      </c>
    </row>
    <row r="8109" spans="1:10" x14ac:dyDescent="0.25">
      <c r="A8109" s="5" t="s">
        <v>8142</v>
      </c>
      <c r="B8109" s="5" t="s">
        <v>9976</v>
      </c>
      <c r="C8109" s="6" t="str">
        <f>_xll.QS.CONTEXT.CREATE("market.8107",A8109,"USD","SOFR")</f>
        <v>QSObject:PricingContext:w1~market.8107:3550</v>
      </c>
      <c r="D8109" s="6" t="str">
        <f>_xll.QS.CONTEXT.ADD.CURVE(C8109,"SOFR",$K$2:$K$7,$L$2:$L$7,,,"Actual360","LogLinear",TRUE)</f>
        <v>QSObject:ContextInput:w1~input.qs_context_add_curve.2359132437744.8108.3.0:32214</v>
      </c>
      <c r="E8109" s="6" t="str">
        <f>_xll.QS.INSTRUMENT.SWAP("swap.8107",H8109,B8109,"USD","SOFR",I8109,J8109,0,"Actual360","Simple","Annual","Annual","Annual")</f>
        <v>QSObject:Swap:w1~swap.8107:3549</v>
      </c>
      <c r="F8109" s="6" t="str">
        <f>_xll.QS.TRADE.CREATE("trade.8107",E8109,A8109,"Receive")</f>
        <v>QSObject:SwapTrade:w1~trade.8107:23580</v>
      </c>
      <c r="G8109" s="3">
        <f>_xll.QS.EVALUATE(C8109,F8109)</f>
        <v>30671.152328033902</v>
      </c>
      <c r="H8109" s="5" t="s">
        <v>8149</v>
      </c>
      <c r="I8109" s="7">
        <v>1810700</v>
      </c>
      <c r="J8109" s="8">
        <v>3.5700000000000003E-2</v>
      </c>
    </row>
    <row r="8110" spans="1:10" x14ac:dyDescent="0.25">
      <c r="A8110" s="5" t="s">
        <v>8143</v>
      </c>
      <c r="B8110" s="5" t="s">
        <v>9977</v>
      </c>
      <c r="C8110" s="6" t="str">
        <f>_xll.QS.CONTEXT.CREATE("market.8108",A8110,"USD","SOFR")</f>
        <v>QSObject:PricingContext:w1~market.8108:3548</v>
      </c>
      <c r="D8110" s="6" t="str">
        <f>_xll.QS.CONTEXT.ADD.CURVE(C8110,"SOFR",$K$2:$K$7,$L$2:$L$7,,,"Actual360","LogLinear",TRUE)</f>
        <v>QSObject:ContextInput:w1~input.qs_context_add_curve.2359132437744.8109.3.0:32213</v>
      </c>
      <c r="E8110" s="6" t="str">
        <f>_xll.QS.INSTRUMENT.SWAP("swap.8108",H8110,B8110,"USD","SOFR",I8110,J8110,0,"Actual360","Simple","Annual","Annual","Annual")</f>
        <v>QSObject:Swap:w1~swap.8108:3547</v>
      </c>
      <c r="F8110" s="6" t="str">
        <f>_xll.QS.TRADE.CREATE("trade.8108",E8110,A8110,"Receive")</f>
        <v>QSObject:SwapTrade:w1~trade.8108:23579</v>
      </c>
      <c r="G8110" s="3">
        <f>_xll.QS.EVALUATE(C8110,F8110)</f>
        <v>31639.936556290733</v>
      </c>
      <c r="H8110" s="5" t="s">
        <v>8150</v>
      </c>
      <c r="I8110" s="7">
        <v>1810800</v>
      </c>
      <c r="J8110" s="8">
        <v>3.5800000000000012E-2</v>
      </c>
    </row>
    <row r="8111" spans="1:10" x14ac:dyDescent="0.25">
      <c r="A8111" s="5" t="s">
        <v>8144</v>
      </c>
      <c r="B8111" s="5" t="s">
        <v>9978</v>
      </c>
      <c r="C8111" s="6" t="str">
        <f>_xll.QS.CONTEXT.CREATE("market.8109",A8111,"USD","SOFR")</f>
        <v>QSObject:PricingContext:w1~market.8109:3546</v>
      </c>
      <c r="D8111" s="6" t="str">
        <f>_xll.QS.CONTEXT.ADD.CURVE(C8111,"SOFR",$K$2:$K$7,$L$2:$L$7,,,"Actual360","LogLinear",TRUE)</f>
        <v>QSObject:ContextInput:w1~input.qs_context_add_curve.2359132437744.8110.3.0:32212</v>
      </c>
      <c r="E8111" s="6" t="str">
        <f>_xll.QS.INSTRUMENT.SWAP("swap.8109",H8111,B8111,"USD","SOFR",I8111,J8111,0,"Actual360","Simple","Annual","Annual","Annual")</f>
        <v>QSObject:Swap:w1~swap.8109:3545</v>
      </c>
      <c r="F8111" s="6" t="str">
        <f>_xll.QS.TRADE.CREATE("trade.8109",E8111,A8111,"Receive")</f>
        <v>QSObject:SwapTrade:w1~trade.8109:23578</v>
      </c>
      <c r="G8111" s="3">
        <f>_xll.QS.EVALUATE(C8111,F8111)</f>
        <v>32555.730299264098</v>
      </c>
      <c r="H8111" s="5" t="s">
        <v>8151</v>
      </c>
      <c r="I8111" s="7">
        <v>1810900</v>
      </c>
      <c r="J8111" s="8">
        <v>3.5900000000000001E-2</v>
      </c>
    </row>
    <row r="8112" spans="1:10" x14ac:dyDescent="0.25">
      <c r="A8112" s="5" t="s">
        <v>8145</v>
      </c>
      <c r="B8112" s="5" t="s">
        <v>9979</v>
      </c>
      <c r="C8112" s="6" t="str">
        <f>_xll.QS.CONTEXT.CREATE("market.8110",A8112,"USD","SOFR")</f>
        <v>QSObject:PricingContext:w1~market.8110:3544</v>
      </c>
      <c r="D8112" s="6" t="str">
        <f>_xll.QS.CONTEXT.ADD.CURVE(C8112,"SOFR",$K$2:$K$7,$L$2:$L$7,,,"Actual360","LogLinear",TRUE)</f>
        <v>QSObject:ContextInput:w1~input.qs_context_add_curve.2359132437744.8111.3.0:32211</v>
      </c>
      <c r="E8112" s="6" t="str">
        <f>_xll.QS.INSTRUMENT.SWAP("swap.8110",H8112,B8112,"USD","SOFR",I8112,J8112,0,"Actual360","Simple","Annual","Annual","Annual")</f>
        <v>QSObject:Swap:w1~swap.8110:3543</v>
      </c>
      <c r="F8112" s="6" t="str">
        <f>_xll.QS.TRADE.CREATE("trade.8110",E8112,A8112,"Receive")</f>
        <v>QSObject:SwapTrade:w1~trade.8110:23577</v>
      </c>
      <c r="G8112" s="3">
        <f>_xll.QS.EVALUATE(C8112,F8112)</f>
        <v>33323.000829242155</v>
      </c>
      <c r="H8112" s="5" t="s">
        <v>8152</v>
      </c>
      <c r="I8112" s="7">
        <v>1811000</v>
      </c>
      <c r="J8112" s="8">
        <v>3.5999999999999997E-2</v>
      </c>
    </row>
    <row r="8113" spans="1:10" x14ac:dyDescent="0.25">
      <c r="A8113" s="5" t="s">
        <v>8146</v>
      </c>
      <c r="B8113" s="5" t="s">
        <v>9980</v>
      </c>
      <c r="C8113" s="6" t="str">
        <f>_xll.QS.CONTEXT.CREATE("market.8111",A8113,"USD","SOFR")</f>
        <v>QSObject:PricingContext:w1~market.8111:3542</v>
      </c>
      <c r="D8113" s="6" t="str">
        <f>_xll.QS.CONTEXT.ADD.CURVE(C8113,"SOFR",$K$2:$K$7,$L$2:$L$7,,,"Actual360","LogLinear",TRUE)</f>
        <v>QSObject:ContextInput:w1~input.qs_context_add_curve.2359132437744.8112.3.0:32210</v>
      </c>
      <c r="E8113" s="6" t="str">
        <f>_xll.QS.INSTRUMENT.SWAP("swap.8111",H8113,B8113,"USD","SOFR",I8113,J8113,0,"Actual360","Simple","Annual","Annual","Annual")</f>
        <v>QSObject:Swap:w1~swap.8111:3541</v>
      </c>
      <c r="F8113" s="6" t="str">
        <f>_xll.QS.TRADE.CREATE("trade.8111",E8113,A8113,"Receive")</f>
        <v>QSObject:SwapTrade:w1~trade.8111:23576</v>
      </c>
      <c r="G8113" s="3">
        <f>_xll.QS.EVALUATE(C8113,F8113)</f>
        <v>34043.455877824446</v>
      </c>
      <c r="H8113" s="5" t="s">
        <v>8153</v>
      </c>
      <c r="I8113" s="7">
        <v>1811100</v>
      </c>
      <c r="J8113" s="8">
        <v>3.61E-2</v>
      </c>
    </row>
    <row r="8114" spans="1:10" x14ac:dyDescent="0.25">
      <c r="A8114" s="5" t="s">
        <v>8147</v>
      </c>
      <c r="B8114" s="5" t="s">
        <v>9981</v>
      </c>
      <c r="C8114" s="6" t="str">
        <f>_xll.QS.CONTEXT.CREATE("market.8112",A8114,"USD","SOFR")</f>
        <v>QSObject:PricingContext:w1~market.8112:3540</v>
      </c>
      <c r="D8114" s="6" t="str">
        <f>_xll.QS.CONTEXT.ADD.CURVE(C8114,"SOFR",$K$2:$K$7,$L$2:$L$7,,,"Actual360","LogLinear",TRUE)</f>
        <v>QSObject:ContextInput:w1~input.qs_context_add_curve.2359132437744.8113.3.0:32209</v>
      </c>
      <c r="E8114" s="6" t="str">
        <f>_xll.QS.INSTRUMENT.SWAP("swap.8112",H8114,B8114,"USD","SOFR",I8114,J8114,0,"Actual360","Simple","Annual","Annual","Annual")</f>
        <v>QSObject:Swap:w1~swap.8112:3539</v>
      </c>
      <c r="F8114" s="6" t="str">
        <f>_xll.QS.TRADE.CREATE("trade.8112",E8114,A8114,"Receive")</f>
        <v>QSObject:SwapTrade:w1~trade.8112:23575</v>
      </c>
      <c r="G8114" s="3">
        <f>_xll.QS.EVALUATE(C8114,F8114)</f>
        <v>34727.85122643636</v>
      </c>
      <c r="H8114" s="5" t="s">
        <v>8154</v>
      </c>
      <c r="I8114" s="7">
        <v>1811200</v>
      </c>
      <c r="J8114" s="8">
        <v>3.6200000000000003E-2</v>
      </c>
    </row>
    <row r="8115" spans="1:10" x14ac:dyDescent="0.25">
      <c r="A8115" s="5" t="s">
        <v>8148</v>
      </c>
      <c r="B8115" s="5" t="s">
        <v>9982</v>
      </c>
      <c r="C8115" s="6" t="str">
        <f>_xll.QS.CONTEXT.CREATE("market.8113",A8115,"USD","SOFR")</f>
        <v>QSObject:PricingContext:w1~market.8113:3538</v>
      </c>
      <c r="D8115" s="6" t="str">
        <f>_xll.QS.CONTEXT.ADD.CURVE(C8115,"SOFR",$K$2:$K$7,$L$2:$L$7,,,"Actual360","LogLinear",TRUE)</f>
        <v>QSObject:ContextInput:w1~input.qs_context_add_curve.2359132437744.8114.3.0:32208</v>
      </c>
      <c r="E8115" s="6" t="str">
        <f>_xll.QS.INSTRUMENT.SWAP("swap.8113",H8115,B8115,"USD","SOFR",I8115,J8115,0,"Actual360","Simple","Annual","Annual","Annual")</f>
        <v>QSObject:Swap:w1~swap.8113:3537</v>
      </c>
      <c r="F8115" s="6" t="str">
        <f>_xll.QS.TRADE.CREATE("trade.8113",E8115,A8115,"Receive")</f>
        <v>QSObject:SwapTrade:w1~trade.8113:23574</v>
      </c>
      <c r="G8115" s="3">
        <f>_xll.QS.EVALUATE(C8115,F8115)</f>
        <v>35640.913909521347</v>
      </c>
      <c r="H8115" s="5" t="s">
        <v>8155</v>
      </c>
      <c r="I8115" s="7">
        <v>1811300</v>
      </c>
      <c r="J8115" s="8">
        <v>3.6300000000000013E-2</v>
      </c>
    </row>
    <row r="8116" spans="1:10" x14ac:dyDescent="0.25">
      <c r="A8116" s="5" t="s">
        <v>8149</v>
      </c>
      <c r="B8116" s="5" t="s">
        <v>9983</v>
      </c>
      <c r="C8116" s="6" t="str">
        <f>_xll.QS.CONTEXT.CREATE("market.8114",A8116,"USD","SOFR")</f>
        <v>QSObject:PricingContext:w1~market.8114:3536</v>
      </c>
      <c r="D8116" s="6" t="str">
        <f>_xll.QS.CONTEXT.ADD.CURVE(C8116,"SOFR",$K$2:$K$7,$L$2:$L$7,,,"Actual360","LogLinear",TRUE)</f>
        <v>QSObject:ContextInput:w1~input.qs_context_add_curve.2359132437744.8115.3.0:32207</v>
      </c>
      <c r="E8116" s="6" t="str">
        <f>_xll.QS.INSTRUMENT.SWAP("swap.8114",H8116,B8116,"USD","SOFR",I8116,J8116,0,"Actual360","Simple","Annual","Annual","Annual")</f>
        <v>QSObject:Swap:w1~swap.8114:3535</v>
      </c>
      <c r="F8116" s="6" t="str">
        <f>_xll.QS.TRADE.CREATE("trade.8114",E8116,A8116,"Receive")</f>
        <v>QSObject:SwapTrade:w1~trade.8114:23573</v>
      </c>
      <c r="G8116" s="3">
        <f>_xll.QS.EVALUATE(C8116,F8116)</f>
        <v>36530.071666214615</v>
      </c>
      <c r="H8116" s="5" t="s">
        <v>8156</v>
      </c>
      <c r="I8116" s="7">
        <v>1811400</v>
      </c>
      <c r="J8116" s="8">
        <v>3.6400000000000002E-2</v>
      </c>
    </row>
    <row r="8117" spans="1:10" x14ac:dyDescent="0.25">
      <c r="A8117" s="5" t="s">
        <v>8150</v>
      </c>
      <c r="B8117" s="5" t="s">
        <v>9984</v>
      </c>
      <c r="C8117" s="6" t="str">
        <f>_xll.QS.CONTEXT.CREATE("market.8115",A8117,"USD","SOFR")</f>
        <v>QSObject:PricingContext:w1~market.8115:3534</v>
      </c>
      <c r="D8117" s="6" t="str">
        <f>_xll.QS.CONTEXT.ADD.CURVE(C8117,"SOFR",$K$2:$K$7,$L$2:$L$7,,,"Actual360","LogLinear",TRUE)</f>
        <v>QSObject:ContextInput:w1~input.qs_context_add_curve.2359132437744.8116.3.0:32206</v>
      </c>
      <c r="E8117" s="6" t="str">
        <f>_xll.QS.INSTRUMENT.SWAP("swap.8115",H8117,B8117,"USD","SOFR",I8117,J8117,0,"Actual360","Simple","Annual","Annual","Annual")</f>
        <v>QSObject:Swap:w1~swap.8115:3533</v>
      </c>
      <c r="F8117" s="6" t="str">
        <f>_xll.QS.TRADE.CREATE("trade.8115",E8117,A8117,"Receive")</f>
        <v>QSObject:SwapTrade:w1~trade.8115:23572</v>
      </c>
      <c r="G8117" s="3">
        <f>_xll.QS.EVALUATE(C8117,F8117)</f>
        <v>37499.641447482478</v>
      </c>
      <c r="H8117" s="5" t="s">
        <v>8157</v>
      </c>
      <c r="I8117" s="7">
        <v>1811500</v>
      </c>
      <c r="J8117" s="8">
        <v>3.6499999999999998E-2</v>
      </c>
    </row>
    <row r="8118" spans="1:10" x14ac:dyDescent="0.25">
      <c r="A8118" s="5" t="s">
        <v>8151</v>
      </c>
      <c r="B8118" s="5" t="s">
        <v>9985</v>
      </c>
      <c r="C8118" s="6" t="str">
        <f>_xll.QS.CONTEXT.CREATE("market.8116",A8118,"USD","SOFR")</f>
        <v>QSObject:PricingContext:w1~market.8116:3532</v>
      </c>
      <c r="D8118" s="6" t="str">
        <f>_xll.QS.CONTEXT.ADD.CURVE(C8118,"SOFR",$K$2:$K$7,$L$2:$L$7,,,"Actual360","LogLinear",TRUE)</f>
        <v>QSObject:ContextInput:w1~input.qs_context_add_curve.2359132437744.8117.3.0:32205</v>
      </c>
      <c r="E8118" s="6" t="str">
        <f>_xll.QS.INSTRUMENT.SWAP("swap.8116",H8118,B8118,"USD","SOFR",I8118,J8118,0,"Actual360","Simple","Annual","Annual","Annual")</f>
        <v>QSObject:Swap:w1~swap.8116:3531</v>
      </c>
      <c r="F8118" s="6" t="str">
        <f>_xll.QS.TRADE.CREATE("trade.8116",E8118,A8118,"Receive")</f>
        <v>QSObject:SwapTrade:w1~trade.8116:23571</v>
      </c>
      <c r="G8118" s="3">
        <f>_xll.QS.EVALUATE(C8118,F8118)</f>
        <v>38416.226587157696</v>
      </c>
      <c r="H8118" s="5" t="s">
        <v>8158</v>
      </c>
      <c r="I8118" s="7">
        <v>1811600</v>
      </c>
      <c r="J8118" s="8">
        <v>3.6600000000000001E-2</v>
      </c>
    </row>
    <row r="8119" spans="1:10" x14ac:dyDescent="0.25">
      <c r="A8119" s="5" t="s">
        <v>8152</v>
      </c>
      <c r="B8119" s="5" t="s">
        <v>9986</v>
      </c>
      <c r="C8119" s="6" t="str">
        <f>_xll.QS.CONTEXT.CREATE("market.8117",A8119,"USD","SOFR")</f>
        <v>QSObject:PricingContext:w1~market.8117:3530</v>
      </c>
      <c r="D8119" s="6" t="str">
        <f>_xll.QS.CONTEXT.ADD.CURVE(C8119,"SOFR",$K$2:$K$7,$L$2:$L$7,,,"Actual360","LogLinear",TRUE)</f>
        <v>QSObject:ContextInput:w1~input.qs_context_add_curve.2359132437744.8118.3.0:32204</v>
      </c>
      <c r="E8119" s="6" t="str">
        <f>_xll.QS.INSTRUMENT.SWAP("swap.8117",H8119,B8119,"USD","SOFR",I8119,J8119,0,"Actual360","Simple","Annual","Annual","Annual")</f>
        <v>QSObject:Swap:w1~swap.8117:3529</v>
      </c>
      <c r="F8119" s="6" t="str">
        <f>_xll.QS.TRADE.CREATE("trade.8117",E8119,A8119,"Receive")</f>
        <v>QSObject:SwapTrade:w1~trade.8117:23570</v>
      </c>
      <c r="G8119" s="3">
        <f>_xll.QS.EVALUATE(C8119,F8119)</f>
        <v>39184.417036826293</v>
      </c>
      <c r="H8119" s="5" t="s">
        <v>8159</v>
      </c>
      <c r="I8119" s="7">
        <v>1811700</v>
      </c>
      <c r="J8119" s="8">
        <v>3.6700000000000003E-2</v>
      </c>
    </row>
    <row r="8120" spans="1:10" x14ac:dyDescent="0.25">
      <c r="A8120" s="5" t="s">
        <v>8153</v>
      </c>
      <c r="B8120" s="5" t="s">
        <v>9987</v>
      </c>
      <c r="C8120" s="6" t="str">
        <f>_xll.QS.CONTEXT.CREATE("market.8118",A8120,"USD","SOFR")</f>
        <v>QSObject:PricingContext:w1~market.8118:3528</v>
      </c>
      <c r="D8120" s="6" t="str">
        <f>_xll.QS.CONTEXT.ADD.CURVE(C8120,"SOFR",$K$2:$K$7,$L$2:$L$7,,,"Actual360","LogLinear",TRUE)</f>
        <v>QSObject:ContextInput:w1~input.qs_context_add_curve.2359132437744.8119.3.0:32203</v>
      </c>
      <c r="E8120" s="6" t="str">
        <f>_xll.QS.INSTRUMENT.SWAP("swap.8118",H8120,B8120,"USD","SOFR",I8120,J8120,0,"Actual360","Simple","Annual","Annual","Annual")</f>
        <v>QSObject:Swap:w1~swap.8118:3527</v>
      </c>
      <c r="F8120" s="6" t="str">
        <f>_xll.QS.TRADE.CREATE("trade.8118",E8120,A8120,"Receive")</f>
        <v>QSObject:SwapTrade:w1~trade.8118:23569</v>
      </c>
      <c r="G8120" s="3">
        <f>_xll.QS.EVALUATE(C8120,F8120)</f>
        <v>39976.350382511548</v>
      </c>
      <c r="H8120" s="5" t="s">
        <v>8160</v>
      </c>
      <c r="I8120" s="7">
        <v>1811800</v>
      </c>
      <c r="J8120" s="8">
        <v>3.6800000000000013E-2</v>
      </c>
    </row>
    <row r="8121" spans="1:10" x14ac:dyDescent="0.25">
      <c r="A8121" s="5" t="s">
        <v>8154</v>
      </c>
      <c r="B8121" s="5" t="s">
        <v>9988</v>
      </c>
      <c r="C8121" s="6" t="str">
        <f>_xll.QS.CONTEXT.CREATE("market.8119",A8121,"USD","SOFR")</f>
        <v>QSObject:PricingContext:w1~market.8119:3526</v>
      </c>
      <c r="D8121" s="6" t="str">
        <f>_xll.QS.CONTEXT.ADD.CURVE(C8121,"SOFR",$K$2:$K$7,$L$2:$L$7,,,"Actual360","LogLinear",TRUE)</f>
        <v>QSObject:ContextInput:w1~input.qs_context_add_curve.2359132437744.8120.3.0:32202</v>
      </c>
      <c r="E8121" s="6" t="str">
        <f>_xll.QS.INSTRUMENT.SWAP("swap.8119",H8121,B8121,"USD","SOFR",I8121,J8121,0,"Actual360","Simple","Annual","Annual","Annual")</f>
        <v>QSObject:Swap:w1~swap.8119:3525</v>
      </c>
      <c r="F8121" s="6" t="str">
        <f>_xll.QS.TRADE.CREATE("trade.8119",E8121,A8121,"Receive")</f>
        <v>QSObject:SwapTrade:w1~trade.8119:23568</v>
      </c>
      <c r="G8121" s="3">
        <f>_xll.QS.EVALUATE(C8121,F8121)</f>
        <v>40593.989647110953</v>
      </c>
      <c r="H8121" s="5" t="s">
        <v>8161</v>
      </c>
      <c r="I8121" s="7">
        <v>1811900</v>
      </c>
      <c r="J8121" s="8">
        <v>3.6900000000000002E-2</v>
      </c>
    </row>
    <row r="8122" spans="1:10" x14ac:dyDescent="0.25">
      <c r="A8122" s="5" t="s">
        <v>8155</v>
      </c>
      <c r="B8122" s="5" t="s">
        <v>9989</v>
      </c>
      <c r="C8122" s="6" t="str">
        <f>_xll.QS.CONTEXT.CREATE("market.8120",A8122,"USD","SOFR")</f>
        <v>QSObject:PricingContext:w1~market.8120:3524</v>
      </c>
      <c r="D8122" s="6" t="str">
        <f>_xll.QS.CONTEXT.ADD.CURVE(C8122,"SOFR",$K$2:$K$7,$L$2:$L$7,,,"Actual360","LogLinear",TRUE)</f>
        <v>QSObject:ContextInput:w1~input.qs_context_add_curve.2359132437744.8121.3.0:32201</v>
      </c>
      <c r="E8122" s="6" t="str">
        <f>_xll.QS.INSTRUMENT.SWAP("swap.8120",H8122,B8122,"USD","SOFR",I8122,J8122,0,"Actual360","Simple","Annual","Annual","Annual")</f>
        <v>QSObject:Swap:w1~swap.8120:3523</v>
      </c>
      <c r="F8122" s="6" t="str">
        <f>_xll.QS.TRADE.CREATE("trade.8120",E8122,A8122,"Receive")</f>
        <v>QSObject:SwapTrade:w1~trade.8120:23567</v>
      </c>
      <c r="G8122" s="3">
        <f>_xll.QS.EVALUATE(C8122,F8122)</f>
        <v>41507.028093873327</v>
      </c>
      <c r="H8122" s="5" t="s">
        <v>8162</v>
      </c>
      <c r="I8122" s="7">
        <v>1812000</v>
      </c>
      <c r="J8122" s="8">
        <v>3.7000000000000012E-2</v>
      </c>
    </row>
    <row r="8123" spans="1:10" x14ac:dyDescent="0.25">
      <c r="A8123" s="5" t="s">
        <v>8156</v>
      </c>
      <c r="B8123" s="5" t="s">
        <v>9990</v>
      </c>
      <c r="C8123" s="6" t="str">
        <f>_xll.QS.CONTEXT.CREATE("market.8121",A8123,"USD","SOFR")</f>
        <v>QSObject:PricingContext:w1~market.8121:3522</v>
      </c>
      <c r="D8123" s="6" t="str">
        <f>_xll.QS.CONTEXT.ADD.CURVE(C8123,"SOFR",$K$2:$K$7,$L$2:$L$7,,,"Actual360","LogLinear",TRUE)</f>
        <v>QSObject:ContextInput:w1~input.qs_context_add_curve.2359132437744.8122.3.0:32200</v>
      </c>
      <c r="E8123" s="6" t="str">
        <f>_xll.QS.INSTRUMENT.SWAP("swap.8121",H8123,B8123,"USD","SOFR",I8123,J8123,0,"Actual360","Simple","Annual","Annual","Annual")</f>
        <v>QSObject:Swap:w1~swap.8121:3521</v>
      </c>
      <c r="F8123" s="6" t="str">
        <f>_xll.QS.TRADE.CREATE("trade.8121",E8123,A8123,"Receive")</f>
        <v>QSObject:SwapTrade:w1~trade.8121:23566</v>
      </c>
      <c r="G8123" s="3">
        <f>_xll.QS.EVALUATE(C8123,F8123)</f>
        <v>42393.653187912154</v>
      </c>
      <c r="H8123" s="5" t="s">
        <v>8163</v>
      </c>
      <c r="I8123" s="7">
        <v>1812100</v>
      </c>
      <c r="J8123" s="8">
        <v>3.7100000000000001E-2</v>
      </c>
    </row>
    <row r="8124" spans="1:10" x14ac:dyDescent="0.25">
      <c r="A8124" s="5" t="s">
        <v>8157</v>
      </c>
      <c r="B8124" s="5" t="s">
        <v>9991</v>
      </c>
      <c r="C8124" s="6" t="str">
        <f>_xll.QS.CONTEXT.CREATE("market.8122",A8124,"USD","SOFR")</f>
        <v>QSObject:PricingContext:w1~market.8122:3520</v>
      </c>
      <c r="D8124" s="6" t="str">
        <f>_xll.QS.CONTEXT.ADD.CURVE(C8124,"SOFR",$K$2:$K$7,$L$2:$L$7,,,"Actual360","LogLinear",TRUE)</f>
        <v>QSObject:ContextInput:w1~input.qs_context_add_curve.2359132437744.8123.3.0:32199</v>
      </c>
      <c r="E8124" s="6" t="str">
        <f>_xll.QS.INSTRUMENT.SWAP("swap.8122",H8124,B8124,"USD","SOFR",I8124,J8124,0,"Actual360","Simple","Annual","Annual","Annual")</f>
        <v>QSObject:Swap:w1~swap.8122:3519</v>
      </c>
      <c r="F8124" s="6" t="str">
        <f>_xll.QS.TRADE.CREATE("trade.8122",E8124,A8124,"Receive")</f>
        <v>QSObject:SwapTrade:w1~trade.8122:23565</v>
      </c>
      <c r="G8124" s="3">
        <f>_xll.QS.EVALUATE(C8124,F8124)</f>
        <v>43434.230161314699</v>
      </c>
      <c r="H8124" s="5" t="s">
        <v>8164</v>
      </c>
      <c r="I8124" s="7">
        <v>1812200</v>
      </c>
      <c r="J8124" s="8">
        <v>3.7199999999999997E-2</v>
      </c>
    </row>
    <row r="8125" spans="1:10" x14ac:dyDescent="0.25">
      <c r="A8125" s="5" t="s">
        <v>8158</v>
      </c>
      <c r="B8125" s="5" t="s">
        <v>9992</v>
      </c>
      <c r="C8125" s="6" t="str">
        <f>_xll.QS.CONTEXT.CREATE("market.8123",A8125,"USD","SOFR")</f>
        <v>QSObject:PricingContext:w1~market.8123:3518</v>
      </c>
      <c r="D8125" s="6" t="str">
        <f>_xll.QS.CONTEXT.ADD.CURVE(C8125,"SOFR",$K$2:$K$7,$L$2:$L$7,,,"Actual360","LogLinear",TRUE)</f>
        <v>QSObject:ContextInput:w1~input.qs_context_add_curve.2359132437744.8124.3.0:32198</v>
      </c>
      <c r="E8125" s="6" t="str">
        <f>_xll.QS.INSTRUMENT.SWAP("swap.8123",H8125,B8125,"USD","SOFR",I8125,J8125,0,"Actual360","Simple","Annual","Annual","Annual")</f>
        <v>QSObject:Swap:w1~swap.8123:3517</v>
      </c>
      <c r="F8125" s="6" t="str">
        <f>_xll.QS.TRADE.CREATE("trade.8123",E8125,A8125,"Receive")</f>
        <v>QSObject:SwapTrade:w1~trade.8123:23564</v>
      </c>
      <c r="G8125" s="3">
        <f>_xll.QS.EVALUATE(C8125,F8125)</f>
        <v>44281.141108833144</v>
      </c>
      <c r="H8125" s="5" t="s">
        <v>8165</v>
      </c>
      <c r="I8125" s="7">
        <v>1812300</v>
      </c>
      <c r="J8125" s="8">
        <v>3.73E-2</v>
      </c>
    </row>
    <row r="8126" spans="1:10" x14ac:dyDescent="0.25">
      <c r="A8126" s="5" t="s">
        <v>8159</v>
      </c>
      <c r="B8126" s="5" t="s">
        <v>9993</v>
      </c>
      <c r="C8126" s="6" t="str">
        <f>_xll.QS.CONTEXT.CREATE("market.8124",A8126,"USD","SOFR")</f>
        <v>QSObject:PricingContext:w1~market.8124:3516</v>
      </c>
      <c r="D8126" s="6" t="str">
        <f>_xll.QS.CONTEXT.ADD.CURVE(C8126,"SOFR",$K$2:$K$7,$L$2:$L$7,,,"Actual360","LogLinear",TRUE)</f>
        <v>QSObject:ContextInput:w1~input.qs_context_add_curve.2359132437744.8125.3.0:32197</v>
      </c>
      <c r="E8126" s="6" t="str">
        <f>_xll.QS.INSTRUMENT.SWAP("swap.8124",H8126,B8126,"USD","SOFR",I8126,J8126,0,"Actual360","Simple","Annual","Annual","Annual")</f>
        <v>QSObject:Swap:w1~swap.8124:3515</v>
      </c>
      <c r="F8126" s="6" t="str">
        <f>_xll.QS.TRADE.CREATE("trade.8124",E8126,A8126,"Receive")</f>
        <v>QSObject:SwapTrade:w1~trade.8124:23563</v>
      </c>
      <c r="G8126" s="3">
        <f>_xll.QS.EVALUATE(C8126,F8126)</f>
        <v>44963.226253875975</v>
      </c>
      <c r="H8126" s="5" t="s">
        <v>8166</v>
      </c>
      <c r="I8126" s="7">
        <v>1812400</v>
      </c>
      <c r="J8126" s="8">
        <v>3.7400000000000003E-2</v>
      </c>
    </row>
    <row r="8127" spans="1:10" x14ac:dyDescent="0.25">
      <c r="A8127" s="5" t="s">
        <v>8160</v>
      </c>
      <c r="B8127" s="5" t="s">
        <v>9994</v>
      </c>
      <c r="C8127" s="6" t="str">
        <f>_xll.QS.CONTEXT.CREATE("market.8125",A8127,"USD","SOFR")</f>
        <v>QSObject:PricingContext:w1~market.8125:3214</v>
      </c>
      <c r="D8127" s="6" t="str">
        <f>_xll.QS.CONTEXT.ADD.CURVE(C8127,"SOFR",$K$2:$K$7,$L$2:$L$7,,,"Actual360","LogLinear",TRUE)</f>
        <v>QSObject:ContextInput:w1~input.qs_context_add_curve.2359132437744.8126.3.0:32196</v>
      </c>
      <c r="E8127" s="6" t="str">
        <f>_xll.QS.INSTRUMENT.SWAP("swap.8125",H8127,B8127,"USD","SOFR",I8127,J8127,0,"Actual360","Simple","Annual","Annual","Annual")</f>
        <v>QSObject:Swap:w1~swap.8125:3213</v>
      </c>
      <c r="F8127" s="6" t="str">
        <f>_xll.QS.TRADE.CREATE("trade.8125",E8127,A8127,"Receive")</f>
        <v>QSObject:SwapTrade:w1~trade.8125:23562</v>
      </c>
      <c r="G8127" s="3">
        <f>_xll.QS.EVALUATE(C8127,F8127)</f>
        <v>45757.662550167093</v>
      </c>
      <c r="H8127" s="5" t="s">
        <v>8167</v>
      </c>
      <c r="I8127" s="7">
        <v>1812500</v>
      </c>
      <c r="J8127" s="8">
        <v>3.7500000000000012E-2</v>
      </c>
    </row>
    <row r="8128" spans="1:10" x14ac:dyDescent="0.25">
      <c r="A8128" s="5" t="s">
        <v>8161</v>
      </c>
      <c r="B8128" s="5" t="s">
        <v>9995</v>
      </c>
      <c r="C8128" s="6" t="str">
        <f>_xll.QS.CONTEXT.CREATE("market.8126",A8128,"USD","SOFR")</f>
        <v>QSObject:PricingContext:w1~market.8126:3212</v>
      </c>
      <c r="D8128" s="6" t="str">
        <f>_xll.QS.CONTEXT.ADD.CURVE(C8128,"SOFR",$K$2:$K$7,$L$2:$L$7,,,"Actual360","LogLinear",TRUE)</f>
        <v>QSObject:ContextInput:w1~input.qs_context_add_curve.2359132437744.8127.3.0:32195</v>
      </c>
      <c r="E8128" s="6" t="str">
        <f>_xll.QS.INSTRUMENT.SWAP("swap.8126",H8128,B8128,"USD","SOFR",I8128,J8128,0,"Actual360","Simple","Annual","Annual","Annual")</f>
        <v>QSObject:Swap:w1~swap.8126:3211</v>
      </c>
      <c r="F8128" s="6" t="str">
        <f>_xll.QS.TRADE.CREATE("trade.8126",E8128,A8128,"Receive")</f>
        <v>QSObject:SwapTrade:w1~trade.8126:23561</v>
      </c>
      <c r="G8128" s="3">
        <f>_xll.QS.EVALUATE(C8128,F8128)</f>
        <v>46461.598787917355</v>
      </c>
      <c r="H8128" s="5" t="s">
        <v>8168</v>
      </c>
      <c r="I8128" s="7">
        <v>1812600</v>
      </c>
      <c r="J8128" s="8">
        <v>3.7600000000000001E-2</v>
      </c>
    </row>
    <row r="8129" spans="1:10" x14ac:dyDescent="0.25">
      <c r="A8129" s="5" t="s">
        <v>8162</v>
      </c>
      <c r="B8129" s="5" t="s">
        <v>9996</v>
      </c>
      <c r="C8129" s="6" t="str">
        <f>_xll.QS.CONTEXT.CREATE("market.8127",A8129,"USD","SOFR")</f>
        <v>QSObject:PricingContext:w1~market.8127:3210</v>
      </c>
      <c r="D8129" s="6" t="str">
        <f>_xll.QS.CONTEXT.ADD.CURVE(C8129,"SOFR",$K$2:$K$7,$L$2:$L$7,,,"Actual360","LogLinear",TRUE)</f>
        <v>QSObject:ContextInput:w1~input.qs_context_add_curve.2359132437744.8128.3.0:32194</v>
      </c>
      <c r="E8129" s="6" t="str">
        <f>_xll.QS.INSTRUMENT.SWAP("swap.8127",H8129,B8129,"USD","SOFR",I8129,J8129,0,"Actual360","Simple","Annual","Annual","Annual")</f>
        <v>QSObject:Swap:w1~swap.8127:3209</v>
      </c>
      <c r="F8129" s="6" t="str">
        <f>_xll.QS.TRADE.CREATE("trade.8127",E8129,A8129,"Receive")</f>
        <v>QSObject:SwapTrade:w1~trade.8127:23560</v>
      </c>
      <c r="G8129" s="3">
        <f>_xll.QS.EVALUATE(C8129,F8129)</f>
        <v>47376.65562583162</v>
      </c>
      <c r="H8129" s="5" t="s">
        <v>8169</v>
      </c>
      <c r="I8129" s="7">
        <v>1812700</v>
      </c>
      <c r="J8129" s="8">
        <v>3.7699999999999997E-2</v>
      </c>
    </row>
    <row r="8130" spans="1:10" x14ac:dyDescent="0.25">
      <c r="A8130" s="5" t="s">
        <v>8163</v>
      </c>
      <c r="B8130" s="5" t="s">
        <v>9997</v>
      </c>
      <c r="C8130" s="6" t="str">
        <f>_xll.QS.CONTEXT.CREATE("market.8128",A8130,"USD","SOFR")</f>
        <v>QSObject:PricingContext:w1~market.8128:3208</v>
      </c>
      <c r="D8130" s="6" t="str">
        <f>_xll.QS.CONTEXT.ADD.CURVE(C8130,"SOFR",$K$2:$K$7,$L$2:$L$7,,,"Actual360","LogLinear",TRUE)</f>
        <v>QSObject:ContextInput:w1~input.qs_context_add_curve.2359132437744.8129.3.0:32193</v>
      </c>
      <c r="E8130" s="6" t="str">
        <f>_xll.QS.INSTRUMENT.SWAP("swap.8128",H8130,B8130,"USD","SOFR",I8130,J8130,0,"Actual360","Simple","Annual","Annual","Annual")</f>
        <v>QSObject:Swap:w1~swap.8128:3207</v>
      </c>
      <c r="F8130" s="6" t="str">
        <f>_xll.QS.TRADE.CREATE("trade.8128",E8130,A8130,"Receive")</f>
        <v>QSObject:SwapTrade:w1~trade.8128:23559</v>
      </c>
      <c r="G8130" s="3">
        <f>_xll.QS.EVALUATE(C8130,F8130)</f>
        <v>48261.467624810466</v>
      </c>
      <c r="H8130" s="5" t="s">
        <v>8170</v>
      </c>
      <c r="I8130" s="7">
        <v>1812800</v>
      </c>
      <c r="J8130" s="8">
        <v>3.78E-2</v>
      </c>
    </row>
    <row r="8131" spans="1:10" x14ac:dyDescent="0.25">
      <c r="A8131" s="5" t="s">
        <v>8164</v>
      </c>
      <c r="B8131" s="5" t="s">
        <v>9998</v>
      </c>
      <c r="C8131" s="6" t="str">
        <f>_xll.QS.CONTEXT.CREATE("market.8129",A8131,"USD","SOFR")</f>
        <v>QSObject:PricingContext:w1~market.8129:3206</v>
      </c>
      <c r="D8131" s="6" t="str">
        <f>_xll.QS.CONTEXT.ADD.CURVE(C8131,"SOFR",$K$2:$K$7,$L$2:$L$7,,,"Actual360","LogLinear",TRUE)</f>
        <v>QSObject:ContextInput:w1~input.qs_context_add_curve.2359132437744.8130.3.0:32192</v>
      </c>
      <c r="E8131" s="6" t="str">
        <f>_xll.QS.INSTRUMENT.SWAP("swap.8129",H8131,B8131,"USD","SOFR",I8131,J8131,0,"Actual360","Simple","Annual","Annual","Annual")</f>
        <v>QSObject:Swap:w1~swap.8129:3205</v>
      </c>
      <c r="F8131" s="6" t="str">
        <f>_xll.QS.TRADE.CREATE("trade.8129",E8131,A8131,"Receive")</f>
        <v>QSObject:SwapTrade:w1~trade.8129:23558</v>
      </c>
      <c r="G8131" s="3">
        <f>_xll.QS.EVALUATE(C8131,F8131)</f>
        <v>49317.131080816442</v>
      </c>
      <c r="H8131" s="5" t="s">
        <v>8171</v>
      </c>
      <c r="I8131" s="7">
        <v>1812900</v>
      </c>
      <c r="J8131" s="8">
        <v>3.7900000000000003E-2</v>
      </c>
    </row>
    <row r="8132" spans="1:10" x14ac:dyDescent="0.25">
      <c r="A8132" s="5" t="s">
        <v>8165</v>
      </c>
      <c r="B8132" s="5" t="s">
        <v>9999</v>
      </c>
      <c r="C8132" s="6" t="str">
        <f>_xll.QS.CONTEXT.CREATE("market.8130",A8132,"USD","SOFR")</f>
        <v>QSObject:PricingContext:w1~market.8130:3204</v>
      </c>
      <c r="D8132" s="6" t="str">
        <f>_xll.QS.CONTEXT.ADD.CURVE(C8132,"SOFR",$K$2:$K$7,$L$2:$L$7,,,"Actual360","LogLinear",TRUE)</f>
        <v>QSObject:ContextInput:w1~input.qs_context_add_curve.2359132437744.8131.3.0:32191</v>
      </c>
      <c r="E8132" s="6" t="str">
        <f>_xll.QS.INSTRUMENT.SWAP("swap.8130",H8132,B8132,"USD","SOFR",I8132,J8132,0,"Actual360","Simple","Annual","Annual","Annual")</f>
        <v>QSObject:Swap:w1~swap.8130:3203</v>
      </c>
      <c r="F8132" s="6" t="str">
        <f>_xll.QS.TRADE.CREATE("trade.8130",E8132,A8132,"Receive")</f>
        <v>QSObject:SwapTrade:w1~trade.8130:23557</v>
      </c>
      <c r="G8132" s="3">
        <f>_xll.QS.EVALUATE(C8132,F8132)</f>
        <v>50152.756160123274</v>
      </c>
      <c r="H8132" s="5" t="s">
        <v>8172</v>
      </c>
      <c r="I8132" s="7">
        <v>1813000</v>
      </c>
      <c r="J8132" s="8">
        <v>3.8000000000000013E-2</v>
      </c>
    </row>
    <row r="8133" spans="1:10" x14ac:dyDescent="0.25">
      <c r="A8133" s="5" t="s">
        <v>8166</v>
      </c>
      <c r="B8133" s="5" t="s">
        <v>10000</v>
      </c>
      <c r="C8133" s="6" t="str">
        <f>_xll.QS.CONTEXT.CREATE("market.8131",A8133,"USD","SOFR")</f>
        <v>QSObject:PricingContext:w1~market.8131:3202</v>
      </c>
      <c r="D8133" s="6" t="str">
        <f>_xll.QS.CONTEXT.ADD.CURVE(C8133,"SOFR",$K$2:$K$7,$L$2:$L$7,,,"Actual360","LogLinear",TRUE)</f>
        <v>QSObject:ContextInput:w1~input.qs_context_add_curve.2359132437744.8132.3.0:32190</v>
      </c>
      <c r="E8133" s="6" t="str">
        <f>_xll.QS.INSTRUMENT.SWAP("swap.8131",H8133,B8133,"USD","SOFR",I8133,J8133,0,"Actual360","Simple","Annual","Annual","Annual")</f>
        <v>QSObject:Swap:w1~swap.8131:3201</v>
      </c>
      <c r="F8133" s="6" t="str">
        <f>_xll.QS.TRADE.CREATE("trade.8131",E8133,A8133,"Receive")</f>
        <v>QSObject:SwapTrade:w1~trade.8131:23556</v>
      </c>
      <c r="G8133" s="3">
        <f>_xll.QS.EVALUATE(C8133,F8133)</f>
        <v>50919.565091823089</v>
      </c>
      <c r="H8133" s="5" t="s">
        <v>8173</v>
      </c>
      <c r="I8133" s="7">
        <v>1813100</v>
      </c>
      <c r="J8133" s="8">
        <v>3.8100000000000002E-2</v>
      </c>
    </row>
    <row r="8134" spans="1:10" x14ac:dyDescent="0.25">
      <c r="A8134" s="5" t="s">
        <v>8167</v>
      </c>
      <c r="B8134" s="5" t="s">
        <v>10001</v>
      </c>
      <c r="C8134" s="6" t="str">
        <f>_xll.QS.CONTEXT.CREATE("market.8132",A8134,"USD","SOFR")</f>
        <v>QSObject:PricingContext:w1~market.8132:3200</v>
      </c>
      <c r="D8134" s="6" t="str">
        <f>_xll.QS.CONTEXT.ADD.CURVE(C8134,"SOFR",$K$2:$K$7,$L$2:$L$7,,,"Actual360","LogLinear",TRUE)</f>
        <v>QSObject:ContextInput:w1~input.qs_context_add_curve.2359132437744.8133.3.0:32189</v>
      </c>
      <c r="E8134" s="6" t="str">
        <f>_xll.QS.INSTRUMENT.SWAP("swap.8132",H8134,B8134,"USD","SOFR",I8134,J8134,0,"Actual360","Simple","Annual","Annual","Annual")</f>
        <v>QSObject:Swap:w1~swap.8132:3199</v>
      </c>
      <c r="F8134" s="6" t="str">
        <f>_xll.QS.TRADE.CREATE("trade.8132",E8134,A8134,"Receive")</f>
        <v>QSObject:SwapTrade:w1~trade.8132:23555</v>
      </c>
      <c r="G8134" s="3">
        <f>_xll.QS.EVALUATE(C8134,F8134)</f>
        <v>51491.246556034581</v>
      </c>
      <c r="H8134" s="5" t="s">
        <v>8174</v>
      </c>
      <c r="I8134" s="7">
        <v>1813200</v>
      </c>
      <c r="J8134" s="8">
        <v>3.8199999999999998E-2</v>
      </c>
    </row>
    <row r="8135" spans="1:10" x14ac:dyDescent="0.25">
      <c r="A8135" s="5" t="s">
        <v>8168</v>
      </c>
      <c r="B8135" s="5" t="s">
        <v>10002</v>
      </c>
      <c r="C8135" s="6" t="str">
        <f>_xll.QS.CONTEXT.CREATE("market.8133",A8135,"USD","SOFR")</f>
        <v>QSObject:PricingContext:w1~market.8133:3198</v>
      </c>
      <c r="D8135" s="6" t="str">
        <f>_xll.QS.CONTEXT.ADD.CURVE(C8135,"SOFR",$K$2:$K$7,$L$2:$L$7,,,"Actual360","LogLinear",TRUE)</f>
        <v>QSObject:ContextInput:w1~input.qs_context_add_curve.2359132437744.8134.3.0:32188</v>
      </c>
      <c r="E8135" s="6" t="str">
        <f>_xll.QS.INSTRUMENT.SWAP("swap.8133",H8135,B8135,"USD","SOFR",I8135,J8135,0,"Actual360","Simple","Annual","Annual","Annual")</f>
        <v>QSObject:Swap:w1~swap.8133:3197</v>
      </c>
      <c r="F8135" s="6" t="str">
        <f>_xll.QS.TRADE.CREATE("trade.8133",E8135,A8135,"Receive")</f>
        <v>QSObject:SwapTrade:w1~trade.8133:23554</v>
      </c>
      <c r="G8135" s="3">
        <f>_xll.QS.EVALUATE(C8135,F8135)</f>
        <v>52334.76134951046</v>
      </c>
      <c r="H8135" s="5" t="s">
        <v>8175</v>
      </c>
      <c r="I8135" s="7">
        <v>1813300</v>
      </c>
      <c r="J8135" s="8">
        <v>3.8300000000000001E-2</v>
      </c>
    </row>
    <row r="8136" spans="1:10" x14ac:dyDescent="0.25">
      <c r="A8136" s="5" t="s">
        <v>8169</v>
      </c>
      <c r="B8136" s="5" t="s">
        <v>10003</v>
      </c>
      <c r="C8136" s="6" t="str">
        <f>_xll.QS.CONTEXT.CREATE("market.8134",A8136,"USD","SOFR")</f>
        <v>QSObject:PricingContext:w1~market.8134:3196</v>
      </c>
      <c r="D8136" s="6" t="str">
        <f>_xll.QS.CONTEXT.ADD.CURVE(C8136,"SOFR",$K$2:$K$7,$L$2:$L$7,,,"Actual360","LogLinear",TRUE)</f>
        <v>QSObject:ContextInput:w1~input.qs_context_add_curve.2359132437744.8135.3.0:32187</v>
      </c>
      <c r="E8136" s="6" t="str">
        <f>_xll.QS.INSTRUMENT.SWAP("swap.8134",H8136,B8136,"USD","SOFR",I8136,J8136,0,"Actual360","Simple","Annual","Annual","Annual")</f>
        <v>QSObject:Swap:w1~swap.8134:3195</v>
      </c>
      <c r="F8136" s="6" t="str">
        <f>_xll.QS.TRADE.CREATE("trade.8134",E8136,A8136,"Receive")</f>
        <v>QSObject:SwapTrade:w1~trade.8134:23553</v>
      </c>
      <c r="G8136" s="3">
        <f>_xll.QS.EVALUATE(C8136,F8136)</f>
        <v>53251.308413506908</v>
      </c>
      <c r="H8136" s="5" t="s">
        <v>8176</v>
      </c>
      <c r="I8136" s="7">
        <v>1813400</v>
      </c>
      <c r="J8136" s="8">
        <v>3.8399999999999997E-2</v>
      </c>
    </row>
    <row r="8137" spans="1:10" x14ac:dyDescent="0.25">
      <c r="A8137" s="5" t="s">
        <v>8170</v>
      </c>
      <c r="B8137" s="5" t="s">
        <v>10004</v>
      </c>
      <c r="C8137" s="6" t="str">
        <f>_xll.QS.CONTEXT.CREATE("market.8135",A8137,"USD","SOFR")</f>
        <v>QSObject:PricingContext:w1~market.8135:3194</v>
      </c>
      <c r="D8137" s="6" t="str">
        <f>_xll.QS.CONTEXT.ADD.CURVE(C8137,"SOFR",$K$2:$K$7,$L$2:$L$7,,,"Actual360","LogLinear",TRUE)</f>
        <v>QSObject:ContextInput:w1~input.qs_context_add_curve.2359132437744.8136.3.0:32186</v>
      </c>
      <c r="E8137" s="6" t="str">
        <f>_xll.QS.INSTRUMENT.SWAP("swap.8135",H8137,B8137,"USD","SOFR",I8137,J8137,0,"Actual360","Simple","Annual","Annual","Annual")</f>
        <v>QSObject:Swap:w1~swap.8135:3193</v>
      </c>
      <c r="F8137" s="6" t="str">
        <f>_xll.QS.TRADE.CREATE("trade.8135",E8137,A8137,"Receive")</f>
        <v>QSObject:SwapTrade:w1~trade.8135:23552</v>
      </c>
      <c r="G8137" s="3">
        <f>_xll.QS.EVALUATE(C8137,F8137)</f>
        <v>54334.584665409311</v>
      </c>
      <c r="H8137" s="5" t="s">
        <v>8177</v>
      </c>
      <c r="I8137" s="7">
        <v>1813500</v>
      </c>
      <c r="J8137" s="8">
        <v>3.8500000000000013E-2</v>
      </c>
    </row>
    <row r="8138" spans="1:10" x14ac:dyDescent="0.25">
      <c r="A8138" s="5" t="s">
        <v>8171</v>
      </c>
      <c r="B8138" s="5" t="s">
        <v>10005</v>
      </c>
      <c r="C8138" s="6" t="str">
        <f>_xll.QS.CONTEXT.CREATE("market.8136",A8138,"USD","SOFR")</f>
        <v>QSObject:PricingContext:w1~market.8136:3192</v>
      </c>
      <c r="D8138" s="6" t="str">
        <f>_xll.QS.CONTEXT.ADD.CURVE(C8138,"SOFR",$K$2:$K$7,$L$2:$L$7,,,"Actual360","LogLinear",TRUE)</f>
        <v>QSObject:ContextInput:w1~input.qs_context_add_curve.2359132437744.8137.3.0:32185</v>
      </c>
      <c r="E8138" s="6" t="str">
        <f>_xll.QS.INSTRUMENT.SWAP("swap.8136",H8138,B8138,"USD","SOFR",I8138,J8138,0,"Actual360","Simple","Annual","Annual","Annual")</f>
        <v>QSObject:Swap:w1~swap.8136:3191</v>
      </c>
      <c r="F8138" s="6" t="str">
        <f>_xll.QS.TRADE.CREATE("trade.8136",E8138,A8138,"Receive")</f>
        <v>QSObject:SwapTrade:w1~trade.8136:23551</v>
      </c>
      <c r="G8138" s="3">
        <f>_xll.QS.EVALUATE(C8138,F8138)</f>
        <v>55172.517740617368</v>
      </c>
      <c r="H8138" s="5" t="s">
        <v>8178</v>
      </c>
      <c r="I8138" s="7">
        <v>1813600</v>
      </c>
      <c r="J8138" s="8">
        <v>3.8600000000000002E-2</v>
      </c>
    </row>
    <row r="8139" spans="1:10" x14ac:dyDescent="0.25">
      <c r="A8139" s="5" t="s">
        <v>8172</v>
      </c>
      <c r="B8139" s="5" t="s">
        <v>10006</v>
      </c>
      <c r="C8139" s="6" t="str">
        <f>_xll.QS.CONTEXT.CREATE("market.8137",A8139,"USD","SOFR")</f>
        <v>QSObject:PricingContext:w1~market.8137:3190</v>
      </c>
      <c r="D8139" s="6" t="str">
        <f>_xll.QS.CONTEXT.ADD.CURVE(C8139,"SOFR",$K$2:$K$7,$L$2:$L$7,,,"Actual360","LogLinear",TRUE)</f>
        <v>QSObject:ContextInput:w1~input.qs_context_add_curve.2359132437744.8138.3.0:32184</v>
      </c>
      <c r="E8139" s="6" t="str">
        <f>_xll.QS.INSTRUMENT.SWAP("swap.8137",H8139,B8139,"USD","SOFR",I8139,J8139,0,"Actual360","Simple","Annual","Annual","Annual")</f>
        <v>QSObject:Swap:w1~swap.8137:3189</v>
      </c>
      <c r="F8139" s="6" t="str">
        <f>_xll.QS.TRADE.CREATE("trade.8137",E8139,A8139,"Receive")</f>
        <v>QSObject:SwapTrade:w1~trade.8137:23550</v>
      </c>
      <c r="G8139" s="3">
        <f>_xll.QS.EVALUATE(C8139,F8139)</f>
        <v>56023.508216559501</v>
      </c>
      <c r="H8139" s="5" t="s">
        <v>8179</v>
      </c>
      <c r="I8139" s="7">
        <v>1813700</v>
      </c>
      <c r="J8139" s="8">
        <v>3.8700000000000012E-2</v>
      </c>
    </row>
    <row r="8140" spans="1:10" x14ac:dyDescent="0.25">
      <c r="A8140" s="5" t="s">
        <v>8173</v>
      </c>
      <c r="B8140" s="5" t="s">
        <v>10007</v>
      </c>
      <c r="C8140" s="6" t="str">
        <f>_xll.QS.CONTEXT.CREATE("market.8138",A8140,"USD","SOFR")</f>
        <v>QSObject:PricingContext:w1~market.8138:3188</v>
      </c>
      <c r="D8140" s="6" t="str">
        <f>_xll.QS.CONTEXT.ADD.CURVE(C8140,"SOFR",$K$2:$K$7,$L$2:$L$7,,,"Actual360","LogLinear",TRUE)</f>
        <v>QSObject:ContextInput:w1~input.qs_context_add_curve.2359132437744.8139.3.0:32183</v>
      </c>
      <c r="E8140" s="6" t="str">
        <f>_xll.QS.INSTRUMENT.SWAP("swap.8138",H8140,B8140,"USD","SOFR",I8140,J8140,0,"Actual360","Simple","Annual","Annual","Annual")</f>
        <v>QSObject:Swap:w1~swap.8138:3187</v>
      </c>
      <c r="F8140" s="6" t="str">
        <f>_xll.QS.TRADE.CREATE("trade.8138",E8140,A8140,"Receive")</f>
        <v>QSObject:SwapTrade:w1~trade.8138:23549</v>
      </c>
      <c r="G8140" s="3">
        <f>_xll.QS.EVALUATE(C8140,F8140)</f>
        <v>56793.933768675168</v>
      </c>
      <c r="H8140" s="5" t="s">
        <v>8180</v>
      </c>
      <c r="I8140" s="7">
        <v>1813800</v>
      </c>
      <c r="J8140" s="8">
        <v>3.8800000000000001E-2</v>
      </c>
    </row>
    <row r="8141" spans="1:10" x14ac:dyDescent="0.25">
      <c r="A8141" s="5" t="s">
        <v>8174</v>
      </c>
      <c r="B8141" s="5" t="s">
        <v>10008</v>
      </c>
      <c r="C8141" s="6" t="str">
        <f>_xll.QS.CONTEXT.CREATE("market.8139",A8141,"USD","SOFR")</f>
        <v>QSObject:PricingContext:w1~market.8139:3186</v>
      </c>
      <c r="D8141" s="6" t="str">
        <f>_xll.QS.CONTEXT.ADD.CURVE(C8141,"SOFR",$K$2:$K$7,$L$2:$L$7,,,"Actual360","LogLinear",TRUE)</f>
        <v>QSObject:ContextInput:w1~input.qs_context_add_curve.2359132437744.8140.3.0:32182</v>
      </c>
      <c r="E8141" s="6" t="str">
        <f>_xll.QS.INSTRUMENT.SWAP("swap.8139",H8141,B8141,"USD","SOFR",I8141,J8141,0,"Actual360","Simple","Annual","Annual","Annual")</f>
        <v>QSObject:Swap:w1~swap.8139:3185</v>
      </c>
      <c r="F8141" s="6" t="str">
        <f>_xll.QS.TRADE.CREATE("trade.8139",E8141,A8141,"Receive")</f>
        <v>QSObject:SwapTrade:w1~trade.8139:23548</v>
      </c>
      <c r="G8141" s="3">
        <f>_xll.QS.EVALUATE(C8141,F8141)</f>
        <v>57489.207565482538</v>
      </c>
      <c r="H8141" s="5" t="s">
        <v>8181</v>
      </c>
      <c r="I8141" s="7">
        <v>1813900</v>
      </c>
      <c r="J8141" s="8">
        <v>3.8899999999999997E-2</v>
      </c>
    </row>
    <row r="8142" spans="1:10" x14ac:dyDescent="0.25">
      <c r="A8142" s="5" t="s">
        <v>8175</v>
      </c>
      <c r="B8142" s="5" t="s">
        <v>10009</v>
      </c>
      <c r="C8142" s="6" t="str">
        <f>_xll.QS.CONTEXT.CREATE("market.8140",A8142,"USD","SOFR")</f>
        <v>QSObject:PricingContext:w1~market.8140:3184</v>
      </c>
      <c r="D8142" s="6" t="str">
        <f>_xll.QS.CONTEXT.ADD.CURVE(C8142,"SOFR",$K$2:$K$7,$L$2:$L$7,,,"Actual360","LogLinear",TRUE)</f>
        <v>QSObject:ContextInput:w1~input.qs_context_add_curve.2359132437744.8141.3.0:32181</v>
      </c>
      <c r="E8142" s="6" t="str">
        <f>_xll.QS.INSTRUMENT.SWAP("swap.8140",H8142,B8142,"USD","SOFR",I8142,J8142,0,"Actual360","Simple","Annual","Annual","Annual")</f>
        <v>QSObject:Swap:w1~swap.8140:3183</v>
      </c>
      <c r="F8142" s="6" t="str">
        <f>_xll.QS.TRADE.CREATE("trade.8140",E8142,A8142,"Receive")</f>
        <v>QSObject:SwapTrade:w1~trade.8140:23547</v>
      </c>
      <c r="G8142" s="3">
        <f>_xll.QS.EVALUATE(C8142,F8142)</f>
        <v>58212.293224579582</v>
      </c>
      <c r="H8142" s="5" t="s">
        <v>8182</v>
      </c>
      <c r="I8142" s="7">
        <v>1814000</v>
      </c>
      <c r="J8142" s="8">
        <v>3.9000000000000007E-2</v>
      </c>
    </row>
    <row r="8143" spans="1:10" x14ac:dyDescent="0.25">
      <c r="A8143" s="5" t="s">
        <v>8176</v>
      </c>
      <c r="B8143" s="5" t="s">
        <v>10010</v>
      </c>
      <c r="C8143" s="6" t="str">
        <f>_xll.QS.CONTEXT.CREATE("market.8141",A8143,"USD","SOFR")</f>
        <v>QSObject:PricingContext:w1~market.8141:3182</v>
      </c>
      <c r="D8143" s="6" t="str">
        <f>_xll.QS.CONTEXT.ADD.CURVE(C8143,"SOFR",$K$2:$K$7,$L$2:$L$7,,,"Actual360","LogLinear",TRUE)</f>
        <v>QSObject:ContextInput:w1~input.qs_context_add_curve.2359132437744.8142.3.0:32180</v>
      </c>
      <c r="E8143" s="6" t="str">
        <f>_xll.QS.INSTRUMENT.SWAP("swap.8141",H8143,B8143,"USD","SOFR",I8143,J8143,0,"Actual360","Simple","Annual","Annual","Annual")</f>
        <v>QSObject:Swap:w1~swap.8141:3181</v>
      </c>
      <c r="F8143" s="6" t="str">
        <f>_xll.QS.TRADE.CREATE("trade.8141",E8143,A8143,"Receive")</f>
        <v>QSObject:SwapTrade:w1~trade.8141:23546</v>
      </c>
      <c r="G8143" s="3">
        <f>_xll.QS.EVALUATE(C8143,F8143)</f>
        <v>59131.584871740444</v>
      </c>
      <c r="H8143" s="5" t="s">
        <v>8183</v>
      </c>
      <c r="I8143" s="7">
        <v>1814100</v>
      </c>
      <c r="J8143" s="8">
        <v>3.9100000000000003E-2</v>
      </c>
    </row>
    <row r="8144" spans="1:10" x14ac:dyDescent="0.25">
      <c r="A8144" s="5" t="s">
        <v>8177</v>
      </c>
      <c r="B8144" s="5" t="s">
        <v>10011</v>
      </c>
      <c r="C8144" s="6" t="str">
        <f>_xll.QS.CONTEXT.CREATE("market.8142",A8144,"USD","SOFR")</f>
        <v>QSObject:PricingContext:w1~market.8142:3180</v>
      </c>
      <c r="D8144" s="6" t="str">
        <f>_xll.QS.CONTEXT.ADD.CURVE(C8144,"SOFR",$K$2:$K$7,$L$2:$L$7,,,"Actual360","LogLinear",TRUE)</f>
        <v>QSObject:ContextInput:w1~input.qs_context_add_curve.2359132437744.8143.3.0:32179</v>
      </c>
      <c r="E8144" s="6" t="str">
        <f>_xll.QS.INSTRUMENT.SWAP("swap.8142",H8144,B8144,"USD","SOFR",I8144,J8144,0,"Actual360","Simple","Annual","Annual","Annual")</f>
        <v>QSObject:Swap:w1~swap.8142:3179</v>
      </c>
      <c r="F8144" s="6" t="str">
        <f>_xll.QS.TRADE.CREATE("trade.8142",E8144,A8144,"Receive")</f>
        <v>QSObject:SwapTrade:w1~trade.8142:23545</v>
      </c>
      <c r="G8144" s="3">
        <f>_xll.QS.EVALUATE(C8144,F8144)</f>
        <v>60010.947126130763</v>
      </c>
      <c r="H8144" s="5" t="s">
        <v>8184</v>
      </c>
      <c r="I8144" s="7">
        <v>1814200</v>
      </c>
      <c r="J8144" s="8">
        <v>3.9200000000000013E-2</v>
      </c>
    </row>
    <row r="8145" spans="1:10" x14ac:dyDescent="0.25">
      <c r="A8145" s="5" t="s">
        <v>8178</v>
      </c>
      <c r="B8145" s="5" t="s">
        <v>10012</v>
      </c>
      <c r="C8145" s="6" t="str">
        <f>_xll.QS.CONTEXT.CREATE("market.8143",A8145,"USD","SOFR")</f>
        <v>QSObject:PricingContext:w1~market.8143:3178</v>
      </c>
      <c r="D8145" s="6" t="str">
        <f>_xll.QS.CONTEXT.ADD.CURVE(C8145,"SOFR",$K$2:$K$7,$L$2:$L$7,,,"Actual360","LogLinear",TRUE)</f>
        <v>QSObject:ContextInput:w1~input.qs_context_add_curve.2359132437744.8144.3.0:32178</v>
      </c>
      <c r="E8145" s="6" t="str">
        <f>_xll.QS.INSTRUMENT.SWAP("swap.8143",H8145,B8145,"USD","SOFR",I8145,J8145,0,"Actual360","Simple","Annual","Annual","Annual")</f>
        <v>QSObject:Swap:w1~swap.8143:3177</v>
      </c>
      <c r="F8145" s="6" t="str">
        <f>_xll.QS.TRADE.CREATE("trade.8143",E8145,A8145,"Receive")</f>
        <v>QSObject:SwapTrade:w1~trade.8143:23544</v>
      </c>
      <c r="G8145" s="3">
        <f>_xll.QS.EVALUATE(C8145,F8145)</f>
        <v>60983.64187824438</v>
      </c>
      <c r="H8145" s="5" t="s">
        <v>8185</v>
      </c>
      <c r="I8145" s="7">
        <v>1814300</v>
      </c>
      <c r="J8145" s="8">
        <v>3.9300000000000002E-2</v>
      </c>
    </row>
    <row r="8146" spans="1:10" x14ac:dyDescent="0.25">
      <c r="A8146" s="5" t="s">
        <v>8179</v>
      </c>
      <c r="B8146" s="5" t="s">
        <v>10013</v>
      </c>
      <c r="C8146" s="6" t="str">
        <f>_xll.QS.CONTEXT.CREATE("market.8144",A8146,"USD","SOFR")</f>
        <v>QSObject:PricingContext:w1~market.8144:3176</v>
      </c>
      <c r="D8146" s="6" t="str">
        <f>_xll.QS.CONTEXT.ADD.CURVE(C8146,"SOFR",$K$2:$K$7,$L$2:$L$7,,,"Actual360","LogLinear",TRUE)</f>
        <v>QSObject:ContextInput:w1~input.qs_context_add_curve.2359132437744.8145.3.0:32177</v>
      </c>
      <c r="E8146" s="6" t="str">
        <f>_xll.QS.INSTRUMENT.SWAP("swap.8144",H8146,B8146,"USD","SOFR",I8146,J8146,0,"Actual360","Simple","Annual","Annual","Annual")</f>
        <v>QSObject:Swap:w1~swap.8144:3175</v>
      </c>
      <c r="F8146" s="6" t="str">
        <f>_xll.QS.TRADE.CREATE("trade.8144",E8146,A8146,"Receive")</f>
        <v>QSObject:SwapTrade:w1~trade.8144:23543</v>
      </c>
      <c r="G8146" s="3">
        <f>_xll.QS.EVALUATE(C8146,F8146)</f>
        <v>61903.152456389944</v>
      </c>
      <c r="H8146" s="5" t="s">
        <v>8186</v>
      </c>
      <c r="I8146" s="7">
        <v>1814400</v>
      </c>
      <c r="J8146" s="8">
        <v>3.9399999999999998E-2</v>
      </c>
    </row>
    <row r="8147" spans="1:10" x14ac:dyDescent="0.25">
      <c r="A8147" s="5" t="s">
        <v>8180</v>
      </c>
      <c r="B8147" s="5" t="s">
        <v>10014</v>
      </c>
      <c r="C8147" s="6" t="str">
        <f>_xll.QS.CONTEXT.CREATE("market.8145",A8147,"USD","SOFR")</f>
        <v>QSObject:PricingContext:w1~market.8145:3174</v>
      </c>
      <c r="D8147" s="6" t="str">
        <f>_xll.QS.CONTEXT.ADD.CURVE(C8147,"SOFR",$K$2:$K$7,$L$2:$L$7,,,"Actual360","LogLinear",TRUE)</f>
        <v>QSObject:ContextInput:w1~input.qs_context_add_curve.2359132437744.8146.3.0:32176</v>
      </c>
      <c r="E8147" s="6" t="str">
        <f>_xll.QS.INSTRUMENT.SWAP("swap.8145",H8147,B8147,"USD","SOFR",I8147,J8147,0,"Actual360","Simple","Annual","Annual","Annual")</f>
        <v>QSObject:Swap:w1~swap.8145:3173</v>
      </c>
      <c r="F8147" s="6" t="str">
        <f>_xll.QS.TRADE.CREATE("trade.8145",E8147,A8147,"Receive")</f>
        <v>QSObject:SwapTrade:w1~trade.8145:23542</v>
      </c>
      <c r="G8147" s="3">
        <f>_xll.QS.EVALUATE(C8147,F8147)</f>
        <v>62673.199897365208</v>
      </c>
      <c r="H8147" s="5" t="s">
        <v>8187</v>
      </c>
      <c r="I8147" s="7">
        <v>1814500</v>
      </c>
      <c r="J8147" s="8">
        <v>3.9500000000000007E-2</v>
      </c>
    </row>
    <row r="8148" spans="1:10" x14ac:dyDescent="0.25">
      <c r="A8148" s="5" t="s">
        <v>8181</v>
      </c>
      <c r="B8148" s="5" t="s">
        <v>10015</v>
      </c>
      <c r="C8148" s="6" t="str">
        <f>_xll.QS.CONTEXT.CREATE("market.8146",A8148,"USD","SOFR")</f>
        <v>QSObject:PricingContext:w1~market.8146:3172</v>
      </c>
      <c r="D8148" s="6" t="str">
        <f>_xll.QS.CONTEXT.ADD.CURVE(C8148,"SOFR",$K$2:$K$7,$L$2:$L$7,,,"Actual360","LogLinear",TRUE)</f>
        <v>QSObject:ContextInput:w1~input.qs_context_add_curve.2359132437744.8147.3.0:32175</v>
      </c>
      <c r="E8148" s="6" t="str">
        <f>_xll.QS.INSTRUMENT.SWAP("swap.8146",H8148,B8148,"USD","SOFR",I8148,J8148,0,"Actual360","Simple","Annual","Annual","Annual")</f>
        <v>QSObject:Swap:w1~swap.8146:3171</v>
      </c>
      <c r="F8148" s="6" t="str">
        <f>_xll.QS.TRADE.CREATE("trade.8146",E8148,A8148,"Receive")</f>
        <v>QSObject:SwapTrade:w1~trade.8146:23541</v>
      </c>
      <c r="G8148" s="3">
        <f>_xll.QS.EVALUATE(C8148,F8148)</f>
        <v>63362.168622471399</v>
      </c>
      <c r="H8148" s="5" t="s">
        <v>8188</v>
      </c>
      <c r="I8148" s="7">
        <v>1814600</v>
      </c>
      <c r="J8148" s="8">
        <v>3.9600000000000003E-2</v>
      </c>
    </row>
    <row r="8149" spans="1:10" x14ac:dyDescent="0.25">
      <c r="A8149" s="5" t="s">
        <v>8182</v>
      </c>
      <c r="B8149" s="5" t="s">
        <v>10016</v>
      </c>
      <c r="C8149" s="6" t="str">
        <f>_xll.QS.CONTEXT.CREATE("market.8147",A8149,"USD","SOFR")</f>
        <v>QSObject:PricingContext:w1~market.8147:3170</v>
      </c>
      <c r="D8149" s="6" t="str">
        <f>_xll.QS.CONTEXT.ADD.CURVE(C8149,"SOFR",$K$2:$K$7,$L$2:$L$7,,,"Actual360","LogLinear",TRUE)</f>
        <v>QSObject:ContextInput:w1~input.qs_context_add_curve.2359132437744.8148.3.0:32174</v>
      </c>
      <c r="E8149" s="6" t="str">
        <f>_xll.QS.INSTRUMENT.SWAP("swap.8147",H8149,B8149,"USD","SOFR",I8149,J8149,0,"Actual360","Simple","Annual","Annual","Annual")</f>
        <v>QSObject:Swap:w1~swap.8147:3169</v>
      </c>
      <c r="F8149" s="6" t="str">
        <f>_xll.QS.TRADE.CREATE("trade.8147",E8149,A8149,"Receive")</f>
        <v>QSObject:SwapTrade:w1~trade.8147:23540</v>
      </c>
      <c r="G8149" s="3">
        <f>_xll.QS.EVALUATE(C8149,F8149)</f>
        <v>64206.687840206134</v>
      </c>
      <c r="H8149" s="5" t="s">
        <v>8189</v>
      </c>
      <c r="I8149" s="7">
        <v>1814700</v>
      </c>
      <c r="J8149" s="8">
        <v>3.9700000000000013E-2</v>
      </c>
    </row>
    <row r="8150" spans="1:10" x14ac:dyDescent="0.25">
      <c r="A8150" s="5" t="s">
        <v>8183</v>
      </c>
      <c r="B8150" s="5" t="s">
        <v>10017</v>
      </c>
      <c r="C8150" s="6" t="str">
        <f>_xll.QS.CONTEXT.CREATE("market.8148",A8150,"USD","SOFR")</f>
        <v>QSObject:PricingContext:w1~market.8148:3168</v>
      </c>
      <c r="D8150" s="6" t="str">
        <f>_xll.QS.CONTEXT.ADD.CURVE(C8150,"SOFR",$K$2:$K$7,$L$2:$L$7,,,"Actual360","LogLinear",TRUE)</f>
        <v>QSObject:ContextInput:w1~input.qs_context_add_curve.2359132437744.8149.3.0:32173</v>
      </c>
      <c r="E8150" s="6" t="str">
        <f>_xll.QS.INSTRUMENT.SWAP("swap.8148",H8150,B8150,"USD","SOFR",I8150,J8150,0,"Actual360","Simple","Annual","Annual","Annual")</f>
        <v>QSObject:Swap:w1~swap.8148:3167</v>
      </c>
      <c r="F8150" s="6" t="str">
        <f>_xll.QS.TRADE.CREATE("trade.8148",E8150,A8150,"Receive")</f>
        <v>QSObject:SwapTrade:w1~trade.8148:23539</v>
      </c>
      <c r="G8150" s="3">
        <f>_xll.QS.EVALUATE(C8150,F8150)</f>
        <v>65124.81481093949</v>
      </c>
      <c r="H8150" s="5" t="s">
        <v>8190</v>
      </c>
      <c r="I8150" s="7">
        <v>1814800</v>
      </c>
      <c r="J8150" s="8">
        <v>3.9800000000000002E-2</v>
      </c>
    </row>
    <row r="8151" spans="1:10" x14ac:dyDescent="0.25">
      <c r="A8151" s="5" t="s">
        <v>8184</v>
      </c>
      <c r="B8151" s="5" t="s">
        <v>10018</v>
      </c>
      <c r="C8151" s="6" t="str">
        <f>_xll.QS.CONTEXT.CREATE("market.8149",A8151,"USD","SOFR")</f>
        <v>QSObject:PricingContext:w1~market.8149:3166</v>
      </c>
      <c r="D8151" s="6" t="str">
        <f>_xll.QS.CONTEXT.ADD.CURVE(C8151,"SOFR",$K$2:$K$7,$L$2:$L$7,,,"Actual360","LogLinear",TRUE)</f>
        <v>QSObject:ContextInput:w1~input.qs_context_add_curve.2359132437744.8150.3.0:32172</v>
      </c>
      <c r="E8151" s="6" t="str">
        <f>_xll.QS.INSTRUMENT.SWAP("swap.8149",H8151,B8151,"USD","SOFR",I8151,J8151,0,"Actual360","Simple","Annual","Annual","Annual")</f>
        <v>QSObject:Swap:w1~swap.8149:3165</v>
      </c>
      <c r="F8151" s="6" t="str">
        <f>_xll.QS.TRADE.CREATE("trade.8149",E8151,A8151,"Receive")</f>
        <v>QSObject:SwapTrade:w1~trade.8149:23538</v>
      </c>
      <c r="G8151" s="3">
        <f>_xll.QS.EVALUATE(C8151,F8151)</f>
        <v>65892.454768289768</v>
      </c>
      <c r="H8151" s="5" t="s">
        <v>8191</v>
      </c>
      <c r="I8151" s="7">
        <v>1814900</v>
      </c>
      <c r="J8151" s="8">
        <v>3.9899999999999998E-2</v>
      </c>
    </row>
    <row r="8152" spans="1:10" x14ac:dyDescent="0.25">
      <c r="A8152" s="5" t="s">
        <v>8185</v>
      </c>
      <c r="B8152" s="5" t="s">
        <v>10019</v>
      </c>
      <c r="C8152" s="6" t="str">
        <f>_xll.QS.CONTEXT.CREATE("market.8150",A8152,"USD","SOFR")</f>
        <v>QSObject:PricingContext:w1~market.8150:3164</v>
      </c>
      <c r="D8152" s="6" t="str">
        <f>_xll.QS.CONTEXT.ADD.CURVE(C8152,"SOFR",$K$2:$K$7,$L$2:$L$7,,,"Actual360","LogLinear",TRUE)</f>
        <v>QSObject:ContextInput:w1~input.qs_context_add_curve.2359132437744.8151.3.0:32171</v>
      </c>
      <c r="E8152" s="6" t="str">
        <f>_xll.QS.INSTRUMENT.SWAP("swap.8150",H8152,B8152,"USD","SOFR",I8152,J8152,0,"Actual360","Simple","Annual","Annual","Annual")</f>
        <v>QSObject:Swap:w1~swap.8150:3163</v>
      </c>
      <c r="F8152" s="6" t="str">
        <f>_xll.QS.TRADE.CREATE("trade.8150",E8152,A8152,"Receive")</f>
        <v>QSObject:SwapTrade:w1~trade.8150:23537</v>
      </c>
      <c r="G8152" s="3">
        <f>_xll.QS.EVALUATE(C8152,F8152)</f>
        <v>25017.586058985791</v>
      </c>
      <c r="H8152" s="5" t="s">
        <v>8192</v>
      </c>
      <c r="I8152" s="7">
        <v>1815000</v>
      </c>
      <c r="J8152" s="8">
        <v>3.5000000000000003E-2</v>
      </c>
    </row>
    <row r="8153" spans="1:10" x14ac:dyDescent="0.25">
      <c r="A8153" s="5" t="s">
        <v>8186</v>
      </c>
      <c r="B8153" s="5" t="s">
        <v>10020</v>
      </c>
      <c r="C8153" s="6" t="str">
        <f>_xll.QS.CONTEXT.CREATE("market.8151",A8153,"USD","SOFR")</f>
        <v>QSObject:PricingContext:w1~market.8151:3162</v>
      </c>
      <c r="D8153" s="6" t="str">
        <f>_xll.QS.CONTEXT.ADD.CURVE(C8153,"SOFR",$K$2:$K$7,$L$2:$L$7,,,"Actual360","LogLinear",TRUE)</f>
        <v>QSObject:ContextInput:w1~input.qs_context_add_curve.2359132437744.8152.3.0:32170</v>
      </c>
      <c r="E8153" s="6" t="str">
        <f>_xll.QS.INSTRUMENT.SWAP("swap.8151",H8153,B8153,"USD","SOFR",I8153,J8153,0,"Actual360","Simple","Annual","Annual","Annual")</f>
        <v>QSObject:Swap:w1~swap.8151:3161</v>
      </c>
      <c r="F8153" s="6" t="str">
        <f>_xll.QS.TRADE.CREATE("trade.8151",E8153,A8153,"Receive")</f>
        <v>QSObject:SwapTrade:w1~trade.8151:23536</v>
      </c>
      <c r="G8153" s="3">
        <f>_xll.QS.EVALUATE(C8153,F8153)</f>
        <v>25861.390754677457</v>
      </c>
      <c r="H8153" s="5" t="s">
        <v>8193</v>
      </c>
      <c r="I8153" s="7">
        <v>1815100</v>
      </c>
      <c r="J8153" s="8">
        <v>3.5100000000000013E-2</v>
      </c>
    </row>
    <row r="8154" spans="1:10" x14ac:dyDescent="0.25">
      <c r="A8154" s="5" t="s">
        <v>8187</v>
      </c>
      <c r="B8154" s="5" t="s">
        <v>10021</v>
      </c>
      <c r="C8154" s="6" t="str">
        <f>_xll.QS.CONTEXT.CREATE("market.8152",A8154,"USD","SOFR")</f>
        <v>QSObject:PricingContext:w1~market.8152:3160</v>
      </c>
      <c r="D8154" s="6" t="str">
        <f>_xll.QS.CONTEXT.ADD.CURVE(C8154,"SOFR",$K$2:$K$7,$L$2:$L$7,,,"Actual360","LogLinear",TRUE)</f>
        <v>QSObject:ContextInput:w1~input.qs_context_add_curve.2359132437744.8153.3.0:32169</v>
      </c>
      <c r="E8154" s="6" t="str">
        <f>_xll.QS.INSTRUMENT.SWAP("swap.8152",H8154,B8154,"USD","SOFR",I8154,J8154,0,"Actual360","Simple","Annual","Annual","Annual")</f>
        <v>QSObject:Swap:w1~swap.8152:3159</v>
      </c>
      <c r="F8154" s="6" t="str">
        <f>_xll.QS.TRADE.CREATE("trade.8152",E8154,A8154,"Receive")</f>
        <v>QSObject:SwapTrade:w1~trade.8152:23535</v>
      </c>
      <c r="G8154" s="3">
        <f>_xll.QS.EVALUATE(C8154,F8154)</f>
        <v>26703.803178683986</v>
      </c>
      <c r="H8154" s="5" t="s">
        <v>8194</v>
      </c>
      <c r="I8154" s="7">
        <v>1815200</v>
      </c>
      <c r="J8154" s="8">
        <v>3.5200000000000002E-2</v>
      </c>
    </row>
    <row r="8155" spans="1:10" x14ac:dyDescent="0.25">
      <c r="A8155" s="5" t="s">
        <v>8188</v>
      </c>
      <c r="B8155" s="5" t="s">
        <v>10022</v>
      </c>
      <c r="C8155" s="6" t="str">
        <f>_xll.QS.CONTEXT.CREATE("market.8153",A8155,"USD","SOFR")</f>
        <v>QSObject:PricingContext:w1~market.8153:3158</v>
      </c>
      <c r="D8155" s="6" t="str">
        <f>_xll.QS.CONTEXT.ADD.CURVE(C8155,"SOFR",$K$2:$K$7,$L$2:$L$7,,,"Actual360","LogLinear",TRUE)</f>
        <v>QSObject:ContextInput:w1~input.qs_context_add_curve.2359132437744.8154.3.0:32168</v>
      </c>
      <c r="E8155" s="6" t="str">
        <f>_xll.QS.INSTRUMENT.SWAP("swap.8153",H8155,B8155,"USD","SOFR",I8155,J8155,0,"Actual360","Simple","Annual","Annual","Annual")</f>
        <v>QSObject:Swap:w1~swap.8153:3157</v>
      </c>
      <c r="F8155" s="6" t="str">
        <f>_xll.QS.TRADE.CREATE("trade.8153",E8155,A8155,"Receive")</f>
        <v>QSObject:SwapTrade:w1~trade.8153:23534</v>
      </c>
      <c r="G8155" s="3">
        <f>_xll.QS.EVALUATE(C8155,F8155)</f>
        <v>27433.442060886664</v>
      </c>
      <c r="H8155" s="5" t="s">
        <v>8195</v>
      </c>
      <c r="I8155" s="7">
        <v>1815300</v>
      </c>
      <c r="J8155" s="8">
        <v>3.5299999999999998E-2</v>
      </c>
    </row>
    <row r="8156" spans="1:10" x14ac:dyDescent="0.25">
      <c r="A8156" s="5" t="s">
        <v>8189</v>
      </c>
      <c r="B8156" s="5" t="s">
        <v>10023</v>
      </c>
      <c r="C8156" s="6" t="str">
        <f>_xll.QS.CONTEXT.CREATE("market.8154",A8156,"USD","SOFR")</f>
        <v>QSObject:PricingContext:w1~market.8154:3156</v>
      </c>
      <c r="D8156" s="6" t="str">
        <f>_xll.QS.CONTEXT.ADD.CURVE(C8156,"SOFR",$K$2:$K$7,$L$2:$L$7,,,"Actual360","LogLinear",TRUE)</f>
        <v>QSObject:ContextInput:w1~input.qs_context_add_curve.2359132437744.8155.3.0:32167</v>
      </c>
      <c r="E8156" s="6" t="str">
        <f>_xll.QS.INSTRUMENT.SWAP("swap.8154",H8156,B8156,"USD","SOFR",I8156,J8156,0,"Actual360","Simple","Annual","Annual","Annual")</f>
        <v>QSObject:Swap:w1~swap.8154:3155</v>
      </c>
      <c r="F8156" s="6" t="str">
        <f>_xll.QS.TRADE.CREATE("trade.8154",E8156,A8156,"Receive")</f>
        <v>QSObject:SwapTrade:w1~trade.8154:23533</v>
      </c>
      <c r="G8156" s="3">
        <f>_xll.QS.EVALUATE(C8156,F8156)</f>
        <v>28108.899290139656</v>
      </c>
      <c r="H8156" s="5" t="s">
        <v>8196</v>
      </c>
      <c r="I8156" s="7">
        <v>1815400</v>
      </c>
      <c r="J8156" s="8">
        <v>3.5400000000000001E-2</v>
      </c>
    </row>
    <row r="8157" spans="1:10" x14ac:dyDescent="0.25">
      <c r="A8157" s="5" t="s">
        <v>8190</v>
      </c>
      <c r="B8157" s="5" t="s">
        <v>10024</v>
      </c>
      <c r="C8157" s="6" t="str">
        <f>_xll.QS.CONTEXT.CREATE("market.8155",A8157,"USD","SOFR")</f>
        <v>QSObject:PricingContext:w1~market.8155:3154</v>
      </c>
      <c r="D8157" s="6" t="str">
        <f>_xll.QS.CONTEXT.ADD.CURVE(C8157,"SOFR",$K$2:$K$7,$L$2:$L$7,,,"Actual360","LogLinear",TRUE)</f>
        <v>QSObject:ContextInput:w1~input.qs_context_add_curve.2359132437744.8156.3.0:32166</v>
      </c>
      <c r="E8157" s="6" t="str">
        <f>_xll.QS.INSTRUMENT.SWAP("swap.8155",H8157,B8157,"USD","SOFR",I8157,J8157,0,"Actual360","Simple","Annual","Annual","Annual")</f>
        <v>QSObject:Swap:w1~swap.8155:3153</v>
      </c>
      <c r="F8157" s="6" t="str">
        <f>_xll.QS.TRADE.CREATE("trade.8155",E8157,A8157,"Receive")</f>
        <v>QSObject:SwapTrade:w1~trade.8155:23532</v>
      </c>
      <c r="G8157" s="3">
        <f>_xll.QS.EVALUATE(C8157,F8157)</f>
        <v>29022.826317220228</v>
      </c>
      <c r="H8157" s="5" t="s">
        <v>8197</v>
      </c>
      <c r="I8157" s="7">
        <v>1815500</v>
      </c>
      <c r="J8157" s="8">
        <v>3.5499999999999997E-2</v>
      </c>
    </row>
    <row r="8158" spans="1:10" x14ac:dyDescent="0.25">
      <c r="A8158" s="5" t="s">
        <v>8191</v>
      </c>
      <c r="B8158" s="5" t="s">
        <v>10025</v>
      </c>
      <c r="C8158" s="6" t="str">
        <f>_xll.QS.CONTEXT.CREATE("market.8156",A8158,"USD","SOFR")</f>
        <v>QSObject:PricingContext:w1~market.8156:3152</v>
      </c>
      <c r="D8158" s="6" t="str">
        <f>_xll.QS.CONTEXT.ADD.CURVE(C8158,"SOFR",$K$2:$K$7,$L$2:$L$7,,,"Actual360","LogLinear",TRUE)</f>
        <v>QSObject:ContextInput:w1~input.qs_context_add_curve.2359132437744.8157.3.0:32165</v>
      </c>
      <c r="E8158" s="6" t="str">
        <f>_xll.QS.INSTRUMENT.SWAP("swap.8156",H8158,B8158,"USD","SOFR",I8158,J8158,0,"Actual360","Simple","Annual","Annual","Annual")</f>
        <v>QSObject:Swap:w1~swap.8156:3151</v>
      </c>
      <c r="F8158" s="6" t="str">
        <f>_xll.QS.TRADE.CREATE("trade.8156",E8158,A8158,"Receive")</f>
        <v>QSObject:SwapTrade:w1~trade.8156:23531</v>
      </c>
      <c r="G8158" s="3">
        <f>_xll.QS.EVALUATE(C8158,F8158)</f>
        <v>29916.921282021489</v>
      </c>
      <c r="H8158" s="5" t="s">
        <v>8198</v>
      </c>
      <c r="I8158" s="7">
        <v>1815600</v>
      </c>
      <c r="J8158" s="8">
        <v>3.5600000000000007E-2</v>
      </c>
    </row>
    <row r="8159" spans="1:10" x14ac:dyDescent="0.25">
      <c r="A8159" s="5" t="s">
        <v>8192</v>
      </c>
      <c r="B8159" s="5" t="s">
        <v>10026</v>
      </c>
      <c r="C8159" s="6" t="str">
        <f>_xll.QS.CONTEXT.CREATE("market.8157",A8159,"USD","SOFR")</f>
        <v>QSObject:PricingContext:w1~market.8157:3150</v>
      </c>
      <c r="D8159" s="6" t="str">
        <f>_xll.QS.CONTEXT.ADD.CURVE(C8159,"SOFR",$K$2:$K$7,$L$2:$L$7,,,"Actual360","LogLinear",TRUE)</f>
        <v>QSObject:ContextInput:w1~input.qs_context_add_curve.2359132437744.8158.3.0:32164</v>
      </c>
      <c r="E8159" s="6" t="str">
        <f>_xll.QS.INSTRUMENT.SWAP("swap.8157",H8159,B8159,"USD","SOFR",I8159,J8159,0,"Actual360","Simple","Annual","Annual","Annual")</f>
        <v>QSObject:Swap:w1~swap.8157:3149</v>
      </c>
      <c r="F8159" s="6" t="str">
        <f>_xll.QS.TRADE.CREATE("trade.8157",E8159,A8159,"Receive")</f>
        <v>QSObject:SwapTrade:w1~trade.8157:23530</v>
      </c>
      <c r="G8159" s="3">
        <f>_xll.QS.EVALUATE(C8159,F8159)</f>
        <v>30888.263906719294</v>
      </c>
      <c r="H8159" s="5" t="s">
        <v>8199</v>
      </c>
      <c r="I8159" s="7">
        <v>1815700</v>
      </c>
      <c r="J8159" s="8">
        <v>3.5700000000000003E-2</v>
      </c>
    </row>
    <row r="8160" spans="1:10" x14ac:dyDescent="0.25">
      <c r="A8160" s="5" t="s">
        <v>8193</v>
      </c>
      <c r="B8160" s="5" t="s">
        <v>10027</v>
      </c>
      <c r="C8160" s="6" t="str">
        <f>_xll.QS.CONTEXT.CREATE("market.8158",A8160,"USD","SOFR")</f>
        <v>QSObject:PricingContext:w1~market.8158:3148</v>
      </c>
      <c r="D8160" s="6" t="str">
        <f>_xll.QS.CONTEXT.ADD.CURVE(C8160,"SOFR",$K$2:$K$7,$L$2:$L$7,,,"Actual360","LogLinear",TRUE)</f>
        <v>QSObject:ContextInput:w1~input.qs_context_add_curve.2359132437744.8159.3.0:32163</v>
      </c>
      <c r="E8160" s="6" t="str">
        <f>_xll.QS.INSTRUMENT.SWAP("swap.8158",H8160,B8160,"USD","SOFR",I8160,J8160,0,"Actual360","Simple","Annual","Annual","Annual")</f>
        <v>QSObject:Swap:w1~swap.8158:3147</v>
      </c>
      <c r="F8160" s="6" t="str">
        <f>_xll.QS.TRADE.CREATE("trade.8158",E8160,A8160,"Receive")</f>
        <v>QSObject:SwapTrade:w1~trade.8158:23529</v>
      </c>
      <c r="G8160" s="3">
        <f>_xll.QS.EVALUATE(C8160,F8160)</f>
        <v>31806.475182293849</v>
      </c>
      <c r="H8160" s="5" t="s">
        <v>8200</v>
      </c>
      <c r="I8160" s="7">
        <v>1815800</v>
      </c>
      <c r="J8160" s="8">
        <v>3.5800000000000012E-2</v>
      </c>
    </row>
    <row r="8161" spans="1:10" x14ac:dyDescent="0.25">
      <c r="A8161" s="5" t="s">
        <v>8194</v>
      </c>
      <c r="B8161" s="5" t="s">
        <v>10028</v>
      </c>
      <c r="C8161" s="6" t="str">
        <f>_xll.QS.CONTEXT.CREATE("market.8159",A8161,"USD","SOFR")</f>
        <v>QSObject:PricingContext:w1~market.8159:3146</v>
      </c>
      <c r="D8161" s="6" t="str">
        <f>_xll.QS.CONTEXT.ADD.CURVE(C8161,"SOFR",$K$2:$K$7,$L$2:$L$7,,,"Actual360","LogLinear",TRUE)</f>
        <v>QSObject:ContextInput:w1~input.qs_context_add_curve.2359132437744.8160.3.0:32162</v>
      </c>
      <c r="E8161" s="6" t="str">
        <f>_xll.QS.INSTRUMENT.SWAP("swap.8159",H8161,B8161,"USD","SOFR",I8161,J8161,0,"Actual360","Simple","Annual","Annual","Annual")</f>
        <v>QSObject:Swap:w1~swap.8159:3145</v>
      </c>
      <c r="F8161" s="6" t="str">
        <f>_xll.QS.TRADE.CREATE("trade.8159",E8161,A8161,"Receive")</f>
        <v>QSObject:SwapTrade:w1~trade.8159:23528</v>
      </c>
      <c r="G8161" s="3">
        <f>_xll.QS.EVALUATE(C8161,F8161)</f>
        <v>32575.779776959207</v>
      </c>
      <c r="H8161" s="5" t="s">
        <v>8201</v>
      </c>
      <c r="I8161" s="7">
        <v>1815900</v>
      </c>
      <c r="J8161" s="8">
        <v>3.5900000000000001E-2</v>
      </c>
    </row>
    <row r="8162" spans="1:10" x14ac:dyDescent="0.25">
      <c r="A8162" s="5" t="s">
        <v>8195</v>
      </c>
      <c r="B8162" s="5" t="s">
        <v>10029</v>
      </c>
      <c r="C8162" s="6" t="str">
        <f>_xll.QS.CONTEXT.CREATE("market.8160",A8162,"USD","SOFR")</f>
        <v>QSObject:PricingContext:w1~market.8160:3144</v>
      </c>
      <c r="D8162" s="6" t="str">
        <f>_xll.QS.CONTEXT.ADD.CURVE(C8162,"SOFR",$K$2:$K$7,$L$2:$L$7,,,"Actual360","LogLinear",TRUE)</f>
        <v>QSObject:ContextInput:w1~input.qs_context_add_curve.2359132437744.8161.3.0:32161</v>
      </c>
      <c r="E8162" s="6" t="str">
        <f>_xll.QS.INSTRUMENT.SWAP("swap.8160",H8162,B8162,"USD","SOFR",I8162,J8162,0,"Actual360","Simple","Annual","Annual","Annual")</f>
        <v>QSObject:Swap:w1~swap.8160:3143</v>
      </c>
      <c r="F8162" s="6" t="str">
        <f>_xll.QS.TRADE.CREATE("trade.8160",E8162,A8162,"Receive")</f>
        <v>QSObject:SwapTrade:w1~trade.8160:23527</v>
      </c>
      <c r="G8162" s="3">
        <f>_xll.QS.EVALUATE(C8162,F8162)</f>
        <v>33299.119113696303</v>
      </c>
      <c r="H8162" s="5" t="s">
        <v>8202</v>
      </c>
      <c r="I8162" s="7">
        <v>1816000</v>
      </c>
      <c r="J8162" s="8">
        <v>3.5999999999999997E-2</v>
      </c>
    </row>
    <row r="8163" spans="1:10" x14ac:dyDescent="0.25">
      <c r="A8163" s="5" t="s">
        <v>8196</v>
      </c>
      <c r="B8163" s="5" t="s">
        <v>10030</v>
      </c>
      <c r="C8163" s="6" t="str">
        <f>_xll.QS.CONTEXT.CREATE("market.8161",A8163,"USD","SOFR")</f>
        <v>QSObject:PricingContext:w1~market.8161:3142</v>
      </c>
      <c r="D8163" s="6" t="str">
        <f>_xll.QS.CONTEXT.ADD.CURVE(C8163,"SOFR",$K$2:$K$7,$L$2:$L$7,,,"Actual360","LogLinear",TRUE)</f>
        <v>QSObject:ContextInput:w1~input.qs_context_add_curve.2359132437744.8162.3.0:32160</v>
      </c>
      <c r="E8163" s="6" t="str">
        <f>_xll.QS.INSTRUMENT.SWAP("swap.8161",H8163,B8163,"USD","SOFR",I8163,J8163,0,"Actual360","Simple","Annual","Annual","Annual")</f>
        <v>QSObject:Swap:w1~swap.8161:3141</v>
      </c>
      <c r="F8163" s="6" t="str">
        <f>_xll.QS.TRADE.CREATE("trade.8161",E8163,A8163,"Receive")</f>
        <v>QSObject:SwapTrade:w1~trade.8161:23526</v>
      </c>
      <c r="G8163" s="3">
        <f>_xll.QS.EVALUATE(C8163,F8163)</f>
        <v>33984.247154892684</v>
      </c>
      <c r="H8163" s="5" t="s">
        <v>8203</v>
      </c>
      <c r="I8163" s="7">
        <v>1816100</v>
      </c>
      <c r="J8163" s="8">
        <v>3.61E-2</v>
      </c>
    </row>
    <row r="8164" spans="1:10" x14ac:dyDescent="0.25">
      <c r="A8164" s="5" t="s">
        <v>8197</v>
      </c>
      <c r="B8164" s="5" t="s">
        <v>10031</v>
      </c>
      <c r="C8164" s="6" t="str">
        <f>_xll.QS.CONTEXT.CREATE("market.8162",A8164,"USD","SOFR")</f>
        <v>QSObject:PricingContext:w1~market.8162:3140</v>
      </c>
      <c r="D8164" s="6" t="str">
        <f>_xll.QS.CONTEXT.ADD.CURVE(C8164,"SOFR",$K$2:$K$7,$L$2:$L$7,,,"Actual360","LogLinear",TRUE)</f>
        <v>QSObject:ContextInput:w1~input.qs_context_add_curve.2359132437744.8163.3.0:32159</v>
      </c>
      <c r="E8164" s="6" t="str">
        <f>_xll.QS.INSTRUMENT.SWAP("swap.8162",H8164,B8164,"USD","SOFR",I8164,J8164,0,"Actual360","Simple","Annual","Annual","Annual")</f>
        <v>QSObject:Swap:w1~swap.8162:3139</v>
      </c>
      <c r="F8164" s="6" t="str">
        <f>_xll.QS.TRADE.CREATE("trade.8162",E8164,A8164,"Receive")</f>
        <v>QSObject:SwapTrade:w1~trade.8162:23525</v>
      </c>
      <c r="G8164" s="3">
        <f>_xll.QS.EVALUATE(C8164,F8164)</f>
        <v>34899.416799044644</v>
      </c>
      <c r="H8164" s="5" t="s">
        <v>8204</v>
      </c>
      <c r="I8164" s="7">
        <v>1816200</v>
      </c>
      <c r="J8164" s="8">
        <v>3.6200000000000003E-2</v>
      </c>
    </row>
    <row r="8165" spans="1:10" x14ac:dyDescent="0.25">
      <c r="A8165" s="5" t="s">
        <v>8198</v>
      </c>
      <c r="B8165" s="5" t="s">
        <v>10032</v>
      </c>
      <c r="C8165" s="6" t="str">
        <f>_xll.QS.CONTEXT.CREATE("market.8163",A8165,"USD","SOFR")</f>
        <v>QSObject:PricingContext:w1~market.8163:3138</v>
      </c>
      <c r="D8165" s="6" t="str">
        <f>_xll.QS.CONTEXT.ADD.CURVE(C8165,"SOFR",$K$2:$K$7,$L$2:$L$7,,,"Actual360","LogLinear",TRUE)</f>
        <v>QSObject:ContextInput:w1~input.qs_context_add_curve.2359132437744.8164.3.0:32158</v>
      </c>
      <c r="E8165" s="6" t="str">
        <f>_xll.QS.INSTRUMENT.SWAP("swap.8163",H8165,B8165,"USD","SOFR",I8165,J8165,0,"Actual360","Simple","Annual","Annual","Annual")</f>
        <v>QSObject:Swap:w1~swap.8163:3137</v>
      </c>
      <c r="F8165" s="6" t="str">
        <f>_xll.QS.TRADE.CREATE("trade.8163",E8165,A8165,"Receive")</f>
        <v>QSObject:SwapTrade:w1~trade.8163:23524</v>
      </c>
      <c r="G8165" s="3">
        <f>_xll.QS.EVALUATE(C8165,F8165)</f>
        <v>35791.334657041494</v>
      </c>
      <c r="H8165" s="5" t="s">
        <v>8205</v>
      </c>
      <c r="I8165" s="7">
        <v>1816300</v>
      </c>
      <c r="J8165" s="8">
        <v>3.6300000000000013E-2</v>
      </c>
    </row>
    <row r="8166" spans="1:10" x14ac:dyDescent="0.25">
      <c r="A8166" s="5" t="s">
        <v>8199</v>
      </c>
      <c r="B8166" s="5" t="s">
        <v>10033</v>
      </c>
      <c r="C8166" s="6" t="str">
        <f>_xll.QS.CONTEXT.CREATE("market.8164",A8166,"USD","SOFR")</f>
        <v>QSObject:PricingContext:w1~market.8164:3136</v>
      </c>
      <c r="D8166" s="6" t="str">
        <f>_xll.QS.CONTEXT.ADD.CURVE(C8166,"SOFR",$K$2:$K$7,$L$2:$L$7,,,"Actual360","LogLinear",TRUE)</f>
        <v>QSObject:ContextInput:w1~input.qs_context_add_curve.2359132437744.8165.3.0:32157</v>
      </c>
      <c r="E8166" s="6" t="str">
        <f>_xll.QS.INSTRUMENT.SWAP("swap.8164",H8166,B8166,"USD","SOFR",I8166,J8166,0,"Actual360","Simple","Annual","Annual","Annual")</f>
        <v>QSObject:Swap:w1~swap.8164:3135</v>
      </c>
      <c r="F8166" s="6" t="str">
        <f>_xll.QS.TRADE.CREATE("trade.8164",E8166,A8166,"Receive")</f>
        <v>QSObject:SwapTrade:w1~trade.8164:23523</v>
      </c>
      <c r="G8166" s="3">
        <f>_xll.QS.EVALUATE(C8166,F8166)</f>
        <v>36763.460915585412</v>
      </c>
      <c r="H8166" s="5" t="s">
        <v>8206</v>
      </c>
      <c r="I8166" s="7">
        <v>1816400</v>
      </c>
      <c r="J8166" s="8">
        <v>3.6400000000000002E-2</v>
      </c>
    </row>
    <row r="8167" spans="1:10" x14ac:dyDescent="0.25">
      <c r="A8167" s="5" t="s">
        <v>8200</v>
      </c>
      <c r="B8167" s="5" t="s">
        <v>10034</v>
      </c>
      <c r="C8167" s="6" t="str">
        <f>_xll.QS.CONTEXT.CREATE("market.8165",A8167,"USD","SOFR")</f>
        <v>QSObject:PricingContext:w1~market.8165:3134</v>
      </c>
      <c r="D8167" s="6" t="str">
        <f>_xll.QS.CONTEXT.ADD.CURVE(C8167,"SOFR",$K$2:$K$7,$L$2:$L$7,,,"Actual360","LogLinear",TRUE)</f>
        <v>QSObject:ContextInput:w1~input.qs_context_add_curve.2359132437744.8166.3.0:32156</v>
      </c>
      <c r="E8167" s="6" t="str">
        <f>_xll.QS.INSTRUMENT.SWAP("swap.8165",H8167,B8167,"USD","SOFR",I8167,J8167,0,"Actual360","Simple","Annual","Annual","Annual")</f>
        <v>QSObject:Swap:w1~swap.8165:3133</v>
      </c>
      <c r="F8167" s="6" t="str">
        <f>_xll.QS.TRADE.CREATE("trade.8165",E8167,A8167,"Receive")</f>
        <v>QSObject:SwapTrade:w1~trade.8165:23522</v>
      </c>
      <c r="G8167" s="3">
        <f>_xll.QS.EVALUATE(C8167,F8167)</f>
        <v>37682.415632319884</v>
      </c>
      <c r="H8167" s="5" t="s">
        <v>8207</v>
      </c>
      <c r="I8167" s="7">
        <v>1816500</v>
      </c>
      <c r="J8167" s="8">
        <v>3.6499999999999998E-2</v>
      </c>
    </row>
    <row r="8168" spans="1:10" x14ac:dyDescent="0.25">
      <c r="A8168" s="5" t="s">
        <v>8201</v>
      </c>
      <c r="B8168" s="5" t="s">
        <v>10035</v>
      </c>
      <c r="C8168" s="6" t="str">
        <f>_xll.QS.CONTEXT.CREATE("market.8166",A8168,"USD","SOFR")</f>
        <v>QSObject:PricingContext:w1~market.8166:3132</v>
      </c>
      <c r="D8168" s="6" t="str">
        <f>_xll.QS.CONTEXT.ADD.CURVE(C8168,"SOFR",$K$2:$K$7,$L$2:$L$7,,,"Actual360","LogLinear",TRUE)</f>
        <v>QSObject:ContextInput:w1~input.qs_context_add_curve.2359132437744.8167.3.0:32155</v>
      </c>
      <c r="E8168" s="6" t="str">
        <f>_xll.QS.INSTRUMENT.SWAP("swap.8166",H8168,B8168,"USD","SOFR",I8168,J8168,0,"Actual360","Simple","Annual","Annual","Annual")</f>
        <v>QSObject:Swap:w1~swap.8166:3131</v>
      </c>
      <c r="F8168" s="6" t="str">
        <f>_xll.QS.TRADE.CREATE("trade.8166",E8168,A8168,"Receive")</f>
        <v>QSObject:SwapTrade:w1~trade.8166:23521</v>
      </c>
      <c r="G8168" s="3">
        <f>_xll.QS.EVALUATE(C8168,F8168)</f>
        <v>38452.275539419723</v>
      </c>
      <c r="H8168" s="5" t="s">
        <v>8208</v>
      </c>
      <c r="I8168" s="7">
        <v>1816600</v>
      </c>
      <c r="J8168" s="8">
        <v>3.6600000000000001E-2</v>
      </c>
    </row>
    <row r="8169" spans="1:10" x14ac:dyDescent="0.25">
      <c r="A8169" s="5" t="s">
        <v>8202</v>
      </c>
      <c r="B8169" s="5" t="s">
        <v>10036</v>
      </c>
      <c r="C8169" s="6" t="str">
        <f>_xll.QS.CONTEXT.CREATE("market.8167",A8169,"USD","SOFR")</f>
        <v>QSObject:PricingContext:w1~market.8167:3130</v>
      </c>
      <c r="D8169" s="6" t="str">
        <f>_xll.QS.CONTEXT.ADD.CURVE(C8169,"SOFR",$K$2:$K$7,$L$2:$L$7,,,"Actual360","LogLinear",TRUE)</f>
        <v>QSObject:ContextInput:w1~input.qs_context_add_curve.2359132437744.8168.3.0:32154</v>
      </c>
      <c r="E8169" s="6" t="str">
        <f>_xll.QS.INSTRUMENT.SWAP("swap.8167",H8169,B8169,"USD","SOFR",I8169,J8169,0,"Actual360","Simple","Annual","Annual","Annual")</f>
        <v>QSObject:Swap:w1~swap.8167:3129</v>
      </c>
      <c r="F8169" s="6" t="str">
        <f>_xll.QS.TRADE.CREATE("trade.8167",E8169,A8169,"Receive")</f>
        <v>QSObject:SwapTrade:w1~trade.8167:23520</v>
      </c>
      <c r="G8169" s="3">
        <f>_xll.QS.EVALUATE(C8169,F8169)</f>
        <v>39169.310008892571</v>
      </c>
      <c r="H8169" s="5" t="s">
        <v>8209</v>
      </c>
      <c r="I8169" s="7">
        <v>1816700</v>
      </c>
      <c r="J8169" s="8">
        <v>3.6700000000000003E-2</v>
      </c>
    </row>
    <row r="8170" spans="1:10" x14ac:dyDescent="0.25">
      <c r="A8170" s="5" t="s">
        <v>8203</v>
      </c>
      <c r="B8170" s="5" t="s">
        <v>10037</v>
      </c>
      <c r="C8170" s="6" t="str">
        <f>_xll.QS.CONTEXT.CREATE("market.8168",A8170,"USD","SOFR")</f>
        <v>QSObject:PricingContext:w1~market.8168:3128</v>
      </c>
      <c r="D8170" s="6" t="str">
        <f>_xll.QS.CONTEXT.ADD.CURVE(C8170,"SOFR",$K$2:$K$7,$L$2:$L$7,,,"Actual360","LogLinear",TRUE)</f>
        <v>QSObject:ContextInput:w1~input.qs_context_add_curve.2359132437744.8169.3.0:32153</v>
      </c>
      <c r="E8170" s="6" t="str">
        <f>_xll.QS.INSTRUMENT.SWAP("swap.8168",H8170,B8170,"USD","SOFR",I8170,J8170,0,"Actual360","Simple","Annual","Annual","Annual")</f>
        <v>QSObject:Swap:w1~swap.8168:3127</v>
      </c>
      <c r="F8170" s="6" t="str">
        <f>_xll.QS.TRADE.CREATE("trade.8168",E8170,A8170,"Receive")</f>
        <v>QSObject:SwapTrade:w1~trade.8168:23519</v>
      </c>
      <c r="G8170" s="3">
        <f>_xll.QS.EVALUATE(C8170,F8170)</f>
        <v>39864.115868220993</v>
      </c>
      <c r="H8170" s="5" t="s">
        <v>8210</v>
      </c>
      <c r="I8170" s="7">
        <v>1816800</v>
      </c>
      <c r="J8170" s="8">
        <v>3.6800000000000013E-2</v>
      </c>
    </row>
    <row r="8171" spans="1:10" x14ac:dyDescent="0.25">
      <c r="A8171" s="5" t="s">
        <v>8204</v>
      </c>
      <c r="B8171" s="5" t="s">
        <v>10038</v>
      </c>
      <c r="C8171" s="6" t="str">
        <f>_xll.QS.CONTEXT.CREATE("market.8169",A8171,"USD","SOFR")</f>
        <v>QSObject:PricingContext:w1~market.8169:3126</v>
      </c>
      <c r="D8171" s="6" t="str">
        <f>_xll.QS.CONTEXT.ADD.CURVE(C8171,"SOFR",$K$2:$K$7,$L$2:$L$7,,,"Actual360","LogLinear",TRUE)</f>
        <v>QSObject:ContextInput:w1~input.qs_context_add_curve.2359132437744.8170.3.0:32152</v>
      </c>
      <c r="E8171" s="6" t="str">
        <f>_xll.QS.INSTRUMENT.SWAP("swap.8169",H8171,B8171,"USD","SOFR",I8171,J8171,0,"Actual360","Simple","Annual","Annual","Annual")</f>
        <v>QSObject:Swap:w1~swap.8169:3125</v>
      </c>
      <c r="F8171" s="6" t="str">
        <f>_xll.QS.TRADE.CREATE("trade.8169",E8171,A8171,"Receive")</f>
        <v>QSObject:SwapTrade:w1~trade.8169:23518</v>
      </c>
      <c r="G8171" s="3">
        <f>_xll.QS.EVALUATE(C8171,F8171)</f>
        <v>40780.52856721577</v>
      </c>
      <c r="H8171" s="5" t="s">
        <v>8211</v>
      </c>
      <c r="I8171" s="7">
        <v>1816900</v>
      </c>
      <c r="J8171" s="8">
        <v>3.6900000000000002E-2</v>
      </c>
    </row>
    <row r="8172" spans="1:10" x14ac:dyDescent="0.25">
      <c r="A8172" s="5" t="s">
        <v>8205</v>
      </c>
      <c r="B8172" s="5" t="s">
        <v>10039</v>
      </c>
      <c r="C8172" s="6" t="str">
        <f>_xll.QS.CONTEXT.CREATE("market.8170",A8172,"USD","SOFR")</f>
        <v>QSObject:PricingContext:w1~market.8170:3124</v>
      </c>
      <c r="D8172" s="6" t="str">
        <f>_xll.QS.CONTEXT.ADD.CURVE(C8172,"SOFR",$K$2:$K$7,$L$2:$L$7,,,"Actual360","LogLinear",TRUE)</f>
        <v>QSObject:ContextInput:w1~input.qs_context_add_curve.2359132437744.8171.3.0:32151</v>
      </c>
      <c r="E8172" s="6" t="str">
        <f>_xll.QS.INSTRUMENT.SWAP("swap.8170",H8172,B8172,"USD","SOFR",I8172,J8172,0,"Actual360","Simple","Annual","Annual","Annual")</f>
        <v>QSObject:Swap:w1~swap.8170:3123</v>
      </c>
      <c r="F8172" s="6" t="str">
        <f>_xll.QS.TRADE.CREATE("trade.8170",E8172,A8172,"Receive")</f>
        <v>QSObject:SwapTrade:w1~trade.8170:23517</v>
      </c>
      <c r="G8172" s="3">
        <f>_xll.QS.EVALUATE(C8172,F8172)</f>
        <v>41670.267126139617</v>
      </c>
      <c r="H8172" s="5" t="s">
        <v>8212</v>
      </c>
      <c r="I8172" s="7">
        <v>1817000</v>
      </c>
      <c r="J8172" s="8">
        <v>3.7000000000000012E-2</v>
      </c>
    </row>
    <row r="8173" spans="1:10" x14ac:dyDescent="0.25">
      <c r="A8173" s="5" t="s">
        <v>8206</v>
      </c>
      <c r="B8173" s="5" t="s">
        <v>10040</v>
      </c>
      <c r="C8173" s="6" t="str">
        <f>_xll.QS.CONTEXT.CREATE("market.8171",A8173,"USD","SOFR")</f>
        <v>QSObject:PricingContext:w1~market.8171:3122</v>
      </c>
      <c r="D8173" s="6" t="str">
        <f>_xll.QS.CONTEXT.ADD.CURVE(C8173,"SOFR",$K$2:$K$7,$L$2:$L$7,,,"Actual360","LogLinear",TRUE)</f>
        <v>QSObject:ContextInput:w1~input.qs_context_add_curve.2359132437744.8172.3.0:32150</v>
      </c>
      <c r="E8173" s="6" t="str">
        <f>_xll.QS.INSTRUMENT.SWAP("swap.8171",H8173,B8173,"USD","SOFR",I8173,J8173,0,"Actual360","Simple","Annual","Annual","Annual")</f>
        <v>QSObject:Swap:w1~swap.8171:3121</v>
      </c>
      <c r="F8173" s="6" t="str">
        <f>_xll.QS.TRADE.CREATE("trade.8171",E8173,A8173,"Receive")</f>
        <v>QSObject:SwapTrade:w1~trade.8171:23516</v>
      </c>
      <c r="G8173" s="3">
        <f>_xll.QS.EVALUATE(C8173,F8173)</f>
        <v>42643.032564895308</v>
      </c>
      <c r="H8173" s="5" t="s">
        <v>8213</v>
      </c>
      <c r="I8173" s="7">
        <v>1817100</v>
      </c>
      <c r="J8173" s="8">
        <v>3.7100000000000001E-2</v>
      </c>
    </row>
    <row r="8174" spans="1:10" x14ac:dyDescent="0.25">
      <c r="A8174" s="5" t="s">
        <v>8207</v>
      </c>
      <c r="B8174" s="5" t="s">
        <v>10041</v>
      </c>
      <c r="C8174" s="6" t="str">
        <f>_xll.QS.CONTEXT.CREATE("market.8172",A8174,"USD","SOFR")</f>
        <v>QSObject:PricingContext:w1~market.8172:3120</v>
      </c>
      <c r="D8174" s="6" t="str">
        <f>_xll.QS.CONTEXT.ADD.CURVE(C8174,"SOFR",$K$2:$K$7,$L$2:$L$7,,,"Actual360","LogLinear",TRUE)</f>
        <v>QSObject:ContextInput:w1~input.qs_context_add_curve.2359132437744.8173.3.0:32149</v>
      </c>
      <c r="E8174" s="6" t="str">
        <f>_xll.QS.INSTRUMENT.SWAP("swap.8172",H8174,B8174,"USD","SOFR",I8174,J8174,0,"Actual360","Simple","Annual","Annual","Annual")</f>
        <v>QSObject:Swap:w1~swap.8172:3119</v>
      </c>
      <c r="F8174" s="6" t="str">
        <f>_xll.QS.TRADE.CREATE("trade.8172",E8174,A8174,"Receive")</f>
        <v>QSObject:SwapTrade:w1~trade.8172:23515</v>
      </c>
      <c r="G8174" s="3">
        <f>_xll.QS.EVALUATE(C8174,F8174)</f>
        <v>43562.654439671896</v>
      </c>
      <c r="H8174" s="5" t="s">
        <v>8214</v>
      </c>
      <c r="I8174" s="7">
        <v>1817200</v>
      </c>
      <c r="J8174" s="8">
        <v>3.7199999999999997E-2</v>
      </c>
    </row>
    <row r="8175" spans="1:10" x14ac:dyDescent="0.25">
      <c r="A8175" s="5" t="s">
        <v>8208</v>
      </c>
      <c r="B8175" s="5" t="s">
        <v>10042</v>
      </c>
      <c r="C8175" s="6" t="str">
        <f>_xll.QS.CONTEXT.CREATE("market.8173",A8175,"USD","SOFR")</f>
        <v>QSObject:PricingContext:w1~market.8173:3118</v>
      </c>
      <c r="D8175" s="6" t="str">
        <f>_xll.QS.CONTEXT.ADD.CURVE(C8175,"SOFR",$K$2:$K$7,$L$2:$L$7,,,"Actual360","LogLinear",TRUE)</f>
        <v>QSObject:ContextInput:w1~input.qs_context_add_curve.2359132437744.8174.3.0:32148</v>
      </c>
      <c r="E8175" s="6" t="str">
        <f>_xll.QS.INSTRUMENT.SWAP("swap.8173",H8175,B8175,"USD","SOFR",I8175,J8175,0,"Actual360","Simple","Annual","Annual","Annual")</f>
        <v>QSObject:Swap:w1~swap.8173:3117</v>
      </c>
      <c r="F8175" s="6" t="str">
        <f>_xll.QS.TRADE.CREATE("trade.8173",E8175,A8175,"Receive")</f>
        <v>QSObject:SwapTrade:w1~trade.8173:23514</v>
      </c>
      <c r="G8175" s="3">
        <f>_xll.QS.EVALUATE(C8175,F8175)</f>
        <v>44332.622142526001</v>
      </c>
      <c r="H8175" s="5" t="s">
        <v>8215</v>
      </c>
      <c r="I8175" s="7">
        <v>1817300</v>
      </c>
      <c r="J8175" s="8">
        <v>3.73E-2</v>
      </c>
    </row>
    <row r="8176" spans="1:10" x14ac:dyDescent="0.25">
      <c r="A8176" s="5" t="s">
        <v>8209</v>
      </c>
      <c r="B8176" s="5" t="s">
        <v>10043</v>
      </c>
      <c r="C8176" s="6" t="str">
        <f>_xll.QS.CONTEXT.CREATE("market.8174",A8176,"USD","SOFR")</f>
        <v>QSObject:PricingContext:w1~market.8174:3116</v>
      </c>
      <c r="D8176" s="6" t="str">
        <f>_xll.QS.CONTEXT.ADD.CURVE(C8176,"SOFR",$K$2:$K$7,$L$2:$L$7,,,"Actual360","LogLinear",TRUE)</f>
        <v>QSObject:ContextInput:w1~input.qs_context_add_curve.2359132437744.8175.3.0:32147</v>
      </c>
      <c r="E8176" s="6" t="str">
        <f>_xll.QS.INSTRUMENT.SWAP("swap.8174",H8176,B8176,"USD","SOFR",I8176,J8176,0,"Actual360","Simple","Annual","Annual","Annual")</f>
        <v>QSObject:Swap:w1~swap.8174:3115</v>
      </c>
      <c r="F8176" s="6" t="str">
        <f>_xll.QS.TRADE.CREATE("trade.8174",E8176,A8176,"Receive")</f>
        <v>QSObject:SwapTrade:w1~trade.8174:23513</v>
      </c>
      <c r="G8176" s="3">
        <f>_xll.QS.EVALUATE(C8176,F8176)</f>
        <v>45014.520849780121</v>
      </c>
      <c r="H8176" s="5" t="s">
        <v>8216</v>
      </c>
      <c r="I8176" s="7">
        <v>1817400</v>
      </c>
      <c r="J8176" s="8">
        <v>3.7400000000000003E-2</v>
      </c>
    </row>
    <row r="8177" spans="1:10" x14ac:dyDescent="0.25">
      <c r="A8177" s="5" t="s">
        <v>8210</v>
      </c>
      <c r="B8177" s="5" t="s">
        <v>10044</v>
      </c>
      <c r="C8177" s="6" t="str">
        <f>_xll.QS.CONTEXT.CREATE("market.8175",A8177,"USD","SOFR")</f>
        <v>QSObject:PricingContext:w1~market.8175:3114</v>
      </c>
      <c r="D8177" s="6" t="str">
        <f>_xll.QS.CONTEXT.ADD.CURVE(C8177,"SOFR",$K$2:$K$7,$L$2:$L$7,,,"Actual360","LogLinear",TRUE)</f>
        <v>QSObject:ContextInput:w1~input.qs_context_add_curve.2359132437744.8176.3.0:32146</v>
      </c>
      <c r="E8177" s="6" t="str">
        <f>_xll.QS.INSTRUMENT.SWAP("swap.8175",H8177,B8177,"USD","SOFR",I8177,J8177,0,"Actual360","Simple","Annual","Annual","Annual")</f>
        <v>QSObject:Swap:w1~swap.8175:3113</v>
      </c>
      <c r="F8177" s="6" t="str">
        <f>_xll.QS.TRADE.CREATE("trade.8175",E8177,A8177,"Receive")</f>
        <v>QSObject:SwapTrade:w1~trade.8175:23512</v>
      </c>
      <c r="G8177" s="3">
        <f>_xll.QS.EVALUATE(C8177,F8177)</f>
        <v>45672.322713211623</v>
      </c>
      <c r="H8177" s="5" t="s">
        <v>8217</v>
      </c>
      <c r="I8177" s="7">
        <v>1817500</v>
      </c>
      <c r="J8177" s="8">
        <v>3.7500000000000012E-2</v>
      </c>
    </row>
    <row r="8178" spans="1:10" x14ac:dyDescent="0.25">
      <c r="A8178" s="5" t="s">
        <v>8211</v>
      </c>
      <c r="B8178" s="5" t="s">
        <v>10045</v>
      </c>
      <c r="C8178" s="6" t="str">
        <f>_xll.QS.CONTEXT.CREATE("market.8176",A8178,"USD","SOFR")</f>
        <v>QSObject:PricingContext:w1~market.8176:3112</v>
      </c>
      <c r="D8178" s="6" t="str">
        <f>_xll.QS.CONTEXT.ADD.CURVE(C8178,"SOFR",$K$2:$K$7,$L$2:$L$7,,,"Actual360","LogLinear",TRUE)</f>
        <v>QSObject:ContextInput:w1~input.qs_context_add_curve.2359132437744.8177.3.0:32145</v>
      </c>
      <c r="E8178" s="6" t="str">
        <f>_xll.QS.INSTRUMENT.SWAP("swap.8176",H8178,B8178,"USD","SOFR",I8178,J8178,0,"Actual360","Simple","Annual","Annual","Annual")</f>
        <v>QSObject:Swap:w1~swap.8176:3111</v>
      </c>
      <c r="F8178" s="6" t="str">
        <f>_xll.QS.TRADE.CREATE("trade.8176",E8178,A8178,"Receive")</f>
        <v>QSObject:SwapTrade:w1~trade.8176:23511</v>
      </c>
      <c r="G8178" s="3">
        <f>_xll.QS.EVALUATE(C8178,F8178)</f>
        <v>46590.560627375104</v>
      </c>
      <c r="H8178" s="5" t="s">
        <v>8218</v>
      </c>
      <c r="I8178" s="7">
        <v>1817600</v>
      </c>
      <c r="J8178" s="8">
        <v>3.7600000000000001E-2</v>
      </c>
    </row>
    <row r="8179" spans="1:10" x14ac:dyDescent="0.25">
      <c r="A8179" s="5" t="s">
        <v>8212</v>
      </c>
      <c r="B8179" s="5" t="s">
        <v>10046</v>
      </c>
      <c r="C8179" s="6" t="str">
        <f>_xll.QS.CONTEXT.CREATE("market.8177",A8179,"USD","SOFR")</f>
        <v>QSObject:PricingContext:w1~market.8177:3110</v>
      </c>
      <c r="D8179" s="6" t="str">
        <f>_xll.QS.CONTEXT.ADD.CURVE(C8179,"SOFR",$K$2:$K$7,$L$2:$L$7,,,"Actual360","LogLinear",TRUE)</f>
        <v>QSObject:ContextInput:w1~input.qs_context_add_curve.2359132437744.8178.3.0:32144</v>
      </c>
      <c r="E8179" s="6" t="str">
        <f>_xll.QS.INSTRUMENT.SWAP("swap.8177",H8179,B8179,"USD","SOFR",I8179,J8179,0,"Actual360","Simple","Annual","Annual","Annual")</f>
        <v>QSObject:Swap:w1~swap.8177:3109</v>
      </c>
      <c r="F8179" s="6" t="str">
        <f>_xll.QS.TRADE.CREATE("trade.8177",E8179,A8179,"Receive")</f>
        <v>QSObject:SwapTrade:w1~trade.8177:23510</v>
      </c>
      <c r="G8179" s="3">
        <f>_xll.QS.EVALUATE(C8179,F8179)</f>
        <v>47508.904892719373</v>
      </c>
      <c r="H8179" s="5" t="s">
        <v>8219</v>
      </c>
      <c r="I8179" s="7">
        <v>1817700</v>
      </c>
      <c r="J8179" s="8">
        <v>3.7699999999999997E-2</v>
      </c>
    </row>
    <row r="8180" spans="1:10" x14ac:dyDescent="0.25">
      <c r="A8180" s="5" t="s">
        <v>8213</v>
      </c>
      <c r="B8180" s="5" t="s">
        <v>10047</v>
      </c>
      <c r="C8180" s="6" t="str">
        <f>_xll.QS.CONTEXT.CREATE("market.8178",A8180,"USD","SOFR")</f>
        <v>QSObject:PricingContext:w1~market.8178:3108</v>
      </c>
      <c r="D8180" s="6" t="str">
        <f>_xll.QS.CONTEXT.ADD.CURVE(C8180,"SOFR",$K$2:$K$7,$L$2:$L$7,,,"Actual360","LogLinear",TRUE)</f>
        <v>QSObject:ContextInput:w1~input.qs_context_add_curve.2359132437744.8179.3.0:32143</v>
      </c>
      <c r="E8180" s="6" t="str">
        <f>_xll.QS.INSTRUMENT.SWAP("swap.8178",H8180,B8180,"USD","SOFR",I8180,J8180,0,"Actual360","Simple","Annual","Annual","Annual")</f>
        <v>QSObject:Swap:w1~swap.8178:3107</v>
      </c>
      <c r="F8180" s="6" t="str">
        <f>_xll.QS.TRADE.CREATE("trade.8178",E8180,A8180,"Receive")</f>
        <v>QSObject:SwapTrade:w1~trade.8178:23509</v>
      </c>
      <c r="G8180" s="3">
        <f>_xll.QS.EVALUATE(C8180,F8180)</f>
        <v>48594.939601492093</v>
      </c>
      <c r="H8180" s="5" t="s">
        <v>8220</v>
      </c>
      <c r="I8180" s="7">
        <v>1817800</v>
      </c>
      <c r="J8180" s="8">
        <v>3.78E-2</v>
      </c>
    </row>
    <row r="8181" spans="1:10" x14ac:dyDescent="0.25">
      <c r="A8181" s="5" t="s">
        <v>8214</v>
      </c>
      <c r="B8181" s="5" t="s">
        <v>10048</v>
      </c>
      <c r="C8181" s="6" t="str">
        <f>_xll.QS.CONTEXT.CREATE("market.8179",A8181,"USD","SOFR")</f>
        <v>QSObject:PricingContext:w1~market.8179:3106</v>
      </c>
      <c r="D8181" s="6" t="str">
        <f>_xll.QS.CONTEXT.ADD.CURVE(C8181,"SOFR",$K$2:$K$7,$L$2:$L$7,,,"Actual360","LogLinear",TRUE)</f>
        <v>QSObject:ContextInput:w1~input.qs_context_add_curve.2359132437744.8180.3.0:32142</v>
      </c>
      <c r="E8181" s="6" t="str">
        <f>_xll.QS.INSTRUMENT.SWAP("swap.8179",H8181,B8181,"USD","SOFR",I8181,J8181,0,"Actual360","Simple","Annual","Annual","Annual")</f>
        <v>QSObject:Swap:w1~swap.8179:3105</v>
      </c>
      <c r="F8181" s="6" t="str">
        <f>_xll.QS.TRADE.CREATE("trade.8179",E8181,A8181,"Receive")</f>
        <v>QSObject:SwapTrade:w1~trade.8179:23508</v>
      </c>
      <c r="G8181" s="3">
        <f>_xll.QS.EVALUATE(C8181,F8181)</f>
        <v>49453.355885841593</v>
      </c>
      <c r="H8181" s="5" t="s">
        <v>8221</v>
      </c>
      <c r="I8181" s="7">
        <v>1817900</v>
      </c>
      <c r="J8181" s="8">
        <v>3.7900000000000003E-2</v>
      </c>
    </row>
    <row r="8182" spans="1:10" x14ac:dyDescent="0.25">
      <c r="A8182" s="5" t="s">
        <v>8215</v>
      </c>
      <c r="B8182" s="5" t="s">
        <v>10049</v>
      </c>
      <c r="C8182" s="6" t="str">
        <f>_xll.QS.CONTEXT.CREATE("market.8180",A8182,"USD","SOFR")</f>
        <v>QSObject:PricingContext:w1~market.8180:3104</v>
      </c>
      <c r="D8182" s="6" t="str">
        <f>_xll.QS.CONTEXT.ADD.CURVE(C8182,"SOFR",$K$2:$K$7,$L$2:$L$7,,,"Actual360","LogLinear",TRUE)</f>
        <v>QSObject:ContextInput:w1~input.qs_context_add_curve.2359132437744.8181.3.0:32141</v>
      </c>
      <c r="E8182" s="6" t="str">
        <f>_xll.QS.INSTRUMENT.SWAP("swap.8180",H8182,B8182,"USD","SOFR",I8182,J8182,0,"Actual360","Simple","Annual","Annual","Annual")</f>
        <v>QSObject:Swap:w1~swap.8180:3103</v>
      </c>
      <c r="F8182" s="6" t="str">
        <f>_xll.QS.TRADE.CREATE("trade.8180",E8182,A8182,"Receive")</f>
        <v>QSObject:SwapTrade:w1~trade.8180:23507</v>
      </c>
      <c r="G8182" s="3">
        <f>_xll.QS.EVALUATE(C8182,F8182)</f>
        <v>50292.234671729682</v>
      </c>
      <c r="H8182" s="5" t="s">
        <v>8222</v>
      </c>
      <c r="I8182" s="7">
        <v>1818000</v>
      </c>
      <c r="J8182" s="8">
        <v>3.8000000000000013E-2</v>
      </c>
    </row>
    <row r="8183" spans="1:10" x14ac:dyDescent="0.25">
      <c r="A8183" s="5" t="s">
        <v>8216</v>
      </c>
      <c r="B8183" s="5" t="s">
        <v>10050</v>
      </c>
      <c r="C8183" s="6" t="str">
        <f>_xll.QS.CONTEXT.CREATE("market.8181",A8183,"USD","SOFR")</f>
        <v>QSObject:PricingContext:w1~market.8181:3102</v>
      </c>
      <c r="D8183" s="6" t="str">
        <f>_xll.QS.CONTEXT.ADD.CURVE(C8183,"SOFR",$K$2:$K$7,$L$2:$L$7,,,"Actual360","LogLinear",TRUE)</f>
        <v>QSObject:ContextInput:w1~input.qs_context_add_curve.2359132437744.8182.3.0:32140</v>
      </c>
      <c r="E8183" s="6" t="str">
        <f>_xll.QS.INSTRUMENT.SWAP("swap.8181",H8183,B8183,"USD","SOFR",I8183,J8183,0,"Actual360","Simple","Annual","Annual","Annual")</f>
        <v>QSObject:Swap:w1~swap.8181:3101</v>
      </c>
      <c r="F8183" s="6" t="str">
        <f>_xll.QS.TRADE.CREATE("trade.8181",E8183,A8183,"Receive")</f>
        <v>QSObject:SwapTrade:w1~trade.8181:23506</v>
      </c>
      <c r="G8183" s="3">
        <f>_xll.QS.EVALUATE(C8183,F8183)</f>
        <v>50996.643617765352</v>
      </c>
      <c r="H8183" s="5" t="s">
        <v>8223</v>
      </c>
      <c r="I8183" s="7">
        <v>1818100</v>
      </c>
      <c r="J8183" s="8">
        <v>3.8100000000000002E-2</v>
      </c>
    </row>
    <row r="8184" spans="1:10" x14ac:dyDescent="0.25">
      <c r="A8184" s="5" t="s">
        <v>8217</v>
      </c>
      <c r="B8184" s="5" t="s">
        <v>10051</v>
      </c>
      <c r="C8184" s="6" t="str">
        <f>_xll.QS.CONTEXT.CREATE("market.8182",A8184,"USD","SOFR")</f>
        <v>QSObject:PricingContext:w1~market.8182:3100</v>
      </c>
      <c r="D8184" s="6" t="str">
        <f>_xll.QS.CONTEXT.ADD.CURVE(C8184,"SOFR",$K$2:$K$7,$L$2:$L$7,,,"Actual360","LogLinear",TRUE)</f>
        <v>QSObject:ContextInput:w1~input.qs_context_add_curve.2359132437744.8183.3.0:32139</v>
      </c>
      <c r="E8184" s="6" t="str">
        <f>_xll.QS.INSTRUMENT.SWAP("swap.8182",H8184,B8184,"USD","SOFR",I8184,J8184,0,"Actual360","Simple","Annual","Annual","Annual")</f>
        <v>QSObject:Swap:w1~swap.8182:3099</v>
      </c>
      <c r="F8184" s="6" t="str">
        <f>_xll.QS.TRADE.CREATE("trade.8182",E8184,A8184,"Receive")</f>
        <v>QSObject:SwapTrade:w1~trade.8182:23505</v>
      </c>
      <c r="G8184" s="3">
        <f>_xll.QS.EVALUATE(C8184,F8184)</f>
        <v>51710.636051638474</v>
      </c>
      <c r="H8184" s="5" t="s">
        <v>8224</v>
      </c>
      <c r="I8184" s="7">
        <v>1818200</v>
      </c>
      <c r="J8184" s="8">
        <v>3.8199999999999998E-2</v>
      </c>
    </row>
    <row r="8185" spans="1:10" x14ac:dyDescent="0.25">
      <c r="A8185" s="5" t="s">
        <v>8218</v>
      </c>
      <c r="B8185" s="5" t="s">
        <v>10052</v>
      </c>
      <c r="C8185" s="6" t="str">
        <f>_xll.QS.CONTEXT.CREATE("market.8183",A8185,"USD","SOFR")</f>
        <v>QSObject:PricingContext:w1~market.8183:3098</v>
      </c>
      <c r="D8185" s="6" t="str">
        <f>_xll.QS.CONTEXT.ADD.CURVE(C8185,"SOFR",$K$2:$K$7,$L$2:$L$7,,,"Actual360","LogLinear",TRUE)</f>
        <v>QSObject:ContextInput:w1~input.qs_context_add_curve.2359132437744.8184.3.0:32138</v>
      </c>
      <c r="E8185" s="6" t="str">
        <f>_xll.QS.INSTRUMENT.SWAP("swap.8183",H8185,B8185,"USD","SOFR",I8185,J8185,0,"Actual360","Simple","Annual","Annual","Annual")</f>
        <v>QSObject:Swap:w1~swap.8183:3097</v>
      </c>
      <c r="F8185" s="6" t="str">
        <f>_xll.QS.TRADE.CREATE("trade.8183",E8185,A8185,"Receive")</f>
        <v>QSObject:SwapTrade:w1~trade.8183:23504</v>
      </c>
      <c r="G8185" s="3">
        <f>_xll.QS.EVALUATE(C8185,F8185)</f>
        <v>52556.263850202515</v>
      </c>
      <c r="H8185" s="5" t="s">
        <v>8225</v>
      </c>
      <c r="I8185" s="7">
        <v>1818300</v>
      </c>
      <c r="J8185" s="8">
        <v>3.8300000000000001E-2</v>
      </c>
    </row>
    <row r="8186" spans="1:10" x14ac:dyDescent="0.25">
      <c r="A8186" s="5" t="s">
        <v>8219</v>
      </c>
      <c r="B8186" s="5" t="s">
        <v>10053</v>
      </c>
      <c r="C8186" s="6" t="str">
        <f>_xll.QS.CONTEXT.CREATE("market.8184",A8186,"USD","SOFR")</f>
        <v>QSObject:PricingContext:w1~market.8184:3096</v>
      </c>
      <c r="D8186" s="6" t="str">
        <f>_xll.QS.CONTEXT.ADD.CURVE(C8186,"SOFR",$K$2:$K$7,$L$2:$L$7,,,"Actual360","LogLinear",TRUE)</f>
        <v>QSObject:ContextInput:w1~input.qs_context_add_curve.2359132437744.8185.3.0:32137</v>
      </c>
      <c r="E8186" s="6" t="str">
        <f>_xll.QS.INSTRUMENT.SWAP("swap.8184",H8186,B8186,"USD","SOFR",I8186,J8186,0,"Actual360","Simple","Annual","Annual","Annual")</f>
        <v>QSObject:Swap:w1~swap.8184:3095</v>
      </c>
      <c r="F8186" s="6" t="str">
        <f>_xll.QS.TRADE.CREATE("trade.8184",E8186,A8186,"Receive")</f>
        <v>QSObject:SwapTrade:w1~trade.8184:23503</v>
      </c>
      <c r="G8186" s="3">
        <f>_xll.QS.EVALUATE(C8186,F8186)</f>
        <v>53440.440765173422</v>
      </c>
      <c r="H8186" s="5" t="s">
        <v>8226</v>
      </c>
      <c r="I8186" s="7">
        <v>1818400</v>
      </c>
      <c r="J8186" s="8">
        <v>3.8399999999999997E-2</v>
      </c>
    </row>
    <row r="8187" spans="1:10" x14ac:dyDescent="0.25">
      <c r="A8187" s="5" t="s">
        <v>8220</v>
      </c>
      <c r="B8187" s="5" t="s">
        <v>10054</v>
      </c>
      <c r="C8187" s="6" t="str">
        <f>_xll.QS.CONTEXT.CREATE("market.8185",A8187,"USD","SOFR")</f>
        <v>QSObject:PricingContext:w1~market.8185:3094</v>
      </c>
      <c r="D8187" s="6" t="str">
        <f>_xll.QS.CONTEXT.ADD.CURVE(C8187,"SOFR",$K$2:$K$7,$L$2:$L$7,,,"Actual360","LogLinear",TRUE)</f>
        <v>QSObject:ContextInput:w1~input.qs_context_add_curve.2359132437744.8186.3.0:32136</v>
      </c>
      <c r="E8187" s="6" t="str">
        <f>_xll.QS.INSTRUMENT.SWAP("swap.8185",H8187,B8187,"USD","SOFR",I8187,J8187,0,"Actual360","Simple","Annual","Annual","Annual")</f>
        <v>QSObject:Swap:w1~swap.8185:3093</v>
      </c>
      <c r="F8187" s="6" t="str">
        <f>_xll.QS.TRADE.CREATE("trade.8185",E8187,A8187,"Receive")</f>
        <v>QSObject:SwapTrade:w1~trade.8185:23502</v>
      </c>
      <c r="G8187" s="3">
        <f>_xll.QS.EVALUATE(C8187,F8187)</f>
        <v>54416.166908980253</v>
      </c>
      <c r="H8187" s="5" t="s">
        <v>8227</v>
      </c>
      <c r="I8187" s="7">
        <v>1818500</v>
      </c>
      <c r="J8187" s="8">
        <v>3.8500000000000013E-2</v>
      </c>
    </row>
    <row r="8188" spans="1:10" x14ac:dyDescent="0.25">
      <c r="A8188" s="5" t="s">
        <v>8221</v>
      </c>
      <c r="B8188" s="5" t="s">
        <v>10055</v>
      </c>
      <c r="C8188" s="6" t="str">
        <f>_xll.QS.CONTEXT.CREATE("market.8186",A8188,"USD","SOFR")</f>
        <v>QSObject:PricingContext:w1~market.8186:3092</v>
      </c>
      <c r="D8188" s="6" t="str">
        <f>_xll.QS.CONTEXT.ADD.CURVE(C8188,"SOFR",$K$2:$K$7,$L$2:$L$7,,,"Actual360","LogLinear",TRUE)</f>
        <v>QSObject:ContextInput:w1~input.qs_context_add_curve.2359132437744.8187.3.0:32135</v>
      </c>
      <c r="E8188" s="6" t="str">
        <f>_xll.QS.INSTRUMENT.SWAP("swap.8186",H8188,B8188,"USD","SOFR",I8188,J8188,0,"Actual360","Simple","Annual","Annual","Annual")</f>
        <v>QSObject:Swap:w1~swap.8186:3091</v>
      </c>
      <c r="F8188" s="6" t="str">
        <f>_xll.QS.TRADE.CREATE("trade.8186",E8188,A8188,"Receive")</f>
        <v>QSObject:SwapTrade:w1~trade.8186:23501</v>
      </c>
      <c r="G8188" s="3">
        <f>_xll.QS.EVALUATE(C8188,F8188)</f>
        <v>55337.352260523432</v>
      </c>
      <c r="H8188" s="5" t="s">
        <v>8228</v>
      </c>
      <c r="I8188" s="7">
        <v>1818600</v>
      </c>
      <c r="J8188" s="8">
        <v>3.8600000000000002E-2</v>
      </c>
    </row>
    <row r="8189" spans="1:10" x14ac:dyDescent="0.25">
      <c r="A8189" s="5" t="s">
        <v>8222</v>
      </c>
      <c r="B8189" s="5" t="s">
        <v>10056</v>
      </c>
      <c r="C8189" s="6" t="str">
        <f>_xll.QS.CONTEXT.CREATE("market.8187",A8189,"USD","SOFR")</f>
        <v>QSObject:PricingContext:w1~market.8187:3090</v>
      </c>
      <c r="D8189" s="6" t="str">
        <f>_xll.QS.CONTEXT.ADD.CURVE(C8189,"SOFR",$K$2:$K$7,$L$2:$L$7,,,"Actual360","LogLinear",TRUE)</f>
        <v>QSObject:ContextInput:w1~input.qs_context_add_curve.2359132437744.8188.3.0:32134</v>
      </c>
      <c r="E8189" s="6" t="str">
        <f>_xll.QS.INSTRUMENT.SWAP("swap.8187",H8189,B8189,"USD","SOFR",I8189,J8189,0,"Actual360","Simple","Annual","Annual","Annual")</f>
        <v>QSObject:Swap:w1~swap.8187:3089</v>
      </c>
      <c r="F8189" s="6" t="str">
        <f>_xll.QS.TRADE.CREATE("trade.8187",E8189,A8189,"Receive")</f>
        <v>QSObject:SwapTrade:w1~trade.8187:23500</v>
      </c>
      <c r="G8189" s="3">
        <f>_xll.QS.EVALUATE(C8189,F8189)</f>
        <v>56108.877811912374</v>
      </c>
      <c r="H8189" s="5" t="s">
        <v>8229</v>
      </c>
      <c r="I8189" s="7">
        <v>1818700</v>
      </c>
      <c r="J8189" s="8">
        <v>3.8700000000000012E-2</v>
      </c>
    </row>
    <row r="8190" spans="1:10" x14ac:dyDescent="0.25">
      <c r="A8190" s="5" t="s">
        <v>8223</v>
      </c>
      <c r="B8190" s="5" t="s">
        <v>10057</v>
      </c>
      <c r="C8190" s="6" t="str">
        <f>_xll.QS.CONTEXT.CREATE("market.8188",A8190,"USD","SOFR")</f>
        <v>QSObject:PricingContext:w1~market.8188:3088</v>
      </c>
      <c r="D8190" s="6" t="str">
        <f>_xll.QS.CONTEXT.ADD.CURVE(C8190,"SOFR",$K$2:$K$7,$L$2:$L$7,,,"Actual360","LogLinear",TRUE)</f>
        <v>QSObject:ContextInput:w1~input.qs_context_add_curve.2359132437744.8189.3.0:32133</v>
      </c>
      <c r="E8190" s="6" t="str">
        <f>_xll.QS.INSTRUMENT.SWAP("swap.8188",H8190,B8190,"USD","SOFR",I8190,J8190,0,"Actual360","Simple","Annual","Annual","Annual")</f>
        <v>QSObject:Swap:w1~swap.8188:3087</v>
      </c>
      <c r="F8190" s="6" t="str">
        <f>_xll.QS.TRADE.CREATE("trade.8188",E8190,A8190,"Receive")</f>
        <v>QSObject:SwapTrade:w1~trade.8188:23499</v>
      </c>
      <c r="G8190" s="3">
        <f>_xll.QS.EVALUATE(C8190,F8190)</f>
        <v>56806.965748803268</v>
      </c>
      <c r="H8190" s="5" t="s">
        <v>8230</v>
      </c>
      <c r="I8190" s="7">
        <v>1818800</v>
      </c>
      <c r="J8190" s="8">
        <v>3.8800000000000001E-2</v>
      </c>
    </row>
    <row r="8191" spans="1:10" x14ac:dyDescent="0.25">
      <c r="A8191" s="5" t="s">
        <v>8224</v>
      </c>
      <c r="B8191" s="5" t="s">
        <v>10058</v>
      </c>
      <c r="C8191" s="6" t="str">
        <f>_xll.QS.CONTEXT.CREATE("market.8189",A8191,"USD","SOFR")</f>
        <v>QSObject:PricingContext:w1~market.8189:3086</v>
      </c>
      <c r="D8191" s="6" t="str">
        <f>_xll.QS.CONTEXT.ADD.CURVE(C8191,"SOFR",$K$2:$K$7,$L$2:$L$7,,,"Actual360","LogLinear",TRUE)</f>
        <v>QSObject:ContextInput:w1~input.qs_context_add_curve.2359132437744.8190.3.0:32132</v>
      </c>
      <c r="E8191" s="6" t="str">
        <f>_xll.QS.INSTRUMENT.SWAP("swap.8189",H8191,B8191,"USD","SOFR",I8191,J8191,0,"Actual360","Simple","Annual","Annual","Annual")</f>
        <v>QSObject:Swap:w1~swap.8189:3085</v>
      </c>
      <c r="F8191" s="6" t="str">
        <f>_xll.QS.TRADE.CREATE("trade.8189",E8191,A8191,"Receive")</f>
        <v>QSObject:SwapTrade:w1~trade.8189:23498</v>
      </c>
      <c r="G8191" s="3">
        <f>_xll.QS.EVALUATE(C8191,F8191)</f>
        <v>57530.847099658531</v>
      </c>
      <c r="H8191" s="5" t="s">
        <v>8231</v>
      </c>
      <c r="I8191" s="7">
        <v>1818900</v>
      </c>
      <c r="J8191" s="8">
        <v>3.8899999999999997E-2</v>
      </c>
    </row>
    <row r="8192" spans="1:10" x14ac:dyDescent="0.25">
      <c r="A8192" s="5" t="s">
        <v>8225</v>
      </c>
      <c r="B8192" s="5" t="s">
        <v>10059</v>
      </c>
      <c r="C8192" s="6" t="str">
        <f>_xll.QS.CONTEXT.CREATE("market.8190",A8192,"USD","SOFR")</f>
        <v>QSObject:PricingContext:w1~market.8190:3084</v>
      </c>
      <c r="D8192" s="6" t="str">
        <f>_xll.QS.CONTEXT.ADD.CURVE(C8192,"SOFR",$K$2:$K$7,$L$2:$L$7,,,"Actual360","LogLinear",TRUE)</f>
        <v>QSObject:ContextInput:w1~input.qs_context_add_curve.2359132437744.8191.3.0:32131</v>
      </c>
      <c r="E8192" s="6" t="str">
        <f>_xll.QS.INSTRUMENT.SWAP("swap.8190",H8192,B8192,"USD","SOFR",I8192,J8192,0,"Actual360","Simple","Annual","Annual","Annual")</f>
        <v>QSObject:Swap:w1~swap.8190:3083</v>
      </c>
      <c r="F8192" s="6" t="str">
        <f>_xll.QS.TRADE.CREATE("trade.8190",E8192,A8192,"Receive")</f>
        <v>QSObject:SwapTrade:w1~trade.8190:23497</v>
      </c>
      <c r="G8192" s="3">
        <f>_xll.QS.EVALUATE(C8192,F8192)</f>
        <v>58450.991589810161</v>
      </c>
      <c r="H8192" s="5" t="s">
        <v>8232</v>
      </c>
      <c r="I8192" s="7">
        <v>1819000</v>
      </c>
      <c r="J8192" s="8">
        <v>3.9000000000000007E-2</v>
      </c>
    </row>
    <row r="8193" spans="1:10" x14ac:dyDescent="0.25">
      <c r="A8193" s="5" t="s">
        <v>8226</v>
      </c>
      <c r="B8193" s="5" t="s">
        <v>10060</v>
      </c>
      <c r="C8193" s="6" t="str">
        <f>_xll.QS.CONTEXT.CREATE("market.8191",A8193,"USD","SOFR")</f>
        <v>QSObject:PricingContext:w1~market.8191:3082</v>
      </c>
      <c r="D8193" s="6" t="str">
        <f>_xll.QS.CONTEXT.ADD.CURVE(C8193,"SOFR",$K$2:$K$7,$L$2:$L$7,,,"Actual360","LogLinear",TRUE)</f>
        <v>QSObject:ContextInput:w1~input.qs_context_add_curve.2359132437744.8192.3.0:32130</v>
      </c>
      <c r="E8193" s="6" t="str">
        <f>_xll.QS.INSTRUMENT.SWAP("swap.8191",H8193,B8193,"USD","SOFR",I8193,J8193,0,"Actual360","Simple","Annual","Annual","Annual")</f>
        <v>QSObject:Swap:w1~swap.8191:3081</v>
      </c>
      <c r="F8193" s="6" t="str">
        <f>_xll.QS.TRADE.CREATE("trade.8191",E8193,A8193,"Receive")</f>
        <v>QSObject:SwapTrade:w1~trade.8191:23496</v>
      </c>
      <c r="G8193" s="3">
        <f>_xll.QS.EVALUATE(C8193,F8193)</f>
        <v>59334.179097902364</v>
      </c>
      <c r="H8193" s="5" t="s">
        <v>8233</v>
      </c>
      <c r="I8193" s="7">
        <v>1819100</v>
      </c>
      <c r="J8193" s="8">
        <v>3.9100000000000003E-2</v>
      </c>
    </row>
    <row r="8194" spans="1:10" x14ac:dyDescent="0.25">
      <c r="A8194" s="5" t="s">
        <v>8227</v>
      </c>
      <c r="B8194" s="5" t="s">
        <v>10061</v>
      </c>
      <c r="C8194" s="6" t="str">
        <f>_xll.QS.CONTEXT.CREATE("market.8192",A8194,"USD","SOFR")</f>
        <v>QSObject:PricingContext:w1~market.8192:3080</v>
      </c>
      <c r="D8194" s="6" t="str">
        <f>_xll.QS.CONTEXT.ADD.CURVE(C8194,"SOFR",$K$2:$K$7,$L$2:$L$7,,,"Actual360","LogLinear",TRUE)</f>
        <v>QSObject:ContextInput:w1~input.qs_context_add_curve.2359132437744.8193.3.0:32129</v>
      </c>
      <c r="E8194" s="6" t="str">
        <f>_xll.QS.INSTRUMENT.SWAP("swap.8192",H8194,B8194,"USD","SOFR",I8194,J8194,0,"Actual360","Simple","Annual","Annual","Annual")</f>
        <v>QSObject:Swap:w1~swap.8192:3079</v>
      </c>
      <c r="F8194" s="6" t="str">
        <f>_xll.QS.TRADE.CREATE("trade.8192",E8194,A8194,"Receive")</f>
        <v>QSObject:SwapTrade:w1~trade.8192:23495</v>
      </c>
      <c r="G8194" s="3">
        <f>_xll.QS.EVALUATE(C8194,F8194)</f>
        <v>60309.440562377298</v>
      </c>
      <c r="H8194" s="5" t="s">
        <v>8234</v>
      </c>
      <c r="I8194" s="7">
        <v>1819200</v>
      </c>
      <c r="J8194" s="8">
        <v>3.9200000000000013E-2</v>
      </c>
    </row>
    <row r="8195" spans="1:10" x14ac:dyDescent="0.25">
      <c r="A8195" s="5" t="s">
        <v>8228</v>
      </c>
      <c r="B8195" s="5" t="s">
        <v>10062</v>
      </c>
      <c r="C8195" s="6" t="str">
        <f>_xll.QS.CONTEXT.CREATE("market.8193",A8195,"USD","SOFR")</f>
        <v>QSObject:PricingContext:w1~market.8193:3078</v>
      </c>
      <c r="D8195" s="6" t="str">
        <f>_xll.QS.CONTEXT.ADD.CURVE(C8195,"SOFR",$K$2:$K$7,$L$2:$L$7,,,"Actual360","LogLinear",TRUE)</f>
        <v>QSObject:ContextInput:w1~input.qs_context_add_curve.2359132437744.8194.3.0:32128</v>
      </c>
      <c r="E8195" s="6" t="str">
        <f>_xll.QS.INSTRUMENT.SWAP("swap.8193",H8195,B8195,"USD","SOFR",I8195,J8195,0,"Actual360","Simple","Annual","Annual","Annual")</f>
        <v>QSObject:Swap:w1~swap.8193:3077</v>
      </c>
      <c r="F8195" s="6" t="str">
        <f>_xll.QS.TRADE.CREATE("trade.8193",E8195,A8195,"Receive")</f>
        <v>QSObject:SwapTrade:w1~trade.8193:23494</v>
      </c>
      <c r="G8195" s="3">
        <f>_xll.QS.EVALUATE(C8195,F8195)</f>
        <v>61231.369562632899</v>
      </c>
      <c r="H8195" s="5" t="s">
        <v>8235</v>
      </c>
      <c r="I8195" s="7">
        <v>1819300</v>
      </c>
      <c r="J8195" s="8">
        <v>3.9300000000000002E-2</v>
      </c>
    </row>
    <row r="8196" spans="1:10" x14ac:dyDescent="0.25">
      <c r="A8196" s="5" t="s">
        <v>8229</v>
      </c>
      <c r="B8196" s="5" t="s">
        <v>10063</v>
      </c>
      <c r="C8196" s="6" t="str">
        <f>_xll.QS.CONTEXT.CREATE("market.8194",A8196,"USD","SOFR")</f>
        <v>QSObject:PricingContext:w1~market.8194:3076</v>
      </c>
      <c r="D8196" s="6" t="str">
        <f>_xll.QS.CONTEXT.ADD.CURVE(C8196,"SOFR",$K$2:$K$7,$L$2:$L$7,,,"Actual360","LogLinear",TRUE)</f>
        <v>QSObject:ContextInput:w1~input.qs_context_add_curve.2359132437744.8195.3.0:32127</v>
      </c>
      <c r="E8196" s="6" t="str">
        <f>_xll.QS.INSTRUMENT.SWAP("swap.8194",H8196,B8196,"USD","SOFR",I8196,J8196,0,"Actual360","Simple","Annual","Annual","Annual")</f>
        <v>QSObject:Swap:w1~swap.8194:3075</v>
      </c>
      <c r="F8196" s="6" t="str">
        <f>_xll.QS.TRADE.CREATE("trade.8194",E8196,A8196,"Receive")</f>
        <v>QSObject:SwapTrade:w1~trade.8194:23493</v>
      </c>
      <c r="G8196" s="3">
        <f>_xll.QS.EVALUATE(C8196,F8196)</f>
        <v>62003.450231113246</v>
      </c>
      <c r="H8196" s="5" t="s">
        <v>8236</v>
      </c>
      <c r="I8196" s="7">
        <v>1819400</v>
      </c>
      <c r="J8196" s="8">
        <v>3.9399999999999998E-2</v>
      </c>
    </row>
    <row r="8197" spans="1:10" x14ac:dyDescent="0.25">
      <c r="A8197" s="5" t="s">
        <v>8230</v>
      </c>
      <c r="B8197" s="5" t="s">
        <v>10064</v>
      </c>
      <c r="C8197" s="6" t="str">
        <f>_xll.QS.CONTEXT.CREATE("market.8195",A8197,"USD","SOFR")</f>
        <v>QSObject:PricingContext:w1~market.8195:3074</v>
      </c>
      <c r="D8197" s="6" t="str">
        <f>_xll.QS.CONTEXT.ADD.CURVE(C8197,"SOFR",$K$2:$K$7,$L$2:$L$7,,,"Actual360","LogLinear",TRUE)</f>
        <v>QSObject:ContextInput:w1~input.qs_context_add_curve.2359132437744.8196.3.0:32126</v>
      </c>
      <c r="E8197" s="6" t="str">
        <f>_xll.QS.INSTRUMENT.SWAP("swap.8195",H8197,B8197,"USD","SOFR",I8197,J8197,0,"Actual360","Simple","Annual","Annual","Annual")</f>
        <v>QSObject:Swap:w1~swap.8195:3073</v>
      </c>
      <c r="F8197" s="6" t="str">
        <f>_xll.QS.TRADE.CREATE("trade.8195",E8197,A8197,"Receive")</f>
        <v>QSObject:SwapTrade:w1~trade.8195:23492</v>
      </c>
      <c r="G8197" s="3">
        <f>_xll.QS.EVALUATE(C8197,F8197)</f>
        <v>62695.212013547629</v>
      </c>
      <c r="H8197" s="5" t="s">
        <v>8237</v>
      </c>
      <c r="I8197" s="7">
        <v>1819500</v>
      </c>
      <c r="J8197" s="8">
        <v>3.9500000000000007E-2</v>
      </c>
    </row>
    <row r="8198" spans="1:10" x14ac:dyDescent="0.25">
      <c r="A8198" s="5" t="s">
        <v>8231</v>
      </c>
      <c r="B8198" s="5" t="s">
        <v>10065</v>
      </c>
      <c r="C8198" s="6" t="str">
        <f>_xll.QS.CONTEXT.CREATE("market.8196",A8198,"USD","SOFR")</f>
        <v>QSObject:PricingContext:w1~market.8196:3072</v>
      </c>
      <c r="D8198" s="6" t="str">
        <f>_xll.QS.CONTEXT.ADD.CURVE(C8198,"SOFR",$K$2:$K$7,$L$2:$L$7,,,"Actual360","LogLinear",TRUE)</f>
        <v>QSObject:ContextInput:w1~input.qs_context_add_curve.2359132437744.8197.3.0:32125</v>
      </c>
      <c r="E8198" s="6" t="str">
        <f>_xll.QS.INSTRUMENT.SWAP("swap.8196",H8198,B8198,"USD","SOFR",I8198,J8198,0,"Actual360","Simple","Annual","Annual","Annual")</f>
        <v>QSObject:Swap:w1~swap.8196:3071</v>
      </c>
      <c r="F8198" s="6" t="str">
        <f>_xll.QS.TRADE.CREATE("trade.8196",E8198,A8198,"Receive")</f>
        <v>QSObject:SwapTrade:w1~trade.8196:23459</v>
      </c>
      <c r="G8198" s="3">
        <f>_xll.QS.EVALUATE(C8198,F8198)</f>
        <v>63428.799207288699</v>
      </c>
      <c r="H8198" s="5" t="s">
        <v>8238</v>
      </c>
      <c r="I8198" s="7">
        <v>1819600</v>
      </c>
      <c r="J8198" s="8">
        <v>3.9600000000000003E-2</v>
      </c>
    </row>
    <row r="8199" spans="1:10" x14ac:dyDescent="0.25">
      <c r="A8199" s="5" t="s">
        <v>8232</v>
      </c>
      <c r="B8199" s="5" t="s">
        <v>10066</v>
      </c>
      <c r="C8199" s="6" t="str">
        <f>_xll.QS.CONTEXT.CREATE("market.8197",A8199,"USD","SOFR")</f>
        <v>QSObject:PricingContext:w1~market.8197:3070</v>
      </c>
      <c r="D8199" s="6" t="str">
        <f>_xll.QS.CONTEXT.ADD.CURVE(C8199,"SOFR",$K$2:$K$7,$L$2:$L$7,,,"Actual360","LogLinear",TRUE)</f>
        <v>QSObject:ContextInput:w1~input.qs_context_add_curve.2359132437744.8198.3.0:32124</v>
      </c>
      <c r="E8199" s="6" t="str">
        <f>_xll.QS.INSTRUMENT.SWAP("swap.8197",H8199,B8199,"USD","SOFR",I8199,J8199,0,"Actual360","Simple","Annual","Annual","Annual")</f>
        <v>QSObject:Swap:w1~swap.8197:3069</v>
      </c>
      <c r="F8199" s="6" t="str">
        <f>_xll.QS.TRADE.CREATE("trade.8197",E8199,A8199,"Receive")</f>
        <v>QSObject:SwapTrade:w1~trade.8197:22951</v>
      </c>
      <c r="G8199" s="3">
        <f>_xll.QS.EVALUATE(C8199,F8199)</f>
        <v>64350.188503368838</v>
      </c>
      <c r="H8199" s="5" t="s">
        <v>8239</v>
      </c>
      <c r="I8199" s="7">
        <v>1819700</v>
      </c>
      <c r="J8199" s="8">
        <v>3.9700000000000013E-2</v>
      </c>
    </row>
    <row r="8200" spans="1:10" x14ac:dyDescent="0.25">
      <c r="A8200" s="5" t="s">
        <v>8233</v>
      </c>
      <c r="B8200" s="5" t="s">
        <v>10067</v>
      </c>
      <c r="C8200" s="6" t="str">
        <f>_xll.QS.CONTEXT.CREATE("market.8198",A8200,"USD","SOFR")</f>
        <v>QSObject:PricingContext:w1~market.8198:3068</v>
      </c>
      <c r="D8200" s="6" t="str">
        <f>_xll.QS.CONTEXT.ADD.CURVE(C8200,"SOFR",$K$2:$K$7,$L$2:$L$7,,,"Actual360","LogLinear",TRUE)</f>
        <v>QSObject:ContextInput:w1~input.qs_context_add_curve.2359132437744.8199.3.0:32123</v>
      </c>
      <c r="E8200" s="6" t="str">
        <f>_xll.QS.INSTRUMENT.SWAP("swap.8198",H8200,B8200,"USD","SOFR",I8200,J8200,0,"Actual360","Simple","Annual","Annual","Annual")</f>
        <v>QSObject:Swap:w1~swap.8198:3067</v>
      </c>
      <c r="F8200" s="6" t="str">
        <f>_xll.QS.TRADE.CREATE("trade.8198",E8200,A8200,"Receive")</f>
        <v>QSObject:SwapTrade:w1~trade.8198:22297</v>
      </c>
      <c r="G8200" s="3">
        <f>_xll.QS.EVALUATE(C8200,F8200)</f>
        <v>65231.187943312929</v>
      </c>
      <c r="H8200" s="5" t="s">
        <v>8240</v>
      </c>
      <c r="I8200" s="7">
        <v>1819800</v>
      </c>
      <c r="J8200" s="8">
        <v>3.9800000000000002E-2</v>
      </c>
    </row>
    <row r="8201" spans="1:10" x14ac:dyDescent="0.25">
      <c r="A8201" s="5" t="s">
        <v>8234</v>
      </c>
      <c r="B8201" s="5" t="s">
        <v>10068</v>
      </c>
      <c r="C8201" s="6" t="str">
        <f>_xll.QS.CONTEXT.CREATE("market.8199",A8201,"USD","SOFR")</f>
        <v>QSObject:PricingContext:w1~market.8199:3066</v>
      </c>
      <c r="D8201" s="6" t="str">
        <f>_xll.QS.CONTEXT.ADD.CURVE(C8201,"SOFR",$K$2:$K$7,$L$2:$L$7,,,"Actual360","LogLinear",TRUE)</f>
        <v>QSObject:ContextInput:w1~input.qs_context_add_curve.2359132437744.8200.3.0:32122</v>
      </c>
      <c r="E8201" s="6" t="str">
        <f>_xll.QS.INSTRUMENT.SWAP("swap.8199",H8201,B8201,"USD","SOFR",I8201,J8201,0,"Actual360","Simple","Annual","Annual","Annual")</f>
        <v>QSObject:Swap:w1~swap.8199:3065</v>
      </c>
      <c r="F8201" s="6" t="str">
        <f>_xll.QS.TRADE.CREATE("trade.8199",E8201,A8201,"Receive")</f>
        <v>QSObject:SwapTrade:w1~trade.8199:22950</v>
      </c>
      <c r="G8201" s="3">
        <f>_xll.QS.EVALUATE(C8201,F8201)</f>
        <v>66207.23337690701</v>
      </c>
      <c r="H8201" s="5" t="s">
        <v>8241</v>
      </c>
      <c r="I8201" s="7">
        <v>1819900</v>
      </c>
      <c r="J8201" s="8">
        <v>3.9899999999999998E-2</v>
      </c>
    </row>
    <row r="8202" spans="1:10" x14ac:dyDescent="0.25">
      <c r="A8202" s="5" t="s">
        <v>8235</v>
      </c>
      <c r="B8202" s="5" t="s">
        <v>10069</v>
      </c>
      <c r="C8202" s="6" t="str">
        <f>_xll.QS.CONTEXT.CREATE("market.8200",A8202,"USD","SOFR")</f>
        <v>QSObject:PricingContext:w1~market.8200:3064</v>
      </c>
      <c r="D8202" s="6" t="str">
        <f>_xll.QS.CONTEXT.ADD.CURVE(C8202,"SOFR",$K$2:$K$7,$L$2:$L$7,,,"Actual360","LogLinear",TRUE)</f>
        <v>QSObject:ContextInput:w1~input.qs_context_add_curve.2359132437744.8201.3.0:32121</v>
      </c>
      <c r="E8202" s="6" t="str">
        <f>_xll.QS.INSTRUMENT.SWAP("swap.8200",H8202,B8202,"USD","SOFR",I8202,J8202,0,"Actual360","Simple","Annual","Annual","Annual")</f>
        <v>QSObject:Swap:w1~swap.8200:3063</v>
      </c>
      <c r="F8202" s="6" t="str">
        <f>_xll.QS.TRADE.CREATE("trade.8200",E8202,A8202,"Receive")</f>
        <v>QSObject:SwapTrade:w1~trade.8200:23458</v>
      </c>
      <c r="G8202" s="3">
        <f>_xll.QS.EVALUATE(C8202,F8202)</f>
        <v>25165.785170654395</v>
      </c>
      <c r="H8202" s="5" t="s">
        <v>8242</v>
      </c>
      <c r="I8202" s="7">
        <v>1820000</v>
      </c>
      <c r="J8202" s="8">
        <v>3.5000000000000003E-2</v>
      </c>
    </row>
    <row r="8203" spans="1:10" x14ac:dyDescent="0.25">
      <c r="A8203" s="5" t="s">
        <v>8236</v>
      </c>
      <c r="B8203" s="5" t="s">
        <v>10070</v>
      </c>
      <c r="C8203" s="6" t="str">
        <f>_xll.QS.CONTEXT.CREATE("market.8201",A8203,"USD","SOFR")</f>
        <v>QSObject:PricingContext:w1~market.8201:3062</v>
      </c>
      <c r="D8203" s="6" t="str">
        <f>_xll.QS.CONTEXT.ADD.CURVE(C8203,"SOFR",$K$2:$K$7,$L$2:$L$7,,,"Actual360","LogLinear",TRUE)</f>
        <v>QSObject:ContextInput:w1~input.qs_context_add_curve.2359132437744.8202.3.0:32120</v>
      </c>
      <c r="E8203" s="6" t="str">
        <f>_xll.QS.INSTRUMENT.SWAP("swap.8201",H8203,B8203,"USD","SOFR",I8203,J8203,0,"Actual360","Simple","Annual","Annual","Annual")</f>
        <v>QSObject:Swap:w1~swap.8201:3061</v>
      </c>
      <c r="F8203" s="6" t="str">
        <f>_xll.QS.TRADE.CREATE("trade.8201",E8203,A8203,"Receive")</f>
        <v>QSObject:SwapTrade:w1~trade.8201:22296</v>
      </c>
      <c r="G8203" s="3">
        <f>_xll.QS.EVALUATE(C8203,F8203)</f>
        <v>25936.588899810318</v>
      </c>
      <c r="H8203" s="5" t="s">
        <v>8243</v>
      </c>
      <c r="I8203" s="7">
        <v>1820100</v>
      </c>
      <c r="J8203" s="8">
        <v>3.5100000000000013E-2</v>
      </c>
    </row>
    <row r="8204" spans="1:10" x14ac:dyDescent="0.25">
      <c r="A8204" s="5" t="s">
        <v>8237</v>
      </c>
      <c r="B8204" s="5" t="s">
        <v>10071</v>
      </c>
      <c r="C8204" s="6" t="str">
        <f>_xll.QS.CONTEXT.CREATE("market.8202",A8204,"USD","SOFR")</f>
        <v>QSObject:PricingContext:w1~market.8202:3060</v>
      </c>
      <c r="D8204" s="6" t="str">
        <f>_xll.QS.CONTEXT.ADD.CURVE(C8204,"SOFR",$K$2:$K$7,$L$2:$L$7,,,"Actual360","LogLinear",TRUE)</f>
        <v>QSObject:ContextInput:w1~input.qs_context_add_curve.2359132437744.8203.3.0:32119</v>
      </c>
      <c r="E8204" s="6" t="str">
        <f>_xll.QS.INSTRUMENT.SWAP("swap.8202",H8204,B8204,"USD","SOFR",I8204,J8204,0,"Actual360","Simple","Annual","Annual","Annual")</f>
        <v>QSObject:Swap:w1~swap.8202:3059</v>
      </c>
      <c r="F8204" s="6" t="str">
        <f>_xll.QS.TRADE.CREATE("trade.8202",E8204,A8204,"Receive")</f>
        <v>QSObject:SwapTrade:w1~trade.8202:23457</v>
      </c>
      <c r="G8204" s="3">
        <f>_xll.QS.EVALUATE(C8204,F8204)</f>
        <v>26669.155857318518</v>
      </c>
      <c r="H8204" s="5" t="s">
        <v>8244</v>
      </c>
      <c r="I8204" s="7">
        <v>1820200</v>
      </c>
      <c r="J8204" s="8">
        <v>3.5200000000000002E-2</v>
      </c>
    </row>
    <row r="8205" spans="1:10" x14ac:dyDescent="0.25">
      <c r="A8205" s="5" t="s">
        <v>8238</v>
      </c>
      <c r="B8205" s="5" t="s">
        <v>10072</v>
      </c>
      <c r="C8205" s="6" t="str">
        <f>_xll.QS.CONTEXT.CREATE("market.8203",A8205,"USD","SOFR")</f>
        <v>QSObject:PricingContext:w1~market.8203:3058</v>
      </c>
      <c r="D8205" s="6" t="str">
        <f>_xll.QS.CONTEXT.ADD.CURVE(C8205,"SOFR",$K$2:$K$7,$L$2:$L$7,,,"Actual360","LogLinear",TRUE)</f>
        <v>QSObject:ContextInput:w1~input.qs_context_add_curve.2359132437744.8204.3.0:32118</v>
      </c>
      <c r="E8205" s="6" t="str">
        <f>_xll.QS.INSTRUMENT.SWAP("swap.8203",H8205,B8205,"USD","SOFR",I8205,J8205,0,"Actual360","Simple","Annual","Annual","Annual")</f>
        <v>QSObject:Swap:w1~swap.8203:3057</v>
      </c>
      <c r="F8205" s="6" t="str">
        <f>_xll.QS.TRADE.CREATE("trade.8203",E8205,A8205,"Receive")</f>
        <v>QSObject:SwapTrade:w1~trade.8203:22295</v>
      </c>
      <c r="G8205" s="3">
        <f>_xll.QS.EVALUATE(C8205,F8205)</f>
        <v>27345.145385793454</v>
      </c>
      <c r="H8205" s="5" t="s">
        <v>8245</v>
      </c>
      <c r="I8205" s="7">
        <v>1820300</v>
      </c>
      <c r="J8205" s="8">
        <v>3.5299999999999998E-2</v>
      </c>
    </row>
    <row r="8206" spans="1:10" x14ac:dyDescent="0.25">
      <c r="A8206" s="5" t="s">
        <v>8239</v>
      </c>
      <c r="B8206" s="5" t="s">
        <v>10073</v>
      </c>
      <c r="C8206" s="6" t="str">
        <f>_xll.QS.CONTEXT.CREATE("market.8204",A8206,"USD","SOFR")</f>
        <v>QSObject:PricingContext:w1~market.8204:3056</v>
      </c>
      <c r="D8206" s="6" t="str">
        <f>_xll.QS.CONTEXT.ADD.CURVE(C8206,"SOFR",$K$2:$K$7,$L$2:$L$7,,,"Actual360","LogLinear",TRUE)</f>
        <v>QSObject:ContextInput:w1~input.qs_context_add_curve.2359132437744.8205.3.0:32117</v>
      </c>
      <c r="E8206" s="6" t="str">
        <f>_xll.QS.INSTRUMENT.SWAP("swap.8204",H8206,B8206,"USD","SOFR",I8206,J8206,0,"Actual360","Simple","Annual","Annual","Annual")</f>
        <v>QSObject:Swap:w1~swap.8204:3055</v>
      </c>
      <c r="F8206" s="6" t="str">
        <f>_xll.QS.TRADE.CREATE("trade.8204",E8206,A8206,"Receive")</f>
        <v>QSObject:SwapTrade:w1~trade.8204:22949</v>
      </c>
      <c r="G8206" s="3">
        <f>_xll.QS.EVALUATE(C8206,F8206)</f>
        <v>28261.387328531957</v>
      </c>
      <c r="H8206" s="5" t="s">
        <v>8246</v>
      </c>
      <c r="I8206" s="7">
        <v>1820400</v>
      </c>
      <c r="J8206" s="8">
        <v>3.5400000000000001E-2</v>
      </c>
    </row>
    <row r="8207" spans="1:10" x14ac:dyDescent="0.25">
      <c r="A8207" s="5" t="s">
        <v>8240</v>
      </c>
      <c r="B8207" s="5" t="s">
        <v>10074</v>
      </c>
      <c r="C8207" s="6" t="str">
        <f>_xll.QS.CONTEXT.CREATE("market.8205",A8207,"USD","SOFR")</f>
        <v>QSObject:PricingContext:w1~market.8205:3054</v>
      </c>
      <c r="D8207" s="6" t="str">
        <f>_xll.QS.CONTEXT.ADD.CURVE(C8207,"SOFR",$K$2:$K$7,$L$2:$L$7,,,"Actual360","LogLinear",TRUE)</f>
        <v>QSObject:ContextInput:w1~input.qs_context_add_curve.2359132437744.8206.3.0:32116</v>
      </c>
      <c r="E8207" s="6" t="str">
        <f>_xll.QS.INSTRUMENT.SWAP("swap.8205",H8207,B8207,"USD","SOFR",I8207,J8207,0,"Actual360","Simple","Annual","Annual","Annual")</f>
        <v>QSObject:Swap:w1~swap.8205:3053</v>
      </c>
      <c r="F8207" s="6" t="str">
        <f>_xll.QS.TRADE.CREATE("trade.8205",E8207,A8207,"Receive")</f>
        <v>QSObject:SwapTrade:w1~trade.8205:23456</v>
      </c>
      <c r="G8207" s="3">
        <f>_xll.QS.EVALUATE(C8207,F8207)</f>
        <v>29158.171141930667</v>
      </c>
      <c r="H8207" s="5" t="s">
        <v>8247</v>
      </c>
      <c r="I8207" s="7">
        <v>1820500</v>
      </c>
      <c r="J8207" s="8">
        <v>3.5499999999999997E-2</v>
      </c>
    </row>
    <row r="8208" spans="1:10" x14ac:dyDescent="0.25">
      <c r="A8208" s="5" t="s">
        <v>8241</v>
      </c>
      <c r="B8208" s="5" t="s">
        <v>10075</v>
      </c>
      <c r="C8208" s="6" t="str">
        <f>_xll.QS.CONTEXT.CREATE("market.8206",A8208,"USD","SOFR")</f>
        <v>QSObject:PricingContext:w1~market.8206:3052</v>
      </c>
      <c r="D8208" s="6" t="str">
        <f>_xll.QS.CONTEXT.ADD.CURVE(C8208,"SOFR",$K$2:$K$7,$L$2:$L$7,,,"Actual360","LogLinear",TRUE)</f>
        <v>QSObject:ContextInput:w1~input.qs_context_add_curve.2359132437744.8207.3.0:32115</v>
      </c>
      <c r="E8208" s="6" t="str">
        <f>_xll.QS.INSTRUMENT.SWAP("swap.8206",H8208,B8208,"USD","SOFR",I8208,J8208,0,"Actual360","Simple","Annual","Annual","Annual")</f>
        <v>QSObject:Swap:w1~swap.8206:3051</v>
      </c>
      <c r="F8208" s="6" t="str">
        <f>_xll.QS.TRADE.CREATE("trade.8206",E8208,A8208,"Receive")</f>
        <v>QSObject:SwapTrade:w1~trade.8206:31111</v>
      </c>
      <c r="G8208" s="3">
        <f>_xll.QS.EVALUATE(C8208,F8208)</f>
        <v>30132.072096015145</v>
      </c>
      <c r="H8208" s="5" t="s">
        <v>8248</v>
      </c>
      <c r="I8208" s="7">
        <v>1820600</v>
      </c>
      <c r="J8208" s="8">
        <v>3.5600000000000007E-2</v>
      </c>
    </row>
    <row r="8209" spans="1:10" x14ac:dyDescent="0.25">
      <c r="A8209" s="5" t="s">
        <v>8242</v>
      </c>
      <c r="B8209" s="5" t="s">
        <v>10076</v>
      </c>
      <c r="C8209" s="6" t="str">
        <f>_xll.QS.CONTEXT.CREATE("market.8207",A8209,"USD","SOFR")</f>
        <v>QSObject:PricingContext:w1~market.8207:3050</v>
      </c>
      <c r="D8209" s="6" t="str">
        <f>_xll.QS.CONTEXT.ADD.CURVE(C8209,"SOFR",$K$2:$K$7,$L$2:$L$7,,,"Actual360","LogLinear",TRUE)</f>
        <v>QSObject:ContextInput:w1~input.qs_context_add_curve.2359132437744.8208.3.0:32114</v>
      </c>
      <c r="E8209" s="6" t="str">
        <f>_xll.QS.INSTRUMENT.SWAP("swap.8207",H8209,B8209,"USD","SOFR",I8209,J8209,0,"Actual360","Simple","Annual","Annual","Annual")</f>
        <v>QSObject:Swap:w1~swap.8207:3049</v>
      </c>
      <c r="F8209" s="6" t="str">
        <f>_xll.QS.TRADE.CREATE("trade.8207",E8209,A8209,"Receive")</f>
        <v>QSObject:SwapTrade:w1~trade.8207:22294</v>
      </c>
      <c r="G8209" s="3">
        <f>_xll.QS.EVALUATE(C8209,F8209)</f>
        <v>31052.700852302536</v>
      </c>
      <c r="H8209" s="5" t="s">
        <v>8249</v>
      </c>
      <c r="I8209" s="7">
        <v>1820700</v>
      </c>
      <c r="J8209" s="8">
        <v>3.5700000000000003E-2</v>
      </c>
    </row>
    <row r="8210" spans="1:10" x14ac:dyDescent="0.25">
      <c r="A8210" s="5" t="s">
        <v>8243</v>
      </c>
      <c r="B8210" s="5" t="s">
        <v>10077</v>
      </c>
      <c r="C8210" s="6" t="str">
        <f>_xll.QS.CONTEXT.CREATE("market.8208",A8210,"USD","SOFR")</f>
        <v>QSObject:PricingContext:w1~market.8208:3048</v>
      </c>
      <c r="D8210" s="6" t="str">
        <f>_xll.QS.CONTEXT.ADD.CURVE(C8210,"SOFR",$K$2:$K$7,$L$2:$L$7,,,"Actual360","LogLinear",TRUE)</f>
        <v>QSObject:ContextInput:w1~input.qs_context_add_curve.2359132437744.8209.3.0:32113</v>
      </c>
      <c r="E8210" s="6" t="str">
        <f>_xll.QS.INSTRUMENT.SWAP("swap.8208",H8210,B8210,"USD","SOFR",I8210,J8210,0,"Actual360","Simple","Annual","Annual","Annual")</f>
        <v>QSObject:Swap:w1~swap.8208:3047</v>
      </c>
      <c r="F8210" s="6" t="str">
        <f>_xll.QS.TRADE.CREATE("trade.8208",E8210,A8210,"Receive")</f>
        <v>QSObject:SwapTrade:w1~trade.8208:23455</v>
      </c>
      <c r="G8210" s="3">
        <f>_xll.QS.EVALUATE(C8210,F8210)</f>
        <v>31824.323006467603</v>
      </c>
      <c r="H8210" s="5" t="s">
        <v>8250</v>
      </c>
      <c r="I8210" s="7">
        <v>1820800</v>
      </c>
      <c r="J8210" s="8">
        <v>3.5800000000000012E-2</v>
      </c>
    </row>
    <row r="8211" spans="1:10" x14ac:dyDescent="0.25">
      <c r="A8211" s="5" t="s">
        <v>8244</v>
      </c>
      <c r="B8211" s="5" t="s">
        <v>10078</v>
      </c>
      <c r="C8211" s="6" t="str">
        <f>_xll.QS.CONTEXT.CREATE("market.8209",A8211,"USD","SOFR")</f>
        <v>QSObject:PricingContext:w1~market.8209:3046</v>
      </c>
      <c r="D8211" s="6" t="str">
        <f>_xll.QS.CONTEXT.ADD.CURVE(C8211,"SOFR",$K$2:$K$7,$L$2:$L$7,,,"Actual360","LogLinear",TRUE)</f>
        <v>QSObject:ContextInput:w1~input.qs_context_add_curve.2359132437744.8210.3.0:32112</v>
      </c>
      <c r="E8211" s="6" t="str">
        <f>_xll.QS.INSTRUMENT.SWAP("swap.8209",H8211,B8211,"USD","SOFR",I8211,J8211,0,"Actual360","Simple","Annual","Annual","Annual")</f>
        <v>QSObject:Swap:w1~swap.8209:3045</v>
      </c>
      <c r="F8211" s="6" t="str">
        <f>_xll.QS.TRADE.CREATE("trade.8209",E8211,A8211,"Receive")</f>
        <v>QSObject:SwapTrade:w1~trade.8209:31110</v>
      </c>
      <c r="G8211" s="3">
        <f>_xll.QS.EVALUATE(C8211,F8211)</f>
        <v>32615.474792856767</v>
      </c>
      <c r="H8211" s="5" t="s">
        <v>8251</v>
      </c>
      <c r="I8211" s="7">
        <v>1820900</v>
      </c>
      <c r="J8211" s="8">
        <v>3.5900000000000001E-2</v>
      </c>
    </row>
    <row r="8212" spans="1:10" x14ac:dyDescent="0.25">
      <c r="A8212" s="5" t="s">
        <v>8245</v>
      </c>
      <c r="B8212" s="5" t="s">
        <v>10079</v>
      </c>
      <c r="C8212" s="6" t="str">
        <f>_xll.QS.CONTEXT.CREATE("market.8210",A8212,"USD","SOFR")</f>
        <v>QSObject:PricingContext:w1~market.8210:3044</v>
      </c>
      <c r="D8212" s="6" t="str">
        <f>_xll.QS.CONTEXT.ADD.CURVE(C8212,"SOFR",$K$2:$K$7,$L$2:$L$7,,,"Actual360","LogLinear",TRUE)</f>
        <v>QSObject:ContextInput:w1~input.qs_context_add_curve.2359132437744.8211.3.0:32111</v>
      </c>
      <c r="E8212" s="6" t="str">
        <f>_xll.QS.INSTRUMENT.SWAP("swap.8210",H8212,B8212,"USD","SOFR",I8212,J8212,0,"Actual360","Simple","Annual","Annual","Annual")</f>
        <v>QSObject:Swap:w1~swap.8210:3043</v>
      </c>
      <c r="F8212" s="6" t="str">
        <f>_xll.QS.TRADE.CREATE("trade.8210",E8212,A8212,"Receive")</f>
        <v>QSObject:SwapTrade:w1~trade.8210:22948</v>
      </c>
      <c r="G8212" s="3">
        <f>_xll.QS.EVALUATE(C8212,F8212)</f>
        <v>33235.892213837702</v>
      </c>
      <c r="H8212" s="5" t="s">
        <v>8252</v>
      </c>
      <c r="I8212" s="7">
        <v>1821000</v>
      </c>
      <c r="J8212" s="8">
        <v>3.5999999999999997E-2</v>
      </c>
    </row>
    <row r="8213" spans="1:10" x14ac:dyDescent="0.25">
      <c r="A8213" s="5" t="s">
        <v>8246</v>
      </c>
      <c r="B8213" s="5" t="s">
        <v>10080</v>
      </c>
      <c r="C8213" s="6" t="str">
        <f>_xll.QS.CONTEXT.CREATE("market.8211",A8213,"USD","SOFR")</f>
        <v>QSObject:PricingContext:w1~market.8211:3042</v>
      </c>
      <c r="D8213" s="6" t="str">
        <f>_xll.QS.CONTEXT.ADD.CURVE(C8213,"SOFR",$K$2:$K$7,$L$2:$L$7,,,"Actual360","LogLinear",TRUE)</f>
        <v>QSObject:ContextInput:w1~input.qs_context_add_curve.2359132437744.8212.3.0:32110</v>
      </c>
      <c r="E8213" s="6" t="str">
        <f>_xll.QS.INSTRUMENT.SWAP("swap.8211",H8213,B8213,"USD","SOFR",I8213,J8213,0,"Actual360","Simple","Annual","Annual","Annual")</f>
        <v>QSObject:Swap:w1~swap.8211:3041</v>
      </c>
      <c r="F8213" s="6" t="str">
        <f>_xll.QS.TRADE.CREATE("trade.8211",E8213,A8213,"Receive")</f>
        <v>QSObject:SwapTrade:w1~trade.8211:22293</v>
      </c>
      <c r="G8213" s="3">
        <f>_xll.QS.EVALUATE(C8213,F8213)</f>
        <v>34153.273810849554</v>
      </c>
      <c r="H8213" s="5" t="s">
        <v>8253</v>
      </c>
      <c r="I8213" s="7">
        <v>1821100</v>
      </c>
      <c r="J8213" s="8">
        <v>3.61E-2</v>
      </c>
    </row>
    <row r="8214" spans="1:10" x14ac:dyDescent="0.25">
      <c r="A8214" s="5" t="s">
        <v>8247</v>
      </c>
      <c r="B8214" s="5" t="s">
        <v>10081</v>
      </c>
      <c r="C8214" s="6" t="str">
        <f>_xll.QS.CONTEXT.CREATE("market.8212",A8214,"USD","SOFR")</f>
        <v>QSObject:PricingContext:w1~market.8212:3040</v>
      </c>
      <c r="D8214" s="6" t="str">
        <f>_xll.QS.CONTEXT.ADD.CURVE(C8214,"SOFR",$K$2:$K$7,$L$2:$L$7,,,"Actual360","LogLinear",TRUE)</f>
        <v>QSObject:ContextInput:w1~input.qs_context_add_curve.2359132437744.8213.3.0:32109</v>
      </c>
      <c r="E8214" s="6" t="str">
        <f>_xll.QS.INSTRUMENT.SWAP("swap.8212",H8214,B8214,"USD","SOFR",I8214,J8214,0,"Actual360","Simple","Annual","Annual","Annual")</f>
        <v>QSObject:Swap:w1~swap.8212:3039</v>
      </c>
      <c r="F8214" s="6" t="str">
        <f>_xll.QS.TRADE.CREATE("trade.8212",E8214,A8214,"Receive")</f>
        <v>QSObject:SwapTrade:w1~trade.8212:23454</v>
      </c>
      <c r="G8214" s="3">
        <f>_xll.QS.EVALUATE(C8214,F8214)</f>
        <v>35047.707540531388</v>
      </c>
      <c r="H8214" s="5" t="s">
        <v>8254</v>
      </c>
      <c r="I8214" s="7">
        <v>1821200</v>
      </c>
      <c r="J8214" s="8">
        <v>3.6200000000000003E-2</v>
      </c>
    </row>
    <row r="8215" spans="1:10" x14ac:dyDescent="0.25">
      <c r="A8215" s="5" t="s">
        <v>8248</v>
      </c>
      <c r="B8215" s="5" t="s">
        <v>10082</v>
      </c>
      <c r="C8215" s="6" t="str">
        <f>_xll.QS.CONTEXT.CREATE("market.8213",A8215,"USD","SOFR")</f>
        <v>QSObject:PricingContext:w1~market.8213:3038</v>
      </c>
      <c r="D8215" s="6" t="str">
        <f>_xll.QS.CONTEXT.ADD.CURVE(C8215,"SOFR",$K$2:$K$7,$L$2:$L$7,,,"Actual360","LogLinear",TRUE)</f>
        <v>QSObject:ContextInput:w1~input.qs_context_add_curve.2359132437744.8214.3.0:32108</v>
      </c>
      <c r="E8215" s="6" t="str">
        <f>_xll.QS.INSTRUMENT.SWAP("swap.8213",H8215,B8215,"USD","SOFR",I8215,J8215,0,"Actual360","Simple","Annual","Annual","Annual")</f>
        <v>QSObject:Swap:w1~swap.8213:3037</v>
      </c>
      <c r="F8215" s="6" t="str">
        <f>_xll.QS.TRADE.CREATE("trade.8213",E8215,A8215,"Receive")</f>
        <v>QSObject:SwapTrade:w1~trade.8213:22947</v>
      </c>
      <c r="G8215" s="3">
        <f>_xll.QS.EVALUATE(C8215,F8215)</f>
        <v>36084.66198324276</v>
      </c>
      <c r="H8215" s="5" t="s">
        <v>8255</v>
      </c>
      <c r="I8215" s="7">
        <v>1821300</v>
      </c>
      <c r="J8215" s="8">
        <v>3.6300000000000013E-2</v>
      </c>
    </row>
    <row r="8216" spans="1:10" x14ac:dyDescent="0.25">
      <c r="A8216" s="5" t="s">
        <v>8249</v>
      </c>
      <c r="B8216" s="5" t="s">
        <v>10083</v>
      </c>
      <c r="C8216" s="6" t="str">
        <f>_xll.QS.CONTEXT.CREATE("market.8214",A8216,"USD","SOFR")</f>
        <v>QSObject:PricingContext:w1~market.8214:3036</v>
      </c>
      <c r="D8216" s="6" t="str">
        <f>_xll.QS.CONTEXT.ADD.CURVE(C8216,"SOFR",$K$2:$K$7,$L$2:$L$7,,,"Actual360","LogLinear",TRUE)</f>
        <v>QSObject:ContextInput:w1~input.qs_context_add_curve.2359132437744.8215.3.0:32107</v>
      </c>
      <c r="E8216" s="6" t="str">
        <f>_xll.QS.INSTRUMENT.SWAP("swap.8214",H8216,B8216,"USD","SOFR",I8216,J8216,0,"Actual360","Simple","Annual","Annual","Annual")</f>
        <v>QSObject:Swap:w1~swap.8214:3035</v>
      </c>
      <c r="F8216" s="6" t="str">
        <f>_xll.QS.TRADE.CREATE("trade.8214",E8216,A8216,"Receive")</f>
        <v>QSObject:SwapTrade:w1~trade.8214:31109</v>
      </c>
      <c r="G8216" s="3">
        <f>_xll.QS.EVALUATE(C8216,F8216)</f>
        <v>36943.720008751712</v>
      </c>
      <c r="H8216" s="5" t="s">
        <v>8256</v>
      </c>
      <c r="I8216" s="7">
        <v>1821400</v>
      </c>
      <c r="J8216" s="8">
        <v>3.6400000000000002E-2</v>
      </c>
    </row>
    <row r="8217" spans="1:10" x14ac:dyDescent="0.25">
      <c r="A8217" s="5" t="s">
        <v>8250</v>
      </c>
      <c r="B8217" s="5" t="s">
        <v>10084</v>
      </c>
      <c r="C8217" s="6" t="str">
        <f>_xll.QS.CONTEXT.CREATE("market.8215",A8217,"USD","SOFR")</f>
        <v>QSObject:PricingContext:w1~market.8215:3034</v>
      </c>
      <c r="D8217" s="6" t="str">
        <f>_xll.QS.CONTEXT.ADD.CURVE(C8217,"SOFR",$K$2:$K$7,$L$2:$L$7,,,"Actual360","LogLinear",TRUE)</f>
        <v>QSObject:ContextInput:w1~input.qs_context_add_curve.2359132437744.8216.3.0:32106</v>
      </c>
      <c r="E8217" s="6" t="str">
        <f>_xll.QS.INSTRUMENT.SWAP("swap.8215",H8217,B8217,"USD","SOFR",I8217,J8217,0,"Actual360","Simple","Annual","Annual","Annual")</f>
        <v>QSObject:Swap:w1~swap.8215:3033</v>
      </c>
      <c r="F8217" s="6" t="str">
        <f>_xll.QS.TRADE.CREATE("trade.8215",E8217,A8217,"Receive")</f>
        <v>QSObject:SwapTrade:w1~trade.8215:22946</v>
      </c>
      <c r="G8217" s="3">
        <f>_xll.QS.EVALUATE(C8217,F8217)</f>
        <v>37784.788957047967</v>
      </c>
      <c r="H8217" s="5" t="s">
        <v>8257</v>
      </c>
      <c r="I8217" s="7">
        <v>1821500</v>
      </c>
      <c r="J8217" s="8">
        <v>3.6499999999999998E-2</v>
      </c>
    </row>
    <row r="8218" spans="1:10" x14ac:dyDescent="0.25">
      <c r="A8218" s="5" t="s">
        <v>8251</v>
      </c>
      <c r="B8218" s="5" t="s">
        <v>10085</v>
      </c>
      <c r="C8218" s="6" t="str">
        <f>_xll.QS.CONTEXT.CREATE("market.8216",A8218,"USD","SOFR")</f>
        <v>QSObject:PricingContext:w1~market.8216:3032</v>
      </c>
      <c r="D8218" s="6" t="str">
        <f>_xll.QS.CONTEXT.ADD.CURVE(C8218,"SOFR",$K$2:$K$7,$L$2:$L$7,,,"Actual360","LogLinear",TRUE)</f>
        <v>QSObject:ContextInput:w1~input.qs_context_add_curve.2359132437744.8217.3.0:32105</v>
      </c>
      <c r="E8218" s="6" t="str">
        <f>_xll.QS.INSTRUMENT.SWAP("swap.8216",H8218,B8218,"USD","SOFR",I8218,J8218,0,"Actual360","Simple","Annual","Annual","Annual")</f>
        <v>QSObject:Swap:w1~swap.8216:3031</v>
      </c>
      <c r="F8218" s="6" t="str">
        <f>_xll.QS.TRADE.CREATE("trade.8216",E8218,A8218,"Receive")</f>
        <v>QSObject:SwapTrade:w1~trade.8216:23453</v>
      </c>
      <c r="G8218" s="3">
        <f>_xll.QS.EVALUATE(C8218,F8218)</f>
        <v>38504.677012002358</v>
      </c>
      <c r="H8218" s="5" t="s">
        <v>8258</v>
      </c>
      <c r="I8218" s="7">
        <v>1821600</v>
      </c>
      <c r="J8218" s="8">
        <v>3.6600000000000001E-2</v>
      </c>
    </row>
    <row r="8219" spans="1:10" x14ac:dyDescent="0.25">
      <c r="A8219" s="5" t="s">
        <v>8252</v>
      </c>
      <c r="B8219" s="5" t="s">
        <v>10086</v>
      </c>
      <c r="C8219" s="6" t="str">
        <f>_xll.QS.CONTEXT.CREATE("market.8217",A8219,"USD","SOFR")</f>
        <v>QSObject:PricingContext:w1~market.8217:3030</v>
      </c>
      <c r="D8219" s="6" t="str">
        <f>_xll.QS.CONTEXT.ADD.CURVE(C8219,"SOFR",$K$2:$K$7,$L$2:$L$7,,,"Actual360","LogLinear",TRUE)</f>
        <v>QSObject:ContextInput:w1~input.qs_context_add_curve.2359132437744.8218.3.0:32104</v>
      </c>
      <c r="E8219" s="6" t="str">
        <f>_xll.QS.INSTRUMENT.SWAP("swap.8217",H8219,B8219,"USD","SOFR",I8219,J8219,0,"Actual360","Simple","Annual","Annual","Annual")</f>
        <v>QSObject:Swap:w1~swap.8217:3029</v>
      </c>
      <c r="F8219" s="6" t="str">
        <f>_xll.QS.TRADE.CREATE("trade.8217",E8219,A8219,"Receive")</f>
        <v>QSObject:SwapTrade:w1~trade.8217:22945</v>
      </c>
      <c r="G8219" s="3">
        <f>_xll.QS.EVALUATE(C8219,F8219)</f>
        <v>39199.769479616189</v>
      </c>
      <c r="H8219" s="5" t="s">
        <v>8259</v>
      </c>
      <c r="I8219" s="7">
        <v>1821700</v>
      </c>
      <c r="J8219" s="8">
        <v>3.6700000000000003E-2</v>
      </c>
    </row>
    <row r="8220" spans="1:10" x14ac:dyDescent="0.25">
      <c r="A8220" s="5" t="s">
        <v>8253</v>
      </c>
      <c r="B8220" s="5" t="s">
        <v>10087</v>
      </c>
      <c r="C8220" s="6" t="str">
        <f>_xll.QS.CONTEXT.CREATE("market.8218",A8220,"USD","SOFR")</f>
        <v>QSObject:PricingContext:w1~market.8218:3028</v>
      </c>
      <c r="D8220" s="6" t="str">
        <f>_xll.QS.CONTEXT.ADD.CURVE(C8220,"SOFR",$K$2:$K$7,$L$2:$L$7,,,"Actual360","LogLinear",TRUE)</f>
        <v>QSObject:ContextInput:w1~input.qs_context_add_curve.2359132437744.8219.3.0:32103</v>
      </c>
      <c r="E8220" s="6" t="str">
        <f>_xll.QS.INSTRUMENT.SWAP("swap.8218",H8220,B8220,"USD","SOFR",I8220,J8220,0,"Actual360","Simple","Annual","Annual","Annual")</f>
        <v>QSObject:Swap:w1~swap.8218:3027</v>
      </c>
      <c r="F8220" s="6" t="str">
        <f>_xll.QS.TRADE.CREATE("trade.8218",E8220,A8220,"Receive")</f>
        <v>QSObject:SwapTrade:w1~trade.8218:22292</v>
      </c>
      <c r="G8220" s="3">
        <f>_xll.QS.EVALUATE(C8220,F8220)</f>
        <v>40123.07679735955</v>
      </c>
      <c r="H8220" s="5" t="s">
        <v>8260</v>
      </c>
      <c r="I8220" s="7">
        <v>1821800</v>
      </c>
      <c r="J8220" s="8">
        <v>3.6800000000000013E-2</v>
      </c>
    </row>
    <row r="8221" spans="1:10" x14ac:dyDescent="0.25">
      <c r="A8221" s="5" t="s">
        <v>8254</v>
      </c>
      <c r="B8221" s="5" t="s">
        <v>10088</v>
      </c>
      <c r="C8221" s="6" t="str">
        <f>_xll.QS.CONTEXT.CREATE("market.8219",A8221,"USD","SOFR")</f>
        <v>QSObject:PricingContext:w1~market.8219:3026</v>
      </c>
      <c r="D8221" s="6" t="str">
        <f>_xll.QS.CONTEXT.ADD.CURVE(C8221,"SOFR",$K$2:$K$7,$L$2:$L$7,,,"Actual360","LogLinear",TRUE)</f>
        <v>QSObject:ContextInput:w1~input.qs_context_add_curve.2359132437744.8220.3.0:32102</v>
      </c>
      <c r="E8221" s="6" t="str">
        <f>_xll.QS.INSTRUMENT.SWAP("swap.8219",H8221,B8221,"USD","SOFR",I8221,J8221,0,"Actual360","Simple","Annual","Annual","Annual")</f>
        <v>QSObject:Swap:w1~swap.8219:3025</v>
      </c>
      <c r="F8221" s="6" t="str">
        <f>_xll.QS.TRADE.CREATE("trade.8219",E8221,A8221,"Receive")</f>
        <v>QSObject:SwapTrade:w1~trade.8219:31108</v>
      </c>
      <c r="G8221" s="3">
        <f>_xll.QS.EVALUATE(C8221,F8221)</f>
        <v>41147.990890917346</v>
      </c>
      <c r="H8221" s="5" t="s">
        <v>8261</v>
      </c>
      <c r="I8221" s="7">
        <v>1821900</v>
      </c>
      <c r="J8221" s="8">
        <v>3.6900000000000002E-2</v>
      </c>
    </row>
    <row r="8222" spans="1:10" x14ac:dyDescent="0.25">
      <c r="A8222" s="5" t="s">
        <v>8255</v>
      </c>
      <c r="B8222" s="5" t="s">
        <v>10089</v>
      </c>
      <c r="C8222" s="6" t="str">
        <f>_xll.QS.CONTEXT.CREATE("market.8220",A8222,"USD","SOFR")</f>
        <v>QSObject:PricingContext:w1~market.8220:3024</v>
      </c>
      <c r="D8222" s="6" t="str">
        <f>_xll.QS.CONTEXT.ADD.CURVE(C8222,"SOFR",$K$2:$K$7,$L$2:$L$7,,,"Actual360","LogLinear",TRUE)</f>
        <v>QSObject:ContextInput:w1~input.qs_context_add_curve.2359132437744.8221.3.0:32101</v>
      </c>
      <c r="E8222" s="6" t="str">
        <f>_xll.QS.INSTRUMENT.SWAP("swap.8220",H8222,B8222,"USD","SOFR",I8222,J8222,0,"Actual360","Simple","Annual","Annual","Annual")</f>
        <v>QSObject:Swap:w1~swap.8220:3023</v>
      </c>
      <c r="F8222" s="6" t="str">
        <f>_xll.QS.TRADE.CREATE("trade.8220",E8222,A8222,"Receive")</f>
        <v>QSObject:SwapTrade:w1~trade.8220:22944</v>
      </c>
      <c r="G8222" s="3">
        <f>_xll.QS.EVALUATE(C8222,F8222)</f>
        <v>41917.973808361727</v>
      </c>
      <c r="H8222" s="5" t="s">
        <v>8262</v>
      </c>
      <c r="I8222" s="7">
        <v>1822000</v>
      </c>
      <c r="J8222" s="8">
        <v>3.7000000000000012E-2</v>
      </c>
    </row>
    <row r="8223" spans="1:10" x14ac:dyDescent="0.25">
      <c r="A8223" s="5" t="s">
        <v>8256</v>
      </c>
      <c r="B8223" s="5" t="s">
        <v>10090</v>
      </c>
      <c r="C8223" s="6" t="str">
        <f>_xll.QS.CONTEXT.CREATE("market.8221",A8223,"USD","SOFR")</f>
        <v>QSObject:PricingContext:w1~market.8221:3022</v>
      </c>
      <c r="D8223" s="6" t="str">
        <f>_xll.QS.CONTEXT.ADD.CURVE(C8223,"SOFR",$K$2:$K$7,$L$2:$L$7,,,"Actual360","LogLinear",TRUE)</f>
        <v>QSObject:ContextInput:w1~input.qs_context_add_curve.2359132437744.8222.3.0:32100</v>
      </c>
      <c r="E8223" s="6" t="str">
        <f>_xll.QS.INSTRUMENT.SWAP("swap.8221",H8223,B8223,"USD","SOFR",I8223,J8223,0,"Actual360","Simple","Annual","Annual","Annual")</f>
        <v>QSObject:Swap:w1~swap.8221:3021</v>
      </c>
      <c r="F8223" s="6" t="str">
        <f>_xll.QS.TRADE.CREATE("trade.8221",E8223,A8223,"Receive")</f>
        <v>QSObject:SwapTrade:w1~trade.8221:22291</v>
      </c>
      <c r="G8223" s="3">
        <f>_xll.QS.EVALUATE(C8223,F8223)</f>
        <v>42840.089854661004</v>
      </c>
      <c r="H8223" s="5" t="s">
        <v>8263</v>
      </c>
      <c r="I8223" s="7">
        <v>1822100</v>
      </c>
      <c r="J8223" s="8">
        <v>3.7100000000000001E-2</v>
      </c>
    </row>
    <row r="8224" spans="1:10" x14ac:dyDescent="0.25">
      <c r="A8224" s="5" t="s">
        <v>8257</v>
      </c>
      <c r="B8224" s="5" t="s">
        <v>10091</v>
      </c>
      <c r="C8224" s="6" t="str">
        <f>_xll.QS.CONTEXT.CREATE("market.8222",A8224,"USD","SOFR")</f>
        <v>QSObject:PricingContext:w1~market.8222:3020</v>
      </c>
      <c r="D8224" s="6" t="str">
        <f>_xll.QS.CONTEXT.ADD.CURVE(C8224,"SOFR",$K$2:$K$7,$L$2:$L$7,,,"Actual360","LogLinear",TRUE)</f>
        <v>QSObject:ContextInput:w1~input.qs_context_add_curve.2359132437744.8223.3.0:32099</v>
      </c>
      <c r="E8224" s="6" t="str">
        <f>_xll.QS.INSTRUMENT.SWAP("swap.8222",H8224,B8224,"USD","SOFR",I8224,J8224,0,"Actual360","Simple","Annual","Annual","Annual")</f>
        <v>QSObject:Swap:w1~swap.8222:3019</v>
      </c>
      <c r="F8224" s="6" t="str">
        <f>_xll.QS.TRADE.CREATE("trade.8222",E8224,A8224,"Receive")</f>
        <v>QSObject:SwapTrade:w1~trade.8222:31107</v>
      </c>
      <c r="G8224" s="3">
        <f>_xll.QS.EVALUATE(C8224,F8224)</f>
        <v>43612.538804009957</v>
      </c>
      <c r="H8224" s="5" t="s">
        <v>8264</v>
      </c>
      <c r="I8224" s="7">
        <v>1822200</v>
      </c>
      <c r="J8224" s="8">
        <v>3.7199999999999997E-2</v>
      </c>
    </row>
    <row r="8225" spans="1:10" x14ac:dyDescent="0.25">
      <c r="A8225" s="5" t="s">
        <v>8258</v>
      </c>
      <c r="B8225" s="5" t="s">
        <v>10092</v>
      </c>
      <c r="C8225" s="6" t="str">
        <f>_xll.QS.CONTEXT.CREATE("market.8223",A8225,"USD","SOFR")</f>
        <v>QSObject:PricingContext:w1~market.8223:3018</v>
      </c>
      <c r="D8225" s="6" t="str">
        <f>_xll.QS.CONTEXT.ADD.CURVE(C8225,"SOFR",$K$2:$K$7,$L$2:$L$7,,,"Actual360","LogLinear",TRUE)</f>
        <v>QSObject:ContextInput:w1~input.qs_context_add_curve.2359132437744.8224.3.0:32098</v>
      </c>
      <c r="E8225" s="6" t="str">
        <f>_xll.QS.INSTRUMENT.SWAP("swap.8223",H8225,B8225,"USD","SOFR",I8225,J8225,0,"Actual360","Simple","Annual","Annual","Annual")</f>
        <v>QSObject:Swap:w1~swap.8223:3017</v>
      </c>
      <c r="F8225" s="6" t="str">
        <f>_xll.QS.TRADE.CREATE("trade.8223",E8225,A8225,"Receive")</f>
        <v>QSObject:SwapTrade:w1~trade.8223:22290</v>
      </c>
      <c r="G8225" s="3">
        <f>_xll.QS.EVALUATE(C8225,F8225)</f>
        <v>44326.116202042533</v>
      </c>
      <c r="H8225" s="5" t="s">
        <v>8265</v>
      </c>
      <c r="I8225" s="7">
        <v>1822300</v>
      </c>
      <c r="J8225" s="8">
        <v>3.73E-2</v>
      </c>
    </row>
    <row r="8226" spans="1:10" x14ac:dyDescent="0.25">
      <c r="A8226" s="5" t="s">
        <v>8259</v>
      </c>
      <c r="B8226" s="5" t="s">
        <v>10093</v>
      </c>
      <c r="C8226" s="6" t="str">
        <f>_xll.QS.CONTEXT.CREATE("market.8224",A8226,"USD","SOFR")</f>
        <v>QSObject:PricingContext:w1~market.8224:3016</v>
      </c>
      <c r="D8226" s="6" t="str">
        <f>_xll.QS.CONTEXT.ADD.CURVE(C8226,"SOFR",$K$2:$K$7,$L$2:$L$7,,,"Actual360","LogLinear",TRUE)</f>
        <v>QSObject:ContextInput:w1~input.qs_context_add_curve.2359132437744.8225.3.0:32097</v>
      </c>
      <c r="E8226" s="6" t="str">
        <f>_xll.QS.INSTRUMENT.SWAP("swap.8224",H8226,B8226,"USD","SOFR",I8226,J8226,0,"Actual360","Simple","Annual","Annual","Annual")</f>
        <v>QSObject:Swap:w1~swap.8224:3015</v>
      </c>
      <c r="F8226" s="6" t="str">
        <f>_xll.QS.TRADE.CREATE("trade.8224",E8226,A8226,"Receive")</f>
        <v>QSObject:SwapTrade:w1~trade.8224:23452</v>
      </c>
      <c r="G8226" s="3">
        <f>_xll.QS.EVALUATE(C8226,F8226)</f>
        <v>45031.150593587103</v>
      </c>
      <c r="H8226" s="5" t="s">
        <v>8266</v>
      </c>
      <c r="I8226" s="7">
        <v>1822400</v>
      </c>
      <c r="J8226" s="8">
        <v>3.7400000000000003E-2</v>
      </c>
    </row>
    <row r="8227" spans="1:10" x14ac:dyDescent="0.25">
      <c r="A8227" s="5" t="s">
        <v>8260</v>
      </c>
      <c r="B8227" s="5" t="s">
        <v>10094</v>
      </c>
      <c r="C8227" s="6" t="str">
        <f>_xll.QS.CONTEXT.CREATE("market.8225",A8227,"USD","SOFR")</f>
        <v>QSObject:PricingContext:w1~market.8225:3014</v>
      </c>
      <c r="D8227" s="6" t="str">
        <f>_xll.QS.CONTEXT.ADD.CURVE(C8227,"SOFR",$K$2:$K$7,$L$2:$L$7,,,"Actual360","LogLinear",TRUE)</f>
        <v>QSObject:ContextInput:w1~input.qs_context_add_curve.2359132437744.8226.3.0:32096</v>
      </c>
      <c r="E8227" s="6" t="str">
        <f>_xll.QS.INSTRUMENT.SWAP("swap.8225",H8227,B8227,"USD","SOFR",I8227,J8227,0,"Actual360","Simple","Annual","Annual","Annual")</f>
        <v>QSObject:Swap:w1~swap.8225:3013</v>
      </c>
      <c r="F8227" s="6" t="str">
        <f>_xll.QS.TRADE.CREATE("trade.8225",E8227,A8227,"Receive")</f>
        <v>QSObject:SwapTrade:w1~trade.8225:22289</v>
      </c>
      <c r="G8227" s="3">
        <f>_xll.QS.EVALUATE(C8227,F8227)</f>
        <v>45951.146331288917</v>
      </c>
      <c r="H8227" s="5" t="s">
        <v>8267</v>
      </c>
      <c r="I8227" s="7">
        <v>1822500</v>
      </c>
      <c r="J8227" s="8">
        <v>3.7500000000000012E-2</v>
      </c>
    </row>
    <row r="8228" spans="1:10" x14ac:dyDescent="0.25">
      <c r="A8228" s="5" t="s">
        <v>8261</v>
      </c>
      <c r="B8228" s="5" t="s">
        <v>10095</v>
      </c>
      <c r="C8228" s="6" t="str">
        <f>_xll.QS.CONTEXT.CREATE("market.8226",A8228,"USD","SOFR")</f>
        <v>QSObject:PricingContext:w1~market.8226:3012</v>
      </c>
      <c r="D8228" s="6" t="str">
        <f>_xll.QS.CONTEXT.ADD.CURVE(C8228,"SOFR",$K$2:$K$7,$L$2:$L$7,,,"Actual360","LogLinear",TRUE)</f>
        <v>QSObject:ContextInput:w1~input.qs_context_add_curve.2359132437744.8227.3.0:32095</v>
      </c>
      <c r="E8228" s="6" t="str">
        <f>_xll.QS.INSTRUMENT.SWAP("swap.8226",H8228,B8228,"USD","SOFR",I8228,J8228,0,"Actual360","Simple","Annual","Annual","Annual")</f>
        <v>QSObject:Swap:w1~swap.8226:3011</v>
      </c>
      <c r="F8228" s="6" t="str">
        <f>_xll.QS.TRADE.CREATE("trade.8226",E8228,A8228,"Receive")</f>
        <v>QSObject:SwapTrade:w1~trade.8226:31106</v>
      </c>
      <c r="G8228" s="3">
        <f>_xll.QS.EVALUATE(C8228,F8228)</f>
        <v>46841.450659742644</v>
      </c>
      <c r="H8228" s="5" t="s">
        <v>8268</v>
      </c>
      <c r="I8228" s="7">
        <v>1822600</v>
      </c>
      <c r="J8228" s="8">
        <v>3.7600000000000001E-2</v>
      </c>
    </row>
    <row r="8229" spans="1:10" x14ac:dyDescent="0.25">
      <c r="A8229" s="5" t="s">
        <v>8262</v>
      </c>
      <c r="B8229" s="5" t="s">
        <v>10096</v>
      </c>
      <c r="C8229" s="6" t="str">
        <f>_xll.QS.CONTEXT.CREATE("market.8227",A8229,"USD","SOFR")</f>
        <v>QSObject:PricingContext:w1~market.8227:3010</v>
      </c>
      <c r="D8229" s="6" t="str">
        <f>_xll.QS.CONTEXT.ADD.CURVE(C8229,"SOFR",$K$2:$K$7,$L$2:$L$7,,,"Actual360","LogLinear",TRUE)</f>
        <v>QSObject:ContextInput:w1~input.qs_context_add_curve.2359132437744.8228.3.0:32094</v>
      </c>
      <c r="E8229" s="6" t="str">
        <f>_xll.QS.INSTRUMENT.SWAP("swap.8227",H8229,B8229,"USD","SOFR",I8229,J8229,0,"Actual360","Simple","Annual","Annual","Annual")</f>
        <v>QSObject:Swap:w1~swap.8227:3009</v>
      </c>
      <c r="F8229" s="6" t="str">
        <f>_xll.QS.TRADE.CREATE("trade.8227",E8229,A8229,"Receive")</f>
        <v>QSObject:SwapTrade:w1~trade.8227:22943</v>
      </c>
      <c r="G8229" s="3">
        <f>_xll.QS.EVALUATE(C8229,F8229)</f>
        <v>47817.70340623409</v>
      </c>
      <c r="H8229" s="5" t="s">
        <v>8269</v>
      </c>
      <c r="I8229" s="7">
        <v>1822700</v>
      </c>
      <c r="J8229" s="8">
        <v>3.7699999999999997E-2</v>
      </c>
    </row>
    <row r="8230" spans="1:10" x14ac:dyDescent="0.25">
      <c r="A8230" s="5" t="s">
        <v>8263</v>
      </c>
      <c r="B8230" s="5" t="s">
        <v>10097</v>
      </c>
      <c r="C8230" s="6" t="str">
        <f>_xll.QS.CONTEXT.CREATE("market.8228",A8230,"USD","SOFR")</f>
        <v>QSObject:PricingContext:w1~market.8228:3008</v>
      </c>
      <c r="D8230" s="6" t="str">
        <f>_xll.QS.CONTEXT.ADD.CURVE(C8230,"SOFR",$K$2:$K$7,$L$2:$L$7,,,"Actual360","LogLinear",TRUE)</f>
        <v>QSObject:ContextInput:w1~input.qs_context_add_curve.2359132437744.8229.3.0:32093</v>
      </c>
      <c r="E8230" s="6" t="str">
        <f>_xll.QS.INSTRUMENT.SWAP("swap.8228",H8230,B8230,"USD","SOFR",I8230,J8230,0,"Actual360","Simple","Annual","Annual","Annual")</f>
        <v>QSObject:Swap:w1~swap.8228:3007</v>
      </c>
      <c r="F8230" s="6" t="str">
        <f>_xll.QS.TRADE.CREATE("trade.8228",E8230,A8230,"Receive")</f>
        <v>QSObject:SwapTrade:w1~trade.8228:22288</v>
      </c>
      <c r="G8230" s="3">
        <f>_xll.QS.EVALUATE(C8230,F8230)</f>
        <v>48740.563175371521</v>
      </c>
      <c r="H8230" s="5" t="s">
        <v>8270</v>
      </c>
      <c r="I8230" s="7">
        <v>1822800</v>
      </c>
      <c r="J8230" s="8">
        <v>3.78E-2</v>
      </c>
    </row>
    <row r="8231" spans="1:10" x14ac:dyDescent="0.25">
      <c r="A8231" s="5" t="s">
        <v>8264</v>
      </c>
      <c r="B8231" s="5" t="s">
        <v>10098</v>
      </c>
      <c r="C8231" s="6" t="str">
        <f>_xll.QS.CONTEXT.CREATE("market.8229",A8231,"USD","SOFR")</f>
        <v>QSObject:PricingContext:w1~market.8229:3006</v>
      </c>
      <c r="D8231" s="6" t="str">
        <f>_xll.QS.CONTEXT.ADD.CURVE(C8231,"SOFR",$K$2:$K$7,$L$2:$L$7,,,"Actual360","LogLinear",TRUE)</f>
        <v>QSObject:ContextInput:w1~input.qs_context_add_curve.2359132437744.8230.3.0:32092</v>
      </c>
      <c r="E8231" s="6" t="str">
        <f>_xll.QS.INSTRUMENT.SWAP("swap.8229",H8231,B8231,"USD","SOFR",I8231,J8231,0,"Actual360","Simple","Annual","Annual","Annual")</f>
        <v>QSObject:Swap:w1~swap.8229:3005</v>
      </c>
      <c r="F8231" s="6" t="str">
        <f>_xll.QS.TRADE.CREATE("trade.8229",E8231,A8231,"Receive")</f>
        <v>QSObject:SwapTrade:w1~trade.8229:22942</v>
      </c>
      <c r="G8231" s="3">
        <f>_xll.QS.EVALUATE(C8231,F8231)</f>
        <v>49513.567172046998</v>
      </c>
      <c r="H8231" s="5" t="s">
        <v>8271</v>
      </c>
      <c r="I8231" s="7">
        <v>1822900</v>
      </c>
      <c r="J8231" s="8">
        <v>3.7900000000000003E-2</v>
      </c>
    </row>
    <row r="8232" spans="1:10" x14ac:dyDescent="0.25">
      <c r="A8232" s="5" t="s">
        <v>8265</v>
      </c>
      <c r="B8232" s="5" t="s">
        <v>10099</v>
      </c>
      <c r="C8232" s="6" t="str">
        <f>_xll.QS.CONTEXT.CREATE("market.8230",A8232,"USD","SOFR")</f>
        <v>QSObject:PricingContext:w1~market.8230:3004</v>
      </c>
      <c r="D8232" s="6" t="str">
        <f>_xll.QS.CONTEXT.ADD.CURVE(C8232,"SOFR",$K$2:$K$7,$L$2:$L$7,,,"Actual360","LogLinear",TRUE)</f>
        <v>QSObject:ContextInput:w1~input.qs_context_add_curve.2359132437744.8231.3.0:32091</v>
      </c>
      <c r="E8232" s="6" t="str">
        <f>_xll.QS.INSTRUMENT.SWAP("swap.8230",H8232,B8232,"USD","SOFR",I8232,J8232,0,"Actual360","Simple","Annual","Annual","Annual")</f>
        <v>QSObject:Swap:w1~swap.8230:3003</v>
      </c>
      <c r="F8232" s="6" t="str">
        <f>_xll.QS.TRADE.CREATE("trade.8230",E8232,A8232,"Receive")</f>
        <v>QSObject:SwapTrade:w1~trade.8230:23451</v>
      </c>
      <c r="G8232" s="3">
        <f>_xll.QS.EVALUATE(C8232,F8232)</f>
        <v>50220.810813053577</v>
      </c>
      <c r="H8232" s="5" t="s">
        <v>8272</v>
      </c>
      <c r="I8232" s="7">
        <v>1823000</v>
      </c>
      <c r="J8232" s="8">
        <v>3.8000000000000013E-2</v>
      </c>
    </row>
    <row r="8233" spans="1:10" x14ac:dyDescent="0.25">
      <c r="A8233" s="5" t="s">
        <v>8266</v>
      </c>
      <c r="B8233" s="5" t="s">
        <v>10100</v>
      </c>
      <c r="C8233" s="6" t="str">
        <f>_xll.QS.CONTEXT.CREATE("market.8231",A8233,"USD","SOFR")</f>
        <v>QSObject:PricingContext:w1~market.8231:3002</v>
      </c>
      <c r="D8233" s="6" t="str">
        <f>_xll.QS.CONTEXT.ADD.CURVE(C8233,"SOFR",$K$2:$K$7,$L$2:$L$7,,,"Actual360","LogLinear",TRUE)</f>
        <v>QSObject:ContextInput:w1~input.qs_context_add_curve.2359132437744.8232.3.0:32090</v>
      </c>
      <c r="E8233" s="6" t="str">
        <f>_xll.QS.INSTRUMENT.SWAP("swap.8231",H8233,B8233,"USD","SOFR",I8233,J8233,0,"Actual360","Simple","Annual","Annual","Annual")</f>
        <v>QSObject:Swap:w1~swap.8231:3001</v>
      </c>
      <c r="F8233" s="6" t="str">
        <f>_xll.QS.TRADE.CREATE("trade.8231",E8233,A8233,"Receive")</f>
        <v>QSObject:SwapTrade:w1~trade.8231:31105</v>
      </c>
      <c r="G8233" s="3">
        <f>_xll.QS.EVALUATE(C8233,F8233)</f>
        <v>50935.561056324994</v>
      </c>
      <c r="H8233" s="5" t="s">
        <v>8273</v>
      </c>
      <c r="I8233" s="7">
        <v>1823100</v>
      </c>
      <c r="J8233" s="8">
        <v>3.8100000000000002E-2</v>
      </c>
    </row>
    <row r="8234" spans="1:10" x14ac:dyDescent="0.25">
      <c r="A8234" s="5" t="s">
        <v>8267</v>
      </c>
      <c r="B8234" s="5" t="s">
        <v>10101</v>
      </c>
      <c r="C8234" s="6" t="str">
        <f>_xll.QS.CONTEXT.CREATE("market.8232",A8234,"USD","SOFR")</f>
        <v>QSObject:PricingContext:w1~market.8232:3000</v>
      </c>
      <c r="D8234" s="6" t="str">
        <f>_xll.QS.CONTEXT.ADD.CURVE(C8234,"SOFR",$K$2:$K$7,$L$2:$L$7,,,"Actual360","LogLinear",TRUE)</f>
        <v>QSObject:ContextInput:w1~input.qs_context_add_curve.2359132437744.8233.3.0:32089</v>
      </c>
      <c r="E8234" s="6" t="str">
        <f>_xll.QS.INSTRUMENT.SWAP("swap.8232",H8234,B8234,"USD","SOFR",I8234,J8234,0,"Actual360","Simple","Annual","Annual","Annual")</f>
        <v>QSObject:Swap:w1~swap.8232:2999</v>
      </c>
      <c r="F8234" s="6" t="str">
        <f>_xll.QS.TRADE.CREATE("trade.8232",E8234,A8234,"Receive")</f>
        <v>QSObject:SwapTrade:w1~trade.8232:23450</v>
      </c>
      <c r="G8234" s="3">
        <f>_xll.QS.EVALUATE(C8234,F8234)</f>
        <v>51856.802225342923</v>
      </c>
      <c r="H8234" s="5" t="s">
        <v>8274</v>
      </c>
      <c r="I8234" s="7">
        <v>1823200</v>
      </c>
      <c r="J8234" s="8">
        <v>3.8199999999999998E-2</v>
      </c>
    </row>
    <row r="8235" spans="1:10" x14ac:dyDescent="0.25">
      <c r="A8235" s="5" t="s">
        <v>8268</v>
      </c>
      <c r="B8235" s="5" t="s">
        <v>10102</v>
      </c>
      <c r="C8235" s="6" t="str">
        <f>_xll.QS.CONTEXT.CREATE("market.8233",A8235,"USD","SOFR")</f>
        <v>QSObject:PricingContext:w1~market.8233:2998</v>
      </c>
      <c r="D8235" s="6" t="str">
        <f>_xll.QS.CONTEXT.ADD.CURVE(C8235,"SOFR",$K$2:$K$7,$L$2:$L$7,,,"Actual360","LogLinear",TRUE)</f>
        <v>QSObject:ContextInput:w1~input.qs_context_add_curve.2359132437744.8234.3.0:32088</v>
      </c>
      <c r="E8235" s="6" t="str">
        <f>_xll.QS.INSTRUMENT.SWAP("swap.8233",H8235,B8235,"USD","SOFR",I8235,J8235,0,"Actual360","Simple","Annual","Annual","Annual")</f>
        <v>QSObject:Swap:w1~swap.8233:2997</v>
      </c>
      <c r="F8235" s="6" t="str">
        <f>_xll.QS.TRADE.CREATE("trade.8233",E8235,A8235,"Receive")</f>
        <v>QSObject:SwapTrade:w1~trade.8233:22941</v>
      </c>
      <c r="G8235" s="3">
        <f>_xll.QS.EVALUATE(C8235,F8235)</f>
        <v>52744.915353836303</v>
      </c>
      <c r="H8235" s="5" t="s">
        <v>8275</v>
      </c>
      <c r="I8235" s="7">
        <v>1823300</v>
      </c>
      <c r="J8235" s="8">
        <v>3.8300000000000001E-2</v>
      </c>
    </row>
    <row r="8236" spans="1:10" x14ac:dyDescent="0.25">
      <c r="A8236" s="5" t="s">
        <v>8269</v>
      </c>
      <c r="B8236" s="5" t="s">
        <v>10103</v>
      </c>
      <c r="C8236" s="6" t="str">
        <f>_xll.QS.CONTEXT.CREATE("market.8234",A8236,"USD","SOFR")</f>
        <v>QSObject:PricingContext:w1~market.8234:2996</v>
      </c>
      <c r="D8236" s="6" t="str">
        <f>_xll.QS.CONTEXT.ADD.CURVE(C8236,"SOFR",$K$2:$K$7,$L$2:$L$7,,,"Actual360","LogLinear",TRUE)</f>
        <v>QSObject:ContextInput:w1~input.qs_context_add_curve.2359132437744.8235.3.0:32087</v>
      </c>
      <c r="E8236" s="6" t="str">
        <f>_xll.QS.INSTRUMENT.SWAP("swap.8234",H8236,B8236,"USD","SOFR",I8236,J8236,0,"Actual360","Simple","Annual","Annual","Annual")</f>
        <v>QSObject:Swap:w1~swap.8234:2995</v>
      </c>
      <c r="F8236" s="6" t="str">
        <f>_xll.QS.TRADE.CREATE("trade.8234",E8236,A8236,"Receive")</f>
        <v>QSObject:SwapTrade:w1~trade.8234:22287</v>
      </c>
      <c r="G8236" s="3">
        <f>_xll.QS.EVALUATE(C8236,F8236)</f>
        <v>53721.952165239287</v>
      </c>
      <c r="H8236" s="5" t="s">
        <v>8276</v>
      </c>
      <c r="I8236" s="7">
        <v>1823400</v>
      </c>
      <c r="J8236" s="8">
        <v>3.8399999999999997E-2</v>
      </c>
    </row>
    <row r="8237" spans="1:10" x14ac:dyDescent="0.25">
      <c r="A8237" s="5" t="s">
        <v>8270</v>
      </c>
      <c r="B8237" s="5" t="s">
        <v>10104</v>
      </c>
      <c r="C8237" s="6" t="str">
        <f>_xll.QS.CONTEXT.CREATE("market.8235",A8237,"USD","SOFR")</f>
        <v>QSObject:PricingContext:w1~market.8235:2994</v>
      </c>
      <c r="D8237" s="6" t="str">
        <f>_xll.QS.CONTEXT.ADD.CURVE(C8237,"SOFR",$K$2:$K$7,$L$2:$L$7,,,"Actual360","LogLinear",TRUE)</f>
        <v>QSObject:ContextInput:w1~input.qs_context_add_curve.2359132437744.8236.3.0:32086</v>
      </c>
      <c r="E8237" s="6" t="str">
        <f>_xll.QS.INSTRUMENT.SWAP("swap.8235",H8237,B8237,"USD","SOFR",I8237,J8237,0,"Actual360","Simple","Annual","Annual","Annual")</f>
        <v>QSObject:Swap:w1~swap.8235:2993</v>
      </c>
      <c r="F8237" s="6" t="str">
        <f>_xll.QS.TRADE.CREATE("trade.8235",E8237,A8237,"Receive")</f>
        <v>QSObject:SwapTrade:w1~trade.8235:22940</v>
      </c>
      <c r="G8237" s="3">
        <f>_xll.QS.EVALUATE(C8237,F8237)</f>
        <v>54645.555709102919</v>
      </c>
      <c r="H8237" s="5" t="s">
        <v>8277</v>
      </c>
      <c r="I8237" s="7">
        <v>1823500</v>
      </c>
      <c r="J8237" s="8">
        <v>3.8500000000000013E-2</v>
      </c>
    </row>
    <row r="8238" spans="1:10" x14ac:dyDescent="0.25">
      <c r="A8238" s="5" t="s">
        <v>8271</v>
      </c>
      <c r="B8238" s="5" t="s">
        <v>10105</v>
      </c>
      <c r="C8238" s="6" t="str">
        <f>_xll.QS.CONTEXT.CREATE("market.8236",A8238,"USD","SOFR")</f>
        <v>QSObject:PricingContext:w1~market.8236:2992</v>
      </c>
      <c r="D8238" s="6" t="str">
        <f>_xll.QS.CONTEXT.ADD.CURVE(C8238,"SOFR",$K$2:$K$7,$L$2:$L$7,,,"Actual360","LogLinear",TRUE)</f>
        <v>QSObject:ContextInput:w1~input.qs_context_add_curve.2359132437744.8237.3.0:32085</v>
      </c>
      <c r="E8238" s="6" t="str">
        <f>_xll.QS.INSTRUMENT.SWAP("swap.8236",H8238,B8238,"USD","SOFR",I8238,J8238,0,"Actual360","Simple","Annual","Annual","Annual")</f>
        <v>QSObject:Swap:w1~swap.8236:2991</v>
      </c>
      <c r="F8238" s="6" t="str">
        <f>_xll.QS.TRADE.CREATE("trade.8236",E8238,A8238,"Receive")</f>
        <v>QSObject:SwapTrade:w1~trade.8236:23449</v>
      </c>
      <c r="G8238" s="3">
        <f>_xll.QS.EVALUATE(C8238,F8238)</f>
        <v>55419.114704269123</v>
      </c>
      <c r="H8238" s="5" t="s">
        <v>8278</v>
      </c>
      <c r="I8238" s="7">
        <v>1823600</v>
      </c>
      <c r="J8238" s="8">
        <v>3.8600000000000002E-2</v>
      </c>
    </row>
    <row r="8239" spans="1:10" x14ac:dyDescent="0.25">
      <c r="A8239" s="5" t="s">
        <v>8272</v>
      </c>
      <c r="B8239" s="5" t="s">
        <v>10106</v>
      </c>
      <c r="C8239" s="6" t="str">
        <f>_xll.QS.CONTEXT.CREATE("market.8237",A8239,"USD","SOFR")</f>
        <v>QSObject:PricingContext:w1~market.8237:2990</v>
      </c>
      <c r="D8239" s="6" t="str">
        <f>_xll.QS.CONTEXT.ADD.CURVE(C8239,"SOFR",$K$2:$K$7,$L$2:$L$7,,,"Actual360","LogLinear",TRUE)</f>
        <v>QSObject:ContextInput:w1~input.qs_context_add_curve.2359132437744.8238.3.0:32084</v>
      </c>
      <c r="E8239" s="6" t="str">
        <f>_xll.QS.INSTRUMENT.SWAP("swap.8237",H8239,B8239,"USD","SOFR",I8239,J8239,0,"Actual360","Simple","Annual","Annual","Annual")</f>
        <v>QSObject:Swap:w1~swap.8237:2989</v>
      </c>
      <c r="F8239" s="6" t="str">
        <f>_xll.QS.TRADE.CREATE("trade.8237",E8239,A8239,"Receive")</f>
        <v>QSObject:SwapTrade:w1~trade.8237:31104</v>
      </c>
      <c r="G8239" s="3">
        <f>_xll.QS.EVALUATE(C8239,F8239)</f>
        <v>56120.019266451804</v>
      </c>
      <c r="H8239" s="5" t="s">
        <v>8279</v>
      </c>
      <c r="I8239" s="7">
        <v>1823700</v>
      </c>
      <c r="J8239" s="8">
        <v>3.8700000000000012E-2</v>
      </c>
    </row>
    <row r="8240" spans="1:10" x14ac:dyDescent="0.25">
      <c r="A8240" s="5" t="s">
        <v>8273</v>
      </c>
      <c r="B8240" s="5" t="s">
        <v>10107</v>
      </c>
      <c r="C8240" s="6" t="str">
        <f>_xll.QS.CONTEXT.CREATE("market.8238",A8240,"USD","SOFR")</f>
        <v>QSObject:PricingContext:w1~market.8238:2988</v>
      </c>
      <c r="D8240" s="6" t="str">
        <f>_xll.QS.CONTEXT.ADD.CURVE(C8240,"SOFR",$K$2:$K$7,$L$2:$L$7,,,"Actual360","LogLinear",TRUE)</f>
        <v>QSObject:ContextInput:w1~input.qs_context_add_curve.2359132437744.8239.3.0:32083</v>
      </c>
      <c r="E8240" s="6" t="str">
        <f>_xll.QS.INSTRUMENT.SWAP("swap.8238",H8240,B8240,"USD","SOFR",I8240,J8240,0,"Actual360","Simple","Annual","Annual","Annual")</f>
        <v>QSObject:Swap:w1~swap.8238:2987</v>
      </c>
      <c r="F8240" s="6" t="str">
        <f>_xll.QS.TRADE.CREATE("trade.8238",E8240,A8240,"Receive")</f>
        <v>QSObject:SwapTrade:w1~trade.8238:22286</v>
      </c>
      <c r="G8240" s="3">
        <f>_xll.QS.EVALUATE(C8240,F8240)</f>
        <v>56844.492367638246</v>
      </c>
      <c r="H8240" s="5" t="s">
        <v>8280</v>
      </c>
      <c r="I8240" s="7">
        <v>1823800</v>
      </c>
      <c r="J8240" s="8">
        <v>3.8800000000000001E-2</v>
      </c>
    </row>
    <row r="8241" spans="1:10" x14ac:dyDescent="0.25">
      <c r="A8241" s="5" t="s">
        <v>8274</v>
      </c>
      <c r="B8241" s="5" t="s">
        <v>10108</v>
      </c>
      <c r="C8241" s="6" t="str">
        <f>_xll.QS.CONTEXT.CREATE("market.8239",A8241,"USD","SOFR")</f>
        <v>QSObject:PricingContext:w1~market.8239:2986</v>
      </c>
      <c r="D8241" s="6" t="str">
        <f>_xll.QS.CONTEXT.ADD.CURVE(C8241,"SOFR",$K$2:$K$7,$L$2:$L$7,,,"Actual360","LogLinear",TRUE)</f>
        <v>QSObject:ContextInput:w1~input.qs_context_add_curve.2359132437744.8240.3.0:32082</v>
      </c>
      <c r="E8241" s="6" t="str">
        <f>_xll.QS.INSTRUMENT.SWAP("swap.8239",H8241,B8241,"USD","SOFR",I8241,J8241,0,"Actual360","Simple","Annual","Annual","Annual")</f>
        <v>QSObject:Swap:w1~swap.8239:2985</v>
      </c>
      <c r="F8241" s="6" t="str">
        <f>_xll.QS.TRADE.CREATE("trade.8239",E8241,A8241,"Receive")</f>
        <v>QSObject:SwapTrade:w1~trade.8239:22939</v>
      </c>
      <c r="G8241" s="3">
        <f>_xll.QS.EVALUATE(C8241,F8241)</f>
        <v>57767.20381271869</v>
      </c>
      <c r="H8241" s="5" t="s">
        <v>8281</v>
      </c>
      <c r="I8241" s="7">
        <v>1823900</v>
      </c>
      <c r="J8241" s="8">
        <v>3.8899999999999997E-2</v>
      </c>
    </row>
    <row r="8242" spans="1:10" x14ac:dyDescent="0.25">
      <c r="A8242" s="5" t="s">
        <v>8275</v>
      </c>
      <c r="B8242" s="5" t="s">
        <v>10109</v>
      </c>
      <c r="C8242" s="6" t="str">
        <f>_xll.QS.CONTEXT.CREATE("market.8240",A8242,"USD","SOFR")</f>
        <v>QSObject:PricingContext:w1~market.8240:2984</v>
      </c>
      <c r="D8242" s="6" t="str">
        <f>_xll.QS.CONTEXT.ADD.CURVE(C8242,"SOFR",$K$2:$K$7,$L$2:$L$7,,,"Actual360","LogLinear",TRUE)</f>
        <v>QSObject:ContextInput:w1~input.qs_context_add_curve.2359132437744.8241.3.0:32081</v>
      </c>
      <c r="E8242" s="6" t="str">
        <f>_xll.QS.INSTRUMENT.SWAP("swap.8240",H8242,B8242,"USD","SOFR",I8242,J8242,0,"Actual360","Simple","Annual","Annual","Annual")</f>
        <v>QSObject:Swap:w1~swap.8240:2983</v>
      </c>
      <c r="F8242" s="6" t="str">
        <f>_xll.QS.TRADE.CREATE("trade.8240",E8242,A8242,"Receive")</f>
        <v>QSObject:SwapTrade:w1~trade.8240:31103</v>
      </c>
      <c r="G8242" s="3">
        <f>_xll.QS.EVALUATE(C8242,F8242)</f>
        <v>58653.099658014384</v>
      </c>
      <c r="H8242" s="5" t="s">
        <v>8282</v>
      </c>
      <c r="I8242" s="7">
        <v>1824000</v>
      </c>
      <c r="J8242" s="8">
        <v>3.9000000000000007E-2</v>
      </c>
    </row>
    <row r="8243" spans="1:10" x14ac:dyDescent="0.25">
      <c r="A8243" s="5" t="s">
        <v>8276</v>
      </c>
      <c r="B8243" s="5" t="s">
        <v>10110</v>
      </c>
      <c r="C8243" s="6" t="str">
        <f>_xll.QS.CONTEXT.CREATE("market.8241",A8243,"USD","SOFR")</f>
        <v>QSObject:PricingContext:w1~market.8241:2982</v>
      </c>
      <c r="D8243" s="6" t="str">
        <f>_xll.QS.CONTEXT.ADD.CURVE(C8243,"SOFR",$K$2:$K$7,$L$2:$L$7,,,"Actual360","LogLinear",TRUE)</f>
        <v>QSObject:ContextInput:w1~input.qs_context_add_curve.2359132437744.8242.3.0:32080</v>
      </c>
      <c r="E8243" s="6" t="str">
        <f>_xll.QS.INSTRUMENT.SWAP("swap.8241",H8243,B8243,"USD","SOFR",I8243,J8243,0,"Actual360","Simple","Annual","Annual","Annual")</f>
        <v>QSObject:Swap:w1~swap.8241:2981</v>
      </c>
      <c r="F8243" s="6" t="str">
        <f>_xll.QS.TRADE.CREATE("trade.8241",E8243,A8243,"Receive")</f>
        <v>QSObject:SwapTrade:w1~trade.8241:23448</v>
      </c>
      <c r="G8243" s="3">
        <f>_xll.QS.EVALUATE(C8243,F8243)</f>
        <v>59630.72008537731</v>
      </c>
      <c r="H8243" s="5" t="s">
        <v>8283</v>
      </c>
      <c r="I8243" s="7">
        <v>1824100</v>
      </c>
      <c r="J8243" s="8">
        <v>3.9100000000000003E-2</v>
      </c>
    </row>
    <row r="8244" spans="1:10" x14ac:dyDescent="0.25">
      <c r="A8244" s="5" t="s">
        <v>8277</v>
      </c>
      <c r="B8244" s="5" t="s">
        <v>10111</v>
      </c>
      <c r="C8244" s="6" t="str">
        <f>_xll.QS.CONTEXT.CREATE("market.8242",A8244,"USD","SOFR")</f>
        <v>QSObject:PricingContext:w1~market.8242:2980</v>
      </c>
      <c r="D8244" s="6" t="str">
        <f>_xll.QS.CONTEXT.ADD.CURVE(C8244,"SOFR",$K$2:$K$7,$L$2:$L$7,,,"Actual360","LogLinear",TRUE)</f>
        <v>QSObject:ContextInput:w1~input.qs_context_add_curve.2359132437744.8243.3.0:32079</v>
      </c>
      <c r="E8244" s="6" t="str">
        <f>_xll.QS.INSTRUMENT.SWAP("swap.8242",H8244,B8244,"USD","SOFR",I8244,J8244,0,"Actual360","Simple","Annual","Annual","Annual")</f>
        <v>QSObject:Swap:w1~swap.8242:2979</v>
      </c>
      <c r="F8244" s="6" t="str">
        <f>_xll.QS.TRADE.CREATE("trade.8242",E8244,A8244,"Receive")</f>
        <v>QSObject:SwapTrade:w1~trade.8242:31102</v>
      </c>
      <c r="G8244" s="3">
        <f>_xll.QS.EVALUATE(C8244,F8244)</f>
        <v>60554.810478264058</v>
      </c>
      <c r="H8244" s="5" t="s">
        <v>8284</v>
      </c>
      <c r="I8244" s="7">
        <v>1824200</v>
      </c>
      <c r="J8244" s="8">
        <v>3.9200000000000013E-2</v>
      </c>
    </row>
    <row r="8245" spans="1:10" x14ac:dyDescent="0.25">
      <c r="A8245" s="5" t="s">
        <v>8278</v>
      </c>
      <c r="B8245" s="5" t="s">
        <v>10112</v>
      </c>
      <c r="C8245" s="6" t="str">
        <f>_xll.QS.CONTEXT.CREATE("market.8243",A8245,"USD","SOFR")</f>
        <v>QSObject:PricingContext:w1~market.8243:2978</v>
      </c>
      <c r="D8245" s="6" t="str">
        <f>_xll.QS.CONTEXT.ADD.CURVE(C8245,"SOFR",$K$2:$K$7,$L$2:$L$7,,,"Actual360","LogLinear",TRUE)</f>
        <v>QSObject:ContextInput:w1~input.qs_context_add_curve.2359132437744.8244.3.0:32078</v>
      </c>
      <c r="E8245" s="6" t="str">
        <f>_xll.QS.INSTRUMENT.SWAP("swap.8243",H8245,B8245,"USD","SOFR",I8245,J8245,0,"Actual360","Simple","Annual","Annual","Annual")</f>
        <v>QSObject:Swap:w1~swap.8243:2977</v>
      </c>
      <c r="F8245" s="6" t="str">
        <f>_xll.QS.TRADE.CREATE("trade.8243",E8245,A8245,"Receive")</f>
        <v>QSObject:SwapTrade:w1~trade.8243:22285</v>
      </c>
      <c r="G8245" s="3">
        <f>_xll.QS.EVALUATE(C8245,F8245)</f>
        <v>61328.89937298344</v>
      </c>
      <c r="H8245" s="5" t="s">
        <v>8285</v>
      </c>
      <c r="I8245" s="7">
        <v>1824300</v>
      </c>
      <c r="J8245" s="8">
        <v>3.9300000000000002E-2</v>
      </c>
    </row>
    <row r="8246" spans="1:10" x14ac:dyDescent="0.25">
      <c r="A8246" s="5" t="s">
        <v>8279</v>
      </c>
      <c r="B8246" s="5" t="s">
        <v>10113</v>
      </c>
      <c r="C8246" s="6" t="str">
        <f>_xll.QS.CONTEXT.CREATE("market.8244",A8246,"USD","SOFR")</f>
        <v>QSObject:PricingContext:w1~market.8244:2976</v>
      </c>
      <c r="D8246" s="6" t="str">
        <f>_xll.QS.CONTEXT.ADD.CURVE(C8246,"SOFR",$K$2:$K$7,$L$2:$L$7,,,"Actual360","LogLinear",TRUE)</f>
        <v>QSObject:ContextInput:w1~input.qs_context_add_curve.2359132437744.8245.3.0:32077</v>
      </c>
      <c r="E8246" s="6" t="str">
        <f>_xll.QS.INSTRUMENT.SWAP("swap.8244",H8246,B8246,"USD","SOFR",I8246,J8246,0,"Actual360","Simple","Annual","Annual","Annual")</f>
        <v>QSObject:Swap:w1~swap.8244:2975</v>
      </c>
      <c r="F8246" s="6" t="str">
        <f>_xll.QS.TRADE.CREATE("trade.8244",E8246,A8246,"Receive")</f>
        <v>QSObject:SwapTrade:w1~trade.8244:23447</v>
      </c>
      <c r="G8246" s="3">
        <f>_xll.QS.EVALUATE(C8246,F8246)</f>
        <v>62023.395567988904</v>
      </c>
      <c r="H8246" s="5" t="s">
        <v>8286</v>
      </c>
      <c r="I8246" s="7">
        <v>1824400</v>
      </c>
      <c r="J8246" s="8">
        <v>3.9399999999999998E-2</v>
      </c>
    </row>
    <row r="8247" spans="1:10" x14ac:dyDescent="0.25">
      <c r="A8247" s="5" t="s">
        <v>8280</v>
      </c>
      <c r="B8247" s="5" t="s">
        <v>10114</v>
      </c>
      <c r="C8247" s="6" t="str">
        <f>_xll.QS.CONTEXT.CREATE("market.8245",A8247,"USD","SOFR")</f>
        <v>QSObject:PricingContext:w1~market.8245:2974</v>
      </c>
      <c r="D8247" s="6" t="str">
        <f>_xll.QS.CONTEXT.ADD.CURVE(C8247,"SOFR",$K$2:$K$7,$L$2:$L$7,,,"Actual360","LogLinear",TRUE)</f>
        <v>QSObject:ContextInput:w1~input.qs_context_add_curve.2359132437744.8246.3.0:32076</v>
      </c>
      <c r="E8247" s="6" t="str">
        <f>_xll.QS.INSTRUMENT.SWAP("swap.8245",H8247,B8247,"USD","SOFR",I8247,J8247,0,"Actual360","Simple","Annual","Annual","Annual")</f>
        <v>QSObject:Swap:w1~swap.8245:2973</v>
      </c>
      <c r="F8247" s="6" t="str">
        <f>_xll.QS.TRADE.CREATE("trade.8245",E8247,A8247,"Receive")</f>
        <v>QSObject:SwapTrade:w1~trade.8245:31101</v>
      </c>
      <c r="G8247" s="3">
        <f>_xll.QS.EVALUATE(C8247,F8247)</f>
        <v>62757.406779985584</v>
      </c>
      <c r="H8247" s="5" t="s">
        <v>8287</v>
      </c>
      <c r="I8247" s="7">
        <v>1824500</v>
      </c>
      <c r="J8247" s="8">
        <v>3.9500000000000007E-2</v>
      </c>
    </row>
    <row r="8248" spans="1:10" x14ac:dyDescent="0.25">
      <c r="A8248" s="5" t="s">
        <v>8281</v>
      </c>
      <c r="B8248" s="5" t="s">
        <v>10115</v>
      </c>
      <c r="C8248" s="6" t="str">
        <f>_xll.QS.CONTEXT.CREATE("market.8246",A8248,"USD","SOFR")</f>
        <v>QSObject:PricingContext:w1~market.8246:2972</v>
      </c>
      <c r="D8248" s="6" t="str">
        <f>_xll.QS.CONTEXT.ADD.CURVE(C8248,"SOFR",$K$2:$K$7,$L$2:$L$7,,,"Actual360","LogLinear",TRUE)</f>
        <v>QSObject:ContextInput:w1~input.qs_context_add_curve.2359132437744.8247.3.0:32075</v>
      </c>
      <c r="E8248" s="6" t="str">
        <f>_xll.QS.INSTRUMENT.SWAP("swap.8246",H8248,B8248,"USD","SOFR",I8248,J8248,0,"Actual360","Simple","Annual","Annual","Annual")</f>
        <v>QSObject:Swap:w1~swap.8246:2971</v>
      </c>
      <c r="F8248" s="6" t="str">
        <f>_xll.QS.TRADE.CREATE("trade.8246",E8248,A8248,"Receive")</f>
        <v>QSObject:SwapTrade:w1~trade.8246:22284</v>
      </c>
      <c r="G8248" s="3">
        <f>_xll.QS.EVALUATE(C8248,F8248)</f>
        <v>63681.677872491891</v>
      </c>
      <c r="H8248" s="5" t="s">
        <v>8288</v>
      </c>
      <c r="I8248" s="7">
        <v>1824600</v>
      </c>
      <c r="J8248" s="8">
        <v>3.9600000000000003E-2</v>
      </c>
    </row>
    <row r="8249" spans="1:10" x14ac:dyDescent="0.25">
      <c r="A8249" s="5" t="s">
        <v>8282</v>
      </c>
      <c r="B8249" s="5" t="s">
        <v>10116</v>
      </c>
      <c r="C8249" s="6" t="str">
        <f>_xll.QS.CONTEXT.CREATE("market.8247",A8249,"USD","SOFR")</f>
        <v>QSObject:PricingContext:w1~market.8247:2970</v>
      </c>
      <c r="D8249" s="6" t="str">
        <f>_xll.QS.CONTEXT.ADD.CURVE(C8249,"SOFR",$K$2:$K$7,$L$2:$L$7,,,"Actual360","LogLinear",TRUE)</f>
        <v>QSObject:ContextInput:w1~input.qs_context_add_curve.2359132437744.8248.3.0:32074</v>
      </c>
      <c r="E8249" s="6" t="str">
        <f>_xll.QS.INSTRUMENT.SWAP("swap.8247",H8249,B8249,"USD","SOFR",I8249,J8249,0,"Actual360","Simple","Annual","Annual","Annual")</f>
        <v>QSObject:Swap:w1~swap.8247:2969</v>
      </c>
      <c r="F8249" s="6" t="str">
        <f>_xll.QS.TRADE.CREATE("trade.8247",E8249,A8249,"Receive")</f>
        <v>QSObject:SwapTrade:w1~trade.8247:22938</v>
      </c>
      <c r="G8249" s="3">
        <f>_xll.QS.EVALUATE(C8249,F8249)</f>
        <v>64565.402024257703</v>
      </c>
      <c r="H8249" s="5" t="s">
        <v>8289</v>
      </c>
      <c r="I8249" s="7">
        <v>1824700</v>
      </c>
      <c r="J8249" s="8">
        <v>3.9700000000000013E-2</v>
      </c>
    </row>
    <row r="8250" spans="1:10" x14ac:dyDescent="0.25">
      <c r="A8250" s="5" t="s">
        <v>8283</v>
      </c>
      <c r="B8250" s="5" t="s">
        <v>10117</v>
      </c>
      <c r="C8250" s="6" t="str">
        <f>_xll.QS.CONTEXT.CREATE("market.8248",A8250,"USD","SOFR")</f>
        <v>QSObject:PricingContext:w1~market.8248:2968</v>
      </c>
      <c r="D8250" s="6" t="str">
        <f>_xll.QS.CONTEXT.ADD.CURVE(C8250,"SOFR",$K$2:$K$7,$L$2:$L$7,,,"Actual360","LogLinear",TRUE)</f>
        <v>QSObject:ContextInput:w1~input.qs_context_add_curve.2359132437744.8249.3.0:32073</v>
      </c>
      <c r="E8250" s="6" t="str">
        <f>_xll.QS.INSTRUMENT.SWAP("swap.8248",H8250,B8250,"USD","SOFR",I8250,J8250,0,"Actual360","Simple","Annual","Annual","Annual")</f>
        <v>QSObject:Swap:w1~swap.8248:2967</v>
      </c>
      <c r="F8250" s="6" t="str">
        <f>_xll.QS.TRADE.CREATE("trade.8248",E8250,A8250,"Receive")</f>
        <v>QSObject:SwapTrade:w1~trade.8248:23446</v>
      </c>
      <c r="G8250" s="3">
        <f>_xll.QS.EVALUATE(C8250,F8250)</f>
        <v>65544.00716664808</v>
      </c>
      <c r="H8250" s="5" t="s">
        <v>8290</v>
      </c>
      <c r="I8250" s="7">
        <v>1824800</v>
      </c>
      <c r="J8250" s="8">
        <v>3.9800000000000002E-2</v>
      </c>
    </row>
    <row r="8251" spans="1:10" x14ac:dyDescent="0.25">
      <c r="A8251" s="5" t="s">
        <v>8284</v>
      </c>
      <c r="B8251" s="5" t="s">
        <v>10118</v>
      </c>
      <c r="C8251" s="6" t="str">
        <f>_xll.QS.CONTEXT.CREATE("market.8249",A8251,"USD","SOFR")</f>
        <v>QSObject:PricingContext:w1~market.8249:2966</v>
      </c>
      <c r="D8251" s="6" t="str">
        <f>_xll.QS.CONTEXT.ADD.CURVE(C8251,"SOFR",$K$2:$K$7,$L$2:$L$7,,,"Actual360","LogLinear",TRUE)</f>
        <v>QSObject:ContextInput:w1~input.qs_context_add_curve.2359132437744.8250.3.0:32072</v>
      </c>
      <c r="E8251" s="6" t="str">
        <f>_xll.QS.INSTRUMENT.SWAP("swap.8249",H8251,B8251,"USD","SOFR",I8251,J8251,0,"Actual360","Simple","Annual","Annual","Annual")</f>
        <v>QSObject:Swap:w1~swap.8249:2965</v>
      </c>
      <c r="F8251" s="6" t="str">
        <f>_xll.QS.TRADE.CREATE("trade.8249",E8251,A8251,"Receive")</f>
        <v>QSObject:SwapTrade:w1~trade.8249:31100</v>
      </c>
      <c r="G8251" s="3">
        <f>_xll.QS.EVALUATE(C8251,F8251)</f>
        <v>66469.098415627275</v>
      </c>
      <c r="H8251" s="5" t="s">
        <v>8291</v>
      </c>
      <c r="I8251" s="7">
        <v>1824900</v>
      </c>
      <c r="J8251" s="8">
        <v>3.9899999999999998E-2</v>
      </c>
    </row>
    <row r="8252" spans="1:10" x14ac:dyDescent="0.25">
      <c r="A8252" s="5" t="s">
        <v>8285</v>
      </c>
      <c r="B8252" s="5" t="s">
        <v>10119</v>
      </c>
      <c r="C8252" s="6" t="str">
        <f>_xll.QS.CONTEXT.CREATE("market.8250",A8252,"USD","SOFR")</f>
        <v>QSObject:PricingContext:w1~market.8250:2964</v>
      </c>
      <c r="D8252" s="6" t="str">
        <f>_xll.QS.CONTEXT.ADD.CURVE(C8252,"SOFR",$K$2:$K$7,$L$2:$L$7,,,"Actual360","LogLinear",TRUE)</f>
        <v>QSObject:ContextInput:w1~input.qs_context_add_curve.2359132437744.8251.3.0:32071</v>
      </c>
      <c r="E8252" s="6" t="str">
        <f>_xll.QS.INSTRUMENT.SWAP("swap.8250",H8252,B8252,"USD","SOFR",I8252,J8252,0,"Actual360","Simple","Annual","Annual","Annual")</f>
        <v>QSObject:Swap:w1~swap.8250:2963</v>
      </c>
      <c r="F8252" s="6" t="str">
        <f>_xll.QS.TRADE.CREATE("trade.8250",E8252,A8252,"Receive")</f>
        <v>QSObject:SwapTrade:w1~trade.8250:22937</v>
      </c>
      <c r="G8252" s="3">
        <f>_xll.QS.EVALUATE(C8252,F8252)</f>
        <v>25164.815027150442</v>
      </c>
      <c r="H8252" s="5" t="s">
        <v>8292</v>
      </c>
      <c r="I8252" s="7">
        <v>1825000</v>
      </c>
      <c r="J8252" s="8">
        <v>3.5000000000000003E-2</v>
      </c>
    </row>
    <row r="8253" spans="1:10" x14ac:dyDescent="0.25">
      <c r="A8253" s="5" t="s">
        <v>8286</v>
      </c>
      <c r="B8253" s="5" t="s">
        <v>10120</v>
      </c>
      <c r="C8253" s="6" t="str">
        <f>_xll.QS.CONTEXT.CREATE("market.8251",A8253,"USD","SOFR")</f>
        <v>QSObject:PricingContext:w1~market.8251:2962</v>
      </c>
      <c r="D8253" s="6" t="str">
        <f>_xll.QS.CONTEXT.ADD.CURVE(C8253,"SOFR",$K$2:$K$7,$L$2:$L$7,,,"Actual360","LogLinear",TRUE)</f>
        <v>QSObject:ContextInput:w1~input.qs_context_add_curve.2359132437744.8252.3.0:32070</v>
      </c>
      <c r="E8253" s="6" t="str">
        <f>_xll.QS.INSTRUMENT.SWAP("swap.8251",H8253,B8253,"USD","SOFR",I8253,J8253,0,"Actual360","Simple","Annual","Annual","Annual")</f>
        <v>QSObject:Swap:w1~swap.8251:2961</v>
      </c>
      <c r="F8253" s="6" t="str">
        <f>_xll.QS.TRADE.CREATE("trade.8251",E8253,A8253,"Receive")</f>
        <v>QSObject:SwapTrade:w1~trade.8251:31099</v>
      </c>
      <c r="G8253" s="3">
        <f>_xll.QS.EVALUATE(C8253,F8253)</f>
        <v>25900.274943387725</v>
      </c>
      <c r="H8253" s="5" t="s">
        <v>8293</v>
      </c>
      <c r="I8253" s="7">
        <v>1825100</v>
      </c>
      <c r="J8253" s="8">
        <v>3.5100000000000013E-2</v>
      </c>
    </row>
    <row r="8254" spans="1:10" x14ac:dyDescent="0.25">
      <c r="A8254" s="5" t="s">
        <v>8287</v>
      </c>
      <c r="B8254" s="5" t="s">
        <v>10121</v>
      </c>
      <c r="C8254" s="6" t="str">
        <f>_xll.QS.CONTEXT.CREATE("market.8252",A8254,"USD","SOFR")</f>
        <v>QSObject:PricingContext:w1~market.8252:2960</v>
      </c>
      <c r="D8254" s="6" t="str">
        <f>_xll.QS.CONTEXT.ADD.CURVE(C8254,"SOFR",$K$2:$K$7,$L$2:$L$7,,,"Actual360","LogLinear",TRUE)</f>
        <v>QSObject:ContextInput:w1~input.qs_context_add_curve.2359132437744.8253.3.0:32069</v>
      </c>
      <c r="E8254" s="6" t="str">
        <f>_xll.QS.INSTRUMENT.SWAP("swap.8252",H8254,B8254,"USD","SOFR",I8254,J8254,0,"Actual360","Simple","Annual","Annual","Annual")</f>
        <v>QSObject:Swap:w1~swap.8252:2959</v>
      </c>
      <c r="F8254" s="6" t="str">
        <f>_xll.QS.TRADE.CREATE("trade.8252",E8254,A8254,"Receive")</f>
        <v>QSObject:SwapTrade:w1~trade.8252:23445</v>
      </c>
      <c r="G8254" s="3">
        <f>_xll.QS.EVALUATE(C8254,F8254)</f>
        <v>26576.668454937229</v>
      </c>
      <c r="H8254" s="5" t="s">
        <v>8294</v>
      </c>
      <c r="I8254" s="7">
        <v>1825200</v>
      </c>
      <c r="J8254" s="8">
        <v>3.5200000000000002E-2</v>
      </c>
    </row>
    <row r="8255" spans="1:10" x14ac:dyDescent="0.25">
      <c r="A8255" s="5" t="s">
        <v>8288</v>
      </c>
      <c r="B8255" s="5" t="s">
        <v>10122</v>
      </c>
      <c r="C8255" s="6" t="str">
        <f>_xll.QS.CONTEXT.CREATE("market.8253",A8255,"USD","SOFR")</f>
        <v>QSObject:PricingContext:w1~market.8253:2958</v>
      </c>
      <c r="D8255" s="6" t="str">
        <f>_xll.QS.CONTEXT.ADD.CURVE(C8255,"SOFR",$K$2:$K$7,$L$2:$L$7,,,"Actual360","LogLinear",TRUE)</f>
        <v>QSObject:ContextInput:w1~input.qs_context_add_curve.2359132437744.8254.3.0:32068</v>
      </c>
      <c r="E8255" s="6" t="str">
        <f>_xll.QS.INSTRUMENT.SWAP("swap.8253",H8255,B8255,"USD","SOFR",I8255,J8255,0,"Actual360","Simple","Annual","Annual","Annual")</f>
        <v>QSObject:Swap:w1~swap.8253:2957</v>
      </c>
      <c r="F8255" s="6" t="str">
        <f>_xll.QS.TRADE.CREATE("trade.8253",E8255,A8255,"Receive")</f>
        <v>QSObject:SwapTrade:w1~trade.8253:22283</v>
      </c>
      <c r="G8255" s="3">
        <f>_xll.QS.EVALUATE(C8255,F8255)</f>
        <v>27495.265130847991</v>
      </c>
      <c r="H8255" s="5" t="s">
        <v>8295</v>
      </c>
      <c r="I8255" s="7">
        <v>1825300</v>
      </c>
      <c r="J8255" s="8">
        <v>3.5299999999999998E-2</v>
      </c>
    </row>
    <row r="8256" spans="1:10" x14ac:dyDescent="0.25">
      <c r="A8256" s="5" t="s">
        <v>8289</v>
      </c>
      <c r="B8256" s="5" t="s">
        <v>10123</v>
      </c>
      <c r="C8256" s="6" t="str">
        <f>_xll.QS.CONTEXT.CREATE("market.8254",A8256,"USD","SOFR")</f>
        <v>QSObject:PricingContext:w1~market.8254:2956</v>
      </c>
      <c r="D8256" s="6" t="str">
        <f>_xll.QS.CONTEXT.ADD.CURVE(C8256,"SOFR",$K$2:$K$7,$L$2:$L$7,,,"Actual360","LogLinear",TRUE)</f>
        <v>QSObject:ContextInput:w1~input.qs_context_add_curve.2359132437744.8255.3.0:32067</v>
      </c>
      <c r="E8256" s="6" t="str">
        <f>_xll.QS.INSTRUMENT.SWAP("swap.8254",H8256,B8256,"USD","SOFR",I8256,J8256,0,"Actual360","Simple","Annual","Annual","Annual")</f>
        <v>QSObject:Swap:w1~swap.8254:2955</v>
      </c>
      <c r="F8256" s="6" t="str">
        <f>_xll.QS.TRADE.CREATE("trade.8254",E8256,A8256,"Receive")</f>
        <v>QSObject:SwapTrade:w1~trade.8254:31098</v>
      </c>
      <c r="G8256" s="3">
        <f>_xll.QS.EVALUATE(C8256,F8256)</f>
        <v>28394.901907762032</v>
      </c>
      <c r="H8256" s="5" t="s">
        <v>8296</v>
      </c>
      <c r="I8256" s="7">
        <v>1825400</v>
      </c>
      <c r="J8256" s="8">
        <v>3.5400000000000001E-2</v>
      </c>
    </row>
    <row r="8257" spans="1:10" x14ac:dyDescent="0.25">
      <c r="A8257" s="5" t="s">
        <v>8290</v>
      </c>
      <c r="B8257" s="5" t="s">
        <v>10124</v>
      </c>
      <c r="C8257" s="6" t="str">
        <f>_xll.QS.CONTEXT.CREATE("market.8255",A8257,"USD","SOFR")</f>
        <v>QSObject:PricingContext:w1~market.8255:2954</v>
      </c>
      <c r="D8257" s="6" t="str">
        <f>_xll.QS.CONTEXT.ADD.CURVE(C8257,"SOFR",$K$2:$K$7,$L$2:$L$7,,,"Actual360","LogLinear",TRUE)</f>
        <v>QSObject:ContextInput:w1~input.qs_context_add_curve.2359132437744.8256.3.0:32066</v>
      </c>
      <c r="E8257" s="6" t="str">
        <f>_xll.QS.INSTRUMENT.SWAP("swap.8255",H8257,B8257,"USD","SOFR",I8257,J8257,0,"Actual360","Simple","Annual","Annual","Annual")</f>
        <v>QSObject:Swap:w1~swap.8255:2953</v>
      </c>
      <c r="F8257" s="6" t="str">
        <f>_xll.QS.TRADE.CREATE("trade.8255",E8257,A8257,"Receive")</f>
        <v>QSObject:SwapTrade:w1~trade.8255:22282</v>
      </c>
      <c r="G8257" s="3">
        <f>_xll.QS.EVALUATE(C8257,F8257)</f>
        <v>29371.361124178184</v>
      </c>
      <c r="H8257" s="5" t="s">
        <v>8297</v>
      </c>
      <c r="I8257" s="7">
        <v>1825500</v>
      </c>
      <c r="J8257" s="8">
        <v>3.5499999999999997E-2</v>
      </c>
    </row>
    <row r="8258" spans="1:10" x14ac:dyDescent="0.25">
      <c r="A8258" s="5" t="s">
        <v>8291</v>
      </c>
      <c r="B8258" s="5" t="s">
        <v>10125</v>
      </c>
      <c r="C8258" s="6" t="str">
        <f>_xll.QS.CONTEXT.CREATE("market.8256",A8258,"USD","SOFR")</f>
        <v>QSObject:PricingContext:w1~market.8256:2952</v>
      </c>
      <c r="D8258" s="6" t="str">
        <f>_xll.QS.CONTEXT.ADD.CURVE(C8258,"SOFR",$K$2:$K$7,$L$2:$L$7,,,"Actual360","LogLinear",TRUE)</f>
        <v>QSObject:ContextInput:w1~input.qs_context_add_curve.2359132437744.8257.3.0:32065</v>
      </c>
      <c r="E8258" s="6" t="str">
        <f>_xll.QS.INSTRUMENT.SWAP("swap.8256",H8258,B8258,"USD","SOFR",I8258,J8258,0,"Actual360","Simple","Annual","Annual","Annual")</f>
        <v>QSObject:Swap:w1~swap.8256:2951</v>
      </c>
      <c r="F8258" s="6" t="str">
        <f>_xll.QS.TRADE.CREATE("trade.8256",E8258,A8258,"Receive")</f>
        <v>QSObject:SwapTrade:w1~trade.8256:23444</v>
      </c>
      <c r="G8258" s="3">
        <f>_xll.QS.EVALUATE(C8258,F8258)</f>
        <v>30294.407309290465</v>
      </c>
      <c r="H8258" s="5" t="s">
        <v>8298</v>
      </c>
      <c r="I8258" s="7">
        <v>1825600</v>
      </c>
      <c r="J8258" s="8">
        <v>3.5600000000000007E-2</v>
      </c>
    </row>
    <row r="8259" spans="1:10" x14ac:dyDescent="0.25">
      <c r="A8259" s="5" t="s">
        <v>8292</v>
      </c>
      <c r="B8259" s="5" t="s">
        <v>10126</v>
      </c>
      <c r="C8259" s="6" t="str">
        <f>_xll.QS.CONTEXT.CREATE("market.8257",A8259,"USD","SOFR")</f>
        <v>QSObject:PricingContext:w1~market.8257:2950</v>
      </c>
      <c r="D8259" s="6" t="str">
        <f>_xll.QS.CONTEXT.ADD.CURVE(C8259,"SOFR",$K$2:$K$7,$L$2:$L$7,,,"Actual360","LogLinear",TRUE)</f>
        <v>QSObject:ContextInput:w1~input.qs_context_add_curve.2359132437744.8258.3.0:32064</v>
      </c>
      <c r="E8259" s="6" t="str">
        <f>_xll.QS.INSTRUMENT.SWAP("swap.8257",H8259,B8259,"USD","SOFR",I8259,J8259,0,"Actual360","Simple","Annual","Annual","Annual")</f>
        <v>QSObject:Swap:w1~swap.8257:2949</v>
      </c>
      <c r="F8259" s="6" t="str">
        <f>_xll.QS.TRADE.CREATE("trade.8257",E8259,A8259,"Receive")</f>
        <v>QSObject:SwapTrade:w1~trade.8257:22936</v>
      </c>
      <c r="G8259" s="3">
        <f>_xll.QS.EVALUATE(C8259,F8259)</f>
        <v>31067.780179838162</v>
      </c>
      <c r="H8259" s="5" t="s">
        <v>8299</v>
      </c>
      <c r="I8259" s="7">
        <v>1825700</v>
      </c>
      <c r="J8259" s="8">
        <v>3.5700000000000003E-2</v>
      </c>
    </row>
    <row r="8260" spans="1:10" x14ac:dyDescent="0.25">
      <c r="A8260" s="5" t="s">
        <v>8293</v>
      </c>
      <c r="B8260" s="5" t="s">
        <v>10127</v>
      </c>
      <c r="C8260" s="6" t="str">
        <f>_xll.QS.CONTEXT.CREATE("market.8258",A8260,"USD","SOFR")</f>
        <v>QSObject:PricingContext:w1~market.8258:2948</v>
      </c>
      <c r="D8260" s="6" t="str">
        <f>_xll.QS.CONTEXT.ADD.CURVE(C8260,"SOFR",$K$2:$K$7,$L$2:$L$7,,,"Actual360","LogLinear",TRUE)</f>
        <v>QSObject:ContextInput:w1~input.qs_context_add_curve.2359132437744.8259.3.0:32063</v>
      </c>
      <c r="E8260" s="6" t="str">
        <f>_xll.QS.INSTRUMENT.SWAP("swap.8258",H8260,B8260,"USD","SOFR",I8260,J8260,0,"Actual360","Simple","Annual","Annual","Annual")</f>
        <v>QSObject:Swap:w1~swap.8258:2947</v>
      </c>
      <c r="F8260" s="6" t="str">
        <f>_xll.QS.TRADE.CREATE("trade.8258",E8260,A8260,"Receive")</f>
        <v>QSObject:SwapTrade:w1~trade.8258:31097</v>
      </c>
      <c r="G8260" s="3">
        <f>_xll.QS.EVALUATE(C8260,F8260)</f>
        <v>31796.90405827888</v>
      </c>
      <c r="H8260" s="5" t="s">
        <v>8300</v>
      </c>
      <c r="I8260" s="7">
        <v>1825800</v>
      </c>
      <c r="J8260" s="8">
        <v>3.5800000000000012E-2</v>
      </c>
    </row>
    <row r="8261" spans="1:10" x14ac:dyDescent="0.25">
      <c r="A8261" s="5" t="s">
        <v>8294</v>
      </c>
      <c r="B8261" s="5" t="s">
        <v>10128</v>
      </c>
      <c r="C8261" s="6" t="str">
        <f>_xll.QS.CONTEXT.CREATE("market.8259",A8261,"USD","SOFR")</f>
        <v>QSObject:PricingContext:w1~market.8259:2946</v>
      </c>
      <c r="D8261" s="6" t="str">
        <f>_xll.QS.CONTEXT.ADD.CURVE(C8261,"SOFR",$K$2:$K$7,$L$2:$L$7,,,"Actual360","LogLinear",TRUE)</f>
        <v>QSObject:ContextInput:w1~input.qs_context_add_curve.2359132437744.8260.3.0:32062</v>
      </c>
      <c r="E8261" s="6" t="str">
        <f>_xll.QS.INSTRUMENT.SWAP("swap.8259",H8261,B8261,"USD","SOFR",I8261,J8261,0,"Actual360","Simple","Annual","Annual","Annual")</f>
        <v>QSObject:Swap:w1~swap.8259:2945</v>
      </c>
      <c r="F8261" s="6" t="str">
        <f>_xll.QS.TRADE.CREATE("trade.8259",E8261,A8261,"Receive")</f>
        <v>QSObject:SwapTrade:w1~trade.8259:31096</v>
      </c>
      <c r="G8261" s="3">
        <f>_xll.QS.EVALUATE(C8261,F8261)</f>
        <v>32483.016424207482</v>
      </c>
      <c r="H8261" s="5" t="s">
        <v>8301</v>
      </c>
      <c r="I8261" s="7">
        <v>1825900</v>
      </c>
      <c r="J8261" s="8">
        <v>3.5900000000000001E-2</v>
      </c>
    </row>
    <row r="8262" spans="1:10" x14ac:dyDescent="0.25">
      <c r="A8262" s="5" t="s">
        <v>8295</v>
      </c>
      <c r="B8262" s="5" t="s">
        <v>10129</v>
      </c>
      <c r="C8262" s="6" t="str">
        <f>_xll.QS.CONTEXT.CREATE("market.8260",A8262,"USD","SOFR")</f>
        <v>QSObject:PricingContext:w1~market.8260:2944</v>
      </c>
      <c r="D8262" s="6" t="str">
        <f>_xll.QS.CONTEXT.ADD.CURVE(C8262,"SOFR",$K$2:$K$7,$L$2:$L$7,,,"Actual360","LogLinear",TRUE)</f>
        <v>QSObject:ContextInput:w1~input.qs_context_add_curve.2359132437744.8261.3.0:32061</v>
      </c>
      <c r="E8262" s="6" t="str">
        <f>_xll.QS.INSTRUMENT.SWAP("swap.8260",H8262,B8262,"USD","SOFR",I8262,J8262,0,"Actual360","Simple","Annual","Annual","Annual")</f>
        <v>QSObject:Swap:w1~swap.8260:2943</v>
      </c>
      <c r="F8262" s="6" t="str">
        <f>_xll.QS.TRADE.CREATE("trade.8260",E8262,A8262,"Receive")</f>
        <v>QSObject:SwapTrade:w1~trade.8260:22281</v>
      </c>
      <c r="G8262" s="3">
        <f>_xll.QS.EVALUATE(C8262,F8262)</f>
        <v>33402.858719050651</v>
      </c>
      <c r="H8262" s="5" t="s">
        <v>8302</v>
      </c>
      <c r="I8262" s="7">
        <v>1826000</v>
      </c>
      <c r="J8262" s="8">
        <v>3.5999999999999997E-2</v>
      </c>
    </row>
    <row r="8263" spans="1:10" x14ac:dyDescent="0.25">
      <c r="A8263" s="5" t="s">
        <v>8296</v>
      </c>
      <c r="B8263" s="5" t="s">
        <v>10130</v>
      </c>
      <c r="C8263" s="6" t="str">
        <f>_xll.QS.CONTEXT.CREATE("market.8261",A8263,"USD","SOFR")</f>
        <v>QSObject:PricingContext:w1~market.8261:2942</v>
      </c>
      <c r="D8263" s="6" t="str">
        <f>_xll.QS.CONTEXT.ADD.CURVE(C8263,"SOFR",$K$2:$K$7,$L$2:$L$7,,,"Actual360","LogLinear",TRUE)</f>
        <v>QSObject:ContextInput:w1~input.qs_context_add_curve.2359132437744.8262.3.0:32060</v>
      </c>
      <c r="E8263" s="6" t="str">
        <f>_xll.QS.INSTRUMENT.SWAP("swap.8261",H8263,B8263,"USD","SOFR",I8263,J8263,0,"Actual360","Simple","Annual","Annual","Annual")</f>
        <v>QSObject:Swap:w1~swap.8261:2941</v>
      </c>
      <c r="F8263" s="6" t="str">
        <f>_xll.QS.TRADE.CREATE("trade.8261",E8263,A8263,"Receive")</f>
        <v>QSObject:SwapTrade:w1~trade.8261:22935</v>
      </c>
      <c r="G8263" s="3">
        <f>_xll.QS.EVALUATE(C8263,F8263)</f>
        <v>34300.303356460528</v>
      </c>
      <c r="H8263" s="5" t="s">
        <v>8303</v>
      </c>
      <c r="I8263" s="7">
        <v>1826100</v>
      </c>
      <c r="J8263" s="8">
        <v>3.61E-2</v>
      </c>
    </row>
    <row r="8264" spans="1:10" x14ac:dyDescent="0.25">
      <c r="A8264" s="5" t="s">
        <v>8297</v>
      </c>
      <c r="B8264" s="5" t="s">
        <v>10131</v>
      </c>
      <c r="C8264" s="6" t="str">
        <f>_xll.QS.CONTEXT.CREATE("market.8262",A8264,"USD","SOFR")</f>
        <v>QSObject:PricingContext:w1~market.8262:2940</v>
      </c>
      <c r="D8264" s="6" t="str">
        <f>_xll.QS.CONTEXT.ADD.CURVE(C8264,"SOFR",$K$2:$K$7,$L$2:$L$7,,,"Actual360","LogLinear",TRUE)</f>
        <v>QSObject:ContextInput:w1~input.qs_context_add_curve.2359132437744.8263.3.0:32059</v>
      </c>
      <c r="E8264" s="6" t="str">
        <f>_xll.QS.INSTRUMENT.SWAP("swap.8262",H8264,B8264,"USD","SOFR",I8264,J8264,0,"Actual360","Simple","Annual","Annual","Annual")</f>
        <v>QSObject:Swap:w1~swap.8262:2939</v>
      </c>
      <c r="F8264" s="6" t="str">
        <f>_xll.QS.TRADE.CREATE("trade.8262",E8264,A8264,"Receive")</f>
        <v>QSObject:SwapTrade:w1~trade.8262:23443</v>
      </c>
      <c r="G8264" s="3">
        <f>_xll.QS.EVALUATE(C8264,F8264)</f>
        <v>35277.546666526032</v>
      </c>
      <c r="H8264" s="5" t="s">
        <v>8304</v>
      </c>
      <c r="I8264" s="7">
        <v>1826200</v>
      </c>
      <c r="J8264" s="8">
        <v>3.6200000000000003E-2</v>
      </c>
    </row>
    <row r="8265" spans="1:10" x14ac:dyDescent="0.25">
      <c r="A8265" s="5" t="s">
        <v>8298</v>
      </c>
      <c r="B8265" s="5" t="s">
        <v>10132</v>
      </c>
      <c r="C8265" s="6" t="str">
        <f>_xll.QS.CONTEXT.CREATE("market.8263",A8265,"USD","SOFR")</f>
        <v>QSObject:PricingContext:w1~market.8263:2938</v>
      </c>
      <c r="D8265" s="6" t="str">
        <f>_xll.QS.CONTEXT.ADD.CURVE(C8265,"SOFR",$K$2:$K$7,$L$2:$L$7,,,"Actual360","LogLinear",TRUE)</f>
        <v>QSObject:ContextInput:w1~input.qs_context_add_curve.2359132437744.8264.3.0:32058</v>
      </c>
      <c r="E8265" s="6" t="str">
        <f>_xll.QS.INSTRUMENT.SWAP("swap.8263",H8265,B8265,"USD","SOFR",I8265,J8265,0,"Actual360","Simple","Annual","Annual","Annual")</f>
        <v>QSObject:Swap:w1~swap.8263:2937</v>
      </c>
      <c r="F8265" s="6" t="str">
        <f>_xll.QS.TRADE.CREATE("trade.8263",E8265,A8265,"Receive")</f>
        <v>QSObject:SwapTrade:w1~trade.8263:31095</v>
      </c>
      <c r="G8265" s="3">
        <f>_xll.QS.EVALUATE(C8265,F8265)</f>
        <v>36201.336648602031</v>
      </c>
      <c r="H8265" s="5" t="s">
        <v>8305</v>
      </c>
      <c r="I8265" s="7">
        <v>1826300</v>
      </c>
      <c r="J8265" s="8">
        <v>3.6300000000000013E-2</v>
      </c>
    </row>
    <row r="8266" spans="1:10" x14ac:dyDescent="0.25">
      <c r="A8266" s="5" t="s">
        <v>8299</v>
      </c>
      <c r="B8266" s="5" t="s">
        <v>10133</v>
      </c>
      <c r="C8266" s="6" t="str">
        <f>_xll.QS.CONTEXT.CREATE("market.8264",A8266,"USD","SOFR")</f>
        <v>QSObject:PricingContext:w1~market.8264:2936</v>
      </c>
      <c r="D8266" s="6" t="str">
        <f>_xll.QS.CONTEXT.ADD.CURVE(C8266,"SOFR",$K$2:$K$7,$L$2:$L$7,,,"Actual360","LogLinear",TRUE)</f>
        <v>QSObject:ContextInput:w1~input.qs_context_add_curve.2359132437744.8265.3.0:32057</v>
      </c>
      <c r="E8266" s="6" t="str">
        <f>_xll.QS.INSTRUMENT.SWAP("swap.8264",H8266,B8266,"USD","SOFR",I8266,J8266,0,"Actual360","Simple","Annual","Annual","Annual")</f>
        <v>QSObject:Swap:w1~swap.8264:2935</v>
      </c>
      <c r="F8266" s="6" t="str">
        <f>_xll.QS.TRADE.CREATE("trade.8264",E8266,A8266,"Receive")</f>
        <v>QSObject:SwapTrade:w1~trade.8264:23442</v>
      </c>
      <c r="G8266" s="3">
        <f>_xll.QS.EVALUATE(C8266,F8266)</f>
        <v>36975.264496711177</v>
      </c>
      <c r="H8266" s="5" t="s">
        <v>8306</v>
      </c>
      <c r="I8266" s="7">
        <v>1826400</v>
      </c>
      <c r="J8266" s="8">
        <v>3.6400000000000002E-2</v>
      </c>
    </row>
    <row r="8267" spans="1:10" x14ac:dyDescent="0.25">
      <c r="A8267" s="5" t="s">
        <v>8300</v>
      </c>
      <c r="B8267" s="5" t="s">
        <v>10134</v>
      </c>
      <c r="C8267" s="6" t="str">
        <f>_xll.QS.CONTEXT.CREATE("market.8265",A8267,"USD","SOFR")</f>
        <v>QSObject:PricingContext:w1~market.8265:2934</v>
      </c>
      <c r="D8267" s="6" t="str">
        <f>_xll.QS.CONTEXT.ADD.CURVE(C8267,"SOFR",$K$2:$K$7,$L$2:$L$7,,,"Actual360","LogLinear",TRUE)</f>
        <v>QSObject:ContextInput:w1~input.qs_context_add_curve.2359132437744.8266.3.0:32056</v>
      </c>
      <c r="E8267" s="6" t="str">
        <f>_xll.QS.INSTRUMENT.SWAP("swap.8265",H8267,B8267,"USD","SOFR",I8267,J8267,0,"Actual360","Simple","Annual","Annual","Annual")</f>
        <v>QSObject:Swap:w1~swap.8265:2933</v>
      </c>
      <c r="F8267" s="6" t="str">
        <f>_xll.QS.TRADE.CREATE("trade.8265",E8267,A8267,"Receive")</f>
        <v>QSObject:SwapTrade:w1~trade.8265:31094</v>
      </c>
      <c r="G8267" s="3">
        <f>_xll.QS.EVALUATE(C8267,F8267)</f>
        <v>37698.047015556956</v>
      </c>
      <c r="H8267" s="5" t="s">
        <v>8307</v>
      </c>
      <c r="I8267" s="7">
        <v>1826500</v>
      </c>
      <c r="J8267" s="8">
        <v>3.6499999999999998E-2</v>
      </c>
    </row>
    <row r="8268" spans="1:10" x14ac:dyDescent="0.25">
      <c r="A8268" s="5" t="s">
        <v>8301</v>
      </c>
      <c r="B8268" s="5" t="s">
        <v>10135</v>
      </c>
      <c r="C8268" s="6" t="str">
        <f>_xll.QS.CONTEXT.CREATE("market.8266",A8268,"USD","SOFR")</f>
        <v>QSObject:PricingContext:w1~market.8266:2932</v>
      </c>
      <c r="D8268" s="6" t="str">
        <f>_xll.QS.CONTEXT.ADD.CURVE(C8268,"SOFR",$K$2:$K$7,$L$2:$L$7,,,"Actual360","LogLinear",TRUE)</f>
        <v>QSObject:ContextInput:w1~input.qs_context_add_curve.2359132437744.8267.3.0:32055</v>
      </c>
      <c r="E8268" s="6" t="str">
        <f>_xll.QS.INSTRUMENT.SWAP("swap.8266",H8268,B8268,"USD","SOFR",I8268,J8268,0,"Actual360","Simple","Annual","Annual","Annual")</f>
        <v>QSObject:Swap:w1~swap.8266:2931</v>
      </c>
      <c r="F8268" s="6" t="str">
        <f>_xll.QS.TRADE.CREATE("trade.8266",E8268,A8268,"Receive")</f>
        <v>QSObject:SwapTrade:w1~trade.8266:22280</v>
      </c>
      <c r="G8268" s="3">
        <f>_xll.QS.EVALUATE(C8268,F8268)</f>
        <v>38393.885242053024</v>
      </c>
      <c r="H8268" s="5" t="s">
        <v>8308</v>
      </c>
      <c r="I8268" s="7">
        <v>1826600</v>
      </c>
      <c r="J8268" s="8">
        <v>3.6600000000000001E-2</v>
      </c>
    </row>
    <row r="8269" spans="1:10" x14ac:dyDescent="0.25">
      <c r="A8269" s="5" t="s">
        <v>8302</v>
      </c>
      <c r="B8269" s="5" t="s">
        <v>10136</v>
      </c>
      <c r="C8269" s="6" t="str">
        <f>_xll.QS.CONTEXT.CREATE("market.8267",A8269,"USD","SOFR")</f>
        <v>QSObject:PricingContext:w1~market.8267:2930</v>
      </c>
      <c r="D8269" s="6" t="str">
        <f>_xll.QS.CONTEXT.ADD.CURVE(C8269,"SOFR",$K$2:$K$7,$L$2:$L$7,,,"Actual360","LogLinear",TRUE)</f>
        <v>QSObject:ContextInput:w1~input.qs_context_add_curve.2359132437744.8268.3.0:32054</v>
      </c>
      <c r="E8269" s="6" t="str">
        <f>_xll.QS.INSTRUMENT.SWAP("swap.8267",H8269,B8269,"USD","SOFR",I8269,J8269,0,"Actual360","Simple","Annual","Annual","Annual")</f>
        <v>QSObject:Swap:w1~swap.8267:2929</v>
      </c>
      <c r="F8269" s="6" t="str">
        <f>_xll.QS.TRADE.CREATE("trade.8267",E8269,A8269,"Receive")</f>
        <v>QSObject:SwapTrade:w1~trade.8267:22279</v>
      </c>
      <c r="G8269" s="3">
        <f>_xll.QS.EVALUATE(C8269,F8269)</f>
        <v>39314.973593600473</v>
      </c>
      <c r="H8269" s="5" t="s">
        <v>8309</v>
      </c>
      <c r="I8269" s="7">
        <v>1826700</v>
      </c>
      <c r="J8269" s="8">
        <v>3.6700000000000003E-2</v>
      </c>
    </row>
    <row r="8270" spans="1:10" x14ac:dyDescent="0.25">
      <c r="A8270" s="5" t="s">
        <v>8303</v>
      </c>
      <c r="B8270" s="5" t="s">
        <v>10137</v>
      </c>
      <c r="C8270" s="6" t="str">
        <f>_xll.QS.CONTEXT.CREATE("market.8268",A8270,"USD","SOFR")</f>
        <v>QSObject:PricingContext:w1~market.8268:2928</v>
      </c>
      <c r="D8270" s="6" t="str">
        <f>_xll.QS.CONTEXT.ADD.CURVE(C8270,"SOFR",$K$2:$K$7,$L$2:$L$7,,,"Actual360","LogLinear",TRUE)</f>
        <v>QSObject:ContextInput:w1~input.qs_context_add_curve.2359132437744.8269.3.0:32053</v>
      </c>
      <c r="E8270" s="6" t="str">
        <f>_xll.QS.INSTRUMENT.SWAP("swap.8268",H8270,B8270,"USD","SOFR",I8270,J8270,0,"Actual360","Simple","Annual","Annual","Annual")</f>
        <v>QSObject:Swap:w1~swap.8268:2927</v>
      </c>
      <c r="F8270" s="6" t="str">
        <f>_xll.QS.TRADE.CREATE("trade.8268",E8270,A8270,"Receive")</f>
        <v>QSObject:SwapTrade:w1~trade.8268:23441</v>
      </c>
      <c r="G8270" s="3">
        <f>_xll.QS.EVALUATE(C8270,F8270)</f>
        <v>40210.223899237099</v>
      </c>
      <c r="H8270" s="5" t="s">
        <v>8310</v>
      </c>
      <c r="I8270" s="7">
        <v>1826800</v>
      </c>
      <c r="J8270" s="8">
        <v>3.6800000000000013E-2</v>
      </c>
    </row>
    <row r="8271" spans="1:10" x14ac:dyDescent="0.25">
      <c r="A8271" s="5" t="s">
        <v>8304</v>
      </c>
      <c r="B8271" s="5" t="s">
        <v>10138</v>
      </c>
      <c r="C8271" s="6" t="str">
        <f>_xll.QS.CONTEXT.CREATE("market.8269",A8271,"USD","SOFR")</f>
        <v>QSObject:PricingContext:w1~market.8269:2926</v>
      </c>
      <c r="D8271" s="6" t="str">
        <f>_xll.QS.CONTEXT.ADD.CURVE(C8271,"SOFR",$K$2:$K$7,$L$2:$L$7,,,"Actual360","LogLinear",TRUE)</f>
        <v>QSObject:ContextInput:w1~input.qs_context_add_curve.2359132437744.8270.3.0:32052</v>
      </c>
      <c r="E8271" s="6" t="str">
        <f>_xll.QS.INSTRUMENT.SWAP("swap.8269",H8271,B8271,"USD","SOFR",I8271,J8271,0,"Actual360","Simple","Annual","Annual","Annual")</f>
        <v>QSObject:Swap:w1~swap.8269:2925</v>
      </c>
      <c r="F8271" s="6" t="str">
        <f>_xll.QS.TRADE.CREATE("trade.8269",E8271,A8271,"Receive")</f>
        <v>QSObject:SwapTrade:w1~trade.8269:22934</v>
      </c>
      <c r="G8271" s="3">
        <f>_xll.QS.EVALUATE(C8271,F8271)</f>
        <v>41188.251370006466</v>
      </c>
      <c r="H8271" s="5" t="s">
        <v>8311</v>
      </c>
      <c r="I8271" s="7">
        <v>1826900</v>
      </c>
      <c r="J8271" s="8">
        <v>3.6900000000000002E-2</v>
      </c>
    </row>
    <row r="8272" spans="1:10" x14ac:dyDescent="0.25">
      <c r="A8272" s="5" t="s">
        <v>8305</v>
      </c>
      <c r="B8272" s="5" t="s">
        <v>10139</v>
      </c>
      <c r="C8272" s="6" t="str">
        <f>_xll.QS.CONTEXT.CREATE("market.8270",A8272,"USD","SOFR")</f>
        <v>QSObject:PricingContext:w1~market.8270:2924</v>
      </c>
      <c r="D8272" s="6" t="str">
        <f>_xll.QS.CONTEXT.ADD.CURVE(C8272,"SOFR",$K$2:$K$7,$L$2:$L$7,,,"Actual360","LogLinear",TRUE)</f>
        <v>QSObject:ContextInput:w1~input.qs_context_add_curve.2359132437744.8271.3.0:32051</v>
      </c>
      <c r="E8272" s="6" t="str">
        <f>_xll.QS.INSTRUMENT.SWAP("swap.8270",H8272,B8272,"USD","SOFR",I8272,J8272,0,"Actual360","Simple","Annual","Annual","Annual")</f>
        <v>QSObject:Swap:w1~swap.8270:2923</v>
      </c>
      <c r="F8272" s="6" t="str">
        <f>_xll.QS.TRADE.CREATE("trade.8270",E8272,A8272,"Receive")</f>
        <v>QSObject:SwapTrade:w1~trade.8270:22278</v>
      </c>
      <c r="G8272" s="3">
        <f>_xll.QS.EVALUATE(C8272,F8272)</f>
        <v>42113.052233198039</v>
      </c>
      <c r="H8272" s="5" t="s">
        <v>8312</v>
      </c>
      <c r="I8272" s="7">
        <v>1827000</v>
      </c>
      <c r="J8272" s="8">
        <v>3.7000000000000012E-2</v>
      </c>
    </row>
    <row r="8273" spans="1:10" x14ac:dyDescent="0.25">
      <c r="A8273" s="5" t="s">
        <v>8306</v>
      </c>
      <c r="B8273" s="5" t="s">
        <v>10140</v>
      </c>
      <c r="C8273" s="6" t="str">
        <f>_xll.QS.CONTEXT.CREATE("market.8271",A8273,"USD","SOFR")</f>
        <v>QSObject:PricingContext:w1~market.8271:2922</v>
      </c>
      <c r="D8273" s="6" t="str">
        <f>_xll.QS.CONTEXT.ADD.CURVE(C8273,"SOFR",$K$2:$K$7,$L$2:$L$7,,,"Actual360","LogLinear",TRUE)</f>
        <v>QSObject:ContextInput:w1~input.qs_context_add_curve.2359132437744.8272.3.0:32050</v>
      </c>
      <c r="E8273" s="6" t="str">
        <f>_xll.QS.INSTRUMENT.SWAP("swap.8271",H8273,B8273,"USD","SOFR",I8273,J8273,0,"Actual360","Simple","Annual","Annual","Annual")</f>
        <v>QSObject:Swap:w1~swap.8271:2921</v>
      </c>
      <c r="F8273" s="6" t="str">
        <f>_xll.QS.TRADE.CREATE("trade.8271",E8273,A8273,"Receive")</f>
        <v>QSObject:SwapTrade:w1~trade.8271:31093</v>
      </c>
      <c r="G8273" s="3">
        <f>_xll.QS.EVALUATE(C8273,F8273)</f>
        <v>42888.195855075654</v>
      </c>
      <c r="H8273" s="5" t="s">
        <v>8313</v>
      </c>
      <c r="I8273" s="7">
        <v>1827100</v>
      </c>
      <c r="J8273" s="8">
        <v>3.7100000000000001E-2</v>
      </c>
    </row>
    <row r="8274" spans="1:10" x14ac:dyDescent="0.25">
      <c r="A8274" s="5" t="s">
        <v>8307</v>
      </c>
      <c r="B8274" s="5" t="s">
        <v>10141</v>
      </c>
      <c r="C8274" s="6" t="str">
        <f>_xll.QS.CONTEXT.CREATE("market.8272",A8274,"USD","SOFR")</f>
        <v>QSObject:PricingContext:w1~market.8272:2920</v>
      </c>
      <c r="D8274" s="6" t="str">
        <f>_xll.QS.CONTEXT.ADD.CURVE(C8274,"SOFR",$K$2:$K$7,$L$2:$L$7,,,"Actual360","LogLinear",TRUE)</f>
        <v>QSObject:ContextInput:w1~input.qs_context_add_curve.2359132437744.8273.3.0:32049</v>
      </c>
      <c r="E8274" s="6" t="str">
        <f>_xll.QS.INSTRUMENT.SWAP("swap.8272",H8274,B8274,"USD","SOFR",I8274,J8274,0,"Actual360","Simple","Annual","Annual","Annual")</f>
        <v>QSObject:Swap:w1~swap.8272:2919</v>
      </c>
      <c r="F8274" s="6" t="str">
        <f>_xll.QS.TRADE.CREATE("trade.8272",E8274,A8274,"Receive")</f>
        <v>QSObject:SwapTrade:w1~trade.8272:23440</v>
      </c>
      <c r="G8274" s="3">
        <f>_xll.QS.EVALUATE(C8274,F8274)</f>
        <v>43575.039233910582</v>
      </c>
      <c r="H8274" s="5" t="s">
        <v>8314</v>
      </c>
      <c r="I8274" s="7">
        <v>1827200</v>
      </c>
      <c r="J8274" s="8">
        <v>3.7199999999999997E-2</v>
      </c>
    </row>
    <row r="8275" spans="1:10" x14ac:dyDescent="0.25">
      <c r="A8275" s="5" t="s">
        <v>8308</v>
      </c>
      <c r="B8275" s="5" t="s">
        <v>10142</v>
      </c>
      <c r="C8275" s="6" t="str">
        <f>_xll.QS.CONTEXT.CREATE("market.8273",A8275,"USD","SOFR")</f>
        <v>QSObject:PricingContext:w1~market.8273:2918</v>
      </c>
      <c r="D8275" s="6" t="str">
        <f>_xll.QS.CONTEXT.ADD.CURVE(C8275,"SOFR",$K$2:$K$7,$L$2:$L$7,,,"Actual360","LogLinear",TRUE)</f>
        <v>QSObject:ContextInput:w1~input.qs_context_add_curve.2359132437744.8274.3.0:32048</v>
      </c>
      <c r="E8275" s="6" t="str">
        <f>_xll.QS.INSTRUMENT.SWAP("swap.8273",H8275,B8275,"USD","SOFR",I8275,J8275,0,"Actual360","Simple","Annual","Annual","Annual")</f>
        <v>QSObject:Swap:w1~swap.8273:2917</v>
      </c>
      <c r="F8275" s="6" t="str">
        <f>_xll.QS.TRADE.CREATE("trade.8273",E8275,A8275,"Receive")</f>
        <v>QSObject:SwapTrade:w1~trade.8273:22277</v>
      </c>
      <c r="G8275" s="3">
        <f>_xll.QS.EVALUATE(C8275,F8275)</f>
        <v>44232.847354258665</v>
      </c>
      <c r="H8275" s="5" t="s">
        <v>8315</v>
      </c>
      <c r="I8275" s="7">
        <v>1827300</v>
      </c>
      <c r="J8275" s="8">
        <v>3.73E-2</v>
      </c>
    </row>
    <row r="8276" spans="1:10" x14ac:dyDescent="0.25">
      <c r="A8276" s="5" t="s">
        <v>8309</v>
      </c>
      <c r="B8276" s="5" t="s">
        <v>10143</v>
      </c>
      <c r="C8276" s="6" t="str">
        <f>_xll.QS.CONTEXT.CREATE("market.8274",A8276,"USD","SOFR")</f>
        <v>QSObject:PricingContext:w1~market.8274:2916</v>
      </c>
      <c r="D8276" s="6" t="str">
        <f>_xll.QS.CONTEXT.ADD.CURVE(C8276,"SOFR",$K$2:$K$7,$L$2:$L$7,,,"Actual360","LogLinear",TRUE)</f>
        <v>QSObject:ContextInput:w1~input.qs_context_add_curve.2359132437744.8275.3.0:32047</v>
      </c>
      <c r="E8276" s="6" t="str">
        <f>_xll.QS.INSTRUMENT.SWAP("swap.8274",H8276,B8276,"USD","SOFR",I8276,J8276,0,"Actual360","Simple","Annual","Annual","Annual")</f>
        <v>QSObject:Swap:w1~swap.8274:2915</v>
      </c>
      <c r="F8276" s="6" t="str">
        <f>_xll.QS.TRADE.CREATE("trade.8274",E8276,A8276,"Receive")</f>
        <v>QSObject:SwapTrade:w1~trade.8274:22933</v>
      </c>
      <c r="G8276" s="3">
        <f>_xll.QS.EVALUATE(C8276,F8276)</f>
        <v>45155.633696355617</v>
      </c>
      <c r="H8276" s="5" t="s">
        <v>8316</v>
      </c>
      <c r="I8276" s="7">
        <v>1827400</v>
      </c>
      <c r="J8276" s="8">
        <v>3.7400000000000003E-2</v>
      </c>
    </row>
    <row r="8277" spans="1:10" x14ac:dyDescent="0.25">
      <c r="A8277" s="5" t="s">
        <v>8310</v>
      </c>
      <c r="B8277" s="5" t="s">
        <v>10144</v>
      </c>
      <c r="C8277" s="6" t="str">
        <f>_xll.QS.CONTEXT.CREATE("market.8275",A8277,"USD","SOFR")</f>
        <v>QSObject:PricingContext:w1~market.8275:2914</v>
      </c>
      <c r="D8277" s="6" t="str">
        <f>_xll.QS.CONTEXT.ADD.CURVE(C8277,"SOFR",$K$2:$K$7,$L$2:$L$7,,,"Actual360","LogLinear",TRUE)</f>
        <v>QSObject:ContextInput:w1~input.qs_context_add_curve.2359132437744.8276.3.0:32046</v>
      </c>
      <c r="E8277" s="6" t="str">
        <f>_xll.QS.INSTRUMENT.SWAP("swap.8275",H8277,B8277,"USD","SOFR",I8277,J8277,0,"Actual360","Simple","Annual","Annual","Annual")</f>
        <v>QSObject:Swap:w1~swap.8275:2913</v>
      </c>
      <c r="F8277" s="6" t="str">
        <f>_xll.QS.TRADE.CREATE("trade.8275",E8277,A8277,"Receive")</f>
        <v>QSObject:SwapTrade:w1~trade.8275:31092</v>
      </c>
      <c r="G8277" s="3">
        <f>_xll.QS.EVALUATE(C8277,F8277)</f>
        <v>46077.183559439123</v>
      </c>
      <c r="H8277" s="5" t="s">
        <v>8317</v>
      </c>
      <c r="I8277" s="7">
        <v>1827500</v>
      </c>
      <c r="J8277" s="8">
        <v>3.7500000000000012E-2</v>
      </c>
    </row>
    <row r="8278" spans="1:10" x14ac:dyDescent="0.25">
      <c r="A8278" s="5" t="s">
        <v>8311</v>
      </c>
      <c r="B8278" s="5" t="s">
        <v>10145</v>
      </c>
      <c r="C8278" s="6" t="str">
        <f>_xll.QS.CONTEXT.CREATE("market.8276",A8278,"USD","SOFR")</f>
        <v>QSObject:PricingContext:w1~market.8276:2912</v>
      </c>
      <c r="D8278" s="6" t="str">
        <f>_xll.QS.CONTEXT.ADD.CURVE(C8278,"SOFR",$K$2:$K$7,$L$2:$L$7,,,"Actual360","LogLinear",TRUE)</f>
        <v>QSObject:ContextInput:w1~input.qs_context_add_curve.2359132437744.8277.3.0:32045</v>
      </c>
      <c r="E8278" s="6" t="str">
        <f>_xll.QS.INSTRUMENT.SWAP("swap.8276",H8278,B8278,"USD","SOFR",I8278,J8278,0,"Actual360","Simple","Annual","Annual","Annual")</f>
        <v>QSObject:Swap:w1~swap.8276:2911</v>
      </c>
      <c r="F8278" s="6" t="str">
        <f>_xll.QS.TRADE.CREATE("trade.8276",E8278,A8278,"Receive")</f>
        <v>QSObject:SwapTrade:w1~trade.8276:22276</v>
      </c>
      <c r="G8278" s="3">
        <f>_xll.QS.EVALUATE(C8278,F8278)</f>
        <v>47170.587237773696</v>
      </c>
      <c r="H8278" s="5" t="s">
        <v>8318</v>
      </c>
      <c r="I8278" s="7">
        <v>1827600</v>
      </c>
      <c r="J8278" s="8">
        <v>3.7600000000000001E-2</v>
      </c>
    </row>
    <row r="8279" spans="1:10" x14ac:dyDescent="0.25">
      <c r="A8279" s="5" t="s">
        <v>8312</v>
      </c>
      <c r="B8279" s="5" t="s">
        <v>10146</v>
      </c>
      <c r="C8279" s="6" t="str">
        <f>_xll.QS.CONTEXT.CREATE("market.8277",A8279,"USD","SOFR")</f>
        <v>QSObject:PricingContext:w1~market.8277:2910</v>
      </c>
      <c r="D8279" s="6" t="str">
        <f>_xll.QS.CONTEXT.ADD.CURVE(C8279,"SOFR",$K$2:$K$7,$L$2:$L$7,,,"Actual360","LogLinear",TRUE)</f>
        <v>QSObject:ContextInput:w1~input.qs_context_add_curve.2359132437744.8278.3.0:32044</v>
      </c>
      <c r="E8279" s="6" t="str">
        <f>_xll.QS.INSTRUMENT.SWAP("swap.8277",H8279,B8279,"USD","SOFR",I8279,J8279,0,"Actual360","Simple","Annual","Annual","Annual")</f>
        <v>QSObject:Swap:w1~swap.8277:2909</v>
      </c>
      <c r="F8279" s="6" t="str">
        <f>_xll.QS.TRADE.CREATE("trade.8277",E8279,A8279,"Receive")</f>
        <v>QSObject:SwapTrade:w1~trade.8277:23439</v>
      </c>
      <c r="G8279" s="3">
        <f>_xll.QS.EVALUATE(C8279,F8279)</f>
        <v>48033.144007389878</v>
      </c>
      <c r="H8279" s="5" t="s">
        <v>8319</v>
      </c>
      <c r="I8279" s="7">
        <v>1827700</v>
      </c>
      <c r="J8279" s="8">
        <v>3.7699999999999997E-2</v>
      </c>
    </row>
    <row r="8280" spans="1:10" x14ac:dyDescent="0.25">
      <c r="A8280" s="5" t="s">
        <v>8313</v>
      </c>
      <c r="B8280" s="5" t="s">
        <v>10147</v>
      </c>
      <c r="C8280" s="6" t="str">
        <f>_xll.QS.CONTEXT.CREATE("market.8278",A8280,"USD","SOFR")</f>
        <v>QSObject:PricingContext:w1~market.8278:2908</v>
      </c>
      <c r="D8280" s="6" t="str">
        <f>_xll.QS.CONTEXT.ADD.CURVE(C8280,"SOFR",$K$2:$K$7,$L$2:$L$7,,,"Actual360","LogLinear",TRUE)</f>
        <v>QSObject:ContextInput:w1~input.qs_context_add_curve.2359132437744.8279.3.0:32043</v>
      </c>
      <c r="E8280" s="6" t="str">
        <f>_xll.QS.INSTRUMENT.SWAP("swap.8278",H8280,B8280,"USD","SOFR",I8280,J8280,0,"Actual360","Simple","Annual","Annual","Annual")</f>
        <v>QSObject:Swap:w1~swap.8278:2907</v>
      </c>
      <c r="F8280" s="6" t="str">
        <f>_xll.QS.TRADE.CREATE("trade.8278",E8280,A8280,"Receive")</f>
        <v>QSObject:SwapTrade:w1~trade.8278:22932</v>
      </c>
      <c r="G8280" s="3">
        <f>_xll.QS.EVALUATE(C8280,F8280)</f>
        <v>48877.804602220793</v>
      </c>
      <c r="H8280" s="5" t="s">
        <v>8320</v>
      </c>
      <c r="I8280" s="7">
        <v>1827800</v>
      </c>
      <c r="J8280" s="8">
        <v>3.78E-2</v>
      </c>
    </row>
    <row r="8281" spans="1:10" x14ac:dyDescent="0.25">
      <c r="A8281" s="5" t="s">
        <v>8314</v>
      </c>
      <c r="B8281" s="5" t="s">
        <v>10148</v>
      </c>
      <c r="C8281" s="6" t="str">
        <f>_xll.QS.CONTEXT.CREATE("market.8279",A8281,"USD","SOFR")</f>
        <v>QSObject:PricingContext:w1~market.8279:2906</v>
      </c>
      <c r="D8281" s="6" t="str">
        <f>_xll.QS.CONTEXT.ADD.CURVE(C8281,"SOFR",$K$2:$K$7,$L$2:$L$7,,,"Actual360","LogLinear",TRUE)</f>
        <v>QSObject:ContextInput:w1~input.qs_context_add_curve.2359132437744.8280.3.0:32042</v>
      </c>
      <c r="E8281" s="6" t="str">
        <f>_xll.QS.INSTRUMENT.SWAP("swap.8279",H8281,B8281,"USD","SOFR",I8281,J8281,0,"Actual360","Simple","Annual","Annual","Annual")</f>
        <v>QSObject:Swap:w1~swap.8279:2905</v>
      </c>
      <c r="F8281" s="6" t="str">
        <f>_xll.QS.TRADE.CREATE("trade.8279",E8281,A8281,"Receive")</f>
        <v>QSObject:SwapTrade:w1~trade.8279:31091</v>
      </c>
      <c r="G8281" s="3">
        <f>_xll.QS.EVALUATE(C8281,F8281)</f>
        <v>49587.965906383673</v>
      </c>
      <c r="H8281" s="5" t="s">
        <v>8321</v>
      </c>
      <c r="I8281" s="7">
        <v>1827900</v>
      </c>
      <c r="J8281" s="8">
        <v>3.7900000000000003E-2</v>
      </c>
    </row>
    <row r="8282" spans="1:10" x14ac:dyDescent="0.25">
      <c r="A8282" s="5" t="s">
        <v>8315</v>
      </c>
      <c r="B8282" s="5" t="s">
        <v>10149</v>
      </c>
      <c r="C8282" s="6" t="str">
        <f>_xll.QS.CONTEXT.CREATE("market.8280",A8282,"USD","SOFR")</f>
        <v>QSObject:PricingContext:w1~market.8280:2904</v>
      </c>
      <c r="D8282" s="6" t="str">
        <f>_xll.QS.CONTEXT.ADD.CURVE(C8282,"SOFR",$K$2:$K$7,$L$2:$L$7,,,"Actual360","LogLinear",TRUE)</f>
        <v>QSObject:ContextInput:w1~input.qs_context_add_curve.2359132437744.8281.3.0:32041</v>
      </c>
      <c r="E8282" s="6" t="str">
        <f>_xll.QS.INSTRUMENT.SWAP("swap.8280",H8282,B8282,"USD","SOFR",I8282,J8282,0,"Actual360","Simple","Annual","Annual","Annual")</f>
        <v>QSObject:Swap:w1~swap.8280:2903</v>
      </c>
      <c r="F8282" s="6" t="str">
        <f>_xll.QS.TRADE.CREATE("trade.8280",E8282,A8282,"Receive")</f>
        <v>QSObject:SwapTrade:w1~trade.8280:22275</v>
      </c>
      <c r="G8282" s="3">
        <f>_xll.QS.EVALUATE(C8282,F8282)</f>
        <v>50303.099653323879</v>
      </c>
      <c r="H8282" s="5" t="s">
        <v>8322</v>
      </c>
      <c r="I8282" s="7">
        <v>1828000</v>
      </c>
      <c r="J8282" s="8">
        <v>3.8000000000000013E-2</v>
      </c>
    </row>
    <row r="8283" spans="1:10" x14ac:dyDescent="0.25">
      <c r="A8283" s="5" t="s">
        <v>8316</v>
      </c>
      <c r="B8283" s="5" t="s">
        <v>10150</v>
      </c>
      <c r="C8283" s="6" t="str">
        <f>_xll.QS.CONTEXT.CREATE("market.8281",A8283,"USD","SOFR")</f>
        <v>QSObject:PricingContext:w1~market.8281:2902</v>
      </c>
      <c r="D8283" s="6" t="str">
        <f>_xll.QS.CONTEXT.ADD.CURVE(C8283,"SOFR",$K$2:$K$7,$L$2:$L$7,,,"Actual360","LogLinear",TRUE)</f>
        <v>QSObject:ContextInput:w1~input.qs_context_add_curve.2359132437744.8282.3.0:32040</v>
      </c>
      <c r="E8283" s="6" t="str">
        <f>_xll.QS.INSTRUMENT.SWAP("swap.8281",H8283,B8283,"USD","SOFR",I8283,J8283,0,"Actual360","Simple","Annual","Annual","Annual")</f>
        <v>QSObject:Swap:w1~swap.8281:2901</v>
      </c>
      <c r="F8283" s="6" t="str">
        <f>_xll.QS.TRADE.CREATE("trade.8281",E8283,A8283,"Receive")</f>
        <v>QSObject:SwapTrade:w1~trade.8281:31090</v>
      </c>
      <c r="G8283" s="3">
        <f>_xll.QS.EVALUATE(C8283,F8283)</f>
        <v>51153.037137026942</v>
      </c>
      <c r="H8283" s="5" t="s">
        <v>8323</v>
      </c>
      <c r="I8283" s="7">
        <v>1828100</v>
      </c>
      <c r="J8283" s="8">
        <v>3.8100000000000002E-2</v>
      </c>
    </row>
    <row r="8284" spans="1:10" x14ac:dyDescent="0.25">
      <c r="A8284" s="5" t="s">
        <v>8317</v>
      </c>
      <c r="B8284" s="5" t="s">
        <v>10151</v>
      </c>
      <c r="C8284" s="6" t="str">
        <f>_xll.QS.CONTEXT.CREATE("market.8282",A8284,"USD","SOFR")</f>
        <v>QSObject:PricingContext:w1~market.8282:2900</v>
      </c>
      <c r="D8284" s="6" t="str">
        <f>_xll.QS.CONTEXT.ADD.CURVE(C8284,"SOFR",$K$2:$K$7,$L$2:$L$7,,,"Actual360","LogLinear",TRUE)</f>
        <v>QSObject:ContextInput:w1~input.qs_context_add_curve.2359132437744.8283.3.0:32039</v>
      </c>
      <c r="E8284" s="6" t="str">
        <f>_xll.QS.INSTRUMENT.SWAP("swap.8282",H8284,B8284,"USD","SOFR",I8284,J8284,0,"Actual360","Simple","Annual","Annual","Annual")</f>
        <v>QSObject:Swap:w1~swap.8282:2899</v>
      </c>
      <c r="F8284" s="6" t="str">
        <f>_xll.QS.TRADE.CREATE("trade.8282",E8284,A8284,"Receive")</f>
        <v>QSObject:SwapTrade:w1~trade.8282:22931</v>
      </c>
      <c r="G8284" s="3">
        <f>_xll.QS.EVALUATE(C8284,F8284)</f>
        <v>52043.698266353691</v>
      </c>
      <c r="H8284" s="5" t="s">
        <v>8324</v>
      </c>
      <c r="I8284" s="7">
        <v>1828200</v>
      </c>
      <c r="J8284" s="8">
        <v>3.8199999999999998E-2</v>
      </c>
    </row>
    <row r="8285" spans="1:10" x14ac:dyDescent="0.25">
      <c r="A8285" s="5" t="s">
        <v>8318</v>
      </c>
      <c r="B8285" s="5" t="s">
        <v>10152</v>
      </c>
      <c r="C8285" s="6" t="str">
        <f>_xll.QS.CONTEXT.CREATE("market.8283",A8285,"USD","SOFR")</f>
        <v>QSObject:PricingContext:w1~market.8283:2898</v>
      </c>
      <c r="D8285" s="6" t="str">
        <f>_xll.QS.CONTEXT.ADD.CURVE(C8285,"SOFR",$K$2:$K$7,$L$2:$L$7,,,"Actual360","LogLinear",TRUE)</f>
        <v>QSObject:ContextInput:w1~input.qs_context_add_curve.2359132437744.8284.3.0:32038</v>
      </c>
      <c r="E8285" s="6" t="str">
        <f>_xll.QS.INSTRUMENT.SWAP("swap.8283",H8285,B8285,"USD","SOFR",I8285,J8285,0,"Actual360","Simple","Annual","Annual","Annual")</f>
        <v>QSObject:Swap:w1~swap.8283:2897</v>
      </c>
      <c r="F8285" s="6" t="str">
        <f>_xll.QS.TRADE.CREATE("trade.8283",E8285,A8285,"Receive")</f>
        <v>QSObject:SwapTrade:w1~trade.8283:23438</v>
      </c>
      <c r="G8285" s="3">
        <f>_xll.QS.EVALUATE(C8285,F8285)</f>
        <v>53023.28108971841</v>
      </c>
      <c r="H8285" s="5" t="s">
        <v>8325</v>
      </c>
      <c r="I8285" s="7">
        <v>1828300</v>
      </c>
      <c r="J8285" s="8">
        <v>3.8300000000000001E-2</v>
      </c>
    </row>
    <row r="8286" spans="1:10" x14ac:dyDescent="0.25">
      <c r="A8286" s="5" t="s">
        <v>8319</v>
      </c>
      <c r="B8286" s="5" t="s">
        <v>10153</v>
      </c>
      <c r="C8286" s="6" t="str">
        <f>_xll.QS.CONTEXT.CREATE("market.8284",A8286,"USD","SOFR")</f>
        <v>QSObject:PricingContext:w1~market.8284:2896</v>
      </c>
      <c r="D8286" s="6" t="str">
        <f>_xll.QS.CONTEXT.ADD.CURVE(C8286,"SOFR",$K$2:$K$7,$L$2:$L$7,,,"Actual360","LogLinear",TRUE)</f>
        <v>QSObject:ContextInput:w1~input.qs_context_add_curve.2359132437744.8285.3.0:32037</v>
      </c>
      <c r="E8286" s="6" t="str">
        <f>_xll.QS.INSTRUMENT.SWAP("swap.8284",H8286,B8286,"USD","SOFR",I8286,J8286,0,"Actual360","Simple","Annual","Annual","Annual")</f>
        <v>QSObject:Swap:w1~swap.8284:2895</v>
      </c>
      <c r="F8286" s="6" t="str">
        <f>_xll.QS.TRADE.CREATE("trade.8284",E8286,A8286,"Receive")</f>
        <v>QSObject:SwapTrade:w1~trade.8284:22930</v>
      </c>
      <c r="G8286" s="3">
        <f>_xll.QS.EVALUATE(C8286,F8286)</f>
        <v>53949.239944661094</v>
      </c>
      <c r="H8286" s="5" t="s">
        <v>8326</v>
      </c>
      <c r="I8286" s="7">
        <v>1828400</v>
      </c>
      <c r="J8286" s="8">
        <v>3.8399999999999997E-2</v>
      </c>
    </row>
    <row r="8287" spans="1:10" x14ac:dyDescent="0.25">
      <c r="A8287" s="5" t="s">
        <v>8320</v>
      </c>
      <c r="B8287" s="5" t="s">
        <v>10154</v>
      </c>
      <c r="C8287" s="6" t="str">
        <f>_xll.QS.CONTEXT.CREATE("market.8285",A8287,"USD","SOFR")</f>
        <v>QSObject:PricingContext:w1~market.8285:2894</v>
      </c>
      <c r="D8287" s="6" t="str">
        <f>_xll.QS.CONTEXT.ADD.CURVE(C8287,"SOFR",$K$2:$K$7,$L$2:$L$7,,,"Actual360","LogLinear",TRUE)</f>
        <v>QSObject:ContextInput:w1~input.qs_context_add_curve.2359132437744.8286.3.0:32036</v>
      </c>
      <c r="E8287" s="6" t="str">
        <f>_xll.QS.INSTRUMENT.SWAP("swap.8285",H8287,B8287,"USD","SOFR",I8287,J8287,0,"Actual360","Simple","Annual","Annual","Annual")</f>
        <v>QSObject:Swap:w1~swap.8285:2893</v>
      </c>
      <c r="F8287" s="6" t="str">
        <f>_xll.QS.TRADE.CREATE("trade.8285",E8287,A8287,"Receive")</f>
        <v>QSObject:SwapTrade:w1~trade.8285:31089</v>
      </c>
      <c r="G8287" s="3">
        <f>_xll.QS.EVALUATE(C8287,F8287)</f>
        <v>54724.832432440875</v>
      </c>
      <c r="H8287" s="5" t="s">
        <v>8327</v>
      </c>
      <c r="I8287" s="7">
        <v>1828500</v>
      </c>
      <c r="J8287" s="8">
        <v>3.8500000000000013E-2</v>
      </c>
    </row>
    <row r="8288" spans="1:10" x14ac:dyDescent="0.25">
      <c r="A8288" s="5" t="s">
        <v>8321</v>
      </c>
      <c r="B8288" s="5" t="s">
        <v>10155</v>
      </c>
      <c r="C8288" s="6" t="str">
        <f>_xll.QS.CONTEXT.CREATE("market.8286",A8288,"USD","SOFR")</f>
        <v>QSObject:PricingContext:w1~market.8286:2892</v>
      </c>
      <c r="D8288" s="6" t="str">
        <f>_xll.QS.CONTEXT.ADD.CURVE(C8288,"SOFR",$K$2:$K$7,$L$2:$L$7,,,"Actual360","LogLinear",TRUE)</f>
        <v>QSObject:ContextInput:w1~input.qs_context_add_curve.2359132437744.8287.3.0:32035</v>
      </c>
      <c r="E8288" s="6" t="str">
        <f>_xll.QS.INSTRUMENT.SWAP("swap.8286",H8288,B8288,"USD","SOFR",I8288,J8288,0,"Actual360","Simple","Annual","Annual","Annual")</f>
        <v>QSObject:Swap:w1~swap.8286:2891</v>
      </c>
      <c r="F8288" s="6" t="str">
        <f>_xll.QS.TRADE.CREATE("trade.8286",E8288,A8288,"Receive")</f>
        <v>QSObject:SwapTrade:w1~trade.8286:22929</v>
      </c>
      <c r="G8288" s="3">
        <f>_xll.QS.EVALUATE(C8288,F8288)</f>
        <v>55428.5589417132</v>
      </c>
      <c r="H8288" s="5" t="s">
        <v>8328</v>
      </c>
      <c r="I8288" s="7">
        <v>1828600</v>
      </c>
      <c r="J8288" s="8">
        <v>3.8600000000000002E-2</v>
      </c>
    </row>
    <row r="8289" spans="1:10" x14ac:dyDescent="0.25">
      <c r="A8289" s="5" t="s">
        <v>8322</v>
      </c>
      <c r="B8289" s="5" t="s">
        <v>10156</v>
      </c>
      <c r="C8289" s="6" t="str">
        <f>_xll.QS.CONTEXT.CREATE("market.8287",A8289,"USD","SOFR")</f>
        <v>QSObject:PricingContext:w1~market.8287:2890</v>
      </c>
      <c r="D8289" s="6" t="str">
        <f>_xll.QS.CONTEXT.ADD.CURVE(C8289,"SOFR",$K$2:$K$7,$L$2:$L$7,,,"Actual360","LogLinear",TRUE)</f>
        <v>QSObject:ContextInput:w1~input.qs_context_add_curve.2359132437744.8288.3.0:32034</v>
      </c>
      <c r="E8289" s="6" t="str">
        <f>_xll.QS.INSTRUMENT.SWAP("swap.8287",H8289,B8289,"USD","SOFR",I8289,J8289,0,"Actual360","Simple","Annual","Annual","Annual")</f>
        <v>QSObject:Swap:w1~swap.8287:2889</v>
      </c>
      <c r="F8289" s="6" t="str">
        <f>_xll.QS.TRADE.CREATE("trade.8287",E8289,A8289,"Receive")</f>
        <v>QSObject:SwapTrade:w1~trade.8287:23437</v>
      </c>
      <c r="G8289" s="3">
        <f>_xll.QS.EVALUATE(C8289,F8289)</f>
        <v>56153.61678704268</v>
      </c>
      <c r="H8289" s="5" t="s">
        <v>8329</v>
      </c>
      <c r="I8289" s="7">
        <v>1828700</v>
      </c>
      <c r="J8289" s="8">
        <v>3.8700000000000012E-2</v>
      </c>
    </row>
    <row r="8290" spans="1:10" x14ac:dyDescent="0.25">
      <c r="A8290" s="5" t="s">
        <v>8323</v>
      </c>
      <c r="B8290" s="5" t="s">
        <v>10157</v>
      </c>
      <c r="C8290" s="6" t="str">
        <f>_xll.QS.CONTEXT.CREATE("market.8288",A8290,"USD","SOFR")</f>
        <v>QSObject:PricingContext:w1~market.8288:2888</v>
      </c>
      <c r="D8290" s="6" t="str">
        <f>_xll.QS.CONTEXT.ADD.CURVE(C8290,"SOFR",$K$2:$K$7,$L$2:$L$7,,,"Actual360","LogLinear",TRUE)</f>
        <v>QSObject:ContextInput:w1~input.qs_context_add_curve.2359132437744.8289.3.0:32033</v>
      </c>
      <c r="E8290" s="6" t="str">
        <f>_xll.QS.INSTRUMENT.SWAP("swap.8288",H8290,B8290,"USD","SOFR",I8290,J8290,0,"Actual360","Simple","Annual","Annual","Annual")</f>
        <v>QSObject:Swap:w1~swap.8288:2887</v>
      </c>
      <c r="F8290" s="6" t="str">
        <f>_xll.QS.TRADE.CREATE("trade.8288",E8290,A8290,"Receive")</f>
        <v>QSObject:SwapTrade:w1~trade.8288:22928</v>
      </c>
      <c r="G8290" s="3">
        <f>_xll.QS.EVALUATE(C8290,F8290)</f>
        <v>57078.445935330776</v>
      </c>
      <c r="H8290" s="5" t="s">
        <v>8330</v>
      </c>
      <c r="I8290" s="7">
        <v>1828800</v>
      </c>
      <c r="J8290" s="8">
        <v>3.8800000000000001E-2</v>
      </c>
    </row>
    <row r="8291" spans="1:10" x14ac:dyDescent="0.25">
      <c r="A8291" s="5" t="s">
        <v>8324</v>
      </c>
      <c r="B8291" s="5" t="s">
        <v>10158</v>
      </c>
      <c r="C8291" s="6" t="str">
        <f>_xll.QS.CONTEXT.CREATE("market.8289",A8291,"USD","SOFR")</f>
        <v>QSObject:PricingContext:w1~market.8289:2886</v>
      </c>
      <c r="D8291" s="6" t="str">
        <f>_xll.QS.CONTEXT.ADD.CURVE(C8291,"SOFR",$K$2:$K$7,$L$2:$L$7,,,"Actual360","LogLinear",TRUE)</f>
        <v>QSObject:ContextInput:w1~input.qs_context_add_curve.2359132437744.8290.3.0:32032</v>
      </c>
      <c r="E8291" s="6" t="str">
        <f>_xll.QS.INSTRUMENT.SWAP("swap.8289",H8291,B8291,"USD","SOFR",I8291,J8291,0,"Actual360","Simple","Annual","Annual","Annual")</f>
        <v>QSObject:Swap:w1~swap.8289:2885</v>
      </c>
      <c r="F8291" s="6" t="str">
        <f>_xll.QS.TRADE.CREATE("trade.8289",E8291,A8291,"Receive")</f>
        <v>QSObject:SwapTrade:w1~trade.8289:22274</v>
      </c>
      <c r="G8291" s="3">
        <f>_xll.QS.EVALUATE(C8291,F8291)</f>
        <v>57967.100092035485</v>
      </c>
      <c r="H8291" s="5" t="s">
        <v>8331</v>
      </c>
      <c r="I8291" s="7">
        <v>1828900</v>
      </c>
      <c r="J8291" s="8">
        <v>3.8899999999999997E-2</v>
      </c>
    </row>
    <row r="8292" spans="1:10" x14ac:dyDescent="0.25">
      <c r="A8292" s="5" t="s">
        <v>8325</v>
      </c>
      <c r="B8292" s="5" t="s">
        <v>10159</v>
      </c>
      <c r="C8292" s="6" t="str">
        <f>_xll.QS.CONTEXT.CREATE("market.8290",A8292,"USD","SOFR")</f>
        <v>QSObject:PricingContext:w1~market.8290:2884</v>
      </c>
      <c r="D8292" s="6" t="str">
        <f>_xll.QS.CONTEXT.ADD.CURVE(C8292,"SOFR",$K$2:$K$7,$L$2:$L$7,,,"Actual360","LogLinear",TRUE)</f>
        <v>QSObject:ContextInput:w1~input.qs_context_add_curve.2359132437744.8291.3.0:32031</v>
      </c>
      <c r="E8292" s="6" t="str">
        <f>_xll.QS.INSTRUMENT.SWAP("swap.8290",H8292,B8292,"USD","SOFR",I8292,J8292,0,"Actual360","Simple","Annual","Annual","Annual")</f>
        <v>QSObject:Swap:w1~swap.8290:2883</v>
      </c>
      <c r="F8292" s="6" t="str">
        <f>_xll.QS.TRADE.CREATE("trade.8290",E8292,A8292,"Receive")</f>
        <v>QSObject:SwapTrade:w1~trade.8290:31088</v>
      </c>
      <c r="G8292" s="3">
        <f>_xll.QS.EVALUATE(C8292,F8292)</f>
        <v>58947.480447244765</v>
      </c>
      <c r="H8292" s="5" t="s">
        <v>8332</v>
      </c>
      <c r="I8292" s="7">
        <v>1829000</v>
      </c>
      <c r="J8292" s="8">
        <v>3.9000000000000007E-2</v>
      </c>
    </row>
    <row r="8293" spans="1:10" x14ac:dyDescent="0.25">
      <c r="A8293" s="5" t="s">
        <v>8326</v>
      </c>
      <c r="B8293" s="5" t="s">
        <v>10160</v>
      </c>
      <c r="C8293" s="6" t="str">
        <f>_xll.QS.CONTEXT.CREATE("market.8291",A8293,"USD","SOFR")</f>
        <v>QSObject:PricingContext:w1~market.8291:2882</v>
      </c>
      <c r="D8293" s="6" t="str">
        <f>_xll.QS.CONTEXT.ADD.CURVE(C8293,"SOFR",$K$2:$K$7,$L$2:$L$7,,,"Actual360","LogLinear",TRUE)</f>
        <v>QSObject:ContextInput:w1~input.qs_context_add_curve.2359132437744.8292.3.0:32030</v>
      </c>
      <c r="E8293" s="6" t="str">
        <f>_xll.QS.INSTRUMENT.SWAP("swap.8291",H8293,B8293,"USD","SOFR",I8293,J8293,0,"Actual360","Simple","Annual","Annual","Annual")</f>
        <v>QSObject:Swap:w1~swap.8291:2881</v>
      </c>
      <c r="F8293" s="6" t="str">
        <f>_xll.QS.TRADE.CREATE("trade.8291",E8293,A8293,"Receive")</f>
        <v>QSObject:SwapTrade:w1~trade.8291:22273</v>
      </c>
      <c r="G8293" s="3">
        <f>_xll.QS.EVALUATE(C8293,F8293)</f>
        <v>59874.246136055859</v>
      </c>
      <c r="H8293" s="5" t="s">
        <v>8333</v>
      </c>
      <c r="I8293" s="7">
        <v>1829100</v>
      </c>
      <c r="J8293" s="8">
        <v>3.9100000000000003E-2</v>
      </c>
    </row>
    <row r="8294" spans="1:10" x14ac:dyDescent="0.25">
      <c r="A8294" s="5" t="s">
        <v>8327</v>
      </c>
      <c r="B8294" s="5" t="s">
        <v>10161</v>
      </c>
      <c r="C8294" s="6" t="str">
        <f>_xll.QS.CONTEXT.CREATE("market.8292",A8294,"USD","SOFR")</f>
        <v>QSObject:PricingContext:w1~market.8292:2880</v>
      </c>
      <c r="D8294" s="6" t="str">
        <f>_xll.QS.CONTEXT.ADD.CURVE(C8294,"SOFR",$K$2:$K$7,$L$2:$L$7,,,"Actual360","LogLinear",TRUE)</f>
        <v>QSObject:ContextInput:w1~input.qs_context_add_curve.2359132437744.8293.3.0:32029</v>
      </c>
      <c r="E8294" s="6" t="str">
        <f>_xll.QS.INSTRUMENT.SWAP("swap.8292",H8294,B8294,"USD","SOFR",I8294,J8294,0,"Actual360","Simple","Annual","Annual","Annual")</f>
        <v>QSObject:Swap:w1~swap.8292:2879</v>
      </c>
      <c r="F8294" s="6" t="str">
        <f>_xll.QS.TRADE.CREATE("trade.8292",E8294,A8294,"Receive")</f>
        <v>QSObject:SwapTrade:w1~trade.8292:22272</v>
      </c>
      <c r="G8294" s="3">
        <f>_xll.QS.EVALUATE(C8294,F8294)</f>
        <v>60650.393406054456</v>
      </c>
      <c r="H8294" s="5" t="s">
        <v>8334</v>
      </c>
      <c r="I8294" s="7">
        <v>1829200</v>
      </c>
      <c r="J8294" s="8">
        <v>3.9200000000000013E-2</v>
      </c>
    </row>
    <row r="8295" spans="1:10" x14ac:dyDescent="0.25">
      <c r="A8295" s="5" t="s">
        <v>8328</v>
      </c>
      <c r="B8295" s="5" t="s">
        <v>10162</v>
      </c>
      <c r="C8295" s="6" t="str">
        <f>_xll.QS.CONTEXT.CREATE("market.8293",A8295,"USD","SOFR")</f>
        <v>QSObject:PricingContext:w1~market.8293:2878</v>
      </c>
      <c r="D8295" s="6" t="str">
        <f>_xll.QS.CONTEXT.ADD.CURVE(C8295,"SOFR",$K$2:$K$7,$L$2:$L$7,,,"Actual360","LogLinear",TRUE)</f>
        <v>QSObject:ContextInput:w1~input.qs_context_add_curve.2359132437744.8294.3.0:32028</v>
      </c>
      <c r="E8295" s="6" t="str">
        <f>_xll.QS.INSTRUMENT.SWAP("swap.8293",H8295,B8295,"USD","SOFR",I8295,J8295,0,"Actual360","Simple","Annual","Annual","Annual")</f>
        <v>QSObject:Swap:w1~swap.8293:2877</v>
      </c>
      <c r="F8295" s="6" t="str">
        <f>_xll.QS.TRADE.CREATE("trade.8293",E8295,A8295,"Receive")</f>
        <v>QSObject:SwapTrade:w1~trade.8293:31087</v>
      </c>
      <c r="G8295" s="3">
        <f>_xll.QS.EVALUATE(C8295,F8295)</f>
        <v>61347.757268538822</v>
      </c>
      <c r="H8295" s="5" t="s">
        <v>8335</v>
      </c>
      <c r="I8295" s="7">
        <v>1829300</v>
      </c>
      <c r="J8295" s="8">
        <v>3.9300000000000002E-2</v>
      </c>
    </row>
    <row r="8296" spans="1:10" x14ac:dyDescent="0.25">
      <c r="A8296" s="5" t="s">
        <v>8329</v>
      </c>
      <c r="B8296" s="5" t="s">
        <v>10163</v>
      </c>
      <c r="C8296" s="6" t="str">
        <f>_xll.QS.CONTEXT.CREATE("market.8294",A8296,"USD","SOFR")</f>
        <v>QSObject:PricingContext:w1~market.8294:2876</v>
      </c>
      <c r="D8296" s="6" t="str">
        <f>_xll.QS.CONTEXT.ADD.CURVE(C8296,"SOFR",$K$2:$K$7,$L$2:$L$7,,,"Actual360","LogLinear",TRUE)</f>
        <v>QSObject:ContextInput:w1~input.qs_context_add_curve.2359132437744.8295.3.0:32027</v>
      </c>
      <c r="E8296" s="6" t="str">
        <f>_xll.QS.INSTRUMENT.SWAP("swap.8294",H8296,B8296,"USD","SOFR",I8296,J8296,0,"Actual360","Simple","Annual","Annual","Annual")</f>
        <v>QSObject:Swap:w1~swap.8294:2875</v>
      </c>
      <c r="F8296" s="6" t="str">
        <f>_xll.QS.TRADE.CREATE("trade.8294",E8296,A8296,"Receive")</f>
        <v>QSObject:SwapTrade:w1~trade.8294:31086</v>
      </c>
      <c r="G8296" s="3">
        <f>_xll.QS.EVALUATE(C8296,F8296)</f>
        <v>62082.568999190051</v>
      </c>
      <c r="H8296" s="5" t="s">
        <v>8336</v>
      </c>
      <c r="I8296" s="7">
        <v>1829400</v>
      </c>
      <c r="J8296" s="8">
        <v>3.9399999999999998E-2</v>
      </c>
    </row>
    <row r="8297" spans="1:10" x14ac:dyDescent="0.25">
      <c r="A8297" s="5" t="s">
        <v>8330</v>
      </c>
      <c r="B8297" s="5" t="s">
        <v>10164</v>
      </c>
      <c r="C8297" s="6" t="str">
        <f>_xll.QS.CONTEXT.CREATE("market.8295",A8297,"USD","SOFR")</f>
        <v>QSObject:PricingContext:w1~market.8295:2874</v>
      </c>
      <c r="D8297" s="6" t="str">
        <f>_xll.QS.CONTEXT.ADD.CURVE(C8297,"SOFR",$K$2:$K$7,$L$2:$L$7,,,"Actual360","LogLinear",TRUE)</f>
        <v>QSObject:ContextInput:w1~input.qs_context_add_curve.2359132437744.8296.3.0:32026</v>
      </c>
      <c r="E8297" s="6" t="str">
        <f>_xll.QS.INSTRUMENT.SWAP("swap.8295",H8297,B8297,"USD","SOFR",I8297,J8297,0,"Actual360","Simple","Annual","Annual","Annual")</f>
        <v>QSObject:Swap:w1~swap.8295:2873</v>
      </c>
      <c r="F8297" s="6" t="str">
        <f>_xll.QS.TRADE.CREATE("trade.8295",E8297,A8297,"Receive")</f>
        <v>QSObject:SwapTrade:w1~trade.8295:23436</v>
      </c>
      <c r="G8297" s="3">
        <f>_xll.QS.EVALUATE(C8297,F8297)</f>
        <v>63008.645955268214</v>
      </c>
      <c r="H8297" s="5" t="s">
        <v>8337</v>
      </c>
      <c r="I8297" s="7">
        <v>1829500</v>
      </c>
      <c r="J8297" s="8">
        <v>3.9500000000000007E-2</v>
      </c>
    </row>
    <row r="8298" spans="1:10" x14ac:dyDescent="0.25">
      <c r="A8298" s="5" t="s">
        <v>8331</v>
      </c>
      <c r="B8298" s="5" t="s">
        <v>10165</v>
      </c>
      <c r="C8298" s="6" t="str">
        <f>_xll.QS.CONTEXT.CREATE("market.8296",A8298,"USD","SOFR")</f>
        <v>QSObject:PricingContext:w1~market.8296:2872</v>
      </c>
      <c r="D8298" s="6" t="str">
        <f>_xll.QS.CONTEXT.ADD.CURVE(C8298,"SOFR",$K$2:$K$7,$L$2:$L$7,,,"Actual360","LogLinear",TRUE)</f>
        <v>QSObject:ContextInput:w1~input.qs_context_add_curve.2359132437744.8297.3.0:32025</v>
      </c>
      <c r="E8298" s="6" t="str">
        <f>_xll.QS.INSTRUMENT.SWAP("swap.8296",H8298,B8298,"USD","SOFR",I8298,J8298,0,"Actual360","Simple","Annual","Annual","Annual")</f>
        <v>QSObject:Swap:w1~swap.8296:2871</v>
      </c>
      <c r="F8298" s="6" t="str">
        <f>_xll.QS.TRADE.CREATE("trade.8296",E8298,A8298,"Receive")</f>
        <v>QSObject:SwapTrade:w1~trade.8296:22927</v>
      </c>
      <c r="G8298" s="3">
        <f>_xll.QS.EVALUATE(C8298,F8298)</f>
        <v>63895.097011124446</v>
      </c>
      <c r="H8298" s="5" t="s">
        <v>8338</v>
      </c>
      <c r="I8298" s="7">
        <v>1829600</v>
      </c>
      <c r="J8298" s="8">
        <v>3.9600000000000003E-2</v>
      </c>
    </row>
    <row r="8299" spans="1:10" x14ac:dyDescent="0.25">
      <c r="A8299" s="5" t="s">
        <v>8332</v>
      </c>
      <c r="B8299" s="5" t="s">
        <v>10166</v>
      </c>
      <c r="C8299" s="6" t="str">
        <f>_xll.QS.CONTEXT.CREATE("market.8297",A8299,"USD","SOFR")</f>
        <v>QSObject:PricingContext:w1~market.8297:2870</v>
      </c>
      <c r="D8299" s="6" t="str">
        <f>_xll.QS.CONTEXT.ADD.CURVE(C8299,"SOFR",$K$2:$K$7,$L$2:$L$7,,,"Actual360","LogLinear",TRUE)</f>
        <v>QSObject:ContextInput:w1~input.qs_context_add_curve.2359132437744.8298.3.0:32024</v>
      </c>
      <c r="E8299" s="6" t="str">
        <f>_xll.QS.INSTRUMENT.SWAP("swap.8297",H8299,B8299,"USD","SOFR",I8299,J8299,0,"Actual360","Simple","Annual","Annual","Annual")</f>
        <v>QSObject:Swap:w1~swap.8297:2869</v>
      </c>
      <c r="F8299" s="6" t="str">
        <f>_xll.QS.TRADE.CREATE("trade.8297",E8299,A8299,"Receive")</f>
        <v>QSObject:SwapTrade:w1~trade.8297:22271</v>
      </c>
      <c r="G8299" s="3">
        <f>_xll.QS.EVALUATE(C8299,F8299)</f>
        <v>64876.261795256469</v>
      </c>
      <c r="H8299" s="5" t="s">
        <v>8339</v>
      </c>
      <c r="I8299" s="7">
        <v>1829700</v>
      </c>
      <c r="J8299" s="8">
        <v>3.9700000000000013E-2</v>
      </c>
    </row>
    <row r="8300" spans="1:10" x14ac:dyDescent="0.25">
      <c r="A8300" s="5" t="s">
        <v>8333</v>
      </c>
      <c r="B8300" s="5" t="s">
        <v>10167</v>
      </c>
      <c r="C8300" s="6" t="str">
        <f>_xll.QS.CONTEXT.CREATE("market.8298",A8300,"USD","SOFR")</f>
        <v>QSObject:PricingContext:w1~market.8298:2868</v>
      </c>
      <c r="D8300" s="6" t="str">
        <f>_xll.QS.CONTEXT.ADD.CURVE(C8300,"SOFR",$K$2:$K$7,$L$2:$L$7,,,"Actual360","LogLinear",TRUE)</f>
        <v>QSObject:ContextInput:w1~input.qs_context_add_curve.2359132437744.8299.3.0:32023</v>
      </c>
      <c r="E8300" s="6" t="str">
        <f>_xll.QS.INSTRUMENT.SWAP("swap.8298",H8300,B8300,"USD","SOFR",I8300,J8300,0,"Actual360","Simple","Annual","Annual","Annual")</f>
        <v>QSObject:Swap:w1~swap.8298:2867</v>
      </c>
      <c r="F8300" s="6" t="str">
        <f>_xll.QS.TRADE.CREATE("trade.8298",E8300,A8300,"Receive")</f>
        <v>QSObject:SwapTrade:w1~trade.8298:22926</v>
      </c>
      <c r="G8300" s="3">
        <f>_xll.QS.EVALUATE(C8300,F8300)</f>
        <v>65803.771540471003</v>
      </c>
      <c r="H8300" s="5" t="s">
        <v>8340</v>
      </c>
      <c r="I8300" s="7">
        <v>1829800</v>
      </c>
      <c r="J8300" s="8">
        <v>3.9800000000000002E-2</v>
      </c>
    </row>
    <row r="8301" spans="1:10" x14ac:dyDescent="0.25">
      <c r="A8301" s="5" t="s">
        <v>8334</v>
      </c>
      <c r="B8301" s="5" t="s">
        <v>10168</v>
      </c>
      <c r="C8301" s="6" t="str">
        <f>_xll.QS.CONTEXT.CREATE("market.8299",A8301,"USD","SOFR")</f>
        <v>QSObject:PricingContext:w1~market.8299:2866</v>
      </c>
      <c r="D8301" s="6" t="str">
        <f>_xll.QS.CONTEXT.ADD.CURVE(C8301,"SOFR",$K$2:$K$7,$L$2:$L$7,,,"Actual360","LogLinear",TRUE)</f>
        <v>QSObject:ContextInput:w1~input.qs_context_add_curve.2359132437744.8300.3.0:32022</v>
      </c>
      <c r="E8301" s="6" t="str">
        <f>_xll.QS.INSTRUMENT.SWAP("swap.8299",H8301,B8301,"USD","SOFR",I8301,J8301,0,"Actual360","Simple","Annual","Annual","Annual")</f>
        <v>QSObject:Swap:w1~swap.8299:2865</v>
      </c>
      <c r="F8301" s="6" t="str">
        <f>_xll.QS.TRADE.CREATE("trade.8299",E8301,A8301,"Receive")</f>
        <v>QSObject:SwapTrade:w1~trade.8299:23435</v>
      </c>
      <c r="G8301" s="3">
        <f>_xll.QS.EVALUATE(C8301,F8301)</f>
        <v>66580.473543852859</v>
      </c>
      <c r="H8301" s="5" t="s">
        <v>8341</v>
      </c>
      <c r="I8301" s="7">
        <v>1829900</v>
      </c>
      <c r="J8301" s="8">
        <v>3.9899999999999998E-2</v>
      </c>
    </row>
    <row r="8302" spans="1:10" x14ac:dyDescent="0.25">
      <c r="A8302" s="5" t="s">
        <v>8335</v>
      </c>
      <c r="B8302" s="5" t="s">
        <v>10169</v>
      </c>
      <c r="C8302" s="6" t="str">
        <f>_xll.QS.CONTEXT.CREATE("market.8300",A8302,"USD","SOFR")</f>
        <v>QSObject:PricingContext:w1~market.8300:2864</v>
      </c>
      <c r="D8302" s="6" t="str">
        <f>_xll.QS.CONTEXT.ADD.CURVE(C8302,"SOFR",$K$2:$K$7,$L$2:$L$7,,,"Actual360","LogLinear",TRUE)</f>
        <v>QSObject:ContextInput:w1~input.qs_context_add_curve.2359132437744.8301.3.0:32021</v>
      </c>
      <c r="E8302" s="6" t="str">
        <f>_xll.QS.INSTRUMENT.SWAP("swap.8300",H8302,B8302,"USD","SOFR",I8302,J8302,0,"Actual360","Simple","Annual","Annual","Annual")</f>
        <v>QSObject:Swap:w1~swap.8300:2863</v>
      </c>
      <c r="F8302" s="6" t="str">
        <f>_xll.QS.TRADE.CREATE("trade.8300",E8302,A8302,"Receive")</f>
        <v>QSObject:SwapTrade:w1~trade.8300:23434</v>
      </c>
      <c r="G8302" s="3">
        <f>_xll.QS.EVALUATE(C8302,F8302)</f>
        <v>25178.869559086474</v>
      </c>
      <c r="H8302" s="5" t="s">
        <v>8342</v>
      </c>
      <c r="I8302" s="7">
        <v>1830000</v>
      </c>
      <c r="J8302" s="8">
        <v>3.5000000000000003E-2</v>
      </c>
    </row>
    <row r="8303" spans="1:10" x14ac:dyDescent="0.25">
      <c r="A8303" s="5" t="s">
        <v>8336</v>
      </c>
      <c r="B8303" s="5" t="s">
        <v>10170</v>
      </c>
      <c r="C8303" s="6" t="str">
        <f>_xll.QS.CONTEXT.CREATE("market.8301",A8303,"USD","SOFR")</f>
        <v>QSObject:PricingContext:w1~market.8301:2862</v>
      </c>
      <c r="D8303" s="6" t="str">
        <f>_xll.QS.CONTEXT.ADD.CURVE(C8303,"SOFR",$K$2:$K$7,$L$2:$L$7,,,"Actual360","LogLinear",TRUE)</f>
        <v>QSObject:ContextInput:w1~input.qs_context_add_curve.2359132437744.8302.3.0:32020</v>
      </c>
      <c r="E8303" s="6" t="str">
        <f>_xll.QS.INSTRUMENT.SWAP("swap.8301",H8303,B8303,"USD","SOFR",I8303,J8303,0,"Actual360","Simple","Annual","Annual","Annual")</f>
        <v>QSObject:Swap:w1~swap.8301:2861</v>
      </c>
      <c r="F8303" s="6" t="str">
        <f>_xll.QS.TRADE.CREATE("trade.8301",E8303,A8303,"Receive")</f>
        <v>QSObject:SwapTrade:w1~trade.8301:22270</v>
      </c>
      <c r="G8303" s="3">
        <f>_xll.QS.EVALUATE(C8303,F8303)</f>
        <v>26026.634832940559</v>
      </c>
      <c r="H8303" s="5" t="s">
        <v>8343</v>
      </c>
      <c r="I8303" s="7">
        <v>1830100</v>
      </c>
      <c r="J8303" s="8">
        <v>3.5100000000000013E-2</v>
      </c>
    </row>
    <row r="8304" spans="1:10" x14ac:dyDescent="0.25">
      <c r="A8304" s="5" t="s">
        <v>8337</v>
      </c>
      <c r="B8304" s="5" t="s">
        <v>10171</v>
      </c>
      <c r="C8304" s="6" t="str">
        <f>_xll.QS.CONTEXT.CREATE("market.8302",A8304,"USD","SOFR")</f>
        <v>QSObject:PricingContext:w1~market.8302:2860</v>
      </c>
      <c r="D8304" s="6" t="str">
        <f>_xll.QS.CONTEXT.ADD.CURVE(C8304,"SOFR",$K$2:$K$7,$L$2:$L$7,,,"Actual360","LogLinear",TRUE)</f>
        <v>QSObject:ContextInput:w1~input.qs_context_add_curve.2359132437744.8303.3.0:32019</v>
      </c>
      <c r="E8304" s="6" t="str">
        <f>_xll.QS.INSTRUMENT.SWAP("swap.8302",H8304,B8304,"USD","SOFR",I8304,J8304,0,"Actual360","Simple","Annual","Annual","Annual")</f>
        <v>QSObject:Swap:w1~swap.8302:2859</v>
      </c>
      <c r="F8304" s="6" t="str">
        <f>_xll.QS.TRADE.CREATE("trade.8302",E8304,A8304,"Receive")</f>
        <v>QSObject:SwapTrade:w1~trade.8302:31085</v>
      </c>
      <c r="G8304" s="3">
        <f>_xll.QS.EVALUATE(C8304,F8304)</f>
        <v>26724.702608141459</v>
      </c>
      <c r="H8304" s="5" t="s">
        <v>8344</v>
      </c>
      <c r="I8304" s="7">
        <v>1830200</v>
      </c>
      <c r="J8304" s="8">
        <v>3.5200000000000002E-2</v>
      </c>
    </row>
    <row r="8305" spans="1:10" x14ac:dyDescent="0.25">
      <c r="A8305" s="5" t="s">
        <v>8338</v>
      </c>
      <c r="B8305" s="5" t="s">
        <v>10172</v>
      </c>
      <c r="C8305" s="6" t="str">
        <f>_xll.QS.CONTEXT.CREATE("market.8303",A8305,"USD","SOFR")</f>
        <v>QSObject:PricingContext:w1~market.8303:2858</v>
      </c>
      <c r="D8305" s="6" t="str">
        <f>_xll.QS.CONTEXT.ADD.CURVE(C8305,"SOFR",$K$2:$K$7,$L$2:$L$7,,,"Actual360","LogLinear",TRUE)</f>
        <v>QSObject:ContextInput:w1~input.qs_context_add_curve.2359132437744.8304.3.0:32018</v>
      </c>
      <c r="E8305" s="6" t="str">
        <f>_xll.QS.INSTRUMENT.SWAP("swap.8303",H8305,B8305,"USD","SOFR",I8305,J8305,0,"Actual360","Simple","Annual","Annual","Annual")</f>
        <v>QSObject:Swap:w1~swap.8303:2857</v>
      </c>
      <c r="F8305" s="6" t="str">
        <f>_xll.QS.TRADE.CREATE("trade.8303",E8305,A8305,"Receive")</f>
        <v>QSObject:SwapTrade:w1~trade.8303:22925</v>
      </c>
      <c r="G8305" s="3">
        <f>_xll.QS.EVALUATE(C8305,F8305)</f>
        <v>27627.113579515106</v>
      </c>
      <c r="H8305" s="5" t="s">
        <v>8345</v>
      </c>
      <c r="I8305" s="7">
        <v>1830300</v>
      </c>
      <c r="J8305" s="8">
        <v>3.5299999999999998E-2</v>
      </c>
    </row>
    <row r="8306" spans="1:10" x14ac:dyDescent="0.25">
      <c r="A8306" s="5" t="s">
        <v>8339</v>
      </c>
      <c r="B8306" s="5" t="s">
        <v>10173</v>
      </c>
      <c r="C8306" s="6" t="str">
        <f>_xll.QS.CONTEXT.CREATE("market.8304",A8306,"USD","SOFR")</f>
        <v>QSObject:PricingContext:w1~market.8304:2856</v>
      </c>
      <c r="D8306" s="6" t="str">
        <f>_xll.QS.CONTEXT.ADD.CURVE(C8306,"SOFR",$K$2:$K$7,$L$2:$L$7,,,"Actual360","LogLinear",TRUE)</f>
        <v>QSObject:ContextInput:w1~input.qs_context_add_curve.2359132437744.8305.3.0:32017</v>
      </c>
      <c r="E8306" s="6" t="str">
        <f>_xll.QS.INSTRUMENT.SWAP("swap.8304",H8306,B8306,"USD","SOFR",I8306,J8306,0,"Actual360","Simple","Annual","Annual","Annual")</f>
        <v>QSObject:Swap:w1~swap.8304:2855</v>
      </c>
      <c r="F8306" s="6" t="str">
        <f>_xll.QS.TRADE.CREATE("trade.8304",E8306,A8306,"Receive")</f>
        <v>QSObject:SwapTrade:w1~trade.8304:23433</v>
      </c>
      <c r="G8306" s="3">
        <f>_xll.QS.EVALUATE(C8306,F8306)</f>
        <v>28676.133463669714</v>
      </c>
      <c r="H8306" s="5" t="s">
        <v>8346</v>
      </c>
      <c r="I8306" s="7">
        <v>1830400</v>
      </c>
      <c r="J8306" s="8">
        <v>3.5400000000000001E-2</v>
      </c>
    </row>
    <row r="8307" spans="1:10" x14ac:dyDescent="0.25">
      <c r="A8307" s="5" t="s">
        <v>8340</v>
      </c>
      <c r="B8307" s="5" t="s">
        <v>10174</v>
      </c>
      <c r="C8307" s="6" t="str">
        <f>_xll.QS.CONTEXT.CREATE("market.8305",A8307,"USD","SOFR")</f>
        <v>QSObject:PricingContext:w1~market.8305:2854</v>
      </c>
      <c r="D8307" s="6" t="str">
        <f>_xll.QS.CONTEXT.ADD.CURVE(C8307,"SOFR",$K$2:$K$7,$L$2:$L$7,,,"Actual360","LogLinear",TRUE)</f>
        <v>QSObject:ContextInput:w1~input.qs_context_add_curve.2359132437744.8306.3.0:32016</v>
      </c>
      <c r="E8307" s="6" t="str">
        <f>_xll.QS.INSTRUMENT.SWAP("swap.8305",H8307,B8307,"USD","SOFR",I8307,J8307,0,"Actual360","Simple","Annual","Annual","Annual")</f>
        <v>QSObject:Swap:w1~swap.8305:2853</v>
      </c>
      <c r="F8307" s="6" t="str">
        <f>_xll.QS.TRADE.CREATE("trade.8305",E8307,A8307,"Receive")</f>
        <v>QSObject:SwapTrade:w1~trade.8305:22924</v>
      </c>
      <c r="G8307" s="3">
        <f>_xll.QS.EVALUATE(C8307,F8307)</f>
        <v>29531.594553257557</v>
      </c>
      <c r="H8307" s="5" t="s">
        <v>8347</v>
      </c>
      <c r="I8307" s="7">
        <v>1830500</v>
      </c>
      <c r="J8307" s="8">
        <v>3.5499999999999997E-2</v>
      </c>
    </row>
    <row r="8308" spans="1:10" x14ac:dyDescent="0.25">
      <c r="A8308" s="5" t="s">
        <v>8341</v>
      </c>
      <c r="B8308" s="5" t="s">
        <v>10175</v>
      </c>
      <c r="C8308" s="6" t="str">
        <f>_xll.QS.CONTEXT.CREATE("market.8306",A8308,"USD","SOFR")</f>
        <v>QSObject:PricingContext:w1~market.8306:2852</v>
      </c>
      <c r="D8308" s="6" t="str">
        <f>_xll.QS.CONTEXT.ADD.CURVE(C8308,"SOFR",$K$2:$K$7,$L$2:$L$7,,,"Actual360","LogLinear",TRUE)</f>
        <v>QSObject:ContextInput:w1~input.qs_context_add_curve.2359132437744.8307.3.0:32015</v>
      </c>
      <c r="E8308" s="6" t="str">
        <f>_xll.QS.INSTRUMENT.SWAP("swap.8306",H8308,B8308,"USD","SOFR",I8308,J8308,0,"Actual360","Simple","Annual","Annual","Annual")</f>
        <v>QSObject:Swap:w1~swap.8306:2851</v>
      </c>
      <c r="F8308" s="6" t="str">
        <f>_xll.QS.TRADE.CREATE("trade.8306",E8308,A8308,"Receive")</f>
        <v>QSObject:SwapTrade:w1~trade.8306:22269</v>
      </c>
      <c r="G8308" s="3">
        <f>_xll.QS.EVALUATE(C8308,F8308)</f>
        <v>30307.00163499984</v>
      </c>
      <c r="H8308" s="5" t="s">
        <v>8348</v>
      </c>
      <c r="I8308" s="7">
        <v>1830600</v>
      </c>
      <c r="J8308" s="8">
        <v>3.5600000000000007E-2</v>
      </c>
    </row>
    <row r="8309" spans="1:10" x14ac:dyDescent="0.25">
      <c r="A8309" s="5" t="s">
        <v>8342</v>
      </c>
      <c r="B8309" s="5" t="s">
        <v>10176</v>
      </c>
      <c r="C8309" s="6" t="str">
        <f>_xll.QS.CONTEXT.CREATE("market.8307",A8309,"USD","SOFR")</f>
        <v>QSObject:PricingContext:w1~market.8307:2850</v>
      </c>
      <c r="D8309" s="6" t="str">
        <f>_xll.QS.CONTEXT.ADD.CURVE(C8309,"SOFR",$K$2:$K$7,$L$2:$L$7,,,"Actual360","LogLinear",TRUE)</f>
        <v>QSObject:ContextInput:w1~input.qs_context_add_curve.2359132437744.8308.3.0:32014</v>
      </c>
      <c r="E8309" s="6" t="str">
        <f>_xll.QS.INSTRUMENT.SWAP("swap.8307",H8309,B8309,"USD","SOFR",I8309,J8309,0,"Actual360","Simple","Annual","Annual","Annual")</f>
        <v>QSObject:Swap:w1~swap.8307:2849</v>
      </c>
      <c r="F8309" s="6" t="str">
        <f>_xll.QS.TRADE.CREATE("trade.8307",E8309,A8309,"Receive")</f>
        <v>QSObject:SwapTrade:w1~trade.8307:23432</v>
      </c>
      <c r="G8309" s="3">
        <f>_xll.QS.EVALUATE(C8309,F8309)</f>
        <v>31018.227705017343</v>
      </c>
      <c r="H8309" s="5" t="s">
        <v>8349</v>
      </c>
      <c r="I8309" s="7">
        <v>1830700</v>
      </c>
      <c r="J8309" s="8">
        <v>3.5700000000000003E-2</v>
      </c>
    </row>
    <row r="8310" spans="1:10" x14ac:dyDescent="0.25">
      <c r="A8310" s="5" t="s">
        <v>8343</v>
      </c>
      <c r="B8310" s="5" t="s">
        <v>10177</v>
      </c>
      <c r="C8310" s="6" t="str">
        <f>_xll.QS.CONTEXT.CREATE("market.8308",A8310,"USD","SOFR")</f>
        <v>QSObject:PricingContext:w1~market.8308:2848</v>
      </c>
      <c r="D8310" s="6" t="str">
        <f>_xll.QS.CONTEXT.ADD.CURVE(C8310,"SOFR",$K$2:$K$7,$L$2:$L$7,,,"Actual360","LogLinear",TRUE)</f>
        <v>QSObject:ContextInput:w1~input.qs_context_add_curve.2359132437744.8309.3.0:32013</v>
      </c>
      <c r="E8310" s="6" t="str">
        <f>_xll.QS.INSTRUMENT.SWAP("swap.8308",H8310,B8310,"USD","SOFR",I8310,J8310,0,"Actual360","Simple","Annual","Annual","Annual")</f>
        <v>QSObject:Swap:w1~swap.8308:2847</v>
      </c>
      <c r="F8310" s="6" t="str">
        <f>_xll.QS.TRADE.CREATE("trade.8308",E8310,A8310,"Receive")</f>
        <v>QSObject:SwapTrade:w1~trade.8308:31084</v>
      </c>
      <c r="G8310" s="3">
        <f>_xll.QS.EVALUATE(C8310,F8310)</f>
        <v>31650.690619853885</v>
      </c>
      <c r="H8310" s="5" t="s">
        <v>8350</v>
      </c>
      <c r="I8310" s="7">
        <v>1830800</v>
      </c>
      <c r="J8310" s="8">
        <v>3.5800000000000012E-2</v>
      </c>
    </row>
    <row r="8311" spans="1:10" x14ac:dyDescent="0.25">
      <c r="A8311" s="5" t="s">
        <v>8344</v>
      </c>
      <c r="B8311" s="5" t="s">
        <v>10178</v>
      </c>
      <c r="C8311" s="6" t="str">
        <f>_xll.QS.CONTEXT.CREATE("market.8309",A8311,"USD","SOFR")</f>
        <v>QSObject:PricingContext:w1~market.8309:2846</v>
      </c>
      <c r="D8311" s="6" t="str">
        <f>_xll.QS.CONTEXT.ADD.CURVE(C8311,"SOFR",$K$2:$K$7,$L$2:$L$7,,,"Actual360","LogLinear",TRUE)</f>
        <v>QSObject:ContextInput:w1~input.qs_context_add_curve.2359132437744.8310.3.0:32012</v>
      </c>
      <c r="E8311" s="6" t="str">
        <f>_xll.QS.INSTRUMENT.SWAP("swap.8309",H8311,B8311,"USD","SOFR",I8311,J8311,0,"Actual360","Simple","Annual","Annual","Annual")</f>
        <v>QSObject:Swap:w1~swap.8309:2845</v>
      </c>
      <c r="F8311" s="6" t="str">
        <f>_xll.QS.TRADE.CREATE("trade.8309",E8311,A8311,"Receive")</f>
        <v>QSObject:SwapTrade:w1~trade.8309:23431</v>
      </c>
      <c r="G8311" s="3">
        <f>_xll.QS.EVALUATE(C8311,F8311)</f>
        <v>32572.723997661058</v>
      </c>
      <c r="H8311" s="5" t="s">
        <v>8351</v>
      </c>
      <c r="I8311" s="7">
        <v>1830900</v>
      </c>
      <c r="J8311" s="8">
        <v>3.5900000000000001E-2</v>
      </c>
    </row>
    <row r="8312" spans="1:10" x14ac:dyDescent="0.25">
      <c r="A8312" s="5" t="s">
        <v>8345</v>
      </c>
      <c r="B8312" s="5" t="s">
        <v>10179</v>
      </c>
      <c r="C8312" s="6" t="str">
        <f>_xll.QS.CONTEXT.CREATE("market.8310",A8312,"USD","SOFR")</f>
        <v>QSObject:PricingContext:w1~market.8310:2844</v>
      </c>
      <c r="D8312" s="6" t="str">
        <f>_xll.QS.CONTEXT.ADD.CURVE(C8312,"SOFR",$K$2:$K$7,$L$2:$L$7,,,"Actual360","LogLinear",TRUE)</f>
        <v>QSObject:ContextInput:w1~input.qs_context_add_curve.2359132437744.8311.3.0:32011</v>
      </c>
      <c r="E8312" s="6" t="str">
        <f>_xll.QS.INSTRUMENT.SWAP("swap.8310",H8312,B8312,"USD","SOFR",I8312,J8312,0,"Actual360","Simple","Annual","Annual","Annual")</f>
        <v>QSObject:Swap:w1~swap.8310:2843</v>
      </c>
      <c r="F8312" s="6" t="str">
        <f>_xll.QS.TRADE.CREATE("trade.8310",E8312,A8312,"Receive")</f>
        <v>QSObject:SwapTrade:w1~trade.8310:22268</v>
      </c>
      <c r="G8312" s="3">
        <f>_xll.QS.EVALUATE(C8312,F8312)</f>
        <v>33495.113970064347</v>
      </c>
      <c r="H8312" s="5" t="s">
        <v>8352</v>
      </c>
      <c r="I8312" s="7">
        <v>1831000</v>
      </c>
      <c r="J8312" s="8">
        <v>3.5999999999999997E-2</v>
      </c>
    </row>
    <row r="8313" spans="1:10" x14ac:dyDescent="0.25">
      <c r="A8313" s="5" t="s">
        <v>8346</v>
      </c>
      <c r="B8313" s="5" t="s">
        <v>10180</v>
      </c>
      <c r="C8313" s="6" t="str">
        <f>_xll.QS.CONTEXT.CREATE("market.8311",A8313,"USD","SOFR")</f>
        <v>QSObject:PricingContext:w1~market.8311:2842</v>
      </c>
      <c r="D8313" s="6" t="str">
        <f>_xll.QS.CONTEXT.ADD.CURVE(C8313,"SOFR",$K$2:$K$7,$L$2:$L$7,,,"Actual360","LogLinear",TRUE)</f>
        <v>QSObject:ContextInput:w1~input.qs_context_add_curve.2359132437744.8312.3.0:32010</v>
      </c>
      <c r="E8313" s="6" t="str">
        <f>_xll.QS.INSTRUMENT.SWAP("swap.8311",H8313,B8313,"USD","SOFR",I8313,J8313,0,"Actual360","Simple","Annual","Annual","Annual")</f>
        <v>QSObject:Swap:w1~swap.8311:2841</v>
      </c>
      <c r="F8313" s="6" t="str">
        <f>_xll.QS.TRADE.CREATE("trade.8311",E8313,A8313,"Receive")</f>
        <v>QSObject:SwapTrade:w1~trade.8311:22923</v>
      </c>
      <c r="G8313" s="3">
        <f>_xll.QS.EVALUATE(C8313,F8313)</f>
        <v>34595.06296646205</v>
      </c>
      <c r="H8313" s="5" t="s">
        <v>8353</v>
      </c>
      <c r="I8313" s="7">
        <v>1831100</v>
      </c>
      <c r="J8313" s="8">
        <v>3.61E-2</v>
      </c>
    </row>
    <row r="8314" spans="1:10" x14ac:dyDescent="0.25">
      <c r="A8314" s="5" t="s">
        <v>8347</v>
      </c>
      <c r="B8314" s="5" t="s">
        <v>10181</v>
      </c>
      <c r="C8314" s="6" t="str">
        <f>_xll.QS.CONTEXT.CREATE("market.8312",A8314,"USD","SOFR")</f>
        <v>QSObject:PricingContext:w1~market.8312:2840</v>
      </c>
      <c r="D8314" s="6" t="str">
        <f>_xll.QS.CONTEXT.ADD.CURVE(C8314,"SOFR",$K$2:$K$7,$L$2:$L$7,,,"Actual360","LogLinear",TRUE)</f>
        <v>QSObject:ContextInput:w1~input.qs_context_add_curve.2359132437744.8313.3.0:32009</v>
      </c>
      <c r="E8314" s="6" t="str">
        <f>_xll.QS.INSTRUMENT.SWAP("swap.8312",H8314,B8314,"USD","SOFR",I8314,J8314,0,"Actual360","Simple","Annual","Annual","Annual")</f>
        <v>QSObject:Swap:w1~swap.8312:2839</v>
      </c>
      <c r="F8314" s="6" t="str">
        <f>_xll.QS.TRADE.CREATE("trade.8312",E8314,A8314,"Receive")</f>
        <v>QSObject:SwapTrade:w1~trade.8312:31083</v>
      </c>
      <c r="G8314" s="3">
        <f>_xll.QS.EVALUATE(C8314,F8314)</f>
        <v>35457.919365752161</v>
      </c>
      <c r="H8314" s="5" t="s">
        <v>8354</v>
      </c>
      <c r="I8314" s="7">
        <v>1831200</v>
      </c>
      <c r="J8314" s="8">
        <v>3.6200000000000003E-2</v>
      </c>
    </row>
    <row r="8315" spans="1:10" x14ac:dyDescent="0.25">
      <c r="A8315" s="5" t="s">
        <v>8348</v>
      </c>
      <c r="B8315" s="5" t="s">
        <v>10182</v>
      </c>
      <c r="C8315" s="6" t="str">
        <f>_xll.QS.CONTEXT.CREATE("market.8313",A8315,"USD","SOFR")</f>
        <v>QSObject:PricingContext:w1~market.8313:2838</v>
      </c>
      <c r="D8315" s="6" t="str">
        <f>_xll.QS.CONTEXT.ADD.CURVE(C8315,"SOFR",$K$2:$K$7,$L$2:$L$7,,,"Actual360","LogLinear",TRUE)</f>
        <v>QSObject:ContextInput:w1~input.qs_context_add_curve.2359132437744.8314.3.0:32008</v>
      </c>
      <c r="E8315" s="6" t="str">
        <f>_xll.QS.INSTRUMENT.SWAP("swap.8313",H8315,B8315,"USD","SOFR",I8315,J8315,0,"Actual360","Simple","Annual","Annual","Annual")</f>
        <v>QSObject:Swap:w1~swap.8313:2837</v>
      </c>
      <c r="F8315" s="6" t="str">
        <f>_xll.QS.TRADE.CREATE("trade.8313",E8315,A8315,"Receive")</f>
        <v>QSObject:SwapTrade:w1~trade.8313:23430</v>
      </c>
      <c r="G8315" s="3">
        <f>_xll.QS.EVALUATE(C8315,F8315)</f>
        <v>36303.888560101434</v>
      </c>
      <c r="H8315" s="5" t="s">
        <v>8355</v>
      </c>
      <c r="I8315" s="7">
        <v>1831300</v>
      </c>
      <c r="J8315" s="8">
        <v>3.6300000000000013E-2</v>
      </c>
    </row>
    <row r="8316" spans="1:10" x14ac:dyDescent="0.25">
      <c r="A8316" s="5" t="s">
        <v>8349</v>
      </c>
      <c r="B8316" s="5" t="s">
        <v>10183</v>
      </c>
      <c r="C8316" s="6" t="str">
        <f>_xll.QS.CONTEXT.CREATE("market.8314",A8316,"USD","SOFR")</f>
        <v>QSObject:PricingContext:w1~market.8314:2836</v>
      </c>
      <c r="D8316" s="6" t="str">
        <f>_xll.QS.CONTEXT.ADD.CURVE(C8316,"SOFR",$K$2:$K$7,$L$2:$L$7,,,"Actual360","LogLinear",TRUE)</f>
        <v>QSObject:ContextInput:w1~input.qs_context_add_curve.2359132437744.8315.3.0:32007</v>
      </c>
      <c r="E8316" s="6" t="str">
        <f>_xll.QS.INSTRUMENT.SWAP("swap.8314",H8316,B8316,"USD","SOFR",I8316,J8316,0,"Actual360","Simple","Annual","Annual","Annual")</f>
        <v>QSObject:Swap:w1~swap.8314:2835</v>
      </c>
      <c r="F8316" s="6" t="str">
        <f>_xll.QS.TRADE.CREATE("trade.8314",E8316,A8316,"Receive")</f>
        <v>QSObject:SwapTrade:w1~trade.8314:22267</v>
      </c>
      <c r="G8316" s="3">
        <f>_xll.QS.EVALUATE(C8316,F8316)</f>
        <v>37029.673540501455</v>
      </c>
      <c r="H8316" s="5" t="s">
        <v>8356</v>
      </c>
      <c r="I8316" s="7">
        <v>1831400</v>
      </c>
      <c r="J8316" s="8">
        <v>3.6400000000000002E-2</v>
      </c>
    </row>
    <row r="8317" spans="1:10" x14ac:dyDescent="0.25">
      <c r="A8317" s="5" t="s">
        <v>8350</v>
      </c>
      <c r="B8317" s="5" t="s">
        <v>10184</v>
      </c>
      <c r="C8317" s="6" t="str">
        <f>_xll.QS.CONTEXT.CREATE("market.8315",A8317,"USD","SOFR")</f>
        <v>QSObject:PricingContext:w1~market.8315:2834</v>
      </c>
      <c r="D8317" s="6" t="str">
        <f>_xll.QS.CONTEXT.ADD.CURVE(C8317,"SOFR",$K$2:$K$7,$L$2:$L$7,,,"Actual360","LogLinear",TRUE)</f>
        <v>QSObject:ContextInput:w1~input.qs_context_add_curve.2359132437744.8316.3.0:32006</v>
      </c>
      <c r="E8317" s="6" t="str">
        <f>_xll.QS.INSTRUMENT.SWAP("swap.8315",H8317,B8317,"USD","SOFR",I8317,J8317,0,"Actual360","Simple","Annual","Annual","Annual")</f>
        <v>QSObject:Swap:w1~swap.8315:2833</v>
      </c>
      <c r="F8317" s="6" t="str">
        <f>_xll.QS.TRADE.CREATE("trade.8315",E8317,A8317,"Receive")</f>
        <v>QSObject:SwapTrade:w1~trade.8315:22922</v>
      </c>
      <c r="G8317" s="3">
        <f>_xll.QS.EVALUATE(C8317,F8317)</f>
        <v>37726.115682556934</v>
      </c>
      <c r="H8317" s="5" t="s">
        <v>8357</v>
      </c>
      <c r="I8317" s="7">
        <v>1831500</v>
      </c>
      <c r="J8317" s="8">
        <v>3.6499999999999998E-2</v>
      </c>
    </row>
    <row r="8318" spans="1:10" x14ac:dyDescent="0.25">
      <c r="A8318" s="5" t="s">
        <v>8351</v>
      </c>
      <c r="B8318" s="5" t="s">
        <v>10185</v>
      </c>
      <c r="C8318" s="6" t="str">
        <f>_xll.QS.CONTEXT.CREATE("market.8316",A8318,"USD","SOFR")</f>
        <v>QSObject:PricingContext:w1~market.8316:2832</v>
      </c>
      <c r="D8318" s="6" t="str">
        <f>_xll.QS.CONTEXT.ADD.CURVE(C8318,"SOFR",$K$2:$K$7,$L$2:$L$7,,,"Actual360","LogLinear",TRUE)</f>
        <v>QSObject:ContextInput:w1~input.qs_context_add_curve.2359132437744.8317.3.0:32005</v>
      </c>
      <c r="E8318" s="6" t="str">
        <f>_xll.QS.INSTRUMENT.SWAP("swap.8316",H8318,B8318,"USD","SOFR",I8318,J8318,0,"Actual360","Simple","Annual","Annual","Annual")</f>
        <v>QSObject:Swap:w1~swap.8316:2831</v>
      </c>
      <c r="F8318" s="6" t="str">
        <f>_xll.QS.TRADE.CREATE("trade.8316",E8318,A8318,"Receive")</f>
        <v>QSObject:SwapTrade:w1~trade.8316:22921</v>
      </c>
      <c r="G8318" s="3">
        <f>_xll.QS.EVALUATE(C8318,F8318)</f>
        <v>38575.842317101356</v>
      </c>
      <c r="H8318" s="5" t="s">
        <v>8358</v>
      </c>
      <c r="I8318" s="7">
        <v>1831600</v>
      </c>
      <c r="J8318" s="8">
        <v>3.6600000000000001E-2</v>
      </c>
    </row>
    <row r="8319" spans="1:10" x14ac:dyDescent="0.25">
      <c r="A8319" s="5" t="s">
        <v>8352</v>
      </c>
      <c r="B8319" s="5" t="s">
        <v>10186</v>
      </c>
      <c r="C8319" s="6" t="str">
        <f>_xll.QS.CONTEXT.CREATE("market.8317",A8319,"USD","SOFR")</f>
        <v>QSObject:PricingContext:w1~market.8317:2830</v>
      </c>
      <c r="D8319" s="6" t="str">
        <f>_xll.QS.CONTEXT.ADD.CURVE(C8319,"SOFR",$K$2:$K$7,$L$2:$L$7,,,"Actual360","LogLinear",TRUE)</f>
        <v>QSObject:ContextInput:w1~input.qs_context_add_curve.2359132437744.8318.3.0:32004</v>
      </c>
      <c r="E8319" s="6" t="str">
        <f>_xll.QS.INSTRUMENT.SWAP("swap.8317",H8319,B8319,"USD","SOFR",I8319,J8319,0,"Actual360","Simple","Annual","Annual","Annual")</f>
        <v>QSObject:Swap:w1~swap.8317:2829</v>
      </c>
      <c r="F8319" s="6" t="str">
        <f>_xll.QS.TRADE.CREATE("trade.8317",E8319,A8319,"Receive")</f>
        <v>QSObject:SwapTrade:w1~trade.8317:22266</v>
      </c>
      <c r="G8319" s="3">
        <f>_xll.QS.EVALUATE(C8319,F8319)</f>
        <v>39474.149899020071</v>
      </c>
      <c r="H8319" s="5" t="s">
        <v>8359</v>
      </c>
      <c r="I8319" s="7">
        <v>1831700</v>
      </c>
      <c r="J8319" s="8">
        <v>3.6700000000000003E-2</v>
      </c>
    </row>
    <row r="8320" spans="1:10" x14ac:dyDescent="0.25">
      <c r="A8320" s="5" t="s">
        <v>8353</v>
      </c>
      <c r="B8320" s="5" t="s">
        <v>10187</v>
      </c>
      <c r="C8320" s="6" t="str">
        <f>_xll.QS.CONTEXT.CREATE("market.8318",A8320,"USD","SOFR")</f>
        <v>QSObject:PricingContext:w1~market.8318:2828</v>
      </c>
      <c r="D8320" s="6" t="str">
        <f>_xll.QS.CONTEXT.ADD.CURVE(C8320,"SOFR",$K$2:$K$7,$L$2:$L$7,,,"Actual360","LogLinear",TRUE)</f>
        <v>QSObject:ContextInput:w1~input.qs_context_add_curve.2359132437744.8319.3.0:32003</v>
      </c>
      <c r="E8320" s="6" t="str">
        <f>_xll.QS.INSTRUMENT.SWAP("swap.8318",H8320,B8320,"USD","SOFR",I8320,J8320,0,"Actual360","Simple","Annual","Annual","Annual")</f>
        <v>QSObject:Swap:w1~swap.8318:2827</v>
      </c>
      <c r="F8320" s="6" t="str">
        <f>_xll.QS.TRADE.CREATE("trade.8318",E8320,A8320,"Receive")</f>
        <v>QSObject:SwapTrade:w1~trade.8318:22920</v>
      </c>
      <c r="G8320" s="3">
        <f>_xll.QS.EVALUATE(C8320,F8320)</f>
        <v>40454.308939075207</v>
      </c>
      <c r="H8320" s="5" t="s">
        <v>8360</v>
      </c>
      <c r="I8320" s="7">
        <v>1831800</v>
      </c>
      <c r="J8320" s="8">
        <v>3.6800000000000013E-2</v>
      </c>
    </row>
    <row r="8321" spans="1:10" x14ac:dyDescent="0.25">
      <c r="A8321" s="5" t="s">
        <v>8354</v>
      </c>
      <c r="B8321" s="5" t="s">
        <v>10188</v>
      </c>
      <c r="C8321" s="6" t="str">
        <f>_xll.QS.CONTEXT.CREATE("market.8319",A8321,"USD","SOFR")</f>
        <v>QSObject:PricingContext:w1~market.8319:2826</v>
      </c>
      <c r="D8321" s="6" t="str">
        <f>_xll.QS.CONTEXT.ADD.CURVE(C8321,"SOFR",$K$2:$K$7,$L$2:$L$7,,,"Actual360","LogLinear",TRUE)</f>
        <v>QSObject:ContextInput:w1~input.qs_context_add_curve.2359132437744.8320.3.0:32002</v>
      </c>
      <c r="E8321" s="6" t="str">
        <f>_xll.QS.INSTRUMENT.SWAP("swap.8319",H8321,B8321,"USD","SOFR",I8321,J8321,0,"Actual360","Simple","Annual","Annual","Annual")</f>
        <v>QSObject:Swap:w1~swap.8319:2825</v>
      </c>
      <c r="F8321" s="6" t="str">
        <f>_xll.QS.TRADE.CREATE("trade.8319",E8321,A8321,"Receive")</f>
        <v>QSObject:SwapTrade:w1~trade.8319:31082</v>
      </c>
      <c r="G8321" s="3">
        <f>_xll.QS.EVALUATE(C8321,F8321)</f>
        <v>41380.961334186723</v>
      </c>
      <c r="H8321" s="5" t="s">
        <v>8361</v>
      </c>
      <c r="I8321" s="7">
        <v>1831900</v>
      </c>
      <c r="J8321" s="8">
        <v>3.6900000000000002E-2</v>
      </c>
    </row>
    <row r="8322" spans="1:10" x14ac:dyDescent="0.25">
      <c r="A8322" s="5" t="s">
        <v>8355</v>
      </c>
      <c r="B8322" s="5" t="s">
        <v>10189</v>
      </c>
      <c r="C8322" s="6" t="str">
        <f>_xll.QS.CONTEXT.CREATE("market.8320",A8322,"USD","SOFR")</f>
        <v>QSObject:PricingContext:w1~market.8320:2824</v>
      </c>
      <c r="D8322" s="6" t="str">
        <f>_xll.QS.CONTEXT.ADD.CURVE(C8322,"SOFR",$K$2:$K$7,$L$2:$L$7,,,"Actual360","LogLinear",TRUE)</f>
        <v>QSObject:ContextInput:w1~input.qs_context_add_curve.2359132437744.8321.3.0:32001</v>
      </c>
      <c r="E8322" s="6" t="str">
        <f>_xll.QS.INSTRUMENT.SWAP("swap.8320",H8322,B8322,"USD","SOFR",I8322,J8322,0,"Actual360","Simple","Annual","Annual","Annual")</f>
        <v>QSObject:Swap:w1~swap.8320:2823</v>
      </c>
      <c r="F8322" s="6" t="str">
        <f>_xll.QS.TRADE.CREATE("trade.8320",E8322,A8322,"Receive")</f>
        <v>QSObject:SwapTrade:w1~trade.8320:23429</v>
      </c>
      <c r="G8322" s="3">
        <f>_xll.QS.EVALUATE(C8322,F8322)</f>
        <v>42157.477987343387</v>
      </c>
      <c r="H8322" s="5" t="s">
        <v>8362</v>
      </c>
      <c r="I8322" s="7">
        <v>1832000</v>
      </c>
      <c r="J8322" s="8">
        <v>3.7000000000000012E-2</v>
      </c>
    </row>
    <row r="8323" spans="1:10" x14ac:dyDescent="0.25">
      <c r="A8323" s="5" t="s">
        <v>8356</v>
      </c>
      <c r="B8323" s="5" t="s">
        <v>10190</v>
      </c>
      <c r="C8323" s="6" t="str">
        <f>_xll.QS.CONTEXT.CREATE("market.8321",A8323,"USD","SOFR")</f>
        <v>QSObject:PricingContext:w1~market.8321:2822</v>
      </c>
      <c r="D8323" s="6" t="str">
        <f>_xll.QS.CONTEXT.ADD.CURVE(C8323,"SOFR",$K$2:$K$7,$L$2:$L$7,,,"Actual360","LogLinear",TRUE)</f>
        <v>QSObject:ContextInput:w1~input.qs_context_add_curve.2359132437744.8322.3.0:32000</v>
      </c>
      <c r="E8323" s="6" t="str">
        <f>_xll.QS.INSTRUMENT.SWAP("swap.8321",H8323,B8323,"USD","SOFR",I8323,J8323,0,"Actual360","Simple","Annual","Annual","Annual")</f>
        <v>QSObject:Swap:w1~swap.8321:2821</v>
      </c>
      <c r="F8323" s="6" t="str">
        <f>_xll.QS.TRADE.CREATE("trade.8321",E8323,A8323,"Receive")</f>
        <v>QSObject:SwapTrade:w1~trade.8321:22265</v>
      </c>
      <c r="G8323" s="3">
        <f>_xll.QS.EVALUATE(C8323,F8323)</f>
        <v>42876.777586014883</v>
      </c>
      <c r="H8323" s="5" t="s">
        <v>8363</v>
      </c>
      <c r="I8323" s="7">
        <v>1832100</v>
      </c>
      <c r="J8323" s="8">
        <v>3.7100000000000001E-2</v>
      </c>
    </row>
    <row r="8324" spans="1:10" x14ac:dyDescent="0.25">
      <c r="A8324" s="5" t="s">
        <v>8357</v>
      </c>
      <c r="B8324" s="5" t="s">
        <v>10191</v>
      </c>
      <c r="C8324" s="6" t="str">
        <f>_xll.QS.CONTEXT.CREATE("market.8322",A8324,"USD","SOFR")</f>
        <v>QSObject:PricingContext:w1~market.8322:2820</v>
      </c>
      <c r="D8324" s="6" t="str">
        <f>_xll.QS.CONTEXT.ADD.CURVE(C8324,"SOFR",$K$2:$K$7,$L$2:$L$7,,,"Actual360","LogLinear",TRUE)</f>
        <v>QSObject:ContextInput:w1~input.qs_context_add_curve.2359132437744.8323.3.0:31999</v>
      </c>
      <c r="E8324" s="6" t="str">
        <f>_xll.QS.INSTRUMENT.SWAP("swap.8322",H8324,B8324,"USD","SOFR",I8324,J8324,0,"Actual360","Simple","Annual","Annual","Annual")</f>
        <v>QSObject:Swap:w1~swap.8322:2819</v>
      </c>
      <c r="F8324" s="6" t="str">
        <f>_xll.QS.TRADE.CREATE("trade.8322",E8324,A8324,"Receive")</f>
        <v>QSObject:SwapTrade:w1~trade.8322:22919</v>
      </c>
      <c r="G8324" s="3">
        <f>_xll.QS.EVALUATE(C8324,F8324)</f>
        <v>43582.878374785752</v>
      </c>
      <c r="H8324" s="5" t="s">
        <v>8364</v>
      </c>
      <c r="I8324" s="7">
        <v>1832200</v>
      </c>
      <c r="J8324" s="8">
        <v>3.7199999999999997E-2</v>
      </c>
    </row>
    <row r="8325" spans="1:10" x14ac:dyDescent="0.25">
      <c r="A8325" s="5" t="s">
        <v>8358</v>
      </c>
      <c r="B8325" s="5" t="s">
        <v>10192</v>
      </c>
      <c r="C8325" s="6" t="str">
        <f>_xll.QS.CONTEXT.CREATE("market.8323",A8325,"USD","SOFR")</f>
        <v>QSObject:PricingContext:w1~market.8323:2818</v>
      </c>
      <c r="D8325" s="6" t="str">
        <f>_xll.QS.CONTEXT.ADD.CURVE(C8325,"SOFR",$K$2:$K$7,$L$2:$L$7,,,"Actual360","LogLinear",TRUE)</f>
        <v>QSObject:ContextInput:w1~input.qs_context_add_curve.2359132437744.8324.3.0:31998</v>
      </c>
      <c r="E8325" s="6" t="str">
        <f>_xll.QS.INSTRUMENT.SWAP("swap.8323",H8325,B8325,"USD","SOFR",I8325,J8325,0,"Actual360","Simple","Annual","Annual","Annual")</f>
        <v>QSObject:Swap:w1~swap.8323:2817</v>
      </c>
      <c r="F8325" s="6" t="str">
        <f>_xll.QS.TRADE.CREATE("trade.8323",E8325,A8325,"Receive")</f>
        <v>QSObject:SwapTrade:w1~trade.8323:23428</v>
      </c>
      <c r="G8325" s="3">
        <f>_xll.QS.EVALUATE(C8325,F8325)</f>
        <v>44507.551891358453</v>
      </c>
      <c r="H8325" s="5" t="s">
        <v>8365</v>
      </c>
      <c r="I8325" s="7">
        <v>1832300</v>
      </c>
      <c r="J8325" s="8">
        <v>3.73E-2</v>
      </c>
    </row>
    <row r="8326" spans="1:10" x14ac:dyDescent="0.25">
      <c r="A8326" s="5" t="s">
        <v>8359</v>
      </c>
      <c r="B8326" s="5" t="s">
        <v>10193</v>
      </c>
      <c r="C8326" s="6" t="str">
        <f>_xll.QS.CONTEXT.CREATE("market.8324",A8326,"USD","SOFR")</f>
        <v>QSObject:PricingContext:w1~market.8324:2816</v>
      </c>
      <c r="D8326" s="6" t="str">
        <f>_xll.QS.CONTEXT.ADD.CURVE(C8326,"SOFR",$K$2:$K$7,$L$2:$L$7,,,"Actual360","LogLinear",TRUE)</f>
        <v>QSObject:ContextInput:w1~input.qs_context_add_curve.2359132437744.8325.3.0:31997</v>
      </c>
      <c r="E8326" s="6" t="str">
        <f>_xll.QS.INSTRUMENT.SWAP("swap.8324",H8326,B8326,"USD","SOFR",I8326,J8326,0,"Actual360","Simple","Annual","Annual","Annual")</f>
        <v>QSObject:Swap:w1~swap.8324:2815</v>
      </c>
      <c r="F8326" s="6" t="str">
        <f>_xll.QS.TRADE.CREATE("trade.8324",E8326,A8326,"Receive")</f>
        <v>QSObject:SwapTrade:w1~trade.8324:31081</v>
      </c>
      <c r="G8326" s="3">
        <f>_xll.QS.EVALUATE(C8326,F8326)</f>
        <v>45403.357318362585</v>
      </c>
      <c r="H8326" s="5" t="s">
        <v>8366</v>
      </c>
      <c r="I8326" s="7">
        <v>1832400</v>
      </c>
      <c r="J8326" s="8">
        <v>3.7400000000000003E-2</v>
      </c>
    </row>
    <row r="8327" spans="1:10" x14ac:dyDescent="0.25">
      <c r="A8327" s="5" t="s">
        <v>8360</v>
      </c>
      <c r="B8327" s="5" t="s">
        <v>10194</v>
      </c>
      <c r="C8327" s="6" t="str">
        <f>_xll.QS.CONTEXT.CREATE("market.8325",A8327,"USD","SOFR")</f>
        <v>QSObject:PricingContext:w1~market.8325:2814</v>
      </c>
      <c r="D8327" s="6" t="str">
        <f>_xll.QS.CONTEXT.ADD.CURVE(C8327,"SOFR",$K$2:$K$7,$L$2:$L$7,,,"Actual360","LogLinear",TRUE)</f>
        <v>QSObject:ContextInput:w1~input.qs_context_add_curve.2359132437744.8326.3.0:31996</v>
      </c>
      <c r="E8327" s="6" t="str">
        <f>_xll.QS.INSTRUMENT.SWAP("swap.8325",H8327,B8327,"USD","SOFR",I8327,J8327,0,"Actual360","Simple","Annual","Annual","Annual")</f>
        <v>QSObject:Swap:w1~swap.8325:2813</v>
      </c>
      <c r="F8327" s="6" t="str">
        <f>_xll.QS.TRADE.CREATE("trade.8325",E8327,A8327,"Receive")</f>
        <v>QSObject:SwapTrade:w1~trade.8325:23427</v>
      </c>
      <c r="G8327" s="3">
        <f>_xll.QS.EVALUATE(C8327,F8327)</f>
        <v>46384.727901872866</v>
      </c>
      <c r="H8327" s="5" t="s">
        <v>8367</v>
      </c>
      <c r="I8327" s="7">
        <v>1832500</v>
      </c>
      <c r="J8327" s="8">
        <v>3.7500000000000012E-2</v>
      </c>
    </row>
    <row r="8328" spans="1:10" x14ac:dyDescent="0.25">
      <c r="A8328" s="5" t="s">
        <v>8361</v>
      </c>
      <c r="B8328" s="5" t="s">
        <v>10195</v>
      </c>
      <c r="C8328" s="6" t="str">
        <f>_xll.QS.CONTEXT.CREATE("market.8326",A8328,"USD","SOFR")</f>
        <v>QSObject:PricingContext:w1~market.8326:2812</v>
      </c>
      <c r="D8328" s="6" t="str">
        <f>_xll.QS.CONTEXT.ADD.CURVE(C8328,"SOFR",$K$2:$K$7,$L$2:$L$7,,,"Actual360","LogLinear",TRUE)</f>
        <v>QSObject:ContextInput:w1~input.qs_context_add_curve.2359132437744.8327.3.0:31995</v>
      </c>
      <c r="E8328" s="6" t="str">
        <f>_xll.QS.INSTRUMENT.SWAP("swap.8326",H8328,B8328,"USD","SOFR",I8328,J8328,0,"Actual360","Simple","Annual","Annual","Annual")</f>
        <v>QSObject:Swap:w1~swap.8326:2811</v>
      </c>
      <c r="F8328" s="6" t="str">
        <f>_xll.QS.TRADE.CREATE("trade.8326",E8328,A8328,"Receive")</f>
        <v>QSObject:SwapTrade:w1~trade.8326:22918</v>
      </c>
      <c r="G8328" s="3">
        <f>_xll.QS.EVALUATE(C8328,F8328)</f>
        <v>47312.423544182391</v>
      </c>
      <c r="H8328" s="5" t="s">
        <v>8368</v>
      </c>
      <c r="I8328" s="7">
        <v>1832600</v>
      </c>
      <c r="J8328" s="8">
        <v>3.7600000000000001E-2</v>
      </c>
    </row>
    <row r="8329" spans="1:10" x14ac:dyDescent="0.25">
      <c r="A8329" s="5" t="s">
        <v>8362</v>
      </c>
      <c r="B8329" s="5" t="s">
        <v>10196</v>
      </c>
      <c r="C8329" s="6" t="str">
        <f>_xll.QS.CONTEXT.CREATE("market.8327",A8329,"USD","SOFR")</f>
        <v>QSObject:PricingContext:w1~market.8327:2810</v>
      </c>
      <c r="D8329" s="6" t="str">
        <f>_xll.QS.CONTEXT.ADD.CURVE(C8329,"SOFR",$K$2:$K$7,$L$2:$L$7,,,"Actual360","LogLinear",TRUE)</f>
        <v>QSObject:ContextInput:w1~input.qs_context_add_curve.2359132437744.8328.3.0:31994</v>
      </c>
      <c r="E8329" s="6" t="str">
        <f>_xll.QS.INSTRUMENT.SWAP("swap.8327",H8329,B8329,"USD","SOFR",I8329,J8329,0,"Actual360","Simple","Annual","Annual","Annual")</f>
        <v>QSObject:Swap:w1~swap.8327:2809</v>
      </c>
      <c r="F8329" s="6" t="str">
        <f>_xll.QS.TRADE.CREATE("trade.8327",E8329,A8329,"Receive")</f>
        <v>QSObject:SwapTrade:w1~trade.8327:22264</v>
      </c>
      <c r="G8329" s="3">
        <f>_xll.QS.EVALUATE(C8329,F8329)</f>
        <v>48089.494909792716</v>
      </c>
      <c r="H8329" s="5" t="s">
        <v>8369</v>
      </c>
      <c r="I8329" s="7">
        <v>1832700</v>
      </c>
      <c r="J8329" s="8">
        <v>3.7699999999999997E-2</v>
      </c>
    </row>
    <row r="8330" spans="1:10" x14ac:dyDescent="0.25">
      <c r="A8330" s="5" t="s">
        <v>8363</v>
      </c>
      <c r="B8330" s="5" t="s">
        <v>10197</v>
      </c>
      <c r="C8330" s="6" t="str">
        <f>_xll.QS.CONTEXT.CREATE("market.8328",A8330,"USD","SOFR")</f>
        <v>QSObject:PricingContext:w1~market.8328:2808</v>
      </c>
      <c r="D8330" s="6" t="str">
        <f>_xll.QS.CONTEXT.ADD.CURVE(C8330,"SOFR",$K$2:$K$7,$L$2:$L$7,,,"Actual360","LogLinear",TRUE)</f>
        <v>QSObject:ContextInput:w1~input.qs_context_add_curve.2359132437744.8329.3.0:31993</v>
      </c>
      <c r="E8330" s="6" t="str">
        <f>_xll.QS.INSTRUMENT.SWAP("swap.8328",H8330,B8330,"USD","SOFR",I8330,J8330,0,"Actual360","Simple","Annual","Annual","Annual")</f>
        <v>QSObject:Swap:w1~swap.8328:2807</v>
      </c>
      <c r="F8330" s="6" t="str">
        <f>_xll.QS.TRADE.CREATE("trade.8328",E8330,A8330,"Receive")</f>
        <v>QSObject:SwapTrade:w1~trade.8328:22263</v>
      </c>
      <c r="G8330" s="3">
        <f>_xll.QS.EVALUATE(C8330,F8330)</f>
        <v>48802.424259107735</v>
      </c>
      <c r="H8330" s="5" t="s">
        <v>8370</v>
      </c>
      <c r="I8330" s="7">
        <v>1832800</v>
      </c>
      <c r="J8330" s="8">
        <v>3.78E-2</v>
      </c>
    </row>
    <row r="8331" spans="1:10" x14ac:dyDescent="0.25">
      <c r="A8331" s="5" t="s">
        <v>8364</v>
      </c>
      <c r="B8331" s="5" t="s">
        <v>10198</v>
      </c>
      <c r="C8331" s="6" t="str">
        <f>_xll.QS.CONTEXT.CREATE("market.8329",A8331,"USD","SOFR")</f>
        <v>QSObject:PricingContext:w1~market.8329:2806</v>
      </c>
      <c r="D8331" s="6" t="str">
        <f>_xll.QS.CONTEXT.ADD.CURVE(C8331,"SOFR",$K$2:$K$7,$L$2:$L$7,,,"Actual360","LogLinear",TRUE)</f>
        <v>QSObject:ContextInput:w1~input.qs_context_add_curve.2359132437744.8330.3.0:31992</v>
      </c>
      <c r="E8331" s="6" t="str">
        <f>_xll.QS.INSTRUMENT.SWAP("swap.8329",H8331,B8331,"USD","SOFR",I8331,J8331,0,"Actual360","Simple","Annual","Annual","Annual")</f>
        <v>QSObject:Swap:w1~swap.8329:2805</v>
      </c>
      <c r="F8331" s="6" t="str">
        <f>_xll.QS.TRADE.CREATE("trade.8329",E8331,A8331,"Receive")</f>
        <v>QSObject:SwapTrade:w1~trade.8329:22917</v>
      </c>
      <c r="G8331" s="3">
        <f>_xll.QS.EVALUATE(C8331,F8331)</f>
        <v>49518.288942040934</v>
      </c>
      <c r="H8331" s="5" t="s">
        <v>8371</v>
      </c>
      <c r="I8331" s="7">
        <v>1832900</v>
      </c>
      <c r="J8331" s="8">
        <v>3.7900000000000003E-2</v>
      </c>
    </row>
    <row r="8332" spans="1:10" x14ac:dyDescent="0.25">
      <c r="A8332" s="5" t="s">
        <v>8365</v>
      </c>
      <c r="B8332" s="5" t="s">
        <v>10199</v>
      </c>
      <c r="C8332" s="6" t="str">
        <f>_xll.QS.CONTEXT.CREATE("market.8330",A8332,"USD","SOFR")</f>
        <v>QSObject:PricingContext:w1~market.8330:2804</v>
      </c>
      <c r="D8332" s="6" t="str">
        <f>_xll.QS.CONTEXT.ADD.CURVE(C8332,"SOFR",$K$2:$K$7,$L$2:$L$7,,,"Actual360","LogLinear",TRUE)</f>
        <v>QSObject:ContextInput:w1~input.qs_context_add_curve.2359132437744.8331.3.0:31991</v>
      </c>
      <c r="E8332" s="6" t="str">
        <f>_xll.QS.INSTRUMENT.SWAP("swap.8330",H8332,B8332,"USD","SOFR",I8332,J8332,0,"Actual360","Simple","Annual","Annual","Annual")</f>
        <v>QSObject:Swap:w1~swap.8330:2803</v>
      </c>
      <c r="F8332" s="6" t="str">
        <f>_xll.QS.TRADE.CREATE("trade.8330",E8332,A8332,"Receive")</f>
        <v>QSObject:SwapTrade:w1~trade.8330:23426</v>
      </c>
      <c r="G8332" s="3">
        <f>_xll.QS.EVALUATE(C8332,F8332)</f>
        <v>50444.210891791474</v>
      </c>
      <c r="H8332" s="5" t="s">
        <v>8372</v>
      </c>
      <c r="I8332" s="7">
        <v>1833000</v>
      </c>
      <c r="J8332" s="8">
        <v>3.8000000000000013E-2</v>
      </c>
    </row>
    <row r="8333" spans="1:10" x14ac:dyDescent="0.25">
      <c r="A8333" s="5" t="s">
        <v>8366</v>
      </c>
      <c r="B8333" s="5" t="s">
        <v>10200</v>
      </c>
      <c r="C8333" s="6" t="str">
        <f>_xll.QS.CONTEXT.CREATE("market.8331",A8333,"USD","SOFR")</f>
        <v>QSObject:PricingContext:w1~market.8331:2802</v>
      </c>
      <c r="D8333" s="6" t="str">
        <f>_xll.QS.CONTEXT.ADD.CURVE(C8333,"SOFR",$K$2:$K$7,$L$2:$L$7,,,"Actual360","LogLinear",TRUE)</f>
        <v>QSObject:ContextInput:w1~input.qs_context_add_curve.2359132437744.8332.3.0:31990</v>
      </c>
      <c r="E8333" s="6" t="str">
        <f>_xll.QS.INSTRUMENT.SWAP("swap.8331",H8333,B8333,"USD","SOFR",I8333,J8333,0,"Actual360","Simple","Annual","Annual","Annual")</f>
        <v>QSObject:Swap:w1~swap.8331:2801</v>
      </c>
      <c r="F8333" s="6" t="str">
        <f>_xll.QS.TRADE.CREATE("trade.8331",E8333,A8333,"Receive")</f>
        <v>QSObject:SwapTrade:w1~trade.8331:31080</v>
      </c>
      <c r="G8333" s="3">
        <f>_xll.QS.EVALUATE(C8333,F8333)</f>
        <v>51305.153049439999</v>
      </c>
      <c r="H8333" s="5" t="s">
        <v>8373</v>
      </c>
      <c r="I8333" s="7">
        <v>1833100</v>
      </c>
      <c r="J8333" s="8">
        <v>3.8100000000000002E-2</v>
      </c>
    </row>
    <row r="8334" spans="1:10" x14ac:dyDescent="0.25">
      <c r="A8334" s="5" t="s">
        <v>8367</v>
      </c>
      <c r="B8334" s="5" t="s">
        <v>10201</v>
      </c>
      <c r="C8334" s="6" t="str">
        <f>_xll.QS.CONTEXT.CREATE("market.8332",A8334,"USD","SOFR")</f>
        <v>QSObject:PricingContext:w1~market.8332:2800</v>
      </c>
      <c r="D8334" s="6" t="str">
        <f>_xll.QS.CONTEXT.ADD.CURVE(C8334,"SOFR",$K$2:$K$7,$L$2:$L$7,,,"Actual360","LogLinear",TRUE)</f>
        <v>QSObject:ContextInput:w1~input.qs_context_add_curve.2359132437744.8333.3.0:31989</v>
      </c>
      <c r="E8334" s="6" t="str">
        <f>_xll.QS.INSTRUMENT.SWAP("swap.8332",H8334,B8334,"USD","SOFR",I8334,J8334,0,"Actual360","Simple","Annual","Annual","Annual")</f>
        <v>QSObject:Swap:w1~swap.8332:2799</v>
      </c>
      <c r="F8334" s="6" t="str">
        <f>_xll.QS.TRADE.CREATE("trade.8332",E8334,A8334,"Receive")</f>
        <v>QSObject:SwapTrade:w1~trade.8332:31079</v>
      </c>
      <c r="G8334" s="3">
        <f>_xll.QS.EVALUATE(C8334,F8334)</f>
        <v>52320.233144699625</v>
      </c>
      <c r="H8334" s="5" t="s">
        <v>8374</v>
      </c>
      <c r="I8334" s="7">
        <v>1833200</v>
      </c>
      <c r="J8334" s="8">
        <v>3.8199999999999998E-2</v>
      </c>
    </row>
    <row r="8335" spans="1:10" x14ac:dyDescent="0.25">
      <c r="A8335" s="5" t="s">
        <v>8368</v>
      </c>
      <c r="B8335" s="5" t="s">
        <v>10202</v>
      </c>
      <c r="C8335" s="6" t="str">
        <f>_xll.QS.CONTEXT.CREATE("market.8333",A8335,"USD","SOFR")</f>
        <v>QSObject:PricingContext:w1~market.8333:2798</v>
      </c>
      <c r="D8335" s="6" t="str">
        <f>_xll.QS.CONTEXT.ADD.CURVE(C8335,"SOFR",$K$2:$K$7,$L$2:$L$7,,,"Actual360","LogLinear",TRUE)</f>
        <v>QSObject:ContextInput:w1~input.qs_context_add_curve.2359132437744.8334.3.0:31988</v>
      </c>
      <c r="E8335" s="6" t="str">
        <f>_xll.QS.INSTRUMENT.SWAP("swap.8333",H8335,B8335,"USD","SOFR",I8335,J8335,0,"Actual360","Simple","Annual","Annual","Annual")</f>
        <v>QSObject:Swap:w1~swap.8333:2797</v>
      </c>
      <c r="F8335" s="6" t="str">
        <f>_xll.QS.TRADE.CREATE("trade.8333",E8335,A8335,"Receive")</f>
        <v>QSObject:SwapTrade:w1~trade.8333:23425</v>
      </c>
      <c r="G8335" s="3">
        <f>_xll.QS.EVALUATE(C8335,F8335)</f>
        <v>53248.40496719884</v>
      </c>
      <c r="H8335" s="5" t="s">
        <v>8375</v>
      </c>
      <c r="I8335" s="7">
        <v>1833300</v>
      </c>
      <c r="J8335" s="8">
        <v>3.8300000000000001E-2</v>
      </c>
    </row>
    <row r="8336" spans="1:10" x14ac:dyDescent="0.25">
      <c r="A8336" s="5" t="s">
        <v>8369</v>
      </c>
      <c r="B8336" s="5" t="s">
        <v>10203</v>
      </c>
      <c r="C8336" s="6" t="str">
        <f>_xll.QS.CONTEXT.CREATE("market.8334",A8336,"USD","SOFR")</f>
        <v>QSObject:PricingContext:w1~market.8334:2796</v>
      </c>
      <c r="D8336" s="6" t="str">
        <f>_xll.QS.CONTEXT.ADD.CURVE(C8336,"SOFR",$K$2:$K$7,$L$2:$L$7,,,"Actual360","LogLinear",TRUE)</f>
        <v>QSObject:ContextInput:w1~input.qs_context_add_curve.2359132437744.8335.3.0:31987</v>
      </c>
      <c r="E8336" s="6" t="str">
        <f>_xll.QS.INSTRUMENT.SWAP("swap.8334",H8336,B8336,"USD","SOFR",I8336,J8336,0,"Actual360","Simple","Annual","Annual","Annual")</f>
        <v>QSObject:Swap:w1~swap.8334:2795</v>
      </c>
      <c r="F8336" s="6" t="str">
        <f>_xll.QS.TRADE.CREATE("trade.8334",E8336,A8336,"Receive")</f>
        <v>QSObject:SwapTrade:w1~trade.8334:22262</v>
      </c>
      <c r="G8336" s="3">
        <f>_xll.QS.EVALUATE(C8336,F8336)</f>
        <v>54099.999425970178</v>
      </c>
      <c r="H8336" s="5" t="s">
        <v>8376</v>
      </c>
      <c r="I8336" s="7">
        <v>1833400</v>
      </c>
      <c r="J8336" s="8">
        <v>3.8399999999999997E-2</v>
      </c>
    </row>
    <row r="8337" spans="1:10" x14ac:dyDescent="0.25">
      <c r="A8337" s="5" t="s">
        <v>8370</v>
      </c>
      <c r="B8337" s="5" t="s">
        <v>10204</v>
      </c>
      <c r="C8337" s="6" t="str">
        <f>_xll.QS.CONTEXT.CREATE("market.8335",A8337,"USD","SOFR")</f>
        <v>QSObject:PricingContext:w1~market.8335:2794</v>
      </c>
      <c r="D8337" s="6" t="str">
        <f>_xll.QS.CONTEXT.ADD.CURVE(C8337,"SOFR",$K$2:$K$7,$L$2:$L$7,,,"Actual360","LogLinear",TRUE)</f>
        <v>QSObject:ContextInput:w1~input.qs_context_add_curve.2359132437744.8336.3.0:31986</v>
      </c>
      <c r="E8337" s="6" t="str">
        <f>_xll.QS.INSTRUMENT.SWAP("swap.8335",H8337,B8337,"USD","SOFR",I8337,J8337,0,"Actual360","Simple","Annual","Annual","Annual")</f>
        <v>QSObject:Swap:w1~swap.8335:2793</v>
      </c>
      <c r="F8337" s="6" t="str">
        <f>_xll.QS.TRADE.CREATE("trade.8335",E8337,A8337,"Receive")</f>
        <v>QSObject:SwapTrade:w1~trade.8335:22916</v>
      </c>
      <c r="G8337" s="3">
        <f>_xll.QS.EVALUATE(C8337,F8337)</f>
        <v>54806.533643168754</v>
      </c>
      <c r="H8337" s="5" t="s">
        <v>8377</v>
      </c>
      <c r="I8337" s="7">
        <v>1833500</v>
      </c>
      <c r="J8337" s="8">
        <v>3.8500000000000013E-2</v>
      </c>
    </row>
    <row r="8338" spans="1:10" x14ac:dyDescent="0.25">
      <c r="A8338" s="5" t="s">
        <v>8371</v>
      </c>
      <c r="B8338" s="5" t="s">
        <v>10205</v>
      </c>
      <c r="C8338" s="6" t="str">
        <f>_xll.QS.CONTEXT.CREATE("market.8336",A8338,"USD","SOFR")</f>
        <v>QSObject:PricingContext:w1~market.8336:2792</v>
      </c>
      <c r="D8338" s="6" t="str">
        <f>_xll.QS.CONTEXT.ADD.CURVE(C8338,"SOFR",$K$2:$K$7,$L$2:$L$7,,,"Actual360","LogLinear",TRUE)</f>
        <v>QSObject:ContextInput:w1~input.qs_context_add_curve.2359132437744.8337.3.0:31985</v>
      </c>
      <c r="E8338" s="6" t="str">
        <f>_xll.QS.INSTRUMENT.SWAP("swap.8336",H8338,B8338,"USD","SOFR",I8338,J8338,0,"Actual360","Simple","Annual","Annual","Annual")</f>
        <v>QSObject:Swap:w1~swap.8336:2791</v>
      </c>
      <c r="F8338" s="6" t="str">
        <f>_xll.QS.TRADE.CREATE("trade.8336",E8338,A8338,"Receive")</f>
        <v>QSObject:SwapTrade:w1~trade.8336:22261</v>
      </c>
      <c r="G8338" s="3">
        <f>_xll.QS.EVALUATE(C8338,F8338)</f>
        <v>55531.916902796547</v>
      </c>
      <c r="H8338" s="5" t="s">
        <v>8378</v>
      </c>
      <c r="I8338" s="7">
        <v>1833600</v>
      </c>
      <c r="J8338" s="8">
        <v>3.8600000000000002E-2</v>
      </c>
    </row>
    <row r="8339" spans="1:10" x14ac:dyDescent="0.25">
      <c r="A8339" s="5" t="s">
        <v>8372</v>
      </c>
      <c r="B8339" s="5" t="s">
        <v>10206</v>
      </c>
      <c r="C8339" s="6" t="str">
        <f>_xll.QS.CONTEXT.CREATE("market.8337",A8339,"USD","SOFR")</f>
        <v>QSObject:PricingContext:w1~market.8337:2790</v>
      </c>
      <c r="D8339" s="6" t="str">
        <f>_xll.QS.CONTEXT.ADD.CURVE(C8339,"SOFR",$K$2:$K$7,$L$2:$L$7,,,"Actual360","LogLinear",TRUE)</f>
        <v>QSObject:ContextInput:w1~input.qs_context_add_curve.2359132437744.8338.3.0:31984</v>
      </c>
      <c r="E8339" s="6" t="str">
        <f>_xll.QS.INSTRUMENT.SWAP("swap.8337",H8339,B8339,"USD","SOFR",I8339,J8339,0,"Actual360","Simple","Annual","Annual","Annual")</f>
        <v>QSObject:Swap:w1~swap.8337:2789</v>
      </c>
      <c r="F8339" s="6" t="str">
        <f>_xll.QS.TRADE.CREATE("trade.8337",E8339,A8339,"Receive")</f>
        <v>QSObject:SwapTrade:w1~trade.8337:22915</v>
      </c>
      <c r="G8339" s="3">
        <f>_xll.QS.EVALUATE(C8339,F8339)</f>
        <v>56459.166465017792</v>
      </c>
      <c r="H8339" s="5" t="s">
        <v>8379</v>
      </c>
      <c r="I8339" s="7">
        <v>1833700</v>
      </c>
      <c r="J8339" s="8">
        <v>3.8700000000000012E-2</v>
      </c>
    </row>
    <row r="8340" spans="1:10" x14ac:dyDescent="0.25">
      <c r="A8340" s="5" t="s">
        <v>8373</v>
      </c>
      <c r="B8340" s="5" t="s">
        <v>10207</v>
      </c>
      <c r="C8340" s="6" t="str">
        <f>_xll.QS.CONTEXT.CREATE("market.8338",A8340,"USD","SOFR")</f>
        <v>QSObject:PricingContext:w1~market.8338:2788</v>
      </c>
      <c r="D8340" s="6" t="str">
        <f>_xll.QS.CONTEXT.ADD.CURVE(C8340,"SOFR",$K$2:$K$7,$L$2:$L$7,,,"Actual360","LogLinear",TRUE)</f>
        <v>QSObject:ContextInput:w1~input.qs_context_add_curve.2359132437744.8339.3.0:31983</v>
      </c>
      <c r="E8340" s="6" t="str">
        <f>_xll.QS.INSTRUMENT.SWAP("swap.8338",H8340,B8340,"USD","SOFR",I8340,J8340,0,"Actual360","Simple","Annual","Annual","Annual")</f>
        <v>QSObject:Swap:w1~swap.8338:2787</v>
      </c>
      <c r="F8340" s="6" t="str">
        <f>_xll.QS.TRADE.CREATE("trade.8338",E8340,A8340,"Receive")</f>
        <v>QSObject:SwapTrade:w1~trade.8338:31078</v>
      </c>
      <c r="G8340" s="3">
        <f>_xll.QS.EVALUATE(C8340,F8340)</f>
        <v>57276.781947984753</v>
      </c>
      <c r="H8340" s="5" t="s">
        <v>8380</v>
      </c>
      <c r="I8340" s="7">
        <v>1833800</v>
      </c>
      <c r="J8340" s="8">
        <v>3.8800000000000001E-2</v>
      </c>
    </row>
    <row r="8341" spans="1:10" x14ac:dyDescent="0.25">
      <c r="A8341" s="5" t="s">
        <v>8374</v>
      </c>
      <c r="B8341" s="5" t="s">
        <v>10208</v>
      </c>
      <c r="C8341" s="6" t="str">
        <f>_xll.QS.CONTEXT.CREATE("market.8339",A8341,"USD","SOFR")</f>
        <v>QSObject:PricingContext:w1~market.8339:2786</v>
      </c>
      <c r="D8341" s="6" t="str">
        <f>_xll.QS.CONTEXT.ADD.CURVE(C8341,"SOFR",$K$2:$K$7,$L$2:$L$7,,,"Actual360","LogLinear",TRUE)</f>
        <v>QSObject:ContextInput:w1~input.qs_context_add_curve.2359132437744.8340.3.0:31982</v>
      </c>
      <c r="E8341" s="6" t="str">
        <f>_xll.QS.INSTRUMENT.SWAP("swap.8339",H8341,B8341,"USD","SOFR",I8341,J8341,0,"Actual360","Simple","Annual","Annual","Annual")</f>
        <v>QSObject:Swap:w1~swap.8339:2785</v>
      </c>
      <c r="F8341" s="6" t="str">
        <f>_xll.QS.TRADE.CREATE("trade.8339",E8341,A8341,"Receive")</f>
        <v>QSObject:SwapTrade:w1~trade.8339:22260</v>
      </c>
      <c r="G8341" s="3">
        <f>_xll.QS.EVALUATE(C8341,F8341)</f>
        <v>58259.721647979357</v>
      </c>
      <c r="H8341" s="5" t="s">
        <v>8381</v>
      </c>
      <c r="I8341" s="7">
        <v>1833900</v>
      </c>
      <c r="J8341" s="8">
        <v>3.8899999999999997E-2</v>
      </c>
    </row>
    <row r="8342" spans="1:10" x14ac:dyDescent="0.25">
      <c r="A8342" s="5" t="s">
        <v>8375</v>
      </c>
      <c r="B8342" s="5" t="s">
        <v>10209</v>
      </c>
      <c r="C8342" s="6" t="str">
        <f>_xll.QS.CONTEXT.CREATE("market.8340",A8342,"USD","SOFR")</f>
        <v>QSObject:PricingContext:w1~market.8340:2784</v>
      </c>
      <c r="D8342" s="6" t="str">
        <f>_xll.QS.CONTEXT.ADD.CURVE(C8342,"SOFR",$K$2:$K$7,$L$2:$L$7,,,"Actual360","LogLinear",TRUE)</f>
        <v>QSObject:ContextInput:w1~input.qs_context_add_curve.2359132437744.8341.3.0:31981</v>
      </c>
      <c r="E8342" s="6" t="str">
        <f>_xll.QS.INSTRUMENT.SWAP("swap.8340",H8342,B8342,"USD","SOFR",I8342,J8342,0,"Actual360","Simple","Annual","Annual","Annual")</f>
        <v>QSObject:Swap:w1~swap.8340:2783</v>
      </c>
      <c r="F8342" s="6" t="str">
        <f>_xll.QS.TRADE.CREATE("trade.8340",E8342,A8342,"Receive")</f>
        <v>QSObject:SwapTrade:w1~trade.8340:31077</v>
      </c>
      <c r="G8342" s="3">
        <f>_xll.QS.EVALUATE(C8342,F8342)</f>
        <v>59188.905603236155</v>
      </c>
      <c r="H8342" s="5" t="s">
        <v>8382</v>
      </c>
      <c r="I8342" s="7">
        <v>1834000</v>
      </c>
      <c r="J8342" s="8">
        <v>3.9000000000000007E-2</v>
      </c>
    </row>
    <row r="8343" spans="1:10" x14ac:dyDescent="0.25">
      <c r="A8343" s="5" t="s">
        <v>8376</v>
      </c>
      <c r="B8343" s="5" t="s">
        <v>10210</v>
      </c>
      <c r="C8343" s="6" t="str">
        <f>_xll.QS.CONTEXT.CREATE("market.8341",A8343,"USD","SOFR")</f>
        <v>QSObject:PricingContext:w1~market.8341:2782</v>
      </c>
      <c r="D8343" s="6" t="str">
        <f>_xll.QS.CONTEXT.ADD.CURVE(C8343,"SOFR",$K$2:$K$7,$L$2:$L$7,,,"Actual360","LogLinear",TRUE)</f>
        <v>QSObject:ContextInput:w1~input.qs_context_add_curve.2359132437744.8342.3.0:31980</v>
      </c>
      <c r="E8343" s="6" t="str">
        <f>_xll.QS.INSTRUMENT.SWAP("swap.8341",H8343,B8343,"USD","SOFR",I8343,J8343,0,"Actual360","Simple","Annual","Annual","Annual")</f>
        <v>QSObject:Swap:w1~swap.8341:2781</v>
      </c>
      <c r="F8343" s="6" t="str">
        <f>_xll.QS.TRADE.CREATE("trade.8341",E8343,A8343,"Receive")</f>
        <v>QSObject:SwapTrade:w1~trade.8341:22259</v>
      </c>
      <c r="G8343" s="3">
        <f>_xll.QS.EVALUATE(C8343,F8343)</f>
        <v>59966.913755183741</v>
      </c>
      <c r="H8343" s="5" t="s">
        <v>8383</v>
      </c>
      <c r="I8343" s="7">
        <v>1834100</v>
      </c>
      <c r="J8343" s="8">
        <v>3.9100000000000003E-2</v>
      </c>
    </row>
    <row r="8344" spans="1:10" x14ac:dyDescent="0.25">
      <c r="A8344" s="5" t="s">
        <v>8377</v>
      </c>
      <c r="B8344" s="5" t="s">
        <v>10211</v>
      </c>
      <c r="C8344" s="6" t="str">
        <f>_xll.QS.CONTEXT.CREATE("market.8342",A8344,"USD","SOFR")</f>
        <v>QSObject:PricingContext:w1~market.8342:2780</v>
      </c>
      <c r="D8344" s="6" t="str">
        <f>_xll.QS.CONTEXT.ADD.CURVE(C8344,"SOFR",$K$2:$K$7,$L$2:$L$7,,,"Actual360","LogLinear",TRUE)</f>
        <v>QSObject:ContextInput:w1~input.qs_context_add_curve.2359132437744.8343.3.0:31979</v>
      </c>
      <c r="E8344" s="6" t="str">
        <f>_xll.QS.INSTRUMENT.SWAP("swap.8342",H8344,B8344,"USD","SOFR",I8344,J8344,0,"Actual360","Simple","Annual","Annual","Annual")</f>
        <v>QSObject:Swap:w1~swap.8342:2779</v>
      </c>
      <c r="F8344" s="6" t="str">
        <f>_xll.QS.TRADE.CREATE("trade.8342",E8344,A8344,"Receive")</f>
        <v>QSObject:SwapTrade:w1~trade.8342:22914</v>
      </c>
      <c r="G8344" s="3">
        <f>_xll.QS.EVALUATE(C8344,F8344)</f>
        <v>60629.041143832474</v>
      </c>
      <c r="H8344" s="5" t="s">
        <v>8384</v>
      </c>
      <c r="I8344" s="7">
        <v>1834200</v>
      </c>
      <c r="J8344" s="8">
        <v>3.9200000000000013E-2</v>
      </c>
    </row>
    <row r="8345" spans="1:10" x14ac:dyDescent="0.25">
      <c r="A8345" s="5" t="s">
        <v>8378</v>
      </c>
      <c r="B8345" s="5" t="s">
        <v>10212</v>
      </c>
      <c r="C8345" s="6" t="str">
        <f>_xll.QS.CONTEXT.CREATE("market.8343",A8345,"USD","SOFR")</f>
        <v>QSObject:PricingContext:w1~market.8343:2778</v>
      </c>
      <c r="D8345" s="6" t="str">
        <f>_xll.QS.CONTEXT.ADD.CURVE(C8345,"SOFR",$K$2:$K$7,$L$2:$L$7,,,"Actual360","LogLinear",TRUE)</f>
        <v>QSObject:ContextInput:w1~input.qs_context_add_curve.2359132437744.8344.3.0:31978</v>
      </c>
      <c r="E8345" s="6" t="str">
        <f>_xll.QS.INSTRUMENT.SWAP("swap.8343",H8345,B8345,"USD","SOFR",I8345,J8345,0,"Actual360","Simple","Annual","Annual","Annual")</f>
        <v>QSObject:Swap:w1~swap.8343:2777</v>
      </c>
      <c r="F8345" s="6" t="str">
        <f>_xll.QS.TRADE.CREATE("trade.8343",E8345,A8345,"Receive")</f>
        <v>QSObject:SwapTrade:w1~trade.8343:23424</v>
      </c>
      <c r="G8345" s="3">
        <f>_xll.QS.EVALUATE(C8345,F8345)</f>
        <v>61363.594642963319</v>
      </c>
      <c r="H8345" s="5" t="s">
        <v>8385</v>
      </c>
      <c r="I8345" s="7">
        <v>1834300</v>
      </c>
      <c r="J8345" s="8">
        <v>3.9300000000000002E-2</v>
      </c>
    </row>
    <row r="8346" spans="1:10" x14ac:dyDescent="0.25">
      <c r="A8346" s="5" t="s">
        <v>8379</v>
      </c>
      <c r="B8346" s="5" t="s">
        <v>10213</v>
      </c>
      <c r="C8346" s="6" t="str">
        <f>_xll.QS.CONTEXT.CREATE("market.8344",A8346,"USD","SOFR")</f>
        <v>QSObject:PricingContext:w1~market.8344:2776</v>
      </c>
      <c r="D8346" s="6" t="str">
        <f>_xll.QS.CONTEXT.ADD.CURVE(C8346,"SOFR",$K$2:$K$7,$L$2:$L$7,,,"Actual360","LogLinear",TRUE)</f>
        <v>QSObject:ContextInput:w1~input.qs_context_add_curve.2359132437744.8345.3.0:31977</v>
      </c>
      <c r="E8346" s="6" t="str">
        <f>_xll.QS.INSTRUMENT.SWAP("swap.8344",H8346,B8346,"USD","SOFR",I8346,J8346,0,"Actual360","Simple","Annual","Annual","Annual")</f>
        <v>QSObject:Swap:w1~swap.8344:2775</v>
      </c>
      <c r="F8346" s="6" t="str">
        <f>_xll.QS.TRADE.CREATE("trade.8344",E8346,A8346,"Receive")</f>
        <v>QSObject:SwapTrade:w1~trade.8344:22913</v>
      </c>
      <c r="G8346" s="3">
        <f>_xll.QS.EVALUATE(C8346,F8346)</f>
        <v>62292.14924539507</v>
      </c>
      <c r="H8346" s="5" t="s">
        <v>8386</v>
      </c>
      <c r="I8346" s="7">
        <v>1834400</v>
      </c>
      <c r="J8346" s="8">
        <v>3.9399999999999998E-2</v>
      </c>
    </row>
    <row r="8347" spans="1:10" x14ac:dyDescent="0.25">
      <c r="A8347" s="5" t="s">
        <v>8380</v>
      </c>
      <c r="B8347" s="5" t="s">
        <v>10214</v>
      </c>
      <c r="C8347" s="6" t="str">
        <f>_xll.QS.CONTEXT.CREATE("market.8345",A8347,"USD","SOFR")</f>
        <v>QSObject:PricingContext:w1~market.8345:2774</v>
      </c>
      <c r="D8347" s="6" t="str">
        <f>_xll.QS.CONTEXT.ADD.CURVE(C8347,"SOFR",$K$2:$K$7,$L$2:$L$7,,,"Actual360","LogLinear",TRUE)</f>
        <v>QSObject:ContextInput:w1~input.qs_context_add_curve.2359132437744.8346.3.0:31976</v>
      </c>
      <c r="E8347" s="6" t="str">
        <f>_xll.QS.INSTRUMENT.SWAP("swap.8345",H8347,B8347,"USD","SOFR",I8347,J8347,0,"Actual360","Simple","Annual","Annual","Annual")</f>
        <v>QSObject:Swap:w1~swap.8345:2773</v>
      </c>
      <c r="F8347" s="6" t="str">
        <f>_xll.QS.TRADE.CREATE("trade.8345",E8347,A8347,"Receive")</f>
        <v>QSObject:SwapTrade:w1~trade.8345:31076</v>
      </c>
      <c r="G8347" s="3">
        <f>_xll.QS.EVALUATE(C8347,F8347)</f>
        <v>63220.429727935487</v>
      </c>
      <c r="H8347" s="5" t="s">
        <v>8387</v>
      </c>
      <c r="I8347" s="7">
        <v>1834500</v>
      </c>
      <c r="J8347" s="8">
        <v>3.9500000000000007E-2</v>
      </c>
    </row>
    <row r="8348" spans="1:10" x14ac:dyDescent="0.25">
      <c r="A8348" s="5" t="s">
        <v>8381</v>
      </c>
      <c r="B8348" s="5" t="s">
        <v>10215</v>
      </c>
      <c r="C8348" s="6" t="str">
        <f>_xll.QS.CONTEXT.CREATE("market.8346",A8348,"USD","SOFR")</f>
        <v>QSObject:PricingContext:w1~market.8346:2772</v>
      </c>
      <c r="D8348" s="6" t="str">
        <f>_xll.QS.CONTEXT.ADD.CURVE(C8348,"SOFR",$K$2:$K$7,$L$2:$L$7,,,"Actual360","LogLinear",TRUE)</f>
        <v>QSObject:ContextInput:w1~input.qs_context_add_curve.2359132437744.8347.3.0:31975</v>
      </c>
      <c r="E8348" s="6" t="str">
        <f>_xll.QS.INSTRUMENT.SWAP("swap.8346",H8348,B8348,"USD","SOFR",I8348,J8348,0,"Actual360","Simple","Annual","Annual","Annual")</f>
        <v>QSObject:Swap:w1~swap.8346:2771</v>
      </c>
      <c r="F8348" s="6" t="str">
        <f>_xll.QS.TRADE.CREATE("trade.8346",E8348,A8348,"Receive")</f>
        <v>QSObject:SwapTrade:w1~trade.8346:23423</v>
      </c>
      <c r="G8348" s="3">
        <f>_xll.QS.EVALUATE(C8348,F8348)</f>
        <v>64203.805308652147</v>
      </c>
      <c r="H8348" s="5" t="s">
        <v>8388</v>
      </c>
      <c r="I8348" s="7">
        <v>1834600</v>
      </c>
      <c r="J8348" s="8">
        <v>3.9600000000000003E-2</v>
      </c>
    </row>
    <row r="8349" spans="1:10" x14ac:dyDescent="0.25">
      <c r="A8349" s="5" t="s">
        <v>8382</v>
      </c>
      <c r="B8349" s="5" t="s">
        <v>10216</v>
      </c>
      <c r="C8349" s="6" t="str">
        <f>_xll.QS.CONTEXT.CREATE("market.8347",A8349,"USD","SOFR")</f>
        <v>QSObject:PricingContext:w1~market.8347:2770</v>
      </c>
      <c r="D8349" s="6" t="str">
        <f>_xll.QS.CONTEXT.ADD.CURVE(C8349,"SOFR",$K$2:$K$7,$L$2:$L$7,,,"Actual360","LogLinear",TRUE)</f>
        <v>QSObject:ContextInput:w1~input.qs_context_add_curve.2359132437744.8348.3.0:31974</v>
      </c>
      <c r="E8349" s="6" t="str">
        <f>_xll.QS.INSTRUMENT.SWAP("swap.8347",H8349,B8349,"USD","SOFR",I8349,J8349,0,"Actual360","Simple","Annual","Annual","Annual")</f>
        <v>QSObject:Swap:w1~swap.8347:2769</v>
      </c>
      <c r="F8349" s="6" t="str">
        <f>_xll.QS.TRADE.CREATE("trade.8347",E8349,A8349,"Receive")</f>
        <v>QSObject:SwapTrade:w1~trade.8347:22912</v>
      </c>
      <c r="G8349" s="3">
        <f>_xll.QS.EVALUATE(C8349,F8349)</f>
        <v>65136.086896876484</v>
      </c>
      <c r="H8349" s="5" t="s">
        <v>8389</v>
      </c>
      <c r="I8349" s="7">
        <v>1834700</v>
      </c>
      <c r="J8349" s="8">
        <v>3.9700000000000013E-2</v>
      </c>
    </row>
    <row r="8350" spans="1:10" x14ac:dyDescent="0.25">
      <c r="A8350" s="5" t="s">
        <v>8383</v>
      </c>
      <c r="B8350" s="5" t="s">
        <v>10217</v>
      </c>
      <c r="C8350" s="6" t="str">
        <f>_xll.QS.CONTEXT.CREATE("market.8348",A8350,"USD","SOFR")</f>
        <v>QSObject:PricingContext:w1~market.8348:2768</v>
      </c>
      <c r="D8350" s="6" t="str">
        <f>_xll.QS.CONTEXT.ADD.CURVE(C8350,"SOFR",$K$2:$K$7,$L$2:$L$7,,,"Actual360","LogLinear",TRUE)</f>
        <v>QSObject:ContextInput:w1~input.qs_context_add_curve.2359132437744.8349.3.0:31973</v>
      </c>
      <c r="E8350" s="6" t="str">
        <f>_xll.QS.INSTRUMENT.SWAP("swap.8348",H8350,B8350,"USD","SOFR",I8350,J8350,0,"Actual360","Simple","Annual","Annual","Annual")</f>
        <v>QSObject:Swap:w1~swap.8348:2767</v>
      </c>
      <c r="F8350" s="6" t="str">
        <f>_xll.QS.TRADE.CREATE("trade.8348",E8350,A8350,"Receive")</f>
        <v>QSObject:SwapTrade:w1~trade.8348:22258</v>
      </c>
      <c r="G8350" s="3">
        <f>_xll.QS.EVALUATE(C8350,F8350)</f>
        <v>65987.082606769254</v>
      </c>
      <c r="H8350" s="5" t="s">
        <v>8390</v>
      </c>
      <c r="I8350" s="7">
        <v>1834800</v>
      </c>
      <c r="J8350" s="8">
        <v>3.9800000000000002E-2</v>
      </c>
    </row>
    <row r="8351" spans="1:10" x14ac:dyDescent="0.25">
      <c r="A8351" s="5" t="s">
        <v>8384</v>
      </c>
      <c r="B8351" s="5" t="s">
        <v>10218</v>
      </c>
      <c r="C8351" s="6" t="str">
        <f>_xll.QS.CONTEXT.CREATE("market.8349",A8351,"USD","SOFR")</f>
        <v>QSObject:PricingContext:w1~market.8349:2766</v>
      </c>
      <c r="D8351" s="6" t="str">
        <f>_xll.QS.CONTEXT.ADD.CURVE(C8351,"SOFR",$K$2:$K$7,$L$2:$L$7,,,"Actual360","LogLinear",TRUE)</f>
        <v>QSObject:ContextInput:w1~input.qs_context_add_curve.2359132437744.8350.3.0:31972</v>
      </c>
      <c r="E8351" s="6" t="str">
        <f>_xll.QS.INSTRUMENT.SWAP("swap.8349",H8351,B8351,"USD","SOFR",I8351,J8351,0,"Actual360","Simple","Annual","Annual","Annual")</f>
        <v>QSObject:Swap:w1~swap.8349:2765</v>
      </c>
      <c r="F8351" s="6" t="str">
        <f>_xll.QS.TRADE.CREATE("trade.8349",E8351,A8351,"Receive")</f>
        <v>QSObject:SwapTrade:w1~trade.8349:31075</v>
      </c>
      <c r="G8351" s="3">
        <f>_xll.QS.EVALUATE(C8351,F8351)</f>
        <v>66680.852601629871</v>
      </c>
      <c r="H8351" s="5" t="s">
        <v>8391</v>
      </c>
      <c r="I8351" s="7">
        <v>1834900</v>
      </c>
      <c r="J8351" s="8">
        <v>3.9899999999999998E-2</v>
      </c>
    </row>
    <row r="8352" spans="1:10" x14ac:dyDescent="0.25">
      <c r="A8352" s="5" t="s">
        <v>8385</v>
      </c>
      <c r="B8352" s="5" t="s">
        <v>10219</v>
      </c>
      <c r="C8352" s="6" t="str">
        <f>_xll.QS.CONTEXT.CREATE("market.8350",A8352,"USD","SOFR")</f>
        <v>QSObject:PricingContext:w1~market.8350:2764</v>
      </c>
      <c r="D8352" s="6" t="str">
        <f>_xll.QS.CONTEXT.ADD.CURVE(C8352,"SOFR",$K$2:$K$7,$L$2:$L$7,,,"Actual360","LogLinear",TRUE)</f>
        <v>QSObject:ContextInput:w1~input.qs_context_add_curve.2359132437744.8351.3.0:31971</v>
      </c>
      <c r="E8352" s="6" t="str">
        <f>_xll.QS.INSTRUMENT.SWAP("swap.8350",H8352,B8352,"USD","SOFR",I8352,J8352,0,"Actual360","Simple","Annual","Annual","Annual")</f>
        <v>QSObject:Swap:w1~swap.8350:2763</v>
      </c>
      <c r="F8352" s="6" t="str">
        <f>_xll.QS.TRADE.CREATE("trade.8350",E8352,A8352,"Receive")</f>
        <v>QSObject:SwapTrade:w1~trade.8350:23422</v>
      </c>
      <c r="G8352" s="3">
        <f>_xll.QS.EVALUATE(C8352,F8352)</f>
        <v>25099.936366838199</v>
      </c>
      <c r="H8352" s="5" t="s">
        <v>8392</v>
      </c>
      <c r="I8352" s="7">
        <v>1835000</v>
      </c>
      <c r="J8352" s="8">
        <v>3.5000000000000003E-2</v>
      </c>
    </row>
    <row r="8353" spans="1:10" x14ac:dyDescent="0.25">
      <c r="A8353" s="5" t="s">
        <v>8386</v>
      </c>
      <c r="B8353" s="5" t="s">
        <v>10220</v>
      </c>
      <c r="C8353" s="6" t="str">
        <f>_xll.QS.CONTEXT.CREATE("market.8351",A8353,"USD","SOFR")</f>
        <v>QSObject:PricingContext:w1~market.8351:2762</v>
      </c>
      <c r="D8353" s="6" t="str">
        <f>_xll.QS.CONTEXT.ADD.CURVE(C8353,"SOFR",$K$2:$K$7,$L$2:$L$7,,,"Actual360","LogLinear",TRUE)</f>
        <v>QSObject:ContextInput:w1~input.qs_context_add_curve.2359132437744.8352.3.0:31970</v>
      </c>
      <c r="E8353" s="6" t="str">
        <f>_xll.QS.INSTRUMENT.SWAP("swap.8351",H8353,B8353,"USD","SOFR",I8353,J8353,0,"Actual360","Simple","Annual","Annual","Annual")</f>
        <v>QSObject:Swap:w1~swap.8351:2761</v>
      </c>
      <c r="F8353" s="6" t="str">
        <f>_xll.QS.TRADE.CREATE("trade.8351",E8353,A8353,"Receive")</f>
        <v>QSObject:SwapTrade:w1~trade.8351:31074</v>
      </c>
      <c r="G8353" s="3">
        <f>_xll.QS.EVALUATE(C8353,F8353)</f>
        <v>25949.618799088137</v>
      </c>
      <c r="H8353" s="5" t="s">
        <v>8393</v>
      </c>
      <c r="I8353" s="7">
        <v>1835100</v>
      </c>
      <c r="J8353" s="8">
        <v>3.5100000000000013E-2</v>
      </c>
    </row>
    <row r="8354" spans="1:10" x14ac:dyDescent="0.25">
      <c r="A8354" s="5" t="s">
        <v>8387</v>
      </c>
      <c r="B8354" s="5" t="s">
        <v>10221</v>
      </c>
      <c r="C8354" s="6" t="str">
        <f>_xll.QS.CONTEXT.CREATE("market.8352",A8354,"USD","SOFR")</f>
        <v>QSObject:PricingContext:w1~market.8352:2760</v>
      </c>
      <c r="D8354" s="6" t="str">
        <f>_xll.QS.CONTEXT.ADD.CURVE(C8354,"SOFR",$K$2:$K$7,$L$2:$L$7,,,"Actual360","LogLinear",TRUE)</f>
        <v>QSObject:ContextInput:w1~input.qs_context_add_curve.2359132437744.8353.3.0:31969</v>
      </c>
      <c r="E8354" s="6" t="str">
        <f>_xll.QS.INSTRUMENT.SWAP("swap.8352",H8354,B8354,"USD","SOFR",I8354,J8354,0,"Actual360","Simple","Annual","Annual","Annual")</f>
        <v>QSObject:Swap:w1~swap.8352:2759</v>
      </c>
      <c r="F8354" s="6" t="str">
        <f>_xll.QS.TRADE.CREATE("trade.8352",E8354,A8354,"Receive")</f>
        <v>QSObject:SwapTrade:w1~trade.8352:31073</v>
      </c>
      <c r="G8354" s="3">
        <f>_xll.QS.EVALUATE(C8354,F8354)</f>
        <v>26854.806157190236</v>
      </c>
      <c r="H8354" s="5" t="s">
        <v>8394</v>
      </c>
      <c r="I8354" s="7">
        <v>1835200</v>
      </c>
      <c r="J8354" s="8">
        <v>3.5200000000000002E-2</v>
      </c>
    </row>
    <row r="8355" spans="1:10" x14ac:dyDescent="0.25">
      <c r="A8355" s="5" t="s">
        <v>8388</v>
      </c>
      <c r="B8355" s="5" t="s">
        <v>10222</v>
      </c>
      <c r="C8355" s="6" t="str">
        <f>_xll.QS.CONTEXT.CREATE("market.8353",A8355,"USD","SOFR")</f>
        <v>QSObject:PricingContext:w1~market.8353:2758</v>
      </c>
      <c r="D8355" s="6" t="str">
        <f>_xll.QS.CONTEXT.ADD.CURVE(C8355,"SOFR",$K$2:$K$7,$L$2:$L$7,,,"Actual360","LogLinear",TRUE)</f>
        <v>QSObject:ContextInput:w1~input.qs_context_add_curve.2359132437744.8354.3.0:31968</v>
      </c>
      <c r="E8355" s="6" t="str">
        <f>_xll.QS.INSTRUMENT.SWAP("swap.8353",H8355,B8355,"USD","SOFR",I8355,J8355,0,"Actual360","Simple","Annual","Annual","Annual")</f>
        <v>QSObject:Swap:w1~swap.8353:2757</v>
      </c>
      <c r="F8355" s="6" t="str">
        <f>_xll.QS.TRADE.CREATE("trade.8353",E8355,A8355,"Receive")</f>
        <v>QSObject:SwapTrade:w1~trade.8353:22911</v>
      </c>
      <c r="G8355" s="3">
        <f>_xll.QS.EVALUATE(C8355,F8355)</f>
        <v>27836.381697105855</v>
      </c>
      <c r="H8355" s="5" t="s">
        <v>8395</v>
      </c>
      <c r="I8355" s="7">
        <v>1835300</v>
      </c>
      <c r="J8355" s="8">
        <v>3.5299999999999998E-2</v>
      </c>
    </row>
    <row r="8356" spans="1:10" x14ac:dyDescent="0.25">
      <c r="A8356" s="5" t="s">
        <v>8389</v>
      </c>
      <c r="B8356" s="5" t="s">
        <v>10223</v>
      </c>
      <c r="C8356" s="6" t="str">
        <f>_xll.QS.CONTEXT.CREATE("market.8354",A8356,"USD","SOFR")</f>
        <v>QSObject:PricingContext:w1~market.8354:2756</v>
      </c>
      <c r="D8356" s="6" t="str">
        <f>_xll.QS.CONTEXT.ADD.CURVE(C8356,"SOFR",$K$2:$K$7,$L$2:$L$7,,,"Actual360","LogLinear",TRUE)</f>
        <v>QSObject:ContextInput:w1~input.qs_context_add_curve.2359132437744.8355.3.0:31967</v>
      </c>
      <c r="E8356" s="6" t="str">
        <f>_xll.QS.INSTRUMENT.SWAP("swap.8354",H8356,B8356,"USD","SOFR",I8356,J8356,0,"Actual360","Simple","Annual","Annual","Annual")</f>
        <v>QSObject:Swap:w1~swap.8354:2755</v>
      </c>
      <c r="F8356" s="6" t="str">
        <f>_xll.QS.TRADE.CREATE("trade.8354",E8356,A8356,"Receive")</f>
        <v>QSObject:SwapTrade:w1~trade.8354:22257</v>
      </c>
      <c r="G8356" s="3">
        <f>_xll.QS.EVALUATE(C8356,F8356)</f>
        <v>28744.902607269272</v>
      </c>
      <c r="H8356" s="5" t="s">
        <v>8396</v>
      </c>
      <c r="I8356" s="7">
        <v>1835400</v>
      </c>
      <c r="J8356" s="8">
        <v>3.5400000000000001E-2</v>
      </c>
    </row>
    <row r="8357" spans="1:10" x14ac:dyDescent="0.25">
      <c r="A8357" s="5" t="s">
        <v>8390</v>
      </c>
      <c r="B8357" s="5" t="s">
        <v>10224</v>
      </c>
      <c r="C8357" s="6" t="str">
        <f>_xll.QS.CONTEXT.CREATE("market.8355",A8357,"USD","SOFR")</f>
        <v>QSObject:PricingContext:w1~market.8355:2754</v>
      </c>
      <c r="D8357" s="6" t="str">
        <f>_xll.QS.CONTEXT.ADD.CURVE(C8357,"SOFR",$K$2:$K$7,$L$2:$L$7,,,"Actual360","LogLinear",TRUE)</f>
        <v>QSObject:ContextInput:w1~input.qs_context_add_curve.2359132437744.8356.3.0:31966</v>
      </c>
      <c r="E8357" s="6" t="str">
        <f>_xll.QS.INSTRUMENT.SWAP("swap.8355",H8357,B8357,"USD","SOFR",I8357,J8357,0,"Actual360","Simple","Annual","Annual","Annual")</f>
        <v>QSObject:Swap:w1~swap.8355:2753</v>
      </c>
      <c r="F8357" s="6" t="str">
        <f>_xll.QS.TRADE.CREATE("trade.8355",E8357,A8357,"Receive")</f>
        <v>QSObject:SwapTrade:w1~trade.8355:22910</v>
      </c>
      <c r="G8357" s="3">
        <f>_xll.QS.EVALUATE(C8357,F8357)</f>
        <v>29486.708837218721</v>
      </c>
      <c r="H8357" s="5" t="s">
        <v>8397</v>
      </c>
      <c r="I8357" s="7">
        <v>1835500</v>
      </c>
      <c r="J8357" s="8">
        <v>3.5499999999999997E-2</v>
      </c>
    </row>
    <row r="8358" spans="1:10" x14ac:dyDescent="0.25">
      <c r="A8358" s="5" t="s">
        <v>8391</v>
      </c>
      <c r="B8358" s="5" t="s">
        <v>10225</v>
      </c>
      <c r="C8358" s="6" t="str">
        <f>_xll.QS.CONTEXT.CREATE("market.8356",A8358,"USD","SOFR")</f>
        <v>QSObject:PricingContext:w1~market.8356:2752</v>
      </c>
      <c r="D8358" s="6" t="str">
        <f>_xll.QS.CONTEXT.ADD.CURVE(C8358,"SOFR",$K$2:$K$7,$L$2:$L$7,,,"Actual360","LogLinear",TRUE)</f>
        <v>QSObject:ContextInput:w1~input.qs_context_add_curve.2359132437744.8357.3.0:31965</v>
      </c>
      <c r="E8358" s="6" t="str">
        <f>_xll.QS.INSTRUMENT.SWAP("swap.8356",H8358,B8358,"USD","SOFR",I8358,J8358,0,"Actual360","Simple","Annual","Annual","Annual")</f>
        <v>QSObject:Swap:w1~swap.8356:2751</v>
      </c>
      <c r="F8358" s="6" t="str">
        <f>_xll.QS.TRADE.CREATE("trade.8356",E8358,A8358,"Receive")</f>
        <v>QSObject:SwapTrade:w1~trade.8356:31072</v>
      </c>
      <c r="G8358" s="3">
        <f>_xll.QS.EVALUATE(C8358,F8358)</f>
        <v>30276.536200936353</v>
      </c>
      <c r="H8358" s="5" t="s">
        <v>8398</v>
      </c>
      <c r="I8358" s="7">
        <v>1835600</v>
      </c>
      <c r="J8358" s="8">
        <v>3.5600000000000007E-2</v>
      </c>
    </row>
    <row r="8359" spans="1:10" x14ac:dyDescent="0.25">
      <c r="A8359" s="5" t="s">
        <v>8392</v>
      </c>
      <c r="B8359" s="5" t="s">
        <v>10226</v>
      </c>
      <c r="C8359" s="6" t="str">
        <f>_xll.QS.CONTEXT.CREATE("market.8357",A8359,"USD","SOFR")</f>
        <v>QSObject:PricingContext:w1~market.8357:2750</v>
      </c>
      <c r="D8359" s="6" t="str">
        <f>_xll.QS.CONTEXT.ADD.CURVE(C8359,"SOFR",$K$2:$K$7,$L$2:$L$7,,,"Actual360","LogLinear",TRUE)</f>
        <v>QSObject:ContextInput:w1~input.qs_context_add_curve.2359132437744.8358.3.0:31964</v>
      </c>
      <c r="E8359" s="6" t="str">
        <f>_xll.QS.INSTRUMENT.SWAP("swap.8357",H8359,B8359,"USD","SOFR",I8359,J8359,0,"Actual360","Simple","Annual","Annual","Annual")</f>
        <v>QSObject:Swap:w1~swap.8357:2749</v>
      </c>
      <c r="F8359" s="6" t="str">
        <f>_xll.QS.TRADE.CREATE("trade.8357",E8359,A8359,"Receive")</f>
        <v>QSObject:SwapTrade:w1~trade.8357:22256</v>
      </c>
      <c r="G8359" s="3">
        <f>_xll.QS.EVALUATE(C8359,F8359)</f>
        <v>30963.69699440484</v>
      </c>
      <c r="H8359" s="5" t="s">
        <v>8399</v>
      </c>
      <c r="I8359" s="7">
        <v>1835700</v>
      </c>
      <c r="J8359" s="8">
        <v>3.5700000000000003E-2</v>
      </c>
    </row>
    <row r="8360" spans="1:10" x14ac:dyDescent="0.25">
      <c r="A8360" s="5" t="s">
        <v>8393</v>
      </c>
      <c r="B8360" s="5" t="s">
        <v>10227</v>
      </c>
      <c r="C8360" s="6" t="str">
        <f>_xll.QS.CONTEXT.CREATE("market.8358",A8360,"USD","SOFR")</f>
        <v>QSObject:PricingContext:w1~market.8358:2748</v>
      </c>
      <c r="D8360" s="6" t="str">
        <f>_xll.QS.CONTEXT.ADD.CURVE(C8360,"SOFR",$K$2:$K$7,$L$2:$L$7,,,"Actual360","LogLinear",TRUE)</f>
        <v>QSObject:ContextInput:w1~input.qs_context_add_curve.2359132437744.8359.3.0:31963</v>
      </c>
      <c r="E8360" s="6" t="str">
        <f>_xll.QS.INSTRUMENT.SWAP("swap.8358",H8360,B8360,"USD","SOFR",I8360,J8360,0,"Actual360","Simple","Annual","Annual","Annual")</f>
        <v>QSObject:Swap:w1~swap.8358:2747</v>
      </c>
      <c r="F8360" s="6" t="str">
        <f>_xll.QS.TRADE.CREATE("trade.8358",E8360,A8360,"Receive")</f>
        <v>QSObject:SwapTrade:w1~trade.8358:22909</v>
      </c>
      <c r="G8360" s="3">
        <f>_xll.QS.EVALUATE(C8360,F8360)</f>
        <v>31955.554743192799</v>
      </c>
      <c r="H8360" s="5" t="s">
        <v>8400</v>
      </c>
      <c r="I8360" s="7">
        <v>1835800</v>
      </c>
      <c r="J8360" s="8">
        <v>3.5800000000000012E-2</v>
      </c>
    </row>
    <row r="8361" spans="1:10" x14ac:dyDescent="0.25">
      <c r="A8361" s="5" t="s">
        <v>8394</v>
      </c>
      <c r="B8361" s="5" t="s">
        <v>10228</v>
      </c>
      <c r="C8361" s="6" t="str">
        <f>_xll.QS.CONTEXT.CREATE("market.8359",A8361,"USD","SOFR")</f>
        <v>QSObject:PricingContext:w1~market.8359:2746</v>
      </c>
      <c r="D8361" s="6" t="str">
        <f>_xll.QS.CONTEXT.ADD.CURVE(C8361,"SOFR",$K$2:$K$7,$L$2:$L$7,,,"Actual360","LogLinear",TRUE)</f>
        <v>QSObject:ContextInput:w1~input.qs_context_add_curve.2359132437744.8360.3.0:31962</v>
      </c>
      <c r="E8361" s="6" t="str">
        <f>_xll.QS.INSTRUMENT.SWAP("swap.8359",H8361,B8361,"USD","SOFR",I8361,J8361,0,"Actual360","Simple","Annual","Annual","Annual")</f>
        <v>QSObject:Swap:w1~swap.8359:2745</v>
      </c>
      <c r="F8361" s="6" t="str">
        <f>_xll.QS.TRADE.CREATE("trade.8359",E8361,A8361,"Receive")</f>
        <v>QSObject:SwapTrade:w1~trade.8359:23421</v>
      </c>
      <c r="G8361" s="3">
        <f>_xll.QS.EVALUATE(C8361,F8361)</f>
        <v>33000.189229906471</v>
      </c>
      <c r="H8361" s="5" t="s">
        <v>8401</v>
      </c>
      <c r="I8361" s="7">
        <v>1835900</v>
      </c>
      <c r="J8361" s="8">
        <v>3.5900000000000001E-2</v>
      </c>
    </row>
    <row r="8362" spans="1:10" x14ac:dyDescent="0.25">
      <c r="A8362" s="5" t="s">
        <v>8395</v>
      </c>
      <c r="B8362" s="5" t="s">
        <v>10229</v>
      </c>
      <c r="C8362" s="6" t="str">
        <f>_xll.QS.CONTEXT.CREATE("market.8360",A8362,"USD","SOFR")</f>
        <v>QSObject:PricingContext:w1~market.8360:2744</v>
      </c>
      <c r="D8362" s="6" t="str">
        <f>_xll.QS.CONTEXT.ADD.CURVE(C8362,"SOFR",$K$2:$K$7,$L$2:$L$7,,,"Actual360","LogLinear",TRUE)</f>
        <v>QSObject:ContextInput:w1~input.qs_context_add_curve.2359132437744.8361.3.0:31961</v>
      </c>
      <c r="E8362" s="6" t="str">
        <f>_xll.QS.INSTRUMENT.SWAP("swap.8360",H8362,B8362,"USD","SOFR",I8362,J8362,0,"Actual360","Simple","Annual","Annual","Annual")</f>
        <v>QSObject:Swap:w1~swap.8360:2743</v>
      </c>
      <c r="F8362" s="6" t="str">
        <f>_xll.QS.TRADE.CREATE("trade.8360",E8362,A8362,"Receive")</f>
        <v>QSObject:SwapTrade:w1~trade.8360:31071</v>
      </c>
      <c r="G8362" s="3">
        <f>_xll.QS.EVALUATE(C8362,F8362)</f>
        <v>33858.83264504141</v>
      </c>
      <c r="H8362" s="5" t="s">
        <v>8402</v>
      </c>
      <c r="I8362" s="7">
        <v>1836000</v>
      </c>
      <c r="J8362" s="8">
        <v>3.5999999999999997E-2</v>
      </c>
    </row>
    <row r="8363" spans="1:10" x14ac:dyDescent="0.25">
      <c r="A8363" s="5" t="s">
        <v>8396</v>
      </c>
      <c r="B8363" s="5" t="s">
        <v>10230</v>
      </c>
      <c r="C8363" s="6" t="str">
        <f>_xll.QS.CONTEXT.CREATE("market.8361",A8363,"USD","SOFR")</f>
        <v>QSObject:PricingContext:w1~market.8361:2742</v>
      </c>
      <c r="D8363" s="6" t="str">
        <f>_xll.QS.CONTEXT.ADD.CURVE(C8363,"SOFR",$K$2:$K$7,$L$2:$L$7,,,"Actual360","LogLinear",TRUE)</f>
        <v>QSObject:ContextInput:w1~input.qs_context_add_curve.2359132437744.8362.3.0:31960</v>
      </c>
      <c r="E8363" s="6" t="str">
        <f>_xll.QS.INSTRUMENT.SWAP("swap.8361",H8363,B8363,"USD","SOFR",I8363,J8363,0,"Actual360","Simple","Annual","Annual","Annual")</f>
        <v>QSObject:Swap:w1~swap.8361:2741</v>
      </c>
      <c r="F8363" s="6" t="str">
        <f>_xll.QS.TRADE.CREATE("trade.8361",E8363,A8363,"Receive")</f>
        <v>QSObject:SwapTrade:w1~trade.8361:22255</v>
      </c>
      <c r="G8363" s="3">
        <f>_xll.QS.EVALUATE(C8363,F8363)</f>
        <v>34702.478987047623</v>
      </c>
      <c r="H8363" s="5" t="s">
        <v>8403</v>
      </c>
      <c r="I8363" s="7">
        <v>1836100</v>
      </c>
      <c r="J8363" s="8">
        <v>3.61E-2</v>
      </c>
    </row>
    <row r="8364" spans="1:10" x14ac:dyDescent="0.25">
      <c r="A8364" s="5" t="s">
        <v>8397</v>
      </c>
      <c r="B8364" s="5" t="s">
        <v>10231</v>
      </c>
      <c r="C8364" s="6" t="str">
        <f>_xll.QS.CONTEXT.CREATE("market.8362",A8364,"USD","SOFR")</f>
        <v>QSObject:PricingContext:w1~market.8362:2740</v>
      </c>
      <c r="D8364" s="6" t="str">
        <f>_xll.QS.CONTEXT.ADD.CURVE(C8364,"SOFR",$K$2:$K$7,$L$2:$L$7,,,"Actual360","LogLinear",TRUE)</f>
        <v>QSObject:ContextInput:w1~input.qs_context_add_curve.2359132437744.8363.3.0:31959</v>
      </c>
      <c r="E8364" s="6" t="str">
        <f>_xll.QS.INSTRUMENT.SWAP("swap.8362",H8364,B8364,"USD","SOFR",I8364,J8364,0,"Actual360","Simple","Annual","Annual","Annual")</f>
        <v>QSObject:Swap:w1~swap.8362:2739</v>
      </c>
      <c r="F8364" s="6" t="str">
        <f>_xll.QS.TRADE.CREATE("trade.8362",E8364,A8364,"Receive")</f>
        <v>QSObject:SwapTrade:w1~trade.8362:22908</v>
      </c>
      <c r="G8364" s="3">
        <f>_xll.QS.EVALUATE(C8364,F8364)</f>
        <v>35482.007648655614</v>
      </c>
      <c r="H8364" s="5" t="s">
        <v>8404</v>
      </c>
      <c r="I8364" s="7">
        <v>1836200</v>
      </c>
      <c r="J8364" s="8">
        <v>3.6200000000000003E-2</v>
      </c>
    </row>
    <row r="8365" spans="1:10" x14ac:dyDescent="0.25">
      <c r="A8365" s="5" t="s">
        <v>8398</v>
      </c>
      <c r="B8365" s="5" t="s">
        <v>10232</v>
      </c>
      <c r="C8365" s="6" t="str">
        <f>_xll.QS.CONTEXT.CREATE("market.8363",A8365,"USD","SOFR")</f>
        <v>QSObject:PricingContext:w1~market.8363:2738</v>
      </c>
      <c r="D8365" s="6" t="str">
        <f>_xll.QS.CONTEXT.ADD.CURVE(C8365,"SOFR",$K$2:$K$7,$L$2:$L$7,,,"Actual360","LogLinear",TRUE)</f>
        <v>QSObject:ContextInput:w1~input.qs_context_add_curve.2359132437744.8364.3.0:31958</v>
      </c>
      <c r="E8365" s="6" t="str">
        <f>_xll.QS.INSTRUMENT.SWAP("swap.8363",H8365,B8365,"USD","SOFR",I8365,J8365,0,"Actual360","Simple","Annual","Annual","Annual")</f>
        <v>QSObject:Swap:w1~swap.8363:2737</v>
      </c>
      <c r="F8365" s="6" t="str">
        <f>_xll.QS.TRADE.CREATE("trade.8363",E8365,A8365,"Receive")</f>
        <v>QSObject:SwapTrade:w1~trade.8363:31070</v>
      </c>
      <c r="G8365" s="3">
        <f>_xll.QS.EVALUATE(C8365,F8365)</f>
        <v>36210.545378689501</v>
      </c>
      <c r="H8365" s="5" t="s">
        <v>8405</v>
      </c>
      <c r="I8365" s="7">
        <v>1836300</v>
      </c>
      <c r="J8365" s="8">
        <v>3.6300000000000013E-2</v>
      </c>
    </row>
    <row r="8366" spans="1:10" x14ac:dyDescent="0.25">
      <c r="A8366" s="5" t="s">
        <v>8399</v>
      </c>
      <c r="B8366" s="5" t="s">
        <v>10233</v>
      </c>
      <c r="C8366" s="6" t="str">
        <f>_xll.QS.CONTEXT.CREATE("market.8364",A8366,"USD","SOFR")</f>
        <v>QSObject:PricingContext:w1~market.8364:2736</v>
      </c>
      <c r="D8366" s="6" t="str">
        <f>_xll.QS.CONTEXT.ADD.CURVE(C8366,"SOFR",$K$2:$K$7,$L$2:$L$7,,,"Actual360","LogLinear",TRUE)</f>
        <v>QSObject:ContextInput:w1~input.qs_context_add_curve.2359132437744.8365.3.0:31957</v>
      </c>
      <c r="E8366" s="6" t="str">
        <f>_xll.QS.INSTRUMENT.SWAP("swap.8364",H8366,B8366,"USD","SOFR",I8366,J8366,0,"Actual360","Simple","Annual","Annual","Annual")</f>
        <v>QSObject:Swap:w1~swap.8364:2735</v>
      </c>
      <c r="F8366" s="6" t="str">
        <f>_xll.QS.TRADE.CREATE("trade.8364",E8366,A8366,"Receive")</f>
        <v>QSObject:SwapTrade:w1~trade.8364:22254</v>
      </c>
      <c r="G8366" s="3">
        <f>_xll.QS.EVALUATE(C8366,F8366)</f>
        <v>36907.208280253712</v>
      </c>
      <c r="H8366" s="5" t="s">
        <v>8406</v>
      </c>
      <c r="I8366" s="7">
        <v>1836400</v>
      </c>
      <c r="J8366" s="8">
        <v>3.6400000000000002E-2</v>
      </c>
    </row>
    <row r="8367" spans="1:10" x14ac:dyDescent="0.25">
      <c r="A8367" s="5" t="s">
        <v>8400</v>
      </c>
      <c r="B8367" s="5" t="s">
        <v>10234</v>
      </c>
      <c r="C8367" s="6" t="str">
        <f>_xll.QS.CONTEXT.CREATE("market.8365",A8367,"USD","SOFR")</f>
        <v>QSObject:PricingContext:w1~market.8365:2734</v>
      </c>
      <c r="D8367" s="6" t="str">
        <f>_xll.QS.CONTEXT.ADD.CURVE(C8367,"SOFR",$K$2:$K$7,$L$2:$L$7,,,"Actual360","LogLinear",TRUE)</f>
        <v>QSObject:ContextInput:w1~input.qs_context_add_curve.2359132437744.8366.3.0:31956</v>
      </c>
      <c r="E8367" s="6" t="str">
        <f>_xll.QS.INSTRUMENT.SWAP("swap.8365",H8367,B8367,"USD","SOFR",I8367,J8367,0,"Actual360","Simple","Annual","Annual","Annual")</f>
        <v>QSObject:Swap:w1~swap.8365:2733</v>
      </c>
      <c r="F8367" s="6" t="str">
        <f>_xll.QS.TRADE.CREATE("trade.8365",E8367,A8367,"Receive")</f>
        <v>QSObject:SwapTrade:w1~trade.8365:31069</v>
      </c>
      <c r="G8367" s="3">
        <f>_xll.QS.EVALUATE(C8367,F8367)</f>
        <v>37831.448494102246</v>
      </c>
      <c r="H8367" s="5" t="s">
        <v>8407</v>
      </c>
      <c r="I8367" s="7">
        <v>1836500</v>
      </c>
      <c r="J8367" s="8">
        <v>3.6499999999999998E-2</v>
      </c>
    </row>
    <row r="8368" spans="1:10" x14ac:dyDescent="0.25">
      <c r="A8368" s="5" t="s">
        <v>8401</v>
      </c>
      <c r="B8368" s="5" t="s">
        <v>10235</v>
      </c>
      <c r="C8368" s="6" t="str">
        <f>_xll.QS.CONTEXT.CREATE("market.8366",A8368,"USD","SOFR")</f>
        <v>QSObject:PricingContext:w1~market.8366:2732</v>
      </c>
      <c r="D8368" s="6" t="str">
        <f>_xll.QS.CONTEXT.ADD.CURVE(C8368,"SOFR",$K$2:$K$7,$L$2:$L$7,,,"Actual360","LogLinear",TRUE)</f>
        <v>QSObject:ContextInput:w1~input.qs_context_add_curve.2359132437744.8367.3.0:31955</v>
      </c>
      <c r="E8368" s="6" t="str">
        <f>_xll.QS.INSTRUMENT.SWAP("swap.8366",H8368,B8368,"USD","SOFR",I8368,J8368,0,"Actual360","Simple","Annual","Annual","Annual")</f>
        <v>QSObject:Swap:w1~swap.8366:2731</v>
      </c>
      <c r="F8368" s="6" t="str">
        <f>_xll.QS.TRADE.CREATE("trade.8366",E8368,A8368,"Receive")</f>
        <v>QSObject:SwapTrade:w1~trade.8366:23420</v>
      </c>
      <c r="G8368" s="3">
        <f>_xll.QS.EVALUATE(C8368,F8368)</f>
        <v>38731.108035261568</v>
      </c>
      <c r="H8368" s="5" t="s">
        <v>8408</v>
      </c>
      <c r="I8368" s="7">
        <v>1836600</v>
      </c>
      <c r="J8368" s="8">
        <v>3.6600000000000001E-2</v>
      </c>
    </row>
    <row r="8369" spans="1:10" x14ac:dyDescent="0.25">
      <c r="A8369" s="5" t="s">
        <v>8402</v>
      </c>
      <c r="B8369" s="5" t="s">
        <v>10236</v>
      </c>
      <c r="C8369" s="6" t="str">
        <f>_xll.QS.CONTEXT.CREATE("market.8367",A8369,"USD","SOFR")</f>
        <v>QSObject:PricingContext:w1~market.8367:2730</v>
      </c>
      <c r="D8369" s="6" t="str">
        <f>_xll.QS.CONTEXT.ADD.CURVE(C8369,"SOFR",$K$2:$K$7,$L$2:$L$7,,,"Actual360","LogLinear",TRUE)</f>
        <v>QSObject:ContextInput:w1~input.qs_context_add_curve.2359132437744.8368.3.0:31954</v>
      </c>
      <c r="E8369" s="6" t="str">
        <f>_xll.QS.INSTRUMENT.SWAP("swap.8367",H8369,B8369,"USD","SOFR",I8369,J8369,0,"Actual360","Simple","Annual","Annual","Annual")</f>
        <v>QSObject:Swap:w1~swap.8367:2729</v>
      </c>
      <c r="F8369" s="6" t="str">
        <f>_xll.QS.TRADE.CREATE("trade.8367",E8369,A8369,"Receive")</f>
        <v>QSObject:SwapTrade:w1~trade.8367:22907</v>
      </c>
      <c r="G8369" s="3">
        <f>_xll.QS.EVALUATE(C8369,F8369)</f>
        <v>39715.002248533892</v>
      </c>
      <c r="H8369" s="5" t="s">
        <v>8409</v>
      </c>
      <c r="I8369" s="7">
        <v>1836700</v>
      </c>
      <c r="J8369" s="8">
        <v>3.6700000000000003E-2</v>
      </c>
    </row>
    <row r="8370" spans="1:10" x14ac:dyDescent="0.25">
      <c r="A8370" s="5" t="s">
        <v>8403</v>
      </c>
      <c r="B8370" s="5" t="s">
        <v>10237</v>
      </c>
      <c r="C8370" s="6" t="str">
        <f>_xll.QS.CONTEXT.CREATE("market.8368",A8370,"USD","SOFR")</f>
        <v>QSObject:PricingContext:w1~market.8368:2728</v>
      </c>
      <c r="D8370" s="6" t="str">
        <f>_xll.QS.CONTEXT.ADD.CURVE(C8370,"SOFR",$K$2:$K$7,$L$2:$L$7,,,"Actual360","LogLinear",TRUE)</f>
        <v>QSObject:ContextInput:w1~input.qs_context_add_curve.2359132437744.8369.3.0:31953</v>
      </c>
      <c r="E8370" s="6" t="str">
        <f>_xll.QS.INSTRUMENT.SWAP("swap.8368",H8370,B8370,"USD","SOFR",I8370,J8370,0,"Actual360","Simple","Annual","Annual","Annual")</f>
        <v>QSObject:Swap:w1~swap.8368:2727</v>
      </c>
      <c r="F8370" s="6" t="str">
        <f>_xll.QS.TRADE.CREATE("trade.8368",E8370,A8370,"Receive")</f>
        <v>QSObject:SwapTrade:w1~trade.8368:31068</v>
      </c>
      <c r="G8370" s="3">
        <f>_xll.QS.EVALUATE(C8370,F8370)</f>
        <v>40644.618254418623</v>
      </c>
      <c r="H8370" s="5" t="s">
        <v>8410</v>
      </c>
      <c r="I8370" s="7">
        <v>1836800</v>
      </c>
      <c r="J8370" s="8">
        <v>3.6800000000000013E-2</v>
      </c>
    </row>
    <row r="8371" spans="1:10" x14ac:dyDescent="0.25">
      <c r="A8371" s="5" t="s">
        <v>8404</v>
      </c>
      <c r="B8371" s="5" t="s">
        <v>10238</v>
      </c>
      <c r="C8371" s="6" t="str">
        <f>_xll.QS.CONTEXT.CREATE("market.8369",A8371,"USD","SOFR")</f>
        <v>QSObject:PricingContext:w1~market.8369:2726</v>
      </c>
      <c r="D8371" s="6" t="str">
        <f>_xll.QS.CONTEXT.ADD.CURVE(C8371,"SOFR",$K$2:$K$7,$L$2:$L$7,,,"Actual360","LogLinear",TRUE)</f>
        <v>QSObject:ContextInput:w1~input.qs_context_add_curve.2359132437744.8370.3.0:31952</v>
      </c>
      <c r="E8371" s="6" t="str">
        <f>_xll.QS.INSTRUMENT.SWAP("swap.8369",H8371,B8371,"USD","SOFR",I8371,J8371,0,"Actual360","Simple","Annual","Annual","Annual")</f>
        <v>QSObject:Swap:w1~swap.8369:2725</v>
      </c>
      <c r="F8371" s="6" t="str">
        <f>_xll.QS.TRADE.CREATE("trade.8369",E8371,A8371,"Receive")</f>
        <v>QSObject:SwapTrade:w1~trade.8369:23419</v>
      </c>
      <c r="G8371" s="3">
        <f>_xll.QS.EVALUATE(C8371,F8371)</f>
        <v>41423.1677696634</v>
      </c>
      <c r="H8371" s="5" t="s">
        <v>8411</v>
      </c>
      <c r="I8371" s="7">
        <v>1836900</v>
      </c>
      <c r="J8371" s="8">
        <v>3.6900000000000002E-2</v>
      </c>
    </row>
    <row r="8372" spans="1:10" x14ac:dyDescent="0.25">
      <c r="A8372" s="5" t="s">
        <v>8405</v>
      </c>
      <c r="B8372" s="5" t="s">
        <v>10239</v>
      </c>
      <c r="C8372" s="6" t="str">
        <f>_xll.QS.CONTEXT.CREATE("market.8370",A8372,"USD","SOFR")</f>
        <v>QSObject:PricingContext:w1~market.8370:2724</v>
      </c>
      <c r="D8372" s="6" t="str">
        <f>_xll.QS.CONTEXT.ADD.CURVE(C8372,"SOFR",$K$2:$K$7,$L$2:$L$7,,,"Actual360","LogLinear",TRUE)</f>
        <v>QSObject:ContextInput:w1~input.qs_context_add_curve.2359132437744.8371.3.0:31951</v>
      </c>
      <c r="E8372" s="6" t="str">
        <f>_xll.QS.INSTRUMENT.SWAP("swap.8370",H8372,B8372,"USD","SOFR",I8372,J8372,0,"Actual360","Simple","Annual","Annual","Annual")</f>
        <v>QSObject:Swap:w1~swap.8370:2723</v>
      </c>
      <c r="F8372" s="6" t="str">
        <f>_xll.QS.TRADE.CREATE("trade.8370",E8372,A8372,"Receive")</f>
        <v>QSObject:SwapTrade:w1~trade.8370:22253</v>
      </c>
      <c r="G8372" s="3">
        <f>_xll.QS.EVALUATE(C8372,F8372)</f>
        <v>42145.335388054133</v>
      </c>
      <c r="H8372" s="5" t="s">
        <v>8412</v>
      </c>
      <c r="I8372" s="7">
        <v>1837000</v>
      </c>
      <c r="J8372" s="8">
        <v>3.7000000000000012E-2</v>
      </c>
    </row>
    <row r="8373" spans="1:10" x14ac:dyDescent="0.25">
      <c r="A8373" s="5" t="s">
        <v>8406</v>
      </c>
      <c r="B8373" s="5" t="s">
        <v>10240</v>
      </c>
      <c r="C8373" s="6" t="str">
        <f>_xll.QS.CONTEXT.CREATE("market.8371",A8373,"USD","SOFR")</f>
        <v>QSObject:PricingContext:w1~market.8371:2722</v>
      </c>
      <c r="D8373" s="6" t="str">
        <f>_xll.QS.CONTEXT.ADD.CURVE(C8373,"SOFR",$K$2:$K$7,$L$2:$L$7,,,"Actual360","LogLinear",TRUE)</f>
        <v>QSObject:ContextInput:w1~input.qs_context_add_curve.2359132437744.8372.3.0:31950</v>
      </c>
      <c r="E8373" s="6" t="str">
        <f>_xll.QS.INSTRUMENT.SWAP("swap.8371",H8373,B8373,"USD","SOFR",I8373,J8373,0,"Actual360","Simple","Annual","Annual","Annual")</f>
        <v>QSObject:Swap:w1~swap.8371:2721</v>
      </c>
      <c r="F8373" s="6" t="str">
        <f>_xll.QS.TRADE.CREATE("trade.8371",E8373,A8373,"Receive")</f>
        <v>QSObject:SwapTrade:w1~trade.8371:23418</v>
      </c>
      <c r="G8373" s="3">
        <f>_xll.QS.EVALUATE(C8373,F8373)</f>
        <v>42851.955676349447</v>
      </c>
      <c r="H8373" s="5" t="s">
        <v>8413</v>
      </c>
      <c r="I8373" s="7">
        <v>1837100</v>
      </c>
      <c r="J8373" s="8">
        <v>3.7100000000000001E-2</v>
      </c>
    </row>
    <row r="8374" spans="1:10" x14ac:dyDescent="0.25">
      <c r="A8374" s="5" t="s">
        <v>8407</v>
      </c>
      <c r="B8374" s="5" t="s">
        <v>10241</v>
      </c>
      <c r="C8374" s="6" t="str">
        <f>_xll.QS.CONTEXT.CREATE("market.8372",A8374,"USD","SOFR")</f>
        <v>QSObject:PricingContext:w1~market.8372:2720</v>
      </c>
      <c r="D8374" s="6" t="str">
        <f>_xll.QS.CONTEXT.ADD.CURVE(C8374,"SOFR",$K$2:$K$7,$L$2:$L$7,,,"Actual360","LogLinear",TRUE)</f>
        <v>QSObject:ContextInput:w1~input.qs_context_add_curve.2359132437744.8373.3.0:31949</v>
      </c>
      <c r="E8374" s="6" t="str">
        <f>_xll.QS.INSTRUMENT.SWAP("swap.8372",H8374,B8374,"USD","SOFR",I8374,J8374,0,"Actual360","Simple","Annual","Annual","Annual")</f>
        <v>QSObject:Swap:w1~swap.8372:2719</v>
      </c>
      <c r="F8374" s="6" t="str">
        <f>_xll.QS.TRADE.CREATE("trade.8372",E8374,A8374,"Receive")</f>
        <v>QSObject:SwapTrade:w1~trade.8372:23417</v>
      </c>
      <c r="G8374" s="3">
        <f>_xll.QS.EVALUATE(C8374,F8374)</f>
        <v>43778.964730918029</v>
      </c>
      <c r="H8374" s="5" t="s">
        <v>8414</v>
      </c>
      <c r="I8374" s="7">
        <v>1837200</v>
      </c>
      <c r="J8374" s="8">
        <v>3.7199999999999997E-2</v>
      </c>
    </row>
    <row r="8375" spans="1:10" x14ac:dyDescent="0.25">
      <c r="A8375" s="5" t="s">
        <v>8408</v>
      </c>
      <c r="B8375" s="5" t="s">
        <v>10242</v>
      </c>
      <c r="C8375" s="6" t="str">
        <f>_xll.QS.CONTEXT.CREATE("market.8373",A8375,"USD","SOFR")</f>
        <v>QSObject:PricingContext:w1~market.8373:2718</v>
      </c>
      <c r="D8375" s="6" t="str">
        <f>_xll.QS.CONTEXT.ADD.CURVE(C8375,"SOFR",$K$2:$K$7,$L$2:$L$7,,,"Actual360","LogLinear",TRUE)</f>
        <v>QSObject:ContextInput:w1~input.qs_context_add_curve.2359132437744.8374.3.0:31948</v>
      </c>
      <c r="E8375" s="6" t="str">
        <f>_xll.QS.INSTRUMENT.SWAP("swap.8373",H8375,B8375,"USD","SOFR",I8375,J8375,0,"Actual360","Simple","Annual","Annual","Annual")</f>
        <v>QSObject:Swap:w1~swap.8373:2717</v>
      </c>
      <c r="F8375" s="6" t="str">
        <f>_xll.QS.TRADE.CREATE("trade.8373",E8375,A8375,"Receive")</f>
        <v>QSObject:SwapTrade:w1~trade.8373:22252</v>
      </c>
      <c r="G8375" s="3">
        <f>_xll.QS.EVALUATE(C8375,F8375)</f>
        <v>44677.53200655531</v>
      </c>
      <c r="H8375" s="5" t="s">
        <v>8415</v>
      </c>
      <c r="I8375" s="7">
        <v>1837300</v>
      </c>
      <c r="J8375" s="8">
        <v>3.73E-2</v>
      </c>
    </row>
    <row r="8376" spans="1:10" x14ac:dyDescent="0.25">
      <c r="A8376" s="5" t="s">
        <v>8409</v>
      </c>
      <c r="B8376" s="5" t="s">
        <v>10243</v>
      </c>
      <c r="C8376" s="6" t="str">
        <f>_xll.QS.CONTEXT.CREATE("market.8374",A8376,"USD","SOFR")</f>
        <v>QSObject:PricingContext:w1~market.8374:2716</v>
      </c>
      <c r="D8376" s="6" t="str">
        <f>_xll.QS.CONTEXT.ADD.CURVE(C8376,"SOFR",$K$2:$K$7,$L$2:$L$7,,,"Actual360","LogLinear",TRUE)</f>
        <v>QSObject:ContextInput:w1~input.qs_context_add_curve.2359132437744.8375.3.0:31947</v>
      </c>
      <c r="E8376" s="6" t="str">
        <f>_xll.QS.INSTRUMENT.SWAP("swap.8374",H8376,B8376,"USD","SOFR",I8376,J8376,0,"Actual360","Simple","Annual","Annual","Annual")</f>
        <v>QSObject:Swap:w1~swap.8374:2715</v>
      </c>
      <c r="F8376" s="6" t="str">
        <f>_xll.QS.TRADE.CREATE("trade.8374",E8376,A8376,"Receive")</f>
        <v>QSObject:SwapTrade:w1~trade.8374:22906</v>
      </c>
      <c r="G8376" s="3">
        <f>_xll.QS.EVALUATE(C8376,F8376)</f>
        <v>45661.461407992872</v>
      </c>
      <c r="H8376" s="5" t="s">
        <v>8416</v>
      </c>
      <c r="I8376" s="7">
        <v>1837400</v>
      </c>
      <c r="J8376" s="8">
        <v>3.7400000000000003E-2</v>
      </c>
    </row>
    <row r="8377" spans="1:10" x14ac:dyDescent="0.25">
      <c r="A8377" s="5" t="s">
        <v>8410</v>
      </c>
      <c r="B8377" s="5" t="s">
        <v>10244</v>
      </c>
      <c r="C8377" s="6" t="str">
        <f>_xll.QS.CONTEXT.CREATE("market.8375",A8377,"USD","SOFR")</f>
        <v>QSObject:PricingContext:w1~market.8375:2714</v>
      </c>
      <c r="D8377" s="6" t="str">
        <f>_xll.QS.CONTEXT.ADD.CURVE(C8377,"SOFR",$K$2:$K$7,$L$2:$L$7,,,"Actual360","LogLinear",TRUE)</f>
        <v>QSObject:ContextInput:w1~input.qs_context_add_curve.2359132437744.8376.3.0:31946</v>
      </c>
      <c r="E8377" s="6" t="str">
        <f>_xll.QS.INSTRUMENT.SWAP("swap.8375",H8377,B8377,"USD","SOFR",I8377,J8377,0,"Actual360","Simple","Annual","Annual","Annual")</f>
        <v>QSObject:Swap:w1~swap.8375:2713</v>
      </c>
      <c r="F8377" s="6" t="str">
        <f>_xll.QS.TRADE.CREATE("trade.8375",E8377,A8377,"Receive")</f>
        <v>QSObject:SwapTrade:w1~trade.8375:31067</v>
      </c>
      <c r="G8377" s="3">
        <f>_xll.QS.EVALUATE(C8377,F8377)</f>
        <v>46591.574909056755</v>
      </c>
      <c r="H8377" s="5" t="s">
        <v>8417</v>
      </c>
      <c r="I8377" s="7">
        <v>1837500</v>
      </c>
      <c r="J8377" s="8">
        <v>3.7500000000000012E-2</v>
      </c>
    </row>
    <row r="8378" spans="1:10" x14ac:dyDescent="0.25">
      <c r="A8378" s="5" t="s">
        <v>8411</v>
      </c>
      <c r="B8378" s="5" t="s">
        <v>10245</v>
      </c>
      <c r="C8378" s="6" t="str">
        <f>_xll.QS.CONTEXT.CREATE("market.8376",A8378,"USD","SOFR")</f>
        <v>QSObject:PricingContext:w1~market.8376:2712</v>
      </c>
      <c r="D8378" s="6" t="str">
        <f>_xll.QS.CONTEXT.ADD.CURVE(C8378,"SOFR",$K$2:$K$7,$L$2:$L$7,,,"Actual360","LogLinear",TRUE)</f>
        <v>QSObject:ContextInput:w1~input.qs_context_add_curve.2359132437744.8377.3.0:31945</v>
      </c>
      <c r="E8378" s="6" t="str">
        <f>_xll.QS.INSTRUMENT.SWAP("swap.8376",H8378,B8378,"USD","SOFR",I8378,J8378,0,"Actual360","Simple","Annual","Annual","Annual")</f>
        <v>QSObject:Swap:w1~swap.8376:2711</v>
      </c>
      <c r="F8378" s="6" t="str">
        <f>_xll.QS.TRADE.CREATE("trade.8376",E8378,A8378,"Receive")</f>
        <v>QSObject:SwapTrade:w1~trade.8376:22251</v>
      </c>
      <c r="G8378" s="3">
        <f>_xll.QS.EVALUATE(C8378,F8378)</f>
        <v>47370.680032387885</v>
      </c>
      <c r="H8378" s="5" t="s">
        <v>8418</v>
      </c>
      <c r="I8378" s="7">
        <v>1837600</v>
      </c>
      <c r="J8378" s="8">
        <v>3.7600000000000001E-2</v>
      </c>
    </row>
    <row r="8379" spans="1:10" x14ac:dyDescent="0.25">
      <c r="A8379" s="5" t="s">
        <v>8412</v>
      </c>
      <c r="B8379" s="5" t="s">
        <v>10246</v>
      </c>
      <c r="C8379" s="6" t="str">
        <f>_xll.QS.CONTEXT.CREATE("market.8377",A8379,"USD","SOFR")</f>
        <v>QSObject:PricingContext:w1~market.8377:2710</v>
      </c>
      <c r="D8379" s="6" t="str">
        <f>_xll.QS.CONTEXT.ADD.CURVE(C8379,"SOFR",$K$2:$K$7,$L$2:$L$7,,,"Actual360","LogLinear",TRUE)</f>
        <v>QSObject:ContextInput:w1~input.qs_context_add_curve.2359132437744.8378.3.0:31944</v>
      </c>
      <c r="E8379" s="6" t="str">
        <f>_xll.QS.INSTRUMENT.SWAP("swap.8377",H8379,B8379,"USD","SOFR",I8379,J8379,0,"Actual360","Simple","Annual","Annual","Annual")</f>
        <v>QSObject:Swap:w1~swap.8377:2709</v>
      </c>
      <c r="F8379" s="6" t="str">
        <f>_xll.QS.TRADE.CREATE("trade.8377",E8379,A8379,"Receive")</f>
        <v>QSObject:SwapTrade:w1~trade.8377:22905</v>
      </c>
      <c r="G8379" s="3">
        <f>_xll.QS.EVALUATE(C8379,F8379)</f>
        <v>48086.460218554341</v>
      </c>
      <c r="H8379" s="5" t="s">
        <v>8419</v>
      </c>
      <c r="I8379" s="7">
        <v>1837700</v>
      </c>
      <c r="J8379" s="8">
        <v>3.7699999999999997E-2</v>
      </c>
    </row>
    <row r="8380" spans="1:10" x14ac:dyDescent="0.25">
      <c r="A8380" s="5" t="s">
        <v>8413</v>
      </c>
      <c r="B8380" s="5" t="s">
        <v>10247</v>
      </c>
      <c r="C8380" s="6" t="str">
        <f>_xll.QS.CONTEXT.CREATE("market.8378",A8380,"USD","SOFR")</f>
        <v>QSObject:PricingContext:w1~market.8378:2708</v>
      </c>
      <c r="D8380" s="6" t="str">
        <f>_xll.QS.CONTEXT.ADD.CURVE(C8380,"SOFR",$K$2:$K$7,$L$2:$L$7,,,"Actual360","LogLinear",TRUE)</f>
        <v>QSObject:ContextInput:w1~input.qs_context_add_curve.2359132437744.8379.3.0:31943</v>
      </c>
      <c r="E8380" s="6" t="str">
        <f>_xll.QS.INSTRUMENT.SWAP("swap.8378",H8380,B8380,"USD","SOFR",I8380,J8380,0,"Actual360","Simple","Annual","Annual","Annual")</f>
        <v>QSObject:Swap:w1~swap.8378:2707</v>
      </c>
      <c r="F8380" s="6" t="str">
        <f>_xll.QS.TRADE.CREATE("trade.8378",E8380,A8380,"Receive")</f>
        <v>QSObject:SwapTrade:w1~trade.8378:23416</v>
      </c>
      <c r="G8380" s="3">
        <f>_xll.QS.EVALUATE(C8380,F8380)</f>
        <v>48802.871612035698</v>
      </c>
      <c r="H8380" s="5" t="s">
        <v>8420</v>
      </c>
      <c r="I8380" s="7">
        <v>1837800</v>
      </c>
      <c r="J8380" s="8">
        <v>3.78E-2</v>
      </c>
    </row>
    <row r="8381" spans="1:10" x14ac:dyDescent="0.25">
      <c r="A8381" s="5" t="s">
        <v>8414</v>
      </c>
      <c r="B8381" s="5" t="s">
        <v>10248</v>
      </c>
      <c r="C8381" s="6" t="str">
        <f>_xll.QS.CONTEXT.CREATE("market.8379",A8381,"USD","SOFR")</f>
        <v>QSObject:PricingContext:w1~market.8379:2706</v>
      </c>
      <c r="D8381" s="6" t="str">
        <f>_xll.QS.CONTEXT.ADD.CURVE(C8381,"SOFR",$K$2:$K$7,$L$2:$L$7,,,"Actual360","LogLinear",TRUE)</f>
        <v>QSObject:ContextInput:w1~input.qs_context_add_curve.2359132437744.8380.3.0:31942</v>
      </c>
      <c r="E8381" s="6" t="str">
        <f>_xll.QS.INSTRUMENT.SWAP("swap.8379",H8381,B8381,"USD","SOFR",I8381,J8381,0,"Actual360","Simple","Annual","Annual","Annual")</f>
        <v>QSObject:Swap:w1~swap.8379:2705</v>
      </c>
      <c r="F8381" s="6" t="str">
        <f>_xll.QS.TRADE.CREATE("trade.8379",E8381,A8381,"Receive")</f>
        <v>QSObject:SwapTrade:w1~trade.8379:31066</v>
      </c>
      <c r="G8381" s="3">
        <f>_xll.QS.EVALUATE(C8381,F8381)</f>
        <v>49731.133295495136</v>
      </c>
      <c r="H8381" s="5" t="s">
        <v>8421</v>
      </c>
      <c r="I8381" s="7">
        <v>1837900</v>
      </c>
      <c r="J8381" s="8">
        <v>3.7900000000000003E-2</v>
      </c>
    </row>
    <row r="8382" spans="1:10" x14ac:dyDescent="0.25">
      <c r="A8382" s="5" t="s">
        <v>8415</v>
      </c>
      <c r="B8382" s="5" t="s">
        <v>10249</v>
      </c>
      <c r="C8382" s="6" t="str">
        <f>_xll.QS.CONTEXT.CREATE("market.8380",A8382,"USD","SOFR")</f>
        <v>QSObject:PricingContext:w1~market.8380:2704</v>
      </c>
      <c r="D8382" s="6" t="str">
        <f>_xll.QS.CONTEXT.ADD.CURVE(C8382,"SOFR",$K$2:$K$7,$L$2:$L$7,,,"Actual360","LogLinear",TRUE)</f>
        <v>QSObject:ContextInput:w1~input.qs_context_add_curve.2359132437744.8381.3.0:31941</v>
      </c>
      <c r="E8382" s="6" t="str">
        <f>_xll.QS.INSTRUMENT.SWAP("swap.8380",H8382,B8382,"USD","SOFR",I8382,J8382,0,"Actual360","Simple","Annual","Annual","Annual")</f>
        <v>QSObject:Swap:w1~swap.8380:2703</v>
      </c>
      <c r="F8382" s="6" t="str">
        <f>_xll.QS.TRADE.CREATE("trade.8380",E8382,A8382,"Receive")</f>
        <v>QSObject:SwapTrade:w1~trade.8380:22250</v>
      </c>
      <c r="G8382" s="3">
        <f>_xll.QS.EVALUATE(C8382,F8382)</f>
        <v>50627.478811166817</v>
      </c>
      <c r="H8382" s="5" t="s">
        <v>8422</v>
      </c>
      <c r="I8382" s="7">
        <v>1838000</v>
      </c>
      <c r="J8382" s="8">
        <v>3.8000000000000013E-2</v>
      </c>
    </row>
    <row r="8383" spans="1:10" x14ac:dyDescent="0.25">
      <c r="A8383" s="5" t="s">
        <v>8416</v>
      </c>
      <c r="B8383" s="5" t="s">
        <v>10250</v>
      </c>
      <c r="C8383" s="6" t="str">
        <f>_xll.QS.CONTEXT.CREATE("market.8381",A8383,"USD","SOFR")</f>
        <v>QSObject:PricingContext:w1~market.8381:2702</v>
      </c>
      <c r="D8383" s="6" t="str">
        <f>_xll.QS.CONTEXT.ADD.CURVE(C8383,"SOFR",$K$2:$K$7,$L$2:$L$7,,,"Actual360","LogLinear",TRUE)</f>
        <v>QSObject:ContextInput:w1~input.qs_context_add_curve.2359132437744.8382.3.0:31940</v>
      </c>
      <c r="E8383" s="6" t="str">
        <f>_xll.QS.INSTRUMENT.SWAP("swap.8381",H8383,B8383,"USD","SOFR",I8383,J8383,0,"Actual360","Simple","Annual","Annual","Annual")</f>
        <v>QSObject:Swap:w1~swap.8381:2701</v>
      </c>
      <c r="F8383" s="6" t="str">
        <f>_xll.QS.TRADE.CREATE("trade.8381",E8383,A8383,"Receive")</f>
        <v>QSObject:SwapTrade:w1~trade.8381:22904</v>
      </c>
      <c r="G8383" s="3">
        <f>_xll.QS.EVALUATE(C8383,F8383)</f>
        <v>51612.192967220501</v>
      </c>
      <c r="H8383" s="5" t="s">
        <v>8423</v>
      </c>
      <c r="I8383" s="7">
        <v>1838100</v>
      </c>
      <c r="J8383" s="8">
        <v>3.8100000000000002E-2</v>
      </c>
    </row>
    <row r="8384" spans="1:10" x14ac:dyDescent="0.25">
      <c r="A8384" s="5" t="s">
        <v>8417</v>
      </c>
      <c r="B8384" s="5" t="s">
        <v>10251</v>
      </c>
      <c r="C8384" s="6" t="str">
        <f>_xll.QS.CONTEXT.CREATE("market.8382",A8384,"USD","SOFR")</f>
        <v>QSObject:PricingContext:w1~market.8382:2700</v>
      </c>
      <c r="D8384" s="6" t="str">
        <f>_xll.QS.CONTEXT.ADD.CURVE(C8384,"SOFR",$K$2:$K$7,$L$2:$L$7,,,"Actual360","LogLinear",TRUE)</f>
        <v>QSObject:ContextInput:w1~input.qs_context_add_curve.2359132437744.8383.3.0:31939</v>
      </c>
      <c r="E8384" s="6" t="str">
        <f>_xll.QS.INSTRUMENT.SWAP("swap.8382",H8384,B8384,"USD","SOFR",I8384,J8384,0,"Actual360","Simple","Annual","Annual","Annual")</f>
        <v>QSObject:Swap:w1~swap.8382:2699</v>
      </c>
      <c r="F8384" s="6" t="str">
        <f>_xll.QS.TRADE.CREATE("trade.8382",E8384,A8384,"Receive")</f>
        <v>QSObject:SwapTrade:w1~trade.8382:23415</v>
      </c>
      <c r="G8384" s="3">
        <f>_xll.QS.EVALUATE(C8384,F8384)</f>
        <v>52543.050776715885</v>
      </c>
      <c r="H8384" s="5" t="s">
        <v>8424</v>
      </c>
      <c r="I8384" s="7">
        <v>1838200</v>
      </c>
      <c r="J8384" s="8">
        <v>3.8199999999999998E-2</v>
      </c>
    </row>
    <row r="8385" spans="1:10" x14ac:dyDescent="0.25">
      <c r="A8385" s="5" t="s">
        <v>8418</v>
      </c>
      <c r="B8385" s="5" t="s">
        <v>10252</v>
      </c>
      <c r="C8385" s="6" t="str">
        <f>_xll.QS.CONTEXT.CREATE("market.8383",A8385,"USD","SOFR")</f>
        <v>QSObject:PricingContext:w1~market.8383:2698</v>
      </c>
      <c r="D8385" s="6" t="str">
        <f>_xll.QS.CONTEXT.ADD.CURVE(C8385,"SOFR",$K$2:$K$7,$L$2:$L$7,,,"Actual360","LogLinear",TRUE)</f>
        <v>QSObject:ContextInput:w1~input.qs_context_add_curve.2359132437744.8384.3.0:31938</v>
      </c>
      <c r="E8385" s="6" t="str">
        <f>_xll.QS.INSTRUMENT.SWAP("swap.8383",H8385,B8385,"USD","SOFR",I8385,J8385,0,"Actual360","Simple","Annual","Annual","Annual")</f>
        <v>QSObject:Swap:w1~swap.8383:2697</v>
      </c>
      <c r="F8385" s="6" t="str">
        <f>_xll.QS.TRADE.CREATE("trade.8383",E8385,A8385,"Receive")</f>
        <v>QSObject:SwapTrade:w1~trade.8383:31065</v>
      </c>
      <c r="G8385" s="3">
        <f>_xll.QS.EVALUATE(C8385,F8385)</f>
        <v>53322.710396228736</v>
      </c>
      <c r="H8385" s="5" t="s">
        <v>8425</v>
      </c>
      <c r="I8385" s="7">
        <v>1838300</v>
      </c>
      <c r="J8385" s="8">
        <v>3.8300000000000001E-2</v>
      </c>
    </row>
    <row r="8386" spans="1:10" x14ac:dyDescent="0.25">
      <c r="A8386" s="5" t="s">
        <v>8419</v>
      </c>
      <c r="B8386" s="5" t="s">
        <v>10253</v>
      </c>
      <c r="C8386" s="6" t="str">
        <f>_xll.QS.CONTEXT.CREATE("market.8384",A8386,"USD","SOFR")</f>
        <v>QSObject:PricingContext:w1~market.8384:2696</v>
      </c>
      <c r="D8386" s="6" t="str">
        <f>_xll.QS.CONTEXT.ADD.CURVE(C8386,"SOFR",$K$2:$K$7,$L$2:$L$7,,,"Actual360","LogLinear",TRUE)</f>
        <v>QSObject:ContextInput:w1~input.qs_context_add_curve.2359132437744.8385.3.0:31937</v>
      </c>
      <c r="E8386" s="6" t="str">
        <f>_xll.QS.INSTRUMENT.SWAP("swap.8384",H8386,B8386,"USD","SOFR",I8386,J8386,0,"Actual360","Simple","Annual","Annual","Annual")</f>
        <v>QSObject:Swap:w1~swap.8384:2695</v>
      </c>
      <c r="F8386" s="6" t="str">
        <f>_xll.QS.TRADE.CREATE("trade.8384",E8386,A8386,"Receive")</f>
        <v>QSObject:SwapTrade:w1~trade.8384:22249</v>
      </c>
      <c r="G8386" s="3">
        <f>_xll.QS.EVALUATE(C8386,F8386)</f>
        <v>54032.096765075148</v>
      </c>
      <c r="H8386" s="5" t="s">
        <v>8426</v>
      </c>
      <c r="I8386" s="7">
        <v>1838400</v>
      </c>
      <c r="J8386" s="8">
        <v>3.8399999999999997E-2</v>
      </c>
    </row>
    <row r="8387" spans="1:10" x14ac:dyDescent="0.25">
      <c r="A8387" s="5" t="s">
        <v>8420</v>
      </c>
      <c r="B8387" s="5" t="s">
        <v>10254</v>
      </c>
      <c r="C8387" s="6" t="str">
        <f>_xll.QS.CONTEXT.CREATE("market.8385",A8387,"USD","SOFR")</f>
        <v>QSObject:PricingContext:w1~market.8385:2694</v>
      </c>
      <c r="D8387" s="6" t="str">
        <f>_xll.QS.CONTEXT.ADD.CURVE(C8387,"SOFR",$K$2:$K$7,$L$2:$L$7,,,"Actual360","LogLinear",TRUE)</f>
        <v>QSObject:ContextInput:w1~input.qs_context_add_curve.2359132437744.8386.3.0:31936</v>
      </c>
      <c r="E8387" s="6" t="str">
        <f>_xll.QS.INSTRUMENT.SWAP("swap.8385",H8387,B8387,"USD","SOFR",I8387,J8387,0,"Actual360","Simple","Annual","Annual","Annual")</f>
        <v>QSObject:Swap:w1~swap.8385:2693</v>
      </c>
      <c r="F8387" s="6" t="str">
        <f>_xll.QS.TRADE.CREATE("trade.8385",E8387,A8387,"Receive")</f>
        <v>QSObject:SwapTrade:w1~trade.8385:23414</v>
      </c>
      <c r="G8387" s="3">
        <f>_xll.QS.EVALUATE(C8387,F8387)</f>
        <v>54715.625280873239</v>
      </c>
      <c r="H8387" s="5" t="s">
        <v>8427</v>
      </c>
      <c r="I8387" s="7">
        <v>1838500</v>
      </c>
      <c r="J8387" s="8">
        <v>3.8500000000000013E-2</v>
      </c>
    </row>
    <row r="8388" spans="1:10" x14ac:dyDescent="0.25">
      <c r="A8388" s="5" t="s">
        <v>8421</v>
      </c>
      <c r="B8388" s="5" t="s">
        <v>10255</v>
      </c>
      <c r="C8388" s="6" t="str">
        <f>_xll.QS.CONTEXT.CREATE("market.8386",A8388,"USD","SOFR")</f>
        <v>QSObject:PricingContext:w1~market.8386:2692</v>
      </c>
      <c r="D8388" s="6" t="str">
        <f>_xll.QS.CONTEXT.ADD.CURVE(C8388,"SOFR",$K$2:$K$7,$L$2:$L$7,,,"Actual360","LogLinear",TRUE)</f>
        <v>QSObject:ContextInput:w1~input.qs_context_add_curve.2359132437744.8387.3.0:31935</v>
      </c>
      <c r="E8388" s="6" t="str">
        <f>_xll.QS.INSTRUMENT.SWAP("swap.8386",H8388,B8388,"USD","SOFR",I8388,J8388,0,"Actual360","Simple","Annual","Annual","Annual")</f>
        <v>QSObject:Swap:w1~swap.8386:2691</v>
      </c>
      <c r="F8388" s="6" t="str">
        <f>_xll.QS.TRADE.CREATE("trade.8386",E8388,A8388,"Receive")</f>
        <v>QSObject:SwapTrade:w1~trade.8386:22248</v>
      </c>
      <c r="G8388" s="3">
        <f>_xll.QS.EVALUATE(C8388,F8388)</f>
        <v>55645.475579667058</v>
      </c>
      <c r="H8388" s="5" t="s">
        <v>8428</v>
      </c>
      <c r="I8388" s="7">
        <v>1838600</v>
      </c>
      <c r="J8388" s="8">
        <v>3.8600000000000002E-2</v>
      </c>
    </row>
    <row r="8389" spans="1:10" x14ac:dyDescent="0.25">
      <c r="A8389" s="5" t="s">
        <v>8422</v>
      </c>
      <c r="B8389" s="5" t="s">
        <v>10256</v>
      </c>
      <c r="C8389" s="6" t="str">
        <f>_xll.QS.CONTEXT.CREATE("market.8387",A8389,"USD","SOFR")</f>
        <v>QSObject:PricingContext:w1~market.8387:2690</v>
      </c>
      <c r="D8389" s="6" t="str">
        <f>_xll.QS.CONTEXT.ADD.CURVE(C8389,"SOFR",$K$2:$K$7,$L$2:$L$7,,,"Actual360","LogLinear",TRUE)</f>
        <v>QSObject:ContextInput:w1~input.qs_context_add_curve.2359132437744.8388.3.0:31934</v>
      </c>
      <c r="E8389" s="6" t="str">
        <f>_xll.QS.INSTRUMENT.SWAP("swap.8387",H8389,B8389,"USD","SOFR",I8389,J8389,0,"Actual360","Simple","Annual","Annual","Annual")</f>
        <v>QSObject:Swap:w1~swap.8387:2689</v>
      </c>
      <c r="F8389" s="6" t="str">
        <f>_xll.QS.TRADE.CREATE("trade.8387",E8389,A8389,"Receive")</f>
        <v>QSObject:SwapTrade:w1~trade.8387:22903</v>
      </c>
      <c r="G8389" s="3">
        <f>_xll.QS.EVALUATE(C8389,F8389)</f>
        <v>56503.866827265578</v>
      </c>
      <c r="H8389" s="5" t="s">
        <v>8429</v>
      </c>
      <c r="I8389" s="7">
        <v>1838700</v>
      </c>
      <c r="J8389" s="8">
        <v>3.8700000000000012E-2</v>
      </c>
    </row>
    <row r="8390" spans="1:10" x14ac:dyDescent="0.25">
      <c r="A8390" s="5" t="s">
        <v>8423</v>
      </c>
      <c r="B8390" s="5" t="s">
        <v>10257</v>
      </c>
      <c r="C8390" s="6" t="str">
        <f>_xll.QS.CONTEXT.CREATE("market.8388",A8390,"USD","SOFR")</f>
        <v>QSObject:PricingContext:w1~market.8388:2688</v>
      </c>
      <c r="D8390" s="6" t="str">
        <f>_xll.QS.CONTEXT.ADD.CURVE(C8390,"SOFR",$K$2:$K$7,$L$2:$L$7,,,"Actual360","LogLinear",TRUE)</f>
        <v>QSObject:ContextInput:w1~input.qs_context_add_curve.2359132437744.8389.3.0:31933</v>
      </c>
      <c r="E8390" s="6" t="str">
        <f>_xll.QS.INSTRUMENT.SWAP("swap.8388",H8390,B8390,"USD","SOFR",I8390,J8390,0,"Actual360","Simple","Annual","Annual","Annual")</f>
        <v>QSObject:Swap:w1~swap.8388:2687</v>
      </c>
      <c r="F8390" s="6" t="str">
        <f>_xll.QS.TRADE.CREATE("trade.8388",E8390,A8390,"Receive")</f>
        <v>QSObject:SwapTrade:w1~trade.8388:22247</v>
      </c>
      <c r="G8390" s="3">
        <f>_xll.QS.EVALUATE(C8390,F8390)</f>
        <v>57635.823286197621</v>
      </c>
      <c r="H8390" s="5" t="s">
        <v>8430</v>
      </c>
      <c r="I8390" s="7">
        <v>1838800</v>
      </c>
      <c r="J8390" s="8">
        <v>3.8800000000000001E-2</v>
      </c>
    </row>
    <row r="8391" spans="1:10" x14ac:dyDescent="0.25">
      <c r="A8391" s="5" t="s">
        <v>8424</v>
      </c>
      <c r="B8391" s="5" t="s">
        <v>10258</v>
      </c>
      <c r="C8391" s="6" t="str">
        <f>_xll.QS.CONTEXT.CREATE("market.8389",A8391,"USD","SOFR")</f>
        <v>QSObject:PricingContext:w1~market.8389:2686</v>
      </c>
      <c r="D8391" s="6" t="str">
        <f>_xll.QS.CONTEXT.ADD.CURVE(C8391,"SOFR",$K$2:$K$7,$L$2:$L$7,,,"Actual360","LogLinear",TRUE)</f>
        <v>QSObject:ContextInput:w1~input.qs_context_add_curve.2359132437744.8390.3.0:31932</v>
      </c>
      <c r="E8391" s="6" t="str">
        <f>_xll.QS.INSTRUMENT.SWAP("swap.8389",H8391,B8391,"USD","SOFR",I8391,J8391,0,"Actual360","Simple","Annual","Annual","Annual")</f>
        <v>QSObject:Swap:w1~swap.8389:2685</v>
      </c>
      <c r="F8391" s="6" t="str">
        <f>_xll.QS.TRADE.CREATE("trade.8389",E8391,A8391,"Receive")</f>
        <v>QSObject:SwapTrade:w1~trade.8389:23413</v>
      </c>
      <c r="G8391" s="3">
        <f>_xll.QS.EVALUATE(C8391,F8391)</f>
        <v>58500.798443108491</v>
      </c>
      <c r="H8391" s="5" t="s">
        <v>8431</v>
      </c>
      <c r="I8391" s="7">
        <v>1838900</v>
      </c>
      <c r="J8391" s="8">
        <v>3.8899999999999997E-2</v>
      </c>
    </row>
    <row r="8392" spans="1:10" x14ac:dyDescent="0.25">
      <c r="A8392" s="5" t="s">
        <v>8425</v>
      </c>
      <c r="B8392" s="5" t="s">
        <v>10259</v>
      </c>
      <c r="C8392" s="6" t="str">
        <f>_xll.QS.CONTEXT.CREATE("market.8390",A8392,"USD","SOFR")</f>
        <v>QSObject:PricingContext:w1~market.8390:2684</v>
      </c>
      <c r="D8392" s="6" t="str">
        <f>_xll.QS.CONTEXT.ADD.CURVE(C8392,"SOFR",$K$2:$K$7,$L$2:$L$7,,,"Actual360","LogLinear",TRUE)</f>
        <v>QSObject:ContextInput:w1~input.qs_context_add_curve.2359132437744.8391.3.0:31931</v>
      </c>
      <c r="E8392" s="6" t="str">
        <f>_xll.QS.INSTRUMENT.SWAP("swap.8390",H8392,B8392,"USD","SOFR",I8392,J8392,0,"Actual360","Simple","Annual","Annual","Annual")</f>
        <v>QSObject:Swap:w1~swap.8390:2683</v>
      </c>
      <c r="F8392" s="6" t="str">
        <f>_xll.QS.TRADE.CREATE("trade.8390",E8392,A8392,"Receive")</f>
        <v>QSObject:SwapTrade:w1~trade.8390:22246</v>
      </c>
      <c r="G8392" s="3">
        <f>_xll.QS.EVALUATE(C8392,F8392)</f>
        <v>59353.829720535745</v>
      </c>
      <c r="H8392" s="5" t="s">
        <v>8432</v>
      </c>
      <c r="I8392" s="7">
        <v>1839000</v>
      </c>
      <c r="J8392" s="8">
        <v>3.9000000000000007E-2</v>
      </c>
    </row>
    <row r="8393" spans="1:10" x14ac:dyDescent="0.25">
      <c r="A8393" s="5" t="s">
        <v>8426</v>
      </c>
      <c r="B8393" s="5" t="s">
        <v>10260</v>
      </c>
      <c r="C8393" s="6" t="str">
        <f>_xll.QS.CONTEXT.CREATE("market.8391",A8393,"USD","SOFR")</f>
        <v>QSObject:PricingContext:w1~market.8391:2682</v>
      </c>
      <c r="D8393" s="6" t="str">
        <f>_xll.QS.CONTEXT.ADD.CURVE(C8393,"SOFR",$K$2:$K$7,$L$2:$L$7,,,"Actual360","LogLinear",TRUE)</f>
        <v>QSObject:ContextInput:w1~input.qs_context_add_curve.2359132437744.8392.3.0:31930</v>
      </c>
      <c r="E8393" s="6" t="str">
        <f>_xll.QS.INSTRUMENT.SWAP("swap.8391",H8393,B8393,"USD","SOFR",I8393,J8393,0,"Actual360","Simple","Annual","Annual","Annual")</f>
        <v>QSObject:Swap:w1~swap.8391:2681</v>
      </c>
      <c r="F8393" s="6" t="str">
        <f>_xll.QS.TRADE.CREATE("trade.8391",E8393,A8393,"Receive")</f>
        <v>QSObject:SwapTrade:w1~trade.8391:22902</v>
      </c>
      <c r="G8393" s="3">
        <f>_xll.QS.EVALUATE(C8393,F8393)</f>
        <v>60056.820985544953</v>
      </c>
      <c r="H8393" s="5" t="s">
        <v>8433</v>
      </c>
      <c r="I8393" s="7">
        <v>1839100</v>
      </c>
      <c r="J8393" s="8">
        <v>3.9100000000000003E-2</v>
      </c>
    </row>
    <row r="8394" spans="1:10" x14ac:dyDescent="0.25">
      <c r="A8394" s="5" t="s">
        <v>8427</v>
      </c>
      <c r="B8394" s="5" t="s">
        <v>10261</v>
      </c>
      <c r="C8394" s="6" t="str">
        <f>_xll.QS.CONTEXT.CREATE("market.8392",A8394,"USD","SOFR")</f>
        <v>QSObject:PricingContext:w1~market.8392:2680</v>
      </c>
      <c r="D8394" s="6" t="str">
        <f>_xll.QS.CONTEXT.ADD.CURVE(C8394,"SOFR",$K$2:$K$7,$L$2:$L$7,,,"Actual360","LogLinear",TRUE)</f>
        <v>QSObject:ContextInput:w1~input.qs_context_add_curve.2359132437744.8393.3.0:31929</v>
      </c>
      <c r="E8394" s="6" t="str">
        <f>_xll.QS.INSTRUMENT.SWAP("swap.8392",H8394,B8394,"USD","SOFR",I8394,J8394,0,"Actual360","Simple","Annual","Annual","Annual")</f>
        <v>QSObject:Swap:w1~swap.8392:2679</v>
      </c>
      <c r="F8394" s="6" t="str">
        <f>_xll.QS.TRADE.CREATE("trade.8392",E8394,A8394,"Receive")</f>
        <v>QSObject:SwapTrade:w1~trade.8392:23412</v>
      </c>
      <c r="G8394" s="3">
        <f>_xll.QS.EVALUATE(C8394,F8394)</f>
        <v>60911.928994299997</v>
      </c>
      <c r="H8394" s="5" t="s">
        <v>8434</v>
      </c>
      <c r="I8394" s="7">
        <v>1839200</v>
      </c>
      <c r="J8394" s="8">
        <v>3.9200000000000013E-2</v>
      </c>
    </row>
    <row r="8395" spans="1:10" x14ac:dyDescent="0.25">
      <c r="A8395" s="5" t="s">
        <v>8428</v>
      </c>
      <c r="B8395" s="5" t="s">
        <v>10262</v>
      </c>
      <c r="C8395" s="6" t="str">
        <f>_xll.QS.CONTEXT.CREATE("market.8393",A8395,"USD","SOFR")</f>
        <v>QSObject:PricingContext:w1~market.8393:2678</v>
      </c>
      <c r="D8395" s="6" t="str">
        <f>_xll.QS.CONTEXT.ADD.CURVE(C8395,"SOFR",$K$2:$K$7,$L$2:$L$7,,,"Actual360","LogLinear",TRUE)</f>
        <v>QSObject:ContextInput:w1~input.qs_context_add_curve.2359132437744.8394.3.0:31928</v>
      </c>
      <c r="E8395" s="6" t="str">
        <f>_xll.QS.INSTRUMENT.SWAP("swap.8393",H8395,B8395,"USD","SOFR",I8395,J8395,0,"Actual360","Simple","Annual","Annual","Annual")</f>
        <v>QSObject:Swap:w1~swap.8393:2677</v>
      </c>
      <c r="F8395" s="6" t="str">
        <f>_xll.QS.TRADE.CREATE("trade.8393",E8395,A8395,"Receive")</f>
        <v>QSObject:SwapTrade:w1~trade.8393:31064</v>
      </c>
      <c r="G8395" s="3">
        <f>_xll.QS.EVALUATE(C8395,F8395)</f>
        <v>61841.478307521655</v>
      </c>
      <c r="H8395" s="5" t="s">
        <v>8435</v>
      </c>
      <c r="I8395" s="7">
        <v>1839300</v>
      </c>
      <c r="J8395" s="8">
        <v>3.9300000000000002E-2</v>
      </c>
    </row>
    <row r="8396" spans="1:10" x14ac:dyDescent="0.25">
      <c r="A8396" s="5" t="s">
        <v>8429</v>
      </c>
      <c r="B8396" s="5" t="s">
        <v>10263</v>
      </c>
      <c r="C8396" s="6" t="str">
        <f>_xll.QS.CONTEXT.CREATE("market.8394",A8396,"USD","SOFR")</f>
        <v>QSObject:PricingContext:w1~market.8394:2676</v>
      </c>
      <c r="D8396" s="6" t="str">
        <f>_xll.QS.CONTEXT.ADD.CURVE(C8396,"SOFR",$K$2:$K$7,$L$2:$L$7,,,"Actual360","LogLinear",TRUE)</f>
        <v>QSObject:ContextInput:w1~input.qs_context_add_curve.2359132437744.8395.3.0:31927</v>
      </c>
      <c r="E8396" s="6" t="str">
        <f>_xll.QS.INSTRUMENT.SWAP("swap.8394",H8396,B8396,"USD","SOFR",I8396,J8396,0,"Actual360","Simple","Annual","Annual","Annual")</f>
        <v>QSObject:Swap:w1~swap.8394:2675</v>
      </c>
      <c r="F8396" s="6" t="str">
        <f>_xll.QS.TRADE.CREATE("trade.8394",E8396,A8396,"Receive")</f>
        <v>QSObject:SwapTrade:w1~trade.8394:22245</v>
      </c>
      <c r="G8396" s="3">
        <f>_xll.QS.EVALUATE(C8396,F8396)</f>
        <v>62462.249684844246</v>
      </c>
      <c r="H8396" s="5" t="s">
        <v>8436</v>
      </c>
      <c r="I8396" s="7">
        <v>1839400</v>
      </c>
      <c r="J8396" s="8">
        <v>3.9399999999999998E-2</v>
      </c>
    </row>
    <row r="8397" spans="1:10" x14ac:dyDescent="0.25">
      <c r="A8397" s="5" t="s">
        <v>8430</v>
      </c>
      <c r="B8397" s="5" t="s">
        <v>10264</v>
      </c>
      <c r="C8397" s="6" t="str">
        <f>_xll.QS.CONTEXT.CREATE("market.8395",A8397,"USD","SOFR")</f>
        <v>QSObject:PricingContext:w1~market.8395:2674</v>
      </c>
      <c r="D8397" s="6" t="str">
        <f>_xll.QS.CONTEXT.ADD.CURVE(C8397,"SOFR",$K$2:$K$7,$L$2:$L$7,,,"Actual360","LogLinear",TRUE)</f>
        <v>QSObject:ContextInput:w1~input.qs_context_add_curve.2359132437744.8396.3.0:31926</v>
      </c>
      <c r="E8397" s="6" t="str">
        <f>_xll.QS.INSTRUMENT.SWAP("swap.8395",H8397,B8397,"USD","SOFR",I8397,J8397,0,"Actual360","Simple","Annual","Annual","Annual")</f>
        <v>QSObject:Swap:w1~swap.8395:2673</v>
      </c>
      <c r="F8397" s="6" t="str">
        <f>_xll.QS.TRADE.CREATE("trade.8395",E8397,A8397,"Receive")</f>
        <v>QSObject:SwapTrade:w1~trade.8395:22901</v>
      </c>
      <c r="G8397" s="3">
        <f>_xll.QS.EVALUATE(C8397,F8397)</f>
        <v>63595.67135326119</v>
      </c>
      <c r="H8397" s="5" t="s">
        <v>8437</v>
      </c>
      <c r="I8397" s="7">
        <v>1839500</v>
      </c>
      <c r="J8397" s="8">
        <v>3.9500000000000007E-2</v>
      </c>
    </row>
    <row r="8398" spans="1:10" x14ac:dyDescent="0.25">
      <c r="A8398" s="5" t="s">
        <v>8431</v>
      </c>
      <c r="B8398" s="5" t="s">
        <v>10265</v>
      </c>
      <c r="C8398" s="6" t="str">
        <f>_xll.QS.CONTEXT.CREATE("market.8396",A8398,"USD","SOFR")</f>
        <v>QSObject:PricingContext:w1~market.8396:2672</v>
      </c>
      <c r="D8398" s="6" t="str">
        <f>_xll.QS.CONTEXT.ADD.CURVE(C8398,"SOFR",$K$2:$K$7,$L$2:$L$7,,,"Actual360","LogLinear",TRUE)</f>
        <v>QSObject:ContextInput:w1~input.qs_context_add_curve.2359132437744.8397.3.0:31925</v>
      </c>
      <c r="E8398" s="6" t="str">
        <f>_xll.QS.INSTRUMENT.SWAP("swap.8396",H8398,B8398,"USD","SOFR",I8398,J8398,0,"Actual360","Simple","Annual","Annual","Annual")</f>
        <v>QSObject:Swap:w1~swap.8396:2671</v>
      </c>
      <c r="F8398" s="6" t="str">
        <f>_xll.QS.TRADE.CREATE("trade.8396",E8398,A8398,"Receive")</f>
        <v>QSObject:SwapTrade:w1~trade.8396:23411</v>
      </c>
      <c r="G8398" s="3">
        <f>_xll.QS.EVALUATE(C8398,F8398)</f>
        <v>64451.906312345352</v>
      </c>
      <c r="H8398" s="5" t="s">
        <v>8438</v>
      </c>
      <c r="I8398" s="7">
        <v>1839600</v>
      </c>
      <c r="J8398" s="8">
        <v>3.9600000000000003E-2</v>
      </c>
    </row>
    <row r="8399" spans="1:10" x14ac:dyDescent="0.25">
      <c r="A8399" s="5" t="s">
        <v>8432</v>
      </c>
      <c r="B8399" s="5" t="s">
        <v>10266</v>
      </c>
      <c r="C8399" s="6" t="str">
        <f>_xll.QS.CONTEXT.CREATE("market.8397",A8399,"USD","SOFR")</f>
        <v>QSObject:PricingContext:w1~market.8397:2670</v>
      </c>
      <c r="D8399" s="6" t="str">
        <f>_xll.QS.CONTEXT.ADD.CURVE(C8399,"SOFR",$K$2:$K$7,$L$2:$L$7,,,"Actual360","LogLinear",TRUE)</f>
        <v>QSObject:ContextInput:w1~input.qs_context_add_curve.2359132437744.8398.3.0:31924</v>
      </c>
      <c r="E8399" s="6" t="str">
        <f>_xll.QS.INSTRUMENT.SWAP("swap.8397",H8399,B8399,"USD","SOFR",I8399,J8399,0,"Actual360","Simple","Annual","Annual","Annual")</f>
        <v>QSObject:Swap:w1~swap.8397:2669</v>
      </c>
      <c r="F8399" s="6" t="str">
        <f>_xll.QS.TRADE.CREATE("trade.8397",E8399,A8399,"Receive")</f>
        <v>QSObject:SwapTrade:w1~trade.8397:31063</v>
      </c>
      <c r="G8399" s="3">
        <f>_xll.QS.EVALUATE(C8399,F8399)</f>
        <v>65315.010850788451</v>
      </c>
      <c r="H8399" s="5" t="s">
        <v>8439</v>
      </c>
      <c r="I8399" s="7">
        <v>1839700</v>
      </c>
      <c r="J8399" s="8">
        <v>3.9700000000000013E-2</v>
      </c>
    </row>
    <row r="8400" spans="1:10" x14ac:dyDescent="0.25">
      <c r="A8400" s="5" t="s">
        <v>8433</v>
      </c>
      <c r="B8400" s="5" t="s">
        <v>10267</v>
      </c>
      <c r="C8400" s="6" t="str">
        <f>_xll.QS.CONTEXT.CREATE("market.8398",A8400,"USD","SOFR")</f>
        <v>QSObject:PricingContext:w1~market.8398:2668</v>
      </c>
      <c r="D8400" s="6" t="str">
        <f>_xll.QS.CONTEXT.ADD.CURVE(C8400,"SOFR",$K$2:$K$7,$L$2:$L$7,,,"Actual360","LogLinear",TRUE)</f>
        <v>QSObject:ContextInput:w1~input.qs_context_add_curve.2359132437744.8399.3.0:31923</v>
      </c>
      <c r="E8400" s="6" t="str">
        <f>_xll.QS.INSTRUMENT.SWAP("swap.8398",H8400,B8400,"USD","SOFR",I8400,J8400,0,"Actual360","Simple","Annual","Annual","Annual")</f>
        <v>QSObject:Swap:w1~swap.8398:2667</v>
      </c>
      <c r="F8400" s="6" t="str">
        <f>_xll.QS.TRADE.CREATE("trade.8398",E8400,A8400,"Receive")</f>
        <v>QSObject:SwapTrade:w1~trade.8398:22244</v>
      </c>
      <c r="G8400" s="3">
        <f>_xll.QS.EVALUATE(C8400,F8400)</f>
        <v>66011.597497610099</v>
      </c>
      <c r="H8400" s="5" t="s">
        <v>8440</v>
      </c>
      <c r="I8400" s="7">
        <v>1839800</v>
      </c>
      <c r="J8400" s="8">
        <v>3.9800000000000002E-2</v>
      </c>
    </row>
    <row r="8401" spans="1:10" x14ac:dyDescent="0.25">
      <c r="A8401" s="5" t="s">
        <v>8434</v>
      </c>
      <c r="B8401" s="5" t="s">
        <v>10268</v>
      </c>
      <c r="C8401" s="6" t="str">
        <f>_xll.QS.CONTEXT.CREATE("market.8399",A8401,"USD","SOFR")</f>
        <v>QSObject:PricingContext:w1~market.8399:2666</v>
      </c>
      <c r="D8401" s="6" t="str">
        <f>_xll.QS.CONTEXT.ADD.CURVE(C8401,"SOFR",$K$2:$K$7,$L$2:$L$7,,,"Actual360","LogLinear",TRUE)</f>
        <v>QSObject:ContextInput:w1~input.qs_context_add_curve.2359132437744.8400.3.0:31922</v>
      </c>
      <c r="E8401" s="6" t="str">
        <f>_xll.QS.INSTRUMENT.SWAP("swap.8399",H8401,B8401,"USD","SOFR",I8401,J8401,0,"Actual360","Simple","Annual","Annual","Annual")</f>
        <v>QSObject:Swap:w1~swap.8399:2665</v>
      </c>
      <c r="F8401" s="6" t="str">
        <f>_xll.QS.TRADE.CREATE("trade.8399",E8401,A8401,"Receive")</f>
        <v>QSObject:SwapTrade:w1~trade.8399:22900</v>
      </c>
      <c r="G8401" s="3">
        <f>_xll.QS.EVALUATE(C8401,F8401)</f>
        <v>66757.226739727848</v>
      </c>
      <c r="H8401" s="5" t="s">
        <v>8441</v>
      </c>
      <c r="I8401" s="7">
        <v>1839900</v>
      </c>
      <c r="J8401" s="8">
        <v>3.9899999999999998E-2</v>
      </c>
    </row>
    <row r="8402" spans="1:10" x14ac:dyDescent="0.25">
      <c r="A8402" s="5" t="s">
        <v>8435</v>
      </c>
      <c r="B8402" s="5" t="s">
        <v>10269</v>
      </c>
      <c r="C8402" s="6" t="str">
        <f>_xll.QS.CONTEXT.CREATE("market.8400",A8402,"USD","SOFR")</f>
        <v>QSObject:PricingContext:w1~market.8400:2664</v>
      </c>
      <c r="D8402" s="6" t="str">
        <f>_xll.QS.CONTEXT.ADD.CURVE(C8402,"SOFR",$K$2:$K$7,$L$2:$L$7,,,"Actual360","LogLinear",TRUE)</f>
        <v>QSObject:ContextInput:w1~input.qs_context_add_curve.2359132437744.8401.3.0:31921</v>
      </c>
      <c r="E8402" s="6" t="str">
        <f>_xll.QS.INSTRUMENT.SWAP("swap.8400",H8402,B8402,"USD","SOFR",I8402,J8402,0,"Actual360","Simple","Annual","Annual","Annual")</f>
        <v>QSObject:Swap:w1~swap.8400:2663</v>
      </c>
      <c r="F8402" s="6" t="str">
        <f>_xll.QS.TRADE.CREATE("trade.8400",E8402,A8402,"Receive")</f>
        <v>QSObject:SwapTrade:w1~trade.8400:23410</v>
      </c>
      <c r="G8402" s="3">
        <f>_xll.QS.EVALUATE(C8402,F8402)</f>
        <v>25243.586684657057</v>
      </c>
      <c r="H8402" s="5" t="s">
        <v>8442</v>
      </c>
      <c r="I8402" s="7">
        <v>1840000</v>
      </c>
      <c r="J8402" s="8">
        <v>3.5000000000000003E-2</v>
      </c>
    </row>
    <row r="8403" spans="1:10" x14ac:dyDescent="0.25">
      <c r="A8403" s="5" t="s">
        <v>8436</v>
      </c>
      <c r="B8403" s="5" t="s">
        <v>10270</v>
      </c>
      <c r="C8403" s="6" t="str">
        <f>_xll.QS.CONTEXT.CREATE("market.8401",A8403,"USD","SOFR")</f>
        <v>QSObject:PricingContext:w1~market.8401:2662</v>
      </c>
      <c r="D8403" s="6" t="str">
        <f>_xll.QS.CONTEXT.ADD.CURVE(C8403,"SOFR",$K$2:$K$7,$L$2:$L$7,,,"Actual360","LogLinear",TRUE)</f>
        <v>QSObject:ContextInput:w1~input.qs_context_add_curve.2359132437744.8402.3.0:31920</v>
      </c>
      <c r="E8403" s="6" t="str">
        <f>_xll.QS.INSTRUMENT.SWAP("swap.8401",H8403,B8403,"USD","SOFR",I8403,J8403,0,"Actual360","Simple","Annual","Annual","Annual")</f>
        <v>QSObject:Swap:w1~swap.8401:2661</v>
      </c>
      <c r="F8403" s="6" t="str">
        <f>_xll.QS.TRADE.CREATE("trade.8401",E8403,A8403,"Receive")</f>
        <v>QSObject:SwapTrade:w1~trade.8401:22243</v>
      </c>
      <c r="G8403" s="3">
        <f>_xll.QS.EVALUATE(C8403,F8403)</f>
        <v>26077.97964078706</v>
      </c>
      <c r="H8403" s="5" t="s">
        <v>8443</v>
      </c>
      <c r="I8403" s="7">
        <v>1840100</v>
      </c>
      <c r="J8403" s="8">
        <v>3.5100000000000013E-2</v>
      </c>
    </row>
    <row r="8404" spans="1:10" x14ac:dyDescent="0.25">
      <c r="A8404" s="5" t="s">
        <v>8437</v>
      </c>
      <c r="B8404" s="5" t="s">
        <v>10271</v>
      </c>
      <c r="C8404" s="6" t="str">
        <f>_xll.QS.CONTEXT.CREATE("market.8402",A8404,"USD","SOFR")</f>
        <v>QSObject:PricingContext:w1~market.8402:2660</v>
      </c>
      <c r="D8404" s="6" t="str">
        <f>_xll.QS.CONTEXT.ADD.CURVE(C8404,"SOFR",$K$2:$K$7,$L$2:$L$7,,,"Actual360","LogLinear",TRUE)</f>
        <v>QSObject:ContextInput:w1~input.qs_context_add_curve.2359132437744.8403.3.0:31919</v>
      </c>
      <c r="E8404" s="6" t="str">
        <f>_xll.QS.INSTRUMENT.SWAP("swap.8402",H8404,B8404,"USD","SOFR",I8404,J8404,0,"Actual360","Simple","Annual","Annual","Annual")</f>
        <v>QSObject:Swap:w1~swap.8402:2659</v>
      </c>
      <c r="F8404" s="6" t="str">
        <f>_xll.QS.TRADE.CREATE("trade.8402",E8404,A8404,"Receive")</f>
        <v>QSObject:SwapTrade:w1~trade.8402:23409</v>
      </c>
      <c r="G8404" s="3">
        <f>_xll.QS.EVALUATE(C8404,F8404)</f>
        <v>27062.113241870706</v>
      </c>
      <c r="H8404" s="5" t="s">
        <v>8444</v>
      </c>
      <c r="I8404" s="7">
        <v>1840200</v>
      </c>
      <c r="J8404" s="8">
        <v>3.5200000000000002E-2</v>
      </c>
    </row>
    <row r="8405" spans="1:10" x14ac:dyDescent="0.25">
      <c r="A8405" s="5" t="s">
        <v>8438</v>
      </c>
      <c r="B8405" s="5" t="s">
        <v>10272</v>
      </c>
      <c r="C8405" s="6" t="str">
        <f>_xll.QS.CONTEXT.CREATE("market.8403",A8405,"USD","SOFR")</f>
        <v>QSObject:PricingContext:w1~market.8403:2658</v>
      </c>
      <c r="D8405" s="6" t="str">
        <f>_xll.QS.CONTEXT.ADD.CURVE(C8405,"SOFR",$K$2:$K$7,$L$2:$L$7,,,"Actual360","LogLinear",TRUE)</f>
        <v>QSObject:ContextInput:w1~input.qs_context_add_curve.2359132437744.8404.3.0:31918</v>
      </c>
      <c r="E8405" s="6" t="str">
        <f>_xll.QS.INSTRUMENT.SWAP("swap.8403",H8405,B8405,"USD","SOFR",I8405,J8405,0,"Actual360","Simple","Annual","Annual","Annual")</f>
        <v>QSObject:Swap:w1~swap.8403:2657</v>
      </c>
      <c r="F8405" s="6" t="str">
        <f>_xll.QS.TRADE.CREATE("trade.8403",E8405,A8405,"Receive")</f>
        <v>QSObject:SwapTrade:w1~trade.8403:31062</v>
      </c>
      <c r="G8405" s="3">
        <f>_xll.QS.EVALUATE(C8405,F8405)</f>
        <v>27992.411402129845</v>
      </c>
      <c r="H8405" s="5" t="s">
        <v>8445</v>
      </c>
      <c r="I8405" s="7">
        <v>1840300</v>
      </c>
      <c r="J8405" s="8">
        <v>3.5299999999999998E-2</v>
      </c>
    </row>
    <row r="8406" spans="1:10" x14ac:dyDescent="0.25">
      <c r="A8406" s="5" t="s">
        <v>8439</v>
      </c>
      <c r="B8406" s="5" t="s">
        <v>10273</v>
      </c>
      <c r="C8406" s="6" t="str">
        <f>_xll.QS.CONTEXT.CREATE("market.8404",A8406,"USD","SOFR")</f>
        <v>QSObject:PricingContext:w1~market.8404:2656</v>
      </c>
      <c r="D8406" s="6" t="str">
        <f>_xll.QS.CONTEXT.ADD.CURVE(C8406,"SOFR",$K$2:$K$7,$L$2:$L$7,,,"Actual360","LogLinear",TRUE)</f>
        <v>QSObject:ContextInput:w1~input.qs_context_add_curve.2359132437744.8405.3.0:31917</v>
      </c>
      <c r="E8406" s="6" t="str">
        <f>_xll.QS.INSTRUMENT.SWAP("swap.8404",H8406,B8406,"USD","SOFR",I8406,J8406,0,"Actual360","Simple","Annual","Annual","Annual")</f>
        <v>QSObject:Swap:w1~swap.8404:2655</v>
      </c>
      <c r="F8406" s="6" t="str">
        <f>_xll.QS.TRADE.CREATE("trade.8404",E8406,A8406,"Receive")</f>
        <v>QSObject:SwapTrade:w1~trade.8404:22899</v>
      </c>
      <c r="G8406" s="3">
        <f>_xll.QS.EVALUATE(C8406,F8406)</f>
        <v>28771.887052767866</v>
      </c>
      <c r="H8406" s="5" t="s">
        <v>8446</v>
      </c>
      <c r="I8406" s="7">
        <v>1840400</v>
      </c>
      <c r="J8406" s="8">
        <v>3.5400000000000001E-2</v>
      </c>
    </row>
    <row r="8407" spans="1:10" x14ac:dyDescent="0.25">
      <c r="A8407" s="5" t="s">
        <v>8440</v>
      </c>
      <c r="B8407" s="5" t="s">
        <v>10274</v>
      </c>
      <c r="C8407" s="6" t="str">
        <f>_xll.QS.CONTEXT.CREATE("market.8405",A8407,"USD","SOFR")</f>
        <v>QSObject:PricingContext:w1~market.8405:2654</v>
      </c>
      <c r="D8407" s="6" t="str">
        <f>_xll.QS.CONTEXT.ADD.CURVE(C8407,"SOFR",$K$2:$K$7,$L$2:$L$7,,,"Actual360","LogLinear",TRUE)</f>
        <v>QSObject:ContextInput:w1~input.qs_context_add_curve.2359132437744.8406.3.0:31916</v>
      </c>
      <c r="E8407" s="6" t="str">
        <f>_xll.QS.INSTRUMENT.SWAP("swap.8405",H8407,B8407,"USD","SOFR",I8407,J8407,0,"Actual360","Simple","Annual","Annual","Annual")</f>
        <v>QSObject:Swap:w1~swap.8405:2653</v>
      </c>
      <c r="F8407" s="6" t="str">
        <f>_xll.QS.TRADE.CREATE("trade.8405",E8407,A8407,"Receive")</f>
        <v>QSObject:SwapTrade:w1~trade.8405:23408</v>
      </c>
      <c r="G8407" s="3">
        <f>_xll.QS.EVALUATE(C8407,F8407)</f>
        <v>29509.727657250813</v>
      </c>
      <c r="H8407" s="5" t="s">
        <v>8447</v>
      </c>
      <c r="I8407" s="7">
        <v>1840500</v>
      </c>
      <c r="J8407" s="8">
        <v>3.5499999999999997E-2</v>
      </c>
    </row>
    <row r="8408" spans="1:10" x14ac:dyDescent="0.25">
      <c r="A8408" s="5" t="s">
        <v>8441</v>
      </c>
      <c r="B8408" s="5" t="s">
        <v>10275</v>
      </c>
      <c r="C8408" s="6" t="str">
        <f>_xll.QS.CONTEXT.CREATE("market.8406",A8408,"USD","SOFR")</f>
        <v>QSObject:PricingContext:w1~market.8406:2652</v>
      </c>
      <c r="D8408" s="6" t="str">
        <f>_xll.QS.CONTEXT.ADD.CURVE(C8408,"SOFR",$K$2:$K$7,$L$2:$L$7,,,"Actual360","LogLinear",TRUE)</f>
        <v>QSObject:ContextInput:w1~input.qs_context_add_curve.2359132437744.8407.3.0:31915</v>
      </c>
      <c r="E8408" s="6" t="str">
        <f>_xll.QS.INSTRUMENT.SWAP("swap.8406",H8408,B8408,"USD","SOFR",I8408,J8408,0,"Actual360","Simple","Annual","Annual","Annual")</f>
        <v>QSObject:Swap:w1~swap.8406:2651</v>
      </c>
      <c r="F8408" s="6" t="str">
        <f>_xll.QS.TRADE.CREATE("trade.8406",E8408,A8408,"Receive")</f>
        <v>QSObject:SwapTrade:w1~trade.8406:22242</v>
      </c>
      <c r="G8408" s="3">
        <f>_xll.QS.EVALUATE(C8408,F8408)</f>
        <v>30142.512081073146</v>
      </c>
      <c r="H8408" s="5" t="s">
        <v>8448</v>
      </c>
      <c r="I8408" s="7">
        <v>1840600</v>
      </c>
      <c r="J8408" s="8">
        <v>3.5600000000000007E-2</v>
      </c>
    </row>
    <row r="8409" spans="1:10" x14ac:dyDescent="0.25">
      <c r="A8409" s="5" t="s">
        <v>8442</v>
      </c>
      <c r="B8409" s="5" t="s">
        <v>10276</v>
      </c>
      <c r="C8409" s="6" t="str">
        <f>_xll.QS.CONTEXT.CREATE("market.8407",A8409,"USD","SOFR")</f>
        <v>QSObject:PricingContext:w1~market.8407:2650</v>
      </c>
      <c r="D8409" s="6" t="str">
        <f>_xll.QS.CONTEXT.ADD.CURVE(C8409,"SOFR",$K$2:$K$7,$L$2:$L$7,,,"Actual360","LogLinear",TRUE)</f>
        <v>QSObject:ContextInput:w1~input.qs_context_add_curve.2359132437744.8408.3.0:31914</v>
      </c>
      <c r="E8409" s="6" t="str">
        <f>_xll.QS.INSTRUMENT.SWAP("swap.8407",H8409,B8409,"USD","SOFR",I8409,J8409,0,"Actual360","Simple","Annual","Annual","Annual")</f>
        <v>QSObject:Swap:w1~swap.8407:2649</v>
      </c>
      <c r="F8409" s="6" t="str">
        <f>_xll.QS.TRADE.CREATE("trade.8407",E8409,A8409,"Receive")</f>
        <v>QSObject:SwapTrade:w1~trade.8407:31061</v>
      </c>
      <c r="G8409" s="3">
        <f>_xll.QS.EVALUATE(C8409,F8409)</f>
        <v>31069.70014459049</v>
      </c>
      <c r="H8409" s="5" t="s">
        <v>8449</v>
      </c>
      <c r="I8409" s="7">
        <v>1840700</v>
      </c>
      <c r="J8409" s="8">
        <v>3.5700000000000003E-2</v>
      </c>
    </row>
    <row r="8410" spans="1:10" x14ac:dyDescent="0.25">
      <c r="A8410" s="5" t="s">
        <v>8443</v>
      </c>
      <c r="B8410" s="5" t="s">
        <v>10277</v>
      </c>
      <c r="C8410" s="6" t="str">
        <f>_xll.QS.CONTEXT.CREATE("market.8408",A8410,"USD","SOFR")</f>
        <v>QSObject:PricingContext:w1~market.8408:2648</v>
      </c>
      <c r="D8410" s="6" t="str">
        <f>_xll.QS.CONTEXT.ADD.CURVE(C8410,"SOFR",$K$2:$K$7,$L$2:$L$7,,,"Actual360","LogLinear",TRUE)</f>
        <v>QSObject:ContextInput:w1~input.qs_context_add_curve.2359132437744.8409.3.0:31913</v>
      </c>
      <c r="E8410" s="6" t="str">
        <f>_xll.QS.INSTRUMENT.SWAP("swap.8408",H8410,B8410,"USD","SOFR",I8410,J8410,0,"Actual360","Simple","Annual","Annual","Annual")</f>
        <v>QSObject:Swap:w1~swap.8408:2647</v>
      </c>
      <c r="F8410" s="6" t="str">
        <f>_xll.QS.TRADE.CREATE("trade.8408",E8410,A8410,"Receive")</f>
        <v>QSObject:SwapTrade:w1~trade.8408:22898</v>
      </c>
      <c r="G8410" s="3">
        <f>_xll.QS.EVALUATE(C8410,F8410)</f>
        <v>31975.859829780013</v>
      </c>
      <c r="H8410" s="5" t="s">
        <v>8450</v>
      </c>
      <c r="I8410" s="7">
        <v>1840800</v>
      </c>
      <c r="J8410" s="8">
        <v>3.5800000000000012E-2</v>
      </c>
    </row>
    <row r="8411" spans="1:10" x14ac:dyDescent="0.25">
      <c r="A8411" s="5" t="s">
        <v>8444</v>
      </c>
      <c r="B8411" s="5" t="s">
        <v>10278</v>
      </c>
      <c r="C8411" s="6" t="str">
        <f>_xll.QS.CONTEXT.CREATE("market.8409",A8411,"USD","SOFR")</f>
        <v>QSObject:PricingContext:w1~market.8409:2646</v>
      </c>
      <c r="D8411" s="6" t="str">
        <f>_xll.QS.CONTEXT.ADD.CURVE(C8411,"SOFR",$K$2:$K$7,$L$2:$L$7,,,"Actual360","LogLinear",TRUE)</f>
        <v>QSObject:ContextInput:w1~input.qs_context_add_curve.2359132437744.8410.3.0:31912</v>
      </c>
      <c r="E8411" s="6" t="str">
        <f>_xll.QS.INSTRUMENT.SWAP("swap.8409",H8411,B8411,"USD","SOFR",I8411,J8411,0,"Actual360","Simple","Annual","Annual","Annual")</f>
        <v>QSObject:Swap:w1~swap.8409:2645</v>
      </c>
      <c r="F8411" s="6" t="str">
        <f>_xll.QS.TRADE.CREATE("trade.8409",E8411,A8411,"Receive")</f>
        <v>QSObject:SwapTrade:w1~trade.8409:22241</v>
      </c>
      <c r="G8411" s="3">
        <f>_xll.QS.EVALUATE(C8411,F8411)</f>
        <v>33082.381578162785</v>
      </c>
      <c r="H8411" s="5" t="s">
        <v>8451</v>
      </c>
      <c r="I8411" s="7">
        <v>1840900</v>
      </c>
      <c r="J8411" s="8">
        <v>3.5900000000000001E-2</v>
      </c>
    </row>
    <row r="8412" spans="1:10" x14ac:dyDescent="0.25">
      <c r="A8412" s="5" t="s">
        <v>8445</v>
      </c>
      <c r="B8412" s="5" t="s">
        <v>10279</v>
      </c>
      <c r="C8412" s="6" t="str">
        <f>_xll.QS.CONTEXT.CREATE("market.8410",A8412,"USD","SOFR")</f>
        <v>QSObject:PricingContext:w1~market.8410:2644</v>
      </c>
      <c r="D8412" s="6" t="str">
        <f>_xll.QS.CONTEXT.ADD.CURVE(C8412,"SOFR",$K$2:$K$7,$L$2:$L$7,,,"Actual360","LogLinear",TRUE)</f>
        <v>QSObject:ContextInput:w1~input.qs_context_add_curve.2359132437744.8411.3.0:31911</v>
      </c>
      <c r="E8412" s="6" t="str">
        <f>_xll.QS.INSTRUMENT.SWAP("swap.8410",H8412,B8412,"USD","SOFR",I8412,J8412,0,"Actual360","Simple","Annual","Annual","Annual")</f>
        <v>QSObject:Swap:w1~swap.8410:2643</v>
      </c>
      <c r="F8412" s="6" t="str">
        <f>_xll.QS.TRADE.CREATE("trade.8410",E8412,A8412,"Receive")</f>
        <v>QSObject:SwapTrade:w1~trade.8410:31060</v>
      </c>
      <c r="G8412" s="3">
        <f>_xll.QS.EVALUATE(C8412,F8412)</f>
        <v>33947.969365116398</v>
      </c>
      <c r="H8412" s="5" t="s">
        <v>8452</v>
      </c>
      <c r="I8412" s="7">
        <v>1841000</v>
      </c>
      <c r="J8412" s="8">
        <v>3.5999999999999997E-2</v>
      </c>
    </row>
    <row r="8413" spans="1:10" x14ac:dyDescent="0.25">
      <c r="A8413" s="5" t="s">
        <v>8446</v>
      </c>
      <c r="B8413" s="5" t="s">
        <v>10280</v>
      </c>
      <c r="C8413" s="6" t="str">
        <f>_xll.QS.CONTEXT.CREATE("market.8411",A8413,"USD","SOFR")</f>
        <v>QSObject:PricingContext:w1~market.8411:2642</v>
      </c>
      <c r="D8413" s="6" t="str">
        <f>_xll.QS.CONTEXT.ADD.CURVE(C8413,"SOFR",$K$2:$K$7,$L$2:$L$7,,,"Actual360","LogLinear",TRUE)</f>
        <v>QSObject:ContextInput:w1~input.qs_context_add_curve.2359132437744.8412.3.0:31910</v>
      </c>
      <c r="E8413" s="6" t="str">
        <f>_xll.QS.INSTRUMENT.SWAP("swap.8411",H8413,B8413,"USD","SOFR",I8413,J8413,0,"Actual360","Simple","Annual","Annual","Annual")</f>
        <v>QSObject:Swap:w1~swap.8411:2641</v>
      </c>
      <c r="F8413" s="6" t="str">
        <f>_xll.QS.TRADE.CREATE("trade.8411",E8413,A8413,"Receive")</f>
        <v>QSObject:SwapTrade:w1~trade.8411:22240</v>
      </c>
      <c r="G8413" s="3">
        <f>_xll.QS.EVALUATE(C8413,F8413)</f>
        <v>34795.2813547732</v>
      </c>
      <c r="H8413" s="5" t="s">
        <v>8453</v>
      </c>
      <c r="I8413" s="7">
        <v>1841100</v>
      </c>
      <c r="J8413" s="8">
        <v>3.61E-2</v>
      </c>
    </row>
    <row r="8414" spans="1:10" x14ac:dyDescent="0.25">
      <c r="A8414" s="5" t="s">
        <v>8447</v>
      </c>
      <c r="B8414" s="5" t="s">
        <v>10281</v>
      </c>
      <c r="C8414" s="6" t="str">
        <f>_xll.QS.CONTEXT.CREATE("market.8412",A8414,"USD","SOFR")</f>
        <v>QSObject:PricingContext:w1~market.8412:2640</v>
      </c>
      <c r="D8414" s="6" t="str">
        <f>_xll.QS.CONTEXT.ADD.CURVE(C8414,"SOFR",$K$2:$K$7,$L$2:$L$7,,,"Actual360","LogLinear",TRUE)</f>
        <v>QSObject:ContextInput:w1~input.qs_context_add_curve.2359132437744.8413.3.0:31909</v>
      </c>
      <c r="E8414" s="6" t="str">
        <f>_xll.QS.INSTRUMENT.SWAP("swap.8412",H8414,B8414,"USD","SOFR",I8414,J8414,0,"Actual360","Simple","Annual","Annual","Annual")</f>
        <v>QSObject:Swap:w1~swap.8412:2639</v>
      </c>
      <c r="F8414" s="6" t="str">
        <f>_xll.QS.TRADE.CREATE("trade.8412",E8414,A8414,"Receive")</f>
        <v>QSObject:SwapTrade:w1~trade.8412:23407</v>
      </c>
      <c r="G8414" s="3">
        <f>_xll.QS.EVALUATE(C8414,F8414)</f>
        <v>35503.450097673376</v>
      </c>
      <c r="H8414" s="5" t="s">
        <v>8454</v>
      </c>
      <c r="I8414" s="7">
        <v>1841200</v>
      </c>
      <c r="J8414" s="8">
        <v>3.6200000000000003E-2</v>
      </c>
    </row>
    <row r="8415" spans="1:10" x14ac:dyDescent="0.25">
      <c r="A8415" s="5" t="s">
        <v>8448</v>
      </c>
      <c r="B8415" s="5" t="s">
        <v>10282</v>
      </c>
      <c r="C8415" s="6" t="str">
        <f>_xll.QS.CONTEXT.CREATE("market.8413",A8415,"USD","SOFR")</f>
        <v>QSObject:PricingContext:w1~market.8413:2638</v>
      </c>
      <c r="D8415" s="6" t="str">
        <f>_xll.QS.CONTEXT.ADD.CURVE(C8415,"SOFR",$K$2:$K$7,$L$2:$L$7,,,"Actual360","LogLinear",TRUE)</f>
        <v>QSObject:ContextInput:w1~input.qs_context_add_curve.2359132437744.8414.3.0:31908</v>
      </c>
      <c r="E8415" s="6" t="str">
        <f>_xll.QS.INSTRUMENT.SWAP("swap.8413",H8415,B8415,"USD","SOFR",I8415,J8415,0,"Actual360","Simple","Annual","Annual","Annual")</f>
        <v>QSObject:Swap:w1~swap.8413:2637</v>
      </c>
      <c r="F8415" s="6" t="str">
        <f>_xll.QS.TRADE.CREATE("trade.8413",E8415,A8415,"Receive")</f>
        <v>QSObject:SwapTrade:w1~trade.8413:22897</v>
      </c>
      <c r="G8415" s="3">
        <f>_xll.QS.EVALUATE(C8415,F8415)</f>
        <v>36200.30901696728</v>
      </c>
      <c r="H8415" s="5" t="s">
        <v>8455</v>
      </c>
      <c r="I8415" s="7">
        <v>1841300</v>
      </c>
      <c r="J8415" s="8">
        <v>3.6300000000000013E-2</v>
      </c>
    </row>
    <row r="8416" spans="1:10" x14ac:dyDescent="0.25">
      <c r="A8416" s="5" t="s">
        <v>8449</v>
      </c>
      <c r="B8416" s="5" t="s">
        <v>10283</v>
      </c>
      <c r="C8416" s="6" t="str">
        <f>_xll.QS.CONTEXT.CREATE("market.8414",A8416,"USD","SOFR")</f>
        <v>QSObject:PricingContext:w1~market.8414:2636</v>
      </c>
      <c r="D8416" s="6" t="str">
        <f>_xll.QS.CONTEXT.ADD.CURVE(C8416,"SOFR",$K$2:$K$7,$L$2:$L$7,,,"Actual360","LogLinear",TRUE)</f>
        <v>QSObject:ContextInput:w1~input.qs_context_add_curve.2359132437744.8415.3.0:31907</v>
      </c>
      <c r="E8416" s="6" t="str">
        <f>_xll.QS.INSTRUMENT.SWAP("swap.8414",H8416,B8416,"USD","SOFR",I8416,J8416,0,"Actual360","Simple","Annual","Annual","Annual")</f>
        <v>QSObject:Swap:w1~swap.8414:2635</v>
      </c>
      <c r="F8416" s="6" t="str">
        <f>_xll.QS.TRADE.CREATE("trade.8414",E8416,A8416,"Receive")</f>
        <v>QSObject:SwapTrade:w1~trade.8414:22239</v>
      </c>
      <c r="G8416" s="3">
        <f>_xll.QS.EVALUATE(C8416,F8416)</f>
        <v>37058.781353629347</v>
      </c>
      <c r="H8416" s="5" t="s">
        <v>8456</v>
      </c>
      <c r="I8416" s="7">
        <v>1841400</v>
      </c>
      <c r="J8416" s="8">
        <v>3.6400000000000002E-2</v>
      </c>
    </row>
    <row r="8417" spans="1:10" x14ac:dyDescent="0.25">
      <c r="A8417" s="5" t="s">
        <v>8450</v>
      </c>
      <c r="B8417" s="5" t="s">
        <v>10284</v>
      </c>
      <c r="C8417" s="6" t="str">
        <f>_xll.QS.CONTEXT.CREATE("market.8415",A8417,"USD","SOFR")</f>
        <v>QSObject:PricingContext:w1~market.8415:2634</v>
      </c>
      <c r="D8417" s="6" t="str">
        <f>_xll.QS.CONTEXT.ADD.CURVE(C8417,"SOFR",$K$2:$K$7,$L$2:$L$7,,,"Actual360","LogLinear",TRUE)</f>
        <v>QSObject:ContextInput:w1~input.qs_context_add_curve.2359132437744.8416.3.0:31906</v>
      </c>
      <c r="E8417" s="6" t="str">
        <f>_xll.QS.INSTRUMENT.SWAP("swap.8415",H8417,B8417,"USD","SOFR",I8417,J8417,0,"Actual360","Simple","Annual","Annual","Annual")</f>
        <v>QSObject:Swap:w1~swap.8415:2633</v>
      </c>
      <c r="F8417" s="6" t="str">
        <f>_xll.QS.TRADE.CREATE("trade.8415",E8417,A8417,"Receive")</f>
        <v>QSObject:SwapTrade:w1~trade.8415:22238</v>
      </c>
      <c r="G8417" s="3">
        <f>_xll.QS.EVALUATE(C8417,F8417)</f>
        <v>37986.989721497099</v>
      </c>
      <c r="H8417" s="5" t="s">
        <v>8457</v>
      </c>
      <c r="I8417" s="7">
        <v>1841500</v>
      </c>
      <c r="J8417" s="8">
        <v>3.6499999999999998E-2</v>
      </c>
    </row>
    <row r="8418" spans="1:10" x14ac:dyDescent="0.25">
      <c r="A8418" s="5" t="s">
        <v>8451</v>
      </c>
      <c r="B8418" s="5" t="s">
        <v>10285</v>
      </c>
      <c r="C8418" s="6" t="str">
        <f>_xll.QS.CONTEXT.CREATE("market.8416",A8418,"USD","SOFR")</f>
        <v>QSObject:PricingContext:w1~market.8416:2632</v>
      </c>
      <c r="D8418" s="6" t="str">
        <f>_xll.QS.CONTEXT.ADD.CURVE(C8418,"SOFR",$K$2:$K$7,$L$2:$L$7,,,"Actual360","LogLinear",TRUE)</f>
        <v>QSObject:ContextInput:w1~input.qs_context_add_curve.2359132437744.8417.3.0:31905</v>
      </c>
      <c r="E8418" s="6" t="str">
        <f>_xll.QS.INSTRUMENT.SWAP("swap.8416",H8418,B8418,"USD","SOFR",I8418,J8418,0,"Actual360","Simple","Annual","Annual","Annual")</f>
        <v>QSObject:Swap:w1~swap.8416:2631</v>
      </c>
      <c r="F8418" s="6" t="str">
        <f>_xll.QS.TRADE.CREATE("trade.8416",E8418,A8418,"Receive")</f>
        <v>QSObject:SwapTrade:w1~trade.8416:22896</v>
      </c>
      <c r="G8418" s="3">
        <f>_xll.QS.EVALUATE(C8418,F8418)</f>
        <v>38972.265592174466</v>
      </c>
      <c r="H8418" s="5" t="s">
        <v>8458</v>
      </c>
      <c r="I8418" s="7">
        <v>1841600</v>
      </c>
      <c r="J8418" s="8">
        <v>3.6600000000000001E-2</v>
      </c>
    </row>
    <row r="8419" spans="1:10" x14ac:dyDescent="0.25">
      <c r="A8419" s="5" t="s">
        <v>8452</v>
      </c>
      <c r="B8419" s="5" t="s">
        <v>10286</v>
      </c>
      <c r="C8419" s="6" t="str">
        <f>_xll.QS.CONTEXT.CREATE("market.8417",A8419,"USD","SOFR")</f>
        <v>QSObject:PricingContext:w1~market.8417:2630</v>
      </c>
      <c r="D8419" s="6" t="str">
        <f>_xll.QS.CONTEXT.ADD.CURVE(C8419,"SOFR",$K$2:$K$7,$L$2:$L$7,,,"Actual360","LogLinear",TRUE)</f>
        <v>QSObject:ContextInput:w1~input.qs_context_add_curve.2359132437744.8418.3.0:31904</v>
      </c>
      <c r="E8419" s="6" t="str">
        <f>_xll.QS.INSTRUMENT.SWAP("swap.8417",H8419,B8419,"USD","SOFR",I8419,J8419,0,"Actual360","Simple","Annual","Annual","Annual")</f>
        <v>QSObject:Swap:w1~swap.8417:2629</v>
      </c>
      <c r="F8419" s="6" t="str">
        <f>_xll.QS.TRADE.CREATE("trade.8417",E8419,A8419,"Receive")</f>
        <v>QSObject:SwapTrade:w1~trade.8417:23406</v>
      </c>
      <c r="G8419" s="3">
        <f>_xll.QS.EVALUATE(C8419,F8419)</f>
        <v>39905.915480778509</v>
      </c>
      <c r="H8419" s="5" t="s">
        <v>8459</v>
      </c>
      <c r="I8419" s="7">
        <v>1841700</v>
      </c>
      <c r="J8419" s="8">
        <v>3.6700000000000003E-2</v>
      </c>
    </row>
    <row r="8420" spans="1:10" x14ac:dyDescent="0.25">
      <c r="A8420" s="5" t="s">
        <v>8453</v>
      </c>
      <c r="B8420" s="5" t="s">
        <v>10287</v>
      </c>
      <c r="C8420" s="6" t="str">
        <f>_xll.QS.CONTEXT.CREATE("market.8418",A8420,"USD","SOFR")</f>
        <v>QSObject:PricingContext:w1~market.8418:2628</v>
      </c>
      <c r="D8420" s="6" t="str">
        <f>_xll.QS.CONTEXT.ADD.CURVE(C8420,"SOFR",$K$2:$K$7,$L$2:$L$7,,,"Actual360","LogLinear",TRUE)</f>
        <v>QSObject:ContextInput:w1~input.qs_context_add_curve.2359132437744.8419.3.0:31903</v>
      </c>
      <c r="E8420" s="6" t="str">
        <f>_xll.QS.INSTRUMENT.SWAP("swap.8418",H8420,B8420,"USD","SOFR",I8420,J8420,0,"Actual360","Simple","Annual","Annual","Annual")</f>
        <v>QSObject:Swap:w1~swap.8418:2627</v>
      </c>
      <c r="F8420" s="6" t="str">
        <f>_xll.QS.TRADE.CREATE("trade.8418",E8420,A8420,"Receive")</f>
        <v>QSObject:SwapTrade:w1~trade.8418:22895</v>
      </c>
      <c r="G8420" s="3">
        <f>_xll.QS.EVALUATE(C8420,F8420)</f>
        <v>40758.686169236724</v>
      </c>
      <c r="H8420" s="5" t="s">
        <v>8460</v>
      </c>
      <c r="I8420" s="7">
        <v>1841800</v>
      </c>
      <c r="J8420" s="8">
        <v>3.6800000000000013E-2</v>
      </c>
    </row>
    <row r="8421" spans="1:10" x14ac:dyDescent="0.25">
      <c r="A8421" s="5" t="s">
        <v>8454</v>
      </c>
      <c r="B8421" s="5" t="s">
        <v>10288</v>
      </c>
      <c r="C8421" s="6" t="str">
        <f>_xll.QS.CONTEXT.CREATE("market.8419",A8421,"USD","SOFR")</f>
        <v>QSObject:PricingContext:w1~market.8419:2626</v>
      </c>
      <c r="D8421" s="6" t="str">
        <f>_xll.QS.CONTEXT.ADD.CURVE(C8421,"SOFR",$K$2:$K$7,$L$2:$L$7,,,"Actual360","LogLinear",TRUE)</f>
        <v>QSObject:ContextInput:w1~input.qs_context_add_curve.2359132437744.8420.3.0:31902</v>
      </c>
      <c r="E8421" s="6" t="str">
        <f>_xll.QS.INSTRUMENT.SWAP("swap.8419",H8421,B8421,"USD","SOFR",I8421,J8421,0,"Actual360","Simple","Annual","Annual","Annual")</f>
        <v>QSObject:Swap:w1~swap.8419:2625</v>
      </c>
      <c r="F8421" s="6" t="str">
        <f>_xll.QS.TRADE.CREATE("trade.8419",E8421,A8421,"Receive")</f>
        <v>QSObject:SwapTrade:w1~trade.8419:22237</v>
      </c>
      <c r="G8421" s="3">
        <f>_xll.QS.EVALUATE(C8421,F8421)</f>
        <v>41483.71323662786</v>
      </c>
      <c r="H8421" s="5" t="s">
        <v>8461</v>
      </c>
      <c r="I8421" s="7">
        <v>1841900</v>
      </c>
      <c r="J8421" s="8">
        <v>3.6900000000000002E-2</v>
      </c>
    </row>
    <row r="8422" spans="1:10" x14ac:dyDescent="0.25">
      <c r="A8422" s="5" t="s">
        <v>8455</v>
      </c>
      <c r="B8422" s="5" t="s">
        <v>10289</v>
      </c>
      <c r="C8422" s="6" t="str">
        <f>_xll.QS.CONTEXT.CREATE("market.8420",A8422,"USD","SOFR")</f>
        <v>QSObject:PricingContext:w1~market.8420:2624</v>
      </c>
      <c r="D8422" s="6" t="str">
        <f>_xll.QS.CONTEXT.ADD.CURVE(C8422,"SOFR",$K$2:$K$7,$L$2:$L$7,,,"Actual360","LogLinear",TRUE)</f>
        <v>QSObject:ContextInput:w1~input.qs_context_add_curve.2359132437744.8421.3.0:31901</v>
      </c>
      <c r="E8422" s="6" t="str">
        <f>_xll.QS.INSTRUMENT.SWAP("swap.8420",H8422,B8422,"USD","SOFR",I8422,J8422,0,"Actual360","Simple","Annual","Annual","Annual")</f>
        <v>QSObject:Swap:w1~swap.8420:2623</v>
      </c>
      <c r="F8422" s="6" t="str">
        <f>_xll.QS.TRADE.CREATE("trade.8420",E8422,A8422,"Receive")</f>
        <v>QSObject:SwapTrade:w1~trade.8420:22894</v>
      </c>
      <c r="G8422" s="3">
        <f>_xll.QS.EVALUATE(C8422,F8422)</f>
        <v>42190.615952595217</v>
      </c>
      <c r="H8422" s="5" t="s">
        <v>8462</v>
      </c>
      <c r="I8422" s="7">
        <v>1842000</v>
      </c>
      <c r="J8422" s="8">
        <v>3.7000000000000012E-2</v>
      </c>
    </row>
    <row r="8423" spans="1:10" x14ac:dyDescent="0.25">
      <c r="A8423" s="5" t="s">
        <v>8456</v>
      </c>
      <c r="B8423" s="5" t="s">
        <v>10290</v>
      </c>
      <c r="C8423" s="6" t="str">
        <f>_xll.QS.CONTEXT.CREATE("market.8421",A8423,"USD","SOFR")</f>
        <v>QSObject:PricingContext:w1~market.8421:2622</v>
      </c>
      <c r="D8423" s="6" t="str">
        <f>_xll.QS.CONTEXT.ADD.CURVE(C8423,"SOFR",$K$2:$K$7,$L$2:$L$7,,,"Actual360","LogLinear",TRUE)</f>
        <v>QSObject:ContextInput:w1~input.qs_context_add_curve.2359132437744.8422.3.0:31900</v>
      </c>
      <c r="E8423" s="6" t="str">
        <f>_xll.QS.INSTRUMENT.SWAP("swap.8421",H8423,B8423,"USD","SOFR",I8423,J8423,0,"Actual360","Simple","Annual","Annual","Annual")</f>
        <v>QSObject:Swap:w1~swap.8421:2621</v>
      </c>
      <c r="F8423" s="6" t="str">
        <f>_xll.QS.TRADE.CREATE("trade.8421",E8423,A8423,"Receive")</f>
        <v>QSObject:SwapTrade:w1~trade.8421:23405</v>
      </c>
      <c r="G8423" s="3">
        <f>_xll.QS.EVALUATE(C8423,F8423)</f>
        <v>43045.872306040663</v>
      </c>
      <c r="H8423" s="5" t="s">
        <v>8463</v>
      </c>
      <c r="I8423" s="7">
        <v>1842100</v>
      </c>
      <c r="J8423" s="8">
        <v>3.7100000000000001E-2</v>
      </c>
    </row>
    <row r="8424" spans="1:10" x14ac:dyDescent="0.25">
      <c r="A8424" s="5" t="s">
        <v>8457</v>
      </c>
      <c r="B8424" s="5" t="s">
        <v>10291</v>
      </c>
      <c r="C8424" s="6" t="str">
        <f>_xll.QS.CONTEXT.CREATE("market.8422",A8424,"USD","SOFR")</f>
        <v>QSObject:PricingContext:w1~market.8422:2620</v>
      </c>
      <c r="D8424" s="6" t="str">
        <f>_xll.QS.CONTEXT.ADD.CURVE(C8424,"SOFR",$K$2:$K$7,$L$2:$L$7,,,"Actual360","LogLinear",TRUE)</f>
        <v>QSObject:ContextInput:w1~input.qs_context_add_curve.2359132437744.8423.3.0:31899</v>
      </c>
      <c r="E8424" s="6" t="str">
        <f>_xll.QS.INSTRUMENT.SWAP("swap.8422",H8424,B8424,"USD","SOFR",I8424,J8424,0,"Actual360","Simple","Annual","Annual","Annual")</f>
        <v>QSObject:Swap:w1~swap.8422:2619</v>
      </c>
      <c r="F8424" s="6" t="str">
        <f>_xll.QS.TRADE.CREATE("trade.8422",E8424,A8424,"Receive")</f>
        <v>QSObject:SwapTrade:w1~trade.8422:22236</v>
      </c>
      <c r="G8424" s="3">
        <f>_xll.QS.EVALUATE(C8424,F8424)</f>
        <v>43947.187600669924</v>
      </c>
      <c r="H8424" s="5" t="s">
        <v>8464</v>
      </c>
      <c r="I8424" s="7">
        <v>1842200</v>
      </c>
      <c r="J8424" s="8">
        <v>3.7199999999999997E-2</v>
      </c>
    </row>
    <row r="8425" spans="1:10" x14ac:dyDescent="0.25">
      <c r="A8425" s="5" t="s">
        <v>8458</v>
      </c>
      <c r="B8425" s="5" t="s">
        <v>10292</v>
      </c>
      <c r="C8425" s="6" t="str">
        <f>_xll.QS.CONTEXT.CREATE("market.8423",A8425,"USD","SOFR")</f>
        <v>QSObject:PricingContext:w1~market.8423:2618</v>
      </c>
      <c r="D8425" s="6" t="str">
        <f>_xll.QS.CONTEXT.ADD.CURVE(C8425,"SOFR",$K$2:$K$7,$L$2:$L$7,,,"Actual360","LogLinear",TRUE)</f>
        <v>QSObject:ContextInput:w1~input.qs_context_add_curve.2359132437744.8424.3.0:31898</v>
      </c>
      <c r="E8425" s="6" t="str">
        <f>_xll.QS.INSTRUMENT.SWAP("swap.8423",H8425,B8425,"USD","SOFR",I8425,J8425,0,"Actual360","Simple","Annual","Annual","Annual")</f>
        <v>QSObject:Swap:w1~swap.8423:2617</v>
      </c>
      <c r="F8425" s="6" t="str">
        <f>_xll.QS.TRADE.CREATE("trade.8423",E8425,A8425,"Receive")</f>
        <v>QSObject:SwapTrade:w1~trade.8423:22893</v>
      </c>
      <c r="G8425" s="3">
        <f>_xll.QS.EVALUATE(C8425,F8425)</f>
        <v>44933.938689121394</v>
      </c>
      <c r="H8425" s="5" t="s">
        <v>8465</v>
      </c>
      <c r="I8425" s="7">
        <v>1842300</v>
      </c>
      <c r="J8425" s="8">
        <v>3.73E-2</v>
      </c>
    </row>
    <row r="8426" spans="1:10" x14ac:dyDescent="0.25">
      <c r="A8426" s="5" t="s">
        <v>8459</v>
      </c>
      <c r="B8426" s="5" t="s">
        <v>10293</v>
      </c>
      <c r="C8426" s="6" t="str">
        <f>_xll.QS.CONTEXT.CREATE("market.8424",A8426,"USD","SOFR")</f>
        <v>QSObject:PricingContext:w1~market.8424:2616</v>
      </c>
      <c r="D8426" s="6" t="str">
        <f>_xll.QS.CONTEXT.ADD.CURVE(C8426,"SOFR",$K$2:$K$7,$L$2:$L$7,,,"Actual360","LogLinear",TRUE)</f>
        <v>QSObject:ContextInput:w1~input.qs_context_add_curve.2359132437744.8425.3.0:31897</v>
      </c>
      <c r="E8426" s="6" t="str">
        <f>_xll.QS.INSTRUMENT.SWAP("swap.8424",H8426,B8426,"USD","SOFR",I8426,J8426,0,"Actual360","Simple","Annual","Annual","Annual")</f>
        <v>QSObject:Swap:w1~swap.8424:2615</v>
      </c>
      <c r="F8426" s="6" t="str">
        <f>_xll.QS.TRADE.CREATE("trade.8424",E8426,A8426,"Receive")</f>
        <v>QSObject:SwapTrade:w1~trade.8424:23404</v>
      </c>
      <c r="G8426" s="3">
        <f>_xll.QS.EVALUATE(C8426,F8426)</f>
        <v>45866.698745283931</v>
      </c>
      <c r="H8426" s="5" t="s">
        <v>8466</v>
      </c>
      <c r="I8426" s="7">
        <v>1842400</v>
      </c>
      <c r="J8426" s="8">
        <v>3.7400000000000003E-2</v>
      </c>
    </row>
    <row r="8427" spans="1:10" x14ac:dyDescent="0.25">
      <c r="A8427" s="5" t="s">
        <v>8460</v>
      </c>
      <c r="B8427" s="5" t="s">
        <v>10294</v>
      </c>
      <c r="C8427" s="6" t="str">
        <f>_xll.QS.CONTEXT.CREATE("market.8425",A8427,"USD","SOFR")</f>
        <v>QSObject:PricingContext:w1~market.8425:2614</v>
      </c>
      <c r="D8427" s="6" t="str">
        <f>_xll.QS.CONTEXT.ADD.CURVE(C8427,"SOFR",$K$2:$K$7,$L$2:$L$7,,,"Actual360","LogLinear",TRUE)</f>
        <v>QSObject:ContextInput:w1~input.qs_context_add_curve.2359132437744.8426.3.0:31896</v>
      </c>
      <c r="E8427" s="6" t="str">
        <f>_xll.QS.INSTRUMENT.SWAP("swap.8425",H8427,B8427,"USD","SOFR",I8427,J8427,0,"Actual360","Simple","Annual","Annual","Annual")</f>
        <v>QSObject:Swap:w1~swap.8425:2613</v>
      </c>
      <c r="F8427" s="6" t="str">
        <f>_xll.QS.TRADE.CREATE("trade.8425",E8427,A8427,"Receive")</f>
        <v>QSObject:SwapTrade:w1~trade.8425:23403</v>
      </c>
      <c r="G8427" s="3">
        <f>_xll.QS.EVALUATE(C8427,F8427)</f>
        <v>46647.34599079797</v>
      </c>
      <c r="H8427" s="5" t="s">
        <v>8467</v>
      </c>
      <c r="I8427" s="7">
        <v>1842500</v>
      </c>
      <c r="J8427" s="8">
        <v>3.7500000000000012E-2</v>
      </c>
    </row>
    <row r="8428" spans="1:10" x14ac:dyDescent="0.25">
      <c r="A8428" s="5" t="s">
        <v>8461</v>
      </c>
      <c r="B8428" s="5" t="s">
        <v>10295</v>
      </c>
      <c r="C8428" s="6" t="str">
        <f>_xll.QS.CONTEXT.CREATE("market.8426",A8428,"USD","SOFR")</f>
        <v>QSObject:PricingContext:w1~market.8426:2612</v>
      </c>
      <c r="D8428" s="6" t="str">
        <f>_xll.QS.CONTEXT.ADD.CURVE(C8428,"SOFR",$K$2:$K$7,$L$2:$L$7,,,"Actual360","LogLinear",TRUE)</f>
        <v>QSObject:ContextInput:w1~input.qs_context_add_curve.2359132437744.8427.3.0:31895</v>
      </c>
      <c r="E8428" s="6" t="str">
        <f>_xll.QS.INSTRUMENT.SWAP("swap.8426",H8428,B8428,"USD","SOFR",I8428,J8428,0,"Actual360","Simple","Annual","Annual","Annual")</f>
        <v>QSObject:Swap:w1~swap.8426:2611</v>
      </c>
      <c r="F8428" s="6" t="str">
        <f>_xll.QS.TRADE.CREATE("trade.8426",E8428,A8428,"Receive")</f>
        <v>QSObject:SwapTrade:w1~trade.8426:23402</v>
      </c>
      <c r="G8428" s="3">
        <f>_xll.QS.EVALUATE(C8428,F8428)</f>
        <v>47365.982335614288</v>
      </c>
      <c r="H8428" s="5" t="s">
        <v>8468</v>
      </c>
      <c r="I8428" s="7">
        <v>1842600</v>
      </c>
      <c r="J8428" s="8">
        <v>3.7600000000000001E-2</v>
      </c>
    </row>
    <row r="8429" spans="1:10" x14ac:dyDescent="0.25">
      <c r="A8429" s="5" t="s">
        <v>8462</v>
      </c>
      <c r="B8429" s="5" t="s">
        <v>10296</v>
      </c>
      <c r="C8429" s="6" t="str">
        <f>_xll.QS.CONTEXT.CREATE("market.8427",A8429,"USD","SOFR")</f>
        <v>QSObject:PricingContext:w1~market.8427:2610</v>
      </c>
      <c r="D8429" s="6" t="str">
        <f>_xll.QS.CONTEXT.ADD.CURVE(C8429,"SOFR",$K$2:$K$7,$L$2:$L$7,,,"Actual360","LogLinear",TRUE)</f>
        <v>QSObject:ContextInput:w1~input.qs_context_add_curve.2359132437744.8428.3.0:31894</v>
      </c>
      <c r="E8429" s="6" t="str">
        <f>_xll.QS.INSTRUMENT.SWAP("swap.8427",H8429,B8429,"USD","SOFR",I8429,J8429,0,"Actual360","Simple","Annual","Annual","Annual")</f>
        <v>QSObject:Swap:w1~swap.8427:2609</v>
      </c>
      <c r="F8429" s="6" t="str">
        <f>_xll.QS.TRADE.CREATE("trade.8427",E8429,A8429,"Receive")</f>
        <v>QSObject:SwapTrade:w1~trade.8427:22235</v>
      </c>
      <c r="G8429" s="3">
        <f>_xll.QS.EVALUATE(C8429,F8429)</f>
        <v>48082.933433454964</v>
      </c>
      <c r="H8429" s="5" t="s">
        <v>8469</v>
      </c>
      <c r="I8429" s="7">
        <v>1842700</v>
      </c>
      <c r="J8429" s="8">
        <v>3.7699999999999997E-2</v>
      </c>
    </row>
    <row r="8430" spans="1:10" x14ac:dyDescent="0.25">
      <c r="A8430" s="5" t="s">
        <v>8463</v>
      </c>
      <c r="B8430" s="5" t="s">
        <v>10297</v>
      </c>
      <c r="C8430" s="6" t="str">
        <f>_xll.QS.CONTEXT.CREATE("market.8428",A8430,"USD","SOFR")</f>
        <v>QSObject:PricingContext:w1~market.8428:2608</v>
      </c>
      <c r="D8430" s="6" t="str">
        <f>_xll.QS.CONTEXT.ADD.CURVE(C8430,"SOFR",$K$2:$K$7,$L$2:$L$7,,,"Actual360","LogLinear",TRUE)</f>
        <v>QSObject:ContextInput:w1~input.qs_context_add_curve.2359132437744.8429.3.0:31893</v>
      </c>
      <c r="E8430" s="6" t="str">
        <f>_xll.QS.INSTRUMENT.SWAP("swap.8428",H8430,B8430,"USD","SOFR",I8430,J8430,0,"Actual360","Simple","Annual","Annual","Annual")</f>
        <v>QSObject:Swap:w1~swap.8428:2607</v>
      </c>
      <c r="F8430" s="6" t="str">
        <f>_xll.QS.TRADE.CREATE("trade.8428",E8430,A8430,"Receive")</f>
        <v>QSObject:SwapTrade:w1~trade.8428:22892</v>
      </c>
      <c r="G8430" s="3">
        <f>_xll.QS.EVALUATE(C8430,F8430)</f>
        <v>49013.299997991882</v>
      </c>
      <c r="H8430" s="5" t="s">
        <v>8470</v>
      </c>
      <c r="I8430" s="7">
        <v>1842800</v>
      </c>
      <c r="J8430" s="8">
        <v>3.78E-2</v>
      </c>
    </row>
    <row r="8431" spans="1:10" x14ac:dyDescent="0.25">
      <c r="A8431" s="5" t="s">
        <v>8464</v>
      </c>
      <c r="B8431" s="5" t="s">
        <v>10298</v>
      </c>
      <c r="C8431" s="6" t="str">
        <f>_xll.QS.CONTEXT.CREATE("market.8429",A8431,"USD","SOFR")</f>
        <v>QSObject:PricingContext:w1~market.8429:2606</v>
      </c>
      <c r="D8431" s="6" t="str">
        <f>_xll.QS.CONTEXT.ADD.CURVE(C8431,"SOFR",$K$2:$K$7,$L$2:$L$7,,,"Actual360","LogLinear",TRUE)</f>
        <v>QSObject:ContextInput:w1~input.qs_context_add_curve.2359132437744.8430.3.0:31892</v>
      </c>
      <c r="E8431" s="6" t="str">
        <f>_xll.QS.INSTRUMENT.SWAP("swap.8429",H8431,B8431,"USD","SOFR",I8431,J8431,0,"Actual360","Simple","Annual","Annual","Annual")</f>
        <v>QSObject:Swap:w1~swap.8429:2605</v>
      </c>
      <c r="F8431" s="6" t="str">
        <f>_xll.QS.TRADE.CREATE("trade.8429",E8431,A8431,"Receive")</f>
        <v>QSObject:SwapTrade:w1~trade.8429:23401</v>
      </c>
      <c r="G8431" s="3">
        <f>_xll.QS.EVALUATE(C8431,F8431)</f>
        <v>49911.389499339646</v>
      </c>
      <c r="H8431" s="5" t="s">
        <v>8471</v>
      </c>
      <c r="I8431" s="7">
        <v>1842900</v>
      </c>
      <c r="J8431" s="8">
        <v>3.7900000000000003E-2</v>
      </c>
    </row>
    <row r="8432" spans="1:10" x14ac:dyDescent="0.25">
      <c r="A8432" s="5" t="s">
        <v>8465</v>
      </c>
      <c r="B8432" s="5" t="s">
        <v>10299</v>
      </c>
      <c r="C8432" s="6" t="str">
        <f>_xll.QS.CONTEXT.CREATE("market.8430",A8432,"USD","SOFR")</f>
        <v>QSObject:PricingContext:w1~market.8430:2604</v>
      </c>
      <c r="D8432" s="6" t="str">
        <f>_xll.QS.CONTEXT.ADD.CURVE(C8432,"SOFR",$K$2:$K$7,$L$2:$L$7,,,"Actual360","LogLinear",TRUE)</f>
        <v>QSObject:ContextInput:w1~input.qs_context_add_curve.2359132437744.8431.3.0:31891</v>
      </c>
      <c r="E8432" s="6" t="str">
        <f>_xll.QS.INSTRUMENT.SWAP("swap.8430",H8432,B8432,"USD","SOFR",I8432,J8432,0,"Actual360","Simple","Annual","Annual","Annual")</f>
        <v>QSObject:Swap:w1~swap.8430:2603</v>
      </c>
      <c r="F8432" s="6" t="str">
        <f>_xll.QS.TRADE.CREATE("trade.8430",E8432,A8432,"Receive")</f>
        <v>QSObject:SwapTrade:w1~trade.8430:23400</v>
      </c>
      <c r="G8432" s="3">
        <f>_xll.QS.EVALUATE(C8432,F8432)</f>
        <v>50899.901578948855</v>
      </c>
      <c r="H8432" s="5" t="s">
        <v>8472</v>
      </c>
      <c r="I8432" s="7">
        <v>1843000</v>
      </c>
      <c r="J8432" s="8">
        <v>3.8000000000000013E-2</v>
      </c>
    </row>
    <row r="8433" spans="1:10" x14ac:dyDescent="0.25">
      <c r="A8433" s="5" t="s">
        <v>8466</v>
      </c>
      <c r="B8433" s="5" t="s">
        <v>10300</v>
      </c>
      <c r="C8433" s="6" t="str">
        <f>_xll.QS.CONTEXT.CREATE("market.8431",A8433,"USD","SOFR")</f>
        <v>QSObject:PricingContext:w1~market.8431:2602</v>
      </c>
      <c r="D8433" s="6" t="str">
        <f>_xll.QS.CONTEXT.ADD.CURVE(C8433,"SOFR",$K$2:$K$7,$L$2:$L$7,,,"Actual360","LogLinear",TRUE)</f>
        <v>QSObject:ContextInput:w1~input.qs_context_add_curve.2359132437744.8432.3.0:31890</v>
      </c>
      <c r="E8433" s="6" t="str">
        <f>_xll.QS.INSTRUMENT.SWAP("swap.8431",H8433,B8433,"USD","SOFR",I8433,J8433,0,"Actual360","Simple","Annual","Annual","Annual")</f>
        <v>QSObject:Swap:w1~swap.8431:2601</v>
      </c>
      <c r="F8433" s="6" t="str">
        <f>_xll.QS.TRADE.CREATE("trade.8431",E8433,A8433,"Receive")</f>
        <v>QSObject:SwapTrade:w1~trade.8431:22891</v>
      </c>
      <c r="G8433" s="3">
        <f>_xll.QS.EVALUATE(C8433,F8433)</f>
        <v>51833.177373212166</v>
      </c>
      <c r="H8433" s="5" t="s">
        <v>8473</v>
      </c>
      <c r="I8433" s="7">
        <v>1843100</v>
      </c>
      <c r="J8433" s="8">
        <v>3.8100000000000002E-2</v>
      </c>
    </row>
    <row r="8434" spans="1:10" x14ac:dyDescent="0.25">
      <c r="A8434" s="5" t="s">
        <v>8467</v>
      </c>
      <c r="B8434" s="5" t="s">
        <v>10301</v>
      </c>
      <c r="C8434" s="6" t="str">
        <f>_xll.QS.CONTEXT.CREATE("market.8432",A8434,"USD","SOFR")</f>
        <v>QSObject:PricingContext:w1~market.8432:2600</v>
      </c>
      <c r="D8434" s="6" t="str">
        <f>_xll.QS.CONTEXT.ADD.CURVE(C8434,"SOFR",$K$2:$K$7,$L$2:$L$7,,,"Actual360","LogLinear",TRUE)</f>
        <v>QSObject:ContextInput:w1~input.qs_context_add_curve.2359132437744.8433.3.0:31889</v>
      </c>
      <c r="E8434" s="6" t="str">
        <f>_xll.QS.INSTRUMENT.SWAP("swap.8432",H8434,B8434,"USD","SOFR",I8434,J8434,0,"Actual360","Simple","Annual","Annual","Annual")</f>
        <v>QSObject:Swap:w1~swap.8432:2599</v>
      </c>
      <c r="F8434" s="6" t="str">
        <f>_xll.QS.TRADE.CREATE("trade.8432",E8434,A8434,"Receive")</f>
        <v>QSObject:SwapTrade:w1~trade.8432:23399</v>
      </c>
      <c r="G8434" s="3">
        <f>_xll.QS.EVALUATE(C8434,F8434)</f>
        <v>52614.870631844824</v>
      </c>
      <c r="H8434" s="5" t="s">
        <v>8474</v>
      </c>
      <c r="I8434" s="7">
        <v>1843200</v>
      </c>
      <c r="J8434" s="8">
        <v>3.8199999999999998E-2</v>
      </c>
    </row>
    <row r="8435" spans="1:10" x14ac:dyDescent="0.25">
      <c r="A8435" s="5" t="s">
        <v>8468</v>
      </c>
      <c r="B8435" s="5" t="s">
        <v>10302</v>
      </c>
      <c r="C8435" s="6" t="str">
        <f>_xll.QS.CONTEXT.CREATE("market.8433",A8435,"USD","SOFR")</f>
        <v>QSObject:PricingContext:w1~market.8433:2598</v>
      </c>
      <c r="D8435" s="6" t="str">
        <f>_xll.QS.CONTEXT.ADD.CURVE(C8435,"SOFR",$K$2:$K$7,$L$2:$L$7,,,"Actual360","LogLinear",TRUE)</f>
        <v>QSObject:ContextInput:w1~input.qs_context_add_curve.2359132437744.8434.3.0:31888</v>
      </c>
      <c r="E8435" s="6" t="str">
        <f>_xll.QS.INSTRUMENT.SWAP("swap.8433",H8435,B8435,"USD","SOFR",I8435,J8435,0,"Actual360","Simple","Annual","Annual","Annual")</f>
        <v>QSObject:Swap:w1~swap.8433:2597</v>
      </c>
      <c r="F8435" s="6" t="str">
        <f>_xll.QS.TRADE.CREATE("trade.8433",E8435,A8435,"Receive")</f>
        <v>QSObject:SwapTrade:w1~trade.8433:22890</v>
      </c>
      <c r="G8435" s="3">
        <f>_xll.QS.EVALUATE(C8435,F8435)</f>
        <v>53327.09491317581</v>
      </c>
      <c r="H8435" s="5" t="s">
        <v>8475</v>
      </c>
      <c r="I8435" s="7">
        <v>1843300</v>
      </c>
      <c r="J8435" s="8">
        <v>3.8300000000000001E-2</v>
      </c>
    </row>
    <row r="8436" spans="1:10" x14ac:dyDescent="0.25">
      <c r="A8436" s="5" t="s">
        <v>8469</v>
      </c>
      <c r="B8436" s="5" t="s">
        <v>10303</v>
      </c>
      <c r="C8436" s="6" t="str">
        <f>_xll.QS.CONTEXT.CREATE("market.8434",A8436,"USD","SOFR")</f>
        <v>QSObject:PricingContext:w1~market.8434:2596</v>
      </c>
      <c r="D8436" s="6" t="str">
        <f>_xll.QS.CONTEXT.ADD.CURVE(C8436,"SOFR",$K$2:$K$7,$L$2:$L$7,,,"Actual360","LogLinear",TRUE)</f>
        <v>QSObject:ContextInput:w1~input.qs_context_add_curve.2359132437744.8435.3.0:31887</v>
      </c>
      <c r="E8436" s="6" t="str">
        <f>_xll.QS.INSTRUMENT.SWAP("swap.8434",H8436,B8436,"USD","SOFR",I8436,J8436,0,"Actual360","Simple","Annual","Annual","Annual")</f>
        <v>QSObject:Swap:w1~swap.8434:2595</v>
      </c>
      <c r="F8436" s="6" t="str">
        <f>_xll.QS.TRADE.CREATE("trade.8434",E8436,A8436,"Receive")</f>
        <v>QSObject:SwapTrade:w1~trade.8434:22234</v>
      </c>
      <c r="G8436" s="3">
        <f>_xll.QS.EVALUATE(C8436,F8436)</f>
        <v>54053.864953802818</v>
      </c>
      <c r="H8436" s="5" t="s">
        <v>8476</v>
      </c>
      <c r="I8436" s="7">
        <v>1843400</v>
      </c>
      <c r="J8436" s="8">
        <v>3.8399999999999997E-2</v>
      </c>
    </row>
    <row r="8437" spans="1:10" x14ac:dyDescent="0.25">
      <c r="A8437" s="5" t="s">
        <v>8470</v>
      </c>
      <c r="B8437" s="5" t="s">
        <v>10304</v>
      </c>
      <c r="C8437" s="6" t="str">
        <f>_xll.QS.CONTEXT.CREATE("market.8435",A8437,"USD","SOFR")</f>
        <v>QSObject:PricingContext:w1~market.8435:2594</v>
      </c>
      <c r="D8437" s="6" t="str">
        <f>_xll.QS.CONTEXT.ADD.CURVE(C8437,"SOFR",$K$2:$K$7,$L$2:$L$7,,,"Actual360","LogLinear",TRUE)</f>
        <v>QSObject:ContextInput:w1~input.qs_context_add_curve.2359132437744.8436.3.0:31886</v>
      </c>
      <c r="E8437" s="6" t="str">
        <f>_xll.QS.INSTRUMENT.SWAP("swap.8435",H8437,B8437,"USD","SOFR",I8437,J8437,0,"Actual360","Simple","Annual","Annual","Annual")</f>
        <v>QSObject:Swap:w1~swap.8435:2593</v>
      </c>
      <c r="F8437" s="6" t="str">
        <f>_xll.QS.TRADE.CREATE("trade.8435",E8437,A8437,"Receive")</f>
        <v>QSObject:SwapTrade:w1~trade.8435:23398</v>
      </c>
      <c r="G8437" s="3">
        <f>_xll.QS.EVALUATE(C8437,F8437)</f>
        <v>54985.717806010529</v>
      </c>
      <c r="H8437" s="5" t="s">
        <v>8477</v>
      </c>
      <c r="I8437" s="7">
        <v>1843500</v>
      </c>
      <c r="J8437" s="8">
        <v>3.8500000000000013E-2</v>
      </c>
    </row>
    <row r="8438" spans="1:10" x14ac:dyDescent="0.25">
      <c r="A8438" s="5" t="s">
        <v>8471</v>
      </c>
      <c r="B8438" s="5" t="s">
        <v>10305</v>
      </c>
      <c r="C8438" s="6" t="str">
        <f>_xll.QS.CONTEXT.CREATE("market.8436",A8438,"USD","SOFR")</f>
        <v>QSObject:PricingContext:w1~market.8436:2592</v>
      </c>
      <c r="D8438" s="6" t="str">
        <f>_xll.QS.CONTEXT.ADD.CURVE(C8438,"SOFR",$K$2:$K$7,$L$2:$L$7,,,"Actual360","LogLinear",TRUE)</f>
        <v>QSObject:ContextInput:w1~input.qs_context_add_curve.2359132437744.8437.3.0:31885</v>
      </c>
      <c r="E8438" s="6" t="str">
        <f>_xll.QS.INSTRUMENT.SWAP("swap.8436",H8438,B8438,"USD","SOFR",I8438,J8438,0,"Actual360","Simple","Annual","Annual","Annual")</f>
        <v>QSObject:Swap:w1~swap.8436:2591</v>
      </c>
      <c r="F8438" s="6" t="str">
        <f>_xll.QS.TRADE.CREATE("trade.8436",E8438,A8438,"Receive")</f>
        <v>QSObject:SwapTrade:w1~trade.8436:22889</v>
      </c>
      <c r="G8438" s="3">
        <f>_xll.QS.EVALUATE(C8438,F8438)</f>
        <v>55882.588377649154</v>
      </c>
      <c r="H8438" s="5" t="s">
        <v>8478</v>
      </c>
      <c r="I8438" s="7">
        <v>1843600</v>
      </c>
      <c r="J8438" s="8">
        <v>3.8600000000000002E-2</v>
      </c>
    </row>
    <row r="8439" spans="1:10" x14ac:dyDescent="0.25">
      <c r="A8439" s="5" t="s">
        <v>8472</v>
      </c>
      <c r="B8439" s="5" t="s">
        <v>10306</v>
      </c>
      <c r="C8439" s="6" t="str">
        <f>_xll.QS.CONTEXT.CREATE("market.8437",A8439,"USD","SOFR")</f>
        <v>QSObject:PricingContext:w1~market.8437:2590</v>
      </c>
      <c r="D8439" s="6" t="str">
        <f>_xll.QS.CONTEXT.ADD.CURVE(C8439,"SOFR",$K$2:$K$7,$L$2:$L$7,,,"Actual360","LogLinear",TRUE)</f>
        <v>QSObject:ContextInput:w1~input.qs_context_add_curve.2359132437744.8438.3.0:31884</v>
      </c>
      <c r="E8439" s="6" t="str">
        <f>_xll.QS.INSTRUMENT.SWAP("swap.8437",H8439,B8439,"USD","SOFR",I8439,J8439,0,"Actual360","Simple","Annual","Annual","Annual")</f>
        <v>QSObject:Swap:w1~swap.8437:2589</v>
      </c>
      <c r="F8439" s="6" t="str">
        <f>_xll.QS.TRADE.CREATE("trade.8437",E8439,A8439,"Receive")</f>
        <v>QSObject:SwapTrade:w1~trade.8437:22233</v>
      </c>
      <c r="G8439" s="3">
        <f>_xll.QS.EVALUATE(C8439,F8439)</f>
        <v>56870.493605828189</v>
      </c>
      <c r="H8439" s="5" t="s">
        <v>8479</v>
      </c>
      <c r="I8439" s="7">
        <v>1843700</v>
      </c>
      <c r="J8439" s="8">
        <v>3.8700000000000012E-2</v>
      </c>
    </row>
    <row r="8440" spans="1:10" x14ac:dyDescent="0.25">
      <c r="A8440" s="5" t="s">
        <v>8473</v>
      </c>
      <c r="B8440" s="5" t="s">
        <v>10307</v>
      </c>
      <c r="C8440" s="6" t="str">
        <f>_xll.QS.CONTEXT.CREATE("market.8438",A8440,"USD","SOFR")</f>
        <v>QSObject:PricingContext:w1~market.8438:2588</v>
      </c>
      <c r="D8440" s="6" t="str">
        <f>_xll.QS.CONTEXT.ADD.CURVE(C8440,"SOFR",$K$2:$K$7,$L$2:$L$7,,,"Actual360","LogLinear",TRUE)</f>
        <v>QSObject:ContextInput:w1~input.qs_context_add_curve.2359132437744.8439.3.0:31883</v>
      </c>
      <c r="E8440" s="6" t="str">
        <f>_xll.QS.INSTRUMENT.SWAP("swap.8438",H8440,B8440,"USD","SOFR",I8440,J8440,0,"Actual360","Simple","Annual","Annual","Annual")</f>
        <v>QSObject:Swap:w1~swap.8438:2587</v>
      </c>
      <c r="F8440" s="6" t="str">
        <f>_xll.QS.TRADE.CREATE("trade.8438",E8440,A8440,"Receive")</f>
        <v>QSObject:SwapTrade:w1~trade.8438:22232</v>
      </c>
      <c r="G8440" s="3">
        <f>_xll.QS.EVALUATE(C8440,F8440)</f>
        <v>57804.433188579969</v>
      </c>
      <c r="H8440" s="5" t="s">
        <v>8480</v>
      </c>
      <c r="I8440" s="7">
        <v>1843800</v>
      </c>
      <c r="J8440" s="8">
        <v>3.8800000000000001E-2</v>
      </c>
    </row>
    <row r="8441" spans="1:10" x14ac:dyDescent="0.25">
      <c r="A8441" s="5" t="s">
        <v>8474</v>
      </c>
      <c r="B8441" s="5" t="s">
        <v>10308</v>
      </c>
      <c r="C8441" s="6" t="str">
        <f>_xll.QS.CONTEXT.CREATE("market.8439",A8441,"USD","SOFR")</f>
        <v>QSObject:PricingContext:w1~market.8439:2586</v>
      </c>
      <c r="D8441" s="6" t="str">
        <f>_xll.QS.CONTEXT.ADD.CURVE(C8441,"SOFR",$K$2:$K$7,$L$2:$L$7,,,"Actual360","LogLinear",TRUE)</f>
        <v>QSObject:ContextInput:w1~input.qs_context_add_curve.2359132437744.8440.3.0:31882</v>
      </c>
      <c r="E8441" s="6" t="str">
        <f>_xll.QS.INSTRUMENT.SWAP("swap.8439",H8441,B8441,"USD","SOFR",I8441,J8441,0,"Actual360","Simple","Annual","Annual","Annual")</f>
        <v>QSObject:Swap:w1~swap.8439:2585</v>
      </c>
      <c r="F8441" s="6" t="str">
        <f>_xll.QS.TRADE.CREATE("trade.8439",E8441,A8441,"Receive")</f>
        <v>QSObject:SwapTrade:w1~trade.8439:22888</v>
      </c>
      <c r="G8441" s="3">
        <f>_xll.QS.EVALUATE(C8441,F8441)</f>
        <v>58586.206979998424</v>
      </c>
      <c r="H8441" s="5" t="s">
        <v>8481</v>
      </c>
      <c r="I8441" s="7">
        <v>1843900</v>
      </c>
      <c r="J8441" s="8">
        <v>3.8899999999999997E-2</v>
      </c>
    </row>
    <row r="8442" spans="1:10" x14ac:dyDescent="0.25">
      <c r="A8442" s="5" t="s">
        <v>8475</v>
      </c>
      <c r="B8442" s="5" t="s">
        <v>10309</v>
      </c>
      <c r="C8442" s="6" t="str">
        <f>_xll.QS.CONTEXT.CREATE("market.8440",A8442,"USD","SOFR")</f>
        <v>QSObject:PricingContext:w1~market.8440:2584</v>
      </c>
      <c r="D8442" s="6" t="str">
        <f>_xll.QS.CONTEXT.ADD.CURVE(C8442,"SOFR",$K$2:$K$7,$L$2:$L$7,,,"Actual360","LogLinear",TRUE)</f>
        <v>QSObject:ContextInput:w1~input.qs_context_add_curve.2359132437744.8441.3.0:31881</v>
      </c>
      <c r="E8442" s="6" t="str">
        <f>_xll.QS.INSTRUMENT.SWAP("swap.8440",H8442,B8442,"USD","SOFR",I8442,J8442,0,"Actual360","Simple","Annual","Annual","Annual")</f>
        <v>QSObject:Swap:w1~swap.8440:2583</v>
      </c>
      <c r="F8442" s="6" t="str">
        <f>_xll.QS.TRADE.CREATE("trade.8440",E8442,A8442,"Receive")</f>
        <v>QSObject:SwapTrade:w1~trade.8440:23397</v>
      </c>
      <c r="G8442" s="3">
        <f>_xll.QS.EVALUATE(C8442,F8442)</f>
        <v>59254.832084173824</v>
      </c>
      <c r="H8442" s="5" t="s">
        <v>8482</v>
      </c>
      <c r="I8442" s="7">
        <v>1844000</v>
      </c>
      <c r="J8442" s="8">
        <v>3.9000000000000007E-2</v>
      </c>
    </row>
    <row r="8443" spans="1:10" x14ac:dyDescent="0.25">
      <c r="A8443" s="5" t="s">
        <v>8476</v>
      </c>
      <c r="B8443" s="5" t="s">
        <v>10310</v>
      </c>
      <c r="C8443" s="6" t="str">
        <f>_xll.QS.CONTEXT.CREATE("market.8441",A8443,"USD","SOFR")</f>
        <v>QSObject:PricingContext:w1~market.8441:2582</v>
      </c>
      <c r="D8443" s="6" t="str">
        <f>_xll.QS.CONTEXT.ADD.CURVE(C8443,"SOFR",$K$2:$K$7,$L$2:$L$7,,,"Actual360","LogLinear",TRUE)</f>
        <v>QSObject:ContextInput:w1~input.qs_context_add_curve.2359132437744.8442.3.0:31880</v>
      </c>
      <c r="E8443" s="6" t="str">
        <f>_xll.QS.INSTRUMENT.SWAP("swap.8441",H8443,B8443,"USD","SOFR",I8443,J8443,0,"Actual360","Simple","Annual","Annual","Annual")</f>
        <v>QSObject:Swap:w1~swap.8441:2581</v>
      </c>
      <c r="F8443" s="6" t="str">
        <f>_xll.QS.TRADE.CREATE("trade.8441",E8443,A8443,"Receive")</f>
        <v>QSObject:SwapTrade:w1~trade.8441:23396</v>
      </c>
      <c r="G8443" s="3">
        <f>_xll.QS.EVALUATE(C8443,F8443)</f>
        <v>59950.706007671848</v>
      </c>
      <c r="H8443" s="5" t="s">
        <v>8483</v>
      </c>
      <c r="I8443" s="7">
        <v>1844100</v>
      </c>
      <c r="J8443" s="8">
        <v>3.9100000000000003E-2</v>
      </c>
    </row>
    <row r="8444" spans="1:10" x14ac:dyDescent="0.25">
      <c r="A8444" s="5" t="s">
        <v>8477</v>
      </c>
      <c r="B8444" s="5" t="s">
        <v>10311</v>
      </c>
      <c r="C8444" s="6" t="str">
        <f>_xll.QS.CONTEXT.CREATE("market.8442",A8444,"USD","SOFR")</f>
        <v>QSObject:PricingContext:w1~market.8442:2580</v>
      </c>
      <c r="D8444" s="6" t="str">
        <f>_xll.QS.CONTEXT.ADD.CURVE(C8444,"SOFR",$K$2:$K$7,$L$2:$L$7,,,"Actual360","LogLinear",TRUE)</f>
        <v>QSObject:ContextInput:w1~input.qs_context_add_curve.2359132437744.8443.3.0:31879</v>
      </c>
      <c r="E8444" s="6" t="str">
        <f>_xll.QS.INSTRUMENT.SWAP("swap.8442",H8444,B8444,"USD","SOFR",I8444,J8444,0,"Actual360","Simple","Annual","Annual","Annual")</f>
        <v>QSObject:Swap:w1~swap.8442:2579</v>
      </c>
      <c r="F8444" s="6" t="str">
        <f>_xll.QS.TRADE.CREATE("trade.8442",E8444,A8444,"Receive")</f>
        <v>QSObject:SwapTrade:w1~trade.8442:22231</v>
      </c>
      <c r="G8444" s="3">
        <f>_xll.QS.EVALUATE(C8444,F8444)</f>
        <v>60884.420443889132</v>
      </c>
      <c r="H8444" s="5" t="s">
        <v>8484</v>
      </c>
      <c r="I8444" s="7">
        <v>1844200</v>
      </c>
      <c r="J8444" s="8">
        <v>3.9200000000000013E-2</v>
      </c>
    </row>
    <row r="8445" spans="1:10" x14ac:dyDescent="0.25">
      <c r="A8445" s="5" t="s">
        <v>8478</v>
      </c>
      <c r="B8445" s="5" t="s">
        <v>10312</v>
      </c>
      <c r="C8445" s="6" t="str">
        <f>_xll.QS.CONTEXT.CREATE("market.8443",A8445,"USD","SOFR")</f>
        <v>QSObject:PricingContext:w1~market.8443:2578</v>
      </c>
      <c r="D8445" s="6" t="str">
        <f>_xll.QS.CONTEXT.ADD.CURVE(C8445,"SOFR",$K$2:$K$7,$L$2:$L$7,,,"Actual360","LogLinear",TRUE)</f>
        <v>QSObject:ContextInput:w1~input.qs_context_add_curve.2359132437744.8444.3.0:31878</v>
      </c>
      <c r="E8445" s="6" t="str">
        <f>_xll.QS.INSTRUMENT.SWAP("swap.8443",H8445,B8445,"USD","SOFR",I8445,J8445,0,"Actual360","Simple","Annual","Annual","Annual")</f>
        <v>QSObject:Swap:w1~swap.8443:2577</v>
      </c>
      <c r="F8445" s="6" t="str">
        <f>_xll.QS.TRADE.CREATE("trade.8443",E8445,A8445,"Receive")</f>
        <v>QSObject:SwapTrade:w1~trade.8443:23395</v>
      </c>
      <c r="G8445" s="3">
        <f>_xll.QS.EVALUATE(C8445,F8445)</f>
        <v>61818.270460083688</v>
      </c>
      <c r="H8445" s="5" t="s">
        <v>8485</v>
      </c>
      <c r="I8445" s="7">
        <v>1844300</v>
      </c>
      <c r="J8445" s="8">
        <v>3.9300000000000002E-2</v>
      </c>
    </row>
    <row r="8446" spans="1:10" x14ac:dyDescent="0.25">
      <c r="A8446" s="5" t="s">
        <v>8479</v>
      </c>
      <c r="B8446" s="5" t="s">
        <v>10313</v>
      </c>
      <c r="C8446" s="6" t="str">
        <f>_xll.QS.CONTEXT.CREATE("market.8444",A8446,"USD","SOFR")</f>
        <v>QSObject:PricingContext:w1~market.8444:2576</v>
      </c>
      <c r="D8446" s="6" t="str">
        <f>_xll.QS.CONTEXT.ADD.CURVE(C8446,"SOFR",$K$2:$K$7,$L$2:$L$7,,,"Actual360","LogLinear",TRUE)</f>
        <v>QSObject:ContextInput:w1~input.qs_context_add_curve.2359132437744.8445.3.0:31877</v>
      </c>
      <c r="E8446" s="6" t="str">
        <f>_xll.QS.INSTRUMENT.SWAP("swap.8444",H8446,B8446,"USD","SOFR",I8446,J8446,0,"Actual360","Simple","Annual","Annual","Annual")</f>
        <v>QSObject:Swap:w1~swap.8444:2575</v>
      </c>
      <c r="F8446" s="6" t="str">
        <f>_xll.QS.TRADE.CREATE("trade.8444",E8446,A8446,"Receive")</f>
        <v>QSObject:SwapTrade:w1~trade.8444:22887</v>
      </c>
      <c r="G8446" s="3">
        <f>_xll.QS.EVALUATE(C8446,F8446)</f>
        <v>62914.332341974638</v>
      </c>
      <c r="H8446" s="5" t="s">
        <v>8486</v>
      </c>
      <c r="I8446" s="7">
        <v>1844400</v>
      </c>
      <c r="J8446" s="8">
        <v>3.9399999999999998E-2</v>
      </c>
    </row>
    <row r="8447" spans="1:10" x14ac:dyDescent="0.25">
      <c r="A8447" s="5" t="s">
        <v>8480</v>
      </c>
      <c r="B8447" s="5" t="s">
        <v>10314</v>
      </c>
      <c r="C8447" s="6" t="str">
        <f>_xll.QS.CONTEXT.CREATE("market.8445",A8447,"USD","SOFR")</f>
        <v>QSObject:PricingContext:w1~market.8445:2574</v>
      </c>
      <c r="D8447" s="6" t="str">
        <f>_xll.QS.CONTEXT.ADD.CURVE(C8447,"SOFR",$K$2:$K$7,$L$2:$L$7,,,"Actual360","LogLinear",TRUE)</f>
        <v>QSObject:ContextInput:w1~input.qs_context_add_curve.2359132437744.8446.3.0:31876</v>
      </c>
      <c r="E8447" s="6" t="str">
        <f>_xll.QS.INSTRUMENT.SWAP("swap.8445",H8447,B8447,"USD","SOFR",I8447,J8447,0,"Actual360","Simple","Annual","Annual","Annual")</f>
        <v>QSObject:Swap:w1~swap.8445:2573</v>
      </c>
      <c r="F8447" s="6" t="str">
        <f>_xll.QS.TRADE.CREATE("trade.8445",E8447,A8447,"Receive")</f>
        <v>QSObject:SwapTrade:w1~trade.8445:23394</v>
      </c>
      <c r="G8447" s="3">
        <f>_xll.QS.EVALUATE(C8447,F8447)</f>
        <v>63785.210467031582</v>
      </c>
      <c r="H8447" s="5" t="s">
        <v>8487</v>
      </c>
      <c r="I8447" s="7">
        <v>1844500</v>
      </c>
      <c r="J8447" s="8">
        <v>3.9500000000000007E-2</v>
      </c>
    </row>
    <row r="8448" spans="1:10" x14ac:dyDescent="0.25">
      <c r="A8448" s="5" t="s">
        <v>8481</v>
      </c>
      <c r="B8448" s="5" t="s">
        <v>10315</v>
      </c>
      <c r="C8448" s="6" t="str">
        <f>_xll.QS.CONTEXT.CREATE("market.8446",A8448,"USD","SOFR")</f>
        <v>QSObject:PricingContext:w1~market.8446:2572</v>
      </c>
      <c r="D8448" s="6" t="str">
        <f>_xll.QS.CONTEXT.ADD.CURVE(C8448,"SOFR",$K$2:$K$7,$L$2:$L$7,,,"Actual360","LogLinear",TRUE)</f>
        <v>QSObject:ContextInput:w1~input.qs_context_add_curve.2359132437744.8447.3.0:31875</v>
      </c>
      <c r="E8448" s="6" t="str">
        <f>_xll.QS.INSTRUMENT.SWAP("swap.8446",H8448,B8448,"USD","SOFR",I8448,J8448,0,"Actual360","Simple","Annual","Annual","Annual")</f>
        <v>QSObject:Swap:w1~swap.8446:2571</v>
      </c>
      <c r="F8448" s="6" t="str">
        <f>_xll.QS.TRADE.CREATE("trade.8446",E8448,A8448,"Receive")</f>
        <v>QSObject:SwapTrade:w1~trade.8446:22230</v>
      </c>
      <c r="G8448" s="3">
        <f>_xll.QS.EVALUATE(C8448,F8448)</f>
        <v>64638.346515636236</v>
      </c>
      <c r="H8448" s="5" t="s">
        <v>8488</v>
      </c>
      <c r="I8448" s="7">
        <v>1844600</v>
      </c>
      <c r="J8448" s="8">
        <v>3.9600000000000003E-2</v>
      </c>
    </row>
    <row r="8449" spans="1:10" x14ac:dyDescent="0.25">
      <c r="A8449" s="5" t="s">
        <v>8482</v>
      </c>
      <c r="B8449" s="5" t="s">
        <v>10316</v>
      </c>
      <c r="C8449" s="6" t="str">
        <f>_xll.QS.CONTEXT.CREATE("market.8447",A8449,"USD","SOFR")</f>
        <v>QSObject:PricingContext:w1~market.8447:2570</v>
      </c>
      <c r="D8449" s="6" t="str">
        <f>_xll.QS.CONTEXT.ADD.CURVE(C8449,"SOFR",$K$2:$K$7,$L$2:$L$7,,,"Actual360","LogLinear",TRUE)</f>
        <v>QSObject:ContextInput:w1~input.qs_context_add_curve.2359132437744.8448.3.0:31874</v>
      </c>
      <c r="E8449" s="6" t="str">
        <f>_xll.QS.INSTRUMENT.SWAP("swap.8447",H8449,B8449,"USD","SOFR",I8449,J8449,0,"Actual360","Simple","Annual","Annual","Annual")</f>
        <v>QSObject:Swap:w1~swap.8447:2569</v>
      </c>
      <c r="F8449" s="6" t="str">
        <f>_xll.QS.TRADE.CREATE("trade.8447",E8449,A8449,"Receive")</f>
        <v>QSObject:SwapTrade:w1~trade.8447:23393</v>
      </c>
      <c r="G8449" s="3">
        <f>_xll.QS.EVALUATE(C8449,F8449)</f>
        <v>65337.734703119153</v>
      </c>
      <c r="H8449" s="5" t="s">
        <v>8489</v>
      </c>
      <c r="I8449" s="7">
        <v>1844700</v>
      </c>
      <c r="J8449" s="8">
        <v>3.9700000000000013E-2</v>
      </c>
    </row>
    <row r="8450" spans="1:10" x14ac:dyDescent="0.25">
      <c r="A8450" s="5" t="s">
        <v>8483</v>
      </c>
      <c r="B8450" s="5" t="s">
        <v>10317</v>
      </c>
      <c r="C8450" s="6" t="str">
        <f>_xll.QS.CONTEXT.CREATE("market.8448",A8450,"USD","SOFR")</f>
        <v>QSObject:PricingContext:w1~market.8448:2568</v>
      </c>
      <c r="D8450" s="6" t="str">
        <f>_xll.QS.CONTEXT.ADD.CURVE(C8450,"SOFR",$K$2:$K$7,$L$2:$L$7,,,"Actual360","LogLinear",TRUE)</f>
        <v>QSObject:ContextInput:w1~input.qs_context_add_curve.2359132437744.8449.3.0:31873</v>
      </c>
      <c r="E8450" s="6" t="str">
        <f>_xll.QS.INSTRUMENT.SWAP("swap.8448",H8450,B8450,"USD","SOFR",I8450,J8450,0,"Actual360","Simple","Annual","Annual","Annual")</f>
        <v>QSObject:Swap:w1~swap.8448:2567</v>
      </c>
      <c r="F8450" s="6" t="str">
        <f>_xll.QS.TRADE.CREATE("trade.8448",E8450,A8450,"Receive")</f>
        <v>QSObject:SwapTrade:w1~trade.8448:22229</v>
      </c>
      <c r="G8450" s="3">
        <f>_xll.QS.EVALUATE(C8450,F8450)</f>
        <v>66083.975956967741</v>
      </c>
      <c r="H8450" s="5" t="s">
        <v>8490</v>
      </c>
      <c r="I8450" s="7">
        <v>1844800</v>
      </c>
      <c r="J8450" s="8">
        <v>3.9800000000000002E-2</v>
      </c>
    </row>
    <row r="8451" spans="1:10" x14ac:dyDescent="0.25">
      <c r="A8451" s="5" t="s">
        <v>8484</v>
      </c>
      <c r="B8451" s="5" t="s">
        <v>10318</v>
      </c>
      <c r="C8451" s="6" t="str">
        <f>_xll.QS.CONTEXT.CREATE("market.8449",A8451,"USD","SOFR")</f>
        <v>QSObject:PricingContext:w1~market.8449:2566</v>
      </c>
      <c r="D8451" s="6" t="str">
        <f>_xll.QS.CONTEXT.ADD.CURVE(C8451,"SOFR",$K$2:$K$7,$L$2:$L$7,,,"Actual360","LogLinear",TRUE)</f>
        <v>QSObject:ContextInput:w1~input.qs_context_add_curve.2359132437744.8450.3.0:31872</v>
      </c>
      <c r="E8451" s="6" t="str">
        <f>_xll.QS.INSTRUMENT.SWAP("swap.8449",H8451,B8451,"USD","SOFR",I8451,J8451,0,"Actual360","Simple","Annual","Annual","Annual")</f>
        <v>QSObject:Swap:w1~swap.8449:2565</v>
      </c>
      <c r="F8451" s="6" t="str">
        <f>_xll.QS.TRADE.CREATE("trade.8449",E8451,A8451,"Receive")</f>
        <v>QSObject:SwapTrade:w1~trade.8449:22886</v>
      </c>
      <c r="G8451" s="3">
        <f>_xll.QS.EVALUATE(C8451,F8451)</f>
        <v>66943.805080420163</v>
      </c>
      <c r="H8451" s="5" t="s">
        <v>8491</v>
      </c>
      <c r="I8451" s="7">
        <v>1844900</v>
      </c>
      <c r="J8451" s="8">
        <v>3.9899999999999998E-2</v>
      </c>
    </row>
    <row r="8452" spans="1:10" x14ac:dyDescent="0.25">
      <c r="A8452" s="5" t="s">
        <v>8485</v>
      </c>
      <c r="B8452" s="5" t="s">
        <v>10319</v>
      </c>
      <c r="C8452" s="6" t="str">
        <f>_xll.QS.CONTEXT.CREATE("market.8450",A8452,"USD","SOFR")</f>
        <v>QSObject:PricingContext:w1~market.8450:2564</v>
      </c>
      <c r="D8452" s="6" t="str">
        <f>_xll.QS.CONTEXT.ADD.CURVE(C8452,"SOFR",$K$2:$K$7,$L$2:$L$7,,,"Actual360","LogLinear",TRUE)</f>
        <v>QSObject:ContextInput:w1~input.qs_context_add_curve.2359132437744.8451.3.0:31871</v>
      </c>
      <c r="E8452" s="6" t="str">
        <f>_xll.QS.INSTRUMENT.SWAP("swap.8450",H8452,B8452,"USD","SOFR",I8452,J8452,0,"Actual360","Simple","Annual","Annual","Annual")</f>
        <v>QSObject:Swap:w1~swap.8450:2563</v>
      </c>
      <c r="F8452" s="6" t="str">
        <f>_xll.QS.TRADE.CREATE("trade.8450",E8452,A8452,"Receive")</f>
        <v>QSObject:SwapTrade:w1~trade.8450:23392</v>
      </c>
      <c r="G8452" s="3">
        <f>_xll.QS.EVALUATE(C8452,F8452)</f>
        <v>25296.634324604602</v>
      </c>
      <c r="H8452" s="5" t="s">
        <v>8492</v>
      </c>
      <c r="I8452" s="7">
        <v>1845000</v>
      </c>
      <c r="J8452" s="8">
        <v>3.5000000000000003E-2</v>
      </c>
    </row>
    <row r="8453" spans="1:10" x14ac:dyDescent="0.25">
      <c r="A8453" s="5" t="s">
        <v>8486</v>
      </c>
      <c r="B8453" s="5" t="s">
        <v>10320</v>
      </c>
      <c r="C8453" s="6" t="str">
        <f>_xll.QS.CONTEXT.CREATE("market.8451",A8453,"USD","SOFR")</f>
        <v>QSObject:PricingContext:w1~market.8451:2562</v>
      </c>
      <c r="D8453" s="6" t="str">
        <f>_xll.QS.CONTEXT.ADD.CURVE(C8453,"SOFR",$K$2:$K$7,$L$2:$L$7,,,"Actual360","LogLinear",TRUE)</f>
        <v>QSObject:ContextInput:w1~input.qs_context_add_curve.2359132437744.8452.3.0:31870</v>
      </c>
      <c r="E8453" s="6" t="str">
        <f>_xll.QS.INSTRUMENT.SWAP("swap.8451",H8453,B8453,"USD","SOFR",I8453,J8453,0,"Actual360","Simple","Annual","Annual","Annual")</f>
        <v>QSObject:Swap:w1~swap.8451:2561</v>
      </c>
      <c r="F8453" s="6" t="str">
        <f>_xll.QS.TRADE.CREATE("trade.8451",E8453,A8453,"Receive")</f>
        <v>QSObject:SwapTrade:w1~trade.8451:22885</v>
      </c>
      <c r="G8453" s="3">
        <f>_xll.QS.EVALUATE(C8453,F8453)</f>
        <v>26283.325625502956</v>
      </c>
      <c r="H8453" s="5" t="s">
        <v>8493</v>
      </c>
      <c r="I8453" s="7">
        <v>1845100</v>
      </c>
      <c r="J8453" s="8">
        <v>3.5100000000000013E-2</v>
      </c>
    </row>
    <row r="8454" spans="1:10" x14ac:dyDescent="0.25">
      <c r="A8454" s="5" t="s">
        <v>8487</v>
      </c>
      <c r="B8454" s="5" t="s">
        <v>10321</v>
      </c>
      <c r="C8454" s="6" t="str">
        <f>_xll.QS.CONTEXT.CREATE("market.8452",A8454,"USD","SOFR")</f>
        <v>QSObject:PricingContext:w1~market.8452:2560</v>
      </c>
      <c r="D8454" s="6" t="str">
        <f>_xll.QS.CONTEXT.ADD.CURVE(C8454,"SOFR",$K$2:$K$7,$L$2:$L$7,,,"Actual360","LogLinear",TRUE)</f>
        <v>QSObject:ContextInput:w1~input.qs_context_add_curve.2359132437744.8453.3.0:31869</v>
      </c>
      <c r="E8454" s="6" t="str">
        <f>_xll.QS.INSTRUMENT.SWAP("swap.8452",H8454,B8454,"USD","SOFR",I8454,J8454,0,"Actual360","Simple","Annual","Annual","Annual")</f>
        <v>QSObject:Swap:w1~swap.8452:2559</v>
      </c>
      <c r="F8454" s="6" t="str">
        <f>_xll.QS.TRADE.CREATE("trade.8452",E8454,A8454,"Receive")</f>
        <v>QSObject:SwapTrade:w1~trade.8452:22228</v>
      </c>
      <c r="G8454" s="3">
        <f>_xll.QS.EVALUATE(C8454,F8454)</f>
        <v>27216.297579221231</v>
      </c>
      <c r="H8454" s="5" t="s">
        <v>8494</v>
      </c>
      <c r="I8454" s="7">
        <v>1845200</v>
      </c>
      <c r="J8454" s="8">
        <v>3.5200000000000002E-2</v>
      </c>
    </row>
    <row r="8455" spans="1:10" x14ac:dyDescent="0.25">
      <c r="A8455" s="5" t="s">
        <v>8488</v>
      </c>
      <c r="B8455" s="5" t="s">
        <v>10322</v>
      </c>
      <c r="C8455" s="6" t="str">
        <f>_xll.QS.CONTEXT.CREATE("market.8453",A8455,"USD","SOFR")</f>
        <v>QSObject:PricingContext:w1~market.8453:2558</v>
      </c>
      <c r="D8455" s="6" t="str">
        <f>_xll.QS.CONTEXT.ADD.CURVE(C8455,"SOFR",$K$2:$K$7,$L$2:$L$7,,,"Actual360","LogLinear",TRUE)</f>
        <v>QSObject:ContextInput:w1~input.qs_context_add_curve.2359132437744.8454.3.0:31868</v>
      </c>
      <c r="E8455" s="6" t="str">
        <f>_xll.QS.INSTRUMENT.SWAP("swap.8453",H8455,B8455,"USD","SOFR",I8455,J8455,0,"Actual360","Simple","Annual","Annual","Annual")</f>
        <v>QSObject:Swap:w1~swap.8453:2557</v>
      </c>
      <c r="F8455" s="6" t="str">
        <f>_xll.QS.TRADE.CREATE("trade.8453",E8455,A8455,"Receive")</f>
        <v>QSObject:SwapTrade:w1~trade.8453:22884</v>
      </c>
      <c r="G8455" s="3">
        <f>_xll.QS.EVALUATE(C8455,F8455)</f>
        <v>27997.482316310321</v>
      </c>
      <c r="H8455" s="5" t="s">
        <v>8496</v>
      </c>
      <c r="I8455" s="7">
        <v>1845300</v>
      </c>
      <c r="J8455" s="8">
        <v>3.5299999999999998E-2</v>
      </c>
    </row>
    <row r="8456" spans="1:10" x14ac:dyDescent="0.25">
      <c r="A8456" s="5" t="s">
        <v>8489</v>
      </c>
      <c r="B8456" s="5" t="s">
        <v>10323</v>
      </c>
      <c r="C8456" s="6" t="str">
        <f>_xll.QS.CONTEXT.CREATE("market.8454",A8456,"USD","SOFR")</f>
        <v>QSObject:PricingContext:w1~market.8454:2556</v>
      </c>
      <c r="D8456" s="6" t="str">
        <f>_xll.QS.CONTEXT.ADD.CURVE(C8456,"SOFR",$K$2:$K$7,$L$2:$L$7,,,"Actual360","LogLinear",TRUE)</f>
        <v>QSObject:ContextInput:w1~input.qs_context_add_curve.2359132437744.8455.3.0:31867</v>
      </c>
      <c r="E8456" s="6" t="str">
        <f>_xll.QS.INSTRUMENT.SWAP("swap.8454",H8456,B8456,"USD","SOFR",I8456,J8456,0,"Actual360","Simple","Annual","Annual","Annual")</f>
        <v>QSObject:Swap:w1~swap.8454:2555</v>
      </c>
      <c r="F8456" s="6" t="str">
        <f>_xll.QS.TRADE.CREATE("trade.8454",E8456,A8456,"Receive")</f>
        <v>QSObject:SwapTrade:w1~trade.8454:23391</v>
      </c>
      <c r="G8456" s="3">
        <f>_xll.QS.EVALUATE(C8456,F8456)</f>
        <v>28738.224529407147</v>
      </c>
      <c r="H8456" s="5" t="s">
        <v>8497</v>
      </c>
      <c r="I8456" s="7">
        <v>1845400</v>
      </c>
      <c r="J8456" s="8">
        <v>3.5400000000000001E-2</v>
      </c>
    </row>
    <row r="8457" spans="1:10" x14ac:dyDescent="0.25">
      <c r="A8457" s="5" t="s">
        <v>8490</v>
      </c>
      <c r="B8457" s="5" t="s">
        <v>10324</v>
      </c>
      <c r="C8457" s="6" t="str">
        <f>_xll.QS.CONTEXT.CREATE("market.8455",A8457,"USD","SOFR")</f>
        <v>QSObject:PricingContext:w1~market.8455:2554</v>
      </c>
      <c r="D8457" s="6" t="str">
        <f>_xll.QS.CONTEXT.ADD.CURVE(C8457,"SOFR",$K$2:$K$7,$L$2:$L$7,,,"Actual360","LogLinear",TRUE)</f>
        <v>QSObject:ContextInput:w1~input.qs_context_add_curve.2359132437744.8456.3.0:31866</v>
      </c>
      <c r="E8457" s="6" t="str">
        <f>_xll.QS.INSTRUMENT.SWAP("swap.8455",H8457,B8457,"USD","SOFR",I8457,J8457,0,"Actual360","Simple","Annual","Annual","Annual")</f>
        <v>QSObject:Swap:w1~swap.8455:2553</v>
      </c>
      <c r="F8457" s="6" t="str">
        <f>_xll.QS.TRADE.CREATE("trade.8455",E8457,A8457,"Receive")</f>
        <v>QSObject:SwapTrade:w1~trade.8455:22227</v>
      </c>
      <c r="G8457" s="3">
        <f>_xll.QS.EVALUATE(C8457,F8457)</f>
        <v>29426.221230897441</v>
      </c>
      <c r="H8457" s="5" t="s">
        <v>8498</v>
      </c>
      <c r="I8457" s="7">
        <v>1845500</v>
      </c>
      <c r="J8457" s="8">
        <v>3.5499999999999997E-2</v>
      </c>
    </row>
    <row r="8458" spans="1:10" x14ac:dyDescent="0.25">
      <c r="A8458" s="5" t="s">
        <v>8491</v>
      </c>
      <c r="B8458" s="5" t="s">
        <v>10325</v>
      </c>
      <c r="C8458" s="6" t="str">
        <f>_xll.QS.CONTEXT.CREATE("market.8456",A8458,"USD","SOFR")</f>
        <v>QSObject:PricingContext:w1~market.8456:2552</v>
      </c>
      <c r="D8458" s="6" t="str">
        <f>_xll.QS.CONTEXT.ADD.CURVE(C8458,"SOFR",$K$2:$K$7,$L$2:$L$7,,,"Actual360","LogLinear",TRUE)</f>
        <v>QSObject:ContextInput:w1~input.qs_context_add_curve.2359132437744.8457.3.0:31865</v>
      </c>
      <c r="E8458" s="6" t="str">
        <f>_xll.QS.INSTRUMENT.SWAP("swap.8456",H8458,B8458,"USD","SOFR",I8458,J8458,0,"Actual360","Simple","Annual","Annual","Annual")</f>
        <v>QSObject:Swap:w1~swap.8456:2551</v>
      </c>
      <c r="F8458" s="6" t="str">
        <f>_xll.QS.TRADE.CREATE("trade.8456",E8458,A8458,"Receive")</f>
        <v>QSObject:SwapTrade:w1~trade.8456:22883</v>
      </c>
      <c r="G8458" s="3">
        <f>_xll.QS.EVALUATE(C8458,F8458)</f>
        <v>30355.42217096634</v>
      </c>
      <c r="H8458" s="5" t="s">
        <v>8499</v>
      </c>
      <c r="I8458" s="7">
        <v>1845600</v>
      </c>
      <c r="J8458" s="8">
        <v>3.5600000000000007E-2</v>
      </c>
    </row>
    <row r="8459" spans="1:10" x14ac:dyDescent="0.25">
      <c r="A8459" s="5" t="s">
        <v>8492</v>
      </c>
      <c r="B8459" s="5" t="s">
        <v>10326</v>
      </c>
      <c r="C8459" s="6" t="str">
        <f>_xll.QS.CONTEXT.CREATE("market.8457",A8459,"USD","SOFR")</f>
        <v>QSObject:PricingContext:w1~market.8457:2550</v>
      </c>
      <c r="D8459" s="6" t="str">
        <f>_xll.QS.CONTEXT.ADD.CURVE(C8459,"SOFR",$K$2:$K$7,$L$2:$L$7,,,"Actual360","LogLinear",TRUE)</f>
        <v>QSObject:ContextInput:w1~input.qs_context_add_curve.2359132437744.8458.3.0:31864</v>
      </c>
      <c r="E8459" s="6" t="str">
        <f>_xll.QS.INSTRUMENT.SWAP("swap.8457",H8459,B8459,"USD","SOFR",I8459,J8459,0,"Actual360","Simple","Annual","Annual","Annual")</f>
        <v>QSObject:Swap:w1~swap.8457:2549</v>
      </c>
      <c r="F8459" s="6" t="str">
        <f>_xll.QS.TRADE.CREATE("trade.8457",E8459,A8459,"Receive")</f>
        <v>QSObject:SwapTrade:w1~trade.8457:23390</v>
      </c>
      <c r="G8459" s="3">
        <f>_xll.QS.EVALUATE(C8459,F8459)</f>
        <v>31262.738738448141</v>
      </c>
      <c r="H8459" s="5" t="s">
        <v>8500</v>
      </c>
      <c r="I8459" s="7">
        <v>1845700</v>
      </c>
      <c r="J8459" s="8">
        <v>3.5700000000000003E-2</v>
      </c>
    </row>
    <row r="8460" spans="1:10" x14ac:dyDescent="0.25">
      <c r="A8460" s="5" t="s">
        <v>8493</v>
      </c>
      <c r="B8460" s="5" t="s">
        <v>10327</v>
      </c>
      <c r="C8460" s="6" t="str">
        <f>_xll.QS.CONTEXT.CREATE("market.8458",A8460,"USD","SOFR")</f>
        <v>QSObject:PricingContext:w1~market.8458:2548</v>
      </c>
      <c r="D8460" s="6" t="str">
        <f>_xll.QS.CONTEXT.ADD.CURVE(C8460,"SOFR",$K$2:$K$7,$L$2:$L$7,,,"Actual360","LogLinear",TRUE)</f>
        <v>QSObject:ContextInput:w1~input.qs_context_add_curve.2359132437744.8459.3.0:31863</v>
      </c>
      <c r="E8460" s="6" t="str">
        <f>_xll.QS.INSTRUMENT.SWAP("swap.8458",H8460,B8460,"USD","SOFR",I8460,J8460,0,"Actual360","Simple","Annual","Annual","Annual")</f>
        <v>QSObject:Swap:w1~swap.8458:2547</v>
      </c>
      <c r="F8460" s="6" t="str">
        <f>_xll.QS.TRADE.CREATE("trade.8458",E8460,A8460,"Receive")</f>
        <v>QSObject:SwapTrade:w1~trade.8458:22226</v>
      </c>
      <c r="G8460" s="3">
        <f>_xll.QS.EVALUATE(C8460,F8460)</f>
        <v>32251.551257282546</v>
      </c>
      <c r="H8460" s="5" t="s">
        <v>8501</v>
      </c>
      <c r="I8460" s="7">
        <v>1845800</v>
      </c>
      <c r="J8460" s="8">
        <v>3.5800000000000012E-2</v>
      </c>
    </row>
    <row r="8461" spans="1:10" x14ac:dyDescent="0.25">
      <c r="A8461" s="5" t="s">
        <v>8494</v>
      </c>
      <c r="B8461" s="5" t="s">
        <v>10328</v>
      </c>
      <c r="C8461" s="6" t="str">
        <f>_xll.QS.CONTEXT.CREATE("market.8459",A8461,"USD","SOFR")</f>
        <v>QSObject:PricingContext:w1~market.8459:2546</v>
      </c>
      <c r="D8461" s="6" t="str">
        <f>_xll.QS.CONTEXT.ADD.CURVE(C8461,"SOFR",$K$2:$K$7,$L$2:$L$7,,,"Actual360","LogLinear",TRUE)</f>
        <v>QSObject:ContextInput:w1~input.qs_context_add_curve.2359132437744.8460.3.0:31862</v>
      </c>
      <c r="E8461" s="6" t="str">
        <f>_xll.QS.INSTRUMENT.SWAP("swap.8459",H8461,B8461,"USD","SOFR",I8461,J8461,0,"Actual360","Simple","Annual","Annual","Annual")</f>
        <v>QSObject:Swap:w1~swap.8459:2545</v>
      </c>
      <c r="F8461" s="6" t="str">
        <f>_xll.QS.TRADE.CREATE("trade.8459",E8461,A8461,"Receive")</f>
        <v>QSObject:SwapTrade:w1~trade.8459:23389</v>
      </c>
      <c r="G8461" s="3">
        <f>_xll.QS.EVALUATE(C8461,F8461)</f>
        <v>33184.998280707652</v>
      </c>
      <c r="H8461" s="5" t="s">
        <v>8502</v>
      </c>
      <c r="I8461" s="7">
        <v>1845900</v>
      </c>
      <c r="J8461" s="8">
        <v>3.5900000000000001E-2</v>
      </c>
    </row>
    <row r="8462" spans="1:10" x14ac:dyDescent="0.25">
      <c r="A8462" s="5" t="s">
        <v>8496</v>
      </c>
      <c r="B8462" s="5" t="s">
        <v>10329</v>
      </c>
      <c r="C8462" s="6" t="str">
        <f>_xll.QS.CONTEXT.CREATE("market.8460",A8462,"USD","SOFR")</f>
        <v>QSObject:PricingContext:w1~market.8460:2544</v>
      </c>
      <c r="D8462" s="6" t="str">
        <f>_xll.QS.CONTEXT.ADD.CURVE(C8462,"SOFR",$K$2:$K$7,$L$2:$L$7,,,"Actual360","LogLinear",TRUE)</f>
        <v>QSObject:ContextInput:w1~input.qs_context_add_curve.2359132437744.8461.3.0:31861</v>
      </c>
      <c r="E8462" s="6" t="str">
        <f>_xll.QS.INSTRUMENT.SWAP("swap.8460",H8462,B8462,"USD","SOFR",I8462,J8462,0,"Actual360","Simple","Annual","Annual","Annual")</f>
        <v>QSObject:Swap:w1~swap.8460:2543</v>
      </c>
      <c r="F8462" s="6" t="str">
        <f>_xll.QS.TRADE.CREATE("trade.8460",E8462,A8462,"Receive")</f>
        <v>QSObject:SwapTrade:w1~trade.8460:22225</v>
      </c>
      <c r="G8462" s="3">
        <f>_xll.QS.EVALUATE(C8462,F8462)</f>
        <v>33967.208864191671</v>
      </c>
      <c r="H8462" s="5" t="s">
        <v>8503</v>
      </c>
      <c r="I8462" s="7">
        <v>1846000</v>
      </c>
      <c r="J8462" s="8">
        <v>3.5999999999999997E-2</v>
      </c>
    </row>
    <row r="8463" spans="1:10" x14ac:dyDescent="0.25">
      <c r="A8463" s="5" t="s">
        <v>8497</v>
      </c>
      <c r="B8463" s="5" t="s">
        <v>10330</v>
      </c>
      <c r="C8463" s="6" t="str">
        <f>_xll.QS.CONTEXT.CREATE("market.8461",A8463,"USD","SOFR")</f>
        <v>QSObject:PricingContext:w1~market.8461:2542</v>
      </c>
      <c r="D8463" s="6" t="str">
        <f>_xll.QS.CONTEXT.ADD.CURVE(C8463,"SOFR",$K$2:$K$7,$L$2:$L$7,,,"Actual360","LogLinear",TRUE)</f>
        <v>QSObject:ContextInput:w1~input.qs_context_add_curve.2359132437744.8462.3.0:31860</v>
      </c>
      <c r="E8463" s="6" t="str">
        <f>_xll.QS.INSTRUMENT.SWAP("swap.8461",H8463,B8463,"USD","SOFR",I8463,J8463,0,"Actual360","Simple","Annual","Annual","Annual")</f>
        <v>QSObject:Swap:w1~swap.8461:2541</v>
      </c>
      <c r="F8463" s="6" t="str">
        <f>_xll.QS.TRADE.CREATE("trade.8461",E8463,A8463,"Receive")</f>
        <v>QSObject:SwapTrade:w1~trade.8461:22882</v>
      </c>
      <c r="G8463" s="3">
        <f>_xll.QS.EVALUATE(C8463,F8463)</f>
        <v>34701.533286817503</v>
      </c>
      <c r="H8463" s="5" t="s">
        <v>8504</v>
      </c>
      <c r="I8463" s="7">
        <v>1846100</v>
      </c>
      <c r="J8463" s="8">
        <v>3.61E-2</v>
      </c>
    </row>
    <row r="8464" spans="1:10" x14ac:dyDescent="0.25">
      <c r="A8464" s="5" t="s">
        <v>8498</v>
      </c>
      <c r="B8464" s="5" t="s">
        <v>10331</v>
      </c>
      <c r="C8464" s="6" t="str">
        <f>_xll.QS.CONTEXT.CREATE("market.8462",A8464,"USD","SOFR")</f>
        <v>QSObject:PricingContext:w1~market.8462:2540</v>
      </c>
      <c r="D8464" s="6" t="str">
        <f>_xll.QS.CONTEXT.ADD.CURVE(C8464,"SOFR",$K$2:$K$7,$L$2:$L$7,,,"Actual360","LogLinear",TRUE)</f>
        <v>QSObject:ContextInput:w1~input.qs_context_add_curve.2359132437744.8463.3.0:31859</v>
      </c>
      <c r="E8464" s="6" t="str">
        <f>_xll.QS.INSTRUMENT.SWAP("swap.8462",H8464,B8464,"USD","SOFR",I8464,J8464,0,"Actual360","Simple","Annual","Annual","Annual")</f>
        <v>QSObject:Swap:w1~swap.8462:2539</v>
      </c>
      <c r="F8464" s="6" t="str">
        <f>_xll.QS.TRADE.CREATE("trade.8462",E8464,A8464,"Receive")</f>
        <v>QSObject:SwapTrade:w1~trade.8462:23388</v>
      </c>
      <c r="G8464" s="3">
        <f>_xll.QS.EVALUATE(C8464,F8464)</f>
        <v>35399.342287728592</v>
      </c>
      <c r="H8464" s="5" t="s">
        <v>8505</v>
      </c>
      <c r="I8464" s="7">
        <v>1846200</v>
      </c>
      <c r="J8464" s="8">
        <v>3.6200000000000003E-2</v>
      </c>
    </row>
    <row r="8465" spans="1:10" x14ac:dyDescent="0.25">
      <c r="A8465" s="5" t="s">
        <v>8499</v>
      </c>
      <c r="B8465" s="5" t="s">
        <v>10332</v>
      </c>
      <c r="C8465" s="6" t="str">
        <f>_xll.QS.CONTEXT.CREATE("market.8463",A8465,"USD","SOFR")</f>
        <v>QSObject:PricingContext:w1~market.8463:2538</v>
      </c>
      <c r="D8465" s="6" t="str">
        <f>_xll.QS.CONTEXT.ADD.CURVE(C8465,"SOFR",$K$2:$K$7,$L$2:$L$7,,,"Actual360","LogLinear",TRUE)</f>
        <v>QSObject:ContextInput:w1~input.qs_context_add_curve.2359132437744.8464.3.0:31858</v>
      </c>
      <c r="E8465" s="6" t="str">
        <f>_xll.QS.INSTRUMENT.SWAP("swap.8463",H8465,B8465,"USD","SOFR",I8465,J8465,0,"Actual360","Simple","Annual","Annual","Annual")</f>
        <v>QSObject:Swap:w1~swap.8463:2537</v>
      </c>
      <c r="F8465" s="6" t="str">
        <f>_xll.QS.TRADE.CREATE("trade.8463",E8465,A8465,"Receive")</f>
        <v>QSObject:SwapTrade:w1~trade.8463:22881</v>
      </c>
      <c r="G8465" s="3">
        <f>_xll.QS.EVALUATE(C8465,F8465)</f>
        <v>36329.551692481247</v>
      </c>
      <c r="H8465" s="5" t="s">
        <v>8506</v>
      </c>
      <c r="I8465" s="7">
        <v>1846300</v>
      </c>
      <c r="J8465" s="8">
        <v>3.6300000000000013E-2</v>
      </c>
    </row>
    <row r="8466" spans="1:10" x14ac:dyDescent="0.25">
      <c r="A8466" s="5" t="s">
        <v>8500</v>
      </c>
      <c r="B8466" s="5" t="s">
        <v>10333</v>
      </c>
      <c r="C8466" s="6" t="str">
        <f>_xll.QS.CONTEXT.CREATE("market.8464",A8466,"USD","SOFR")</f>
        <v>QSObject:PricingContext:w1~market.8464:2536</v>
      </c>
      <c r="D8466" s="6" t="str">
        <f>_xll.QS.CONTEXT.ADD.CURVE(C8466,"SOFR",$K$2:$K$7,$L$2:$L$7,,,"Actual360","LogLinear",TRUE)</f>
        <v>QSObject:ContextInput:w1~input.qs_context_add_curve.2359132437744.8465.3.0:31857</v>
      </c>
      <c r="E8466" s="6" t="str">
        <f>_xll.QS.INSTRUMENT.SWAP("swap.8464",H8466,B8466,"USD","SOFR",I8466,J8466,0,"Actual360","Simple","Annual","Annual","Annual")</f>
        <v>QSObject:Swap:w1~swap.8464:2535</v>
      </c>
      <c r="F8466" s="6" t="str">
        <f>_xll.QS.TRADE.CREATE("trade.8464",E8466,A8466,"Receive")</f>
        <v>QSObject:SwapTrade:w1~trade.8464:22224</v>
      </c>
      <c r="G8466" s="3">
        <f>_xll.QS.EVALUATE(C8466,F8466)</f>
        <v>37235.613959629081</v>
      </c>
      <c r="H8466" s="5" t="s">
        <v>8507</v>
      </c>
      <c r="I8466" s="7">
        <v>1846400</v>
      </c>
      <c r="J8466" s="8">
        <v>3.6400000000000002E-2</v>
      </c>
    </row>
    <row r="8467" spans="1:10" x14ac:dyDescent="0.25">
      <c r="A8467" s="5" t="s">
        <v>8501</v>
      </c>
      <c r="B8467" s="5" t="s">
        <v>10334</v>
      </c>
      <c r="C8467" s="6" t="str">
        <f>_xll.QS.CONTEXT.CREATE("market.8465",A8467,"USD","SOFR")</f>
        <v>QSObject:PricingContext:w1~market.8465:2534</v>
      </c>
      <c r="D8467" s="6" t="str">
        <f>_xll.QS.CONTEXT.ADD.CURVE(C8467,"SOFR",$K$2:$K$7,$L$2:$L$7,,,"Actual360","LogLinear",TRUE)</f>
        <v>QSObject:ContextInput:w1~input.qs_context_add_curve.2359132437744.8466.3.0:31856</v>
      </c>
      <c r="E8467" s="6" t="str">
        <f>_xll.QS.INSTRUMENT.SWAP("swap.8465",H8467,B8467,"USD","SOFR",I8467,J8467,0,"Actual360","Simple","Annual","Annual","Annual")</f>
        <v>QSObject:Swap:w1~swap.8465:2533</v>
      </c>
      <c r="F8467" s="6" t="str">
        <f>_xll.QS.TRADE.CREATE("trade.8465",E8467,A8467,"Receive")</f>
        <v>QSObject:SwapTrade:w1~trade.8465:23387</v>
      </c>
      <c r="G8467" s="3">
        <f>_xll.QS.EVALUATE(C8467,F8467)</f>
        <v>38224.233137015734</v>
      </c>
      <c r="H8467" s="5" t="s">
        <v>8508</v>
      </c>
      <c r="I8467" s="7">
        <v>1846500</v>
      </c>
      <c r="J8467" s="8">
        <v>3.6499999999999998E-2</v>
      </c>
    </row>
    <row r="8468" spans="1:10" x14ac:dyDescent="0.25">
      <c r="A8468" s="5" t="s">
        <v>8502</v>
      </c>
      <c r="B8468" s="5" t="s">
        <v>10335</v>
      </c>
      <c r="C8468" s="6" t="str">
        <f>_xll.QS.CONTEXT.CREATE("market.8466",A8468,"USD","SOFR")</f>
        <v>QSObject:PricingContext:w1~market.8466:2532</v>
      </c>
      <c r="D8468" s="6" t="str">
        <f>_xll.QS.CONTEXT.ADD.CURVE(C8468,"SOFR",$K$2:$K$7,$L$2:$L$7,,,"Actual360","LogLinear",TRUE)</f>
        <v>QSObject:ContextInput:w1~input.qs_context_add_curve.2359132437744.8467.3.0:31855</v>
      </c>
      <c r="E8468" s="6" t="str">
        <f>_xll.QS.INSTRUMENT.SWAP("swap.8466",H8468,B8468,"USD","SOFR",I8468,J8468,0,"Actual360","Simple","Annual","Annual","Annual")</f>
        <v>QSObject:Swap:w1~swap.8466:2531</v>
      </c>
      <c r="F8468" s="6" t="str">
        <f>_xll.QS.TRADE.CREATE("trade.8466",E8468,A8468,"Receive")</f>
        <v>QSObject:SwapTrade:w1~trade.8466:23386</v>
      </c>
      <c r="G8468" s="3">
        <f>_xll.QS.EVALUATE(C8468,F8468)</f>
        <v>39158.424698487921</v>
      </c>
      <c r="H8468" s="5" t="s">
        <v>8509</v>
      </c>
      <c r="I8468" s="7">
        <v>1846600</v>
      </c>
      <c r="J8468" s="8">
        <v>3.6600000000000001E-2</v>
      </c>
    </row>
    <row r="8469" spans="1:10" x14ac:dyDescent="0.25">
      <c r="A8469" s="5" t="s">
        <v>8503</v>
      </c>
      <c r="B8469" s="5" t="s">
        <v>10336</v>
      </c>
      <c r="C8469" s="6" t="str">
        <f>_xll.QS.CONTEXT.CREATE("market.8467",A8469,"USD","SOFR")</f>
        <v>QSObject:PricingContext:w1~market.8467:2530</v>
      </c>
      <c r="D8469" s="6" t="str">
        <f>_xll.QS.CONTEXT.ADD.CURVE(C8469,"SOFR",$K$2:$K$7,$L$2:$L$7,,,"Actual360","LogLinear",TRUE)</f>
        <v>QSObject:ContextInput:w1~input.qs_context_add_curve.2359132437744.8468.3.0:31854</v>
      </c>
      <c r="E8469" s="6" t="str">
        <f>_xll.QS.INSTRUMENT.SWAP("swap.8467",H8469,B8469,"USD","SOFR",I8469,J8469,0,"Actual360","Simple","Annual","Annual","Annual")</f>
        <v>QSObject:Swap:w1~swap.8467:2529</v>
      </c>
      <c r="F8469" s="6" t="str">
        <f>_xll.QS.TRADE.CREATE("trade.8467",E8469,A8469,"Receive")</f>
        <v>QSObject:SwapTrade:w1~trade.8467:22223</v>
      </c>
      <c r="G8469" s="3">
        <f>_xll.QS.EVALUATE(C8469,F8469)</f>
        <v>39941.188527388549</v>
      </c>
      <c r="H8469" s="5" t="s">
        <v>8510</v>
      </c>
      <c r="I8469" s="7">
        <v>1846700</v>
      </c>
      <c r="J8469" s="8">
        <v>3.6700000000000003E-2</v>
      </c>
    </row>
    <row r="8470" spans="1:10" x14ac:dyDescent="0.25">
      <c r="A8470" s="5" t="s">
        <v>8504</v>
      </c>
      <c r="B8470" s="5" t="s">
        <v>10337</v>
      </c>
      <c r="C8470" s="6" t="str">
        <f>_xll.QS.CONTEXT.CREATE("market.8468",A8470,"USD","SOFR")</f>
        <v>QSObject:PricingContext:w1~market.8468:2528</v>
      </c>
      <c r="D8470" s="6" t="str">
        <f>_xll.QS.CONTEXT.ADD.CURVE(C8470,"SOFR",$K$2:$K$7,$L$2:$L$7,,,"Actual360","LogLinear",TRUE)</f>
        <v>QSObject:ContextInput:w1~input.qs_context_add_curve.2359132437744.8469.3.0:31853</v>
      </c>
      <c r="E8470" s="6" t="str">
        <f>_xll.QS.INSTRUMENT.SWAP("swap.8468",H8470,B8470,"USD","SOFR",I8470,J8470,0,"Actual360","Simple","Annual","Annual","Annual")</f>
        <v>QSObject:Swap:w1~swap.8468:2527</v>
      </c>
      <c r="F8470" s="6" t="str">
        <f>_xll.QS.TRADE.CREATE("trade.8468",E8470,A8470,"Receive")</f>
        <v>QSObject:SwapTrade:w1~trade.8468:22880</v>
      </c>
      <c r="G8470" s="3">
        <f>_xll.QS.EVALUATE(C8470,F8470)</f>
        <v>40669.092990147175</v>
      </c>
      <c r="H8470" s="5" t="s">
        <v>8511</v>
      </c>
      <c r="I8470" s="7">
        <v>1846800</v>
      </c>
      <c r="J8470" s="8">
        <v>3.6800000000000013E-2</v>
      </c>
    </row>
    <row r="8471" spans="1:10" x14ac:dyDescent="0.25">
      <c r="A8471" s="5" t="s">
        <v>8505</v>
      </c>
      <c r="B8471" s="5" t="s">
        <v>10338</v>
      </c>
      <c r="C8471" s="6" t="str">
        <f>_xll.QS.CONTEXT.CREATE("market.8469",A8471,"USD","SOFR")</f>
        <v>QSObject:PricingContext:w1~market.8469:2526</v>
      </c>
      <c r="D8471" s="6" t="str">
        <f>_xll.QS.CONTEXT.ADD.CURVE(C8471,"SOFR",$K$2:$K$7,$L$2:$L$7,,,"Actual360","LogLinear",TRUE)</f>
        <v>QSObject:ContextInput:w1~input.qs_context_add_curve.2359132437744.8470.3.0:31852</v>
      </c>
      <c r="E8471" s="6" t="str">
        <f>_xll.QS.INSTRUMENT.SWAP("swap.8469",H8471,B8471,"USD","SOFR",I8471,J8471,0,"Actual360","Simple","Annual","Annual","Annual")</f>
        <v>QSObject:Swap:w1~swap.8469:2525</v>
      </c>
      <c r="F8471" s="6" t="str">
        <f>_xll.QS.TRADE.CREATE("trade.8469",E8471,A8471,"Receive")</f>
        <v>QSObject:SwapTrade:w1~trade.8469:22222</v>
      </c>
      <c r="G8471" s="3">
        <f>_xll.QS.EVALUATE(C8471,F8471)</f>
        <v>41376.73093360271</v>
      </c>
      <c r="H8471" s="5" t="s">
        <v>8512</v>
      </c>
      <c r="I8471" s="7">
        <v>1846900</v>
      </c>
      <c r="J8471" s="8">
        <v>3.6900000000000002E-2</v>
      </c>
    </row>
    <row r="8472" spans="1:10" x14ac:dyDescent="0.25">
      <c r="A8472" s="5" t="s">
        <v>8506</v>
      </c>
      <c r="B8472" s="5" t="s">
        <v>10339</v>
      </c>
      <c r="C8472" s="6" t="str">
        <f>_xll.QS.CONTEXT.CREATE("market.8470",A8472,"USD","SOFR")</f>
        <v>QSObject:PricingContext:w1~market.8470:2524</v>
      </c>
      <c r="D8472" s="6" t="str">
        <f>_xll.QS.CONTEXT.ADD.CURVE(C8472,"SOFR",$K$2:$K$7,$L$2:$L$7,,,"Actual360","LogLinear",TRUE)</f>
        <v>QSObject:ContextInput:w1~input.qs_context_add_curve.2359132437744.8471.3.0:31851</v>
      </c>
      <c r="E8472" s="6" t="str">
        <f>_xll.QS.INSTRUMENT.SWAP("swap.8470",H8472,B8472,"USD","SOFR",I8472,J8472,0,"Actual360","Simple","Annual","Annual","Annual")</f>
        <v>QSObject:Swap:w1~swap.8470:2523</v>
      </c>
      <c r="F8472" s="6" t="str">
        <f>_xll.QS.TRADE.CREATE("trade.8470",E8472,A8472,"Receive")</f>
        <v>QSObject:SwapTrade:w1~trade.8470:23385</v>
      </c>
      <c r="G8472" s="3">
        <f>_xll.QS.EVALUATE(C8472,F8472)</f>
        <v>42308.192948609096</v>
      </c>
      <c r="H8472" s="5" t="s">
        <v>8513</v>
      </c>
      <c r="I8472" s="7">
        <v>1847000</v>
      </c>
      <c r="J8472" s="8">
        <v>3.7000000000000012E-2</v>
      </c>
    </row>
    <row r="8473" spans="1:10" x14ac:dyDescent="0.25">
      <c r="A8473" s="5" t="s">
        <v>8507</v>
      </c>
      <c r="B8473" s="5" t="s">
        <v>10340</v>
      </c>
      <c r="C8473" s="6" t="str">
        <f>_xll.QS.CONTEXT.CREATE("market.8471",A8473,"USD","SOFR")</f>
        <v>QSObject:PricingContext:w1~market.8471:2522</v>
      </c>
      <c r="D8473" s="6" t="str">
        <f>_xll.QS.CONTEXT.ADD.CURVE(C8473,"SOFR",$K$2:$K$7,$L$2:$L$7,,,"Actual360","LogLinear",TRUE)</f>
        <v>QSObject:ContextInput:w1~input.qs_context_add_curve.2359132437744.8472.3.0:31850</v>
      </c>
      <c r="E8473" s="6" t="str">
        <f>_xll.QS.INSTRUMENT.SWAP("swap.8471",H8473,B8473,"USD","SOFR",I8473,J8473,0,"Actual360","Simple","Annual","Annual","Annual")</f>
        <v>QSObject:Swap:w1~swap.8471:2521</v>
      </c>
      <c r="F8473" s="6" t="str">
        <f>_xll.QS.TRADE.CREATE("trade.8471",E8473,A8473,"Receive")</f>
        <v>QSObject:SwapTrade:w1~trade.8471:22879</v>
      </c>
      <c r="G8473" s="3">
        <f>_xll.QS.EVALUATE(C8473,F8473)</f>
        <v>43212.023834424879</v>
      </c>
      <c r="H8473" s="5" t="s">
        <v>8514</v>
      </c>
      <c r="I8473" s="7">
        <v>1847100</v>
      </c>
      <c r="J8473" s="8">
        <v>3.7100000000000001E-2</v>
      </c>
    </row>
    <row r="8474" spans="1:10" x14ac:dyDescent="0.25">
      <c r="A8474" s="5" t="s">
        <v>8508</v>
      </c>
      <c r="B8474" s="5" t="s">
        <v>10341</v>
      </c>
      <c r="C8474" s="6" t="str">
        <f>_xll.QS.CONTEXT.CREATE("market.8472",A8474,"USD","SOFR")</f>
        <v>QSObject:PricingContext:w1~market.8472:2520</v>
      </c>
      <c r="D8474" s="6" t="str">
        <f>_xll.QS.CONTEXT.ADD.CURVE(C8474,"SOFR",$K$2:$K$7,$L$2:$L$7,,,"Actual360","LogLinear",TRUE)</f>
        <v>QSObject:ContextInput:w1~input.qs_context_add_curve.2359132437744.8473.3.0:31849</v>
      </c>
      <c r="E8474" s="6" t="str">
        <f>_xll.QS.INSTRUMENT.SWAP("swap.8472",H8474,B8474,"USD","SOFR",I8474,J8474,0,"Actual360","Simple","Annual","Annual","Annual")</f>
        <v>QSObject:Swap:w1~swap.8472:2519</v>
      </c>
      <c r="F8474" s="6" t="str">
        <f>_xll.QS.TRADE.CREATE("trade.8472",E8474,A8474,"Receive")</f>
        <v>QSObject:SwapTrade:w1~trade.8472:22878</v>
      </c>
      <c r="G8474" s="3">
        <f>_xll.QS.EVALUATE(C8474,F8474)</f>
        <v>44201.434177946518</v>
      </c>
      <c r="H8474" s="5" t="s">
        <v>8515</v>
      </c>
      <c r="I8474" s="7">
        <v>1847200</v>
      </c>
      <c r="J8474" s="8">
        <v>3.7199999999999997E-2</v>
      </c>
    </row>
    <row r="8475" spans="1:10" x14ac:dyDescent="0.25">
      <c r="A8475" s="5" t="s">
        <v>8509</v>
      </c>
      <c r="B8475" s="5" t="s">
        <v>10342</v>
      </c>
      <c r="C8475" s="6" t="str">
        <f>_xll.QS.CONTEXT.CREATE("market.8473",A8475,"USD","SOFR")</f>
        <v>QSObject:PricingContext:w1~market.8473:2518</v>
      </c>
      <c r="D8475" s="6" t="str">
        <f>_xll.QS.CONTEXT.ADD.CURVE(C8475,"SOFR",$K$2:$K$7,$L$2:$L$7,,,"Actual360","LogLinear",TRUE)</f>
        <v>QSObject:ContextInput:w1~input.qs_context_add_curve.2359132437744.8474.3.0:31848</v>
      </c>
      <c r="E8475" s="6" t="str">
        <f>_xll.QS.INSTRUMENT.SWAP("swap.8473",H8475,B8475,"USD","SOFR",I8475,J8475,0,"Actual360","Simple","Annual","Annual","Annual")</f>
        <v>QSObject:Swap:w1~swap.8473:2517</v>
      </c>
      <c r="F8475" s="6" t="str">
        <f>_xll.QS.TRADE.CREATE("trade.8473",E8475,A8475,"Receive")</f>
        <v>QSObject:SwapTrade:w1~trade.8473:22221</v>
      </c>
      <c r="G8475" s="3">
        <f>_xll.QS.EVALUATE(C8475,F8475)</f>
        <v>45136.370329340178</v>
      </c>
      <c r="H8475" s="5" t="s">
        <v>8516</v>
      </c>
      <c r="I8475" s="7">
        <v>1847300</v>
      </c>
      <c r="J8475" s="8">
        <v>3.73E-2</v>
      </c>
    </row>
    <row r="8476" spans="1:10" x14ac:dyDescent="0.25">
      <c r="A8476" s="5" t="s">
        <v>8510</v>
      </c>
      <c r="B8476" s="5" t="s">
        <v>10343</v>
      </c>
      <c r="C8476" s="6" t="str">
        <f>_xll.QS.CONTEXT.CREATE("market.8474",A8476,"USD","SOFR")</f>
        <v>QSObject:PricingContext:w1~market.8474:2516</v>
      </c>
      <c r="D8476" s="6" t="str">
        <f>_xll.QS.CONTEXT.ADD.CURVE(C8476,"SOFR",$K$2:$K$7,$L$2:$L$7,,,"Actual360","LogLinear",TRUE)</f>
        <v>QSObject:ContextInput:w1~input.qs_context_add_curve.2359132437744.8475.3.0:31847</v>
      </c>
      <c r="E8476" s="6" t="str">
        <f>_xll.QS.INSTRUMENT.SWAP("swap.8474",H8476,B8476,"USD","SOFR",I8476,J8476,0,"Actual360","Simple","Annual","Annual","Annual")</f>
        <v>QSObject:Swap:w1~swap.8474:2515</v>
      </c>
      <c r="F8476" s="6" t="str">
        <f>_xll.QS.TRADE.CREATE("trade.8474",E8476,A8476,"Receive")</f>
        <v>QSObject:SwapTrade:w1~trade.8474:22220</v>
      </c>
      <c r="G8476" s="3">
        <f>_xll.QS.EVALUATE(C8476,F8476)</f>
        <v>45919.687354011483</v>
      </c>
      <c r="H8476" s="5" t="s">
        <v>8517</v>
      </c>
      <c r="I8476" s="7">
        <v>1847400</v>
      </c>
      <c r="J8476" s="8">
        <v>3.7400000000000003E-2</v>
      </c>
    </row>
    <row r="8477" spans="1:10" x14ac:dyDescent="0.25">
      <c r="A8477" s="5" t="s">
        <v>8511</v>
      </c>
      <c r="B8477" s="5" t="s">
        <v>10344</v>
      </c>
      <c r="C8477" s="6" t="str">
        <f>_xll.QS.CONTEXT.CREATE("market.8475",A8477,"USD","SOFR")</f>
        <v>QSObject:PricingContext:w1~market.8475:2514</v>
      </c>
      <c r="D8477" s="6" t="str">
        <f>_xll.QS.CONTEXT.ADD.CURVE(C8477,"SOFR",$K$2:$K$7,$L$2:$L$7,,,"Actual360","LogLinear",TRUE)</f>
        <v>QSObject:ContextInput:w1~input.qs_context_add_curve.2359132437744.8476.3.0:31846</v>
      </c>
      <c r="E8477" s="6" t="str">
        <f>_xll.QS.INSTRUMENT.SWAP("swap.8475",H8477,B8477,"USD","SOFR",I8477,J8477,0,"Actual360","Simple","Annual","Annual","Annual")</f>
        <v>QSObject:Swap:w1~swap.8475:2513</v>
      </c>
      <c r="F8477" s="6" t="str">
        <f>_xll.QS.TRADE.CREATE("trade.8475",E8477,A8477,"Receive")</f>
        <v>QSObject:SwapTrade:w1~trade.8475:22877</v>
      </c>
      <c r="G8477" s="3">
        <f>_xll.QS.EVALUATE(C8477,F8477)</f>
        <v>46641.166534886986</v>
      </c>
      <c r="H8477" s="5" t="s">
        <v>8518</v>
      </c>
      <c r="I8477" s="7">
        <v>1847500</v>
      </c>
      <c r="J8477" s="8">
        <v>3.7500000000000012E-2</v>
      </c>
    </row>
    <row r="8478" spans="1:10" x14ac:dyDescent="0.25">
      <c r="A8478" s="5" t="s">
        <v>8512</v>
      </c>
      <c r="B8478" s="5" t="s">
        <v>10345</v>
      </c>
      <c r="C8478" s="6" t="str">
        <f>_xll.QS.CONTEXT.CREATE("market.8476",A8478,"USD","SOFR")</f>
        <v>QSObject:PricingContext:w1~market.8476:2512</v>
      </c>
      <c r="D8478" s="6" t="str">
        <f>_xll.QS.CONTEXT.ADD.CURVE(C8478,"SOFR",$K$2:$K$7,$L$2:$L$7,,,"Actual360","LogLinear",TRUE)</f>
        <v>QSObject:ContextInput:w1~input.qs_context_add_curve.2359132437744.8477.3.0:31845</v>
      </c>
      <c r="E8478" s="6" t="str">
        <f>_xll.QS.INSTRUMENT.SWAP("swap.8476",H8478,B8478,"USD","SOFR",I8478,J8478,0,"Actual360","Simple","Annual","Annual","Annual")</f>
        <v>QSObject:Swap:w1~swap.8476:2511</v>
      </c>
      <c r="F8478" s="6" t="str">
        <f>_xll.QS.TRADE.CREATE("trade.8476",E8478,A8478,"Receive")</f>
        <v>QSObject:SwapTrade:w1~trade.8476:23384</v>
      </c>
      <c r="G8478" s="3">
        <f>_xll.QS.EVALUATE(C8478,F8478)</f>
        <v>47358.640427071936</v>
      </c>
      <c r="H8478" s="5" t="s">
        <v>8519</v>
      </c>
      <c r="I8478" s="7">
        <v>1847600</v>
      </c>
      <c r="J8478" s="8">
        <v>3.7600000000000001E-2</v>
      </c>
    </row>
    <row r="8479" spans="1:10" x14ac:dyDescent="0.25">
      <c r="A8479" s="5" t="s">
        <v>8513</v>
      </c>
      <c r="B8479" s="5" t="s">
        <v>10346</v>
      </c>
      <c r="C8479" s="6" t="str">
        <f>_xll.QS.CONTEXT.CREATE("market.8477",A8479,"USD","SOFR")</f>
        <v>QSObject:PricingContext:w1~market.8477:2510</v>
      </c>
      <c r="D8479" s="6" t="str">
        <f>_xll.QS.CONTEXT.ADD.CURVE(C8479,"SOFR",$K$2:$K$7,$L$2:$L$7,,,"Actual360","LogLinear",TRUE)</f>
        <v>QSObject:ContextInput:w1~input.qs_context_add_curve.2359132437744.8478.3.0:31844</v>
      </c>
      <c r="E8479" s="6" t="str">
        <f>_xll.QS.INSTRUMENT.SWAP("swap.8477",H8479,B8479,"USD","SOFR",I8479,J8479,0,"Actual360","Simple","Annual","Annual","Annual")</f>
        <v>QSObject:Swap:w1~swap.8477:2509</v>
      </c>
      <c r="F8479" s="6" t="str">
        <f>_xll.QS.TRADE.CREATE("trade.8477",E8479,A8479,"Receive")</f>
        <v>QSObject:SwapTrade:w1~trade.8477:22219</v>
      </c>
      <c r="G8479" s="3">
        <f>_xll.QS.EVALUATE(C8479,F8479)</f>
        <v>48290.9968547627</v>
      </c>
      <c r="H8479" s="5" t="s">
        <v>8520</v>
      </c>
      <c r="I8479" s="7">
        <v>1847700</v>
      </c>
      <c r="J8479" s="8">
        <v>3.7699999999999997E-2</v>
      </c>
    </row>
    <row r="8480" spans="1:10" x14ac:dyDescent="0.25">
      <c r="A8480" s="5" t="s">
        <v>8514</v>
      </c>
      <c r="B8480" s="5" t="s">
        <v>10347</v>
      </c>
      <c r="C8480" s="6" t="str">
        <f>_xll.QS.CONTEXT.CREATE("market.8478",A8480,"USD","SOFR")</f>
        <v>QSObject:PricingContext:w1~market.8478:2508</v>
      </c>
      <c r="D8480" s="6" t="str">
        <f>_xll.QS.CONTEXT.ADD.CURVE(C8480,"SOFR",$K$2:$K$7,$L$2:$L$7,,,"Actual360","LogLinear",TRUE)</f>
        <v>QSObject:ContextInput:w1~input.qs_context_add_curve.2359132437744.8479.3.0:31843</v>
      </c>
      <c r="E8480" s="6" t="str">
        <f>_xll.QS.INSTRUMENT.SWAP("swap.8478",H8480,B8480,"USD","SOFR",I8480,J8480,0,"Actual360","Simple","Annual","Annual","Annual")</f>
        <v>QSObject:Swap:w1~swap.8478:2507</v>
      </c>
      <c r="F8480" s="6" t="str">
        <f>_xll.QS.TRADE.CREATE("trade.8478",E8480,A8480,"Receive")</f>
        <v>QSObject:SwapTrade:w1~trade.8478:22876</v>
      </c>
      <c r="G8480" s="3">
        <f>_xll.QS.EVALUATE(C8480,F8480)</f>
        <v>49192.952798904575</v>
      </c>
      <c r="H8480" s="5" t="s">
        <v>8521</v>
      </c>
      <c r="I8480" s="7">
        <v>1847800</v>
      </c>
      <c r="J8480" s="8">
        <v>3.78E-2</v>
      </c>
    </row>
    <row r="8481" spans="1:10" x14ac:dyDescent="0.25">
      <c r="A8481" s="5" t="s">
        <v>8515</v>
      </c>
      <c r="B8481" s="5" t="s">
        <v>10348</v>
      </c>
      <c r="C8481" s="6" t="str">
        <f>_xll.QS.CONTEXT.CREATE("market.8479",A8481,"USD","SOFR")</f>
        <v>QSObject:PricingContext:w1~market.8479:2506</v>
      </c>
      <c r="D8481" s="6" t="str">
        <f>_xll.QS.CONTEXT.ADD.CURVE(C8481,"SOFR",$K$2:$K$7,$L$2:$L$7,,,"Actual360","LogLinear",TRUE)</f>
        <v>QSObject:ContextInput:w1~input.qs_context_add_curve.2359132437744.8480.3.0:31842</v>
      </c>
      <c r="E8481" s="6" t="str">
        <f>_xll.QS.INSTRUMENT.SWAP("swap.8479",H8481,B8481,"USD","SOFR",I8481,J8481,0,"Actual360","Simple","Annual","Annual","Annual")</f>
        <v>QSObject:Swap:w1~swap.8479:2505</v>
      </c>
      <c r="F8481" s="6" t="str">
        <f>_xll.QS.TRADE.CREATE("trade.8479",E8481,A8481,"Receive")</f>
        <v>QSObject:SwapTrade:w1~trade.8479:23383</v>
      </c>
      <c r="G8481" s="3">
        <f>_xll.QS.EVALUATE(C8481,F8481)</f>
        <v>50183.154380074906</v>
      </c>
      <c r="H8481" s="5" t="s">
        <v>8522</v>
      </c>
      <c r="I8481" s="7">
        <v>1847900</v>
      </c>
      <c r="J8481" s="8">
        <v>3.7900000000000003E-2</v>
      </c>
    </row>
    <row r="8482" spans="1:10" x14ac:dyDescent="0.25">
      <c r="A8482" s="5" t="s">
        <v>8516</v>
      </c>
      <c r="B8482" s="5" t="s">
        <v>10349</v>
      </c>
      <c r="C8482" s="6" t="str">
        <f>_xll.QS.CONTEXT.CREATE("market.8480",A8482,"USD","SOFR")</f>
        <v>QSObject:PricingContext:w1~market.8480:2504</v>
      </c>
      <c r="D8482" s="6" t="str">
        <f>_xll.QS.CONTEXT.ADD.CURVE(C8482,"SOFR",$K$2:$K$7,$L$2:$L$7,,,"Actual360","LogLinear",TRUE)</f>
        <v>QSObject:ContextInput:w1~input.qs_context_add_curve.2359132437744.8481.3.0:31841</v>
      </c>
      <c r="E8482" s="6" t="str">
        <f>_xll.QS.INSTRUMENT.SWAP("swap.8480",H8482,B8482,"USD","SOFR",I8482,J8482,0,"Actual360","Simple","Annual","Annual","Annual")</f>
        <v>QSObject:Swap:w1~swap.8480:2503</v>
      </c>
      <c r="F8482" s="6" t="str">
        <f>_xll.QS.TRADE.CREATE("trade.8480",E8482,A8482,"Receive")</f>
        <v>QSObject:SwapTrade:w1~trade.8480:23382</v>
      </c>
      <c r="G8482" s="3">
        <f>_xll.QS.EVALUATE(C8482,F8482)</f>
        <v>51119.145093219777</v>
      </c>
      <c r="H8482" s="5" t="s">
        <v>8523</v>
      </c>
      <c r="I8482" s="7">
        <v>1848000</v>
      </c>
      <c r="J8482" s="8">
        <v>3.8000000000000013E-2</v>
      </c>
    </row>
    <row r="8483" spans="1:10" x14ac:dyDescent="0.25">
      <c r="A8483" s="5" t="s">
        <v>8517</v>
      </c>
      <c r="B8483" s="5" t="s">
        <v>10350</v>
      </c>
      <c r="C8483" s="6" t="str">
        <f>_xll.QS.CONTEXT.CREATE("market.8481",A8483,"USD","SOFR")</f>
        <v>QSObject:PricingContext:w1~market.8481:2502</v>
      </c>
      <c r="D8483" s="6" t="str">
        <f>_xll.QS.CONTEXT.ADD.CURVE(C8483,"SOFR",$K$2:$K$7,$L$2:$L$7,,,"Actual360","LogLinear",TRUE)</f>
        <v>QSObject:ContextInput:w1~input.qs_context_add_curve.2359132437744.8482.3.0:31840</v>
      </c>
      <c r="E8483" s="6" t="str">
        <f>_xll.QS.INSTRUMENT.SWAP("swap.8481",H8483,B8483,"USD","SOFR",I8483,J8483,0,"Actual360","Simple","Annual","Annual","Annual")</f>
        <v>QSObject:Swap:w1~swap.8481:2501</v>
      </c>
      <c r="F8483" s="6" t="str">
        <f>_xll.QS.TRADE.CREATE("trade.8481",E8483,A8483,"Receive")</f>
        <v>QSObject:SwapTrade:w1~trade.8481:23381</v>
      </c>
      <c r="G8483" s="3">
        <f>_xll.QS.EVALUATE(C8483,F8483)</f>
        <v>51935.582113711935</v>
      </c>
      <c r="H8483" s="5" t="s">
        <v>8524</v>
      </c>
      <c r="I8483" s="7">
        <v>1848100</v>
      </c>
      <c r="J8483" s="8">
        <v>3.8100000000000002E-2</v>
      </c>
    </row>
    <row r="8484" spans="1:10" x14ac:dyDescent="0.25">
      <c r="A8484" s="5" t="s">
        <v>8518</v>
      </c>
      <c r="B8484" s="5" t="s">
        <v>10351</v>
      </c>
      <c r="C8484" s="6" t="str">
        <f>_xll.QS.CONTEXT.CREATE("market.8482",A8484,"USD","SOFR")</f>
        <v>QSObject:PricingContext:w1~market.8482:2500</v>
      </c>
      <c r="D8484" s="6" t="str">
        <f>_xll.QS.CONTEXT.ADD.CURVE(C8484,"SOFR",$K$2:$K$7,$L$2:$L$7,,,"Actual360","LogLinear",TRUE)</f>
        <v>QSObject:ContextInput:w1~input.qs_context_add_curve.2359132437744.8483.3.0:31839</v>
      </c>
      <c r="E8484" s="6" t="str">
        <f>_xll.QS.INSTRUMENT.SWAP("swap.8482",H8484,B8484,"USD","SOFR",I8484,J8484,0,"Actual360","Simple","Annual","Annual","Annual")</f>
        <v>QSObject:Swap:w1~swap.8482:2499</v>
      </c>
      <c r="F8484" s="6" t="str">
        <f>_xll.QS.TRADE.CREATE("trade.8482",E8484,A8484,"Receive")</f>
        <v>QSObject:SwapTrade:w1~trade.8482:23380</v>
      </c>
      <c r="G8484" s="3">
        <f>_xll.QS.EVALUATE(C8484,F8484)</f>
        <v>52795.458242882596</v>
      </c>
      <c r="H8484" s="5" t="s">
        <v>8525</v>
      </c>
      <c r="I8484" s="7">
        <v>1848200</v>
      </c>
      <c r="J8484" s="8">
        <v>3.8199999999999998E-2</v>
      </c>
    </row>
    <row r="8485" spans="1:10" x14ac:dyDescent="0.25">
      <c r="A8485" s="5" t="s">
        <v>8519</v>
      </c>
      <c r="B8485" s="5" t="s">
        <v>10352</v>
      </c>
      <c r="C8485" s="6" t="str">
        <f>_xll.QS.CONTEXT.CREATE("market.8483",A8485,"USD","SOFR")</f>
        <v>QSObject:PricingContext:w1~market.8483:2498</v>
      </c>
      <c r="D8485" s="6" t="str">
        <f>_xll.QS.CONTEXT.ADD.CURVE(C8485,"SOFR",$K$2:$K$7,$L$2:$L$7,,,"Actual360","LogLinear",TRUE)</f>
        <v>QSObject:ContextInput:w1~input.qs_context_add_curve.2359132437744.8484.3.0:31838</v>
      </c>
      <c r="E8485" s="6" t="str">
        <f>_xll.QS.INSTRUMENT.SWAP("swap.8483",H8485,B8485,"USD","SOFR",I8485,J8485,0,"Actual360","Simple","Annual","Annual","Annual")</f>
        <v>QSObject:Swap:w1~swap.8483:2497</v>
      </c>
      <c r="F8485" s="6" t="str">
        <f>_xll.QS.TRADE.CREATE("trade.8483",E8485,A8485,"Receive")</f>
        <v>QSObject:SwapTrade:w1~trade.8483:23379</v>
      </c>
      <c r="G8485" s="3">
        <f>_xll.QS.EVALUATE(C8485,F8485)</f>
        <v>53655.479401752949</v>
      </c>
      <c r="H8485" s="5" t="s">
        <v>8526</v>
      </c>
      <c r="I8485" s="7">
        <v>1848300</v>
      </c>
      <c r="J8485" s="8">
        <v>3.8300000000000001E-2</v>
      </c>
    </row>
    <row r="8486" spans="1:10" x14ac:dyDescent="0.25">
      <c r="A8486" s="5" t="s">
        <v>8520</v>
      </c>
      <c r="B8486" s="5" t="s">
        <v>10353</v>
      </c>
      <c r="C8486" s="6" t="str">
        <f>_xll.QS.CONTEXT.CREATE("market.8484",A8486,"USD","SOFR")</f>
        <v>QSObject:PricingContext:w1~market.8484:2496</v>
      </c>
      <c r="D8486" s="6" t="str">
        <f>_xll.QS.CONTEXT.ADD.CURVE(C8486,"SOFR",$K$2:$K$7,$L$2:$L$7,,,"Actual360","LogLinear",TRUE)</f>
        <v>QSObject:ContextInput:w1~input.qs_context_add_curve.2359132437744.8485.3.0:31837</v>
      </c>
      <c r="E8486" s="6" t="str">
        <f>_xll.QS.INSTRUMENT.SWAP("swap.8484",H8486,B8486,"USD","SOFR",I8486,J8486,0,"Actual360","Simple","Annual","Annual","Annual")</f>
        <v>QSObject:Swap:w1~swap.8484:2495</v>
      </c>
      <c r="F8486" s="6" t="str">
        <f>_xll.QS.TRADE.CREATE("trade.8484",E8486,A8486,"Receive")</f>
        <v>QSObject:SwapTrade:w1~trade.8484:23378</v>
      </c>
      <c r="G8486" s="3">
        <f>_xll.QS.EVALUATE(C8486,F8486)</f>
        <v>54279.039317412607</v>
      </c>
      <c r="H8486" s="5" t="s">
        <v>8527</v>
      </c>
      <c r="I8486" s="7">
        <v>1848400</v>
      </c>
      <c r="J8486" s="8">
        <v>3.8399999999999997E-2</v>
      </c>
    </row>
    <row r="8487" spans="1:10" x14ac:dyDescent="0.25">
      <c r="A8487" s="5" t="s">
        <v>8521</v>
      </c>
      <c r="B8487" s="5" t="s">
        <v>10354</v>
      </c>
      <c r="C8487" s="6" t="str">
        <f>_xll.QS.CONTEXT.CREATE("market.8485",A8487,"USD","SOFR")</f>
        <v>QSObject:PricingContext:w1~market.8485:2494</v>
      </c>
      <c r="D8487" s="6" t="str">
        <f>_xll.QS.CONTEXT.ADD.CURVE(C8487,"SOFR",$K$2:$K$7,$L$2:$L$7,,,"Actual360","LogLinear",TRUE)</f>
        <v>QSObject:ContextInput:w1~input.qs_context_add_curve.2359132437744.8486.3.0:31836</v>
      </c>
      <c r="E8487" s="6" t="str">
        <f>_xll.QS.INSTRUMENT.SWAP("swap.8485",H8487,B8487,"USD","SOFR",I8487,J8487,0,"Actual360","Simple","Annual","Annual","Annual")</f>
        <v>QSObject:Swap:w1~swap.8485:2493</v>
      </c>
      <c r="F8487" s="6" t="str">
        <f>_xll.QS.TRADE.CREATE("trade.8485",E8487,A8487,"Receive")</f>
        <v>QSObject:SwapTrade:w1~trade.8485:23377</v>
      </c>
      <c r="G8487" s="3">
        <f>_xll.QS.EVALUATE(C8487,F8487)</f>
        <v>55385.086612789768</v>
      </c>
      <c r="H8487" s="5" t="s">
        <v>8528</v>
      </c>
      <c r="I8487" s="7">
        <v>1848500</v>
      </c>
      <c r="J8487" s="8">
        <v>3.8500000000000013E-2</v>
      </c>
    </row>
    <row r="8488" spans="1:10" x14ac:dyDescent="0.25">
      <c r="A8488" s="5" t="s">
        <v>8522</v>
      </c>
      <c r="B8488" s="5" t="s">
        <v>10355</v>
      </c>
      <c r="C8488" s="6" t="str">
        <f>_xll.QS.CONTEXT.CREATE("market.8486",A8488,"USD","SOFR")</f>
        <v>QSObject:PricingContext:w1~market.8486:2492</v>
      </c>
      <c r="D8488" s="6" t="str">
        <f>_xll.QS.CONTEXT.ADD.CURVE(C8488,"SOFR",$K$2:$K$7,$L$2:$L$7,,,"Actual360","LogLinear",TRUE)</f>
        <v>QSObject:ContextInput:w1~input.qs_context_add_curve.2359132437744.8487.3.0:31835</v>
      </c>
      <c r="E8488" s="6" t="str">
        <f>_xll.QS.INSTRUMENT.SWAP("swap.8486",H8488,B8488,"USD","SOFR",I8488,J8488,0,"Actual360","Simple","Annual","Annual","Annual")</f>
        <v>QSObject:Swap:w1~swap.8486:2491</v>
      </c>
      <c r="F8488" s="6" t="str">
        <f>_xll.QS.TRADE.CREATE("trade.8486",E8488,A8488,"Receive")</f>
        <v>QSObject:SwapTrade:w1~trade.8486:23376</v>
      </c>
      <c r="G8488" s="3">
        <f>_xll.QS.EVALUATE(C8488,F8488)</f>
        <v>56254.178844827729</v>
      </c>
      <c r="H8488" s="5" t="s">
        <v>8529</v>
      </c>
      <c r="I8488" s="7">
        <v>1848600</v>
      </c>
      <c r="J8488" s="8">
        <v>3.8600000000000002E-2</v>
      </c>
    </row>
    <row r="8489" spans="1:10" x14ac:dyDescent="0.25">
      <c r="A8489" s="5" t="s">
        <v>8523</v>
      </c>
      <c r="B8489" s="5" t="s">
        <v>10356</v>
      </c>
      <c r="C8489" s="6" t="str">
        <f>_xll.QS.CONTEXT.CREATE("market.8487",A8489,"USD","SOFR")</f>
        <v>QSObject:PricingContext:w1~market.8487:2490</v>
      </c>
      <c r="D8489" s="6" t="str">
        <f>_xll.QS.CONTEXT.ADD.CURVE(C8489,"SOFR",$K$2:$K$7,$L$2:$L$7,,,"Actual360","LogLinear",TRUE)</f>
        <v>QSObject:ContextInput:w1~input.qs_context_add_curve.2359132437744.8488.3.0:31834</v>
      </c>
      <c r="E8489" s="6" t="str">
        <f>_xll.QS.INSTRUMENT.SWAP("swap.8487",H8489,B8489,"USD","SOFR",I8489,J8489,0,"Actual360","Simple","Annual","Annual","Annual")</f>
        <v>QSObject:Swap:w1~swap.8487:2489</v>
      </c>
      <c r="F8489" s="6" t="str">
        <f>_xll.QS.TRADE.CREATE("trade.8487",E8489,A8489,"Receive")</f>
        <v>QSObject:SwapTrade:w1~trade.8487:23375</v>
      </c>
      <c r="G8489" s="3">
        <f>_xll.QS.EVALUATE(C8489,F8489)</f>
        <v>57108.026633295376</v>
      </c>
      <c r="H8489" s="5" t="s">
        <v>8530</v>
      </c>
      <c r="I8489" s="7">
        <v>1848700</v>
      </c>
      <c r="J8489" s="8">
        <v>3.8700000000000012E-2</v>
      </c>
    </row>
    <row r="8490" spans="1:10" x14ac:dyDescent="0.25">
      <c r="A8490" s="5" t="s">
        <v>8524</v>
      </c>
      <c r="B8490" s="5" t="s">
        <v>10357</v>
      </c>
      <c r="C8490" s="6" t="str">
        <f>_xll.QS.CONTEXT.CREATE("market.8488",A8490,"USD","SOFR")</f>
        <v>QSObject:PricingContext:w1~market.8488:2488</v>
      </c>
      <c r="D8490" s="6" t="str">
        <f>_xll.QS.CONTEXT.ADD.CURVE(C8490,"SOFR",$K$2:$K$7,$L$2:$L$7,,,"Actual360","LogLinear",TRUE)</f>
        <v>QSObject:ContextInput:w1~input.qs_context_add_curve.2359132437744.8489.3.0:31833</v>
      </c>
      <c r="E8490" s="6" t="str">
        <f>_xll.QS.INSTRUMENT.SWAP("swap.8488",H8490,B8490,"USD","SOFR",I8490,J8490,0,"Actual360","Simple","Annual","Annual","Annual")</f>
        <v>QSObject:Swap:w1~swap.8488:2487</v>
      </c>
      <c r="F8490" s="6" t="str">
        <f>_xll.QS.TRADE.CREATE("trade.8488",E8490,A8490,"Receive")</f>
        <v>QSObject:SwapTrade:w1~trade.8488:23374</v>
      </c>
      <c r="G8490" s="3">
        <f>_xll.QS.EVALUATE(C8490,F8490)</f>
        <v>57890.056862249417</v>
      </c>
      <c r="H8490" s="5" t="s">
        <v>8531</v>
      </c>
      <c r="I8490" s="7">
        <v>1848800</v>
      </c>
      <c r="J8490" s="8">
        <v>3.8800000000000001E-2</v>
      </c>
    </row>
    <row r="8491" spans="1:10" x14ac:dyDescent="0.25">
      <c r="A8491" s="5" t="s">
        <v>8525</v>
      </c>
      <c r="B8491" s="5" t="s">
        <v>10358</v>
      </c>
      <c r="C8491" s="6" t="str">
        <f>_xll.QS.CONTEXT.CREATE("market.8489",A8491,"USD","SOFR")</f>
        <v>QSObject:PricingContext:w1~market.8489:2486</v>
      </c>
      <c r="D8491" s="6" t="str">
        <f>_xll.QS.CONTEXT.ADD.CURVE(C8491,"SOFR",$K$2:$K$7,$L$2:$L$7,,,"Actual360","LogLinear",TRUE)</f>
        <v>QSObject:ContextInput:w1~input.qs_context_add_curve.2359132437744.8490.3.0:31832</v>
      </c>
      <c r="E8491" s="6" t="str">
        <f>_xll.QS.INSTRUMENT.SWAP("swap.8489",H8491,B8491,"USD","SOFR",I8491,J8491,0,"Actual360","Simple","Annual","Annual","Annual")</f>
        <v>QSObject:Swap:w1~swap.8489:2485</v>
      </c>
      <c r="F8491" s="6" t="str">
        <f>_xll.QS.TRADE.CREATE("trade.8489",E8491,A8491,"Receive")</f>
        <v>QSObject:SwapTrade:w1~trade.8489:23373</v>
      </c>
      <c r="G8491" s="3">
        <f>_xll.QS.EVALUATE(C8491,F8491)</f>
        <v>58598.672041599937</v>
      </c>
      <c r="H8491" s="5" t="s">
        <v>8532</v>
      </c>
      <c r="I8491" s="7">
        <v>1848900</v>
      </c>
      <c r="J8491" s="8">
        <v>3.8899999999999997E-2</v>
      </c>
    </row>
    <row r="8492" spans="1:10" x14ac:dyDescent="0.25">
      <c r="A8492" s="5" t="s">
        <v>8526</v>
      </c>
      <c r="B8492" s="5" t="s">
        <v>10359</v>
      </c>
      <c r="C8492" s="6" t="str">
        <f>_xll.QS.CONTEXT.CREATE("market.8490",A8492,"USD","SOFR")</f>
        <v>QSObject:PricingContext:w1~market.8490:2484</v>
      </c>
      <c r="D8492" s="6" t="str">
        <f>_xll.QS.CONTEXT.ADD.CURVE(C8492,"SOFR",$K$2:$K$7,$L$2:$L$7,,,"Actual360","LogLinear",TRUE)</f>
        <v>QSObject:ContextInput:w1~input.qs_context_add_curve.2359132437744.8491.3.0:31831</v>
      </c>
      <c r="E8492" s="6" t="str">
        <f>_xll.QS.INSTRUMENT.SWAP("swap.8490",H8492,B8492,"USD","SOFR",I8492,J8492,0,"Actual360","Simple","Annual","Annual","Annual")</f>
        <v>QSObject:Swap:w1~swap.8490:2483</v>
      </c>
      <c r="F8492" s="6" t="str">
        <f>_xll.QS.TRADE.CREATE("trade.8490",E8492,A8492,"Receive")</f>
        <v>QSObject:SwapTrade:w1~trade.8490:23372</v>
      </c>
      <c r="G8492" s="3">
        <f>_xll.QS.EVALUATE(C8492,F8492)</f>
        <v>59335.654361166416</v>
      </c>
      <c r="H8492" s="5" t="s">
        <v>8533</v>
      </c>
      <c r="I8492" s="7">
        <v>1849000</v>
      </c>
      <c r="J8492" s="8">
        <v>3.9000000000000007E-2</v>
      </c>
    </row>
    <row r="8493" spans="1:10" x14ac:dyDescent="0.25">
      <c r="A8493" s="5" t="s">
        <v>8527</v>
      </c>
      <c r="B8493" s="5" t="s">
        <v>10360</v>
      </c>
      <c r="C8493" s="6" t="str">
        <f>_xll.QS.CONTEXT.CREATE("market.8491",A8493,"USD","SOFR")</f>
        <v>QSObject:PricingContext:w1~market.8491:2482</v>
      </c>
      <c r="D8493" s="6" t="str">
        <f>_xll.QS.CONTEXT.ADD.CURVE(C8493,"SOFR",$K$2:$K$7,$L$2:$L$7,,,"Actual360","LogLinear",TRUE)</f>
        <v>QSObject:ContextInput:w1~input.qs_context_add_curve.2359132437744.8492.3.0:31830</v>
      </c>
      <c r="E8493" s="6" t="str">
        <f>_xll.QS.INSTRUMENT.SWAP("swap.8491",H8493,B8493,"USD","SOFR",I8493,J8493,0,"Actual360","Simple","Annual","Annual","Annual")</f>
        <v>QSObject:Swap:w1~swap.8491:2481</v>
      </c>
      <c r="F8493" s="6" t="str">
        <f>_xll.QS.TRADE.CREATE("trade.8491",E8493,A8493,"Receive")</f>
        <v>QSObject:SwapTrade:w1~trade.8491:23371</v>
      </c>
      <c r="G8493" s="3">
        <f>_xll.QS.EVALUATE(C8493,F8493)</f>
        <v>60272.372202257313</v>
      </c>
      <c r="H8493" s="5" t="s">
        <v>8534</v>
      </c>
      <c r="I8493" s="7">
        <v>1849100</v>
      </c>
      <c r="J8493" s="8">
        <v>3.9100000000000003E-2</v>
      </c>
    </row>
    <row r="8494" spans="1:10" x14ac:dyDescent="0.25">
      <c r="A8494" s="5" t="s">
        <v>8528</v>
      </c>
      <c r="B8494" s="5" t="s">
        <v>10361</v>
      </c>
      <c r="C8494" s="6" t="str">
        <f>_xll.QS.CONTEXT.CREATE("market.8492",A8494,"USD","SOFR")</f>
        <v>QSObject:PricingContext:w1~market.8492:2480</v>
      </c>
      <c r="D8494" s="6" t="str">
        <f>_xll.QS.CONTEXT.ADD.CURVE(C8494,"SOFR",$K$2:$K$7,$L$2:$L$7,,,"Actual360","LogLinear",TRUE)</f>
        <v>QSObject:ContextInput:w1~input.qs_context_add_curve.2359132437744.8493.3.0:31829</v>
      </c>
      <c r="E8494" s="6" t="str">
        <f>_xll.QS.INSTRUMENT.SWAP("swap.8492",H8494,B8494,"USD","SOFR",I8494,J8494,0,"Actual360","Simple","Annual","Annual","Annual")</f>
        <v>QSObject:Swap:w1~swap.8492:2479</v>
      </c>
      <c r="F8494" s="6" t="str">
        <f>_xll.QS.TRADE.CREATE("trade.8492",E8494,A8494,"Receive")</f>
        <v>QSObject:SwapTrade:w1~trade.8492:23370</v>
      </c>
      <c r="G8494" s="3">
        <f>_xll.QS.EVALUATE(C8494,F8494)</f>
        <v>61168.367996914603</v>
      </c>
      <c r="H8494" s="5" t="s">
        <v>8535</v>
      </c>
      <c r="I8494" s="7">
        <v>1849200</v>
      </c>
      <c r="J8494" s="8">
        <v>3.9200000000000013E-2</v>
      </c>
    </row>
    <row r="8495" spans="1:10" x14ac:dyDescent="0.25">
      <c r="A8495" s="5" t="s">
        <v>8529</v>
      </c>
      <c r="B8495" s="5" t="s">
        <v>10362</v>
      </c>
      <c r="C8495" s="6" t="str">
        <f>_xll.QS.CONTEXT.CREATE("market.8493",A8495,"USD","SOFR")</f>
        <v>QSObject:PricingContext:w1~market.8493:2478</v>
      </c>
      <c r="D8495" s="6" t="str">
        <f>_xll.QS.CONTEXT.ADD.CURVE(C8495,"SOFR",$K$2:$K$7,$L$2:$L$7,,,"Actual360","LogLinear",TRUE)</f>
        <v>QSObject:ContextInput:w1~input.qs_context_add_curve.2359132437744.8494.3.0:31828</v>
      </c>
      <c r="E8495" s="6" t="str">
        <f>_xll.QS.INSTRUMENT.SWAP("swap.8493",H8495,B8495,"USD","SOFR",I8495,J8495,0,"Actual360","Simple","Annual","Annual","Annual")</f>
        <v>QSObject:Swap:w1~swap.8493:2477</v>
      </c>
      <c r="F8495" s="6" t="str">
        <f>_xll.QS.TRADE.CREATE("trade.8493",E8495,A8495,"Receive")</f>
        <v>QSObject:SwapTrade:w1~trade.8493:23369</v>
      </c>
      <c r="G8495" s="3">
        <f>_xll.QS.EVALUATE(C8495,F8495)</f>
        <v>62160.149562958773</v>
      </c>
      <c r="H8495" s="5" t="s">
        <v>8536</v>
      </c>
      <c r="I8495" s="7">
        <v>1849300</v>
      </c>
      <c r="J8495" s="8">
        <v>3.9300000000000002E-2</v>
      </c>
    </row>
    <row r="8496" spans="1:10" x14ac:dyDescent="0.25">
      <c r="A8496" s="5" t="s">
        <v>8530</v>
      </c>
      <c r="B8496" s="5" t="s">
        <v>10363</v>
      </c>
      <c r="C8496" s="6" t="str">
        <f>_xll.QS.CONTEXT.CREATE("market.8494",A8496,"USD","SOFR")</f>
        <v>QSObject:PricingContext:w1~market.8494:2476</v>
      </c>
      <c r="D8496" s="6" t="str">
        <f>_xll.QS.CONTEXT.ADD.CURVE(C8496,"SOFR",$K$2:$K$7,$L$2:$L$7,,,"Actual360","LogLinear",TRUE)</f>
        <v>QSObject:ContextInput:w1~input.qs_context_add_curve.2359132437744.8495.3.0:31827</v>
      </c>
      <c r="E8496" s="6" t="str">
        <f>_xll.QS.INSTRUMENT.SWAP("swap.8494",H8496,B8496,"USD","SOFR",I8496,J8496,0,"Actual360","Simple","Annual","Annual","Annual")</f>
        <v>QSObject:Swap:w1~swap.8494:2475</v>
      </c>
      <c r="F8496" s="6" t="str">
        <f>_xll.QS.TRADE.CREATE("trade.8494",E8496,A8496,"Receive")</f>
        <v>QSObject:SwapTrade:w1~trade.8494:23368</v>
      </c>
      <c r="G8496" s="3">
        <f>_xll.QS.EVALUATE(C8496,F8496)</f>
        <v>63097.322500330367</v>
      </c>
      <c r="H8496" s="5" t="s">
        <v>8537</v>
      </c>
      <c r="I8496" s="7">
        <v>1849400</v>
      </c>
      <c r="J8496" s="8">
        <v>3.9399999999999998E-2</v>
      </c>
    </row>
    <row r="8497" spans="1:10" x14ac:dyDescent="0.25">
      <c r="A8497" s="5" t="s">
        <v>8531</v>
      </c>
      <c r="B8497" s="5" t="s">
        <v>10364</v>
      </c>
      <c r="C8497" s="6" t="str">
        <f>_xll.QS.CONTEXT.CREATE("market.8495",A8497,"USD","SOFR")</f>
        <v>QSObject:PricingContext:w1~market.8495:2474</v>
      </c>
      <c r="D8497" s="6" t="str">
        <f>_xll.QS.CONTEXT.ADD.CURVE(C8497,"SOFR",$K$2:$K$7,$L$2:$L$7,,,"Actual360","LogLinear",TRUE)</f>
        <v>QSObject:ContextInput:w1~input.qs_context_add_curve.2359132437744.8496.3.0:31826</v>
      </c>
      <c r="E8497" s="6" t="str">
        <f>_xll.QS.INSTRUMENT.SWAP("swap.8495",H8497,B8497,"USD","SOFR",I8497,J8497,0,"Actual360","Simple","Annual","Annual","Annual")</f>
        <v>QSObject:Swap:w1~swap.8495:2473</v>
      </c>
      <c r="F8497" s="6" t="str">
        <f>_xll.QS.TRADE.CREATE("trade.8495",E8497,A8497,"Receive")</f>
        <v>QSObject:SwapTrade:w1~trade.8495:23367</v>
      </c>
      <c r="G8497" s="3">
        <f>_xll.QS.EVALUATE(C8497,F8497)</f>
        <v>63882.297777426174</v>
      </c>
      <c r="H8497" s="5" t="s">
        <v>8538</v>
      </c>
      <c r="I8497" s="7">
        <v>1849500</v>
      </c>
      <c r="J8497" s="8">
        <v>3.9500000000000007E-2</v>
      </c>
    </row>
    <row r="8498" spans="1:10" x14ac:dyDescent="0.25">
      <c r="A8498" s="5" t="s">
        <v>8532</v>
      </c>
      <c r="B8498" s="5" t="s">
        <v>10365</v>
      </c>
      <c r="C8498" s="6" t="str">
        <f>_xll.QS.CONTEXT.CREATE("market.8496",A8498,"USD","SOFR")</f>
        <v>QSObject:PricingContext:w1~market.8496:2472</v>
      </c>
      <c r="D8498" s="6" t="str">
        <f>_xll.QS.CONTEXT.ADD.CURVE(C8498,"SOFR",$K$2:$K$7,$L$2:$L$7,,,"Actual360","LogLinear",TRUE)</f>
        <v>QSObject:ContextInput:w1~input.qs_context_add_curve.2359132437744.8497.3.0:31825</v>
      </c>
      <c r="E8498" s="6" t="str">
        <f>_xll.QS.INSTRUMENT.SWAP("swap.8496",H8498,B8498,"USD","SOFR",I8498,J8498,0,"Actual360","Simple","Annual","Annual","Annual")</f>
        <v>QSObject:Swap:w1~swap.8496:2471</v>
      </c>
      <c r="F8498" s="6" t="str">
        <f>_xll.QS.TRADE.CREATE("trade.8496",E8498,A8498,"Receive")</f>
        <v>QSObject:SwapTrade:w1~trade.8496:23366</v>
      </c>
      <c r="G8498" s="3">
        <f>_xll.QS.EVALUATE(C8498,F8498)</f>
        <v>64584.468143323742</v>
      </c>
      <c r="H8498" s="5" t="s">
        <v>8539</v>
      </c>
      <c r="I8498" s="7">
        <v>1849600</v>
      </c>
      <c r="J8498" s="8">
        <v>3.9600000000000003E-2</v>
      </c>
    </row>
    <row r="8499" spans="1:10" x14ac:dyDescent="0.25">
      <c r="A8499" s="5" t="s">
        <v>8533</v>
      </c>
      <c r="B8499" s="5" t="s">
        <v>10366</v>
      </c>
      <c r="C8499" s="6" t="str">
        <f>_xll.QS.CONTEXT.CREATE("market.8497",A8499,"USD","SOFR")</f>
        <v>QSObject:PricingContext:w1~market.8497:2470</v>
      </c>
      <c r="D8499" s="6" t="str">
        <f>_xll.QS.CONTEXT.ADD.CURVE(C8499,"SOFR",$K$2:$K$7,$L$2:$L$7,,,"Actual360","LogLinear",TRUE)</f>
        <v>QSObject:ContextInput:w1~input.qs_context_add_curve.2359132437744.8498.3.0:31824</v>
      </c>
      <c r="E8499" s="6" t="str">
        <f>_xll.QS.INSTRUMENT.SWAP("swap.8497",H8499,B8499,"USD","SOFR",I8499,J8499,0,"Actual360","Simple","Annual","Annual","Annual")</f>
        <v>QSObject:Swap:w1~swap.8497:2469</v>
      </c>
      <c r="F8499" s="6" t="str">
        <f>_xll.QS.TRADE.CREATE("trade.8497",E8499,A8499,"Receive")</f>
        <v>QSObject:SwapTrade:w1~trade.8497:23365</v>
      </c>
      <c r="G8499" s="3">
        <f>_xll.QS.EVALUATE(C8499,F8499)</f>
        <v>65331.278258478065</v>
      </c>
      <c r="H8499" s="5" t="s">
        <v>8540</v>
      </c>
      <c r="I8499" s="7">
        <v>1849700</v>
      </c>
      <c r="J8499" s="8">
        <v>3.9700000000000013E-2</v>
      </c>
    </row>
    <row r="8500" spans="1:10" x14ac:dyDescent="0.25">
      <c r="A8500" s="5" t="s">
        <v>8534</v>
      </c>
      <c r="B8500" s="5" t="s">
        <v>10367</v>
      </c>
      <c r="C8500" s="6" t="str">
        <f>_xll.QS.CONTEXT.CREATE("market.8498",A8500,"USD","SOFR")</f>
        <v>QSObject:PricingContext:w1~market.8498:2468</v>
      </c>
      <c r="D8500" s="6" t="str">
        <f>_xll.QS.CONTEXT.ADD.CURVE(C8500,"SOFR",$K$2:$K$7,$L$2:$L$7,,,"Actual360","LogLinear",TRUE)</f>
        <v>QSObject:ContextInput:w1~input.qs_context_add_curve.2359132437744.8499.3.0:31823</v>
      </c>
      <c r="E8500" s="6" t="str">
        <f>_xll.QS.INSTRUMENT.SWAP("swap.8498",H8500,B8500,"USD","SOFR",I8500,J8500,0,"Actual360","Simple","Annual","Annual","Annual")</f>
        <v>QSObject:Swap:w1~swap.8498:2467</v>
      </c>
      <c r="F8500" s="6" t="str">
        <f>_xll.QS.TRADE.CREATE("trade.8498",E8500,A8500,"Receive")</f>
        <v>QSObject:SwapTrade:w1~trade.8498:23364</v>
      </c>
      <c r="G8500" s="3">
        <f>_xll.QS.EVALUATE(C8500,F8500)</f>
        <v>66267.980752258052</v>
      </c>
      <c r="H8500" s="5" t="s">
        <v>8541</v>
      </c>
      <c r="I8500" s="7">
        <v>1849800</v>
      </c>
      <c r="J8500" s="8">
        <v>3.9800000000000002E-2</v>
      </c>
    </row>
    <row r="8501" spans="1:10" x14ac:dyDescent="0.25">
      <c r="A8501" s="5" t="s">
        <v>8535</v>
      </c>
      <c r="B8501" s="5" t="s">
        <v>10368</v>
      </c>
      <c r="C8501" s="6" t="str">
        <f>_xll.QS.CONTEXT.CREATE("market.8499",A8501,"USD","SOFR")</f>
        <v>QSObject:PricingContext:w1~market.8499:2466</v>
      </c>
      <c r="D8501" s="6" t="str">
        <f>_xll.QS.CONTEXT.ADD.CURVE(C8501,"SOFR",$K$2:$K$7,$L$2:$L$7,,,"Actual360","LogLinear",TRUE)</f>
        <v>QSObject:ContextInput:w1~input.qs_context_add_curve.2359132437744.8500.3.0:31822</v>
      </c>
      <c r="E8501" s="6" t="str">
        <f>_xll.QS.INSTRUMENT.SWAP("swap.8499",H8501,B8501,"USD","SOFR",I8501,J8501,0,"Actual360","Simple","Annual","Annual","Annual")</f>
        <v>QSObject:Swap:w1~swap.8499:2465</v>
      </c>
      <c r="F8501" s="6" t="str">
        <f>_xll.QS.TRADE.CREATE("trade.8499",E8501,A8501,"Receive")</f>
        <v>QSObject:SwapTrade:w1~trade.8499:23363</v>
      </c>
      <c r="G8501" s="3">
        <f>_xll.QS.EVALUATE(C8501,F8501)</f>
        <v>67162.854230444995</v>
      </c>
      <c r="H8501" s="5" t="s">
        <v>8542</v>
      </c>
      <c r="I8501" s="7">
        <v>1849900</v>
      </c>
      <c r="J8501" s="8">
        <v>3.9899999999999998E-2</v>
      </c>
    </row>
    <row r="8502" spans="1:10" x14ac:dyDescent="0.25">
      <c r="A8502" s="5" t="s">
        <v>8536</v>
      </c>
      <c r="B8502" s="5" t="s">
        <v>10369</v>
      </c>
      <c r="C8502" s="6" t="str">
        <f>_xll.QS.CONTEXT.CREATE("market.8500",A8502,"USD","SOFR")</f>
        <v>QSObject:PricingContext:w1~market.8500:2464</v>
      </c>
      <c r="D8502" s="6" t="str">
        <f>_xll.QS.CONTEXT.ADD.CURVE(C8502,"SOFR",$K$2:$K$7,$L$2:$L$7,,,"Actual360","LogLinear",TRUE)</f>
        <v>QSObject:ContextInput:w1~input.qs_context_add_curve.2359132437744.8501.3.0:31821</v>
      </c>
      <c r="E8502" s="6" t="str">
        <f>_xll.QS.INSTRUMENT.SWAP("swap.8500",H8502,B8502,"USD","SOFR",I8502,J8502,0,"Actual360","Simple","Annual","Annual","Annual")</f>
        <v>QSObject:Swap:w1~swap.8500:2463</v>
      </c>
      <c r="F8502" s="6" t="str">
        <f>_xll.QS.TRADE.CREATE("trade.8500",E8502,A8502,"Receive")</f>
        <v>QSObject:SwapTrade:w1~trade.8500:23362</v>
      </c>
      <c r="G8502" s="3">
        <f>_xll.QS.EVALUATE(C8502,F8502)</f>
        <v>25500.084721805732</v>
      </c>
      <c r="H8502" s="5" t="s">
        <v>8543</v>
      </c>
      <c r="I8502" s="7">
        <v>1850000</v>
      </c>
      <c r="J8502" s="8">
        <v>3.5000000000000003E-2</v>
      </c>
    </row>
    <row r="8503" spans="1:10" x14ac:dyDescent="0.25">
      <c r="A8503" s="5" t="s">
        <v>8537</v>
      </c>
      <c r="B8503" s="5" t="s">
        <v>10370</v>
      </c>
      <c r="C8503" s="6" t="str">
        <f>_xll.QS.CONTEXT.CREATE("market.8501",A8503,"USD","SOFR")</f>
        <v>QSObject:PricingContext:w1~market.8501:2462</v>
      </c>
      <c r="D8503" s="6" t="str">
        <f>_xll.QS.CONTEXT.ADD.CURVE(C8503,"SOFR",$K$2:$K$7,$L$2:$L$7,,,"Actual360","LogLinear",TRUE)</f>
        <v>QSObject:ContextInput:w1~input.qs_context_add_curve.2359132437744.8502.3.0:31820</v>
      </c>
      <c r="E8503" s="6" t="str">
        <f>_xll.QS.INSTRUMENT.SWAP("swap.8501",H8503,B8503,"USD","SOFR",I8503,J8503,0,"Actual360","Simple","Annual","Annual","Annual")</f>
        <v>QSObject:Swap:w1~swap.8501:2461</v>
      </c>
      <c r="F8503" s="6" t="str">
        <f>_xll.QS.TRADE.CREATE("trade.8501",E8503,A8503,"Receive")</f>
        <v>QSObject:SwapTrade:w1~trade.8501:23361</v>
      </c>
      <c r="G8503" s="3">
        <f>_xll.QS.EVALUATE(C8503,F8503)</f>
        <v>26434.867621351608</v>
      </c>
      <c r="H8503" s="5" t="s">
        <v>8544</v>
      </c>
      <c r="I8503" s="7">
        <v>1850100</v>
      </c>
      <c r="J8503" s="8">
        <v>3.5100000000000013E-2</v>
      </c>
    </row>
    <row r="8504" spans="1:10" x14ac:dyDescent="0.25">
      <c r="A8504" s="5" t="s">
        <v>8538</v>
      </c>
      <c r="B8504" s="5" t="s">
        <v>10371</v>
      </c>
      <c r="C8504" s="6" t="str">
        <f>_xll.QS.CONTEXT.CREATE("market.8502",A8504,"USD","SOFR")</f>
        <v>QSObject:PricingContext:w1~market.8502:2460</v>
      </c>
      <c r="D8504" s="6" t="str">
        <f>_xll.QS.CONTEXT.ADD.CURVE(C8504,"SOFR",$K$2:$K$7,$L$2:$L$7,,,"Actual360","LogLinear",TRUE)</f>
        <v>QSObject:ContextInput:w1~input.qs_context_add_curve.2359132437744.8503.3.0:31819</v>
      </c>
      <c r="E8504" s="6" t="str">
        <f>_xll.QS.INSTRUMENT.SWAP("swap.8502",H8504,B8504,"USD","SOFR",I8504,J8504,0,"Actual360","Simple","Annual","Annual","Annual")</f>
        <v>QSObject:Swap:w1~swap.8502:2459</v>
      </c>
      <c r="F8504" s="6" t="str">
        <f>_xll.QS.TRADE.CREATE("trade.8502",E8504,A8504,"Receive")</f>
        <v>QSObject:SwapTrade:w1~trade.8502:23360</v>
      </c>
      <c r="G8504" s="3">
        <f>_xll.QS.EVALUATE(C8504,F8504)</f>
        <v>27220.413554157814</v>
      </c>
      <c r="H8504" s="5" t="s">
        <v>8545</v>
      </c>
      <c r="I8504" s="7">
        <v>1850200</v>
      </c>
      <c r="J8504" s="8">
        <v>3.5200000000000002E-2</v>
      </c>
    </row>
    <row r="8505" spans="1:10" x14ac:dyDescent="0.25">
      <c r="A8505" s="5" t="s">
        <v>8539</v>
      </c>
      <c r="B8505" s="5" t="s">
        <v>10372</v>
      </c>
      <c r="C8505" s="6" t="str">
        <f>_xll.QS.CONTEXT.CREATE("market.8503",A8505,"USD","SOFR")</f>
        <v>QSObject:PricingContext:w1~market.8503:2458</v>
      </c>
      <c r="D8505" s="6" t="str">
        <f>_xll.QS.CONTEXT.ADD.CURVE(C8505,"SOFR",$K$2:$K$7,$L$2:$L$7,,,"Actual360","LogLinear",TRUE)</f>
        <v>QSObject:ContextInput:w1~input.qs_context_add_curve.2359132437744.8504.3.0:31818</v>
      </c>
      <c r="E8505" s="6" t="str">
        <f>_xll.QS.INSTRUMENT.SWAP("swap.8503",H8505,B8505,"USD","SOFR",I8505,J8505,0,"Actual360","Simple","Annual","Annual","Annual")</f>
        <v>QSObject:Swap:w1~swap.8503:2457</v>
      </c>
      <c r="F8505" s="6" t="str">
        <f>_xll.QS.TRADE.CREATE("trade.8503",E8505,A8505,"Receive")</f>
        <v>QSObject:SwapTrade:w1~trade.8503:23359</v>
      </c>
      <c r="G8505" s="3">
        <f>_xll.QS.EVALUATE(C8505,F8505)</f>
        <v>27964.070840330511</v>
      </c>
      <c r="H8505" s="5" t="s">
        <v>8546</v>
      </c>
      <c r="I8505" s="7">
        <v>1850300</v>
      </c>
      <c r="J8505" s="8">
        <v>3.5299999999999998E-2</v>
      </c>
    </row>
    <row r="8506" spans="1:10" x14ac:dyDescent="0.25">
      <c r="A8506" s="5" t="s">
        <v>8540</v>
      </c>
      <c r="B8506" s="5" t="s">
        <v>10373</v>
      </c>
      <c r="C8506" s="6" t="str">
        <f>_xll.QS.CONTEXT.CREATE("market.8504",A8506,"USD","SOFR")</f>
        <v>QSObject:PricingContext:w1~market.8504:2456</v>
      </c>
      <c r="D8506" s="6" t="str">
        <f>_xll.QS.CONTEXT.ADD.CURVE(C8506,"SOFR",$K$2:$K$7,$L$2:$L$7,,,"Actual360","LogLinear",TRUE)</f>
        <v>QSObject:ContextInput:w1~input.qs_context_add_curve.2359132437744.8505.3.0:31817</v>
      </c>
      <c r="E8506" s="6" t="str">
        <f>_xll.QS.INSTRUMENT.SWAP("swap.8504",H8506,B8506,"USD","SOFR",I8506,J8506,0,"Actual360","Simple","Annual","Annual","Annual")</f>
        <v>QSObject:Swap:w1~swap.8504:2455</v>
      </c>
      <c r="F8506" s="6" t="str">
        <f>_xll.QS.TRADE.CREATE("trade.8504",E8506,A8506,"Receive")</f>
        <v>QSObject:SwapTrade:w1~trade.8504:23358</v>
      </c>
      <c r="G8506" s="3">
        <f>_xll.QS.EVALUATE(C8506,F8506)</f>
        <v>28652.520986792573</v>
      </c>
      <c r="H8506" s="5" t="s">
        <v>8547</v>
      </c>
      <c r="I8506" s="7">
        <v>1850400</v>
      </c>
      <c r="J8506" s="8">
        <v>3.5400000000000001E-2</v>
      </c>
    </row>
    <row r="8507" spans="1:10" x14ac:dyDescent="0.25">
      <c r="A8507" s="5" t="s">
        <v>8541</v>
      </c>
      <c r="B8507" s="5" t="s">
        <v>10374</v>
      </c>
      <c r="C8507" s="6" t="str">
        <f>_xll.QS.CONTEXT.CREATE("market.8505",A8507,"USD","SOFR")</f>
        <v>QSObject:PricingContext:w1~market.8505:2454</v>
      </c>
      <c r="D8507" s="6" t="str">
        <f>_xll.QS.CONTEXT.ADD.CURVE(C8507,"SOFR",$K$2:$K$7,$L$2:$L$7,,,"Actual360","LogLinear",TRUE)</f>
        <v>QSObject:ContextInput:w1~input.qs_context_add_curve.2359132437744.8506.3.0:31816</v>
      </c>
      <c r="E8507" s="6" t="str">
        <f>_xll.QS.INSTRUMENT.SWAP("swap.8505",H8507,B8507,"USD","SOFR",I8507,J8507,0,"Actual360","Simple","Annual","Annual","Annual")</f>
        <v>QSObject:Swap:w1~swap.8505:2453</v>
      </c>
      <c r="F8507" s="6" t="str">
        <f>_xll.QS.TRADE.CREATE("trade.8505",E8507,A8507,"Receive")</f>
        <v>QSObject:SwapTrade:w1~trade.8505:23357</v>
      </c>
      <c r="G8507" s="3">
        <f>_xll.QS.EVALUATE(C8507,F8507)</f>
        <v>29582.784659793491</v>
      </c>
      <c r="H8507" s="5" t="s">
        <v>8548</v>
      </c>
      <c r="I8507" s="7">
        <v>1850500</v>
      </c>
      <c r="J8507" s="8">
        <v>3.5499999999999997E-2</v>
      </c>
    </row>
    <row r="8508" spans="1:10" x14ac:dyDescent="0.25">
      <c r="A8508" s="5" t="s">
        <v>8542</v>
      </c>
      <c r="B8508" s="5" t="s">
        <v>10375</v>
      </c>
      <c r="C8508" s="6" t="str">
        <f>_xll.QS.CONTEXT.CREATE("market.8506",A8508,"USD","SOFR")</f>
        <v>QSObject:PricingContext:w1~market.8506:2452</v>
      </c>
      <c r="D8508" s="6" t="str">
        <f>_xll.QS.CONTEXT.ADD.CURVE(C8508,"SOFR",$K$2:$K$7,$L$2:$L$7,,,"Actual360","LogLinear",TRUE)</f>
        <v>QSObject:ContextInput:w1~input.qs_context_add_curve.2359132437744.8507.3.0:31815</v>
      </c>
      <c r="E8508" s="6" t="str">
        <f>_xll.QS.INSTRUMENT.SWAP("swap.8506",H8508,B8508,"USD","SOFR",I8508,J8508,0,"Actual360","Simple","Annual","Annual","Annual")</f>
        <v>QSObject:Swap:w1~swap.8506:2451</v>
      </c>
      <c r="F8508" s="6" t="str">
        <f>_xll.QS.TRADE.CREATE("trade.8506",E8508,A8508,"Receive")</f>
        <v>QSObject:SwapTrade:w1~trade.8506:23356</v>
      </c>
      <c r="G8508" s="3">
        <f>_xll.QS.EVALUATE(C8508,F8508)</f>
        <v>30492.641655266547</v>
      </c>
      <c r="H8508" s="5" t="s">
        <v>8549</v>
      </c>
      <c r="I8508" s="7">
        <v>1850600</v>
      </c>
      <c r="J8508" s="8">
        <v>3.5600000000000007E-2</v>
      </c>
    </row>
    <row r="8509" spans="1:10" x14ac:dyDescent="0.25">
      <c r="A8509" s="5" t="s">
        <v>8543</v>
      </c>
      <c r="B8509" s="5" t="s">
        <v>10376</v>
      </c>
      <c r="C8509" s="6" t="str">
        <f>_xll.QS.CONTEXT.CREATE("market.8507",A8509,"USD","SOFR")</f>
        <v>QSObject:PricingContext:w1~market.8507:2450</v>
      </c>
      <c r="D8509" s="6" t="str">
        <f>_xll.QS.CONTEXT.ADD.CURVE(C8509,"SOFR",$K$2:$K$7,$L$2:$L$7,,,"Actual360","LogLinear",TRUE)</f>
        <v>QSObject:ContextInput:w1~input.qs_context_add_curve.2359132437744.8508.3.0:31814</v>
      </c>
      <c r="E8509" s="6" t="str">
        <f>_xll.QS.INSTRUMENT.SWAP("swap.8507",H8509,B8509,"USD","SOFR",I8509,J8509,0,"Actual360","Simple","Annual","Annual","Annual")</f>
        <v>QSObject:Swap:w1~swap.8507:2449</v>
      </c>
      <c r="F8509" s="6" t="str">
        <f>_xll.QS.TRADE.CREATE("trade.8507",E8509,A8509,"Receive")</f>
        <v>QSObject:SwapTrade:w1~trade.8507:23355</v>
      </c>
      <c r="G8509" s="3">
        <f>_xll.QS.EVALUATE(C8509,F8509)</f>
        <v>31483.741413080585</v>
      </c>
      <c r="H8509" s="5" t="s">
        <v>8550</v>
      </c>
      <c r="I8509" s="7">
        <v>1850700</v>
      </c>
      <c r="J8509" s="8">
        <v>3.5700000000000003E-2</v>
      </c>
    </row>
    <row r="8510" spans="1:10" x14ac:dyDescent="0.25">
      <c r="A8510" s="5" t="s">
        <v>8544</v>
      </c>
      <c r="B8510" s="5" t="s">
        <v>10377</v>
      </c>
      <c r="C8510" s="6" t="str">
        <f>_xll.QS.CONTEXT.CREATE("market.8508",A8510,"USD","SOFR")</f>
        <v>QSObject:PricingContext:w1~market.8508:2448</v>
      </c>
      <c r="D8510" s="6" t="str">
        <f>_xll.QS.CONTEXT.ADD.CURVE(C8510,"SOFR",$K$2:$K$7,$L$2:$L$7,,,"Actual360","LogLinear",TRUE)</f>
        <v>QSObject:ContextInput:w1~input.qs_context_add_curve.2359132437744.8509.3.0:31813</v>
      </c>
      <c r="E8510" s="6" t="str">
        <f>_xll.QS.INSTRUMENT.SWAP("swap.8508",H8510,B8510,"USD","SOFR",I8510,J8510,0,"Actual360","Simple","Annual","Annual","Annual")</f>
        <v>QSObject:Swap:w1~swap.8508:2447</v>
      </c>
      <c r="F8510" s="6" t="str">
        <f>_xll.QS.TRADE.CREATE("trade.8508",E8510,A8510,"Receive")</f>
        <v>QSObject:SwapTrade:w1~trade.8508:23354</v>
      </c>
      <c r="G8510" s="3">
        <f>_xll.QS.EVALUATE(C8510,F8510)</f>
        <v>32419.603240658784</v>
      </c>
      <c r="H8510" s="5" t="s">
        <v>8551</v>
      </c>
      <c r="I8510" s="7">
        <v>1850800</v>
      </c>
      <c r="J8510" s="8">
        <v>3.5800000000000012E-2</v>
      </c>
    </row>
    <row r="8511" spans="1:10" x14ac:dyDescent="0.25">
      <c r="A8511" s="5" t="s">
        <v>8545</v>
      </c>
      <c r="B8511" s="5" t="s">
        <v>10378</v>
      </c>
      <c r="C8511" s="6" t="str">
        <f>_xll.QS.CONTEXT.CREATE("market.8509",A8511,"USD","SOFR")</f>
        <v>QSObject:PricingContext:w1~market.8509:2446</v>
      </c>
      <c r="D8511" s="6" t="str">
        <f>_xll.QS.CONTEXT.ADD.CURVE(C8511,"SOFR",$K$2:$K$7,$L$2:$L$7,,,"Actual360","LogLinear",TRUE)</f>
        <v>QSObject:ContextInput:w1~input.qs_context_add_curve.2359132437744.8510.3.0:31812</v>
      </c>
      <c r="E8511" s="6" t="str">
        <f>_xll.QS.INSTRUMENT.SWAP("swap.8509",H8511,B8511,"USD","SOFR",I8511,J8511,0,"Actual360","Simple","Annual","Annual","Annual")</f>
        <v>QSObject:Swap:w1~swap.8509:2445</v>
      </c>
      <c r="F8511" s="6" t="str">
        <f>_xll.QS.TRADE.CREATE("trade.8509",E8511,A8511,"Receive")</f>
        <v>QSObject:SwapTrade:w1~trade.8509:23353</v>
      </c>
      <c r="G8511" s="3">
        <f>_xll.QS.EVALUATE(C8511,F8511)</f>
        <v>33203.848604551524</v>
      </c>
      <c r="H8511" s="5" t="s">
        <v>8552</v>
      </c>
      <c r="I8511" s="7">
        <v>1850900</v>
      </c>
      <c r="J8511" s="8">
        <v>3.5900000000000001E-2</v>
      </c>
    </row>
    <row r="8512" spans="1:10" x14ac:dyDescent="0.25">
      <c r="A8512" s="5" t="s">
        <v>8546</v>
      </c>
      <c r="B8512" s="5" t="s">
        <v>10379</v>
      </c>
      <c r="C8512" s="6" t="str">
        <f>_xll.QS.CONTEXT.CREATE("market.8510",A8512,"USD","SOFR")</f>
        <v>QSObject:PricingContext:w1~market.8510:2444</v>
      </c>
      <c r="D8512" s="6" t="str">
        <f>_xll.QS.CONTEXT.ADD.CURVE(C8512,"SOFR",$K$2:$K$7,$L$2:$L$7,,,"Actual360","LogLinear",TRUE)</f>
        <v>QSObject:ContextInput:w1~input.qs_context_add_curve.2359132437744.8511.3.0:31811</v>
      </c>
      <c r="E8512" s="6" t="str">
        <f>_xll.QS.INSTRUMENT.SWAP("swap.8510",H8512,B8512,"USD","SOFR",I8512,J8512,0,"Actual360","Simple","Annual","Annual","Annual")</f>
        <v>QSObject:Swap:w1~swap.8510:2443</v>
      </c>
      <c r="F8512" s="6" t="str">
        <f>_xll.QS.TRADE.CREATE("trade.8510",E8512,A8512,"Receive")</f>
        <v>QSObject:SwapTrade:w1~trade.8510:23352</v>
      </c>
      <c r="G8512" s="3">
        <f>_xll.QS.EVALUATE(C8512,F8512)</f>
        <v>33941.076314887345</v>
      </c>
      <c r="H8512" s="5" t="s">
        <v>8553</v>
      </c>
      <c r="I8512" s="7">
        <v>1851000</v>
      </c>
      <c r="J8512" s="8">
        <v>3.5999999999999997E-2</v>
      </c>
    </row>
    <row r="8513" spans="1:10" x14ac:dyDescent="0.25">
      <c r="A8513" s="5" t="s">
        <v>8547</v>
      </c>
      <c r="B8513" s="5" t="s">
        <v>10380</v>
      </c>
      <c r="C8513" s="6" t="str">
        <f>_xll.QS.CONTEXT.CREATE("market.8511",A8513,"USD","SOFR")</f>
        <v>QSObject:PricingContext:w1~market.8511:2442</v>
      </c>
      <c r="D8513" s="6" t="str">
        <f>_xll.QS.CONTEXT.ADD.CURVE(C8513,"SOFR",$K$2:$K$7,$L$2:$L$7,,,"Actual360","LogLinear",TRUE)</f>
        <v>QSObject:ContextInput:w1~input.qs_context_add_curve.2359132437744.8512.3.0:31810</v>
      </c>
      <c r="E8513" s="6" t="str">
        <f>_xll.QS.INSTRUMENT.SWAP("swap.8511",H8513,B8513,"USD","SOFR",I8513,J8513,0,"Actual360","Simple","Annual","Annual","Annual")</f>
        <v>QSObject:Swap:w1~swap.8511:2441</v>
      </c>
      <c r="F8513" s="6" t="str">
        <f>_xll.QS.TRADE.CREATE("trade.8511",E8513,A8513,"Receive")</f>
        <v>QSObject:SwapTrade:w1~trade.8511:23351</v>
      </c>
      <c r="G8513" s="3">
        <f>_xll.QS.EVALUATE(C8513,F8513)</f>
        <v>34639.36293984553</v>
      </c>
      <c r="H8513" s="5" t="s">
        <v>8554</v>
      </c>
      <c r="I8513" s="7">
        <v>1851100</v>
      </c>
      <c r="J8513" s="8">
        <v>3.61E-2</v>
      </c>
    </row>
    <row r="8514" spans="1:10" x14ac:dyDescent="0.25">
      <c r="A8514" s="5" t="s">
        <v>8548</v>
      </c>
      <c r="B8514" s="5" t="s">
        <v>10381</v>
      </c>
      <c r="C8514" s="6" t="str">
        <f>_xll.QS.CONTEXT.CREATE("market.8512",A8514,"USD","SOFR")</f>
        <v>QSObject:PricingContext:w1~market.8512:2440</v>
      </c>
      <c r="D8514" s="6" t="str">
        <f>_xll.QS.CONTEXT.ADD.CURVE(C8514,"SOFR",$K$2:$K$7,$L$2:$L$7,,,"Actual360","LogLinear",TRUE)</f>
        <v>QSObject:ContextInput:w1~input.qs_context_add_curve.2359132437744.8513.3.0:31809</v>
      </c>
      <c r="E8514" s="6" t="str">
        <f>_xll.QS.INSTRUMENT.SWAP("swap.8512",H8514,B8514,"USD","SOFR",I8514,J8514,0,"Actual360","Simple","Annual","Annual","Annual")</f>
        <v>QSObject:Swap:w1~swap.8512:2439</v>
      </c>
      <c r="F8514" s="6" t="str">
        <f>_xll.QS.TRADE.CREATE("trade.8512",E8514,A8514,"Receive")</f>
        <v>QSObject:SwapTrade:w1~trade.8512:23350</v>
      </c>
      <c r="G8514" s="3">
        <f>_xll.QS.EVALUATE(C8514,F8514)</f>
        <v>35572.07613971454</v>
      </c>
      <c r="H8514" s="5" t="s">
        <v>8555</v>
      </c>
      <c r="I8514" s="7">
        <v>1851200</v>
      </c>
      <c r="J8514" s="8">
        <v>3.6200000000000003E-2</v>
      </c>
    </row>
    <row r="8515" spans="1:10" x14ac:dyDescent="0.25">
      <c r="A8515" s="5" t="s">
        <v>8549</v>
      </c>
      <c r="B8515" s="5" t="s">
        <v>10382</v>
      </c>
      <c r="C8515" s="6" t="str">
        <f>_xll.QS.CONTEXT.CREATE("market.8513",A8515,"USD","SOFR")</f>
        <v>QSObject:PricingContext:w1~market.8513:2438</v>
      </c>
      <c r="D8515" s="6" t="str">
        <f>_xll.QS.CONTEXT.ADD.CURVE(C8515,"SOFR",$K$2:$K$7,$L$2:$L$7,,,"Actual360","LogLinear",TRUE)</f>
        <v>QSObject:ContextInput:w1~input.qs_context_add_curve.2359132437744.8514.3.0:31808</v>
      </c>
      <c r="E8515" s="6" t="str">
        <f>_xll.QS.INSTRUMENT.SWAP("swap.8513",H8515,B8515,"USD","SOFR",I8515,J8515,0,"Actual360","Simple","Annual","Annual","Annual")</f>
        <v>QSObject:Swap:w1~swap.8513:2437</v>
      </c>
      <c r="F8515" s="6" t="str">
        <f>_xll.QS.TRADE.CREATE("trade.8513",E8515,A8515,"Receive")</f>
        <v>QSObject:SwapTrade:w1~trade.8513:23349</v>
      </c>
      <c r="G8515" s="3">
        <f>_xll.QS.EVALUATE(C8515,F8515)</f>
        <v>36481.228407581599</v>
      </c>
      <c r="H8515" s="5" t="s">
        <v>8556</v>
      </c>
      <c r="I8515" s="7">
        <v>1851300</v>
      </c>
      <c r="J8515" s="8">
        <v>3.6300000000000013E-2</v>
      </c>
    </row>
    <row r="8516" spans="1:10" x14ac:dyDescent="0.25">
      <c r="A8516" s="5" t="s">
        <v>8550</v>
      </c>
      <c r="B8516" s="5" t="s">
        <v>10383</v>
      </c>
      <c r="C8516" s="6" t="str">
        <f>_xll.QS.CONTEXT.CREATE("market.8514",A8516,"USD","SOFR")</f>
        <v>QSObject:PricingContext:w1~market.8514:2436</v>
      </c>
      <c r="D8516" s="6" t="str">
        <f>_xll.QS.CONTEXT.ADD.CURVE(C8516,"SOFR",$K$2:$K$7,$L$2:$L$7,,,"Actual360","LogLinear",TRUE)</f>
        <v>QSObject:ContextInput:w1~input.qs_context_add_curve.2359132437744.8515.3.0:31807</v>
      </c>
      <c r="E8516" s="6" t="str">
        <f>_xll.QS.INSTRUMENT.SWAP("swap.8514",H8516,B8516,"USD","SOFR",I8516,J8516,0,"Actual360","Simple","Annual","Annual","Annual")</f>
        <v>QSObject:Swap:w1~swap.8514:2435</v>
      </c>
      <c r="F8516" s="6" t="str">
        <f>_xll.QS.TRADE.CREATE("trade.8514",E8516,A8516,"Receive")</f>
        <v>QSObject:SwapTrade:w1~trade.8514:23348</v>
      </c>
      <c r="G8516" s="3">
        <f>_xll.QS.EVALUATE(C8516,F8516)</f>
        <v>37471.915048296803</v>
      </c>
      <c r="H8516" s="5" t="s">
        <v>8557</v>
      </c>
      <c r="I8516" s="7">
        <v>1851400</v>
      </c>
      <c r="J8516" s="8">
        <v>3.6400000000000002E-2</v>
      </c>
    </row>
    <row r="8517" spans="1:10" x14ac:dyDescent="0.25">
      <c r="A8517" s="5" t="s">
        <v>8551</v>
      </c>
      <c r="B8517" s="5" t="s">
        <v>10384</v>
      </c>
      <c r="C8517" s="6" t="str">
        <f>_xll.QS.CONTEXT.CREATE("market.8515",A8517,"USD","SOFR")</f>
        <v>QSObject:PricingContext:w1~market.8515:2434</v>
      </c>
      <c r="D8517" s="6" t="str">
        <f>_xll.QS.CONTEXT.ADD.CURVE(C8517,"SOFR",$K$2:$K$7,$L$2:$L$7,,,"Actual360","LogLinear",TRUE)</f>
        <v>QSObject:ContextInput:w1~input.qs_context_add_curve.2359132437744.8516.3.0:31806</v>
      </c>
      <c r="E8517" s="6" t="str">
        <f>_xll.QS.INSTRUMENT.SWAP("swap.8515",H8517,B8517,"USD","SOFR",I8517,J8517,0,"Actual360","Simple","Annual","Annual","Annual")</f>
        <v>QSObject:Swap:w1~swap.8515:2433</v>
      </c>
      <c r="F8517" s="6" t="str">
        <f>_xll.QS.TRADE.CREATE("trade.8515",E8517,A8517,"Receive")</f>
        <v>QSObject:SwapTrade:w1~trade.8515:23347</v>
      </c>
      <c r="G8517" s="3">
        <f>_xll.QS.EVALUATE(C8517,F8517)</f>
        <v>38408.303435024056</v>
      </c>
      <c r="H8517" s="5" t="s">
        <v>8558</v>
      </c>
      <c r="I8517" s="7">
        <v>1851500</v>
      </c>
      <c r="J8517" s="8">
        <v>3.6499999999999998E-2</v>
      </c>
    </row>
    <row r="8518" spans="1:10" x14ac:dyDescent="0.25">
      <c r="A8518" s="5" t="s">
        <v>8552</v>
      </c>
      <c r="B8518" s="5" t="s">
        <v>10385</v>
      </c>
      <c r="C8518" s="6" t="str">
        <f>_xll.QS.CONTEXT.CREATE("market.8516",A8518,"USD","SOFR")</f>
        <v>QSObject:PricingContext:w1~market.8516:2432</v>
      </c>
      <c r="D8518" s="6" t="str">
        <f>_xll.QS.CONTEXT.ADD.CURVE(C8518,"SOFR",$K$2:$K$7,$L$2:$L$7,,,"Actual360","LogLinear",TRUE)</f>
        <v>QSObject:ContextInput:w1~input.qs_context_add_curve.2359132437744.8517.3.0:31805</v>
      </c>
      <c r="E8518" s="6" t="str">
        <f>_xll.QS.INSTRUMENT.SWAP("swap.8516",H8518,B8518,"USD","SOFR",I8518,J8518,0,"Actual360","Simple","Annual","Annual","Annual")</f>
        <v>QSObject:Swap:w1~swap.8516:2431</v>
      </c>
      <c r="F8518" s="6" t="str">
        <f>_xll.QS.TRADE.CREATE("trade.8516",E8518,A8518,"Receive")</f>
        <v>QSObject:SwapTrade:w1~trade.8516:23346</v>
      </c>
      <c r="G8518" s="3">
        <f>_xll.QS.EVALUATE(C8518,F8518)</f>
        <v>39192.768016853617</v>
      </c>
      <c r="H8518" s="5" t="s">
        <v>8559</v>
      </c>
      <c r="I8518" s="7">
        <v>1851600</v>
      </c>
      <c r="J8518" s="8">
        <v>3.6600000000000001E-2</v>
      </c>
    </row>
    <row r="8519" spans="1:10" x14ac:dyDescent="0.25">
      <c r="A8519" s="5" t="s">
        <v>8553</v>
      </c>
      <c r="B8519" s="5" t="s">
        <v>10386</v>
      </c>
      <c r="C8519" s="6" t="str">
        <f>_xll.QS.CONTEXT.CREATE("market.8517",A8519,"USD","SOFR")</f>
        <v>QSObject:PricingContext:w1~market.8517:2430</v>
      </c>
      <c r="D8519" s="6" t="str">
        <f>_xll.QS.CONTEXT.ADD.CURVE(C8519,"SOFR",$K$2:$K$7,$L$2:$L$7,,,"Actual360","LogLinear",TRUE)</f>
        <v>QSObject:ContextInput:w1~input.qs_context_add_curve.2359132437744.8518.3.0:31804</v>
      </c>
      <c r="E8519" s="6" t="str">
        <f>_xll.QS.INSTRUMENT.SWAP("swap.8517",H8519,B8519,"USD","SOFR",I8519,J8519,0,"Actual360","Simple","Annual","Annual","Annual")</f>
        <v>QSObject:Swap:w1~swap.8517:2429</v>
      </c>
      <c r="F8519" s="6" t="str">
        <f>_xll.QS.TRADE.CREATE("trade.8517",E8519,A8519,"Receive")</f>
        <v>QSObject:SwapTrade:w1~trade.8517:23345</v>
      </c>
      <c r="G8519" s="3">
        <f>_xll.QS.EVALUATE(C8519,F8519)</f>
        <v>39923.493972481752</v>
      </c>
      <c r="H8519" s="5" t="s">
        <v>8560</v>
      </c>
      <c r="I8519" s="7">
        <v>1851700</v>
      </c>
      <c r="J8519" s="8">
        <v>3.6700000000000003E-2</v>
      </c>
    </row>
    <row r="8520" spans="1:10" x14ac:dyDescent="0.25">
      <c r="A8520" s="5" t="s">
        <v>8554</v>
      </c>
      <c r="B8520" s="5" t="s">
        <v>10387</v>
      </c>
      <c r="C8520" s="6" t="str">
        <f>_xll.QS.CONTEXT.CREATE("market.8518",A8520,"USD","SOFR")</f>
        <v>QSObject:PricingContext:w1~market.8518:2428</v>
      </c>
      <c r="D8520" s="6" t="str">
        <f>_xll.QS.CONTEXT.ADD.CURVE(C8520,"SOFR",$K$2:$K$7,$L$2:$L$7,,,"Actual360","LogLinear",TRUE)</f>
        <v>QSObject:ContextInput:w1~input.qs_context_add_curve.2359132437744.8519.3.0:31803</v>
      </c>
      <c r="E8520" s="6" t="str">
        <f>_xll.QS.INSTRUMENT.SWAP("swap.8518",H8520,B8520,"USD","SOFR",I8520,J8520,0,"Actual360","Simple","Annual","Annual","Annual")</f>
        <v>QSObject:Swap:w1~swap.8518:2427</v>
      </c>
      <c r="F8520" s="6" t="str">
        <f>_xll.QS.TRADE.CREATE("trade.8518",E8520,A8520,"Receive")</f>
        <v>QSObject:SwapTrade:w1~trade.8518:23344</v>
      </c>
      <c r="G8520" s="3">
        <f>_xll.QS.EVALUATE(C8520,F8520)</f>
        <v>40631.443249957803</v>
      </c>
      <c r="H8520" s="5" t="s">
        <v>8561</v>
      </c>
      <c r="I8520" s="7">
        <v>1851800</v>
      </c>
      <c r="J8520" s="8">
        <v>3.6800000000000013E-2</v>
      </c>
    </row>
    <row r="8521" spans="1:10" x14ac:dyDescent="0.25">
      <c r="A8521" s="5" t="s">
        <v>8555</v>
      </c>
      <c r="B8521" s="5" t="s">
        <v>10388</v>
      </c>
      <c r="C8521" s="6" t="str">
        <f>_xll.QS.CONTEXT.CREATE("market.8519",A8521,"USD","SOFR")</f>
        <v>QSObject:PricingContext:w1~market.8519:2426</v>
      </c>
      <c r="D8521" s="6" t="str">
        <f>_xll.QS.CONTEXT.ADD.CURVE(C8521,"SOFR",$K$2:$K$7,$L$2:$L$7,,,"Actual360","LogLinear",TRUE)</f>
        <v>QSObject:ContextInput:w1~input.qs_context_add_curve.2359132437744.8520.3.0:31802</v>
      </c>
      <c r="E8521" s="6" t="str">
        <f>_xll.QS.INSTRUMENT.SWAP("swap.8519",H8521,B8521,"USD","SOFR",I8521,J8521,0,"Actual360","Simple","Annual","Annual","Annual")</f>
        <v>QSObject:Swap:w1~swap.8519:2425</v>
      </c>
      <c r="F8521" s="6" t="str">
        <f>_xll.QS.TRADE.CREATE("trade.8519",E8521,A8521,"Receive")</f>
        <v>QSObject:SwapTrade:w1~trade.8519:23343</v>
      </c>
      <c r="G8521" s="3">
        <f>_xll.QS.EVALUATE(C8521,F8521)</f>
        <v>41566.049944180246</v>
      </c>
      <c r="H8521" s="5" t="s">
        <v>8562</v>
      </c>
      <c r="I8521" s="7">
        <v>1851900</v>
      </c>
      <c r="J8521" s="8">
        <v>3.6900000000000002E-2</v>
      </c>
    </row>
    <row r="8522" spans="1:10" x14ac:dyDescent="0.25">
      <c r="A8522" s="5" t="s">
        <v>8556</v>
      </c>
      <c r="B8522" s="5" t="s">
        <v>10389</v>
      </c>
      <c r="C8522" s="6" t="str">
        <f>_xll.QS.CONTEXT.CREATE("market.8520",A8522,"USD","SOFR")</f>
        <v>QSObject:PricingContext:w1~market.8520:2424</v>
      </c>
      <c r="D8522" s="6" t="str">
        <f>_xll.QS.CONTEXT.ADD.CURVE(C8522,"SOFR",$K$2:$K$7,$L$2:$L$7,,,"Actual360","LogLinear",TRUE)</f>
        <v>QSObject:ContextInput:w1~input.qs_context_add_curve.2359132437744.8521.3.0:31801</v>
      </c>
      <c r="E8522" s="6" t="str">
        <f>_xll.QS.INSTRUMENT.SWAP("swap.8520",H8522,B8522,"USD","SOFR",I8522,J8522,0,"Actual360","Simple","Annual","Annual","Annual")</f>
        <v>QSObject:Swap:w1~swap.8520:2423</v>
      </c>
      <c r="F8522" s="6" t="str">
        <f>_xll.QS.TRADE.CREATE("trade.8520",E8522,A8522,"Receive")</f>
        <v>QSObject:SwapTrade:w1~trade.8520:23342</v>
      </c>
      <c r="G8522" s="3">
        <f>_xll.QS.EVALUATE(C8522,F8522)</f>
        <v>42472.641274292153</v>
      </c>
      <c r="H8522" s="5" t="s">
        <v>8563</v>
      </c>
      <c r="I8522" s="7">
        <v>1852000</v>
      </c>
      <c r="J8522" s="8">
        <v>3.7000000000000012E-2</v>
      </c>
    </row>
    <row r="8523" spans="1:10" x14ac:dyDescent="0.25">
      <c r="A8523" s="5" t="s">
        <v>8557</v>
      </c>
      <c r="B8523" s="5" t="s">
        <v>10390</v>
      </c>
      <c r="C8523" s="6" t="str">
        <f>_xll.QS.CONTEXT.CREATE("market.8521",A8523,"USD","SOFR")</f>
        <v>QSObject:PricingContext:w1~market.8521:2422</v>
      </c>
      <c r="D8523" s="6" t="str">
        <f>_xll.QS.CONTEXT.ADD.CURVE(C8523,"SOFR",$K$2:$K$7,$L$2:$L$7,,,"Actual360","LogLinear",TRUE)</f>
        <v>QSObject:ContextInput:w1~input.qs_context_add_curve.2359132437744.8522.3.0:31800</v>
      </c>
      <c r="E8523" s="6" t="str">
        <f>_xll.QS.INSTRUMENT.SWAP("swap.8521",H8523,B8523,"USD","SOFR",I8523,J8523,0,"Actual360","Simple","Annual","Annual","Annual")</f>
        <v>QSObject:Swap:w1~swap.8521:2421</v>
      </c>
      <c r="F8523" s="6" t="str">
        <f>_xll.QS.TRADE.CREATE("trade.8521",E8523,A8523,"Receive")</f>
        <v>QSObject:SwapTrade:w1~trade.8521:23341</v>
      </c>
      <c r="G8523" s="3">
        <f>_xll.QS.EVALUATE(C8523,F8523)</f>
        <v>43464.61035619046</v>
      </c>
      <c r="H8523" s="5" t="s">
        <v>8564</v>
      </c>
      <c r="I8523" s="7">
        <v>1852100</v>
      </c>
      <c r="J8523" s="8">
        <v>3.7100000000000001E-2</v>
      </c>
    </row>
    <row r="8524" spans="1:10" x14ac:dyDescent="0.25">
      <c r="A8524" s="5" t="s">
        <v>8558</v>
      </c>
      <c r="B8524" s="5" t="s">
        <v>10391</v>
      </c>
      <c r="C8524" s="6" t="str">
        <f>_xll.QS.CONTEXT.CREATE("market.8522",A8524,"USD","SOFR")</f>
        <v>QSObject:PricingContext:w1~market.8522:2420</v>
      </c>
      <c r="D8524" s="6" t="str">
        <f>_xll.QS.CONTEXT.ADD.CURVE(C8524,"SOFR",$K$2:$K$7,$L$2:$L$7,,,"Actual360","LogLinear",TRUE)</f>
        <v>QSObject:ContextInput:w1~input.qs_context_add_curve.2359132437744.8523.3.0:31799</v>
      </c>
      <c r="E8524" s="6" t="str">
        <f>_xll.QS.INSTRUMENT.SWAP("swap.8522",H8524,B8524,"USD","SOFR",I8524,J8524,0,"Actual360","Simple","Annual","Annual","Annual")</f>
        <v>QSObject:Swap:w1~swap.8522:2419</v>
      </c>
      <c r="F8524" s="6" t="str">
        <f>_xll.QS.TRADE.CREATE("trade.8522",E8524,A8524,"Receive")</f>
        <v>QSObject:SwapTrade:w1~trade.8522:23340</v>
      </c>
      <c r="G8524" s="3">
        <f>_xll.QS.EVALUATE(C8524,F8524)</f>
        <v>44401.964178929156</v>
      </c>
      <c r="H8524" s="5" t="s">
        <v>8565</v>
      </c>
      <c r="I8524" s="7">
        <v>1852200</v>
      </c>
      <c r="J8524" s="8">
        <v>3.7199999999999997E-2</v>
      </c>
    </row>
    <row r="8525" spans="1:10" x14ac:dyDescent="0.25">
      <c r="A8525" s="5" t="s">
        <v>8559</v>
      </c>
      <c r="B8525" s="5" t="s">
        <v>10392</v>
      </c>
      <c r="C8525" s="6" t="str">
        <f>_xll.QS.CONTEXT.CREATE("market.8523",A8525,"USD","SOFR")</f>
        <v>QSObject:PricingContext:w1~market.8523:2418</v>
      </c>
      <c r="D8525" s="6" t="str">
        <f>_xll.QS.CONTEXT.ADD.CURVE(C8525,"SOFR",$K$2:$K$7,$L$2:$L$7,,,"Actual360","LogLinear",TRUE)</f>
        <v>QSObject:ContextInput:w1~input.qs_context_add_curve.2359132437744.8524.3.0:31798</v>
      </c>
      <c r="E8525" s="6" t="str">
        <f>_xll.QS.INSTRUMENT.SWAP("swap.8523",H8525,B8525,"USD","SOFR",I8525,J8525,0,"Actual360","Simple","Annual","Annual","Annual")</f>
        <v>QSObject:Swap:w1~swap.8523:2417</v>
      </c>
      <c r="F8525" s="6" t="str">
        <f>_xll.QS.TRADE.CREATE("trade.8523",E8525,A8525,"Receive")</f>
        <v>QSObject:SwapTrade:w1~trade.8523:23339</v>
      </c>
      <c r="G8525" s="3">
        <f>_xll.QS.EVALUATE(C8525,F8525)</f>
        <v>45187.315643579175</v>
      </c>
      <c r="H8525" s="5" t="s">
        <v>8566</v>
      </c>
      <c r="I8525" s="7">
        <v>1852300</v>
      </c>
      <c r="J8525" s="8">
        <v>3.73E-2</v>
      </c>
    </row>
    <row r="8526" spans="1:10" x14ac:dyDescent="0.25">
      <c r="A8526" s="5" t="s">
        <v>8560</v>
      </c>
      <c r="B8526" s="5" t="s">
        <v>10393</v>
      </c>
      <c r="C8526" s="6" t="str">
        <f>_xll.QS.CONTEXT.CREATE("market.8524",A8526,"USD","SOFR")</f>
        <v>QSObject:PricingContext:w1~market.8524:2416</v>
      </c>
      <c r="D8526" s="6" t="str">
        <f>_xll.QS.CONTEXT.ADD.CURVE(C8526,"SOFR",$K$2:$K$7,$L$2:$L$7,,,"Actual360","LogLinear",TRUE)</f>
        <v>QSObject:ContextInput:w1~input.qs_context_add_curve.2359132437744.8525.3.0:31797</v>
      </c>
      <c r="E8526" s="6" t="str">
        <f>_xll.QS.INSTRUMENT.SWAP("swap.8524",H8526,B8526,"USD","SOFR",I8526,J8526,0,"Actual360","Simple","Annual","Annual","Annual")</f>
        <v>QSObject:Swap:w1~swap.8524:2415</v>
      </c>
      <c r="F8526" s="6" t="str">
        <f>_xll.QS.TRADE.CREATE("trade.8524",E8526,A8526,"Receive")</f>
        <v>QSObject:SwapTrade:w1~trade.8524:23338</v>
      </c>
      <c r="G8526" s="3">
        <f>_xll.QS.EVALUATE(C8526,F8526)</f>
        <v>45911.66161834255</v>
      </c>
      <c r="H8526" s="5" t="s">
        <v>8567</v>
      </c>
      <c r="I8526" s="7">
        <v>1852400</v>
      </c>
      <c r="J8526" s="8">
        <v>3.7400000000000003E-2</v>
      </c>
    </row>
    <row r="8527" spans="1:10" x14ac:dyDescent="0.25">
      <c r="A8527" s="5" t="s">
        <v>8561</v>
      </c>
      <c r="B8527" s="5" t="s">
        <v>10394</v>
      </c>
      <c r="C8527" s="6" t="str">
        <f>_xll.QS.CONTEXT.CREATE("market.8525",A8527,"USD","SOFR")</f>
        <v>QSObject:PricingContext:w1~market.8525:2414</v>
      </c>
      <c r="D8527" s="6" t="str">
        <f>_xll.QS.CONTEXT.ADD.CURVE(C8527,"SOFR",$K$2:$K$7,$L$2:$L$7,,,"Actual360","LogLinear",TRUE)</f>
        <v>QSObject:ContextInput:w1~input.qs_context_add_curve.2359132437744.8526.3.0:31796</v>
      </c>
      <c r="E8527" s="6" t="str">
        <f>_xll.QS.INSTRUMENT.SWAP("swap.8525",H8527,B8527,"USD","SOFR",I8527,J8527,0,"Actual360","Simple","Annual","Annual","Annual")</f>
        <v>QSObject:Swap:w1~swap.8525:2413</v>
      </c>
      <c r="F8527" s="6" t="str">
        <f>_xll.QS.TRADE.CREATE("trade.8525",E8527,A8527,"Receive")</f>
        <v>QSObject:SwapTrade:w1~trade.8525:23337</v>
      </c>
      <c r="G8527" s="3">
        <f>_xll.QS.EVALUATE(C8527,F8527)</f>
        <v>46629.661176982823</v>
      </c>
      <c r="H8527" s="5" t="s">
        <v>8568</v>
      </c>
      <c r="I8527" s="7">
        <v>1852500</v>
      </c>
      <c r="J8527" s="8">
        <v>3.7500000000000012E-2</v>
      </c>
    </row>
    <row r="8528" spans="1:10" x14ac:dyDescent="0.25">
      <c r="A8528" s="5" t="s">
        <v>8562</v>
      </c>
      <c r="B8528" s="5" t="s">
        <v>10395</v>
      </c>
      <c r="C8528" s="6" t="str">
        <f>_xll.QS.CONTEXT.CREATE("market.8526",A8528,"USD","SOFR")</f>
        <v>QSObject:PricingContext:w1~market.8526:2412</v>
      </c>
      <c r="D8528" s="6" t="str">
        <f>_xll.QS.CONTEXT.ADD.CURVE(C8528,"SOFR",$K$2:$K$7,$L$2:$L$7,,,"Actual360","LogLinear",TRUE)</f>
        <v>QSObject:ContextInput:w1~input.qs_context_add_curve.2359132437744.8527.3.0:31795</v>
      </c>
      <c r="E8528" s="6" t="str">
        <f>_xll.QS.INSTRUMENT.SWAP("swap.8526",H8528,B8528,"USD","SOFR",I8528,J8528,0,"Actual360","Simple","Annual","Annual","Annual")</f>
        <v>QSObject:Swap:w1~swap.8526:2411</v>
      </c>
      <c r="F8528" s="6" t="str">
        <f>_xll.QS.TRADE.CREATE("trade.8526",E8528,A8528,"Receive")</f>
        <v>QSObject:SwapTrade:w1~trade.8526:23336</v>
      </c>
      <c r="G8528" s="3">
        <f>_xll.QS.EVALUATE(C8528,F8528)</f>
        <v>47564.714036164864</v>
      </c>
      <c r="H8528" s="5" t="s">
        <v>8569</v>
      </c>
      <c r="I8528" s="7">
        <v>1852600</v>
      </c>
      <c r="J8528" s="8">
        <v>3.7600000000000001E-2</v>
      </c>
    </row>
    <row r="8529" spans="1:10" x14ac:dyDescent="0.25">
      <c r="A8529" s="5" t="s">
        <v>8563</v>
      </c>
      <c r="B8529" s="5" t="s">
        <v>10396</v>
      </c>
      <c r="C8529" s="6" t="str">
        <f>_xll.QS.CONTEXT.CREATE("market.8527",A8529,"USD","SOFR")</f>
        <v>QSObject:PricingContext:w1~market.8527:2410</v>
      </c>
      <c r="D8529" s="6" t="str">
        <f>_xll.QS.CONTEXT.ADD.CURVE(C8529,"SOFR",$K$2:$K$7,$L$2:$L$7,,,"Actual360","LogLinear",TRUE)</f>
        <v>QSObject:ContextInput:w1~input.qs_context_add_curve.2359132437744.8528.3.0:31794</v>
      </c>
      <c r="E8529" s="6" t="str">
        <f>_xll.QS.INSTRUMENT.SWAP("swap.8527",H8529,B8529,"USD","SOFR",I8529,J8529,0,"Actual360","Simple","Annual","Annual","Annual")</f>
        <v>QSObject:Swap:w1~swap.8527:2409</v>
      </c>
      <c r="F8529" s="6" t="str">
        <f>_xll.QS.TRADE.CREATE("trade.8527",E8529,A8529,"Receive")</f>
        <v>QSObject:SwapTrade:w1~trade.8527:23335</v>
      </c>
      <c r="G8529" s="3">
        <f>_xll.QS.EVALUATE(C8529,F8529)</f>
        <v>48469.064260544197</v>
      </c>
      <c r="H8529" s="5" t="s">
        <v>8570</v>
      </c>
      <c r="I8529" s="7">
        <v>1852700</v>
      </c>
      <c r="J8529" s="8">
        <v>3.7699999999999997E-2</v>
      </c>
    </row>
    <row r="8530" spans="1:10" x14ac:dyDescent="0.25">
      <c r="A8530" s="5" t="s">
        <v>8564</v>
      </c>
      <c r="B8530" s="5" t="s">
        <v>10397</v>
      </c>
      <c r="C8530" s="6" t="str">
        <f>_xll.QS.CONTEXT.CREATE("market.8528",A8530,"USD","SOFR")</f>
        <v>QSObject:PricingContext:w1~market.8528:2408</v>
      </c>
      <c r="D8530" s="6" t="str">
        <f>_xll.QS.CONTEXT.ADD.CURVE(C8530,"SOFR",$K$2:$K$7,$L$2:$L$7,,,"Actual360","LogLinear",TRUE)</f>
        <v>QSObject:ContextInput:w1~input.qs_context_add_curve.2359132437744.8529.3.0:31793</v>
      </c>
      <c r="E8530" s="6" t="str">
        <f>_xll.QS.INSTRUMENT.SWAP("swap.8528",H8530,B8530,"USD","SOFR",I8530,J8530,0,"Actual360","Simple","Annual","Annual","Annual")</f>
        <v>QSObject:Swap:w1~swap.8528:2407</v>
      </c>
      <c r="F8530" s="6" t="str">
        <f>_xll.QS.TRADE.CREATE("trade.8528",E8530,A8530,"Receive")</f>
        <v>QSObject:SwapTrade:w1~trade.8528:23334</v>
      </c>
      <c r="G8530" s="3">
        <f>_xll.QS.EVALUATE(C8530,F8530)</f>
        <v>49461.824825281714</v>
      </c>
      <c r="H8530" s="5" t="s">
        <v>8571</v>
      </c>
      <c r="I8530" s="7">
        <v>1852800</v>
      </c>
      <c r="J8530" s="8">
        <v>3.78E-2</v>
      </c>
    </row>
    <row r="8531" spans="1:10" x14ac:dyDescent="0.25">
      <c r="A8531" s="5" t="s">
        <v>8565</v>
      </c>
      <c r="B8531" s="5" t="s">
        <v>10398</v>
      </c>
      <c r="C8531" s="6" t="str">
        <f>_xll.QS.CONTEXT.CREATE("market.8529",A8531,"USD","SOFR")</f>
        <v>QSObject:PricingContext:w1~market.8529:2406</v>
      </c>
      <c r="D8531" s="6" t="str">
        <f>_xll.QS.CONTEXT.ADD.CURVE(C8531,"SOFR",$K$2:$K$7,$L$2:$L$7,,,"Actual360","LogLinear",TRUE)</f>
        <v>QSObject:ContextInput:w1~input.qs_context_add_curve.2359132437744.8530.3.0:31792</v>
      </c>
      <c r="E8531" s="6" t="str">
        <f>_xll.QS.INSTRUMENT.SWAP("swap.8529",H8531,B8531,"USD","SOFR",I8531,J8531,0,"Actual360","Simple","Annual","Annual","Annual")</f>
        <v>QSObject:Swap:w1~swap.8529:2405</v>
      </c>
      <c r="F8531" s="6" t="str">
        <f>_xll.QS.TRADE.CREATE("trade.8529",E8531,A8531,"Receive")</f>
        <v>QSObject:SwapTrade:w1~trade.8529:23333</v>
      </c>
      <c r="G8531" s="3">
        <f>_xll.QS.EVALUATE(C8531,F8531)</f>
        <v>50399.923467672685</v>
      </c>
      <c r="H8531" s="5" t="s">
        <v>8572</v>
      </c>
      <c r="I8531" s="7">
        <v>1852900</v>
      </c>
      <c r="J8531" s="8">
        <v>3.7900000000000003E-2</v>
      </c>
    </row>
    <row r="8532" spans="1:10" x14ac:dyDescent="0.25">
      <c r="A8532" s="5" t="s">
        <v>8566</v>
      </c>
      <c r="B8532" s="5" t="s">
        <v>10399</v>
      </c>
      <c r="C8532" s="6" t="str">
        <f>_xll.QS.CONTEXT.CREATE("market.8530",A8532,"USD","SOFR")</f>
        <v>QSObject:PricingContext:w1~market.8530:2404</v>
      </c>
      <c r="D8532" s="6" t="str">
        <f>_xll.QS.CONTEXT.ADD.CURVE(C8532,"SOFR",$K$2:$K$7,$L$2:$L$7,,,"Actual360","LogLinear",TRUE)</f>
        <v>QSObject:ContextInput:w1~input.qs_context_add_curve.2359132437744.8531.3.0:31791</v>
      </c>
      <c r="E8532" s="6" t="str">
        <f>_xll.QS.INSTRUMENT.SWAP("swap.8530",H8532,B8532,"USD","SOFR",I8532,J8532,0,"Actual360","Simple","Annual","Annual","Annual")</f>
        <v>QSObject:Swap:w1~swap.8530:2403</v>
      </c>
      <c r="F8532" s="6" t="str">
        <f>_xll.QS.TRADE.CREATE("trade.8530",E8532,A8532,"Receive")</f>
        <v>QSObject:SwapTrade:w1~trade.8530:23332</v>
      </c>
      <c r="G8532" s="3">
        <f>_xll.QS.EVALUATE(C8532,F8532)</f>
        <v>51185.827908232437</v>
      </c>
      <c r="H8532" s="5" t="s">
        <v>8573</v>
      </c>
      <c r="I8532" s="7">
        <v>1853000</v>
      </c>
      <c r="J8532" s="8">
        <v>3.8000000000000013E-2</v>
      </c>
    </row>
    <row r="8533" spans="1:10" x14ac:dyDescent="0.25">
      <c r="A8533" s="5" t="s">
        <v>8567</v>
      </c>
      <c r="B8533" s="5" t="s">
        <v>10400</v>
      </c>
      <c r="C8533" s="6" t="str">
        <f>_xll.QS.CONTEXT.CREATE("market.8531",A8533,"USD","SOFR")</f>
        <v>QSObject:PricingContext:w1~market.8531:2402</v>
      </c>
      <c r="D8533" s="6" t="str">
        <f>_xll.QS.CONTEXT.ADD.CURVE(C8533,"SOFR",$K$2:$K$7,$L$2:$L$7,,,"Actual360","LogLinear",TRUE)</f>
        <v>QSObject:ContextInput:w1~input.qs_context_add_curve.2359132437744.8532.3.0:31790</v>
      </c>
      <c r="E8533" s="6" t="str">
        <f>_xll.QS.INSTRUMENT.SWAP("swap.8531",H8533,B8533,"USD","SOFR",I8533,J8533,0,"Actual360","Simple","Annual","Annual","Annual")</f>
        <v>QSObject:Swap:w1~swap.8531:2401</v>
      </c>
      <c r="F8533" s="6" t="str">
        <f>_xll.QS.TRADE.CREATE("trade.8531",E8533,A8533,"Receive")</f>
        <v>QSObject:SwapTrade:w1~trade.8531:23331</v>
      </c>
      <c r="G8533" s="3">
        <f>_xll.QS.EVALUATE(C8533,F8533)</f>
        <v>51903.725032185888</v>
      </c>
      <c r="H8533" s="5" t="s">
        <v>8574</v>
      </c>
      <c r="I8533" s="7">
        <v>1853100</v>
      </c>
      <c r="J8533" s="8">
        <v>3.8100000000000002E-2</v>
      </c>
    </row>
    <row r="8534" spans="1:10" x14ac:dyDescent="0.25">
      <c r="A8534" s="5" t="s">
        <v>8568</v>
      </c>
      <c r="B8534" s="5" t="s">
        <v>10401</v>
      </c>
      <c r="C8534" s="6" t="str">
        <f>_xll.QS.CONTEXT.CREATE("market.8532",A8534,"USD","SOFR")</f>
        <v>QSObject:PricingContext:w1~market.8532:2400</v>
      </c>
      <c r="D8534" s="6" t="str">
        <f>_xll.QS.CONTEXT.ADD.CURVE(C8534,"SOFR",$K$2:$K$7,$L$2:$L$7,,,"Actual360","LogLinear",TRUE)</f>
        <v>QSObject:ContextInput:w1~input.qs_context_add_curve.2359132437744.8533.3.0:31789</v>
      </c>
      <c r="E8534" s="6" t="str">
        <f>_xll.QS.INSTRUMENT.SWAP("swap.8532",H8534,B8534,"USD","SOFR",I8534,J8534,0,"Actual360","Simple","Annual","Annual","Annual")</f>
        <v>QSObject:Swap:w1~swap.8532:2399</v>
      </c>
      <c r="F8534" s="6" t="str">
        <f>_xll.QS.TRADE.CREATE("trade.8532",E8534,A8534,"Receive")</f>
        <v>QSObject:SwapTrade:w1~trade.8532:23330</v>
      </c>
      <c r="G8534" s="3">
        <f>_xll.QS.EVALUATE(C8534,F8534)</f>
        <v>52631.591566943869</v>
      </c>
      <c r="H8534" s="5" t="s">
        <v>8575</v>
      </c>
      <c r="I8534" s="7">
        <v>1853200</v>
      </c>
      <c r="J8534" s="8">
        <v>3.8199999999999998E-2</v>
      </c>
    </row>
    <row r="8535" spans="1:10" x14ac:dyDescent="0.25">
      <c r="A8535" s="5" t="s">
        <v>8569</v>
      </c>
      <c r="B8535" s="5" t="s">
        <v>10402</v>
      </c>
      <c r="C8535" s="6" t="str">
        <f>_xll.QS.CONTEXT.CREATE("market.8533",A8535,"USD","SOFR")</f>
        <v>QSObject:PricingContext:w1~market.8533:2398</v>
      </c>
      <c r="D8535" s="6" t="str">
        <f>_xll.QS.CONTEXT.ADD.CURVE(C8535,"SOFR",$K$2:$K$7,$L$2:$L$7,,,"Actual360","LogLinear",TRUE)</f>
        <v>QSObject:ContextInput:w1~input.qs_context_add_curve.2359132437744.8534.3.0:31788</v>
      </c>
      <c r="E8535" s="6" t="str">
        <f>_xll.QS.INSTRUMENT.SWAP("swap.8533",H8535,B8535,"USD","SOFR",I8535,J8535,0,"Actual360","Simple","Annual","Annual","Annual")</f>
        <v>QSObject:Swap:w1~swap.8533:2397</v>
      </c>
      <c r="F8535" s="6" t="str">
        <f>_xll.QS.TRADE.CREATE("trade.8533",E8535,A8535,"Receive")</f>
        <v>QSObject:SwapTrade:w1~trade.8533:23329</v>
      </c>
      <c r="G8535" s="3">
        <f>_xll.QS.EVALUATE(C8535,F8535)</f>
        <v>53567.899413665393</v>
      </c>
      <c r="H8535" s="5" t="s">
        <v>8576</v>
      </c>
      <c r="I8535" s="7">
        <v>1853300</v>
      </c>
      <c r="J8535" s="8">
        <v>3.8300000000000001E-2</v>
      </c>
    </row>
    <row r="8536" spans="1:10" x14ac:dyDescent="0.25">
      <c r="A8536" s="5" t="s">
        <v>8570</v>
      </c>
      <c r="B8536" s="5" t="s">
        <v>10403</v>
      </c>
      <c r="C8536" s="6" t="str">
        <f>_xll.QS.CONTEXT.CREATE("market.8534",A8536,"USD","SOFR")</f>
        <v>QSObject:PricingContext:w1~market.8534:2396</v>
      </c>
      <c r="D8536" s="6" t="str">
        <f>_xll.QS.CONTEXT.ADD.CURVE(C8536,"SOFR",$K$2:$K$7,$L$2:$L$7,,,"Actual360","LogLinear",TRUE)</f>
        <v>QSObject:ContextInput:w1~input.qs_context_add_curve.2359132437744.8535.3.0:31787</v>
      </c>
      <c r="E8536" s="6" t="str">
        <f>_xll.QS.INSTRUMENT.SWAP("swap.8534",H8536,B8536,"USD","SOFR",I8536,J8536,0,"Actual360","Simple","Annual","Annual","Annual")</f>
        <v>QSObject:Swap:w1~swap.8534:2395</v>
      </c>
      <c r="F8536" s="6" t="str">
        <f>_xll.QS.TRADE.CREATE("trade.8534",E8536,A8536,"Receive")</f>
        <v>QSObject:SwapTrade:w1~trade.8534:23328</v>
      </c>
      <c r="G8536" s="3">
        <f>_xll.QS.EVALUATE(C8536,F8536)</f>
        <v>54470.006336480154</v>
      </c>
      <c r="H8536" s="5" t="s">
        <v>8577</v>
      </c>
      <c r="I8536" s="7">
        <v>1853400</v>
      </c>
      <c r="J8536" s="8">
        <v>3.8399999999999997E-2</v>
      </c>
    </row>
    <row r="8537" spans="1:10" x14ac:dyDescent="0.25">
      <c r="A8537" s="5" t="s">
        <v>8571</v>
      </c>
      <c r="B8537" s="5" t="s">
        <v>10404</v>
      </c>
      <c r="C8537" s="6" t="str">
        <f>_xll.QS.CONTEXT.CREATE("market.8535",A8537,"USD","SOFR")</f>
        <v>QSObject:PricingContext:w1~market.8535:2394</v>
      </c>
      <c r="D8537" s="6" t="str">
        <f>_xll.QS.CONTEXT.ADD.CURVE(C8537,"SOFR",$K$2:$K$7,$L$2:$L$7,,,"Actual360","LogLinear",TRUE)</f>
        <v>QSObject:ContextInput:w1~input.qs_context_add_curve.2359132437744.8536.3.0:31786</v>
      </c>
      <c r="E8537" s="6" t="str">
        <f>_xll.QS.INSTRUMENT.SWAP("swap.8535",H8537,B8537,"USD","SOFR",I8537,J8537,0,"Actual360","Simple","Annual","Annual","Annual")</f>
        <v>QSObject:Swap:w1~swap.8535:2393</v>
      </c>
      <c r="F8537" s="6" t="str">
        <f>_xll.QS.TRADE.CREATE("trade.8535",E8537,A8537,"Receive")</f>
        <v>QSObject:SwapTrade:w1~trade.8535:23327</v>
      </c>
      <c r="G8537" s="3">
        <f>_xll.QS.EVALUATE(C8537,F8537)</f>
        <v>55463.558455570266</v>
      </c>
      <c r="H8537" s="5" t="s">
        <v>8578</v>
      </c>
      <c r="I8537" s="7">
        <v>1853500</v>
      </c>
      <c r="J8537" s="8">
        <v>3.8500000000000013E-2</v>
      </c>
    </row>
    <row r="8538" spans="1:10" x14ac:dyDescent="0.25">
      <c r="A8538" s="5" t="s">
        <v>8572</v>
      </c>
      <c r="B8538" s="5" t="s">
        <v>10405</v>
      </c>
      <c r="C8538" s="6" t="str">
        <f>_xll.QS.CONTEXT.CREATE("market.8536",A8538,"USD","SOFR")</f>
        <v>QSObject:PricingContext:w1~market.8536:2392</v>
      </c>
      <c r="D8538" s="6" t="str">
        <f>_xll.QS.CONTEXT.ADD.CURVE(C8538,"SOFR",$K$2:$K$7,$L$2:$L$7,,,"Actual360","LogLinear",TRUE)</f>
        <v>QSObject:ContextInput:w1~input.qs_context_add_curve.2359132437744.8537.3.0:31785</v>
      </c>
      <c r="E8538" s="6" t="str">
        <f>_xll.QS.INSTRUMENT.SWAP("swap.8536",H8538,B8538,"USD","SOFR",I8538,J8538,0,"Actual360","Simple","Annual","Annual","Annual")</f>
        <v>QSObject:Swap:w1~swap.8536:2391</v>
      </c>
      <c r="F8538" s="6" t="str">
        <f>_xll.QS.TRADE.CREATE("trade.8536",E8538,A8538,"Receive")</f>
        <v>QSObject:SwapTrade:w1~trade.8536:23326</v>
      </c>
      <c r="G8538" s="3">
        <f>_xll.QS.EVALUATE(C8538,F8538)</f>
        <v>56402.243615881671</v>
      </c>
      <c r="H8538" s="5" t="s">
        <v>8579</v>
      </c>
      <c r="I8538" s="7">
        <v>1853600</v>
      </c>
      <c r="J8538" s="8">
        <v>3.8600000000000002E-2</v>
      </c>
    </row>
    <row r="8539" spans="1:10" x14ac:dyDescent="0.25">
      <c r="A8539" s="5" t="s">
        <v>8573</v>
      </c>
      <c r="B8539" s="5" t="s">
        <v>10406</v>
      </c>
      <c r="C8539" s="6" t="str">
        <f>_xll.QS.CONTEXT.CREATE("market.8537",A8539,"USD","SOFR")</f>
        <v>QSObject:PricingContext:w1~market.8537:2390</v>
      </c>
      <c r="D8539" s="6" t="str">
        <f>_xll.QS.CONTEXT.ADD.CURVE(C8539,"SOFR",$K$2:$K$7,$L$2:$L$7,,,"Actual360","LogLinear",TRUE)</f>
        <v>QSObject:ContextInput:w1~input.qs_context_add_curve.2359132437744.8538.3.0:31784</v>
      </c>
      <c r="E8539" s="6" t="str">
        <f>_xll.QS.INSTRUMENT.SWAP("swap.8537",H8539,B8539,"USD","SOFR",I8539,J8539,0,"Actual360","Simple","Annual","Annual","Annual")</f>
        <v>QSObject:Swap:w1~swap.8537:2389</v>
      </c>
      <c r="F8539" s="6" t="str">
        <f>_xll.QS.TRADE.CREATE("trade.8537",E8539,A8539,"Receive")</f>
        <v>QSObject:SwapTrade:w1~trade.8537:23325</v>
      </c>
      <c r="G8539" s="3">
        <f>_xll.QS.EVALUATE(C8539,F8539)</f>
        <v>57188.228653471684</v>
      </c>
      <c r="H8539" s="5" t="s">
        <v>8580</v>
      </c>
      <c r="I8539" s="7">
        <v>1853700</v>
      </c>
      <c r="J8539" s="8">
        <v>3.8700000000000012E-2</v>
      </c>
    </row>
    <row r="8540" spans="1:10" x14ac:dyDescent="0.25">
      <c r="A8540" s="5" t="s">
        <v>8574</v>
      </c>
      <c r="B8540" s="5" t="s">
        <v>10407</v>
      </c>
      <c r="C8540" s="6" t="str">
        <f>_xll.QS.CONTEXT.CREATE("market.8538",A8540,"USD","SOFR")</f>
        <v>QSObject:PricingContext:w1~market.8538:2388</v>
      </c>
      <c r="D8540" s="6" t="str">
        <f>_xll.QS.CONTEXT.ADD.CURVE(C8540,"SOFR",$K$2:$K$7,$L$2:$L$7,,,"Actual360","LogLinear",TRUE)</f>
        <v>QSObject:ContextInput:w1~input.qs_context_add_curve.2359132437744.8539.3.0:31783</v>
      </c>
      <c r="E8540" s="6" t="str">
        <f>_xll.QS.INSTRUMENT.SWAP("swap.8538",H8540,B8540,"USD","SOFR",I8540,J8540,0,"Actual360","Simple","Annual","Annual","Annual")</f>
        <v>QSObject:Swap:w1~swap.8538:2387</v>
      </c>
      <c r="F8540" s="6" t="str">
        <f>_xll.QS.TRADE.CREATE("trade.8538",E8540,A8540,"Receive")</f>
        <v>QSObject:SwapTrade:w1~trade.8538:23324</v>
      </c>
      <c r="G8540" s="3">
        <f>_xll.QS.EVALUATE(C8540,F8540)</f>
        <v>57863.228768511195</v>
      </c>
      <c r="H8540" s="5" t="s">
        <v>8581</v>
      </c>
      <c r="I8540" s="7">
        <v>1853800</v>
      </c>
      <c r="J8540" s="8">
        <v>3.8800000000000001E-2</v>
      </c>
    </row>
    <row r="8541" spans="1:10" x14ac:dyDescent="0.25">
      <c r="A8541" s="5" t="s">
        <v>8575</v>
      </c>
      <c r="B8541" s="5" t="s">
        <v>10408</v>
      </c>
      <c r="C8541" s="6" t="str">
        <f>_xll.QS.CONTEXT.CREATE("market.8539",A8541,"USD","SOFR")</f>
        <v>QSObject:PricingContext:w1~market.8539:2386</v>
      </c>
      <c r="D8541" s="6" t="str">
        <f>_xll.QS.CONTEXT.ADD.CURVE(C8541,"SOFR",$K$2:$K$7,$L$2:$L$7,,,"Actual360","LogLinear",TRUE)</f>
        <v>QSObject:ContextInput:w1~input.qs_context_add_curve.2359132437744.8540.3.0:31782</v>
      </c>
      <c r="E8541" s="6" t="str">
        <f>_xll.QS.INSTRUMENT.SWAP("swap.8539",H8541,B8541,"USD","SOFR",I8541,J8541,0,"Actual360","Simple","Annual","Annual","Annual")</f>
        <v>QSObject:Swap:w1~swap.8539:2385</v>
      </c>
      <c r="F8541" s="6" t="str">
        <f>_xll.QS.TRADE.CREATE("trade.8539",E8541,A8541,"Receive")</f>
        <v>QSObject:SwapTrade:w1~trade.8539:23323</v>
      </c>
      <c r="G8541" s="3">
        <f>_xll.QS.EVALUATE(C8541,F8541)</f>
        <v>58559.173150862014</v>
      </c>
      <c r="H8541" s="5" t="s">
        <v>8582</v>
      </c>
      <c r="I8541" s="7">
        <v>1853900</v>
      </c>
      <c r="J8541" s="8">
        <v>3.8899999999999997E-2</v>
      </c>
    </row>
    <row r="8542" spans="1:10" x14ac:dyDescent="0.25">
      <c r="A8542" s="5" t="s">
        <v>8576</v>
      </c>
      <c r="B8542" s="5" t="s">
        <v>10409</v>
      </c>
      <c r="C8542" s="6" t="str">
        <f>_xll.QS.CONTEXT.CREATE("market.8540",A8542,"USD","SOFR")</f>
        <v>QSObject:PricingContext:w1~market.8540:2384</v>
      </c>
      <c r="D8542" s="6" t="str">
        <f>_xll.QS.CONTEXT.ADD.CURVE(C8542,"SOFR",$K$2:$K$7,$L$2:$L$7,,,"Actual360","LogLinear",TRUE)</f>
        <v>QSObject:ContextInput:w1~input.qs_context_add_curve.2359132437744.8541.3.0:31781</v>
      </c>
      <c r="E8542" s="6" t="str">
        <f>_xll.QS.INSTRUMENT.SWAP("swap.8540",H8542,B8542,"USD","SOFR",I8542,J8542,0,"Actual360","Simple","Annual","Annual","Annual")</f>
        <v>QSObject:Swap:w1~swap.8540:2383</v>
      </c>
      <c r="F8542" s="6" t="str">
        <f>_xll.QS.TRADE.CREATE("trade.8540",E8542,A8542,"Receive")</f>
        <v>QSObject:SwapTrade:w1~trade.8540:23322</v>
      </c>
      <c r="G8542" s="3">
        <f>_xll.QS.EVALUATE(C8542,F8542)</f>
        <v>59497.237680080361</v>
      </c>
      <c r="H8542" s="5" t="s">
        <v>8583</v>
      </c>
      <c r="I8542" s="7">
        <v>1854000</v>
      </c>
      <c r="J8542" s="8">
        <v>3.9000000000000007E-2</v>
      </c>
    </row>
    <row r="8543" spans="1:10" x14ac:dyDescent="0.25">
      <c r="A8543" s="5" t="s">
        <v>8577</v>
      </c>
      <c r="B8543" s="5" t="s">
        <v>10410</v>
      </c>
      <c r="C8543" s="6" t="str">
        <f>_xll.QS.CONTEXT.CREATE("market.8541",A8543,"USD","SOFR")</f>
        <v>QSObject:PricingContext:w1~market.8541:2382</v>
      </c>
      <c r="D8543" s="6" t="str">
        <f>_xll.QS.CONTEXT.ADD.CURVE(C8543,"SOFR",$K$2:$K$7,$L$2:$L$7,,,"Actual360","LogLinear",TRUE)</f>
        <v>QSObject:ContextInput:w1~input.qs_context_add_curve.2359132437744.8542.3.0:31780</v>
      </c>
      <c r="E8543" s="6" t="str">
        <f>_xll.QS.INSTRUMENT.SWAP("swap.8541",H8543,B8543,"USD","SOFR",I8543,J8543,0,"Actual360","Simple","Annual","Annual","Annual")</f>
        <v>QSObject:Swap:w1~swap.8541:2381</v>
      </c>
      <c r="F8543" s="6" t="str">
        <f>_xll.QS.TRADE.CREATE("trade.8541",E8543,A8543,"Receive")</f>
        <v>QSObject:SwapTrade:w1~trade.8541:23321</v>
      </c>
      <c r="G8543" s="3">
        <f>_xll.QS.EVALUATE(C8543,F8543)</f>
        <v>60435.459913226943</v>
      </c>
      <c r="H8543" s="5" t="s">
        <v>8584</v>
      </c>
      <c r="I8543" s="7">
        <v>1854100</v>
      </c>
      <c r="J8543" s="8">
        <v>3.9100000000000003E-2</v>
      </c>
    </row>
    <row r="8544" spans="1:10" x14ac:dyDescent="0.25">
      <c r="A8544" s="5" t="s">
        <v>8578</v>
      </c>
      <c r="B8544" s="5" t="s">
        <v>10411</v>
      </c>
      <c r="C8544" s="6" t="str">
        <f>_xll.QS.CONTEXT.CREATE("market.8542",A8544,"USD","SOFR")</f>
        <v>QSObject:PricingContext:w1~market.8542:2380</v>
      </c>
      <c r="D8544" s="6" t="str">
        <f>_xll.QS.CONTEXT.ADD.CURVE(C8544,"SOFR",$K$2:$K$7,$L$2:$L$7,,,"Actual360","LogLinear",TRUE)</f>
        <v>QSObject:ContextInput:w1~input.qs_context_add_curve.2359132437744.8543.3.0:31779</v>
      </c>
      <c r="E8544" s="6" t="str">
        <f>_xll.QS.INSTRUMENT.SWAP("swap.8542",H8544,B8544,"USD","SOFR",I8544,J8544,0,"Actual360","Simple","Annual","Annual","Annual")</f>
        <v>QSObject:Swap:w1~swap.8542:2379</v>
      </c>
      <c r="F8544" s="6" t="str">
        <f>_xll.QS.TRADE.CREATE("trade.8542",E8544,A8544,"Receive")</f>
        <v>QSObject:SwapTrade:w1~trade.8542:23320</v>
      </c>
      <c r="G8544" s="3">
        <f>_xll.QS.EVALUATE(C8544,F8544)</f>
        <v>61538.37627397602</v>
      </c>
      <c r="H8544" s="5" t="s">
        <v>8585</v>
      </c>
      <c r="I8544" s="7">
        <v>1854200</v>
      </c>
      <c r="J8544" s="8">
        <v>3.9200000000000013E-2</v>
      </c>
    </row>
    <row r="8545" spans="1:10" x14ac:dyDescent="0.25">
      <c r="A8545" s="5" t="s">
        <v>8579</v>
      </c>
      <c r="B8545" s="5" t="s">
        <v>10412</v>
      </c>
      <c r="C8545" s="6" t="str">
        <f>_xll.QS.CONTEXT.CREATE("market.8543",A8545,"USD","SOFR")</f>
        <v>QSObject:PricingContext:w1~market.8543:2378</v>
      </c>
      <c r="D8545" s="6" t="str">
        <f>_xll.QS.CONTEXT.ADD.CURVE(C8545,"SOFR",$K$2:$K$7,$L$2:$L$7,,,"Actual360","LogLinear",TRUE)</f>
        <v>QSObject:ContextInput:w1~input.qs_context_add_curve.2359132437744.8544.3.0:31778</v>
      </c>
      <c r="E8545" s="6" t="str">
        <f>_xll.QS.INSTRUMENT.SWAP("swap.8543",H8545,B8545,"USD","SOFR",I8545,J8545,0,"Actual360","Simple","Annual","Annual","Annual")</f>
        <v>QSObject:Swap:w1~swap.8543:2377</v>
      </c>
      <c r="F8545" s="6" t="str">
        <f>_xll.QS.TRADE.CREATE("trade.8543",E8545,A8545,"Receive")</f>
        <v>QSObject:SwapTrade:w1~trade.8543:23319</v>
      </c>
      <c r="G8545" s="3">
        <f>_xll.QS.EVALUATE(C8545,F8545)</f>
        <v>62415.001836473144</v>
      </c>
      <c r="H8545" s="5" t="s">
        <v>8586</v>
      </c>
      <c r="I8545" s="7">
        <v>1854300</v>
      </c>
      <c r="J8545" s="8">
        <v>3.9300000000000002E-2</v>
      </c>
    </row>
    <row r="8546" spans="1:10" x14ac:dyDescent="0.25">
      <c r="A8546" s="5" t="s">
        <v>8580</v>
      </c>
      <c r="B8546" s="5" t="s">
        <v>10413</v>
      </c>
      <c r="C8546" s="6" t="str">
        <f>_xll.QS.CONTEXT.CREATE("market.8544",A8546,"USD","SOFR")</f>
        <v>QSObject:PricingContext:w1~market.8544:2376</v>
      </c>
      <c r="D8546" s="6" t="str">
        <f>_xll.QS.CONTEXT.ADD.CURVE(C8546,"SOFR",$K$2:$K$7,$L$2:$L$7,,,"Actual360","LogLinear",TRUE)</f>
        <v>QSObject:ContextInput:w1~input.qs_context_add_curve.2359132437744.8545.3.0:31777</v>
      </c>
      <c r="E8546" s="6" t="str">
        <f>_xll.QS.INSTRUMENT.SWAP("swap.8544",H8546,B8546,"USD","SOFR",I8546,J8546,0,"Actual360","Simple","Annual","Annual","Annual")</f>
        <v>QSObject:Swap:w1~swap.8544:2375</v>
      </c>
      <c r="F8546" s="6" t="str">
        <f>_xll.QS.TRADE.CREATE("trade.8544",E8546,A8546,"Receive")</f>
        <v>QSObject:SwapTrade:w1~trade.8544:23318</v>
      </c>
      <c r="G8546" s="3">
        <f>_xll.QS.EVALUATE(C8546,F8546)</f>
        <v>63271.460795640945</v>
      </c>
      <c r="H8546" s="5" t="s">
        <v>8587</v>
      </c>
      <c r="I8546" s="7">
        <v>1854400</v>
      </c>
      <c r="J8546" s="8">
        <v>3.9399999999999998E-2</v>
      </c>
    </row>
    <row r="8547" spans="1:10" x14ac:dyDescent="0.25">
      <c r="A8547" s="5" t="s">
        <v>8581</v>
      </c>
      <c r="B8547" s="5" t="s">
        <v>10414</v>
      </c>
      <c r="C8547" s="6" t="str">
        <f>_xll.QS.CONTEXT.CREATE("market.8545",A8547,"USD","SOFR")</f>
        <v>QSObject:PricingContext:w1~market.8545:2374</v>
      </c>
      <c r="D8547" s="6" t="str">
        <f>_xll.QS.CONTEXT.ADD.CURVE(C8547,"SOFR",$K$2:$K$7,$L$2:$L$7,,,"Actual360","LogLinear",TRUE)</f>
        <v>QSObject:ContextInput:w1~input.qs_context_add_curve.2359132437744.8546.3.0:31776</v>
      </c>
      <c r="E8547" s="6" t="str">
        <f>_xll.QS.INSTRUMENT.SWAP("swap.8545",H8547,B8547,"USD","SOFR",I8547,J8547,0,"Actual360","Simple","Annual","Annual","Annual")</f>
        <v>QSObject:Swap:w1~swap.8545:2373</v>
      </c>
      <c r="F8547" s="6" t="str">
        <f>_xll.QS.TRADE.CREATE("trade.8545",E8547,A8547,"Receive")</f>
        <v>QSObject:SwapTrade:w1~trade.8545:23317</v>
      </c>
      <c r="G8547" s="3">
        <f>_xll.QS.EVALUATE(C8547,F8547)</f>
        <v>63976.487059365849</v>
      </c>
      <c r="H8547" s="5" t="s">
        <v>8588</v>
      </c>
      <c r="I8547" s="7">
        <v>1854500</v>
      </c>
      <c r="J8547" s="8">
        <v>3.9500000000000007E-2</v>
      </c>
    </row>
    <row r="8548" spans="1:10" x14ac:dyDescent="0.25">
      <c r="A8548" s="5" t="s">
        <v>8582</v>
      </c>
      <c r="B8548" s="5" t="s">
        <v>10415</v>
      </c>
      <c r="C8548" s="6" t="str">
        <f>_xll.QS.CONTEXT.CREATE("market.8546",A8548,"USD","SOFR")</f>
        <v>QSObject:PricingContext:w1~market.8546:2372</v>
      </c>
      <c r="D8548" s="6" t="str">
        <f>_xll.QS.CONTEXT.ADD.CURVE(C8548,"SOFR",$K$2:$K$7,$L$2:$L$7,,,"Actual360","LogLinear",TRUE)</f>
        <v>QSObject:ContextInput:w1~input.qs_context_add_curve.2359132437744.8547.3.0:31775</v>
      </c>
      <c r="E8548" s="6" t="str">
        <f>_xll.QS.INSTRUMENT.SWAP("swap.8546",H8548,B8548,"USD","SOFR",I8548,J8548,0,"Actual360","Simple","Annual","Annual","Annual")</f>
        <v>QSObject:Swap:w1~swap.8546:2371</v>
      </c>
      <c r="F8548" s="6" t="str">
        <f>_xll.QS.TRADE.CREATE("trade.8546",E8548,A8548,"Receive")</f>
        <v>QSObject:SwapTrade:w1~trade.8546:23316</v>
      </c>
      <c r="G8548" s="3">
        <f>_xll.QS.EVALUATE(C8548,F8548)</f>
        <v>64723.921102202788</v>
      </c>
      <c r="H8548" s="5" t="s">
        <v>8589</v>
      </c>
      <c r="I8548" s="7">
        <v>1854600</v>
      </c>
      <c r="J8548" s="8">
        <v>3.9600000000000003E-2</v>
      </c>
    </row>
    <row r="8549" spans="1:10" x14ac:dyDescent="0.25">
      <c r="A8549" s="5" t="s">
        <v>8583</v>
      </c>
      <c r="B8549" s="5" t="s">
        <v>10416</v>
      </c>
      <c r="C8549" s="6" t="str">
        <f>_xll.QS.CONTEXT.CREATE("market.8547",A8549,"USD","SOFR")</f>
        <v>QSObject:PricingContext:w1~market.8547:2370</v>
      </c>
      <c r="D8549" s="6" t="str">
        <f>_xll.QS.CONTEXT.ADD.CURVE(C8549,"SOFR",$K$2:$K$7,$L$2:$L$7,,,"Actual360","LogLinear",TRUE)</f>
        <v>QSObject:ContextInput:w1~input.qs_context_add_curve.2359132437744.8548.3.0:31774</v>
      </c>
      <c r="E8549" s="6" t="str">
        <f>_xll.QS.INSTRUMENT.SWAP("swap.8547",H8549,B8549,"USD","SOFR",I8549,J8549,0,"Actual360","Simple","Annual","Annual","Annual")</f>
        <v>QSObject:Swap:w1~swap.8547:2369</v>
      </c>
      <c r="F8549" s="6" t="str">
        <f>_xll.QS.TRADE.CREATE("trade.8547",E8549,A8549,"Receive")</f>
        <v>QSObject:SwapTrade:w1~trade.8547:23315</v>
      </c>
      <c r="G8549" s="3">
        <f>_xll.QS.EVALUATE(C8549,F8549)</f>
        <v>65588.095051376746</v>
      </c>
      <c r="H8549" s="5" t="s">
        <v>8590</v>
      </c>
      <c r="I8549" s="7">
        <v>1854700</v>
      </c>
      <c r="J8549" s="8">
        <v>3.9700000000000013E-2</v>
      </c>
    </row>
    <row r="8550" spans="1:10" x14ac:dyDescent="0.25">
      <c r="A8550" s="5" t="s">
        <v>8584</v>
      </c>
      <c r="B8550" s="5" t="s">
        <v>10417</v>
      </c>
      <c r="C8550" s="6" t="str">
        <f>_xll.QS.CONTEXT.CREATE("market.8548",A8550,"USD","SOFR")</f>
        <v>QSObject:PricingContext:w1~market.8548:2368</v>
      </c>
      <c r="D8550" s="6" t="str">
        <f>_xll.QS.CONTEXT.ADD.CURVE(C8550,"SOFR",$K$2:$K$7,$L$2:$L$7,,,"Actual360","LogLinear",TRUE)</f>
        <v>QSObject:ContextInput:w1~input.qs_context_add_curve.2359132437744.8549.3.0:31773</v>
      </c>
      <c r="E8550" s="6" t="str">
        <f>_xll.QS.INSTRUMENT.SWAP("swap.8548",H8550,B8550,"USD","SOFR",I8550,J8550,0,"Actual360","Simple","Annual","Annual","Annual")</f>
        <v>QSObject:Swap:w1~swap.8548:2367</v>
      </c>
      <c r="F8550" s="6" t="str">
        <f>_xll.QS.TRADE.CREATE("trade.8548",E8550,A8550,"Receive")</f>
        <v>QSObject:SwapTrade:w1~trade.8548:23314</v>
      </c>
      <c r="G8550" s="3">
        <f>_xll.QS.EVALUATE(C8550,F8550)</f>
        <v>66484.431560651108</v>
      </c>
      <c r="H8550" s="5" t="s">
        <v>8591</v>
      </c>
      <c r="I8550" s="7">
        <v>1854800</v>
      </c>
      <c r="J8550" s="8">
        <v>3.9800000000000002E-2</v>
      </c>
    </row>
    <row r="8551" spans="1:10" x14ac:dyDescent="0.25">
      <c r="A8551" s="5" t="s">
        <v>8585</v>
      </c>
      <c r="B8551" s="5" t="s">
        <v>10418</v>
      </c>
      <c r="C8551" s="6" t="str">
        <f>_xll.QS.CONTEXT.CREATE("market.8549",A8551,"USD","SOFR")</f>
        <v>QSObject:PricingContext:w1~market.8549:2366</v>
      </c>
      <c r="D8551" s="6" t="str">
        <f>_xll.QS.CONTEXT.ADD.CURVE(C8551,"SOFR",$K$2:$K$7,$L$2:$L$7,,,"Actual360","LogLinear",TRUE)</f>
        <v>QSObject:ContextInput:w1~input.qs_context_add_curve.2359132437744.8550.3.0:31772</v>
      </c>
      <c r="E8551" s="6" t="str">
        <f>_xll.QS.INSTRUMENT.SWAP("swap.8549",H8551,B8551,"USD","SOFR",I8551,J8551,0,"Actual360","Simple","Annual","Annual","Annual")</f>
        <v>QSObject:Swap:w1~swap.8549:2365</v>
      </c>
      <c r="F8551" s="6" t="str">
        <f>_xll.QS.TRADE.CREATE("trade.8549",E8551,A8551,"Receive")</f>
        <v>QSObject:SwapTrade:w1~trade.8549:23313</v>
      </c>
      <c r="G8551" s="3">
        <f>_xll.QS.EVALUATE(C8551,F8551)</f>
        <v>67480.22128405617</v>
      </c>
      <c r="H8551" s="5" t="s">
        <v>8592</v>
      </c>
      <c r="I8551" s="7">
        <v>1854900</v>
      </c>
      <c r="J8551" s="8">
        <v>3.9899999999999998E-2</v>
      </c>
    </row>
    <row r="8552" spans="1:10" x14ac:dyDescent="0.25">
      <c r="A8552" s="5" t="s">
        <v>8586</v>
      </c>
      <c r="B8552" s="5" t="s">
        <v>10419</v>
      </c>
      <c r="C8552" s="6" t="str">
        <f>_xll.QS.CONTEXT.CREATE("market.8550",A8552,"USD","SOFR")</f>
        <v>QSObject:PricingContext:w1~market.8550:2364</v>
      </c>
      <c r="D8552" s="6" t="str">
        <f>_xll.QS.CONTEXT.ADD.CURVE(C8552,"SOFR",$K$2:$K$7,$L$2:$L$7,,,"Actual360","LogLinear",TRUE)</f>
        <v>QSObject:ContextInput:w1~input.qs_context_add_curve.2359132437744.8551.3.0:31771</v>
      </c>
      <c r="E8552" s="6" t="str">
        <f>_xll.QS.INSTRUMENT.SWAP("swap.8550",H8552,B8552,"USD","SOFR",I8552,J8552,0,"Actual360","Simple","Annual","Annual","Annual")</f>
        <v>QSObject:Swap:w1~swap.8550:2363</v>
      </c>
      <c r="F8552" s="6" t="str">
        <f>_xll.QS.TRADE.CREATE("trade.8550",E8552,A8552,"Receive")</f>
        <v>QSObject:SwapTrade:w1~trade.8550:23312</v>
      </c>
      <c r="G8552" s="3">
        <f>_xll.QS.EVALUATE(C8552,F8552)</f>
        <v>25649.792893191567</v>
      </c>
      <c r="H8552" s="5" t="s">
        <v>8593</v>
      </c>
      <c r="I8552" s="7">
        <v>1855000</v>
      </c>
      <c r="J8552" s="8">
        <v>3.5000000000000003E-2</v>
      </c>
    </row>
    <row r="8553" spans="1:10" x14ac:dyDescent="0.25">
      <c r="A8553" s="5" t="s">
        <v>8587</v>
      </c>
      <c r="B8553" s="5" t="s">
        <v>10420</v>
      </c>
      <c r="C8553" s="6" t="str">
        <f>_xll.QS.CONTEXT.CREATE("market.8551",A8553,"USD","SOFR")</f>
        <v>QSObject:PricingContext:w1~market.8551:2362</v>
      </c>
      <c r="D8553" s="6" t="str">
        <f>_xll.QS.CONTEXT.ADD.CURVE(C8553,"SOFR",$K$2:$K$7,$L$2:$L$7,,,"Actual360","LogLinear",TRUE)</f>
        <v>QSObject:ContextInput:w1~input.qs_context_add_curve.2359132437744.8552.3.0:31770</v>
      </c>
      <c r="E8553" s="6" t="str">
        <f>_xll.QS.INSTRUMENT.SWAP("swap.8551",H8553,B8553,"USD","SOFR",I8553,J8553,0,"Actual360","Simple","Annual","Annual","Annual")</f>
        <v>QSObject:Swap:w1~swap.8551:2361</v>
      </c>
      <c r="F8553" s="6" t="str">
        <f>_xll.QS.TRADE.CREATE("trade.8551",E8553,A8553,"Receive")</f>
        <v>QSObject:SwapTrade:w1~trade.8551:23311</v>
      </c>
      <c r="G8553" s="3">
        <f>_xll.QS.EVALUATE(C8553,F8553)</f>
        <v>26435.520132506921</v>
      </c>
      <c r="H8553" s="5" t="s">
        <v>8594</v>
      </c>
      <c r="I8553" s="7">
        <v>1855100</v>
      </c>
      <c r="J8553" s="8">
        <v>3.5100000000000013E-2</v>
      </c>
    </row>
    <row r="8554" spans="1:10" x14ac:dyDescent="0.25">
      <c r="A8554" s="5" t="s">
        <v>8588</v>
      </c>
      <c r="B8554" s="5" t="s">
        <v>10421</v>
      </c>
      <c r="C8554" s="6" t="str">
        <f>_xll.QS.CONTEXT.CREATE("market.8552",A8554,"USD","SOFR")</f>
        <v>QSObject:PricingContext:w1~market.8552:2360</v>
      </c>
      <c r="D8554" s="6" t="str">
        <f>_xll.QS.CONTEXT.ADD.CURVE(C8554,"SOFR",$K$2:$K$7,$L$2:$L$7,,,"Actual360","LogLinear",TRUE)</f>
        <v>QSObject:ContextInput:w1~input.qs_context_add_curve.2359132437744.8553.3.0:31769</v>
      </c>
      <c r="E8554" s="6" t="str">
        <f>_xll.QS.INSTRUMENT.SWAP("swap.8552",H8554,B8554,"USD","SOFR",I8554,J8554,0,"Actual360","Simple","Annual","Annual","Annual")</f>
        <v>QSObject:Swap:w1~swap.8552:2359</v>
      </c>
      <c r="F8554" s="6" t="str">
        <f>_xll.QS.TRADE.CREATE("trade.8552",E8554,A8554,"Receive")</f>
        <v>QSObject:SwapTrade:w1~trade.8552:23310</v>
      </c>
      <c r="G8554" s="3">
        <f>_xll.QS.EVALUATE(C8554,F8554)</f>
        <v>27182.10758424193</v>
      </c>
      <c r="H8554" s="5" t="s">
        <v>8595</v>
      </c>
      <c r="I8554" s="7">
        <v>1855200</v>
      </c>
      <c r="J8554" s="8">
        <v>3.5200000000000002E-2</v>
      </c>
    </row>
    <row r="8555" spans="1:10" x14ac:dyDescent="0.25">
      <c r="A8555" s="5" t="s">
        <v>8589</v>
      </c>
      <c r="B8555" s="5" t="s">
        <v>10422</v>
      </c>
      <c r="C8555" s="6" t="str">
        <f>_xll.QS.CONTEXT.CREATE("market.8553",A8555,"USD","SOFR")</f>
        <v>QSObject:PricingContext:w1~market.8553:2358</v>
      </c>
      <c r="D8555" s="6" t="str">
        <f>_xll.QS.CONTEXT.ADD.CURVE(C8555,"SOFR",$K$2:$K$7,$L$2:$L$7,,,"Actual360","LogLinear",TRUE)</f>
        <v>QSObject:ContextInput:w1~input.qs_context_add_curve.2359132437744.8554.3.0:31768</v>
      </c>
      <c r="E8555" s="6" t="str">
        <f>_xll.QS.INSTRUMENT.SWAP("swap.8553",H8555,B8555,"USD","SOFR",I8555,J8555,0,"Actual360","Simple","Annual","Annual","Annual")</f>
        <v>QSObject:Swap:w1~swap.8553:2357</v>
      </c>
      <c r="F8555" s="6" t="str">
        <f>_xll.QS.TRADE.CREATE("trade.8553",E8555,A8555,"Receive")</f>
        <v>QSObject:SwapTrade:w1~trade.8553:23309</v>
      </c>
      <c r="G8555" s="3">
        <f>_xll.QS.EVALUATE(C8555,F8555)</f>
        <v>27870.994848294373</v>
      </c>
      <c r="H8555" s="5" t="s">
        <v>8596</v>
      </c>
      <c r="I8555" s="7">
        <v>1855300</v>
      </c>
      <c r="J8555" s="8">
        <v>3.5299999999999998E-2</v>
      </c>
    </row>
    <row r="8556" spans="1:10" x14ac:dyDescent="0.25">
      <c r="A8556" s="5" t="s">
        <v>8590</v>
      </c>
      <c r="B8556" s="5" t="s">
        <v>10423</v>
      </c>
      <c r="C8556" s="6" t="str">
        <f>_xll.QS.CONTEXT.CREATE("market.8554",A8556,"USD","SOFR")</f>
        <v>QSObject:PricingContext:w1~market.8554:2356</v>
      </c>
      <c r="D8556" s="6" t="str">
        <f>_xll.QS.CONTEXT.ADD.CURVE(C8556,"SOFR",$K$2:$K$7,$L$2:$L$7,,,"Actual360","LogLinear",TRUE)</f>
        <v>QSObject:ContextInput:w1~input.qs_context_add_curve.2359132437744.8555.3.0:31767</v>
      </c>
      <c r="E8556" s="6" t="str">
        <f>_xll.QS.INSTRUMENT.SWAP("swap.8554",H8556,B8556,"USD","SOFR",I8556,J8556,0,"Actual360","Simple","Annual","Annual","Annual")</f>
        <v>QSObject:Swap:w1~swap.8554:2355</v>
      </c>
      <c r="F8556" s="6" t="str">
        <f>_xll.QS.TRADE.CREATE("trade.8554",E8556,A8556,"Receive")</f>
        <v>QSObject:SwapTrade:w1~trade.8554:23308</v>
      </c>
      <c r="G8556" s="3">
        <f>_xll.QS.EVALUATE(C8556,F8556)</f>
        <v>28804.618226132865</v>
      </c>
      <c r="H8556" s="5" t="s">
        <v>8597</v>
      </c>
      <c r="I8556" s="7">
        <v>1855400</v>
      </c>
      <c r="J8556" s="8">
        <v>3.5400000000000001E-2</v>
      </c>
    </row>
    <row r="8557" spans="1:10" x14ac:dyDescent="0.25">
      <c r="A8557" s="5" t="s">
        <v>8591</v>
      </c>
      <c r="B8557" s="5" t="s">
        <v>10424</v>
      </c>
      <c r="C8557" s="6" t="str">
        <f>_xll.QS.CONTEXT.CREATE("market.8555",A8557,"USD","SOFR")</f>
        <v>QSObject:PricingContext:w1~market.8555:2354</v>
      </c>
      <c r="D8557" s="6" t="str">
        <f>_xll.QS.CONTEXT.ADD.CURVE(C8557,"SOFR",$K$2:$K$7,$L$2:$L$7,,,"Actual360","LogLinear",TRUE)</f>
        <v>QSObject:ContextInput:w1~input.qs_context_add_curve.2359132437744.8556.3.0:31766</v>
      </c>
      <c r="E8557" s="6" t="str">
        <f>_xll.QS.INSTRUMENT.SWAP("swap.8555",H8557,B8557,"USD","SOFR",I8557,J8557,0,"Actual360","Simple","Annual","Annual","Annual")</f>
        <v>QSObject:Swap:w1~swap.8555:2353</v>
      </c>
      <c r="F8557" s="6" t="str">
        <f>_xll.QS.TRADE.CREATE("trade.8555",E8557,A8557,"Receive")</f>
        <v>QSObject:SwapTrade:w1~trade.8555:23307</v>
      </c>
      <c r="G8557" s="3">
        <f>_xll.QS.EVALUATE(C8557,F8557)</f>
        <v>29718.462877477046</v>
      </c>
      <c r="H8557" s="5" t="s">
        <v>8598</v>
      </c>
      <c r="I8557" s="7">
        <v>1855500</v>
      </c>
      <c r="J8557" s="8">
        <v>3.5499999999999997E-2</v>
      </c>
    </row>
    <row r="8558" spans="1:10" x14ac:dyDescent="0.25">
      <c r="A8558" s="5" t="s">
        <v>8592</v>
      </c>
      <c r="B8558" s="5" t="s">
        <v>10425</v>
      </c>
      <c r="C8558" s="6" t="str">
        <f>_xll.QS.CONTEXT.CREATE("market.8556",A8558,"USD","SOFR")</f>
        <v>QSObject:PricingContext:w1~market.8556:2352</v>
      </c>
      <c r="D8558" s="6" t="str">
        <f>_xll.QS.CONTEXT.ADD.CURVE(C8558,"SOFR",$K$2:$K$7,$L$2:$L$7,,,"Actual360","LogLinear",TRUE)</f>
        <v>QSObject:ContextInput:w1~input.qs_context_add_curve.2359132437744.8557.3.0:31765</v>
      </c>
      <c r="E8558" s="6" t="str">
        <f>_xll.QS.INSTRUMENT.SWAP("swap.8556",H8558,B8558,"USD","SOFR",I8558,J8558,0,"Actual360","Simple","Annual","Annual","Annual")</f>
        <v>QSObject:Swap:w1~swap.8556:2351</v>
      </c>
      <c r="F8558" s="6" t="str">
        <f>_xll.QS.TRADE.CREATE("trade.8556",E8558,A8558,"Receive")</f>
        <v>QSObject:SwapTrade:w1~trade.8556:23306</v>
      </c>
      <c r="G8558" s="3">
        <f>_xll.QS.EVALUATE(C8558,F8558)</f>
        <v>30711.407384721388</v>
      </c>
      <c r="H8558" s="5" t="s">
        <v>8599</v>
      </c>
      <c r="I8558" s="7">
        <v>1855600</v>
      </c>
      <c r="J8558" s="8">
        <v>3.5600000000000007E-2</v>
      </c>
    </row>
    <row r="8559" spans="1:10" x14ac:dyDescent="0.25">
      <c r="A8559" s="5" t="s">
        <v>8593</v>
      </c>
      <c r="B8559" s="5" t="s">
        <v>10426</v>
      </c>
      <c r="C8559" s="6" t="str">
        <f>_xll.QS.CONTEXT.CREATE("market.8557",A8559,"USD","SOFR")</f>
        <v>QSObject:PricingContext:w1~market.8557:2350</v>
      </c>
      <c r="D8559" s="6" t="str">
        <f>_xll.QS.CONTEXT.ADD.CURVE(C8559,"SOFR",$K$2:$K$7,$L$2:$L$7,,,"Actual360","LogLinear",TRUE)</f>
        <v>QSObject:ContextInput:w1~input.qs_context_add_curve.2359132437744.8558.3.0:31764</v>
      </c>
      <c r="E8559" s="6" t="str">
        <f>_xll.QS.INSTRUMENT.SWAP("swap.8557",H8559,B8559,"USD","SOFR",I8559,J8559,0,"Actual360","Simple","Annual","Annual","Annual")</f>
        <v>QSObject:Swap:w1~swap.8557:2349</v>
      </c>
      <c r="F8559" s="6" t="str">
        <f>_xll.QS.TRADE.CREATE("trade.8557",E8559,A8559,"Receive")</f>
        <v>QSObject:SwapTrade:w1~trade.8557:23305</v>
      </c>
      <c r="G8559" s="3">
        <f>_xll.QS.EVALUATE(C8559,F8559)</f>
        <v>31649.688987537396</v>
      </c>
      <c r="H8559" s="5" t="s">
        <v>8600</v>
      </c>
      <c r="I8559" s="7">
        <v>1855700</v>
      </c>
      <c r="J8559" s="8">
        <v>3.5700000000000003E-2</v>
      </c>
    </row>
    <row r="8560" spans="1:10" x14ac:dyDescent="0.25">
      <c r="A8560" s="5" t="s">
        <v>8594</v>
      </c>
      <c r="B8560" s="5" t="s">
        <v>10427</v>
      </c>
      <c r="C8560" s="6" t="str">
        <f>_xll.QS.CONTEXT.CREATE("market.8558",A8560,"USD","SOFR")</f>
        <v>QSObject:PricingContext:w1~market.8558:2348</v>
      </c>
      <c r="D8560" s="6" t="str">
        <f>_xll.QS.CONTEXT.ADD.CURVE(C8560,"SOFR",$K$2:$K$7,$L$2:$L$7,,,"Actual360","LogLinear",TRUE)</f>
        <v>QSObject:ContextInput:w1~input.qs_context_add_curve.2359132437744.8559.3.0:31763</v>
      </c>
      <c r="E8560" s="6" t="str">
        <f>_xll.QS.INSTRUMENT.SWAP("swap.8558",H8560,B8560,"USD","SOFR",I8560,J8560,0,"Actual360","Simple","Annual","Annual","Annual")</f>
        <v>QSObject:Swap:w1~swap.8558:2347</v>
      </c>
      <c r="F8560" s="6" t="str">
        <f>_xll.QS.TRADE.CREATE("trade.8558",E8560,A8560,"Receive")</f>
        <v>QSObject:SwapTrade:w1~trade.8558:23304</v>
      </c>
      <c r="G8560" s="3">
        <f>_xll.QS.EVALUATE(C8560,F8560)</f>
        <v>32435.96918148535</v>
      </c>
      <c r="H8560" s="5" t="s">
        <v>8601</v>
      </c>
      <c r="I8560" s="7">
        <v>1855800</v>
      </c>
      <c r="J8560" s="8">
        <v>3.5800000000000012E-2</v>
      </c>
    </row>
    <row r="8561" spans="1:10" x14ac:dyDescent="0.25">
      <c r="A8561" s="5" t="s">
        <v>8595</v>
      </c>
      <c r="B8561" s="5" t="s">
        <v>10428</v>
      </c>
      <c r="C8561" s="6" t="str">
        <f>_xll.QS.CONTEXT.CREATE("market.8559",A8561,"USD","SOFR")</f>
        <v>QSObject:PricingContext:w1~market.8559:2346</v>
      </c>
      <c r="D8561" s="6" t="str">
        <f>_xll.QS.CONTEXT.ADD.CURVE(C8561,"SOFR",$K$2:$K$7,$L$2:$L$7,,,"Actual360","LogLinear",TRUE)</f>
        <v>QSObject:ContextInput:w1~input.qs_context_add_curve.2359132437744.8560.3.0:31762</v>
      </c>
      <c r="E8561" s="6" t="str">
        <f>_xll.QS.INSTRUMENT.SWAP("swap.8559",H8561,B8561,"USD","SOFR",I8561,J8561,0,"Actual360","Simple","Annual","Annual","Annual")</f>
        <v>QSObject:Swap:w1~swap.8559:2345</v>
      </c>
      <c r="F8561" s="6" t="str">
        <f>_xll.QS.TRADE.CREATE("trade.8559",E8561,A8561,"Receive")</f>
        <v>QSObject:SwapTrade:w1~trade.8559:23303</v>
      </c>
      <c r="G8561" s="3">
        <f>_xll.QS.EVALUATE(C8561,F8561)</f>
        <v>33176.10550154675</v>
      </c>
      <c r="H8561" s="5" t="s">
        <v>8602</v>
      </c>
      <c r="I8561" s="7">
        <v>1855900</v>
      </c>
      <c r="J8561" s="8">
        <v>3.5900000000000001E-2</v>
      </c>
    </row>
    <row r="8562" spans="1:10" x14ac:dyDescent="0.25">
      <c r="A8562" s="5" t="s">
        <v>8596</v>
      </c>
      <c r="B8562" s="5" t="s">
        <v>10429</v>
      </c>
      <c r="C8562" s="6" t="str">
        <f>_xll.QS.CONTEXT.CREATE("market.8560",A8562,"USD","SOFR")</f>
        <v>QSObject:PricingContext:w1~market.8560:2344</v>
      </c>
      <c r="D8562" s="6" t="str">
        <f>_xll.QS.CONTEXT.ADD.CURVE(C8562,"SOFR",$K$2:$K$7,$L$2:$L$7,,,"Actual360","LogLinear",TRUE)</f>
        <v>QSObject:ContextInput:w1~input.qs_context_add_curve.2359132437744.8561.3.0:31761</v>
      </c>
      <c r="E8562" s="6" t="str">
        <f>_xll.QS.INSTRUMENT.SWAP("swap.8560",H8562,B8562,"USD","SOFR",I8562,J8562,0,"Actual360","Simple","Annual","Annual","Annual")</f>
        <v>QSObject:Swap:w1~swap.8560:2343</v>
      </c>
      <c r="F8562" s="6" t="str">
        <f>_xll.QS.TRADE.CREATE("trade.8560",E8562,A8562,"Receive")</f>
        <v>QSObject:SwapTrade:w1~trade.8560:23302</v>
      </c>
      <c r="G8562" s="3">
        <f>_xll.QS.EVALUATE(C8562,F8562)</f>
        <v>33874.862744367427</v>
      </c>
      <c r="H8562" s="5" t="s">
        <v>8603</v>
      </c>
      <c r="I8562" s="7">
        <v>1856000</v>
      </c>
      <c r="J8562" s="8">
        <v>3.5999999999999997E-2</v>
      </c>
    </row>
    <row r="8563" spans="1:10" x14ac:dyDescent="0.25">
      <c r="A8563" s="5" t="s">
        <v>8597</v>
      </c>
      <c r="B8563" s="5" t="s">
        <v>10430</v>
      </c>
      <c r="C8563" s="6" t="str">
        <f>_xll.QS.CONTEXT.CREATE("market.8561",A8563,"USD","SOFR")</f>
        <v>QSObject:PricingContext:w1~market.8561:2342</v>
      </c>
      <c r="D8563" s="6" t="str">
        <f>_xll.QS.CONTEXT.ADD.CURVE(C8563,"SOFR",$K$2:$K$7,$L$2:$L$7,,,"Actual360","LogLinear",TRUE)</f>
        <v>QSObject:ContextInput:w1~input.qs_context_add_curve.2359132437744.8562.3.0:31760</v>
      </c>
      <c r="E8563" s="6" t="str">
        <f>_xll.QS.INSTRUMENT.SWAP("swap.8561",H8563,B8563,"USD","SOFR",I8563,J8563,0,"Actual360","Simple","Annual","Annual","Annual")</f>
        <v>QSObject:Swap:w1~swap.8561:2341</v>
      </c>
      <c r="F8563" s="6" t="str">
        <f>_xll.QS.TRADE.CREATE("trade.8561",E8563,A8563,"Receive")</f>
        <v>QSObject:SwapTrade:w1~trade.8561:23301</v>
      </c>
      <c r="G8563" s="3">
        <f>_xll.QS.EVALUATE(C8563,F8563)</f>
        <v>34809.741297426073</v>
      </c>
      <c r="H8563" s="5" t="s">
        <v>8604</v>
      </c>
      <c r="I8563" s="7">
        <v>1856100</v>
      </c>
      <c r="J8563" s="8">
        <v>3.61E-2</v>
      </c>
    </row>
    <row r="8564" spans="1:10" x14ac:dyDescent="0.25">
      <c r="A8564" s="5" t="s">
        <v>8598</v>
      </c>
      <c r="B8564" s="5" t="s">
        <v>10431</v>
      </c>
      <c r="C8564" s="6" t="str">
        <f>_xll.QS.CONTEXT.CREATE("market.8562",A8564,"USD","SOFR")</f>
        <v>QSObject:PricingContext:w1~market.8562:2340</v>
      </c>
      <c r="D8564" s="6" t="str">
        <f>_xll.QS.CONTEXT.ADD.CURVE(C8564,"SOFR",$K$2:$K$7,$L$2:$L$7,,,"Actual360","LogLinear",TRUE)</f>
        <v>QSObject:ContextInput:w1~input.qs_context_add_curve.2359132437744.8563.3.0:31759</v>
      </c>
      <c r="E8564" s="6" t="str">
        <f>_xll.QS.INSTRUMENT.SWAP("swap.8562",H8564,B8564,"USD","SOFR",I8564,J8564,0,"Actual360","Simple","Annual","Annual","Annual")</f>
        <v>QSObject:Swap:w1~swap.8562:2339</v>
      </c>
      <c r="F8564" s="6" t="str">
        <f>_xll.QS.TRADE.CREATE("trade.8562",E8564,A8564,"Receive")</f>
        <v>QSObject:SwapTrade:w1~trade.8562:23300</v>
      </c>
      <c r="G8564" s="3">
        <f>_xll.QS.EVALUATE(C8564,F8564)</f>
        <v>35721.341706134466</v>
      </c>
      <c r="H8564" s="5" t="s">
        <v>8605</v>
      </c>
      <c r="I8564" s="7">
        <v>1856200</v>
      </c>
      <c r="J8564" s="8">
        <v>3.6200000000000003E-2</v>
      </c>
    </row>
    <row r="8565" spans="1:10" x14ac:dyDescent="0.25">
      <c r="A8565" s="5" t="s">
        <v>8599</v>
      </c>
      <c r="B8565" s="5" t="s">
        <v>10432</v>
      </c>
      <c r="C8565" s="6" t="str">
        <f>_xll.QS.CONTEXT.CREATE("market.8563",A8565,"USD","SOFR")</f>
        <v>QSObject:PricingContext:w1~market.8563:2338</v>
      </c>
      <c r="D8565" s="6" t="str">
        <f>_xll.QS.CONTEXT.ADD.CURVE(C8565,"SOFR",$K$2:$K$7,$L$2:$L$7,,,"Actual360","LogLinear",TRUE)</f>
        <v>QSObject:ContextInput:w1~input.qs_context_add_curve.2359132437744.8564.3.0:31758</v>
      </c>
      <c r="E8565" s="6" t="str">
        <f>_xll.QS.INSTRUMENT.SWAP("swap.8563",H8565,B8565,"USD","SOFR",I8565,J8565,0,"Actual360","Simple","Annual","Annual","Annual")</f>
        <v>QSObject:Swap:w1~swap.8563:2337</v>
      </c>
      <c r="F8565" s="6" t="str">
        <f>_xll.QS.TRADE.CREATE("trade.8563",E8565,A8565,"Receive")</f>
        <v>QSObject:SwapTrade:w1~trade.8563:23299</v>
      </c>
      <c r="G8565" s="3">
        <f>_xll.QS.EVALUATE(C8565,F8565)</f>
        <v>36715.077798380553</v>
      </c>
      <c r="H8565" s="5" t="s">
        <v>8606</v>
      </c>
      <c r="I8565" s="7">
        <v>1856300</v>
      </c>
      <c r="J8565" s="8">
        <v>3.6300000000000013E-2</v>
      </c>
    </row>
    <row r="8566" spans="1:10" x14ac:dyDescent="0.25">
      <c r="A8566" s="5" t="s">
        <v>8600</v>
      </c>
      <c r="B8566" s="5" t="s">
        <v>10433</v>
      </c>
      <c r="C8566" s="6" t="str">
        <f>_xll.QS.CONTEXT.CREATE("market.8564",A8566,"USD","SOFR")</f>
        <v>QSObject:PricingContext:w1~market.8564:2336</v>
      </c>
      <c r="D8566" s="6" t="str">
        <f>_xll.QS.CONTEXT.ADD.CURVE(C8566,"SOFR",$K$2:$K$7,$L$2:$L$7,,,"Actual360","LogLinear",TRUE)</f>
        <v>QSObject:ContextInput:w1~input.qs_context_add_curve.2359132437744.8565.3.0:31757</v>
      </c>
      <c r="E8566" s="6" t="str">
        <f>_xll.QS.INSTRUMENT.SWAP("swap.8564",H8566,B8566,"USD","SOFR",I8566,J8566,0,"Actual360","Simple","Annual","Annual","Annual")</f>
        <v>QSObject:Swap:w1~swap.8564:2335</v>
      </c>
      <c r="F8566" s="6" t="str">
        <f>_xll.QS.TRADE.CREATE("trade.8564",E8566,A8566,"Receive")</f>
        <v>QSObject:SwapTrade:w1~trade.8564:23298</v>
      </c>
      <c r="G8566" s="3">
        <f>_xll.QS.EVALUATE(C8566,F8566)</f>
        <v>37654.104294955512</v>
      </c>
      <c r="H8566" s="5" t="s">
        <v>8607</v>
      </c>
      <c r="I8566" s="7">
        <v>1856400</v>
      </c>
      <c r="J8566" s="8">
        <v>3.6400000000000002E-2</v>
      </c>
    </row>
    <row r="8567" spans="1:10" x14ac:dyDescent="0.25">
      <c r="A8567" s="5" t="s">
        <v>8601</v>
      </c>
      <c r="B8567" s="5" t="s">
        <v>10434</v>
      </c>
      <c r="C8567" s="6" t="str">
        <f>_xll.QS.CONTEXT.CREATE("market.8565",A8567,"USD","SOFR")</f>
        <v>QSObject:PricingContext:w1~market.8565:2334</v>
      </c>
      <c r="D8567" s="6" t="str">
        <f>_xll.QS.CONTEXT.ADD.CURVE(C8567,"SOFR",$K$2:$K$7,$L$2:$L$7,,,"Actual360","LogLinear",TRUE)</f>
        <v>QSObject:ContextInput:w1~input.qs_context_add_curve.2359132437744.8566.3.0:31756</v>
      </c>
      <c r="E8567" s="6" t="str">
        <f>_xll.QS.INSTRUMENT.SWAP("swap.8565",H8567,B8567,"USD","SOFR",I8567,J8567,0,"Actual360","Simple","Annual","Annual","Annual")</f>
        <v>QSObject:Swap:w1~swap.8565:2333</v>
      </c>
      <c r="F8567" s="6" t="str">
        <f>_xll.QS.TRADE.CREATE("trade.8565",E8567,A8567,"Receive")</f>
        <v>QSObject:SwapTrade:w1~trade.8565:23297</v>
      </c>
      <c r="G8567" s="3">
        <f>_xll.QS.EVALUATE(C8567,F8567)</f>
        <v>38440.958177959903</v>
      </c>
      <c r="H8567" s="5" t="s">
        <v>8608</v>
      </c>
      <c r="I8567" s="7">
        <v>1856500</v>
      </c>
      <c r="J8567" s="8">
        <v>3.6499999999999998E-2</v>
      </c>
    </row>
    <row r="8568" spans="1:10" x14ac:dyDescent="0.25">
      <c r="A8568" s="5" t="s">
        <v>8602</v>
      </c>
      <c r="B8568" s="5" t="s">
        <v>10435</v>
      </c>
      <c r="C8568" s="6" t="str">
        <f>_xll.QS.CONTEXT.CREATE("market.8566",A8568,"USD","SOFR")</f>
        <v>QSObject:PricingContext:w1~market.8566:2332</v>
      </c>
      <c r="D8568" s="6" t="str">
        <f>_xll.QS.CONTEXT.ADD.CURVE(C8568,"SOFR",$K$2:$K$7,$L$2:$L$7,,,"Actual360","LogLinear",TRUE)</f>
        <v>QSObject:ContextInput:w1~input.qs_context_add_curve.2359132437744.8567.3.0:31755</v>
      </c>
      <c r="E8568" s="6" t="str">
        <f>_xll.QS.INSTRUMENT.SWAP("swap.8566",H8568,B8568,"USD","SOFR",I8568,J8568,0,"Actual360","Simple","Annual","Annual","Annual")</f>
        <v>QSObject:Swap:w1~swap.8566:2331</v>
      </c>
      <c r="F8568" s="6" t="str">
        <f>_xll.QS.TRADE.CREATE("trade.8566",E8568,A8568,"Receive")</f>
        <v>QSObject:SwapTrade:w1~trade.8566:23296</v>
      </c>
      <c r="G8568" s="3">
        <f>_xll.QS.EVALUATE(C8568,F8568)</f>
        <v>39174.65883286122</v>
      </c>
      <c r="H8568" s="5" t="s">
        <v>8609</v>
      </c>
      <c r="I8568" s="7">
        <v>1856600</v>
      </c>
      <c r="J8568" s="8">
        <v>3.6600000000000001E-2</v>
      </c>
    </row>
    <row r="8569" spans="1:10" x14ac:dyDescent="0.25">
      <c r="A8569" s="5" t="s">
        <v>8603</v>
      </c>
      <c r="B8569" s="5" t="s">
        <v>10436</v>
      </c>
      <c r="C8569" s="6" t="str">
        <f>_xll.QS.CONTEXT.CREATE("market.8567",A8569,"USD","SOFR")</f>
        <v>QSObject:PricingContext:w1~market.8567:2330</v>
      </c>
      <c r="D8569" s="6" t="str">
        <f>_xll.QS.CONTEXT.ADD.CURVE(C8569,"SOFR",$K$2:$K$7,$L$2:$L$7,,,"Actual360","LogLinear",TRUE)</f>
        <v>QSObject:ContextInput:w1~input.qs_context_add_curve.2359132437744.8568.3.0:31754</v>
      </c>
      <c r="E8569" s="6" t="str">
        <f>_xll.QS.INSTRUMENT.SWAP("swap.8567",H8569,B8569,"USD","SOFR",I8569,J8569,0,"Actual360","Simple","Annual","Annual","Annual")</f>
        <v>QSObject:Swap:w1~swap.8567:2329</v>
      </c>
      <c r="F8569" s="6" t="str">
        <f>_xll.QS.TRADE.CREATE("trade.8567",E8569,A8569,"Receive")</f>
        <v>QSObject:SwapTrade:w1~trade.8567:23295</v>
      </c>
      <c r="G8569" s="3">
        <f>_xll.QS.EVALUATE(C8569,F8569)</f>
        <v>39883.355424270711</v>
      </c>
      <c r="H8569" s="5" t="s">
        <v>8610</v>
      </c>
      <c r="I8569" s="7">
        <v>1856700</v>
      </c>
      <c r="J8569" s="8">
        <v>3.6700000000000003E-2</v>
      </c>
    </row>
    <row r="8570" spans="1:10" x14ac:dyDescent="0.25">
      <c r="A8570" s="5" t="s">
        <v>8604</v>
      </c>
      <c r="B8570" s="5" t="s">
        <v>10437</v>
      </c>
      <c r="C8570" s="6" t="str">
        <f>_xll.QS.CONTEXT.CREATE("market.8568",A8570,"USD","SOFR")</f>
        <v>QSObject:PricingContext:w1~market.8568:2328</v>
      </c>
      <c r="D8570" s="6" t="str">
        <f>_xll.QS.CONTEXT.ADD.CURVE(C8570,"SOFR",$K$2:$K$7,$L$2:$L$7,,,"Actual360","LogLinear",TRUE)</f>
        <v>QSObject:ContextInput:w1~input.qs_context_add_curve.2359132437744.8569.3.0:31753</v>
      </c>
      <c r="E8570" s="6" t="str">
        <f>_xll.QS.INSTRUMENT.SWAP("swap.8568",H8570,B8570,"USD","SOFR",I8570,J8570,0,"Actual360","Simple","Annual","Annual","Annual")</f>
        <v>QSObject:Swap:w1~swap.8568:2327</v>
      </c>
      <c r="F8570" s="6" t="str">
        <f>_xll.QS.TRADE.CREATE("trade.8568",E8570,A8570,"Receive")</f>
        <v>QSObject:SwapTrade:w1~trade.8568:23294</v>
      </c>
      <c r="G8570" s="3">
        <f>_xll.QS.EVALUATE(C8570,F8570)</f>
        <v>40819.468742260098</v>
      </c>
      <c r="H8570" s="5" t="s">
        <v>8611</v>
      </c>
      <c r="I8570" s="7">
        <v>1856800</v>
      </c>
      <c r="J8570" s="8">
        <v>3.6800000000000013E-2</v>
      </c>
    </row>
    <row r="8571" spans="1:10" x14ac:dyDescent="0.25">
      <c r="A8571" s="5" t="s">
        <v>8605</v>
      </c>
      <c r="B8571" s="5" t="s">
        <v>10438</v>
      </c>
      <c r="C8571" s="6" t="str">
        <f>_xll.QS.CONTEXT.CREATE("market.8569",A8571,"USD","SOFR")</f>
        <v>QSObject:PricingContext:w1~market.8569:2326</v>
      </c>
      <c r="D8571" s="6" t="str">
        <f>_xll.QS.CONTEXT.ADD.CURVE(C8571,"SOFR",$K$2:$K$7,$L$2:$L$7,,,"Actual360","LogLinear",TRUE)</f>
        <v>QSObject:ContextInput:w1~input.qs_context_add_curve.2359132437744.8570.3.0:31752</v>
      </c>
      <c r="E8571" s="6" t="str">
        <f>_xll.QS.INSTRUMENT.SWAP("swap.8569",H8571,B8571,"USD","SOFR",I8571,J8571,0,"Actual360","Simple","Annual","Annual","Annual")</f>
        <v>QSObject:Swap:w1~swap.8569:2325</v>
      </c>
      <c r="F8571" s="6" t="str">
        <f>_xll.QS.TRADE.CREATE("trade.8569",E8571,A8571,"Receive")</f>
        <v>QSObject:SwapTrade:w1~trade.8569:23293</v>
      </c>
      <c r="G8571" s="3">
        <f>_xll.QS.EVALUATE(C8571,F8571)</f>
        <v>41728.739921195294</v>
      </c>
      <c r="H8571" s="5" t="s">
        <v>8612</v>
      </c>
      <c r="I8571" s="7">
        <v>1856900</v>
      </c>
      <c r="J8571" s="8">
        <v>3.6900000000000002E-2</v>
      </c>
    </row>
    <row r="8572" spans="1:10" x14ac:dyDescent="0.25">
      <c r="A8572" s="5" t="s">
        <v>8606</v>
      </c>
      <c r="B8572" s="5" t="s">
        <v>10439</v>
      </c>
      <c r="C8572" s="6" t="str">
        <f>_xll.QS.CONTEXT.CREATE("market.8570",A8572,"USD","SOFR")</f>
        <v>QSObject:PricingContext:w1~market.8570:2324</v>
      </c>
      <c r="D8572" s="6" t="str">
        <f>_xll.QS.CONTEXT.ADD.CURVE(C8572,"SOFR",$K$2:$K$7,$L$2:$L$7,,,"Actual360","LogLinear",TRUE)</f>
        <v>QSObject:ContextInput:w1~input.qs_context_add_curve.2359132437744.8571.3.0:38156</v>
      </c>
      <c r="E8572" s="6" t="str">
        <f>_xll.QS.INSTRUMENT.SWAP("swap.8570",H8572,B8572,"USD","SOFR",I8572,J8572,0,"Actual360","Simple","Annual","Annual","Annual")</f>
        <v>QSObject:Swap:w1~swap.8570:2323</v>
      </c>
      <c r="F8572" s="6" t="str">
        <f>_xll.QS.TRADE.CREATE("trade.8570",E8572,A8572,"Receive")</f>
        <v>QSObject:SwapTrade:w1~trade.8570:23292</v>
      </c>
      <c r="G8572" s="3">
        <f>_xll.QS.EVALUATE(C8572,F8572)</f>
        <v>42723.267373237053</v>
      </c>
      <c r="H8572" s="5" t="s">
        <v>8613</v>
      </c>
      <c r="I8572" s="7">
        <v>1857000</v>
      </c>
      <c r="J8572" s="8">
        <v>3.7000000000000012E-2</v>
      </c>
    </row>
    <row r="8573" spans="1:10" x14ac:dyDescent="0.25">
      <c r="A8573" s="5" t="s">
        <v>8607</v>
      </c>
      <c r="B8573" s="5" t="s">
        <v>10440</v>
      </c>
      <c r="C8573" s="6" t="str">
        <f>_xll.QS.CONTEXT.CREATE("market.8571",A8573,"USD","SOFR")</f>
        <v>QSObject:PricingContext:w1~market.8571:2322</v>
      </c>
      <c r="D8573" s="6" t="str">
        <f>_xll.QS.CONTEXT.ADD.CURVE(C8573,"SOFR",$K$2:$K$7,$L$2:$L$7,,,"Actual360","LogLinear",TRUE)</f>
        <v>QSObject:ContextInput:w1~input.qs_context_add_curve.2359132437744.8572.3.0:38155</v>
      </c>
      <c r="E8573" s="6" t="str">
        <f>_xll.QS.INSTRUMENT.SWAP("swap.8571",H8573,B8573,"USD","SOFR",I8573,J8573,0,"Actual360","Simple","Annual","Annual","Annual")</f>
        <v>QSObject:Swap:w1~swap.8571:2321</v>
      </c>
      <c r="F8573" s="6" t="str">
        <f>_xll.QS.TRADE.CREATE("trade.8571",E8573,A8573,"Receive")</f>
        <v>QSObject:SwapTrade:w1~trade.8571:23291</v>
      </c>
      <c r="G8573" s="3">
        <f>_xll.QS.EVALUATE(C8573,F8573)</f>
        <v>43663.038815445914</v>
      </c>
      <c r="H8573" s="5" t="s">
        <v>8614</v>
      </c>
      <c r="I8573" s="7">
        <v>1857100</v>
      </c>
      <c r="J8573" s="8">
        <v>3.7100000000000001E-2</v>
      </c>
    </row>
    <row r="8574" spans="1:10" x14ac:dyDescent="0.25">
      <c r="A8574" s="5" t="s">
        <v>8608</v>
      </c>
      <c r="B8574" s="5" t="s">
        <v>10441</v>
      </c>
      <c r="C8574" s="6" t="str">
        <f>_xll.QS.CONTEXT.CREATE("market.8572",A8574,"USD","SOFR")</f>
        <v>QSObject:PricingContext:w1~market.8572:2320</v>
      </c>
      <c r="D8574" s="6" t="str">
        <f>_xll.QS.CONTEXT.ADD.CURVE(C8574,"SOFR",$K$2:$K$7,$L$2:$L$7,,,"Actual360","LogLinear",TRUE)</f>
        <v>QSObject:ContextInput:w1~input.qs_context_add_curve.2359132437744.8573.3.0:38154</v>
      </c>
      <c r="E8574" s="6" t="str">
        <f>_xll.QS.INSTRUMENT.SWAP("swap.8572",H8574,B8574,"USD","SOFR",I8574,J8574,0,"Actual360","Simple","Annual","Annual","Annual")</f>
        <v>QSObject:Swap:w1~swap.8572:2319</v>
      </c>
      <c r="F8574" s="6" t="str">
        <f>_xll.QS.TRADE.CREATE("trade.8572",E8574,A8574,"Receive")</f>
        <v>QSObject:SwapTrade:w1~trade.8572:23290</v>
      </c>
      <c r="G8574" s="3">
        <f>_xll.QS.EVALUATE(C8574,F8574)</f>
        <v>44450.424769721016</v>
      </c>
      <c r="H8574" s="5" t="s">
        <v>8615</v>
      </c>
      <c r="I8574" s="7">
        <v>1857200</v>
      </c>
      <c r="J8574" s="8">
        <v>3.7199999999999997E-2</v>
      </c>
    </row>
    <row r="8575" spans="1:10" x14ac:dyDescent="0.25">
      <c r="A8575" s="5" t="s">
        <v>8609</v>
      </c>
      <c r="B8575" s="5" t="s">
        <v>10442</v>
      </c>
      <c r="C8575" s="6" t="str">
        <f>_xll.QS.CONTEXT.CREATE("market.8573",A8575,"USD","SOFR")</f>
        <v>QSObject:PricingContext:w1~market.8573:2318</v>
      </c>
      <c r="D8575" s="6" t="str">
        <f>_xll.QS.CONTEXT.ADD.CURVE(C8575,"SOFR",$K$2:$K$7,$L$2:$L$7,,,"Actual360","LogLinear",TRUE)</f>
        <v>QSObject:ContextInput:w1~input.qs_context_add_curve.2359132437744.8574.3.0:37573</v>
      </c>
      <c r="E8575" s="6" t="str">
        <f>_xll.QS.INSTRUMENT.SWAP("swap.8573",H8575,B8575,"USD","SOFR",I8575,J8575,0,"Actual360","Simple","Annual","Annual","Annual")</f>
        <v>QSObject:Swap:w1~swap.8573:2317</v>
      </c>
      <c r="F8575" s="6" t="str">
        <f>_xll.QS.TRADE.CREATE("trade.8573",E8575,A8575,"Receive")</f>
        <v>QSObject:SwapTrade:w1~trade.8573:23289</v>
      </c>
      <c r="G8575" s="3">
        <f>_xll.QS.EVALUATE(C8575,F8575)</f>
        <v>45264.856277805877</v>
      </c>
      <c r="H8575" s="5" t="s">
        <v>8616</v>
      </c>
      <c r="I8575" s="7">
        <v>1857300</v>
      </c>
      <c r="J8575" s="8">
        <v>3.73E-2</v>
      </c>
    </row>
    <row r="8576" spans="1:10" x14ac:dyDescent="0.25">
      <c r="A8576" s="5" t="s">
        <v>8610</v>
      </c>
      <c r="B8576" s="5" t="s">
        <v>10443</v>
      </c>
      <c r="C8576" s="6" t="str">
        <f>_xll.QS.CONTEXT.CREATE("market.8574",A8576,"USD","SOFR")</f>
        <v>QSObject:PricingContext:w1~market.8574:2316</v>
      </c>
      <c r="D8576" s="6" t="str">
        <f>_xll.QS.CONTEXT.ADD.CURVE(C8576,"SOFR",$K$2:$K$7,$L$2:$L$7,,,"Actual360","LogLinear",TRUE)</f>
        <v>QSObject:ContextInput:w1~input.qs_context_add_curve.2359132437744.8575.3.0:38153</v>
      </c>
      <c r="E8576" s="6" t="str">
        <f>_xll.QS.INSTRUMENT.SWAP("swap.8574",H8576,B8576,"USD","SOFR",I8576,J8576,0,"Actual360","Simple","Annual","Annual","Annual")</f>
        <v>QSObject:Swap:w1~swap.8574:2315</v>
      </c>
      <c r="F8576" s="6" t="str">
        <f>_xll.QS.TRADE.CREATE("trade.8574",E8576,A8576,"Receive")</f>
        <v>QSObject:SwapTrade:w1~trade.8574:23288</v>
      </c>
      <c r="G8576" s="3">
        <f>_xll.QS.EVALUATE(C8576,F8576)</f>
        <v>46127.964284454196</v>
      </c>
      <c r="H8576" s="5" t="s">
        <v>8617</v>
      </c>
      <c r="I8576" s="7">
        <v>1857400</v>
      </c>
      <c r="J8576" s="8">
        <v>3.7400000000000003E-2</v>
      </c>
    </row>
    <row r="8577" spans="1:10" x14ac:dyDescent="0.25">
      <c r="A8577" s="5" t="s">
        <v>8611</v>
      </c>
      <c r="B8577" s="5" t="s">
        <v>10444</v>
      </c>
      <c r="C8577" s="6" t="str">
        <f>_xll.QS.CONTEXT.CREATE("market.8575",A8577,"USD","SOFR")</f>
        <v>QSObject:PricingContext:w1~market.8575:2314</v>
      </c>
      <c r="D8577" s="6" t="str">
        <f>_xll.QS.CONTEXT.ADD.CURVE(C8577,"SOFR",$K$2:$K$7,$L$2:$L$7,,,"Actual360","LogLinear",TRUE)</f>
        <v>QSObject:ContextInput:w1~input.qs_context_add_curve.2359132437744.8576.3.0:37572</v>
      </c>
      <c r="E8577" s="6" t="str">
        <f>_xll.QS.INSTRUMENT.SWAP("swap.8575",H8577,B8577,"USD","SOFR",I8577,J8577,0,"Actual360","Simple","Annual","Annual","Annual")</f>
        <v>QSObject:Swap:w1~swap.8575:2313</v>
      </c>
      <c r="F8577" s="6" t="str">
        <f>_xll.QS.TRADE.CREATE("trade.8575",E8577,A8577,"Receive")</f>
        <v>QSObject:SwapTrade:w1~trade.8575:23287</v>
      </c>
      <c r="G8577" s="3">
        <f>_xll.QS.EVALUATE(C8577,F8577)</f>
        <v>46833.551296560785</v>
      </c>
      <c r="H8577" s="5" t="s">
        <v>8618</v>
      </c>
      <c r="I8577" s="7">
        <v>1857500</v>
      </c>
      <c r="J8577" s="8">
        <v>3.7500000000000012E-2</v>
      </c>
    </row>
    <row r="8578" spans="1:10" x14ac:dyDescent="0.25">
      <c r="A8578" s="5" t="s">
        <v>8612</v>
      </c>
      <c r="B8578" s="5" t="s">
        <v>10445</v>
      </c>
      <c r="C8578" s="6" t="str">
        <f>_xll.QS.CONTEXT.CREATE("market.8576",A8578,"USD","SOFR")</f>
        <v>QSObject:PricingContext:w1~market.8576:2312</v>
      </c>
      <c r="D8578" s="6" t="str">
        <f>_xll.QS.CONTEXT.ADD.CURVE(C8578,"SOFR",$K$2:$K$7,$L$2:$L$7,,,"Actual360","LogLinear",TRUE)</f>
        <v>QSObject:ContextInput:w1~input.qs_context_add_curve.2359132437744.8577.3.0:34154</v>
      </c>
      <c r="E8578" s="6" t="str">
        <f>_xll.QS.INSTRUMENT.SWAP("swap.8576",H8578,B8578,"USD","SOFR",I8578,J8578,0,"Actual360","Simple","Annual","Annual","Annual")</f>
        <v>QSObject:Swap:w1~swap.8576:2311</v>
      </c>
      <c r="F8578" s="6" t="str">
        <f>_xll.QS.TRADE.CREATE("trade.8576",E8578,A8578,"Receive")</f>
        <v>QSObject:SwapTrade:w1~trade.8576:23286</v>
      </c>
      <c r="G8578" s="3">
        <f>_xll.QS.EVALUATE(C8578,F8578)</f>
        <v>47740.491502481556</v>
      </c>
      <c r="H8578" s="5" t="s">
        <v>8619</v>
      </c>
      <c r="I8578" s="7">
        <v>1857600</v>
      </c>
      <c r="J8578" s="8">
        <v>3.7600000000000001E-2</v>
      </c>
    </row>
    <row r="8579" spans="1:10" x14ac:dyDescent="0.25">
      <c r="A8579" s="5" t="s">
        <v>8613</v>
      </c>
      <c r="B8579" s="5" t="s">
        <v>10446</v>
      </c>
      <c r="C8579" s="6" t="str">
        <f>_xll.QS.CONTEXT.CREATE("market.8577",A8579,"USD","SOFR")</f>
        <v>QSObject:PricingContext:w1~market.8577:2310</v>
      </c>
      <c r="D8579" s="6" t="str">
        <f>_xll.QS.CONTEXT.ADD.CURVE(C8579,"SOFR",$K$2:$K$7,$L$2:$L$7,,,"Actual360","LogLinear",TRUE)</f>
        <v>QSObject:ContextInput:w1~input.qs_context_add_curve.2359132437744.8578.3.0:35388</v>
      </c>
      <c r="E8579" s="6" t="str">
        <f>_xll.QS.INSTRUMENT.SWAP("swap.8577",H8579,B8579,"USD","SOFR",I8579,J8579,0,"Actual360","Simple","Annual","Annual","Annual")</f>
        <v>QSObject:Swap:w1~swap.8577:2309</v>
      </c>
      <c r="F8579" s="6" t="str">
        <f>_xll.QS.TRADE.CREATE("trade.8577",E8579,A8579,"Receive")</f>
        <v>QSObject:SwapTrade:w1~trade.8577:23285</v>
      </c>
      <c r="G8579" s="3">
        <f>_xll.QS.EVALUATE(C8579,F8579)</f>
        <v>48806.782165552766</v>
      </c>
      <c r="H8579" s="5" t="s">
        <v>8620</v>
      </c>
      <c r="I8579" s="7">
        <v>1857700</v>
      </c>
      <c r="J8579" s="8">
        <v>3.7699999999999997E-2</v>
      </c>
    </row>
    <row r="8580" spans="1:10" x14ac:dyDescent="0.25">
      <c r="A8580" s="5" t="s">
        <v>8614</v>
      </c>
      <c r="B8580" s="5" t="s">
        <v>10447</v>
      </c>
      <c r="C8580" s="6" t="str">
        <f>_xll.QS.CONTEXT.CREATE("market.8578",A8580,"USD","SOFR")</f>
        <v>QSObject:PricingContext:w1~market.8578:2308</v>
      </c>
      <c r="D8580" s="6" t="str">
        <f>_xll.QS.CONTEXT.ADD.CURVE(C8580,"SOFR",$K$2:$K$7,$L$2:$L$7,,,"Actual360","LogLinear",TRUE)</f>
        <v>QSObject:ContextInput:w1~input.qs_context_add_curve.2359132437744.8579.3.0:37024</v>
      </c>
      <c r="E8580" s="6" t="str">
        <f>_xll.QS.INSTRUMENT.SWAP("swap.8578",H8580,B8580,"USD","SOFR",I8580,J8580,0,"Actual360","Simple","Annual","Annual","Annual")</f>
        <v>QSObject:Swap:w1~swap.8578:2307</v>
      </c>
      <c r="F8580" s="6" t="str">
        <f>_xll.QS.TRADE.CREATE("trade.8578",E8580,A8580,"Receive")</f>
        <v>QSObject:SwapTrade:w1~trade.8578:23284</v>
      </c>
      <c r="G8580" s="3">
        <f>_xll.QS.EVALUATE(C8580,F8580)</f>
        <v>49665.750537029307</v>
      </c>
      <c r="H8580" s="5" t="s">
        <v>8621</v>
      </c>
      <c r="I8580" s="7">
        <v>1857800</v>
      </c>
      <c r="J8580" s="8">
        <v>3.78E-2</v>
      </c>
    </row>
    <row r="8581" spans="1:10" x14ac:dyDescent="0.25">
      <c r="A8581" s="5" t="s">
        <v>8615</v>
      </c>
      <c r="B8581" s="5" t="s">
        <v>10448</v>
      </c>
      <c r="C8581" s="6" t="str">
        <f>_xll.QS.CONTEXT.CREATE("market.8579",A8581,"USD","SOFR")</f>
        <v>QSObject:PricingContext:w1~market.8579:2306</v>
      </c>
      <c r="D8581" s="6" t="str">
        <f>_xll.QS.CONTEXT.ADD.CURVE(C8581,"SOFR",$K$2:$K$7,$L$2:$L$7,,,"Actual360","LogLinear",TRUE)</f>
        <v>QSObject:ContextInput:w1~input.qs_context_add_curve.2359132437744.8580.3.0:33018</v>
      </c>
      <c r="E8581" s="6" t="str">
        <f>_xll.QS.INSTRUMENT.SWAP("swap.8579",H8581,B8581,"USD","SOFR",I8581,J8581,0,"Actual360","Simple","Annual","Annual","Annual")</f>
        <v>QSObject:Swap:w1~swap.8579:2305</v>
      </c>
      <c r="F8581" s="6" t="str">
        <f>_xll.QS.TRADE.CREATE("trade.8579",E8581,A8581,"Receive")</f>
        <v>QSObject:SwapTrade:w1~trade.8579:23283</v>
      </c>
      <c r="G8581" s="3">
        <f>_xll.QS.EVALUATE(C8581,F8581)</f>
        <v>50534.483890457333</v>
      </c>
      <c r="H8581" s="5" t="s">
        <v>8622</v>
      </c>
      <c r="I8581" s="7">
        <v>1857900</v>
      </c>
      <c r="J8581" s="8">
        <v>3.7900000000000003E-2</v>
      </c>
    </row>
    <row r="8582" spans="1:10" x14ac:dyDescent="0.25">
      <c r="A8582" s="5" t="s">
        <v>8616</v>
      </c>
      <c r="B8582" s="5" t="s">
        <v>10449</v>
      </c>
      <c r="C8582" s="6" t="str">
        <f>_xll.QS.CONTEXT.CREATE("market.8580",A8582,"USD","SOFR")</f>
        <v>QSObject:PricingContext:w1~market.8580:2304</v>
      </c>
      <c r="D8582" s="6" t="str">
        <f>_xll.QS.CONTEXT.ADD.CURVE(C8582,"SOFR",$K$2:$K$7,$L$2:$L$7,,,"Actual360","LogLinear",TRUE)</f>
        <v>QSObject:ContextInput:w1~input.qs_context_add_curve.2359132437744.8581.3.0:34760</v>
      </c>
      <c r="E8582" s="6" t="str">
        <f>_xll.QS.INSTRUMENT.SWAP("swap.8580",H8582,B8582,"USD","SOFR",I8582,J8582,0,"Actual360","Simple","Annual","Annual","Annual")</f>
        <v>QSObject:Swap:w1~swap.8580:2303</v>
      </c>
      <c r="F8582" s="6" t="str">
        <f>_xll.QS.TRADE.CREATE("trade.8580",E8582,A8582,"Receive")</f>
        <v>QSObject:SwapTrade:w1~trade.8580:23282</v>
      </c>
      <c r="G8582" s="3">
        <f>_xll.QS.EVALUATE(C8582,F8582)</f>
        <v>51255.195326022753</v>
      </c>
      <c r="H8582" s="5" t="s">
        <v>8623</v>
      </c>
      <c r="I8582" s="7">
        <v>1858000</v>
      </c>
      <c r="J8582" s="8">
        <v>3.8000000000000013E-2</v>
      </c>
    </row>
    <row r="8583" spans="1:10" x14ac:dyDescent="0.25">
      <c r="A8583" s="5" t="s">
        <v>8617</v>
      </c>
      <c r="B8583" s="5" t="s">
        <v>10450</v>
      </c>
      <c r="C8583" s="6" t="str">
        <f>_xll.QS.CONTEXT.CREATE("market.8581",A8583,"USD","SOFR")</f>
        <v>QSObject:PricingContext:w1~market.8581:2302</v>
      </c>
      <c r="D8583" s="6" t="str">
        <f>_xll.QS.CONTEXT.ADD.CURVE(C8583,"SOFR",$K$2:$K$7,$L$2:$L$7,,,"Actual360","LogLinear",TRUE)</f>
        <v>QSObject:ContextInput:w1~input.qs_context_add_curve.2359132437744.8582.3.0:40000</v>
      </c>
      <c r="E8583" s="6" t="str">
        <f>_xll.QS.INSTRUMENT.SWAP("swap.8581",H8583,B8583,"USD","SOFR",I8583,J8583,0,"Actual360","Simple","Annual","Annual","Annual")</f>
        <v>QSObject:Swap:w1~swap.8581:2301</v>
      </c>
      <c r="F8583" s="6" t="str">
        <f>_xll.QS.TRADE.CREATE("trade.8581",E8583,A8583,"Receive")</f>
        <v>QSObject:SwapTrade:w1~trade.8581:23281</v>
      </c>
      <c r="G8583" s="3">
        <f>_xll.QS.EVALUATE(C8583,F8583)</f>
        <v>51983.297256593934</v>
      </c>
      <c r="H8583" s="5" t="s">
        <v>8624</v>
      </c>
      <c r="I8583" s="7">
        <v>1858100</v>
      </c>
      <c r="J8583" s="8">
        <v>3.8100000000000002E-2</v>
      </c>
    </row>
    <row r="8584" spans="1:10" x14ac:dyDescent="0.25">
      <c r="A8584" s="5" t="s">
        <v>8618</v>
      </c>
      <c r="B8584" s="5" t="s">
        <v>10451</v>
      </c>
      <c r="C8584" s="6" t="str">
        <f>_xll.QS.CONTEXT.CREATE("market.8582",A8584,"USD","SOFR")</f>
        <v>QSObject:PricingContext:w1~market.8582:2300</v>
      </c>
      <c r="D8584" s="6" t="str">
        <f>_xll.QS.CONTEXT.ADD.CURVE(C8584,"SOFR",$K$2:$K$7,$L$2:$L$7,,,"Actual360","LogLinear",TRUE)</f>
        <v>QSObject:ContextInput:w1~input.qs_context_add_curve.2359132437744.8583.3.0:38829</v>
      </c>
      <c r="E8584" s="6" t="str">
        <f>_xll.QS.INSTRUMENT.SWAP("swap.8582",H8584,B8584,"USD","SOFR",I8584,J8584,0,"Actual360","Simple","Annual","Annual","Annual")</f>
        <v>QSObject:Swap:w1~swap.8582:2299</v>
      </c>
      <c r="F8584" s="6" t="str">
        <f>_xll.QS.TRADE.CREATE("trade.8582",E8584,A8584,"Receive")</f>
        <v>QSObject:SwapTrade:w1~trade.8582:23280</v>
      </c>
      <c r="G8584" s="3">
        <f>_xll.QS.EVALUATE(C8584,F8584)</f>
        <v>52922.341991914276</v>
      </c>
      <c r="H8584" s="5" t="s">
        <v>8625</v>
      </c>
      <c r="I8584" s="7">
        <v>1858200</v>
      </c>
      <c r="J8584" s="8">
        <v>3.8199999999999998E-2</v>
      </c>
    </row>
    <row r="8585" spans="1:10" x14ac:dyDescent="0.25">
      <c r="A8585" s="5" t="s">
        <v>8619</v>
      </c>
      <c r="B8585" s="5" t="s">
        <v>10452</v>
      </c>
      <c r="C8585" s="6" t="str">
        <f>_xll.QS.CONTEXT.CREATE("market.8583",A8585,"USD","SOFR")</f>
        <v>QSObject:PricingContext:w1~market.8583:2298</v>
      </c>
      <c r="D8585" s="6" t="str">
        <f>_xll.QS.CONTEXT.ADD.CURVE(C8585,"SOFR",$K$2:$K$7,$L$2:$L$7,,,"Actual360","LogLinear",TRUE)</f>
        <v>QSObject:ContextInput:w1~input.qs_context_add_curve.2359132437744.8584.3.0:38828</v>
      </c>
      <c r="E8585" s="6" t="str">
        <f>_xll.QS.INSTRUMENT.SWAP("swap.8583",H8585,B8585,"USD","SOFR",I8585,J8585,0,"Actual360","Simple","Annual","Annual","Annual")</f>
        <v>QSObject:Swap:w1~swap.8583:2297</v>
      </c>
      <c r="F8585" s="6" t="str">
        <f>_xll.QS.TRADE.CREATE("trade.8583",E8585,A8585,"Receive")</f>
        <v>QSObject:SwapTrade:w1~trade.8583:23279</v>
      </c>
      <c r="G8585" s="3">
        <f>_xll.QS.EVALUATE(C8585,F8585)</f>
        <v>53967.055204365221</v>
      </c>
      <c r="H8585" s="5" t="s">
        <v>8626</v>
      </c>
      <c r="I8585" s="7">
        <v>1858300</v>
      </c>
      <c r="J8585" s="8">
        <v>3.8300000000000001E-2</v>
      </c>
    </row>
    <row r="8586" spans="1:10" x14ac:dyDescent="0.25">
      <c r="A8586" s="5" t="s">
        <v>8620</v>
      </c>
      <c r="B8586" s="5" t="s">
        <v>10453</v>
      </c>
      <c r="C8586" s="6" t="str">
        <f>_xll.QS.CONTEXT.CREATE("market.8584",A8586,"USD","SOFR")</f>
        <v>QSObject:PricingContext:w1~market.8584:2296</v>
      </c>
      <c r="D8586" s="6" t="str">
        <f>_xll.QS.CONTEXT.ADD.CURVE(C8586,"SOFR",$K$2:$K$7,$L$2:$L$7,,,"Actual360","LogLinear",TRUE)</f>
        <v>QSObject:ContextInput:w1~input.qs_context_add_curve.2359132437744.8585.3.0:36486</v>
      </c>
      <c r="E8586" s="6" t="str">
        <f>_xll.QS.INSTRUMENT.SWAP("swap.8584",H8586,B8586,"USD","SOFR",I8586,J8586,0,"Actual360","Simple","Annual","Annual","Annual")</f>
        <v>QSObject:Swap:w1~swap.8584:2295</v>
      </c>
      <c r="F8586" s="6" t="str">
        <f>_xll.QS.TRADE.CREATE("trade.8584",E8586,A8586,"Receive")</f>
        <v>QSObject:SwapTrade:w1~trade.8584:23278</v>
      </c>
      <c r="G8586" s="3">
        <f>_xll.QS.EVALUATE(C8586,F8586)</f>
        <v>54839.905781099304</v>
      </c>
      <c r="H8586" s="5" t="s">
        <v>8627</v>
      </c>
      <c r="I8586" s="7">
        <v>1858400</v>
      </c>
      <c r="J8586" s="8">
        <v>3.8399999999999997E-2</v>
      </c>
    </row>
    <row r="8587" spans="1:10" x14ac:dyDescent="0.25">
      <c r="A8587" s="5" t="s">
        <v>8621</v>
      </c>
      <c r="B8587" s="5" t="s">
        <v>10454</v>
      </c>
      <c r="C8587" s="6" t="str">
        <f>_xll.QS.CONTEXT.CREATE("market.8585",A8587,"USD","SOFR")</f>
        <v>QSObject:PricingContext:w1~market.8585:2294</v>
      </c>
      <c r="D8587" s="6" t="str">
        <f>_xll.QS.CONTEXT.ADD.CURVE(C8587,"SOFR",$K$2:$K$7,$L$2:$L$7,,,"Actual360","LogLinear",TRUE)</f>
        <v>QSObject:ContextInput:w1~input.qs_context_add_curve.2359132437744.8586.3.0:38827</v>
      </c>
      <c r="E8587" s="6" t="str">
        <f>_xll.QS.INSTRUMENT.SWAP("swap.8585",H8587,B8587,"USD","SOFR",I8587,J8587,0,"Actual360","Simple","Annual","Annual","Annual")</f>
        <v>QSObject:Swap:w1~swap.8585:2293</v>
      </c>
      <c r="F8587" s="6" t="str">
        <f>_xll.QS.TRADE.CREATE("trade.8585",E8587,A8587,"Receive")</f>
        <v>QSObject:SwapTrade:w1~trade.8585:23277</v>
      </c>
      <c r="G8587" s="3">
        <f>_xll.QS.EVALUATE(C8587,F8587)</f>
        <v>55694.465495643235</v>
      </c>
      <c r="H8587" s="5" t="s">
        <v>8628</v>
      </c>
      <c r="I8587" s="7">
        <v>1858500</v>
      </c>
      <c r="J8587" s="8">
        <v>3.8500000000000013E-2</v>
      </c>
    </row>
    <row r="8588" spans="1:10" x14ac:dyDescent="0.25">
      <c r="A8588" s="5" t="s">
        <v>8622</v>
      </c>
      <c r="B8588" s="5" t="s">
        <v>10455</v>
      </c>
      <c r="C8588" s="6" t="str">
        <f>_xll.QS.CONTEXT.CREATE("market.8586",A8588,"USD","SOFR")</f>
        <v>QSObject:PricingContext:w1~market.8586:2292</v>
      </c>
      <c r="D8588" s="6" t="str">
        <f>_xll.QS.CONTEXT.ADD.CURVE(C8588,"SOFR",$K$2:$K$7,$L$2:$L$7,,,"Actual360","LogLinear",TRUE)</f>
        <v>QSObject:ContextInput:w1~input.qs_context_add_curve.2359132437744.8587.3.0:39999</v>
      </c>
      <c r="E8588" s="6" t="str">
        <f>_xll.QS.INSTRUMENT.SWAP("swap.8586",H8588,B8588,"USD","SOFR",I8588,J8588,0,"Actual360","Simple","Annual","Annual","Annual")</f>
        <v>QSObject:Swap:w1~swap.8586:2291</v>
      </c>
      <c r="F8588" s="6" t="str">
        <f>_xll.QS.TRADE.CREATE("trade.8586",E8588,A8588,"Receive")</f>
        <v>QSObject:SwapTrade:w1~trade.8586:23276</v>
      </c>
      <c r="G8588" s="3">
        <f>_xll.QS.EVALUATE(C8588,F8588)</f>
        <v>56482.957011661216</v>
      </c>
      <c r="H8588" s="5" t="s">
        <v>8629</v>
      </c>
      <c r="I8588" s="7">
        <v>1858600</v>
      </c>
      <c r="J8588" s="8">
        <v>3.8600000000000002E-2</v>
      </c>
    </row>
    <row r="8589" spans="1:10" x14ac:dyDescent="0.25">
      <c r="A8589" s="5" t="s">
        <v>8623</v>
      </c>
      <c r="B8589" s="5" t="s">
        <v>10456</v>
      </c>
      <c r="C8589" s="6" t="str">
        <f>_xll.QS.CONTEXT.CREATE("market.8587",A8589,"USD","SOFR")</f>
        <v>QSObject:PricingContext:w1~market.8587:2290</v>
      </c>
      <c r="D8589" s="6" t="str">
        <f>_xll.QS.CONTEXT.ADD.CURVE(C8589,"SOFR",$K$2:$K$7,$L$2:$L$7,,,"Actual360","LogLinear",TRUE)</f>
        <v>QSObject:ContextInput:w1~input.qs_context_add_curve.2359132437744.8588.3.0:33017</v>
      </c>
      <c r="E8589" s="6" t="str">
        <f>_xll.QS.INSTRUMENT.SWAP("swap.8587",H8589,B8589,"USD","SOFR",I8589,J8589,0,"Actual360","Simple","Annual","Annual","Annual")</f>
        <v>QSObject:Swap:w1~swap.8587:2289</v>
      </c>
      <c r="F8589" s="6" t="str">
        <f>_xll.QS.TRADE.CREATE("trade.8587",E8589,A8589,"Receive")</f>
        <v>QSObject:SwapTrade:w1~trade.8587:23275</v>
      </c>
      <c r="G8589" s="3">
        <f>_xll.QS.EVALUATE(C8589,F8589)</f>
        <v>57197.235584870839</v>
      </c>
      <c r="H8589" s="5" t="s">
        <v>8630</v>
      </c>
      <c r="I8589" s="7">
        <v>1858700</v>
      </c>
      <c r="J8589" s="8">
        <v>3.8700000000000012E-2</v>
      </c>
    </row>
    <row r="8590" spans="1:10" x14ac:dyDescent="0.25">
      <c r="A8590" s="5" t="s">
        <v>8624</v>
      </c>
      <c r="B8590" s="5" t="s">
        <v>10457</v>
      </c>
      <c r="C8590" s="6" t="str">
        <f>_xll.QS.CONTEXT.CREATE("market.8588",A8590,"USD","SOFR")</f>
        <v>QSObject:PricingContext:w1~market.8588:2288</v>
      </c>
      <c r="D8590" s="6" t="str">
        <f>_xll.QS.CONTEXT.ADD.CURVE(C8590,"SOFR",$K$2:$K$7,$L$2:$L$7,,,"Actual360","LogLinear",TRUE)</f>
        <v>QSObject:ContextInput:w1~input.qs_context_add_curve.2359132437744.8589.3.0:35387</v>
      </c>
      <c r="E8590" s="6" t="str">
        <f>_xll.QS.INSTRUMENT.SWAP("swap.8588",H8590,B8590,"USD","SOFR",I8590,J8590,0,"Actual360","Simple","Annual","Annual","Annual")</f>
        <v>QSObject:Swap:w1~swap.8588:2287</v>
      </c>
      <c r="F8590" s="6" t="str">
        <f>_xll.QS.TRADE.CREATE("trade.8588",E8590,A8590,"Receive")</f>
        <v>QSObject:SwapTrade:w1~trade.8588:23274</v>
      </c>
      <c r="G8590" s="3">
        <f>_xll.QS.EVALUATE(C8590,F8590)</f>
        <v>57935.54280460989</v>
      </c>
      <c r="H8590" s="5" t="s">
        <v>8631</v>
      </c>
      <c r="I8590" s="7">
        <v>1858800</v>
      </c>
      <c r="J8590" s="8">
        <v>3.8800000000000001E-2</v>
      </c>
    </row>
    <row r="8591" spans="1:10" x14ac:dyDescent="0.25">
      <c r="A8591" s="5" t="s">
        <v>8625</v>
      </c>
      <c r="B8591" s="5" t="s">
        <v>10458</v>
      </c>
      <c r="C8591" s="6" t="str">
        <f>_xll.QS.CONTEXT.CREATE("market.8589",A8591,"USD","SOFR")</f>
        <v>QSObject:PricingContext:w1~market.8589:2286</v>
      </c>
      <c r="D8591" s="6" t="str">
        <f>_xll.QS.CONTEXT.ADD.CURVE(C8591,"SOFR",$K$2:$K$7,$L$2:$L$7,,,"Actual360","LogLinear",TRUE)</f>
        <v>QSObject:ContextInput:w1~input.qs_context_add_curve.2359132437744.8590.3.0:39367</v>
      </c>
      <c r="E8591" s="6" t="str">
        <f>_xll.QS.INSTRUMENT.SWAP("swap.8589",H8591,B8591,"USD","SOFR",I8591,J8591,0,"Actual360","Simple","Annual","Annual","Annual")</f>
        <v>QSObject:Swap:w1~swap.8589:2285</v>
      </c>
      <c r="F8591" s="6" t="str">
        <f>_xll.QS.TRADE.CREATE("trade.8589",E8591,A8591,"Receive")</f>
        <v>QSObject:SwapTrade:w1~trade.8589:23273</v>
      </c>
      <c r="G8591" s="3">
        <f>_xll.QS.EVALUATE(C8591,F8591)</f>
        <v>58875.4464377595</v>
      </c>
      <c r="H8591" s="5" t="s">
        <v>8632</v>
      </c>
      <c r="I8591" s="7">
        <v>1858900</v>
      </c>
      <c r="J8591" s="8">
        <v>3.8899999999999997E-2</v>
      </c>
    </row>
    <row r="8592" spans="1:10" x14ac:dyDescent="0.25">
      <c r="A8592" s="5" t="s">
        <v>8626</v>
      </c>
      <c r="B8592" s="5" t="s">
        <v>10459</v>
      </c>
      <c r="C8592" s="6" t="str">
        <f>_xll.QS.CONTEXT.CREATE("market.8590",A8592,"USD","SOFR")</f>
        <v>QSObject:PricingContext:w1~market.8590:2284</v>
      </c>
      <c r="D8592" s="6" t="str">
        <f>_xll.QS.CONTEXT.ADD.CURVE(C8592,"SOFR",$K$2:$K$7,$L$2:$L$7,,,"Actual360","LogLinear",TRUE)</f>
        <v>QSObject:ContextInput:w1~input.qs_context_add_curve.2359132437744.8591.3.0:38152</v>
      </c>
      <c r="E8592" s="6" t="str">
        <f>_xll.QS.INSTRUMENT.SWAP("swap.8590",H8592,B8592,"USD","SOFR",I8592,J8592,0,"Actual360","Simple","Annual","Annual","Annual")</f>
        <v>QSObject:Swap:w1~swap.8590:2283</v>
      </c>
      <c r="F8592" s="6" t="str">
        <f>_xll.QS.TRADE.CREATE("trade.8590",E8592,A8592,"Receive")</f>
        <v>QSObject:SwapTrade:w1~trade.8590:23272</v>
      </c>
      <c r="G8592" s="3">
        <f>_xll.QS.EVALUATE(C8592,F8592)</f>
        <v>59778.04791760107</v>
      </c>
      <c r="H8592" s="5" t="s">
        <v>8633</v>
      </c>
      <c r="I8592" s="7">
        <v>1859000</v>
      </c>
      <c r="J8592" s="8">
        <v>3.9000000000000007E-2</v>
      </c>
    </row>
    <row r="8593" spans="1:10" x14ac:dyDescent="0.25">
      <c r="A8593" s="5" t="s">
        <v>8627</v>
      </c>
      <c r="B8593" s="5" t="s">
        <v>10460</v>
      </c>
      <c r="C8593" s="6" t="str">
        <f>_xll.QS.CONTEXT.CREATE("market.8591",A8593,"USD","SOFR")</f>
        <v>QSObject:PricingContext:w1~market.8591:2282</v>
      </c>
      <c r="D8593" s="6" t="str">
        <f>_xll.QS.CONTEXT.ADD.CURVE(C8593,"SOFR",$K$2:$K$7,$L$2:$L$7,,,"Actual360","LogLinear",TRUE)</f>
        <v>QSObject:ContextInput:w1~input.qs_context_add_curve.2359132437744.8592.3.0:31751</v>
      </c>
      <c r="E8593" s="6" t="str">
        <f>_xll.QS.INSTRUMENT.SWAP("swap.8591",H8593,B8593,"USD","SOFR",I8593,J8593,0,"Actual360","Simple","Annual","Annual","Annual")</f>
        <v>QSObject:Swap:w1~swap.8591:2281</v>
      </c>
      <c r="F8593" s="6" t="str">
        <f>_xll.QS.TRADE.CREATE("trade.8591",E8593,A8593,"Receive")</f>
        <v>QSObject:SwapTrade:w1~trade.8591:23271</v>
      </c>
      <c r="G8593" s="3">
        <f>_xll.QS.EVALUATE(C8593,F8593)</f>
        <v>60774.951064991183</v>
      </c>
      <c r="H8593" s="5" t="s">
        <v>8634</v>
      </c>
      <c r="I8593" s="7">
        <v>1859100</v>
      </c>
      <c r="J8593" s="8">
        <v>3.9100000000000003E-2</v>
      </c>
    </row>
    <row r="8594" spans="1:10" x14ac:dyDescent="0.25">
      <c r="A8594" s="5" t="s">
        <v>8628</v>
      </c>
      <c r="B8594" s="5" t="s">
        <v>10461</v>
      </c>
      <c r="C8594" s="6" t="str">
        <f>_xll.QS.CONTEXT.CREATE("market.8592",A8594,"USD","SOFR")</f>
        <v>QSObject:PricingContext:w1~market.8592:2280</v>
      </c>
      <c r="D8594" s="6" t="str">
        <f>_xll.QS.CONTEXT.ADD.CURVE(C8594,"SOFR",$K$2:$K$7,$L$2:$L$7,,,"Actual360","LogLinear",TRUE)</f>
        <v>QSObject:ContextInput:w1~input.qs_context_add_curve.2359132437744.8593.3.0:36485</v>
      </c>
      <c r="E8594" s="6" t="str">
        <f>_xll.QS.INSTRUMENT.SWAP("swap.8592",H8594,B8594,"USD","SOFR",I8594,J8594,0,"Actual360","Simple","Annual","Annual","Annual")</f>
        <v>QSObject:Swap:w1~swap.8592:2279</v>
      </c>
      <c r="F8594" s="6" t="str">
        <f>_xll.QS.TRADE.CREATE("trade.8592",E8594,A8594,"Receive")</f>
        <v>QSObject:SwapTrade:w1~trade.8592:23270</v>
      </c>
      <c r="G8594" s="3">
        <f>_xll.QS.EVALUATE(C8594,F8594)</f>
        <v>61716.957655350379</v>
      </c>
      <c r="H8594" s="5" t="s">
        <v>8635</v>
      </c>
      <c r="I8594" s="7">
        <v>1859200</v>
      </c>
      <c r="J8594" s="8">
        <v>3.9200000000000013E-2</v>
      </c>
    </row>
    <row r="8595" spans="1:10" x14ac:dyDescent="0.25">
      <c r="A8595" s="5" t="s">
        <v>8629</v>
      </c>
      <c r="B8595" s="5" t="s">
        <v>10462</v>
      </c>
      <c r="C8595" s="6" t="str">
        <f>_xll.QS.CONTEXT.CREATE("market.8593",A8595,"USD","SOFR")</f>
        <v>QSObject:PricingContext:w1~market.8593:2278</v>
      </c>
      <c r="D8595" s="6" t="str">
        <f>_xll.QS.CONTEXT.ADD.CURVE(C8595,"SOFR",$K$2:$K$7,$L$2:$L$7,,,"Actual360","LogLinear",TRUE)</f>
        <v>QSObject:ContextInput:w1~input.qs_context_add_curve.2359132437744.8594.3.0:39366</v>
      </c>
      <c r="E8595" s="6" t="str">
        <f>_xll.QS.INSTRUMENT.SWAP("swap.8593",H8595,B8595,"USD","SOFR",I8595,J8595,0,"Actual360","Simple","Annual","Annual","Annual")</f>
        <v>QSObject:Swap:w1~swap.8593:2277</v>
      </c>
      <c r="F8595" s="6" t="str">
        <f>_xll.QS.TRADE.CREATE("trade.8593",E8595,A8595,"Receive")</f>
        <v>QSObject:SwapTrade:w1~trade.8593:23269</v>
      </c>
      <c r="G8595" s="3">
        <f>_xll.QS.EVALUATE(C8595,F8595)</f>
        <v>62506.001877770424</v>
      </c>
      <c r="H8595" s="5" t="s">
        <v>8636</v>
      </c>
      <c r="I8595" s="7">
        <v>1859300</v>
      </c>
      <c r="J8595" s="8">
        <v>3.9300000000000002E-2</v>
      </c>
    </row>
    <row r="8596" spans="1:10" x14ac:dyDescent="0.25">
      <c r="A8596" s="5" t="s">
        <v>8630</v>
      </c>
      <c r="B8596" s="5" t="s">
        <v>10463</v>
      </c>
      <c r="C8596" s="6" t="str">
        <f>_xll.QS.CONTEXT.CREATE("market.8594",A8596,"USD","SOFR")</f>
        <v>QSObject:PricingContext:w1~market.8594:2276</v>
      </c>
      <c r="D8596" s="6" t="str">
        <f>_xll.QS.CONTEXT.ADD.CURVE(C8596,"SOFR",$K$2:$K$7,$L$2:$L$7,,,"Actual360","LogLinear",TRUE)</f>
        <v>QSObject:ContextInput:w1~input.qs_context_add_curve.2359132437744.8595.3.0:33016</v>
      </c>
      <c r="E8596" s="6" t="str">
        <f>_xll.QS.INSTRUMENT.SWAP("swap.8594",H8596,B8596,"USD","SOFR",I8596,J8596,0,"Actual360","Simple","Annual","Annual","Annual")</f>
        <v>QSObject:Swap:w1~swap.8594:2275</v>
      </c>
      <c r="F8596" s="6" t="str">
        <f>_xll.QS.TRADE.CREATE("trade.8594",E8596,A8596,"Receive")</f>
        <v>QSObject:SwapTrade:w1~trade.8594:23268</v>
      </c>
      <c r="G8596" s="3">
        <f>_xll.QS.EVALUATE(C8596,F8596)</f>
        <v>63213.802709227661</v>
      </c>
      <c r="H8596" s="5" t="s">
        <v>8637</v>
      </c>
      <c r="I8596" s="7">
        <v>1859400</v>
      </c>
      <c r="J8596" s="8">
        <v>3.9399999999999998E-2</v>
      </c>
    </row>
    <row r="8597" spans="1:10" x14ac:dyDescent="0.25">
      <c r="A8597" s="5" t="s">
        <v>8631</v>
      </c>
      <c r="B8597" s="5" t="s">
        <v>10464</v>
      </c>
      <c r="C8597" s="6" t="str">
        <f>_xll.QS.CONTEXT.CREATE("market.8595",A8597,"USD","SOFR")</f>
        <v>QSObject:PricingContext:w1~market.8595:2274</v>
      </c>
      <c r="D8597" s="6" t="str">
        <f>_xll.QS.CONTEXT.ADD.CURVE(C8597,"SOFR",$K$2:$K$7,$L$2:$L$7,,,"Actual360","LogLinear",TRUE)</f>
        <v>QSObject:ContextInput:w1~input.qs_context_add_curve.2359132437744.8596.3.0:33534</v>
      </c>
      <c r="E8597" s="6" t="str">
        <f>_xll.QS.INSTRUMENT.SWAP("swap.8595",H8597,B8597,"USD","SOFR",I8597,J8597,0,"Actual360","Simple","Annual","Annual","Annual")</f>
        <v>QSObject:Swap:w1~swap.8595:2273</v>
      </c>
      <c r="F8597" s="6" t="str">
        <f>_xll.QS.TRADE.CREATE("trade.8595",E8597,A8597,"Receive")</f>
        <v>QSObject:SwapTrade:w1~trade.8595:23267</v>
      </c>
      <c r="G8597" s="3">
        <f>_xll.QS.EVALUATE(C8597,F8597)</f>
        <v>63962.014938657827</v>
      </c>
      <c r="H8597" s="5" t="s">
        <v>8638</v>
      </c>
      <c r="I8597" s="7">
        <v>1859500</v>
      </c>
      <c r="J8597" s="8">
        <v>3.9500000000000007E-2</v>
      </c>
    </row>
    <row r="8598" spans="1:10" x14ac:dyDescent="0.25">
      <c r="A8598" s="5" t="s">
        <v>8632</v>
      </c>
      <c r="B8598" s="5" t="s">
        <v>10465</v>
      </c>
      <c r="C8598" s="6" t="str">
        <f>_xll.QS.CONTEXT.CREATE("market.8596",A8598,"USD","SOFR")</f>
        <v>QSObject:PricingContext:w1~market.8596:2272</v>
      </c>
      <c r="D8598" s="6" t="str">
        <f>_xll.QS.CONTEXT.ADD.CURVE(C8598,"SOFR",$K$2:$K$7,$L$2:$L$7,,,"Actual360","LogLinear",TRUE)</f>
        <v>QSObject:ContextInput:w1~input.qs_context_add_curve.2359132437744.8597.3.0:35956</v>
      </c>
      <c r="E8598" s="6" t="str">
        <f>_xll.QS.INSTRUMENT.SWAP("swap.8596",H8598,B8598,"USD","SOFR",I8598,J8598,0,"Actual360","Simple","Annual","Annual","Annual")</f>
        <v>QSObject:Swap:w1~swap.8596:2271</v>
      </c>
      <c r="F8598" s="6" t="str">
        <f>_xll.QS.TRADE.CREATE("trade.8596",E8598,A8598,"Receive")</f>
        <v>QSObject:SwapTrade:w1~trade.8596:23266</v>
      </c>
      <c r="G8598" s="3">
        <f>_xll.QS.EVALUATE(C8598,F8598)</f>
        <v>64903.175936633015</v>
      </c>
      <c r="H8598" s="5" t="s">
        <v>8639</v>
      </c>
      <c r="I8598" s="7">
        <v>1859600</v>
      </c>
      <c r="J8598" s="8">
        <v>3.9600000000000003E-2</v>
      </c>
    </row>
    <row r="8599" spans="1:10" x14ac:dyDescent="0.25">
      <c r="A8599" s="5" t="s">
        <v>8633</v>
      </c>
      <c r="B8599" s="5" t="s">
        <v>10466</v>
      </c>
      <c r="C8599" s="6" t="str">
        <f>_xll.QS.CONTEXT.CREATE("market.8597",A8599,"USD","SOFR")</f>
        <v>QSObject:PricingContext:w1~market.8597:2270</v>
      </c>
      <c r="D8599" s="6" t="str">
        <f>_xll.QS.CONTEXT.ADD.CURVE(C8599,"SOFR",$K$2:$K$7,$L$2:$L$7,,,"Actual360","LogLinear",TRUE)</f>
        <v>QSObject:ContextInput:w1~input.qs_context_add_curve.2359132437744.8598.3.0:38826</v>
      </c>
      <c r="E8599" s="6" t="str">
        <f>_xll.QS.INSTRUMENT.SWAP("swap.8597",H8599,B8599,"USD","SOFR",I8599,J8599,0,"Actual360","Simple","Annual","Annual","Annual")</f>
        <v>QSObject:Swap:w1~swap.8597:2269</v>
      </c>
      <c r="F8599" s="6" t="str">
        <f>_xll.QS.TRADE.CREATE("trade.8597",E8599,A8599,"Receive")</f>
        <v>QSObject:SwapTrade:w1~trade.8597:23265</v>
      </c>
      <c r="G8599" s="3">
        <f>_xll.QS.EVALUATE(C8599,F8599)</f>
        <v>65803.522194677003</v>
      </c>
      <c r="H8599" s="5" t="s">
        <v>8640</v>
      </c>
      <c r="I8599" s="7">
        <v>1859700</v>
      </c>
      <c r="J8599" s="8">
        <v>3.9700000000000013E-2</v>
      </c>
    </row>
    <row r="8600" spans="1:10" x14ac:dyDescent="0.25">
      <c r="A8600" s="5" t="s">
        <v>8634</v>
      </c>
      <c r="B8600" s="5" t="s">
        <v>10467</v>
      </c>
      <c r="C8600" s="6" t="str">
        <f>_xll.QS.CONTEXT.CREATE("market.8598",A8600,"USD","SOFR")</f>
        <v>QSObject:PricingContext:w1~market.8598:2268</v>
      </c>
      <c r="D8600" s="6" t="str">
        <f>_xll.QS.CONTEXT.ADD.CURVE(C8600,"SOFR",$K$2:$K$7,$L$2:$L$7,,,"Actual360","LogLinear",TRUE)</f>
        <v>QSObject:ContextInput:w1~input.qs_context_add_curve.2359132437744.8599.3.0:34153</v>
      </c>
      <c r="E8600" s="6" t="str">
        <f>_xll.QS.INSTRUMENT.SWAP("swap.8598",H8600,B8600,"USD","SOFR",I8600,J8600,0,"Actual360","Simple","Annual","Annual","Annual")</f>
        <v>QSObject:Swap:w1~swap.8598:2267</v>
      </c>
      <c r="F8600" s="6" t="str">
        <f>_xll.QS.TRADE.CREATE("trade.8598",E8600,A8600,"Receive")</f>
        <v>QSObject:SwapTrade:w1~trade.8598:23264</v>
      </c>
      <c r="G8600" s="3">
        <f>_xll.QS.EVALUATE(C8600,F8600)</f>
        <v>66801.217284637809</v>
      </c>
      <c r="H8600" s="5" t="s">
        <v>8641</v>
      </c>
      <c r="I8600" s="7">
        <v>1859800</v>
      </c>
      <c r="J8600" s="8">
        <v>3.9800000000000002E-2</v>
      </c>
    </row>
    <row r="8601" spans="1:10" x14ac:dyDescent="0.25">
      <c r="A8601" s="5" t="s">
        <v>8635</v>
      </c>
      <c r="B8601" s="5" t="s">
        <v>10468</v>
      </c>
      <c r="C8601" s="6" t="str">
        <f>_xll.QS.CONTEXT.CREATE("market.8599",A8601,"USD","SOFR")</f>
        <v>QSObject:PricingContext:w1~market.8599:2266</v>
      </c>
      <c r="D8601" s="6" t="str">
        <f>_xll.QS.CONTEXT.ADD.CURVE(C8601,"SOFR",$K$2:$K$7,$L$2:$L$7,,,"Actual360","LogLinear",TRUE)</f>
        <v>QSObject:ContextInput:w1~input.qs_context_add_curve.2359132437744.8600.3.0:33533</v>
      </c>
      <c r="E8601" s="6" t="str">
        <f>_xll.QS.INSTRUMENT.SWAP("swap.8599",H8601,B8601,"USD","SOFR",I8601,J8601,0,"Actual360","Simple","Annual","Annual","Annual")</f>
        <v>QSObject:Swap:w1~swap.8599:2265</v>
      </c>
      <c r="F8601" s="6" t="str">
        <f>_xll.QS.TRADE.CREATE("trade.8599",E8601,A8601,"Receive")</f>
        <v>QSObject:SwapTrade:w1~trade.8599:23263</v>
      </c>
      <c r="G8601" s="3">
        <f>_xll.QS.EVALUATE(C8601,F8601)</f>
        <v>67743.969028129359</v>
      </c>
      <c r="H8601" s="5" t="s">
        <v>8642</v>
      </c>
      <c r="I8601" s="7">
        <v>1859900</v>
      </c>
      <c r="J8601" s="8">
        <v>3.9899999999999998E-2</v>
      </c>
    </row>
    <row r="8602" spans="1:10" x14ac:dyDescent="0.25">
      <c r="A8602" s="5" t="s">
        <v>8636</v>
      </c>
      <c r="B8602" s="5" t="s">
        <v>10469</v>
      </c>
      <c r="C8602" s="6" t="str">
        <f>_xll.QS.CONTEXT.CREATE("market.8600",A8602,"USD","SOFR")</f>
        <v>QSObject:PricingContext:w1~market.8600:2264</v>
      </c>
      <c r="D8602" s="6" t="str">
        <f>_xll.QS.CONTEXT.ADD.CURVE(C8602,"SOFR",$K$2:$K$7,$L$2:$L$7,,,"Actual360","LogLinear",TRUE)</f>
        <v>QSObject:ContextInput:w1~input.qs_context_add_curve.2359132437744.8601.3.0:36484</v>
      </c>
      <c r="E8602" s="6" t="str">
        <f>_xll.QS.INSTRUMENT.SWAP("swap.8600",H8602,B8602,"USD","SOFR",I8602,J8602,0,"Actual360","Simple","Annual","Annual","Annual")</f>
        <v>QSObject:Swap:w1~swap.8600:2263</v>
      </c>
      <c r="F8602" s="6" t="str">
        <f>_xll.QS.TRADE.CREATE("trade.8600",E8602,A8602,"Receive")</f>
        <v>QSObject:SwapTrade:w1~trade.8600:23262</v>
      </c>
      <c r="G8602" s="3">
        <f>_xll.QS.EVALUATE(C8602,F8602)</f>
        <v>25647.627271410609</v>
      </c>
      <c r="H8602" s="5" t="s">
        <v>8643</v>
      </c>
      <c r="I8602" s="7">
        <v>1860000</v>
      </c>
      <c r="J8602" s="8">
        <v>3.5000000000000003E-2</v>
      </c>
    </row>
    <row r="8603" spans="1:10" x14ac:dyDescent="0.25">
      <c r="A8603" s="5" t="s">
        <v>8637</v>
      </c>
      <c r="B8603" s="5" t="s">
        <v>10470</v>
      </c>
      <c r="C8603" s="6" t="str">
        <f>_xll.QS.CONTEXT.CREATE("market.8601",A8603,"USD","SOFR")</f>
        <v>QSObject:PricingContext:w1~market.8601:2262</v>
      </c>
      <c r="D8603" s="6" t="str">
        <f>_xll.QS.CONTEXT.ADD.CURVE(C8603,"SOFR",$K$2:$K$7,$L$2:$L$7,,,"Actual360","LogLinear",TRUE)</f>
        <v>QSObject:ContextInput:w1~input.qs_context_add_curve.2359132437744.8602.3.0:37023</v>
      </c>
      <c r="E8603" s="6" t="str">
        <f>_xll.QS.INSTRUMENT.SWAP("swap.8601",H8603,B8603,"USD","SOFR",I8603,J8603,0,"Actual360","Simple","Annual","Annual","Annual")</f>
        <v>QSObject:Swap:w1~swap.8601:2261</v>
      </c>
      <c r="F8603" s="6" t="str">
        <f>_xll.QS.TRADE.CREATE("trade.8601",E8603,A8603,"Receive")</f>
        <v>QSObject:SwapTrade:w1~trade.8601:23261</v>
      </c>
      <c r="G8603" s="3">
        <f>_xll.QS.EVALUATE(C8603,F8603)</f>
        <v>26397.146901798056</v>
      </c>
      <c r="H8603" s="5" t="s">
        <v>8644</v>
      </c>
      <c r="I8603" s="7">
        <v>1860100</v>
      </c>
      <c r="J8603" s="8">
        <v>3.5100000000000013E-2</v>
      </c>
    </row>
    <row r="8604" spans="1:10" x14ac:dyDescent="0.25">
      <c r="A8604" s="5" t="s">
        <v>8638</v>
      </c>
      <c r="B8604" s="5" t="s">
        <v>10471</v>
      </c>
      <c r="C8604" s="6" t="str">
        <f>_xll.QS.CONTEXT.CREATE("market.8602",A8604,"USD","SOFR")</f>
        <v>QSObject:PricingContext:w1~market.8602:2260</v>
      </c>
      <c r="D8604" s="6" t="str">
        <f>_xll.QS.CONTEXT.ADD.CURVE(C8604,"SOFR",$K$2:$K$7,$L$2:$L$7,,,"Actual360","LogLinear",TRUE)</f>
        <v>QSObject:ContextInput:w1~input.qs_context_add_curve.2359132437744.8603.3.0:39365</v>
      </c>
      <c r="E8604" s="6" t="str">
        <f>_xll.QS.INSTRUMENT.SWAP("swap.8602",H8604,B8604,"USD","SOFR",I8604,J8604,0,"Actual360","Simple","Annual","Annual","Annual")</f>
        <v>QSObject:Swap:w1~swap.8602:2259</v>
      </c>
      <c r="F8604" s="6" t="str">
        <f>_xll.QS.TRADE.CREATE("trade.8602",E8604,A8604,"Receive")</f>
        <v>QSObject:SwapTrade:w1~trade.8602:23260</v>
      </c>
      <c r="G8604" s="3">
        <f>_xll.QS.EVALUATE(C8604,F8604)</f>
        <v>27086.473756324427</v>
      </c>
      <c r="H8604" s="5" t="s">
        <v>8645</v>
      </c>
      <c r="I8604" s="7">
        <v>1860200</v>
      </c>
      <c r="J8604" s="8">
        <v>3.5200000000000002E-2</v>
      </c>
    </row>
    <row r="8605" spans="1:10" x14ac:dyDescent="0.25">
      <c r="A8605" s="5" t="s">
        <v>8639</v>
      </c>
      <c r="B8605" s="5" t="s">
        <v>10472</v>
      </c>
      <c r="C8605" s="6" t="str">
        <f>_xll.QS.CONTEXT.CREATE("market.8603",A8605,"USD","SOFR")</f>
        <v>QSObject:PricingContext:w1~market.8603:2258</v>
      </c>
      <c r="D8605" s="6" t="str">
        <f>_xll.QS.CONTEXT.ADD.CURVE(C8605,"SOFR",$K$2:$K$7,$L$2:$L$7,,,"Actual360","LogLinear",TRUE)</f>
        <v>QSObject:ContextInput:w1~input.qs_context_add_curve.2359132437744.8604.3.0:36483</v>
      </c>
      <c r="E8605" s="6" t="str">
        <f>_xll.QS.INSTRUMENT.SWAP("swap.8603",H8605,B8605,"USD","SOFR",I8605,J8605,0,"Actual360","Simple","Annual","Annual","Annual")</f>
        <v>QSObject:Swap:w1~swap.8603:2257</v>
      </c>
      <c r="F8605" s="6" t="str">
        <f>_xll.QS.TRADE.CREATE("trade.8603",E8605,A8605,"Receive")</f>
        <v>QSObject:SwapTrade:w1~trade.8603:23259</v>
      </c>
      <c r="G8605" s="3">
        <f>_xll.QS.EVALUATE(C8605,F8605)</f>
        <v>28022.429549990469</v>
      </c>
      <c r="H8605" s="5" t="s">
        <v>8646</v>
      </c>
      <c r="I8605" s="7">
        <v>1860300</v>
      </c>
      <c r="J8605" s="8">
        <v>3.5299999999999998E-2</v>
      </c>
    </row>
    <row r="8606" spans="1:10" x14ac:dyDescent="0.25">
      <c r="A8606" s="5" t="s">
        <v>8640</v>
      </c>
      <c r="B8606" s="5" t="s">
        <v>10473</v>
      </c>
      <c r="C8606" s="6" t="str">
        <f>_xll.QS.CONTEXT.CREATE("market.8604",A8606,"USD","SOFR")</f>
        <v>QSObject:PricingContext:w1~market.8604:2256</v>
      </c>
      <c r="D8606" s="6" t="str">
        <f>_xll.QS.CONTEXT.ADD.CURVE(C8606,"SOFR",$K$2:$K$7,$L$2:$L$7,,,"Actual360","LogLinear",TRUE)</f>
        <v>QSObject:ContextInput:w1~input.qs_context_add_curve.2359132437744.8605.3.0:32325</v>
      </c>
      <c r="E8606" s="6" t="str">
        <f>_xll.QS.INSTRUMENT.SWAP("swap.8604",H8606,B8606,"USD","SOFR",I8606,J8606,0,"Actual360","Simple","Annual","Annual","Annual")</f>
        <v>QSObject:Swap:w1~swap.8604:2255</v>
      </c>
      <c r="F8606" s="6" t="str">
        <f>_xll.QS.TRADE.CREATE("trade.8604",E8606,A8606,"Receive")</f>
        <v>QSObject:SwapTrade:w1~trade.8604:23258</v>
      </c>
      <c r="G8606" s="3">
        <f>_xll.QS.EVALUATE(C8606,F8606)</f>
        <v>28939.349662717243</v>
      </c>
      <c r="H8606" s="5" t="s">
        <v>8647</v>
      </c>
      <c r="I8606" s="7">
        <v>1860400</v>
      </c>
      <c r="J8606" s="8">
        <v>3.5400000000000001E-2</v>
      </c>
    </row>
    <row r="8607" spans="1:10" x14ac:dyDescent="0.25">
      <c r="A8607" s="5" t="s">
        <v>8641</v>
      </c>
      <c r="B8607" s="5" t="s">
        <v>10474</v>
      </c>
      <c r="C8607" s="6" t="str">
        <f>_xll.QS.CONTEXT.CREATE("market.8605",A8607,"USD","SOFR")</f>
        <v>QSObject:PricingContext:w1~market.8605:2254</v>
      </c>
      <c r="D8607" s="6" t="str">
        <f>_xll.QS.CONTEXT.ADD.CURVE(C8607,"SOFR",$K$2:$K$7,$L$2:$L$7,,,"Actual360","LogLinear",TRUE)</f>
        <v>QSObject:ContextInput:w1~input.qs_context_add_curve.2359132437744.8606.3.0:34152</v>
      </c>
      <c r="E8607" s="6" t="str">
        <f>_xll.QS.INSTRUMENT.SWAP("swap.8605",H8607,B8607,"USD","SOFR",I8607,J8607,0,"Actual360","Simple","Annual","Annual","Annual")</f>
        <v>QSObject:Swap:w1~swap.8605:2253</v>
      </c>
      <c r="F8607" s="6" t="str">
        <f>_xll.QS.TRADE.CREATE("trade.8605",E8607,A8607,"Receive")</f>
        <v>QSObject:SwapTrade:w1~trade.8605:23257</v>
      </c>
      <c r="G8607" s="3">
        <f>_xll.QS.EVALUATE(C8607,F8607)</f>
        <v>29934.80942617121</v>
      </c>
      <c r="H8607" s="5" t="s">
        <v>8648</v>
      </c>
      <c r="I8607" s="7">
        <v>1860500</v>
      </c>
      <c r="J8607" s="8">
        <v>3.5499999999999997E-2</v>
      </c>
    </row>
    <row r="8608" spans="1:10" x14ac:dyDescent="0.25">
      <c r="A8608" s="5" t="s">
        <v>8642</v>
      </c>
      <c r="B8608" s="5" t="s">
        <v>10475</v>
      </c>
      <c r="C8608" s="6" t="str">
        <f>_xll.QS.CONTEXT.CREATE("market.8606",A8608,"USD","SOFR")</f>
        <v>QSObject:PricingContext:w1~market.8606:2252</v>
      </c>
      <c r="D8608" s="6" t="str">
        <f>_xll.QS.CONTEXT.ADD.CURVE(C8608,"SOFR",$K$2:$K$7,$L$2:$L$7,,,"Actual360","LogLinear",TRUE)</f>
        <v>QSObject:ContextInput:w1~input.qs_context_add_curve.2359132437744.8607.3.0:39998</v>
      </c>
      <c r="E8608" s="6" t="str">
        <f>_xll.QS.INSTRUMENT.SWAP("swap.8606",H8608,B8608,"USD","SOFR",I8608,J8608,0,"Actual360","Simple","Annual","Annual","Annual")</f>
        <v>QSObject:Swap:w1~swap.8606:2251</v>
      </c>
      <c r="F8608" s="6" t="str">
        <f>_xll.QS.TRADE.CREATE("trade.8606",E8608,A8608,"Receive")</f>
        <v>QSObject:SwapTrade:w1~trade.8606:23256</v>
      </c>
      <c r="G8608" s="3">
        <f>_xll.QS.EVALUATE(C8608,F8608)</f>
        <v>30875.255521344028</v>
      </c>
      <c r="H8608" s="5" t="s">
        <v>8649</v>
      </c>
      <c r="I8608" s="7">
        <v>1860600</v>
      </c>
      <c r="J8608" s="8">
        <v>3.5600000000000007E-2</v>
      </c>
    </row>
    <row r="8609" spans="1:10" x14ac:dyDescent="0.25">
      <c r="A8609" s="5" t="s">
        <v>8643</v>
      </c>
      <c r="B8609" s="5" t="s">
        <v>10476</v>
      </c>
      <c r="C8609" s="6" t="str">
        <f>_xll.QS.CONTEXT.CREATE("market.8607",A8609,"USD","SOFR")</f>
        <v>QSObject:PricingContext:w1~market.8607:2250</v>
      </c>
      <c r="D8609" s="6" t="str">
        <f>_xll.QS.CONTEXT.ADD.CURVE(C8609,"SOFR",$K$2:$K$7,$L$2:$L$7,,,"Actual360","LogLinear",TRUE)</f>
        <v>QSObject:ContextInput:w1~input.qs_context_add_curve.2359132437744.8608.3.0:37022</v>
      </c>
      <c r="E8609" s="6" t="str">
        <f>_xll.QS.INSTRUMENT.SWAP("swap.8607",H8609,B8609,"USD","SOFR",I8609,J8609,0,"Actual360","Simple","Annual","Annual","Annual")</f>
        <v>QSObject:Swap:w1~swap.8607:2249</v>
      </c>
      <c r="F8609" s="6" t="str">
        <f>_xll.QS.TRADE.CREATE("trade.8607",E8609,A8609,"Receive")</f>
        <v>QSObject:SwapTrade:w1~trade.8607:23255</v>
      </c>
      <c r="G8609" s="3">
        <f>_xll.QS.EVALUATE(C8609,F8609)</f>
        <v>31663.29797533399</v>
      </c>
      <c r="H8609" s="5" t="s">
        <v>8650</v>
      </c>
      <c r="I8609" s="7">
        <v>1860700</v>
      </c>
      <c r="J8609" s="8">
        <v>3.5700000000000003E-2</v>
      </c>
    </row>
    <row r="8610" spans="1:10" x14ac:dyDescent="0.25">
      <c r="A8610" s="5" t="s">
        <v>8644</v>
      </c>
      <c r="B8610" s="5" t="s">
        <v>10477</v>
      </c>
      <c r="C8610" s="6" t="str">
        <f>_xll.QS.CONTEXT.CREATE("market.8608",A8610,"USD","SOFR")</f>
        <v>QSObject:PricingContext:w1~market.8608:2248</v>
      </c>
      <c r="D8610" s="6" t="str">
        <f>_xll.QS.CONTEXT.ADD.CURVE(C8610,"SOFR",$K$2:$K$7,$L$2:$L$7,,,"Actual360","LogLinear",TRUE)</f>
        <v>QSObject:ContextInput:w1~input.qs_context_add_curve.2359132437744.8609.3.0:34151</v>
      </c>
      <c r="E8610" s="6" t="str">
        <f>_xll.QS.INSTRUMENT.SWAP("swap.8608",H8610,B8610,"USD","SOFR",I8610,J8610,0,"Actual360","Simple","Annual","Annual","Annual")</f>
        <v>QSObject:Swap:w1~swap.8608:2247</v>
      </c>
      <c r="F8610" s="6" t="str">
        <f>_xll.QS.TRADE.CREATE("trade.8608",E8610,A8610,"Receive")</f>
        <v>QSObject:SwapTrade:w1~trade.8608:23254</v>
      </c>
      <c r="G8610" s="3">
        <f>_xll.QS.EVALUATE(C8610,F8610)</f>
        <v>32406.347263554941</v>
      </c>
      <c r="H8610" s="5" t="s">
        <v>8651</v>
      </c>
      <c r="I8610" s="7">
        <v>1860800</v>
      </c>
      <c r="J8610" s="8">
        <v>3.5800000000000012E-2</v>
      </c>
    </row>
    <row r="8611" spans="1:10" x14ac:dyDescent="0.25">
      <c r="A8611" s="5" t="s">
        <v>8645</v>
      </c>
      <c r="B8611" s="5" t="s">
        <v>10478</v>
      </c>
      <c r="C8611" s="6" t="str">
        <f>_xll.QS.CONTEXT.CREATE("market.8609",A8611,"USD","SOFR")</f>
        <v>QSObject:PricingContext:w1~market.8609:2246</v>
      </c>
      <c r="D8611" s="6" t="str">
        <f>_xll.QS.CONTEXT.ADD.CURVE(C8611,"SOFR",$K$2:$K$7,$L$2:$L$7,,,"Actual360","LogLinear",TRUE)</f>
        <v>QSObject:ContextInput:w1~input.qs_context_add_curve.2359132437744.8610.3.0:35386</v>
      </c>
      <c r="E8611" s="6" t="str">
        <f>_xll.QS.INSTRUMENT.SWAP("swap.8609",H8611,B8611,"USD","SOFR",I8611,J8611,0,"Actual360","Simple","Annual","Annual","Annual")</f>
        <v>QSObject:Swap:w1~swap.8609:2245</v>
      </c>
      <c r="F8611" s="6" t="str">
        <f>_xll.QS.TRADE.CREATE("trade.8609",E8611,A8611,"Receive")</f>
        <v>QSObject:SwapTrade:w1~trade.8609:23253</v>
      </c>
      <c r="G8611" s="3">
        <f>_xll.QS.EVALUATE(C8611,F8611)</f>
        <v>33105.565408215254</v>
      </c>
      <c r="H8611" s="5" t="s">
        <v>8652</v>
      </c>
      <c r="I8611" s="7">
        <v>1860900</v>
      </c>
      <c r="J8611" s="8">
        <v>3.5900000000000001E-2</v>
      </c>
    </row>
    <row r="8612" spans="1:10" x14ac:dyDescent="0.25">
      <c r="A8612" s="5" t="s">
        <v>8646</v>
      </c>
      <c r="B8612" s="5" t="s">
        <v>10479</v>
      </c>
      <c r="C8612" s="6" t="str">
        <f>_xll.QS.CONTEXT.CREATE("market.8610",A8612,"USD","SOFR")</f>
        <v>QSObject:PricingContext:w1~market.8610:2244</v>
      </c>
      <c r="D8612" s="6" t="str">
        <f>_xll.QS.CONTEXT.ADD.CURVE(C8612,"SOFR",$K$2:$K$7,$L$2:$L$7,,,"Actual360","LogLinear",TRUE)</f>
        <v>QSObject:ContextInput:w1~input.qs_context_add_curve.2359132437744.8611.3.0:39997</v>
      </c>
      <c r="E8612" s="6" t="str">
        <f>_xll.QS.INSTRUMENT.SWAP("swap.8610",H8612,B8612,"USD","SOFR",I8612,J8612,0,"Actual360","Simple","Annual","Annual","Annual")</f>
        <v>QSObject:Swap:w1~swap.8610:2243</v>
      </c>
      <c r="F8612" s="6" t="str">
        <f>_xll.QS.TRADE.CREATE("trade.8610",E8612,A8612,"Receive")</f>
        <v>QSObject:SwapTrade:w1~trade.8610:23252</v>
      </c>
      <c r="G8612" s="3">
        <f>_xll.QS.EVALUATE(C8612,F8612)</f>
        <v>34042.809700518359</v>
      </c>
      <c r="H8612" s="5" t="s">
        <v>8653</v>
      </c>
      <c r="I8612" s="7">
        <v>1861000</v>
      </c>
      <c r="J8612" s="8">
        <v>3.5999999999999997E-2</v>
      </c>
    </row>
    <row r="8613" spans="1:10" x14ac:dyDescent="0.25">
      <c r="A8613" s="5" t="s">
        <v>8647</v>
      </c>
      <c r="B8613" s="5" t="s">
        <v>10480</v>
      </c>
      <c r="C8613" s="6" t="str">
        <f>_xll.QS.CONTEXT.CREATE("market.8611",A8613,"USD","SOFR")</f>
        <v>QSObject:PricingContext:w1~market.8611:2242</v>
      </c>
      <c r="D8613" s="6" t="str">
        <f>_xll.QS.CONTEXT.ADD.CURVE(C8613,"SOFR",$K$2:$K$7,$L$2:$L$7,,,"Actual360","LogLinear",TRUE)</f>
        <v>QSObject:ContextInput:w1~input.qs_context_add_curve.2359132437744.8612.3.0:34150</v>
      </c>
      <c r="E8613" s="6" t="str">
        <f>_xll.QS.INSTRUMENT.SWAP("swap.8611",H8613,B8613,"USD","SOFR",I8613,J8613,0,"Actual360","Simple","Annual","Annual","Annual")</f>
        <v>QSObject:Swap:w1~swap.8611:2241</v>
      </c>
      <c r="F8613" s="6" t="str">
        <f>_xll.QS.TRADE.CREATE("trade.8611",E8613,A8613,"Receive")</f>
        <v>QSObject:SwapTrade:w1~trade.8611:23251</v>
      </c>
      <c r="G8613" s="3">
        <f>_xll.QS.EVALUATE(C8613,F8613)</f>
        <v>34957.426944861771</v>
      </c>
      <c r="H8613" s="5" t="s">
        <v>8654</v>
      </c>
      <c r="I8613" s="7">
        <v>1861100</v>
      </c>
      <c r="J8613" s="8">
        <v>3.61E-2</v>
      </c>
    </row>
    <row r="8614" spans="1:10" x14ac:dyDescent="0.25">
      <c r="A8614" s="5" t="s">
        <v>8648</v>
      </c>
      <c r="B8614" s="5" t="s">
        <v>10481</v>
      </c>
      <c r="C8614" s="6" t="str">
        <f>_xll.QS.CONTEXT.CREATE("market.8612",A8614,"USD","SOFR")</f>
        <v>QSObject:PricingContext:w1~market.8612:2240</v>
      </c>
      <c r="D8614" s="6" t="str">
        <f>_xll.QS.CONTEXT.ADD.CURVE(C8614,"SOFR",$K$2:$K$7,$L$2:$L$7,,,"Actual360","LogLinear",TRUE)</f>
        <v>QSObject:ContextInput:w1~input.qs_context_add_curve.2359132437744.8613.3.0:34759</v>
      </c>
      <c r="E8614" s="6" t="str">
        <f>_xll.QS.INSTRUMENT.SWAP("swap.8612",H8614,B8614,"USD","SOFR",I8614,J8614,0,"Actual360","Simple","Annual","Annual","Annual")</f>
        <v>QSObject:Swap:w1~swap.8612:2239</v>
      </c>
      <c r="F8614" s="6" t="str">
        <f>_xll.QS.TRADE.CREATE("trade.8612",E8614,A8614,"Receive")</f>
        <v>QSObject:SwapTrade:w1~trade.8612:23250</v>
      </c>
      <c r="G8614" s="3">
        <f>_xll.QS.EVALUATE(C8614,F8614)</f>
        <v>35953.721387266436</v>
      </c>
      <c r="H8614" s="5" t="s">
        <v>8655</v>
      </c>
      <c r="I8614" s="7">
        <v>1861200</v>
      </c>
      <c r="J8614" s="8">
        <v>3.6200000000000003E-2</v>
      </c>
    </row>
    <row r="8615" spans="1:10" x14ac:dyDescent="0.25">
      <c r="A8615" s="5" t="s">
        <v>8649</v>
      </c>
      <c r="B8615" s="5" t="s">
        <v>10482</v>
      </c>
      <c r="C8615" s="6" t="str">
        <f>_xll.QS.CONTEXT.CREATE("market.8613",A8615,"USD","SOFR")</f>
        <v>QSObject:PricingContext:w1~market.8613:2238</v>
      </c>
      <c r="D8615" s="6" t="str">
        <f>_xll.QS.CONTEXT.ADD.CURVE(C8615,"SOFR",$K$2:$K$7,$L$2:$L$7,,,"Actual360","LogLinear",TRUE)</f>
        <v>QSObject:ContextInput:w1~input.qs_context_add_curve.2359132437744.8614.3.0:37571</v>
      </c>
      <c r="E8615" s="6" t="str">
        <f>_xll.QS.INSTRUMENT.SWAP("swap.8613",H8615,B8615,"USD","SOFR",I8615,J8615,0,"Actual360","Simple","Annual","Annual","Annual")</f>
        <v>QSObject:Swap:w1~swap.8613:2237</v>
      </c>
      <c r="F8615" s="6" t="str">
        <f>_xll.QS.TRADE.CREATE("trade.8613",E8615,A8615,"Receive")</f>
        <v>QSObject:SwapTrade:w1~trade.8613:23249</v>
      </c>
      <c r="G8615" s="3">
        <f>_xll.QS.EVALUATE(C8615,F8615)</f>
        <v>36895.16527358134</v>
      </c>
      <c r="H8615" s="5" t="s">
        <v>8656</v>
      </c>
      <c r="I8615" s="7">
        <v>1861300</v>
      </c>
      <c r="J8615" s="8">
        <v>3.6300000000000013E-2</v>
      </c>
    </row>
    <row r="8616" spans="1:10" x14ac:dyDescent="0.25">
      <c r="A8616" s="5" t="s">
        <v>8650</v>
      </c>
      <c r="B8616" s="5" t="s">
        <v>10483</v>
      </c>
      <c r="C8616" s="6" t="str">
        <f>_xll.QS.CONTEXT.CREATE("market.8614",A8616,"USD","SOFR")</f>
        <v>QSObject:PricingContext:w1~market.8614:2236</v>
      </c>
      <c r="D8616" s="6" t="str">
        <f>_xll.QS.CONTEXT.ADD.CURVE(C8616,"SOFR",$K$2:$K$7,$L$2:$L$7,,,"Actual360","LogLinear",TRUE)</f>
        <v>QSObject:ContextInput:w1~input.qs_context_add_curve.2359132437744.8615.3.0:31750</v>
      </c>
      <c r="E8616" s="6" t="str">
        <f>_xll.QS.INSTRUMENT.SWAP("swap.8614",H8616,B8616,"USD","SOFR",I8616,J8616,0,"Actual360","Simple","Annual","Annual","Annual")</f>
        <v>QSObject:Swap:w1~swap.8614:2235</v>
      </c>
      <c r="F8616" s="6" t="str">
        <f>_xll.QS.TRADE.CREATE("trade.8614",E8616,A8616,"Receive")</f>
        <v>QSObject:SwapTrade:w1~trade.8614:23248</v>
      </c>
      <c r="G8616" s="3">
        <f>_xll.QS.EVALUATE(C8616,F8616)</f>
        <v>37684.033082001835</v>
      </c>
      <c r="H8616" s="5" t="s">
        <v>8657</v>
      </c>
      <c r="I8616" s="7">
        <v>1861400</v>
      </c>
      <c r="J8616" s="8">
        <v>3.6400000000000002E-2</v>
      </c>
    </row>
    <row r="8617" spans="1:10" x14ac:dyDescent="0.25">
      <c r="A8617" s="5" t="s">
        <v>8651</v>
      </c>
      <c r="B8617" s="5" t="s">
        <v>10484</v>
      </c>
      <c r="C8617" s="6" t="str">
        <f>_xll.QS.CONTEXT.CREATE("market.8615",A8617,"USD","SOFR")</f>
        <v>QSObject:PricingContext:w1~market.8615:2234</v>
      </c>
      <c r="D8617" s="6" t="str">
        <f>_xll.QS.CONTEXT.ADD.CURVE(C8617,"SOFR",$K$2:$K$7,$L$2:$L$7,,,"Actual360","LogLinear",TRUE)</f>
        <v>QSObject:ContextInput:w1~input.qs_context_add_curve.2359132437744.8616.3.0:35955</v>
      </c>
      <c r="E8617" s="6" t="str">
        <f>_xll.QS.INSTRUMENT.SWAP("swap.8615",H8617,B8617,"USD","SOFR",I8617,J8617,0,"Actual360","Simple","Annual","Annual","Annual")</f>
        <v>QSObject:Swap:w1~swap.8615:2233</v>
      </c>
      <c r="F8617" s="6" t="str">
        <f>_xll.QS.TRADE.CREATE("trade.8615",E8617,A8617,"Receive")</f>
        <v>QSObject:SwapTrade:w1~trade.8615:23247</v>
      </c>
      <c r="G8617" s="3">
        <f>_xll.QS.EVALUATE(C8617,F8617)</f>
        <v>38420.608633204065</v>
      </c>
      <c r="H8617" s="5" t="s">
        <v>8658</v>
      </c>
      <c r="I8617" s="7">
        <v>1861500</v>
      </c>
      <c r="J8617" s="8">
        <v>3.6499999999999998E-2</v>
      </c>
    </row>
    <row r="8618" spans="1:10" x14ac:dyDescent="0.25">
      <c r="A8618" s="5" t="s">
        <v>8652</v>
      </c>
      <c r="B8618" s="5" t="s">
        <v>10485</v>
      </c>
      <c r="C8618" s="6" t="str">
        <f>_xll.QS.CONTEXT.CREATE("market.8616",A8618,"USD","SOFR")</f>
        <v>QSObject:PricingContext:w1~market.8616:2232</v>
      </c>
      <c r="D8618" s="6" t="str">
        <f>_xll.QS.CONTEXT.ADD.CURVE(C8618,"SOFR",$K$2:$K$7,$L$2:$L$7,,,"Actual360","LogLinear",TRUE)</f>
        <v>QSObject:ContextInput:w1~input.qs_context_add_curve.2359132437744.8617.3.0:38825</v>
      </c>
      <c r="E8618" s="6" t="str">
        <f>_xll.QS.INSTRUMENT.SWAP("swap.8616",H8618,B8618,"USD","SOFR",I8618,J8618,0,"Actual360","Simple","Annual","Annual","Annual")</f>
        <v>QSObject:Swap:w1~swap.8616:2231</v>
      </c>
      <c r="F8618" s="6" t="str">
        <f>_xll.QS.TRADE.CREATE("trade.8616",E8618,A8618,"Receive")</f>
        <v>QSObject:SwapTrade:w1~trade.8616:23246</v>
      </c>
      <c r="G8618" s="3">
        <f>_xll.QS.EVALUATE(C8618,F8618)</f>
        <v>39129.730493859621</v>
      </c>
      <c r="H8618" s="5" t="s">
        <v>8659</v>
      </c>
      <c r="I8618" s="7">
        <v>1861600</v>
      </c>
      <c r="J8618" s="8">
        <v>3.6600000000000001E-2</v>
      </c>
    </row>
    <row r="8619" spans="1:10" x14ac:dyDescent="0.25">
      <c r="A8619" s="5" t="s">
        <v>8653</v>
      </c>
      <c r="B8619" s="5" t="s">
        <v>10486</v>
      </c>
      <c r="C8619" s="6" t="str">
        <f>_xll.QS.CONTEXT.CREATE("market.8617",A8619,"USD","SOFR")</f>
        <v>QSObject:PricingContext:w1~market.8617:2230</v>
      </c>
      <c r="D8619" s="6" t="str">
        <f>_xll.QS.CONTEXT.ADD.CURVE(C8619,"SOFR",$K$2:$K$7,$L$2:$L$7,,,"Actual360","LogLinear",TRUE)</f>
        <v>QSObject:ContextInput:w1~input.qs_context_add_curve.2359132437744.8618.3.0:32324</v>
      </c>
      <c r="E8619" s="6" t="str">
        <f>_xll.QS.INSTRUMENT.SWAP("swap.8617",H8619,B8619,"USD","SOFR",I8619,J8619,0,"Actual360","Simple","Annual","Annual","Annual")</f>
        <v>QSObject:Swap:w1~swap.8617:2229</v>
      </c>
      <c r="F8619" s="6" t="str">
        <f>_xll.QS.TRADE.CREATE("trade.8617",E8619,A8619,"Receive")</f>
        <v>QSObject:SwapTrade:w1~trade.8617:23245</v>
      </c>
      <c r="G8619" s="3">
        <f>_xll.QS.EVALUATE(C8619,F8619)</f>
        <v>40068.200078774687</v>
      </c>
      <c r="H8619" s="5" t="s">
        <v>8660</v>
      </c>
      <c r="I8619" s="7">
        <v>1861700</v>
      </c>
      <c r="J8619" s="8">
        <v>3.6700000000000003E-2</v>
      </c>
    </row>
    <row r="8620" spans="1:10" x14ac:dyDescent="0.25">
      <c r="A8620" s="5" t="s">
        <v>8654</v>
      </c>
      <c r="B8620" s="5" t="s">
        <v>10487</v>
      </c>
      <c r="C8620" s="6" t="str">
        <f>_xll.QS.CONTEXT.CREATE("market.8618",A8620,"USD","SOFR")</f>
        <v>QSObject:PricingContext:w1~market.8618:2228</v>
      </c>
      <c r="D8620" s="6" t="str">
        <f>_xll.QS.CONTEXT.ADD.CURVE(C8620,"SOFR",$K$2:$K$7,$L$2:$L$7,,,"Actual360","LogLinear",TRUE)</f>
        <v>QSObject:ContextInput:w1~input.qs_context_add_curve.2359132437744.8619.3.0:35385</v>
      </c>
      <c r="E8620" s="6" t="str">
        <f>_xll.QS.INSTRUMENT.SWAP("swap.8618",H8620,B8620,"USD","SOFR",I8620,J8620,0,"Actual360","Simple","Annual","Annual","Annual")</f>
        <v>QSObject:Swap:w1~swap.8618:2227</v>
      </c>
      <c r="F8620" s="6" t="str">
        <f>_xll.QS.TRADE.CREATE("trade.8618",E8620,A8620,"Receive")</f>
        <v>QSObject:SwapTrade:w1~trade.8618:23244</v>
      </c>
      <c r="G8620" s="3">
        <f>_xll.QS.EVALUATE(C8620,F8620)</f>
        <v>40980.318884975452</v>
      </c>
      <c r="H8620" s="5" t="s">
        <v>8661</v>
      </c>
      <c r="I8620" s="7">
        <v>1861800</v>
      </c>
      <c r="J8620" s="8">
        <v>3.6800000000000013E-2</v>
      </c>
    </row>
    <row r="8621" spans="1:10" x14ac:dyDescent="0.25">
      <c r="A8621" s="5" t="s">
        <v>8655</v>
      </c>
      <c r="B8621" s="5" t="s">
        <v>10488</v>
      </c>
      <c r="C8621" s="6" t="str">
        <f>_xll.QS.CONTEXT.CREATE("market.8619",A8621,"USD","SOFR")</f>
        <v>QSObject:PricingContext:w1~market.8619:2226</v>
      </c>
      <c r="D8621" s="6" t="str">
        <f>_xll.QS.CONTEXT.ADD.CURVE(C8621,"SOFR",$K$2:$K$7,$L$2:$L$7,,,"Actual360","LogLinear",TRUE)</f>
        <v>QSObject:ContextInput:w1~input.qs_context_add_curve.2359132437744.8620.3.0:37570</v>
      </c>
      <c r="E8621" s="6" t="str">
        <f>_xll.QS.INSTRUMENT.SWAP("swap.8619",H8621,B8621,"USD","SOFR",I8621,J8621,0,"Actual360","Simple","Annual","Annual","Annual")</f>
        <v>QSObject:Swap:w1~swap.8619:2225</v>
      </c>
      <c r="F8621" s="6" t="str">
        <f>_xll.QS.TRADE.CREATE("trade.8619",E8621,A8621,"Receive")</f>
        <v>QSObject:SwapTrade:w1~trade.8619:23243</v>
      </c>
      <c r="G8621" s="3">
        <f>_xll.QS.EVALUATE(C8621,F8621)</f>
        <v>41977.405229085809</v>
      </c>
      <c r="H8621" s="5" t="s">
        <v>8662</v>
      </c>
      <c r="I8621" s="7">
        <v>1861900</v>
      </c>
      <c r="J8621" s="8">
        <v>3.6900000000000002E-2</v>
      </c>
    </row>
    <row r="8622" spans="1:10" x14ac:dyDescent="0.25">
      <c r="A8622" s="5" t="s">
        <v>8656</v>
      </c>
      <c r="B8622" s="5" t="s">
        <v>10489</v>
      </c>
      <c r="C8622" s="6" t="str">
        <f>_xll.QS.CONTEXT.CREATE("market.8620",A8622,"USD","SOFR")</f>
        <v>QSObject:PricingContext:w1~market.8620:2224</v>
      </c>
      <c r="D8622" s="6" t="str">
        <f>_xll.QS.CONTEXT.ADD.CURVE(C8622,"SOFR",$K$2:$K$7,$L$2:$L$7,,,"Actual360","LogLinear",TRUE)</f>
        <v>QSObject:ContextInput:w1~input.qs_context_add_curve.2359132437744.8621.3.0:36482</v>
      </c>
      <c r="E8622" s="6" t="str">
        <f>_xll.QS.INSTRUMENT.SWAP("swap.8620",H8622,B8622,"USD","SOFR",I8622,J8622,0,"Actual360","Simple","Annual","Annual","Annual")</f>
        <v>QSObject:Swap:w1~swap.8620:2223</v>
      </c>
      <c r="F8622" s="6" t="str">
        <f>_xll.QS.TRADE.CREATE("trade.8620",E8622,A8622,"Receive")</f>
        <v>QSObject:SwapTrade:w1~trade.8620:23242</v>
      </c>
      <c r="G8622" s="3">
        <f>_xll.QS.EVALUATE(C8622,F8622)</f>
        <v>42919.594238890633</v>
      </c>
      <c r="H8622" s="5" t="s">
        <v>8663</v>
      </c>
      <c r="I8622" s="7">
        <v>1862000</v>
      </c>
      <c r="J8622" s="8">
        <v>3.7000000000000012E-2</v>
      </c>
    </row>
    <row r="8623" spans="1:10" x14ac:dyDescent="0.25">
      <c r="A8623" s="5" t="s">
        <v>8657</v>
      </c>
      <c r="B8623" s="5" t="s">
        <v>10490</v>
      </c>
      <c r="C8623" s="6" t="str">
        <f>_xll.QS.CONTEXT.CREATE("market.8621",A8623,"USD","SOFR")</f>
        <v>QSObject:PricingContext:w1~market.8621:2222</v>
      </c>
      <c r="D8623" s="6" t="str">
        <f>_xll.QS.CONTEXT.ADD.CURVE(C8623,"SOFR",$K$2:$K$7,$L$2:$L$7,,,"Actual360","LogLinear",TRUE)</f>
        <v>QSObject:ContextInput:w1~input.qs_context_add_curve.2359132437744.8622.3.0:38151</v>
      </c>
      <c r="E8623" s="6" t="str">
        <f>_xll.QS.INSTRUMENT.SWAP("swap.8621",H8623,B8623,"USD","SOFR",I8623,J8623,0,"Actual360","Simple","Annual","Annual","Annual")</f>
        <v>QSObject:Swap:w1~swap.8621:2221</v>
      </c>
      <c r="F8623" s="6" t="str">
        <f>_xll.QS.TRADE.CREATE("trade.8621",E8623,A8623,"Receive")</f>
        <v>QSObject:SwapTrade:w1~trade.8621:23241</v>
      </c>
      <c r="G8623" s="3">
        <f>_xll.QS.EVALUATE(C8623,F8623)</f>
        <v>43709.014732436401</v>
      </c>
      <c r="H8623" s="5" t="s">
        <v>8664</v>
      </c>
      <c r="I8623" s="7">
        <v>1862100</v>
      </c>
      <c r="J8623" s="8">
        <v>3.7100000000000001E-2</v>
      </c>
    </row>
    <row r="8624" spans="1:10" x14ac:dyDescent="0.25">
      <c r="A8624" s="5" t="s">
        <v>8658</v>
      </c>
      <c r="B8624" s="5" t="s">
        <v>10491</v>
      </c>
      <c r="C8624" s="6" t="str">
        <f>_xll.QS.CONTEXT.CREATE("market.8622",A8624,"USD","SOFR")</f>
        <v>QSObject:PricingContext:w1~market.8622:2220</v>
      </c>
      <c r="D8624" s="6" t="str">
        <f>_xll.QS.CONTEXT.ADD.CURVE(C8624,"SOFR",$K$2:$K$7,$L$2:$L$7,,,"Actual360","LogLinear",TRUE)</f>
        <v>QSObject:ContextInput:w1~input.qs_context_add_curve.2359132437744.8623.3.0:37021</v>
      </c>
      <c r="E8624" s="6" t="str">
        <f>_xll.QS.INSTRUMENT.SWAP("swap.8622",H8624,B8624,"USD","SOFR",I8624,J8624,0,"Actual360","Simple","Annual","Annual","Annual")</f>
        <v>QSObject:Swap:w1~swap.8622:2219</v>
      </c>
      <c r="F8624" s="6" t="str">
        <f>_xll.QS.TRADE.CREATE("trade.8622",E8624,A8624,"Receive")</f>
        <v>QSObject:SwapTrade:w1~trade.8622:23240</v>
      </c>
      <c r="G8624" s="3">
        <f>_xll.QS.EVALUATE(C8624,F8624)</f>
        <v>44439.11026102279</v>
      </c>
      <c r="H8624" s="5" t="s">
        <v>8665</v>
      </c>
      <c r="I8624" s="7">
        <v>1862200</v>
      </c>
      <c r="J8624" s="8">
        <v>3.7199999999999997E-2</v>
      </c>
    </row>
    <row r="8625" spans="1:10" x14ac:dyDescent="0.25">
      <c r="A8625" s="5" t="s">
        <v>8659</v>
      </c>
      <c r="B8625" s="5" t="s">
        <v>10492</v>
      </c>
      <c r="C8625" s="6" t="str">
        <f>_xll.QS.CONTEXT.CREATE("market.8623",A8625,"USD","SOFR")</f>
        <v>QSObject:PricingContext:w1~market.8623:2218</v>
      </c>
      <c r="D8625" s="6" t="str">
        <f>_xll.QS.CONTEXT.ADD.CURVE(C8625,"SOFR",$K$2:$K$7,$L$2:$L$7,,,"Actual360","LogLinear",TRUE)</f>
        <v>QSObject:ContextInput:w1~input.qs_context_add_curve.2359132437744.8624.3.0:32323</v>
      </c>
      <c r="E8625" s="6" t="str">
        <f>_xll.QS.INSTRUMENT.SWAP("swap.8623",H8625,B8625,"USD","SOFR",I8625,J8625,0,"Actual360","Simple","Annual","Annual","Annual")</f>
        <v>QSObject:Swap:w1~swap.8623:2217</v>
      </c>
      <c r="F8625" s="6" t="str">
        <f>_xll.QS.TRADE.CREATE("trade.8623",E8625,A8625,"Receive")</f>
        <v>QSObject:SwapTrade:w1~trade.8623:23239</v>
      </c>
      <c r="G8625" s="3">
        <f>_xll.QS.EVALUATE(C8625,F8625)</f>
        <v>45158.140134019821</v>
      </c>
      <c r="H8625" s="5" t="s">
        <v>8666</v>
      </c>
      <c r="I8625" s="7">
        <v>1862300</v>
      </c>
      <c r="J8625" s="8">
        <v>3.73E-2</v>
      </c>
    </row>
    <row r="8626" spans="1:10" x14ac:dyDescent="0.25">
      <c r="A8626" s="5" t="s">
        <v>8660</v>
      </c>
      <c r="B8626" s="5" t="s">
        <v>10493</v>
      </c>
      <c r="C8626" s="6" t="str">
        <f>_xll.QS.CONTEXT.CREATE("market.8624",A8626,"USD","SOFR")</f>
        <v>QSObject:PricingContext:w1~market.8624:2216</v>
      </c>
      <c r="D8626" s="6" t="str">
        <f>_xll.QS.CONTEXT.ADD.CURVE(C8626,"SOFR",$K$2:$K$7,$L$2:$L$7,,,"Actual360","LogLinear",TRUE)</f>
        <v>QSObject:ContextInput:w1~input.qs_context_add_curve.2359132437744.8625.3.0:33015</v>
      </c>
      <c r="E8626" s="6" t="str">
        <f>_xll.QS.INSTRUMENT.SWAP("swap.8624",H8626,B8626,"USD","SOFR",I8626,J8626,0,"Actual360","Simple","Annual","Annual","Annual")</f>
        <v>QSObject:Swap:w1~swap.8624:2215</v>
      </c>
      <c r="F8626" s="6" t="str">
        <f>_xll.QS.TRADE.CREATE("trade.8624",E8626,A8626,"Receive")</f>
        <v>QSObject:SwapTrade:w1~trade.8624:23238</v>
      </c>
      <c r="G8626" s="3">
        <f>_xll.QS.EVALUATE(C8626,F8626)</f>
        <v>46097.867271440577</v>
      </c>
      <c r="H8626" s="5" t="s">
        <v>8667</v>
      </c>
      <c r="I8626" s="7">
        <v>1862400</v>
      </c>
      <c r="J8626" s="8">
        <v>3.7400000000000003E-2</v>
      </c>
    </row>
    <row r="8627" spans="1:10" x14ac:dyDescent="0.25">
      <c r="A8627" s="5" t="s">
        <v>8661</v>
      </c>
      <c r="B8627" s="5" t="s">
        <v>10494</v>
      </c>
      <c r="C8627" s="6" t="str">
        <f>_xll.QS.CONTEXT.CREATE("market.8625",A8627,"USD","SOFR")</f>
        <v>QSObject:PricingContext:w1~market.8625:2214</v>
      </c>
      <c r="D8627" s="6" t="str">
        <f>_xll.QS.CONTEXT.ADD.CURVE(C8627,"SOFR",$K$2:$K$7,$L$2:$L$7,,,"Actual360","LogLinear",TRUE)</f>
        <v>QSObject:ContextInput:w1~input.qs_context_add_curve.2359132437744.8626.3.0:35954</v>
      </c>
      <c r="E8627" s="6" t="str">
        <f>_xll.QS.INSTRUMENT.SWAP("swap.8625",H8627,B8627,"USD","SOFR",I8627,J8627,0,"Actual360","Simple","Annual","Annual","Annual")</f>
        <v>QSObject:Swap:w1~swap.8625:2213</v>
      </c>
      <c r="F8627" s="6" t="str">
        <f>_xll.QS.TRADE.CREATE("trade.8625",E8627,A8627,"Receive")</f>
        <v>QSObject:SwapTrade:w1~trade.8625:23237</v>
      </c>
      <c r="G8627" s="3">
        <f>_xll.QS.EVALUATE(C8627,F8627)</f>
        <v>47007.729914772826</v>
      </c>
      <c r="H8627" s="5" t="s">
        <v>8668</v>
      </c>
      <c r="I8627" s="7">
        <v>1862500</v>
      </c>
      <c r="J8627" s="8">
        <v>3.7500000000000012E-2</v>
      </c>
    </row>
    <row r="8628" spans="1:10" x14ac:dyDescent="0.25">
      <c r="A8628" s="5" t="s">
        <v>8662</v>
      </c>
      <c r="B8628" s="5" t="s">
        <v>10495</v>
      </c>
      <c r="C8628" s="6" t="str">
        <f>_xll.QS.CONTEXT.CREATE("market.8626",A8628,"USD","SOFR")</f>
        <v>QSObject:PricingContext:w1~market.8626:2212</v>
      </c>
      <c r="D8628" s="6" t="str">
        <f>_xll.QS.CONTEXT.ADD.CURVE(C8628,"SOFR",$K$2:$K$7,$L$2:$L$7,,,"Actual360","LogLinear",TRUE)</f>
        <v>QSObject:ContextInput:w1~input.qs_context_add_curve.2359132437744.8627.3.0:32322</v>
      </c>
      <c r="E8628" s="6" t="str">
        <f>_xll.QS.INSTRUMENT.SWAP("swap.8626",H8628,B8628,"USD","SOFR",I8628,J8628,0,"Actual360","Simple","Annual","Annual","Annual")</f>
        <v>QSObject:Swap:w1~swap.8626:2211</v>
      </c>
      <c r="F8628" s="6" t="str">
        <f>_xll.QS.TRADE.CREATE("trade.8626",E8628,A8628,"Receive")</f>
        <v>QSObject:SwapTrade:w1~trade.8626:23236</v>
      </c>
      <c r="G8628" s="3">
        <f>_xll.QS.EVALUATE(C8628,F8628)</f>
        <v>48005.608232102561</v>
      </c>
      <c r="H8628" s="5" t="s">
        <v>8669</v>
      </c>
      <c r="I8628" s="7">
        <v>1862600</v>
      </c>
      <c r="J8628" s="8">
        <v>3.7600000000000001E-2</v>
      </c>
    </row>
    <row r="8629" spans="1:10" x14ac:dyDescent="0.25">
      <c r="A8629" s="5" t="s">
        <v>8663</v>
      </c>
      <c r="B8629" s="5" t="s">
        <v>10496</v>
      </c>
      <c r="C8629" s="6" t="str">
        <f>_xll.QS.CONTEXT.CREATE("market.8627",A8629,"USD","SOFR")</f>
        <v>QSObject:PricingContext:w1~market.8627:2210</v>
      </c>
      <c r="D8629" s="6" t="str">
        <f>_xll.QS.CONTEXT.ADD.CURVE(C8629,"SOFR",$K$2:$K$7,$L$2:$L$7,,,"Actual360","LogLinear",TRUE)</f>
        <v>QSObject:ContextInput:w1~input.qs_context_add_curve.2359132437744.8628.3.0:38824</v>
      </c>
      <c r="E8629" s="6" t="str">
        <f>_xll.QS.INSTRUMENT.SWAP("swap.8627",H8629,B8629,"USD","SOFR",I8629,J8629,0,"Actual360","Simple","Annual","Annual","Annual")</f>
        <v>QSObject:Swap:w1~swap.8627:2209</v>
      </c>
      <c r="F8629" s="6" t="str">
        <f>_xll.QS.TRADE.CREATE("trade.8627",E8629,A8629,"Receive")</f>
        <v>QSObject:SwapTrade:w1~trade.8627:23235</v>
      </c>
      <c r="G8629" s="3">
        <f>_xll.QS.EVALUATE(C8629,F8629)</f>
        <v>48948.54241727195</v>
      </c>
      <c r="H8629" s="5" t="s">
        <v>8670</v>
      </c>
      <c r="I8629" s="7">
        <v>1862700</v>
      </c>
      <c r="J8629" s="8">
        <v>3.7699999999999997E-2</v>
      </c>
    </row>
    <row r="8630" spans="1:10" x14ac:dyDescent="0.25">
      <c r="A8630" s="5" t="s">
        <v>8664</v>
      </c>
      <c r="B8630" s="5" t="s">
        <v>10497</v>
      </c>
      <c r="C8630" s="6" t="str">
        <f>_xll.QS.CONTEXT.CREATE("market.8628",A8630,"USD","SOFR")</f>
        <v>QSObject:PricingContext:w1~market.8628:2208</v>
      </c>
      <c r="D8630" s="6" t="str">
        <f>_xll.QS.CONTEXT.ADD.CURVE(C8630,"SOFR",$K$2:$K$7,$L$2:$L$7,,,"Actual360","LogLinear",TRUE)</f>
        <v>QSObject:ContextInput:w1~input.qs_context_add_curve.2359132437744.8629.3.0:33014</v>
      </c>
      <c r="E8630" s="6" t="str">
        <f>_xll.QS.INSTRUMENT.SWAP("swap.8628",H8630,B8630,"USD","SOFR",I8630,J8630,0,"Actual360","Simple","Annual","Annual","Annual")</f>
        <v>QSObject:Swap:w1~swap.8628:2207</v>
      </c>
      <c r="F8630" s="6" t="str">
        <f>_xll.QS.TRADE.CREATE("trade.8628",E8630,A8630,"Receive")</f>
        <v>QSObject:SwapTrade:w1~trade.8628:23234</v>
      </c>
      <c r="G8630" s="3">
        <f>_xll.QS.EVALUATE(C8630,F8630)</f>
        <v>49738.515546297538</v>
      </c>
      <c r="H8630" s="5" t="s">
        <v>8671</v>
      </c>
      <c r="I8630" s="7">
        <v>1862800</v>
      </c>
      <c r="J8630" s="8">
        <v>3.78E-2</v>
      </c>
    </row>
    <row r="8631" spans="1:10" x14ac:dyDescent="0.25">
      <c r="A8631" s="5" t="s">
        <v>8665</v>
      </c>
      <c r="B8631" s="5" t="s">
        <v>10498</v>
      </c>
      <c r="C8631" s="6" t="str">
        <f>_xll.QS.CONTEXT.CREATE("market.8629",A8631,"USD","SOFR")</f>
        <v>QSObject:PricingContext:w1~market.8629:2206</v>
      </c>
      <c r="D8631" s="6" t="str">
        <f>_xll.QS.CONTEXT.ADD.CURVE(C8631,"SOFR",$K$2:$K$7,$L$2:$L$7,,,"Actual360","LogLinear",TRUE)</f>
        <v>QSObject:ContextInput:w1~input.qs_context_add_curve.2359132437744.8630.3.0:35953</v>
      </c>
      <c r="E8631" s="6" t="str">
        <f>_xll.QS.INSTRUMENT.SWAP("swap.8629",H8631,B8631,"USD","SOFR",I8631,J8631,0,"Actual360","Simple","Annual","Annual","Annual")</f>
        <v>QSObject:Swap:w1~swap.8629:2205</v>
      </c>
      <c r="F8631" s="6" t="str">
        <f>_xll.QS.TRADE.CREATE("trade.8629",E8631,A8631,"Receive")</f>
        <v>QSObject:SwapTrade:w1~trade.8629:23233</v>
      </c>
      <c r="G8631" s="3">
        <f>_xll.QS.EVALUATE(C8631,F8631)</f>
        <v>50462.125730251973</v>
      </c>
      <c r="H8631" s="5" t="s">
        <v>8672</v>
      </c>
      <c r="I8631" s="7">
        <v>1862900</v>
      </c>
      <c r="J8631" s="8">
        <v>3.7900000000000003E-2</v>
      </c>
    </row>
    <row r="8632" spans="1:10" x14ac:dyDescent="0.25">
      <c r="A8632" s="5" t="s">
        <v>8666</v>
      </c>
      <c r="B8632" s="5" t="s">
        <v>10499</v>
      </c>
      <c r="C8632" s="6" t="str">
        <f>_xll.QS.CONTEXT.CREATE("market.8630",A8632,"USD","SOFR")</f>
        <v>QSObject:PricingContext:w1~market.8630:2204</v>
      </c>
      <c r="D8632" s="6" t="str">
        <f>_xll.QS.CONTEXT.ADD.CURVE(C8632,"SOFR",$K$2:$K$7,$L$2:$L$7,,,"Actual360","LogLinear",TRUE)</f>
        <v>QSObject:ContextInput:w1~input.qs_context_add_curve.2359132437744.8631.3.0:34758</v>
      </c>
      <c r="E8632" s="6" t="str">
        <f>_xll.QS.INSTRUMENT.SWAP("swap.8630",H8632,B8632,"USD","SOFR",I8632,J8632,0,"Actual360","Simple","Annual","Annual","Annual")</f>
        <v>QSObject:Swap:w1~swap.8630:2203</v>
      </c>
      <c r="F8632" s="6" t="str">
        <f>_xll.QS.TRADE.CREATE("trade.8630",E8632,A8632,"Receive")</f>
        <v>QSObject:SwapTrade:w1~trade.8630:23232</v>
      </c>
      <c r="G8632" s="3">
        <f>_xll.QS.EVALUATE(C8632,F8632)</f>
        <v>51191.070621775092</v>
      </c>
      <c r="H8632" s="5" t="s">
        <v>8673</v>
      </c>
      <c r="I8632" s="7">
        <v>1863000</v>
      </c>
      <c r="J8632" s="8">
        <v>3.8000000000000013E-2</v>
      </c>
    </row>
    <row r="8633" spans="1:10" x14ac:dyDescent="0.25">
      <c r="A8633" s="5" t="s">
        <v>8667</v>
      </c>
      <c r="B8633" s="5" t="s">
        <v>10500</v>
      </c>
      <c r="C8633" s="6" t="str">
        <f>_xll.QS.CONTEXT.CREATE("market.8631",A8633,"USD","SOFR")</f>
        <v>QSObject:PricingContext:w1~market.8631:2202</v>
      </c>
      <c r="D8633" s="6" t="str">
        <f>_xll.QS.CONTEXT.ADD.CURVE(C8633,"SOFR",$K$2:$K$7,$L$2:$L$7,,,"Actual360","LogLinear",TRUE)</f>
        <v>QSObject:ContextInput:w1~input.qs_context_add_curve.2359132437744.8632.3.0:39996</v>
      </c>
      <c r="E8633" s="6" t="str">
        <f>_xll.QS.INSTRUMENT.SWAP("swap.8631",H8633,B8633,"USD","SOFR",I8633,J8633,0,"Actual360","Simple","Annual","Annual","Annual")</f>
        <v>QSObject:Swap:w1~swap.8631:2201</v>
      </c>
      <c r="F8633" s="6" t="str">
        <f>_xll.QS.TRADE.CREATE("trade.8631",E8633,A8633,"Receive")</f>
        <v>QSObject:SwapTrade:w1~trade.8631:23231</v>
      </c>
      <c r="G8633" s="3">
        <f>_xll.QS.EVALUATE(C8633,F8633)</f>
        <v>52132.055749622719</v>
      </c>
      <c r="H8633" s="5" t="s">
        <v>8674</v>
      </c>
      <c r="I8633" s="7">
        <v>1863100</v>
      </c>
      <c r="J8633" s="8">
        <v>3.8100000000000002E-2</v>
      </c>
    </row>
    <row r="8634" spans="1:10" x14ac:dyDescent="0.25">
      <c r="A8634" s="5" t="s">
        <v>8668</v>
      </c>
      <c r="B8634" s="5" t="s">
        <v>10501</v>
      </c>
      <c r="C8634" s="6" t="str">
        <f>_xll.QS.CONTEXT.CREATE("market.8632",A8634,"USD","SOFR")</f>
        <v>QSObject:PricingContext:w1~market.8632:2200</v>
      </c>
      <c r="D8634" s="6" t="str">
        <f>_xll.QS.CONTEXT.ADD.CURVE(C8634,"SOFR",$K$2:$K$7,$L$2:$L$7,,,"Actual360","LogLinear",TRUE)</f>
        <v>QSObject:ContextInput:w1~input.qs_context_add_curve.2359132437744.8633.3.0:39364</v>
      </c>
      <c r="E8634" s="6" t="str">
        <f>_xll.QS.INSTRUMENT.SWAP("swap.8632",H8634,B8634,"USD","SOFR",I8634,J8634,0,"Actual360","Simple","Annual","Annual","Annual")</f>
        <v>QSObject:Swap:w1~swap.8632:2199</v>
      </c>
      <c r="F8634" s="6" t="str">
        <f>_xll.QS.TRADE.CREATE("trade.8632",E8634,A8634,"Receive")</f>
        <v>QSObject:SwapTrade:w1~trade.8632:23230</v>
      </c>
      <c r="G8634" s="3">
        <f>_xll.QS.EVALUATE(C8634,F8634)</f>
        <v>53039.660034254026</v>
      </c>
      <c r="H8634" s="5" t="s">
        <v>8675</v>
      </c>
      <c r="I8634" s="7">
        <v>1863200</v>
      </c>
      <c r="J8634" s="8">
        <v>3.8199999999999998E-2</v>
      </c>
    </row>
    <row r="8635" spans="1:10" x14ac:dyDescent="0.25">
      <c r="A8635" s="5" t="s">
        <v>8669</v>
      </c>
      <c r="B8635" s="5" t="s">
        <v>10502</v>
      </c>
      <c r="C8635" s="6" t="str">
        <f>_xll.QS.CONTEXT.CREATE("market.8633",A8635,"USD","SOFR")</f>
        <v>QSObject:PricingContext:w1~market.8633:2198</v>
      </c>
      <c r="D8635" s="6" t="str">
        <f>_xll.QS.CONTEXT.ADD.CURVE(C8635,"SOFR",$K$2:$K$7,$L$2:$L$7,,,"Actual360","LogLinear",TRUE)</f>
        <v>QSObject:ContextInput:w1~input.qs_context_add_curve.2359132437744.8634.3.0:34757</v>
      </c>
      <c r="E8635" s="6" t="str">
        <f>_xll.QS.INSTRUMENT.SWAP("swap.8633",H8635,B8635,"USD","SOFR",I8635,J8635,0,"Actual360","Simple","Annual","Annual","Annual")</f>
        <v>QSObject:Swap:w1~swap.8633:2197</v>
      </c>
      <c r="F8635" s="6" t="str">
        <f>_xll.QS.TRADE.CREATE("trade.8633",E8635,A8635,"Receive")</f>
        <v>QSObject:SwapTrade:w1~trade.8633:23229</v>
      </c>
      <c r="G8635" s="3">
        <f>_xll.QS.EVALUATE(C8635,F8635)</f>
        <v>54038.330396316836</v>
      </c>
      <c r="H8635" s="5" t="s">
        <v>8676</v>
      </c>
      <c r="I8635" s="7">
        <v>1863300</v>
      </c>
      <c r="J8635" s="8">
        <v>3.8300000000000001E-2</v>
      </c>
    </row>
    <row r="8636" spans="1:10" x14ac:dyDescent="0.25">
      <c r="A8636" s="5" t="s">
        <v>8670</v>
      </c>
      <c r="B8636" s="5" t="s">
        <v>10503</v>
      </c>
      <c r="C8636" s="6" t="str">
        <f>_xll.QS.CONTEXT.CREATE("market.8634",A8636,"USD","SOFR")</f>
        <v>QSObject:PricingContext:w1~market.8634:2196</v>
      </c>
      <c r="D8636" s="6" t="str">
        <f>_xll.QS.CONTEXT.ADD.CURVE(C8636,"SOFR",$K$2:$K$7,$L$2:$L$7,,,"Actual360","LogLinear",TRUE)</f>
        <v>QSObject:ContextInput:w1~input.qs_context_add_curve.2359132437744.8635.3.0:37020</v>
      </c>
      <c r="E8636" s="6" t="str">
        <f>_xll.QS.INSTRUMENT.SWAP("swap.8634",H8636,B8636,"USD","SOFR",I8636,J8636,0,"Actual360","Simple","Annual","Annual","Annual")</f>
        <v>QSObject:Swap:w1~swap.8634:2195</v>
      </c>
      <c r="F8636" s="6" t="str">
        <f>_xll.QS.TRADE.CREATE("trade.8634",E8636,A8636,"Receive")</f>
        <v>QSObject:SwapTrade:w1~trade.8634:23228</v>
      </c>
      <c r="G8636" s="3">
        <f>_xll.QS.EVALUATE(C8636,F8636)</f>
        <v>54982.009808725859</v>
      </c>
      <c r="H8636" s="5" t="s">
        <v>8677</v>
      </c>
      <c r="I8636" s="7">
        <v>1863400</v>
      </c>
      <c r="J8636" s="8">
        <v>3.8399999999999997E-2</v>
      </c>
    </row>
    <row r="8637" spans="1:10" x14ac:dyDescent="0.25">
      <c r="A8637" s="5" t="s">
        <v>8671</v>
      </c>
      <c r="B8637" s="5" t="s">
        <v>10504</v>
      </c>
      <c r="C8637" s="6" t="str">
        <f>_xll.QS.CONTEXT.CREATE("market.8635",A8637,"USD","SOFR")</f>
        <v>QSObject:PricingContext:w1~market.8635:2194</v>
      </c>
      <c r="D8637" s="6" t="str">
        <f>_xll.QS.CONTEXT.ADD.CURVE(C8637,"SOFR",$K$2:$K$7,$L$2:$L$7,,,"Actual360","LogLinear",TRUE)</f>
        <v>QSObject:ContextInput:w1~input.qs_context_add_curve.2359132437744.8636.3.0:34149</v>
      </c>
      <c r="E8637" s="6" t="str">
        <f>_xll.QS.INSTRUMENT.SWAP("swap.8635",H8637,B8637,"USD","SOFR",I8637,J8637,0,"Actual360","Simple","Annual","Annual","Annual")</f>
        <v>QSObject:Swap:w1~swap.8635:2193</v>
      </c>
      <c r="F8637" s="6" t="str">
        <f>_xll.QS.TRADE.CREATE("trade.8635",E8637,A8637,"Receive")</f>
        <v>QSObject:SwapTrade:w1~trade.8635:23227</v>
      </c>
      <c r="G8637" s="3">
        <f>_xll.QS.EVALUATE(C8637,F8637)</f>
        <v>55772.847495250149</v>
      </c>
      <c r="H8637" s="5" t="s">
        <v>8678</v>
      </c>
      <c r="I8637" s="7">
        <v>1863500</v>
      </c>
      <c r="J8637" s="8">
        <v>3.8500000000000013E-2</v>
      </c>
    </row>
    <row r="8638" spans="1:10" x14ac:dyDescent="0.25">
      <c r="A8638" s="5" t="s">
        <v>8672</v>
      </c>
      <c r="B8638" s="5" t="s">
        <v>10505</v>
      </c>
      <c r="C8638" s="6" t="str">
        <f>_xll.QS.CONTEXT.CREATE("market.8636",A8638,"USD","SOFR")</f>
        <v>QSObject:PricingContext:w1~market.8636:2192</v>
      </c>
      <c r="D8638" s="6" t="str">
        <f>_xll.QS.CONTEXT.ADD.CURVE(C8638,"SOFR",$K$2:$K$7,$L$2:$L$7,,,"Actual360","LogLinear",TRUE)</f>
        <v>QSObject:ContextInput:w1~input.qs_context_add_curve.2359132437744.8637.3.0:34148</v>
      </c>
      <c r="E8638" s="6" t="str">
        <f>_xll.QS.INSTRUMENT.SWAP("swap.8636",H8638,B8638,"USD","SOFR",I8638,J8638,0,"Actual360","Simple","Annual","Annual","Annual")</f>
        <v>QSObject:Swap:w1~swap.8636:2191</v>
      </c>
      <c r="F8638" s="6" t="str">
        <f>_xll.QS.TRADE.CREATE("trade.8636",E8638,A8638,"Receive")</f>
        <v>QSObject:SwapTrade:w1~trade.8636:23226</v>
      </c>
      <c r="G8638" s="3">
        <f>_xll.QS.EVALUATE(C8638,F8638)</f>
        <v>56597.037304746103</v>
      </c>
      <c r="H8638" s="5" t="s">
        <v>8679</v>
      </c>
      <c r="I8638" s="7">
        <v>1863600</v>
      </c>
      <c r="J8638" s="8">
        <v>3.8600000000000002E-2</v>
      </c>
    </row>
    <row r="8639" spans="1:10" x14ac:dyDescent="0.25">
      <c r="A8639" s="5" t="s">
        <v>8673</v>
      </c>
      <c r="B8639" s="5" t="s">
        <v>10506</v>
      </c>
      <c r="C8639" s="6" t="str">
        <f>_xll.QS.CONTEXT.CREATE("market.8637",A8639,"USD","SOFR")</f>
        <v>QSObject:PricingContext:w1~market.8637:2190</v>
      </c>
      <c r="D8639" s="6" t="str">
        <f>_xll.QS.CONTEXT.ADD.CURVE(C8639,"SOFR",$K$2:$K$7,$L$2:$L$7,,,"Actual360","LogLinear",TRUE)</f>
        <v>QSObject:ContextInput:w1~input.qs_context_add_curve.2359132437744.8638.3.0:35952</v>
      </c>
      <c r="E8639" s="6" t="str">
        <f>_xll.QS.INSTRUMENT.SWAP("swap.8637",H8639,B8639,"USD","SOFR",I8639,J8639,0,"Actual360","Simple","Annual","Annual","Annual")</f>
        <v>QSObject:Swap:w1~swap.8637:2189</v>
      </c>
      <c r="F8639" s="6" t="str">
        <f>_xll.QS.TRADE.CREATE("trade.8637",E8639,A8639,"Receive")</f>
        <v>QSObject:SwapTrade:w1~trade.8637:23225</v>
      </c>
      <c r="G8639" s="3">
        <f>_xll.QS.EVALUATE(C8639,F8639)</f>
        <v>57149.785517263022</v>
      </c>
      <c r="H8639" s="5" t="s">
        <v>8680</v>
      </c>
      <c r="I8639" s="7">
        <v>1863700</v>
      </c>
      <c r="J8639" s="8">
        <v>3.8700000000000012E-2</v>
      </c>
    </row>
    <row r="8640" spans="1:10" x14ac:dyDescent="0.25">
      <c r="A8640" s="5" t="s">
        <v>8674</v>
      </c>
      <c r="B8640" s="5" t="s">
        <v>10507</v>
      </c>
      <c r="C8640" s="6" t="str">
        <f>_xll.QS.CONTEXT.CREATE("market.8638",A8640,"USD","SOFR")</f>
        <v>QSObject:PricingContext:w1~market.8638:2188</v>
      </c>
      <c r="D8640" s="6" t="str">
        <f>_xll.QS.CONTEXT.ADD.CURVE(C8640,"SOFR",$K$2:$K$7,$L$2:$L$7,,,"Actual360","LogLinear",TRUE)</f>
        <v>QSObject:ContextInput:w1~input.qs_context_add_curve.2359132437744.8639.3.0:38823</v>
      </c>
      <c r="E8640" s="6" t="str">
        <f>_xll.QS.INSTRUMENT.SWAP("swap.8638",H8640,B8640,"USD","SOFR",I8640,J8640,0,"Actual360","Simple","Annual","Annual","Annual")</f>
        <v>QSObject:Swap:w1~swap.8638:2187</v>
      </c>
      <c r="F8640" s="6" t="str">
        <f>_xll.QS.TRADE.CREATE("trade.8638",E8640,A8640,"Receive")</f>
        <v>QSObject:SwapTrade:w1~trade.8638:23224</v>
      </c>
      <c r="G8640" s="3">
        <f>_xll.QS.EVALUATE(C8640,F8640)</f>
        <v>58092.535207308276</v>
      </c>
      <c r="H8640" s="5" t="s">
        <v>8681</v>
      </c>
      <c r="I8640" s="7">
        <v>1863800</v>
      </c>
      <c r="J8640" s="8">
        <v>3.8800000000000001E-2</v>
      </c>
    </row>
    <row r="8641" spans="1:10" x14ac:dyDescent="0.25">
      <c r="A8641" s="5" t="s">
        <v>8675</v>
      </c>
      <c r="B8641" s="5" t="s">
        <v>10508</v>
      </c>
      <c r="C8641" s="6" t="str">
        <f>_xll.QS.CONTEXT.CREATE("market.8639",A8641,"USD","SOFR")</f>
        <v>QSObject:PricingContext:w1~market.8639:2186</v>
      </c>
      <c r="D8641" s="6" t="str">
        <f>_xll.QS.CONTEXT.ADD.CURVE(C8641,"SOFR",$K$2:$K$7,$L$2:$L$7,,,"Actual360","LogLinear",TRUE)</f>
        <v>QSObject:ContextInput:w1~input.qs_context_add_curve.2359132437744.8640.3.0:38822</v>
      </c>
      <c r="E8641" s="6" t="str">
        <f>_xll.QS.INSTRUMENT.SWAP("swap.8639",H8641,B8641,"USD","SOFR",I8641,J8641,0,"Actual360","Simple","Annual","Annual","Annual")</f>
        <v>QSObject:Swap:w1~swap.8639:2185</v>
      </c>
      <c r="F8641" s="6" t="str">
        <f>_xll.QS.TRADE.CREATE("trade.8639",E8641,A8641,"Receive")</f>
        <v>QSObject:SwapTrade:w1~trade.8639:23223</v>
      </c>
      <c r="G8641" s="3">
        <f>_xll.QS.EVALUATE(C8641,F8641)</f>
        <v>59034.88630487537</v>
      </c>
      <c r="H8641" s="5" t="s">
        <v>8682</v>
      </c>
      <c r="I8641" s="7">
        <v>1863900</v>
      </c>
      <c r="J8641" s="8">
        <v>3.8899999999999997E-2</v>
      </c>
    </row>
    <row r="8642" spans="1:10" x14ac:dyDescent="0.25">
      <c r="A8642" s="5" t="s">
        <v>8676</v>
      </c>
      <c r="B8642" s="5" t="s">
        <v>10509</v>
      </c>
      <c r="C8642" s="6" t="str">
        <f>_xll.QS.CONTEXT.CREATE("market.8640",A8642,"USD","SOFR")</f>
        <v>QSObject:PricingContext:w1~market.8640:2184</v>
      </c>
      <c r="D8642" s="6" t="str">
        <f>_xll.QS.CONTEXT.ADD.CURVE(C8642,"SOFR",$K$2:$K$7,$L$2:$L$7,,,"Actual360","LogLinear",TRUE)</f>
        <v>QSObject:ContextInput:w1~input.qs_context_add_curve.2359132437744.8641.3.0:38821</v>
      </c>
      <c r="E8642" s="6" t="str">
        <f>_xll.QS.INSTRUMENT.SWAP("swap.8640",H8642,B8642,"USD","SOFR",I8642,J8642,0,"Actual360","Simple","Annual","Annual","Annual")</f>
        <v>QSObject:Swap:w1~swap.8640:2183</v>
      </c>
      <c r="F8642" s="6" t="str">
        <f>_xll.QS.TRADE.CREATE("trade.8640",E8642,A8642,"Receive")</f>
        <v>QSObject:SwapTrade:w1~trade.8640:23222</v>
      </c>
      <c r="G8642" s="3">
        <f>_xll.QS.EVALUATE(C8642,F8642)</f>
        <v>60147.920559181068</v>
      </c>
      <c r="H8642" s="5" t="s">
        <v>8683</v>
      </c>
      <c r="I8642" s="7">
        <v>1864000</v>
      </c>
      <c r="J8642" s="8">
        <v>3.9000000000000007E-2</v>
      </c>
    </row>
    <row r="8643" spans="1:10" x14ac:dyDescent="0.25">
      <c r="A8643" s="5" t="s">
        <v>8677</v>
      </c>
      <c r="B8643" s="5" t="s">
        <v>10510</v>
      </c>
      <c r="C8643" s="6" t="str">
        <f>_xll.QS.CONTEXT.CREATE("market.8641",A8643,"USD","SOFR")</f>
        <v>QSObject:PricingContext:w1~market.8641:2182</v>
      </c>
      <c r="D8643" s="6" t="str">
        <f>_xll.QS.CONTEXT.ADD.CURVE(C8643,"SOFR",$K$2:$K$7,$L$2:$L$7,,,"Actual360","LogLinear",TRUE)</f>
        <v>QSObject:ContextInput:w1~input.qs_context_add_curve.2359132437744.8642.3.0:35384</v>
      </c>
      <c r="E8643" s="6" t="str">
        <f>_xll.QS.INSTRUMENT.SWAP("swap.8641",H8643,B8643,"USD","SOFR",I8643,J8643,0,"Actual360","Simple","Annual","Annual","Annual")</f>
        <v>QSObject:Swap:w1~swap.8641:2181</v>
      </c>
      <c r="F8643" s="6" t="str">
        <f>_xll.QS.TRADE.CREATE("trade.8641",E8643,A8643,"Receive")</f>
        <v>QSObject:SwapTrade:w1~trade.8641:23221</v>
      </c>
      <c r="G8643" s="3">
        <f>_xll.QS.EVALUATE(C8643,F8643)</f>
        <v>61024.259518200575</v>
      </c>
      <c r="H8643" s="5" t="s">
        <v>8684</v>
      </c>
      <c r="I8643" s="7">
        <v>1864100</v>
      </c>
      <c r="J8643" s="8">
        <v>3.9100000000000003E-2</v>
      </c>
    </row>
    <row r="8644" spans="1:10" x14ac:dyDescent="0.25">
      <c r="A8644" s="5" t="s">
        <v>8678</v>
      </c>
      <c r="B8644" s="5" t="s">
        <v>10511</v>
      </c>
      <c r="C8644" s="6" t="str">
        <f>_xll.QS.CONTEXT.CREATE("market.8642",A8644,"USD","SOFR")</f>
        <v>QSObject:PricingContext:w1~market.8642:2180</v>
      </c>
      <c r="D8644" s="6" t="str">
        <f>_xll.QS.CONTEXT.ADD.CURVE(C8644,"SOFR",$K$2:$K$7,$L$2:$L$7,,,"Actual360","LogLinear",TRUE)</f>
        <v>QSObject:ContextInput:w1~input.qs_context_add_curve.2359132437744.8643.3.0:36481</v>
      </c>
      <c r="E8644" s="6" t="str">
        <f>_xll.QS.INSTRUMENT.SWAP("swap.8642",H8644,B8644,"USD","SOFR",I8644,J8644,0,"Actual360","Simple","Annual","Annual","Annual")</f>
        <v>QSObject:Swap:w1~swap.8642:2179</v>
      </c>
      <c r="F8644" s="6" t="str">
        <f>_xll.QS.TRADE.CREATE("trade.8642",E8644,A8644,"Receive")</f>
        <v>QSObject:SwapTrade:w1~trade.8642:23220</v>
      </c>
      <c r="G8644" s="3">
        <f>_xll.QS.EVALUATE(C8644,F8644)</f>
        <v>61886.051016230522</v>
      </c>
      <c r="H8644" s="5" t="s">
        <v>8685</v>
      </c>
      <c r="I8644" s="7">
        <v>1864200</v>
      </c>
      <c r="J8644" s="8">
        <v>3.9200000000000013E-2</v>
      </c>
    </row>
    <row r="8645" spans="1:10" x14ac:dyDescent="0.25">
      <c r="A8645" s="5" t="s">
        <v>8679</v>
      </c>
      <c r="B8645" s="5" t="s">
        <v>10512</v>
      </c>
      <c r="C8645" s="6" t="str">
        <f>_xll.QS.CONTEXT.CREATE("market.8643",A8645,"USD","SOFR")</f>
        <v>QSObject:PricingContext:w1~market.8643:2178</v>
      </c>
      <c r="D8645" s="6" t="str">
        <f>_xll.QS.CONTEXT.ADD.CURVE(C8645,"SOFR",$K$2:$K$7,$L$2:$L$7,,,"Actual360","LogLinear",TRUE)</f>
        <v>QSObject:ContextInput:w1~input.qs_context_add_curve.2359132437744.8644.3.0:34147</v>
      </c>
      <c r="E8645" s="6" t="str">
        <f>_xll.QS.INSTRUMENT.SWAP("swap.8643",H8645,B8645,"USD","SOFR",I8645,J8645,0,"Actual360","Simple","Annual","Annual","Annual")</f>
        <v>QSObject:Swap:w1~swap.8643:2177</v>
      </c>
      <c r="F8645" s="6" t="str">
        <f>_xll.QS.TRADE.CREATE("trade.8643",E8645,A8645,"Receive")</f>
        <v>QSObject:SwapTrade:w1~trade.8643:23219</v>
      </c>
      <c r="G8645" s="3">
        <f>_xll.QS.EVALUATE(C8645,F8645)</f>
        <v>62596.696637711713</v>
      </c>
      <c r="H8645" s="5" t="s">
        <v>8686</v>
      </c>
      <c r="I8645" s="7">
        <v>1864300</v>
      </c>
      <c r="J8645" s="8">
        <v>3.9300000000000002E-2</v>
      </c>
    </row>
    <row r="8646" spans="1:10" x14ac:dyDescent="0.25">
      <c r="A8646" s="5" t="s">
        <v>8680</v>
      </c>
      <c r="B8646" s="5" t="s">
        <v>10513</v>
      </c>
      <c r="C8646" s="6" t="str">
        <f>_xll.QS.CONTEXT.CREATE("market.8644",A8646,"USD","SOFR")</f>
        <v>QSObject:PricingContext:w1~market.8644:2176</v>
      </c>
      <c r="D8646" s="6" t="str">
        <f>_xll.QS.CONTEXT.ADD.CURVE(C8646,"SOFR",$K$2:$K$7,$L$2:$L$7,,,"Actual360","LogLinear",TRUE)</f>
        <v>QSObject:ContextInput:w1~input.qs_context_add_curve.2359132437744.8645.3.0:35383</v>
      </c>
      <c r="E8646" s="6" t="str">
        <f>_xll.QS.INSTRUMENT.SWAP("swap.8644",H8646,B8646,"USD","SOFR",I8646,J8646,0,"Actual360","Simple","Annual","Annual","Annual")</f>
        <v>QSObject:Swap:w1~swap.8644:2175</v>
      </c>
      <c r="F8646" s="6" t="str">
        <f>_xll.QS.TRADE.CREATE("trade.8644",E8646,A8646,"Receive")</f>
        <v>QSObject:SwapTrade:w1~trade.8644:23218</v>
      </c>
      <c r="G8646" s="3">
        <f>_xll.QS.EVALUATE(C8646,F8646)</f>
        <v>63345.591625607187</v>
      </c>
      <c r="H8646" s="5" t="s">
        <v>8687</v>
      </c>
      <c r="I8646" s="7">
        <v>1864400</v>
      </c>
      <c r="J8646" s="8">
        <v>3.9399999999999998E-2</v>
      </c>
    </row>
    <row r="8647" spans="1:10" x14ac:dyDescent="0.25">
      <c r="A8647" s="5" t="s">
        <v>8681</v>
      </c>
      <c r="B8647" s="5" t="s">
        <v>10514</v>
      </c>
      <c r="C8647" s="6" t="str">
        <f>_xll.QS.CONTEXT.CREATE("market.8645",A8647,"USD","SOFR")</f>
        <v>QSObject:PricingContext:w1~market.8645:2174</v>
      </c>
      <c r="D8647" s="6" t="str">
        <f>_xll.QS.CONTEXT.ADD.CURVE(C8647,"SOFR",$K$2:$K$7,$L$2:$L$7,,,"Actual360","LogLinear",TRUE)</f>
        <v>QSObject:ContextInput:w1~input.qs_context_add_curve.2359132437744.8646.3.0:38820</v>
      </c>
      <c r="E8647" s="6" t="str">
        <f>_xll.QS.INSTRUMENT.SWAP("swap.8645",H8647,B8647,"USD","SOFR",I8647,J8647,0,"Actual360","Simple","Annual","Annual","Annual")</f>
        <v>QSObject:Swap:w1~swap.8645:2173</v>
      </c>
      <c r="F8647" s="6" t="str">
        <f>_xll.QS.TRADE.CREATE("trade.8645",E8647,A8647,"Receive")</f>
        <v>QSObject:SwapTrade:w1~trade.8645:23217</v>
      </c>
      <c r="G8647" s="3">
        <f>_xll.QS.EVALUATE(C8647,F8647)</f>
        <v>64213.877791465355</v>
      </c>
      <c r="H8647" s="5" t="s">
        <v>8688</v>
      </c>
      <c r="I8647" s="7">
        <v>1864500</v>
      </c>
      <c r="J8647" s="8">
        <v>3.9500000000000007E-2</v>
      </c>
    </row>
    <row r="8648" spans="1:10" x14ac:dyDescent="0.25">
      <c r="A8648" s="5" t="s">
        <v>8682</v>
      </c>
      <c r="B8648" s="5" t="s">
        <v>10515</v>
      </c>
      <c r="C8648" s="6" t="str">
        <f>_xll.QS.CONTEXT.CREATE("market.8646",A8648,"USD","SOFR")</f>
        <v>QSObject:PricingContext:w1~market.8646:2172</v>
      </c>
      <c r="D8648" s="6" t="str">
        <f>_xll.QS.CONTEXT.ADD.CURVE(C8648,"SOFR",$K$2:$K$7,$L$2:$L$7,,,"Actual360","LogLinear",TRUE)</f>
        <v>QSObject:ContextInput:w1~input.qs_context_add_curve.2359132437744.8647.3.0:38819</v>
      </c>
      <c r="E8648" s="6" t="str">
        <f>_xll.QS.INSTRUMENT.SWAP("swap.8646",H8648,B8648,"USD","SOFR",I8648,J8648,0,"Actual360","Simple","Annual","Annual","Annual")</f>
        <v>QSObject:Swap:w1~swap.8646:2171</v>
      </c>
      <c r="F8648" s="6" t="str">
        <f>_xll.QS.TRADE.CREATE("trade.8646",E8648,A8648,"Receive")</f>
        <v>QSObject:SwapTrade:w1~trade.8646:23216</v>
      </c>
      <c r="G8648" s="3">
        <f>_xll.QS.EVALUATE(C8648,F8648)</f>
        <v>65117.307385478358</v>
      </c>
      <c r="H8648" s="5" t="s">
        <v>8689</v>
      </c>
      <c r="I8648" s="7">
        <v>1864600</v>
      </c>
      <c r="J8648" s="8">
        <v>3.9600000000000003E-2</v>
      </c>
    </row>
    <row r="8649" spans="1:10" x14ac:dyDescent="0.25">
      <c r="A8649" s="5" t="s">
        <v>8683</v>
      </c>
      <c r="B8649" s="5" t="s">
        <v>10516</v>
      </c>
      <c r="C8649" s="6" t="str">
        <f>_xll.QS.CONTEXT.CREATE("market.8647",A8649,"USD","SOFR")</f>
        <v>QSObject:PricingContext:w1~market.8647:2170</v>
      </c>
      <c r="D8649" s="6" t="str">
        <f>_xll.QS.CONTEXT.ADD.CURVE(C8649,"SOFR",$K$2:$K$7,$L$2:$L$7,,,"Actual360","LogLinear",TRUE)</f>
        <v>QSObject:ContextInput:w1~input.qs_context_add_curve.2359132437744.8648.3.0:35382</v>
      </c>
      <c r="E8649" s="6" t="str">
        <f>_xll.QS.INSTRUMENT.SWAP("swap.8647",H8649,B8649,"USD","SOFR",I8649,J8649,0,"Actual360","Simple","Annual","Annual","Annual")</f>
        <v>QSObject:Swap:w1~swap.8647:2169</v>
      </c>
      <c r="F8649" s="6" t="str">
        <f>_xll.QS.TRADE.CREATE("trade.8647",E8649,A8649,"Receive")</f>
        <v>QSObject:SwapTrade:w1~trade.8647:23215</v>
      </c>
      <c r="G8649" s="3">
        <f>_xll.QS.EVALUATE(C8649,F8649)</f>
        <v>66117.438645870468</v>
      </c>
      <c r="H8649" s="5" t="s">
        <v>8690</v>
      </c>
      <c r="I8649" s="7">
        <v>1864700</v>
      </c>
      <c r="J8649" s="8">
        <v>3.9700000000000013E-2</v>
      </c>
    </row>
    <row r="8650" spans="1:10" x14ac:dyDescent="0.25">
      <c r="A8650" s="5" t="s">
        <v>8684</v>
      </c>
      <c r="B8650" s="5" t="s">
        <v>10517</v>
      </c>
      <c r="C8650" s="6" t="str">
        <f>_xll.QS.CONTEXT.CREATE("market.8648",A8650,"USD","SOFR")</f>
        <v>QSObject:PricingContext:w1~market.8648:2168</v>
      </c>
      <c r="D8650" s="6" t="str">
        <f>_xll.QS.CONTEXT.ADD.CURVE(C8650,"SOFR",$K$2:$K$7,$L$2:$L$7,,,"Actual360","LogLinear",TRUE)</f>
        <v>QSObject:ContextInput:w1~input.qs_context_add_curve.2359132437744.8649.3.0:37569</v>
      </c>
      <c r="E8650" s="6" t="str">
        <f>_xll.QS.INSTRUMENT.SWAP("swap.8648",H8650,B8650,"USD","SOFR",I8650,J8650,0,"Actual360","Simple","Annual","Annual","Annual")</f>
        <v>QSObject:Swap:w1~swap.8648:2167</v>
      </c>
      <c r="F8650" s="6" t="str">
        <f>_xll.QS.TRADE.CREATE("trade.8648",E8650,A8650,"Receive")</f>
        <v>QSObject:SwapTrade:w1~trade.8648:23214</v>
      </c>
      <c r="G8650" s="3">
        <f>_xll.QS.EVALUATE(C8650,F8650)</f>
        <v>67062.50223084999</v>
      </c>
      <c r="H8650" s="5" t="s">
        <v>8691</v>
      </c>
      <c r="I8650" s="7">
        <v>1864800</v>
      </c>
      <c r="J8650" s="8">
        <v>3.9800000000000002E-2</v>
      </c>
    </row>
    <row r="8651" spans="1:10" x14ac:dyDescent="0.25">
      <c r="A8651" s="5" t="s">
        <v>8685</v>
      </c>
      <c r="B8651" s="5" t="s">
        <v>10518</v>
      </c>
      <c r="C8651" s="6" t="str">
        <f>_xll.QS.CONTEXT.CREATE("market.8649",A8651,"USD","SOFR")</f>
        <v>QSObject:PricingContext:w1~market.8649:2166</v>
      </c>
      <c r="D8651" s="6" t="str">
        <f>_xll.QS.CONTEXT.ADD.CURVE(C8651,"SOFR",$K$2:$K$7,$L$2:$L$7,,,"Actual360","LogLinear",TRUE)</f>
        <v>QSObject:ContextInput:w1~input.qs_context_add_curve.2359132437744.8650.3.0:37568</v>
      </c>
      <c r="E8651" s="6" t="str">
        <f>_xll.QS.INSTRUMENT.SWAP("swap.8649",H8651,B8651,"USD","SOFR",I8651,J8651,0,"Actual360","Simple","Annual","Annual","Annual")</f>
        <v>QSObject:Swap:w1~swap.8649:2165</v>
      </c>
      <c r="F8651" s="6" t="str">
        <f>_xll.QS.TRADE.CREATE("trade.8649",E8651,A8651,"Receive")</f>
        <v>QSObject:SwapTrade:w1~trade.8649:23213</v>
      </c>
      <c r="G8651" s="3">
        <f>_xll.QS.EVALUATE(C8651,F8651)</f>
        <v>67854.13296843713</v>
      </c>
      <c r="H8651" s="5" t="s">
        <v>8692</v>
      </c>
      <c r="I8651" s="7">
        <v>1864900</v>
      </c>
      <c r="J8651" s="8">
        <v>3.9899999999999998E-2</v>
      </c>
    </row>
    <row r="8652" spans="1:10" x14ac:dyDescent="0.25">
      <c r="A8652" s="5" t="s">
        <v>8686</v>
      </c>
      <c r="B8652" s="5" t="s">
        <v>10519</v>
      </c>
      <c r="C8652" s="6" t="str">
        <f>_xll.QS.CONTEXT.CREATE("market.8650",A8652,"USD","SOFR")</f>
        <v>QSObject:PricingContext:w1~market.8650:2164</v>
      </c>
      <c r="D8652" s="6" t="str">
        <f>_xll.QS.CONTEXT.ADD.CURVE(C8652,"SOFR",$K$2:$K$7,$L$2:$L$7,,,"Actual360","LogLinear",TRUE)</f>
        <v>QSObject:ContextInput:w1~input.qs_context_add_curve.2359132437744.8651.3.0:37019</v>
      </c>
      <c r="E8652" s="6" t="str">
        <f>_xll.QS.INSTRUMENT.SWAP("swap.8650",H8652,B8652,"USD","SOFR",I8652,J8652,0,"Actual360","Simple","Annual","Annual","Annual")</f>
        <v>QSObject:Swap:w1~swap.8650:2163</v>
      </c>
      <c r="F8652" s="6" t="str">
        <f>_xll.QS.TRADE.CREATE("trade.8650",E8652,A8652,"Receive")</f>
        <v>QSObject:SwapTrade:w1~trade.8650:23212</v>
      </c>
      <c r="G8652" s="3">
        <f>_xll.QS.EVALUATE(C8652,F8652)</f>
        <v>25607.672377943723</v>
      </c>
      <c r="H8652" s="5" t="s">
        <v>8693</v>
      </c>
      <c r="I8652" s="7">
        <v>1865000</v>
      </c>
      <c r="J8652" s="8">
        <v>3.5000000000000003E-2</v>
      </c>
    </row>
    <row r="8653" spans="1:10" x14ac:dyDescent="0.25">
      <c r="A8653" s="5" t="s">
        <v>8687</v>
      </c>
      <c r="B8653" s="5" t="s">
        <v>10520</v>
      </c>
      <c r="C8653" s="6" t="str">
        <f>_xll.QS.CONTEXT.CREATE("market.8651",A8653,"USD","SOFR")</f>
        <v>QSObject:PricingContext:w1~market.8651:2162</v>
      </c>
      <c r="D8653" s="6" t="str">
        <f>_xll.QS.CONTEXT.ADD.CURVE(C8653,"SOFR",$K$2:$K$7,$L$2:$L$7,,,"Actual360","LogLinear",TRUE)</f>
        <v>QSObject:ContextInput:w1~input.qs_context_add_curve.2359132437744.8652.3.0:34146</v>
      </c>
      <c r="E8653" s="6" t="str">
        <f>_xll.QS.INSTRUMENT.SWAP("swap.8651",H8653,B8653,"USD","SOFR",I8653,J8653,0,"Actual360","Simple","Annual","Annual","Annual")</f>
        <v>QSObject:Swap:w1~swap.8651:2161</v>
      </c>
      <c r="F8653" s="6" t="str">
        <f>_xll.QS.TRADE.CREATE("trade.8651",E8653,A8653,"Receive")</f>
        <v>QSObject:SwapTrade:w1~trade.8651:23211</v>
      </c>
      <c r="G8653" s="3">
        <f>_xll.QS.EVALUATE(C8653,F8653)</f>
        <v>26297.431816759716</v>
      </c>
      <c r="H8653" s="5" t="s">
        <v>8694</v>
      </c>
      <c r="I8653" s="7">
        <v>1865100</v>
      </c>
      <c r="J8653" s="8">
        <v>3.5100000000000013E-2</v>
      </c>
    </row>
    <row r="8654" spans="1:10" x14ac:dyDescent="0.25">
      <c r="A8654" s="5" t="s">
        <v>8688</v>
      </c>
      <c r="B8654" s="5" t="s">
        <v>10521</v>
      </c>
      <c r="C8654" s="6" t="str">
        <f>_xll.QS.CONTEXT.CREATE("market.8652",A8654,"USD","SOFR")</f>
        <v>QSObject:PricingContext:w1~market.8652:2160</v>
      </c>
      <c r="D8654" s="6" t="str">
        <f>_xll.QS.CONTEXT.ADD.CURVE(C8654,"SOFR",$K$2:$K$7,$L$2:$L$7,,,"Actual360","LogLinear",TRUE)</f>
        <v>QSObject:ContextInput:w1~input.qs_context_add_curve.2359132437744.8653.3.0:34756</v>
      </c>
      <c r="E8654" s="6" t="str">
        <f>_xll.QS.INSTRUMENT.SWAP("swap.8652",H8654,B8654,"USD","SOFR",I8654,J8654,0,"Actual360","Simple","Annual","Annual","Annual")</f>
        <v>QSObject:Swap:w1~swap.8652:2159</v>
      </c>
      <c r="F8654" s="6" t="str">
        <f>_xll.QS.TRADE.CREATE("trade.8652",E8654,A8654,"Receive")</f>
        <v>QSObject:SwapTrade:w1~trade.8652:23210</v>
      </c>
      <c r="G8654" s="3">
        <f>_xll.QS.EVALUATE(C8654,F8654)</f>
        <v>27235.719588332162</v>
      </c>
      <c r="H8654" s="5" t="s">
        <v>8695</v>
      </c>
      <c r="I8654" s="7">
        <v>1865200</v>
      </c>
      <c r="J8654" s="8">
        <v>3.5200000000000002E-2</v>
      </c>
    </row>
    <row r="8655" spans="1:10" x14ac:dyDescent="0.25">
      <c r="A8655" s="5" t="s">
        <v>8689</v>
      </c>
      <c r="B8655" s="5" t="s">
        <v>10522</v>
      </c>
      <c r="C8655" s="6" t="str">
        <f>_xll.QS.CONTEXT.CREATE("market.8653",A8655,"USD","SOFR")</f>
        <v>QSObject:PricingContext:w1~market.8653:2158</v>
      </c>
      <c r="D8655" s="6" t="str">
        <f>_xll.QS.CONTEXT.ADD.CURVE(C8655,"SOFR",$K$2:$K$7,$L$2:$L$7,,,"Actual360","LogLinear",TRUE)</f>
        <v>QSObject:ContextInput:w1~input.qs_context_add_curve.2359132437744.8654.3.0:35381</v>
      </c>
      <c r="E8655" s="6" t="str">
        <f>_xll.QS.INSTRUMENT.SWAP("swap.8653",H8655,B8655,"USD","SOFR",I8655,J8655,0,"Actual360","Simple","Annual","Annual","Annual")</f>
        <v>QSObject:Swap:w1~swap.8653:2157</v>
      </c>
      <c r="F8655" s="6" t="str">
        <f>_xll.QS.TRADE.CREATE("trade.8653",E8655,A8655,"Receive")</f>
        <v>QSObject:SwapTrade:w1~trade.8653:23209</v>
      </c>
      <c r="G8655" s="3">
        <f>_xll.QS.EVALUATE(C8655,F8655)</f>
        <v>28155.126221702303</v>
      </c>
      <c r="H8655" s="5" t="s">
        <v>8696</v>
      </c>
      <c r="I8655" s="7">
        <v>1865300</v>
      </c>
      <c r="J8655" s="8">
        <v>3.5299999999999998E-2</v>
      </c>
    </row>
    <row r="8656" spans="1:10" x14ac:dyDescent="0.25">
      <c r="A8656" s="5" t="s">
        <v>8690</v>
      </c>
      <c r="B8656" s="5" t="s">
        <v>10523</v>
      </c>
      <c r="C8656" s="6" t="str">
        <f>_xll.QS.CONTEXT.CREATE("market.8654",A8656,"USD","SOFR")</f>
        <v>QSObject:PricingContext:w1~market.8654:2156</v>
      </c>
      <c r="D8656" s="6" t="str">
        <f>_xll.QS.CONTEXT.ADD.CURVE(C8656,"SOFR",$K$2:$K$7,$L$2:$L$7,,,"Actual360","LogLinear",TRUE)</f>
        <v>QSObject:ContextInput:w1~input.qs_context_add_curve.2359132437744.8655.3.0:38150</v>
      </c>
      <c r="E8656" s="6" t="str">
        <f>_xll.QS.INSTRUMENT.SWAP("swap.8654",H8656,B8656,"USD","SOFR",I8656,J8656,0,"Actual360","Simple","Annual","Annual","Annual")</f>
        <v>QSObject:Swap:w1~swap.8654:2155</v>
      </c>
      <c r="F8656" s="6" t="str">
        <f>_xll.QS.TRADE.CREATE("trade.8654",E8656,A8656,"Receive")</f>
        <v>QSObject:SwapTrade:w1~trade.8654:23208</v>
      </c>
      <c r="G8656" s="3">
        <f>_xll.QS.EVALUATE(C8656,F8656)</f>
        <v>29153.18686737035</v>
      </c>
      <c r="H8656" s="5" t="s">
        <v>8697</v>
      </c>
      <c r="I8656" s="7">
        <v>1865400</v>
      </c>
      <c r="J8656" s="8">
        <v>3.5400000000000001E-2</v>
      </c>
    </row>
    <row r="8657" spans="1:10" x14ac:dyDescent="0.25">
      <c r="A8657" s="5" t="s">
        <v>8691</v>
      </c>
      <c r="B8657" s="5" t="s">
        <v>10524</v>
      </c>
      <c r="C8657" s="6" t="str">
        <f>_xll.QS.CONTEXT.CREATE("market.8655",A8657,"USD","SOFR")</f>
        <v>QSObject:PricingContext:w1~market.8655:2154</v>
      </c>
      <c r="D8657" s="6" t="str">
        <f>_xll.QS.CONTEXT.ADD.CURVE(C8657,"SOFR",$K$2:$K$7,$L$2:$L$7,,,"Actual360","LogLinear",TRUE)</f>
        <v>QSObject:ContextInput:w1~input.qs_context_add_curve.2359132437744.8656.3.0:35380</v>
      </c>
      <c r="E8657" s="6" t="str">
        <f>_xll.QS.INSTRUMENT.SWAP("swap.8655",H8657,B8657,"USD","SOFR",I8657,J8657,0,"Actual360","Simple","Annual","Annual","Annual")</f>
        <v>QSObject:Swap:w1~swap.8655:2153</v>
      </c>
      <c r="F8657" s="6" t="str">
        <f>_xll.QS.TRADE.CREATE("trade.8655",E8657,A8657,"Receive")</f>
        <v>QSObject:SwapTrade:w1~trade.8655:23207</v>
      </c>
      <c r="G8657" s="3">
        <f>_xll.QS.EVALUATE(C8657,F8657)</f>
        <v>30096.302842078403</v>
      </c>
      <c r="H8657" s="5" t="s">
        <v>8698</v>
      </c>
      <c r="I8657" s="7">
        <v>1865500</v>
      </c>
      <c r="J8657" s="8">
        <v>3.5499999999999997E-2</v>
      </c>
    </row>
    <row r="8658" spans="1:10" x14ac:dyDescent="0.25">
      <c r="A8658" s="5" t="s">
        <v>8692</v>
      </c>
      <c r="B8658" s="5" t="s">
        <v>10525</v>
      </c>
      <c r="C8658" s="6" t="str">
        <f>_xll.QS.CONTEXT.CREATE("market.8656",A8658,"USD","SOFR")</f>
        <v>QSObject:PricingContext:w1~market.8656:2152</v>
      </c>
      <c r="D8658" s="6" t="str">
        <f>_xll.QS.CONTEXT.ADD.CURVE(C8658,"SOFR",$K$2:$K$7,$L$2:$L$7,,,"Actual360","LogLinear",TRUE)</f>
        <v>QSObject:ContextInput:w1~input.qs_context_add_curve.2359132437744.8657.3.0:35379</v>
      </c>
      <c r="E8658" s="6" t="str">
        <f>_xll.QS.INSTRUMENT.SWAP("swap.8656",H8658,B8658,"USD","SOFR",I8658,J8658,0,"Actual360","Simple","Annual","Annual","Annual")</f>
        <v>QSObject:Swap:w1~swap.8656:2151</v>
      </c>
      <c r="F8658" s="6" t="str">
        <f>_xll.QS.TRADE.CREATE("trade.8656",E8658,A8658,"Receive")</f>
        <v>QSObject:SwapTrade:w1~trade.8656:23206</v>
      </c>
      <c r="G8658" s="3">
        <f>_xll.QS.EVALUATE(C8658,F8658)</f>
        <v>30886.652845074546</v>
      </c>
      <c r="H8658" s="5" t="s">
        <v>8699</v>
      </c>
      <c r="I8658" s="7">
        <v>1865600</v>
      </c>
      <c r="J8658" s="8">
        <v>3.5600000000000007E-2</v>
      </c>
    </row>
    <row r="8659" spans="1:10" x14ac:dyDescent="0.25">
      <c r="A8659" s="5" t="s">
        <v>8693</v>
      </c>
      <c r="B8659" s="5" t="s">
        <v>10526</v>
      </c>
      <c r="C8659" s="6" t="str">
        <f>_xll.QS.CONTEXT.CREATE("market.8657",A8659,"USD","SOFR")</f>
        <v>QSObject:PricingContext:w1~market.8657:2150</v>
      </c>
      <c r="D8659" s="6" t="str">
        <f>_xll.QS.CONTEXT.ADD.CURVE(C8659,"SOFR",$K$2:$K$7,$L$2:$L$7,,,"Actual360","LogLinear",TRUE)</f>
        <v>QSObject:ContextInput:w1~input.qs_context_add_curve.2359132437744.8658.3.0:33013</v>
      </c>
      <c r="E8659" s="6" t="str">
        <f>_xll.QS.INSTRUMENT.SWAP("swap.8657",H8659,B8659,"USD","SOFR",I8659,J8659,0,"Actual360","Simple","Annual","Annual","Annual")</f>
        <v>QSObject:Swap:w1~swap.8657:2149</v>
      </c>
      <c r="F8659" s="6" t="str">
        <f>_xll.QS.TRADE.CREATE("trade.8657",E8659,A8659,"Receive")</f>
        <v>QSObject:SwapTrade:w1~trade.8657:23205</v>
      </c>
      <c r="G8659" s="3">
        <f>_xll.QS.EVALUATE(C8659,F8659)</f>
        <v>31632.622350634323</v>
      </c>
      <c r="H8659" s="5" t="s">
        <v>8700</v>
      </c>
      <c r="I8659" s="7">
        <v>1865700</v>
      </c>
      <c r="J8659" s="8">
        <v>3.5700000000000003E-2</v>
      </c>
    </row>
    <row r="8660" spans="1:10" x14ac:dyDescent="0.25">
      <c r="A8660" s="5" t="s">
        <v>8694</v>
      </c>
      <c r="B8660" s="5" t="s">
        <v>10527</v>
      </c>
      <c r="C8660" s="6" t="str">
        <f>_xll.QS.CONTEXT.CREATE("market.8658",A8660,"USD","SOFR")</f>
        <v>QSObject:PricingContext:w1~market.8658:2148</v>
      </c>
      <c r="D8660" s="6" t="str">
        <f>_xll.QS.CONTEXT.ADD.CURVE(C8660,"SOFR",$K$2:$K$7,$L$2:$L$7,,,"Actual360","LogLinear",TRUE)</f>
        <v>QSObject:ContextInput:w1~input.qs_context_add_curve.2359132437744.8659.3.0:39363</v>
      </c>
      <c r="E8660" s="6" t="str">
        <f>_xll.QS.INSTRUMENT.SWAP("swap.8658",H8660,B8660,"USD","SOFR",I8660,J8660,0,"Actual360","Simple","Annual","Annual","Annual")</f>
        <v>QSObject:Swap:w1~swap.8658:2147</v>
      </c>
      <c r="F8660" s="6" t="str">
        <f>_xll.QS.TRADE.CREATE("trade.8658",E8660,A8660,"Receive")</f>
        <v>QSObject:SwapTrade:w1~trade.8658:23204</v>
      </c>
      <c r="G8660" s="3">
        <f>_xll.QS.EVALUATE(C8660,F8660)</f>
        <v>32332.299810626762</v>
      </c>
      <c r="H8660" s="5" t="s">
        <v>8701</v>
      </c>
      <c r="I8660" s="7">
        <v>1865800</v>
      </c>
      <c r="J8660" s="8">
        <v>3.5800000000000012E-2</v>
      </c>
    </row>
    <row r="8661" spans="1:10" x14ac:dyDescent="0.25">
      <c r="A8661" s="5" t="s">
        <v>8695</v>
      </c>
      <c r="B8661" s="5" t="s">
        <v>10528</v>
      </c>
      <c r="C8661" s="6" t="str">
        <f>_xll.QS.CONTEXT.CREATE("market.8659",A8661,"USD","SOFR")</f>
        <v>QSObject:PricingContext:w1~market.8659:2146</v>
      </c>
      <c r="D8661" s="6" t="str">
        <f>_xll.QS.CONTEXT.ADD.CURVE(C8661,"SOFR",$K$2:$K$7,$L$2:$L$7,,,"Actual360","LogLinear",TRUE)</f>
        <v>QSObject:ContextInput:w1~input.qs_context_add_curve.2359132437744.8660.3.0:35951</v>
      </c>
      <c r="E8661" s="6" t="str">
        <f>_xll.QS.INSTRUMENT.SWAP("swap.8659",H8661,B8661,"USD","SOFR",I8661,J8661,0,"Actual360","Simple","Annual","Annual","Annual")</f>
        <v>QSObject:Swap:w1~swap.8659:2145</v>
      </c>
      <c r="F8661" s="6" t="str">
        <f>_xll.QS.TRADE.CREATE("trade.8659",E8661,A8661,"Receive")</f>
        <v>QSObject:SwapTrade:w1~trade.8659:23203</v>
      </c>
      <c r="G8661" s="3">
        <f>_xll.QS.EVALUATE(C8661,F8661)</f>
        <v>33271.845760306875</v>
      </c>
      <c r="H8661" s="5" t="s">
        <v>8702</v>
      </c>
      <c r="I8661" s="7">
        <v>1865900</v>
      </c>
      <c r="J8661" s="8">
        <v>3.5900000000000001E-2</v>
      </c>
    </row>
    <row r="8662" spans="1:10" x14ac:dyDescent="0.25">
      <c r="A8662" s="5" t="s">
        <v>8696</v>
      </c>
      <c r="B8662" s="5" t="s">
        <v>10529</v>
      </c>
      <c r="C8662" s="6" t="str">
        <f>_xll.QS.CONTEXT.CREATE("market.8660",A8662,"USD","SOFR")</f>
        <v>QSObject:PricingContext:w1~market.8660:2144</v>
      </c>
      <c r="D8662" s="6" t="str">
        <f>_xll.QS.CONTEXT.ADD.CURVE(C8662,"SOFR",$K$2:$K$7,$L$2:$L$7,,,"Actual360","LogLinear",TRUE)</f>
        <v>QSObject:ContextInput:w1~input.qs_context_add_curve.2359132437744.8661.3.0:38818</v>
      </c>
      <c r="E8662" s="6" t="str">
        <f>_xll.QS.INSTRUMENT.SWAP("swap.8660",H8662,B8662,"USD","SOFR",I8662,J8662,0,"Actual360","Simple","Annual","Annual","Annual")</f>
        <v>QSObject:Swap:w1~swap.8660:2143</v>
      </c>
      <c r="F8662" s="6" t="str">
        <f>_xll.QS.TRADE.CREATE("trade.8660",E8662,A8662,"Receive")</f>
        <v>QSObject:SwapTrade:w1~trade.8660:23202</v>
      </c>
      <c r="G8662" s="3">
        <f>_xll.QS.EVALUATE(C8662,F8662)</f>
        <v>34188.993093905185</v>
      </c>
      <c r="H8662" s="5" t="s">
        <v>8703</v>
      </c>
      <c r="I8662" s="7">
        <v>1866000</v>
      </c>
      <c r="J8662" s="8">
        <v>3.5999999999999997E-2</v>
      </c>
    </row>
    <row r="8663" spans="1:10" x14ac:dyDescent="0.25">
      <c r="A8663" s="5" t="s">
        <v>8697</v>
      </c>
      <c r="B8663" s="5" t="s">
        <v>10530</v>
      </c>
      <c r="C8663" s="6" t="str">
        <f>_xll.QS.CONTEXT.CREATE("market.8661",A8663,"USD","SOFR")</f>
        <v>QSObject:PricingContext:w1~market.8661:2142</v>
      </c>
      <c r="D8663" s="6" t="str">
        <f>_xll.QS.CONTEXT.ADD.CURVE(C8663,"SOFR",$K$2:$K$7,$L$2:$L$7,,,"Actual360","LogLinear",TRUE)</f>
        <v>QSObject:ContextInput:w1~input.qs_context_add_curve.2359132437744.8662.3.0:36480</v>
      </c>
      <c r="E8663" s="6" t="str">
        <f>_xll.QS.INSTRUMENT.SWAP("swap.8661",H8663,B8663,"USD","SOFR",I8663,J8663,0,"Actual360","Simple","Annual","Annual","Annual")</f>
        <v>QSObject:Swap:w1~swap.8661:2141</v>
      </c>
      <c r="F8663" s="6" t="str">
        <f>_xll.QS.TRADE.CREATE("trade.8661",E8663,A8663,"Receive")</f>
        <v>QSObject:SwapTrade:w1~trade.8661:23201</v>
      </c>
      <c r="G8663" s="3">
        <f>_xll.QS.EVALUATE(C8663,F8663)</f>
        <v>35187.845814955013</v>
      </c>
      <c r="H8663" s="5" t="s">
        <v>8704</v>
      </c>
      <c r="I8663" s="7">
        <v>1866100</v>
      </c>
      <c r="J8663" s="8">
        <v>3.61E-2</v>
      </c>
    </row>
    <row r="8664" spans="1:10" x14ac:dyDescent="0.25">
      <c r="A8664" s="5" t="s">
        <v>8698</v>
      </c>
      <c r="B8664" s="5" t="s">
        <v>10531</v>
      </c>
      <c r="C8664" s="6" t="str">
        <f>_xll.QS.CONTEXT.CREATE("market.8662",A8664,"USD","SOFR")</f>
        <v>QSObject:PricingContext:w1~market.8662:2140</v>
      </c>
      <c r="D8664" s="6" t="str">
        <f>_xll.QS.CONTEXT.ADD.CURVE(C8664,"SOFR",$K$2:$K$7,$L$2:$L$7,,,"Actual360","LogLinear",TRUE)</f>
        <v>QSObject:ContextInput:w1~input.qs_context_add_curve.2359132437744.8663.3.0:34145</v>
      </c>
      <c r="E8664" s="6" t="str">
        <f>_xll.QS.INSTRUMENT.SWAP("swap.8662",H8664,B8664,"USD","SOFR",I8664,J8664,0,"Actual360","Simple","Annual","Annual","Annual")</f>
        <v>QSObject:Swap:w1~swap.8662:2139</v>
      </c>
      <c r="F8664" s="6" t="str">
        <f>_xll.QS.TRADE.CREATE("trade.8662",E8664,A8664,"Receive")</f>
        <v>QSObject:SwapTrade:w1~trade.8662:23200</v>
      </c>
      <c r="G8664" s="3">
        <f>_xll.QS.EVALUATE(C8664,F8664)</f>
        <v>36131.707039134359</v>
      </c>
      <c r="H8664" s="5" t="s">
        <v>8705</v>
      </c>
      <c r="I8664" s="7">
        <v>1866200</v>
      </c>
      <c r="J8664" s="8">
        <v>3.6200000000000003E-2</v>
      </c>
    </row>
    <row r="8665" spans="1:10" x14ac:dyDescent="0.25">
      <c r="A8665" s="5" t="s">
        <v>8699</v>
      </c>
      <c r="B8665" s="5" t="s">
        <v>10532</v>
      </c>
      <c r="C8665" s="6" t="str">
        <f>_xll.QS.CONTEXT.CREATE("market.8663",A8665,"USD","SOFR")</f>
        <v>QSObject:PricingContext:w1~market.8663:2138</v>
      </c>
      <c r="D8665" s="6" t="str">
        <f>_xll.QS.CONTEXT.ADD.CURVE(C8665,"SOFR",$K$2:$K$7,$L$2:$L$7,,,"Actual360","LogLinear",TRUE)</f>
        <v>QSObject:ContextInput:w1~input.qs_context_add_curve.2359132437744.8664.3.0:34144</v>
      </c>
      <c r="E8665" s="6" t="str">
        <f>_xll.QS.INSTRUMENT.SWAP("swap.8663",H8665,B8665,"USD","SOFR",I8665,J8665,0,"Actual360","Simple","Annual","Annual","Annual")</f>
        <v>QSObject:Swap:w1~swap.8663:2137</v>
      </c>
      <c r="F8665" s="6" t="str">
        <f>_xll.QS.TRADE.CREATE("trade.8663",E8665,A8665,"Receive")</f>
        <v>QSObject:SwapTrade:w1~trade.8663:23199</v>
      </c>
      <c r="G8665" s="3">
        <f>_xll.QS.EVALUATE(C8665,F8665)</f>
        <v>36922.609606687314</v>
      </c>
      <c r="H8665" s="5" t="s">
        <v>8706</v>
      </c>
      <c r="I8665" s="7">
        <v>1866300</v>
      </c>
      <c r="J8665" s="8">
        <v>3.6300000000000013E-2</v>
      </c>
    </row>
    <row r="8666" spans="1:10" x14ac:dyDescent="0.25">
      <c r="A8666" s="5" t="s">
        <v>8700</v>
      </c>
      <c r="B8666" s="5" t="s">
        <v>10533</v>
      </c>
      <c r="C8666" s="6" t="str">
        <f>_xll.QS.CONTEXT.CREATE("market.8664",A8666,"USD","SOFR")</f>
        <v>QSObject:PricingContext:w1~market.8664:2136</v>
      </c>
      <c r="D8666" s="6" t="str">
        <f>_xll.QS.CONTEXT.ADD.CURVE(C8666,"SOFR",$K$2:$K$7,$L$2:$L$7,,,"Actual360","LogLinear",TRUE)</f>
        <v>QSObject:ContextInput:w1~input.qs_context_add_curve.2359132437744.8665.3.0:34755</v>
      </c>
      <c r="E8666" s="6" t="str">
        <f>_xll.QS.INSTRUMENT.SWAP("swap.8664",H8666,B8666,"USD","SOFR",I8666,J8666,0,"Actual360","Simple","Annual","Annual","Annual")</f>
        <v>QSObject:Swap:w1~swap.8664:2135</v>
      </c>
      <c r="F8666" s="6" t="str">
        <f>_xll.QS.TRADE.CREATE("trade.8664",E8666,A8666,"Receive")</f>
        <v>QSObject:SwapTrade:w1~trade.8664:23198</v>
      </c>
      <c r="G8666" s="3">
        <f>_xll.QS.EVALUATE(C8666,F8666)</f>
        <v>37662.0861647356</v>
      </c>
      <c r="H8666" s="5" t="s">
        <v>8707</v>
      </c>
      <c r="I8666" s="7">
        <v>1866400</v>
      </c>
      <c r="J8666" s="8">
        <v>3.6400000000000002E-2</v>
      </c>
    </row>
    <row r="8667" spans="1:10" x14ac:dyDescent="0.25">
      <c r="A8667" s="5" t="s">
        <v>8701</v>
      </c>
      <c r="B8667" s="5" t="s">
        <v>10534</v>
      </c>
      <c r="C8667" s="6" t="str">
        <f>_xll.QS.CONTEXT.CREATE("market.8665",A8667,"USD","SOFR")</f>
        <v>QSObject:PricingContext:w1~market.8665:2134</v>
      </c>
      <c r="D8667" s="6" t="str">
        <f>_xll.QS.CONTEXT.ADD.CURVE(C8667,"SOFR",$K$2:$K$7,$L$2:$L$7,,,"Actual360","LogLinear",TRUE)</f>
        <v>QSObject:ContextInput:w1~input.qs_context_add_curve.2359132437744.8666.3.0:34143</v>
      </c>
      <c r="E8667" s="6" t="str">
        <f>_xll.QS.INSTRUMENT.SWAP("swap.8665",H8667,B8667,"USD","SOFR",I8667,J8667,0,"Actual360","Simple","Annual","Annual","Annual")</f>
        <v>QSObject:Swap:w1~swap.8665:2133</v>
      </c>
      <c r="F8667" s="6" t="str">
        <f>_xll.QS.TRADE.CREATE("trade.8665",E8667,A8667,"Receive")</f>
        <v>QSObject:SwapTrade:w1~trade.8665:23197</v>
      </c>
      <c r="G8667" s="3">
        <f>_xll.QS.EVALUATE(C8667,F8667)</f>
        <v>38526.82713380293</v>
      </c>
      <c r="H8667" s="5" t="s">
        <v>8708</v>
      </c>
      <c r="I8667" s="7">
        <v>1866500</v>
      </c>
      <c r="J8667" s="8">
        <v>3.6499999999999998E-2</v>
      </c>
    </row>
    <row r="8668" spans="1:10" x14ac:dyDescent="0.25">
      <c r="A8668" s="5" t="s">
        <v>8702</v>
      </c>
      <c r="B8668" s="5" t="s">
        <v>10535</v>
      </c>
      <c r="C8668" s="6" t="str">
        <f>_xll.QS.CONTEXT.CREATE("market.8666",A8668,"USD","SOFR")</f>
        <v>QSObject:PricingContext:w1~market.8666:2132</v>
      </c>
      <c r="D8668" s="6" t="str">
        <f>_xll.QS.CONTEXT.ADD.CURVE(C8668,"SOFR",$K$2:$K$7,$L$2:$L$7,,,"Actual360","LogLinear",TRUE)</f>
        <v>QSObject:ContextInput:w1~input.qs_context_add_curve.2359132437744.8667.3.0:35378</v>
      </c>
      <c r="E8668" s="6" t="str">
        <f>_xll.QS.INSTRUMENT.SWAP("swap.8666",H8668,B8668,"USD","SOFR",I8668,J8668,0,"Actual360","Simple","Annual","Annual","Annual")</f>
        <v>QSObject:Swap:w1~swap.8666:2131</v>
      </c>
      <c r="F8668" s="6" t="str">
        <f>_xll.QS.TRADE.CREATE("trade.8666",E8668,A8668,"Receive")</f>
        <v>QSObject:SwapTrade:w1~trade.8666:23196</v>
      </c>
      <c r="G8668" s="3">
        <f>_xll.QS.EVALUATE(C8668,F8668)</f>
        <v>39466.621916038806</v>
      </c>
      <c r="H8668" s="5" t="s">
        <v>8709</v>
      </c>
      <c r="I8668" s="7">
        <v>1866600</v>
      </c>
      <c r="J8668" s="8">
        <v>3.6600000000000001E-2</v>
      </c>
    </row>
    <row r="8669" spans="1:10" x14ac:dyDescent="0.25">
      <c r="A8669" s="5" t="s">
        <v>8703</v>
      </c>
      <c r="B8669" s="5" t="s">
        <v>10536</v>
      </c>
      <c r="C8669" s="6" t="str">
        <f>_xll.QS.CONTEXT.CREATE("market.8667",A8669,"USD","SOFR")</f>
        <v>QSObject:PricingContext:w1~market.8667:2130</v>
      </c>
      <c r="D8669" s="6" t="str">
        <f>_xll.QS.CONTEXT.ADD.CURVE(C8669,"SOFR",$K$2:$K$7,$L$2:$L$7,,,"Actual360","LogLinear",TRUE)</f>
        <v>QSObject:ContextInput:w1~input.qs_context_add_curve.2359132437744.8668.3.0:39995</v>
      </c>
      <c r="E8669" s="6" t="str">
        <f>_xll.QS.INSTRUMENT.SWAP("swap.8667",H8669,B8669,"USD","SOFR",I8669,J8669,0,"Actual360","Simple","Annual","Annual","Annual")</f>
        <v>QSObject:Swap:w1~swap.8667:2129</v>
      </c>
      <c r="F8669" s="6" t="str">
        <f>_xll.QS.TRADE.CREATE("trade.8667",E8669,A8669,"Receive")</f>
        <v>QSObject:SwapTrade:w1~trade.8667:23195</v>
      </c>
      <c r="G8669" s="3">
        <f>_xll.QS.EVALUATE(C8669,F8669)</f>
        <v>40227.37905579152</v>
      </c>
      <c r="H8669" s="5" t="s">
        <v>8710</v>
      </c>
      <c r="I8669" s="7">
        <v>1866700</v>
      </c>
      <c r="J8669" s="8">
        <v>3.6700000000000003E-2</v>
      </c>
    </row>
    <row r="8670" spans="1:10" x14ac:dyDescent="0.25">
      <c r="A8670" s="5" t="s">
        <v>8704</v>
      </c>
      <c r="B8670" s="5" t="s">
        <v>10537</v>
      </c>
      <c r="C8670" s="6" t="str">
        <f>_xll.QS.CONTEXT.CREATE("market.8668",A8670,"USD","SOFR")</f>
        <v>QSObject:PricingContext:w1~market.8668:2128</v>
      </c>
      <c r="D8670" s="6" t="str">
        <f>_xll.QS.CONTEXT.ADD.CURVE(C8670,"SOFR",$K$2:$K$7,$L$2:$L$7,,,"Actual360","LogLinear",TRUE)</f>
        <v>QSObject:ContextInput:w1~input.qs_context_add_curve.2359132437744.8669.3.0:33012</v>
      </c>
      <c r="E8670" s="6" t="str">
        <f>_xll.QS.INSTRUMENT.SWAP("swap.8668",H8670,B8670,"USD","SOFR",I8670,J8670,0,"Actual360","Simple","Annual","Annual","Annual")</f>
        <v>QSObject:Swap:w1~swap.8668:2127</v>
      </c>
      <c r="F8670" s="6" t="str">
        <f>_xll.QS.TRADE.CREATE("trade.8668",E8670,A8670,"Receive")</f>
        <v>QSObject:SwapTrade:w1~trade.8668:23194</v>
      </c>
      <c r="G8670" s="3">
        <f>_xll.QS.EVALUATE(C8670,F8670)</f>
        <v>41227.02392373723</v>
      </c>
      <c r="H8670" s="5" t="s">
        <v>8711</v>
      </c>
      <c r="I8670" s="7">
        <v>1866800</v>
      </c>
      <c r="J8670" s="8">
        <v>3.6800000000000013E-2</v>
      </c>
    </row>
    <row r="8671" spans="1:10" x14ac:dyDescent="0.25">
      <c r="A8671" s="5" t="s">
        <v>8705</v>
      </c>
      <c r="B8671" s="5" t="s">
        <v>10538</v>
      </c>
      <c r="C8671" s="6" t="str">
        <f>_xll.QS.CONTEXT.CREATE("market.8669",A8671,"USD","SOFR")</f>
        <v>QSObject:PricingContext:w1~market.8669:2126</v>
      </c>
      <c r="D8671" s="6" t="str">
        <f>_xll.QS.CONTEXT.ADD.CURVE(C8671,"SOFR",$K$2:$K$7,$L$2:$L$7,,,"Actual360","LogLinear",TRUE)</f>
        <v>QSObject:ContextInput:w1~input.qs_context_add_curve.2359132437744.8670.3.0:35377</v>
      </c>
      <c r="E8671" s="6" t="str">
        <f>_xll.QS.INSTRUMENT.SWAP("swap.8669",H8671,B8671,"USD","SOFR",I8671,J8671,0,"Actual360","Simple","Annual","Annual","Annual")</f>
        <v>QSObject:Swap:w1~swap.8669:2125</v>
      </c>
      <c r="F8671" s="6" t="str">
        <f>_xll.QS.TRADE.CREATE("trade.8669",E8671,A8671,"Receive")</f>
        <v>QSObject:SwapTrade:w1~trade.8669:23193</v>
      </c>
      <c r="G8671" s="3">
        <f>_xll.QS.EVALUATE(C8671,F8671)</f>
        <v>42095.758712238225</v>
      </c>
      <c r="H8671" s="5" t="s">
        <v>8712</v>
      </c>
      <c r="I8671" s="7">
        <v>1866900</v>
      </c>
      <c r="J8671" s="8">
        <v>3.6900000000000002E-2</v>
      </c>
    </row>
    <row r="8672" spans="1:10" x14ac:dyDescent="0.25">
      <c r="A8672" s="5" t="s">
        <v>8706</v>
      </c>
      <c r="B8672" s="5" t="s">
        <v>10539</v>
      </c>
      <c r="C8672" s="6" t="str">
        <f>_xll.QS.CONTEXT.CREATE("market.8670",A8672,"USD","SOFR")</f>
        <v>QSObject:PricingContext:w1~market.8670:2124</v>
      </c>
      <c r="D8672" s="6" t="str">
        <f>_xll.QS.CONTEXT.ADD.CURVE(C8672,"SOFR",$K$2:$K$7,$L$2:$L$7,,,"Actual360","LogLinear",TRUE)</f>
        <v>QSObject:ContextInput:w1~input.qs_context_add_curve.2359132437744.8671.3.0:34142</v>
      </c>
      <c r="E8672" s="6" t="str">
        <f>_xll.QS.INSTRUMENT.SWAP("swap.8670",H8672,B8672,"USD","SOFR",I8672,J8672,0,"Actual360","Simple","Annual","Annual","Annual")</f>
        <v>QSObject:Swap:w1~swap.8670:2123</v>
      </c>
      <c r="F8672" s="6" t="str">
        <f>_xll.QS.TRADE.CREATE("trade.8670",E8672,A8672,"Receive")</f>
        <v>QSObject:SwapTrade:w1~trade.8670:23192</v>
      </c>
      <c r="G8672" s="3">
        <f>_xll.QS.EVALUATE(C8672,F8672)</f>
        <v>42963.085531726058</v>
      </c>
      <c r="H8672" s="5" t="s">
        <v>8713</v>
      </c>
      <c r="I8672" s="7">
        <v>1867000</v>
      </c>
      <c r="J8672" s="8">
        <v>3.7000000000000012E-2</v>
      </c>
    </row>
    <row r="8673" spans="1:10" x14ac:dyDescent="0.25">
      <c r="A8673" s="5" t="s">
        <v>8707</v>
      </c>
      <c r="B8673" s="5" t="s">
        <v>10540</v>
      </c>
      <c r="C8673" s="6" t="str">
        <f>_xll.QS.CONTEXT.CREATE("market.8671",A8673,"USD","SOFR")</f>
        <v>QSObject:PricingContext:w1~market.8671:2122</v>
      </c>
      <c r="D8673" s="6" t="str">
        <f>_xll.QS.CONTEXT.ADD.CURVE(C8673,"SOFR",$K$2:$K$7,$L$2:$L$7,,,"Actual360","LogLinear",TRUE)</f>
        <v>QSObject:ContextInput:w1~input.qs_context_add_curve.2359132437744.8672.3.0:33011</v>
      </c>
      <c r="E8673" s="6" t="str">
        <f>_xll.QS.INSTRUMENT.SWAP("swap.8671",H8673,B8673,"USD","SOFR",I8673,J8673,0,"Actual360","Simple","Annual","Annual","Annual")</f>
        <v>QSObject:Swap:w1~swap.8671:2121</v>
      </c>
      <c r="F8673" s="6" t="str">
        <f>_xll.QS.TRADE.CREATE("trade.8671",E8673,A8673,"Receive")</f>
        <v>QSObject:SwapTrade:w1~trade.8671:23191</v>
      </c>
      <c r="G8673" s="3">
        <f>_xll.QS.EVALUATE(C8673,F8673)</f>
        <v>43696.063820247218</v>
      </c>
      <c r="H8673" s="5" t="s">
        <v>8714</v>
      </c>
      <c r="I8673" s="7">
        <v>1867100</v>
      </c>
      <c r="J8673" s="8">
        <v>3.7100000000000001E-2</v>
      </c>
    </row>
    <row r="8674" spans="1:10" x14ac:dyDescent="0.25">
      <c r="A8674" s="5" t="s">
        <v>8708</v>
      </c>
      <c r="B8674" s="5" t="s">
        <v>10541</v>
      </c>
      <c r="C8674" s="6" t="str">
        <f>_xll.QS.CONTEXT.CREATE("market.8672",A8674,"USD","SOFR")</f>
        <v>QSObject:PricingContext:w1~market.8672:2120</v>
      </c>
      <c r="D8674" s="6" t="str">
        <f>_xll.QS.CONTEXT.ADD.CURVE(C8674,"SOFR",$K$2:$K$7,$L$2:$L$7,,,"Actual360","LogLinear",TRUE)</f>
        <v>QSObject:ContextInput:w1~input.qs_context_add_curve.2359132437744.8673.3.0:37018</v>
      </c>
      <c r="E8674" s="6" t="str">
        <f>_xll.QS.INSTRUMENT.SWAP("swap.8672",H8674,B8674,"USD","SOFR",I8674,J8674,0,"Actual360","Simple","Annual","Annual","Annual")</f>
        <v>QSObject:Swap:w1~swap.8672:2119</v>
      </c>
      <c r="F8674" s="6" t="str">
        <f>_xll.QS.TRADE.CREATE("trade.8672",E8674,A8674,"Receive")</f>
        <v>QSObject:SwapTrade:w1~trade.8672:23190</v>
      </c>
      <c r="G8674" s="3">
        <f>_xll.QS.EVALUATE(C8674,F8674)</f>
        <v>44366.782461137816</v>
      </c>
      <c r="H8674" s="5" t="s">
        <v>8715</v>
      </c>
      <c r="I8674" s="7">
        <v>1867200</v>
      </c>
      <c r="J8674" s="8">
        <v>3.7199999999999997E-2</v>
      </c>
    </row>
    <row r="8675" spans="1:10" x14ac:dyDescent="0.25">
      <c r="A8675" s="5" t="s">
        <v>8709</v>
      </c>
      <c r="B8675" s="5" t="s">
        <v>10542</v>
      </c>
      <c r="C8675" s="6" t="str">
        <f>_xll.QS.CONTEXT.CREATE("market.8673",A8675,"USD","SOFR")</f>
        <v>QSObject:PricingContext:w1~market.8673:2118</v>
      </c>
      <c r="D8675" s="6" t="str">
        <f>_xll.QS.CONTEXT.ADD.CURVE(C8675,"SOFR",$K$2:$K$7,$L$2:$L$7,,,"Actual360","LogLinear",TRUE)</f>
        <v>QSObject:ContextInput:w1~input.qs_context_add_curve.2359132437744.8674.3.0:35376</v>
      </c>
      <c r="E8675" s="6" t="str">
        <f>_xll.QS.INSTRUMENT.SWAP("swap.8673",H8675,B8675,"USD","SOFR",I8675,J8675,0,"Actual360","Simple","Annual","Annual","Annual")</f>
        <v>QSObject:Swap:w1~swap.8673:2117</v>
      </c>
      <c r="F8675" s="6" t="str">
        <f>_xll.QS.TRADE.CREATE("trade.8673",E8675,A8675,"Receive")</f>
        <v>QSObject:SwapTrade:w1~trade.8673:23189</v>
      </c>
      <c r="G8675" s="3">
        <f>_xll.QS.EVALUATE(C8675,F8675)</f>
        <v>45309.208543395034</v>
      </c>
      <c r="H8675" s="5" t="s">
        <v>8716</v>
      </c>
      <c r="I8675" s="7">
        <v>1867300</v>
      </c>
      <c r="J8675" s="8">
        <v>3.73E-2</v>
      </c>
    </row>
    <row r="8676" spans="1:10" x14ac:dyDescent="0.25">
      <c r="A8676" s="5" t="s">
        <v>8710</v>
      </c>
      <c r="B8676" s="5" t="s">
        <v>10543</v>
      </c>
      <c r="C8676" s="6" t="str">
        <f>_xll.QS.CONTEXT.CREATE("market.8674",A8676,"USD","SOFR")</f>
        <v>QSObject:PricingContext:w1~market.8674:2116</v>
      </c>
      <c r="D8676" s="6" t="str">
        <f>_xll.QS.CONTEXT.ADD.CURVE(C8676,"SOFR",$K$2:$K$7,$L$2:$L$7,,,"Actual360","LogLinear",TRUE)</f>
        <v>QSObject:ContextInput:w1~input.qs_context_add_curve.2359132437744.8675.3.0:31749</v>
      </c>
      <c r="E8676" s="6" t="str">
        <f>_xll.QS.INSTRUMENT.SWAP("swap.8674",H8676,B8676,"USD","SOFR",I8676,J8676,0,"Actual360","Simple","Annual","Annual","Annual")</f>
        <v>QSObject:Swap:w1~swap.8674:2115</v>
      </c>
      <c r="F8676" s="6" t="str">
        <f>_xll.QS.TRADE.CREATE("trade.8674",E8676,A8676,"Receive")</f>
        <v>QSObject:SwapTrade:w1~trade.8674:23188</v>
      </c>
      <c r="G8676" s="3">
        <f>_xll.QS.EVALUATE(C8676,F8676)</f>
        <v>46222.128703839116</v>
      </c>
      <c r="H8676" s="5" t="s">
        <v>8717</v>
      </c>
      <c r="I8676" s="7">
        <v>1867400</v>
      </c>
      <c r="J8676" s="8">
        <v>3.7400000000000003E-2</v>
      </c>
    </row>
    <row r="8677" spans="1:10" x14ac:dyDescent="0.25">
      <c r="A8677" s="5" t="s">
        <v>8711</v>
      </c>
      <c r="B8677" s="5" t="s">
        <v>10544</v>
      </c>
      <c r="C8677" s="6" t="str">
        <f>_xll.QS.CONTEXT.CREATE("market.8675",A8677,"USD","SOFR")</f>
        <v>QSObject:PricingContext:w1~market.8675:2114</v>
      </c>
      <c r="D8677" s="6" t="str">
        <f>_xll.QS.CONTEXT.ADD.CURVE(C8677,"SOFR",$K$2:$K$7,$L$2:$L$7,,,"Actual360","LogLinear",TRUE)</f>
        <v>QSObject:ContextInput:w1~input.qs_context_add_curve.2359132437744.8676.3.0:34141</v>
      </c>
      <c r="E8677" s="6" t="str">
        <f>_xll.QS.INSTRUMENT.SWAP("swap.8675",H8677,B8677,"USD","SOFR",I8677,J8677,0,"Actual360","Simple","Annual","Annual","Annual")</f>
        <v>QSObject:Swap:w1~swap.8675:2113</v>
      </c>
      <c r="F8677" s="6" t="str">
        <f>_xll.QS.TRADE.CREATE("trade.8675",E8677,A8677,"Receive")</f>
        <v>QSObject:SwapTrade:w1~trade.8675:23187</v>
      </c>
      <c r="G8677" s="3">
        <f>_xll.QS.EVALUATE(C8677,F8677)</f>
        <v>47339.396255171087</v>
      </c>
      <c r="H8677" s="5" t="s">
        <v>8718</v>
      </c>
      <c r="I8677" s="7">
        <v>1867500</v>
      </c>
      <c r="J8677" s="8">
        <v>3.7500000000000012E-2</v>
      </c>
    </row>
    <row r="8678" spans="1:10" x14ac:dyDescent="0.25">
      <c r="A8678" s="5" t="s">
        <v>8712</v>
      </c>
      <c r="B8678" s="5" t="s">
        <v>10545</v>
      </c>
      <c r="C8678" s="6" t="str">
        <f>_xll.QS.CONTEXT.CREATE("market.8676",A8678,"USD","SOFR")</f>
        <v>QSObject:PricingContext:w1~market.8676:2112</v>
      </c>
      <c r="D8678" s="6" t="str">
        <f>_xll.QS.CONTEXT.ADD.CURVE(C8678,"SOFR",$K$2:$K$7,$L$2:$L$7,,,"Actual360","LogLinear",TRUE)</f>
        <v>QSObject:ContextInput:w1~input.qs_context_add_curve.2359132437744.8677.3.0:35375</v>
      </c>
      <c r="E8678" s="6" t="str">
        <f>_xll.QS.INSTRUMENT.SWAP("swap.8676",H8678,B8678,"USD","SOFR",I8678,J8678,0,"Actual360","Simple","Annual","Annual","Annual")</f>
        <v>QSObject:Swap:w1~swap.8676:2111</v>
      </c>
      <c r="F8678" s="6" t="str">
        <f>_xll.QS.TRADE.CREATE("trade.8676",E8678,A8678,"Receive")</f>
        <v>QSObject:SwapTrade:w1~trade.8676:23186</v>
      </c>
      <c r="G8678" s="3">
        <f>_xll.QS.EVALUATE(C8678,F8678)</f>
        <v>48218.23383843348</v>
      </c>
      <c r="H8678" s="5" t="s">
        <v>8719</v>
      </c>
      <c r="I8678" s="7">
        <v>1867600</v>
      </c>
      <c r="J8678" s="8">
        <v>3.7600000000000001E-2</v>
      </c>
    </row>
    <row r="8679" spans="1:10" x14ac:dyDescent="0.25">
      <c r="A8679" s="5" t="s">
        <v>8713</v>
      </c>
      <c r="B8679" s="5" t="s">
        <v>10546</v>
      </c>
      <c r="C8679" s="6" t="str">
        <f>_xll.QS.CONTEXT.CREATE("market.8677",A8679,"USD","SOFR")</f>
        <v>QSObject:PricingContext:w1~market.8677:2110</v>
      </c>
      <c r="D8679" s="6" t="str">
        <f>_xll.QS.CONTEXT.ADD.CURVE(C8679,"SOFR",$K$2:$K$7,$L$2:$L$7,,,"Actual360","LogLinear",TRUE)</f>
        <v>QSObject:ContextInput:w1~input.qs_context_add_curve.2359132437744.8678.3.0:34754</v>
      </c>
      <c r="E8679" s="6" t="str">
        <f>_xll.QS.INSTRUMENT.SWAP("swap.8677",H8679,B8679,"USD","SOFR",I8679,J8679,0,"Actual360","Simple","Annual","Annual","Annual")</f>
        <v>QSObject:Swap:w1~swap.8677:2109</v>
      </c>
      <c r="F8679" s="6" t="str">
        <f>_xll.QS.TRADE.CREATE("trade.8677",E8679,A8679,"Receive")</f>
        <v>QSObject:SwapTrade:w1~trade.8677:23185</v>
      </c>
      <c r="G8679" s="3">
        <f>_xll.QS.EVALUATE(C8679,F8679)</f>
        <v>49078.766592125881</v>
      </c>
      <c r="H8679" s="5" t="s">
        <v>8720</v>
      </c>
      <c r="I8679" s="7">
        <v>1867700</v>
      </c>
      <c r="J8679" s="8">
        <v>3.7699999999999997E-2</v>
      </c>
    </row>
    <row r="8680" spans="1:10" x14ac:dyDescent="0.25">
      <c r="A8680" s="5" t="s">
        <v>8714</v>
      </c>
      <c r="B8680" s="5" t="s">
        <v>10547</v>
      </c>
      <c r="C8680" s="6" t="str">
        <f>_xll.QS.CONTEXT.CREATE("market.8678",A8680,"USD","SOFR")</f>
        <v>QSObject:PricingContext:w1~market.8678:2108</v>
      </c>
      <c r="D8680" s="6" t="str">
        <f>_xll.QS.CONTEXT.ADD.CURVE(C8680,"SOFR",$K$2:$K$7,$L$2:$L$7,,,"Actual360","LogLinear",TRUE)</f>
        <v>QSObject:ContextInput:w1~input.qs_context_add_curve.2359132437744.8679.3.0:38817</v>
      </c>
      <c r="E8680" s="6" t="str">
        <f>_xll.QS.INSTRUMENT.SWAP("swap.8678",H8680,B8680,"USD","SOFR",I8680,J8680,0,"Actual360","Simple","Annual","Annual","Annual")</f>
        <v>QSObject:Swap:w1~swap.8678:2107</v>
      </c>
      <c r="F8680" s="6" t="str">
        <f>_xll.QS.TRADE.CREATE("trade.8678",E8680,A8680,"Receive")</f>
        <v>QSObject:SwapTrade:w1~trade.8678:23184</v>
      </c>
      <c r="G8680" s="3">
        <f>_xll.QS.EVALUATE(C8680,F8680)</f>
        <v>49773.532100897879</v>
      </c>
      <c r="H8680" s="5" t="s">
        <v>8721</v>
      </c>
      <c r="I8680" s="7">
        <v>1867800</v>
      </c>
      <c r="J8680" s="8">
        <v>3.78E-2</v>
      </c>
    </row>
    <row r="8681" spans="1:10" x14ac:dyDescent="0.25">
      <c r="A8681" s="5" t="s">
        <v>8715</v>
      </c>
      <c r="B8681" s="5" t="s">
        <v>10548</v>
      </c>
      <c r="C8681" s="6" t="str">
        <f>_xll.QS.CONTEXT.CREATE("market.8679",A8681,"USD","SOFR")</f>
        <v>QSObject:PricingContext:w1~market.8679:2106</v>
      </c>
      <c r="D8681" s="6" t="str">
        <f>_xll.QS.CONTEXT.ADD.CURVE(C8681,"SOFR",$K$2:$K$7,$L$2:$L$7,,,"Actual360","LogLinear",TRUE)</f>
        <v>QSObject:ContextInput:w1~input.qs_context_add_curve.2359132437744.8680.3.0:33532</v>
      </c>
      <c r="E8681" s="6" t="str">
        <f>_xll.QS.INSTRUMENT.SWAP("swap.8679",H8681,B8681,"USD","SOFR",I8681,J8681,0,"Actual360","Simple","Annual","Annual","Annual")</f>
        <v>QSObject:Swap:w1~swap.8679:2105</v>
      </c>
      <c r="F8681" s="6" t="str">
        <f>_xll.QS.TRADE.CREATE("trade.8679",E8681,A8681,"Receive")</f>
        <v>QSObject:SwapTrade:w1~trade.8679:23183</v>
      </c>
      <c r="G8681" s="3">
        <f>_xll.QS.EVALUATE(C8681,F8681)</f>
        <v>50502.506065141439</v>
      </c>
      <c r="H8681" s="5" t="s">
        <v>8722</v>
      </c>
      <c r="I8681" s="7">
        <v>1867900</v>
      </c>
      <c r="J8681" s="8">
        <v>3.7900000000000003E-2</v>
      </c>
    </row>
    <row r="8682" spans="1:10" x14ac:dyDescent="0.25">
      <c r="A8682" s="5" t="s">
        <v>8716</v>
      </c>
      <c r="B8682" s="5" t="s">
        <v>10549</v>
      </c>
      <c r="C8682" s="6" t="str">
        <f>_xll.QS.CONTEXT.CREATE("market.8680",A8682,"USD","SOFR")</f>
        <v>QSObject:PricingContext:w1~market.8680:2104</v>
      </c>
      <c r="D8682" s="6" t="str">
        <f>_xll.QS.CONTEXT.ADD.CURVE(C8682,"SOFR",$K$2:$K$7,$L$2:$L$7,,,"Actual360","LogLinear",TRUE)</f>
        <v>QSObject:ContextInput:w1~input.qs_context_add_curve.2359132437744.8681.3.0:34753</v>
      </c>
      <c r="E8682" s="6" t="str">
        <f>_xll.QS.INSTRUMENT.SWAP("swap.8680",H8682,B8682,"USD","SOFR",I8682,J8682,0,"Actual360","Simple","Annual","Annual","Annual")</f>
        <v>QSObject:Swap:w1~swap.8680:2103</v>
      </c>
      <c r="F8682" s="6" t="str">
        <f>_xll.QS.TRADE.CREATE("trade.8680",E8682,A8682,"Receive")</f>
        <v>QSObject:SwapTrade:w1~trade.8680:23182</v>
      </c>
      <c r="G8682" s="3">
        <f>_xll.QS.EVALUATE(C8682,F8682)</f>
        <v>51375.012526568185</v>
      </c>
      <c r="H8682" s="5" t="s">
        <v>8723</v>
      </c>
      <c r="I8682" s="7">
        <v>1868000</v>
      </c>
      <c r="J8682" s="8">
        <v>3.8000000000000013E-2</v>
      </c>
    </row>
    <row r="8683" spans="1:10" x14ac:dyDescent="0.25">
      <c r="A8683" s="5" t="s">
        <v>8717</v>
      </c>
      <c r="B8683" s="5" t="s">
        <v>10550</v>
      </c>
      <c r="C8683" s="6" t="str">
        <f>_xll.QS.CONTEXT.CREATE("market.8681",A8683,"USD","SOFR")</f>
        <v>QSObject:PricingContext:w1~market.8681:2102</v>
      </c>
      <c r="D8683" s="6" t="str">
        <f>_xll.QS.CONTEXT.ADD.CURVE(C8683,"SOFR",$K$2:$K$7,$L$2:$L$7,,,"Actual360","LogLinear",TRUE)</f>
        <v>QSObject:ContextInput:w1~input.qs_context_add_curve.2359132437744.8682.3.0:35950</v>
      </c>
      <c r="E8683" s="6" t="str">
        <f>_xll.QS.INSTRUMENT.SWAP("swap.8681",H8683,B8683,"USD","SOFR",I8683,J8683,0,"Actual360","Simple","Annual","Annual","Annual")</f>
        <v>QSObject:Swap:w1~swap.8681:2101</v>
      </c>
      <c r="F8683" s="6" t="str">
        <f>_xll.QS.TRADE.CREATE("trade.8681",E8683,A8683,"Receive")</f>
        <v>QSObject:SwapTrade:w1~trade.8681:23181</v>
      </c>
      <c r="G8683" s="3">
        <f>_xll.QS.EVALUATE(C8683,F8683)</f>
        <v>52318.471001557773</v>
      </c>
      <c r="H8683" s="5" t="s">
        <v>8724</v>
      </c>
      <c r="I8683" s="7">
        <v>1868100</v>
      </c>
      <c r="J8683" s="8">
        <v>3.8100000000000002E-2</v>
      </c>
    </row>
    <row r="8684" spans="1:10" x14ac:dyDescent="0.25">
      <c r="A8684" s="5" t="s">
        <v>8718</v>
      </c>
      <c r="B8684" s="5" t="s">
        <v>10551</v>
      </c>
      <c r="C8684" s="6" t="str">
        <f>_xll.QS.CONTEXT.CREATE("market.8682",A8684,"USD","SOFR")</f>
        <v>QSObject:PricingContext:w1~market.8682:2100</v>
      </c>
      <c r="D8684" s="6" t="str">
        <f>_xll.QS.CONTEXT.ADD.CURVE(C8684,"SOFR",$K$2:$K$7,$L$2:$L$7,,,"Actual360","LogLinear",TRUE)</f>
        <v>QSObject:ContextInput:w1~input.qs_context_add_curve.2359132437744.8683.3.0:37567</v>
      </c>
      <c r="E8684" s="6" t="str">
        <f>_xll.QS.INSTRUMENT.SWAP("swap.8682",H8684,B8684,"USD","SOFR",I8684,J8684,0,"Actual360","Simple","Annual","Annual","Annual")</f>
        <v>QSObject:Swap:w1~swap.8682:2099</v>
      </c>
      <c r="F8684" s="6" t="str">
        <f>_xll.QS.TRADE.CREATE("trade.8682",E8684,A8684,"Receive")</f>
        <v>QSObject:SwapTrade:w1~trade.8682:23180</v>
      </c>
      <c r="G8684" s="3">
        <f>_xll.QS.EVALUATE(C8684,F8684)</f>
        <v>53319.200339327137</v>
      </c>
      <c r="H8684" s="5" t="s">
        <v>8725</v>
      </c>
      <c r="I8684" s="7">
        <v>1868200</v>
      </c>
      <c r="J8684" s="8">
        <v>3.8199999999999998E-2</v>
      </c>
    </row>
    <row r="8685" spans="1:10" x14ac:dyDescent="0.25">
      <c r="A8685" s="5" t="s">
        <v>8719</v>
      </c>
      <c r="B8685" s="5" t="s">
        <v>10552</v>
      </c>
      <c r="C8685" s="6" t="str">
        <f>_xll.QS.CONTEXT.CREATE("market.8683",A8685,"USD","SOFR")</f>
        <v>QSObject:PricingContext:w1~market.8683:2098</v>
      </c>
      <c r="D8685" s="6" t="str">
        <f>_xll.QS.CONTEXT.ADD.CURVE(C8685,"SOFR",$K$2:$K$7,$L$2:$L$7,,,"Actual360","LogLinear",TRUE)</f>
        <v>QSObject:ContextInput:w1~input.qs_context_add_curve.2359132437744.8684.3.0:36479</v>
      </c>
      <c r="E8685" s="6" t="str">
        <f>_xll.QS.INSTRUMENT.SWAP("swap.8683",H8685,B8685,"USD","SOFR",I8685,J8685,0,"Actual360","Simple","Annual","Annual","Annual")</f>
        <v>QSObject:Swap:w1~swap.8683:2097</v>
      </c>
      <c r="F8685" s="6" t="str">
        <f>_xll.QS.TRADE.CREATE("trade.8683",E8685,A8685,"Receive")</f>
        <v>QSObject:SwapTrade:w1~trade.8683:23179</v>
      </c>
      <c r="G8685" s="3">
        <f>_xll.QS.EVALUATE(C8685,F8685)</f>
        <v>54267.454322500758</v>
      </c>
      <c r="H8685" s="5" t="s">
        <v>8726</v>
      </c>
      <c r="I8685" s="7">
        <v>1868300</v>
      </c>
      <c r="J8685" s="8">
        <v>3.8300000000000001E-2</v>
      </c>
    </row>
    <row r="8686" spans="1:10" x14ac:dyDescent="0.25">
      <c r="A8686" s="5" t="s">
        <v>8720</v>
      </c>
      <c r="B8686" s="5" t="s">
        <v>10553</v>
      </c>
      <c r="C8686" s="6" t="str">
        <f>_xll.QS.CONTEXT.CREATE("market.8684",A8686,"USD","SOFR")</f>
        <v>QSObject:PricingContext:w1~market.8684:2096</v>
      </c>
      <c r="D8686" s="6" t="str">
        <f>_xll.QS.CONTEXT.ADD.CURVE(C8686,"SOFR",$K$2:$K$7,$L$2:$L$7,,,"Actual360","LogLinear",TRUE)</f>
        <v>QSObject:ContextInput:w1~input.qs_context_add_curve.2359132437744.8685.3.0:35374</v>
      </c>
      <c r="E8686" s="6" t="str">
        <f>_xll.QS.INSTRUMENT.SWAP("swap.8684",H8686,B8686,"USD","SOFR",I8686,J8686,0,"Actual360","Simple","Annual","Annual","Annual")</f>
        <v>QSObject:Swap:w1~swap.8684:2095</v>
      </c>
      <c r="F8686" s="6" t="str">
        <f>_xll.QS.TRADE.CREATE("trade.8684",E8686,A8686,"Receive")</f>
        <v>QSObject:SwapTrade:w1~trade.8684:23178</v>
      </c>
      <c r="G8686" s="3">
        <f>_xll.QS.EVALUATE(C8686,F8686)</f>
        <v>55132.938146554829</v>
      </c>
      <c r="H8686" s="5" t="s">
        <v>8727</v>
      </c>
      <c r="I8686" s="7">
        <v>1868400</v>
      </c>
      <c r="J8686" s="8">
        <v>3.8399999999999997E-2</v>
      </c>
    </row>
    <row r="8687" spans="1:10" x14ac:dyDescent="0.25">
      <c r="A8687" s="5" t="s">
        <v>8721</v>
      </c>
      <c r="B8687" s="5" t="s">
        <v>10554</v>
      </c>
      <c r="C8687" s="6" t="str">
        <f>_xll.QS.CONTEXT.CREATE("market.8685",A8687,"USD","SOFR")</f>
        <v>QSObject:PricingContext:w1~market.8685:2094</v>
      </c>
      <c r="D8687" s="6" t="str">
        <f>_xll.QS.CONTEXT.ADD.CURVE(C8687,"SOFR",$K$2:$K$7,$L$2:$L$7,,,"Actual360","LogLinear",TRUE)</f>
        <v>QSObject:ContextInput:w1~input.qs_context_add_curve.2359132437744.8686.3.0:34140</v>
      </c>
      <c r="E8687" s="6" t="str">
        <f>_xll.QS.INSTRUMENT.SWAP("swap.8685",H8687,B8687,"USD","SOFR",I8687,J8687,0,"Actual360","Simple","Annual","Annual","Annual")</f>
        <v>QSObject:Swap:w1~swap.8685:2093</v>
      </c>
      <c r="F8687" s="6" t="str">
        <f>_xll.QS.TRADE.CREATE("trade.8685",E8687,A8687,"Receive")</f>
        <v>QSObject:SwapTrade:w1~trade.8685:23177</v>
      </c>
      <c r="G8687" s="3">
        <f>_xll.QS.EVALUATE(C8687,F8687)</f>
        <v>55852.89050213524</v>
      </c>
      <c r="H8687" s="5" t="s">
        <v>8728</v>
      </c>
      <c r="I8687" s="7">
        <v>1868500</v>
      </c>
      <c r="J8687" s="8">
        <v>3.8500000000000013E-2</v>
      </c>
    </row>
    <row r="8688" spans="1:10" x14ac:dyDescent="0.25">
      <c r="A8688" s="5" t="s">
        <v>8722</v>
      </c>
      <c r="B8688" s="5" t="s">
        <v>10555</v>
      </c>
      <c r="C8688" s="6" t="str">
        <f>_xll.QS.CONTEXT.CREATE("market.8686",A8688,"USD","SOFR")</f>
        <v>QSObject:PricingContext:w1~market.8686:2092</v>
      </c>
      <c r="D8688" s="6" t="str">
        <f>_xll.QS.CONTEXT.ADD.CURVE(C8688,"SOFR",$K$2:$K$7,$L$2:$L$7,,,"Actual360","LogLinear",TRUE)</f>
        <v>QSObject:ContextInput:w1~input.qs_context_add_curve.2359132437744.8687.3.0:39362</v>
      </c>
      <c r="E8688" s="6" t="str">
        <f>_xll.QS.INSTRUMENT.SWAP("swap.8686",H8688,B8688,"USD","SOFR",I8688,J8688,0,"Actual360","Simple","Annual","Annual","Annual")</f>
        <v>QSObject:Swap:w1~swap.8686:2091</v>
      </c>
      <c r="F8688" s="6" t="str">
        <f>_xll.QS.TRADE.CREATE("trade.8686",E8688,A8688,"Receive")</f>
        <v>QSObject:SwapTrade:w1~trade.8686:23176</v>
      </c>
      <c r="G8688" s="3">
        <f>_xll.QS.EVALUATE(C8688,F8688)</f>
        <v>56592.072661439575</v>
      </c>
      <c r="H8688" s="5" t="s">
        <v>8729</v>
      </c>
      <c r="I8688" s="7">
        <v>1868600</v>
      </c>
      <c r="J8688" s="8">
        <v>3.8600000000000002E-2</v>
      </c>
    </row>
    <row r="8689" spans="1:10" x14ac:dyDescent="0.25">
      <c r="A8689" s="5" t="s">
        <v>8723</v>
      </c>
      <c r="B8689" s="5" t="s">
        <v>10556</v>
      </c>
      <c r="C8689" s="6" t="str">
        <f>_xll.QS.CONTEXT.CREATE("market.8687",A8689,"USD","SOFR")</f>
        <v>QSObject:PricingContext:w1~market.8687:2090</v>
      </c>
      <c r="D8689" s="6" t="str">
        <f>_xll.QS.CONTEXT.ADD.CURVE(C8689,"SOFR",$K$2:$K$7,$L$2:$L$7,,,"Actual360","LogLinear",TRUE)</f>
        <v>QSObject:ContextInput:w1~input.qs_context_add_curve.2359132437744.8688.3.0:35373</v>
      </c>
      <c r="E8689" s="6" t="str">
        <f>_xll.QS.INSTRUMENT.SWAP("swap.8687",H8689,B8689,"USD","SOFR",I8689,J8689,0,"Actual360","Simple","Annual","Annual","Annual")</f>
        <v>QSObject:Swap:w1~swap.8687:2089</v>
      </c>
      <c r="F8689" s="6" t="str">
        <f>_xll.QS.TRADE.CREATE("trade.8687",E8689,A8689,"Receive")</f>
        <v>QSObject:SwapTrade:w1~trade.8687:23175</v>
      </c>
      <c r="G8689" s="3">
        <f>_xll.QS.EVALUATE(C8689,F8689)</f>
        <v>57461.56330336642</v>
      </c>
      <c r="H8689" s="5" t="s">
        <v>8730</v>
      </c>
      <c r="I8689" s="7">
        <v>1868700</v>
      </c>
      <c r="J8689" s="8">
        <v>3.8700000000000012E-2</v>
      </c>
    </row>
    <row r="8690" spans="1:10" x14ac:dyDescent="0.25">
      <c r="A8690" s="5" t="s">
        <v>8724</v>
      </c>
      <c r="B8690" s="5" t="s">
        <v>10557</v>
      </c>
      <c r="C8690" s="6" t="str">
        <f>_xll.QS.CONTEXT.CREATE("market.8688",A8690,"USD","SOFR")</f>
        <v>QSObject:PricingContext:w1~market.8688:2088</v>
      </c>
      <c r="D8690" s="6" t="str">
        <f>_xll.QS.CONTEXT.ADD.CURVE(C8690,"SOFR",$K$2:$K$7,$L$2:$L$7,,,"Actual360","LogLinear",TRUE)</f>
        <v>QSObject:ContextInput:w1~input.qs_context_add_curve.2359132437744.8689.3.0:37017</v>
      </c>
      <c r="E8690" s="6" t="str">
        <f>_xll.QS.INSTRUMENT.SWAP("swap.8688",H8690,B8690,"USD","SOFR",I8690,J8690,0,"Actual360","Simple","Annual","Annual","Annual")</f>
        <v>QSObject:Swap:w1~swap.8688:2087</v>
      </c>
      <c r="F8690" s="6" t="str">
        <f>_xll.QS.TRADE.CREATE("trade.8688",E8690,A8690,"Receive")</f>
        <v>QSObject:SwapTrade:w1~trade.8688:23174</v>
      </c>
      <c r="G8690" s="3">
        <f>_xll.QS.EVALUATE(C8690,F8690)</f>
        <v>58369.651479552958</v>
      </c>
      <c r="H8690" s="5" t="s">
        <v>8731</v>
      </c>
      <c r="I8690" s="7">
        <v>1868800</v>
      </c>
      <c r="J8690" s="8">
        <v>3.8800000000000001E-2</v>
      </c>
    </row>
    <row r="8691" spans="1:10" x14ac:dyDescent="0.25">
      <c r="A8691" s="5" t="s">
        <v>8725</v>
      </c>
      <c r="B8691" s="5" t="s">
        <v>10558</v>
      </c>
      <c r="C8691" s="6" t="str">
        <f>_xll.QS.CONTEXT.CREATE("market.8689",A8691,"USD","SOFR")</f>
        <v>QSObject:PricingContext:w1~market.8689:2086</v>
      </c>
      <c r="D8691" s="6" t="str">
        <f>_xll.QS.CONTEXT.ADD.CURVE(C8691,"SOFR",$K$2:$K$7,$L$2:$L$7,,,"Actual360","LogLinear",TRUE)</f>
        <v>QSObject:ContextInput:w1~input.qs_context_add_curve.2359132437744.8690.3.0:35372</v>
      </c>
      <c r="E8691" s="6" t="str">
        <f>_xll.QS.INSTRUMENT.SWAP("swap.8689",H8691,B8691,"USD","SOFR",I8691,J8691,0,"Actual360","Simple","Annual","Annual","Annual")</f>
        <v>QSObject:Swap:w1~swap.8689:2085</v>
      </c>
      <c r="F8691" s="6" t="str">
        <f>_xll.QS.TRADE.CREATE("trade.8689",E8691,A8691,"Receive")</f>
        <v>QSObject:SwapTrade:w1~trade.8689:23173</v>
      </c>
      <c r="G8691" s="3">
        <f>_xll.QS.EVALUATE(C8691,F8691)</f>
        <v>59371.67321726853</v>
      </c>
      <c r="H8691" s="5" t="s">
        <v>8732</v>
      </c>
      <c r="I8691" s="7">
        <v>1868900</v>
      </c>
      <c r="J8691" s="8">
        <v>3.8899999999999997E-2</v>
      </c>
    </row>
    <row r="8692" spans="1:10" x14ac:dyDescent="0.25">
      <c r="A8692" s="5" t="s">
        <v>8726</v>
      </c>
      <c r="B8692" s="5" t="s">
        <v>10559</v>
      </c>
      <c r="C8692" s="6" t="str">
        <f>_xll.QS.CONTEXT.CREATE("market.8690",A8692,"USD","SOFR")</f>
        <v>QSObject:PricingContext:w1~market.8690:2084</v>
      </c>
      <c r="D8692" s="6" t="str">
        <f>_xll.QS.CONTEXT.ADD.CURVE(C8692,"SOFR",$K$2:$K$7,$L$2:$L$7,,,"Actual360","LogLinear",TRUE)</f>
        <v>QSObject:ContextInput:w1~input.qs_context_add_curve.2359132437744.8691.3.0:34752</v>
      </c>
      <c r="E8692" s="6" t="str">
        <f>_xll.QS.INSTRUMENT.SWAP("swap.8690",H8692,B8692,"USD","SOFR",I8692,J8692,0,"Actual360","Simple","Annual","Annual","Annual")</f>
        <v>QSObject:Swap:w1~swap.8690:2083</v>
      </c>
      <c r="F8692" s="6" t="str">
        <f>_xll.QS.TRADE.CREATE("trade.8690",E8692,A8692,"Receive")</f>
        <v>QSObject:SwapTrade:w1~trade.8690:23172</v>
      </c>
      <c r="G8692" s="3">
        <f>_xll.QS.EVALUATE(C8692,F8692)</f>
        <v>60318.515958081189</v>
      </c>
      <c r="H8692" s="5" t="s">
        <v>8733</v>
      </c>
      <c r="I8692" s="7">
        <v>1869000</v>
      </c>
      <c r="J8692" s="8">
        <v>3.9000000000000007E-2</v>
      </c>
    </row>
    <row r="8693" spans="1:10" x14ac:dyDescent="0.25">
      <c r="A8693" s="5" t="s">
        <v>8727</v>
      </c>
      <c r="B8693" s="5" t="s">
        <v>10560</v>
      </c>
      <c r="C8693" s="6" t="str">
        <f>_xll.QS.CONTEXT.CREATE("market.8691",A8693,"USD","SOFR")</f>
        <v>QSObject:PricingContext:w1~market.8691:2082</v>
      </c>
      <c r="D8693" s="6" t="str">
        <f>_xll.QS.CONTEXT.ADD.CURVE(C8693,"SOFR",$K$2:$K$7,$L$2:$L$7,,,"Actual360","LogLinear",TRUE)</f>
        <v>QSObject:ContextInput:w1~input.qs_context_add_curve.2359132437744.8692.3.0:37016</v>
      </c>
      <c r="E8693" s="6" t="str">
        <f>_xll.QS.INSTRUMENT.SWAP("swap.8691",H8693,B8693,"USD","SOFR",I8693,J8693,0,"Actual360","Simple","Annual","Annual","Annual")</f>
        <v>QSObject:Swap:w1~swap.8691:2081</v>
      </c>
      <c r="F8693" s="6" t="str">
        <f>_xll.QS.TRADE.CREATE("trade.8691",E8693,A8693,"Receive")</f>
        <v>QSObject:SwapTrade:w1~trade.8691:23171</v>
      </c>
      <c r="G8693" s="3">
        <f>_xll.QS.EVALUATE(C8693,F8693)</f>
        <v>61111.628287398853</v>
      </c>
      <c r="H8693" s="5" t="s">
        <v>8734</v>
      </c>
      <c r="I8693" s="7">
        <v>1869100</v>
      </c>
      <c r="J8693" s="8">
        <v>3.9100000000000003E-2</v>
      </c>
    </row>
    <row r="8694" spans="1:10" x14ac:dyDescent="0.25">
      <c r="A8694" s="5" t="s">
        <v>8728</v>
      </c>
      <c r="B8694" s="5" t="s">
        <v>10561</v>
      </c>
      <c r="C8694" s="6" t="str">
        <f>_xll.QS.CONTEXT.CREATE("market.8692",A8694,"USD","SOFR")</f>
        <v>QSObject:PricingContext:w1~market.8692:2080</v>
      </c>
      <c r="D8694" s="6" t="str">
        <f>_xll.QS.CONTEXT.ADD.CURVE(C8694,"SOFR",$K$2:$K$7,$L$2:$L$7,,,"Actual360","LogLinear",TRUE)</f>
        <v>QSObject:ContextInput:w1~input.qs_context_add_curve.2359132437744.8693.3.0:38149</v>
      </c>
      <c r="E8694" s="6" t="str">
        <f>_xll.QS.INSTRUMENT.SWAP("swap.8692",H8694,B8694,"USD","SOFR",I8694,J8694,0,"Actual360","Simple","Annual","Annual","Annual")</f>
        <v>QSObject:Swap:w1~swap.8692:2079</v>
      </c>
      <c r="F8694" s="6" t="str">
        <f>_xll.QS.TRADE.CREATE("trade.8692",E8694,A8694,"Receive")</f>
        <v>QSObject:SwapTrade:w1~trade.8692:23170</v>
      </c>
      <c r="G8694" s="3">
        <f>_xll.QS.EVALUATE(C8694,F8694)</f>
        <v>61825.07983524452</v>
      </c>
      <c r="H8694" s="5" t="s">
        <v>8735</v>
      </c>
      <c r="I8694" s="7">
        <v>1869200</v>
      </c>
      <c r="J8694" s="8">
        <v>3.9200000000000013E-2</v>
      </c>
    </row>
    <row r="8695" spans="1:10" x14ac:dyDescent="0.25">
      <c r="A8695" s="5" t="s">
        <v>8729</v>
      </c>
      <c r="B8695" s="5" t="s">
        <v>10562</v>
      </c>
      <c r="C8695" s="6" t="str">
        <f>_xll.QS.CONTEXT.CREATE("market.8693",A8695,"USD","SOFR")</f>
        <v>QSObject:PricingContext:w1~market.8693:2078</v>
      </c>
      <c r="D8695" s="6" t="str">
        <f>_xll.QS.CONTEXT.ADD.CURVE(C8695,"SOFR",$K$2:$K$7,$L$2:$L$7,,,"Actual360","LogLinear",TRUE)</f>
        <v>QSObject:ContextInput:w1~input.qs_context_add_curve.2359132437744.8694.3.0:38816</v>
      </c>
      <c r="E8695" s="6" t="str">
        <f>_xll.QS.INSTRUMENT.SWAP("swap.8693",H8695,B8695,"USD","SOFR",I8695,J8695,0,"Actual360","Simple","Annual","Annual","Annual")</f>
        <v>QSObject:Swap:w1~swap.8693:2077</v>
      </c>
      <c r="F8695" s="6" t="str">
        <f>_xll.QS.TRADE.CREATE("trade.8693",E8695,A8695,"Receive")</f>
        <v>QSObject:SwapTrade:w1~trade.8693:23169</v>
      </c>
      <c r="G8695" s="3">
        <f>_xll.QS.EVALUATE(C8695,F8695)</f>
        <v>62574.452493886856</v>
      </c>
      <c r="H8695" s="5" t="s">
        <v>8736</v>
      </c>
      <c r="I8695" s="7">
        <v>1869300</v>
      </c>
      <c r="J8695" s="8">
        <v>3.9300000000000002E-2</v>
      </c>
    </row>
    <row r="8696" spans="1:10" x14ac:dyDescent="0.25">
      <c r="A8696" s="5" t="s">
        <v>8730</v>
      </c>
      <c r="B8696" s="5" t="s">
        <v>10563</v>
      </c>
      <c r="C8696" s="6" t="str">
        <f>_xll.QS.CONTEXT.CREATE("market.8694",A8696,"USD","SOFR")</f>
        <v>QSObject:PricingContext:w1~market.8694:2076</v>
      </c>
      <c r="D8696" s="6" t="str">
        <f>_xll.QS.CONTEXT.ADD.CURVE(C8696,"SOFR",$K$2:$K$7,$L$2:$L$7,,,"Actual360","LogLinear",TRUE)</f>
        <v>QSObject:ContextInput:w1~input.qs_context_add_curve.2359132437744.8695.3.0:35371</v>
      </c>
      <c r="E8696" s="6" t="str">
        <f>_xll.QS.INSTRUMENT.SWAP("swap.8694",H8696,B8696,"USD","SOFR",I8696,J8696,0,"Actual360","Simple","Annual","Annual","Annual")</f>
        <v>QSObject:Swap:w1~swap.8694:2075</v>
      </c>
      <c r="F8696" s="6" t="str">
        <f>_xll.QS.TRADE.CREATE("trade.8694",E8696,A8696,"Receive")</f>
        <v>QSObject:SwapTrade:w1~trade.8694:23168</v>
      </c>
      <c r="G8696" s="3">
        <f>_xll.QS.EVALUATE(C8696,F8696)</f>
        <v>63520.295902921309</v>
      </c>
      <c r="H8696" s="5" t="s">
        <v>8737</v>
      </c>
      <c r="I8696" s="7">
        <v>1869400</v>
      </c>
      <c r="J8696" s="8">
        <v>3.9399999999999998E-2</v>
      </c>
    </row>
    <row r="8697" spans="1:10" x14ac:dyDescent="0.25">
      <c r="A8697" s="5" t="s">
        <v>8731</v>
      </c>
      <c r="B8697" s="5" t="s">
        <v>10564</v>
      </c>
      <c r="C8697" s="6" t="str">
        <f>_xll.QS.CONTEXT.CREATE("market.8695",A8697,"USD","SOFR")</f>
        <v>QSObject:PricingContext:w1~market.8695:2074</v>
      </c>
      <c r="D8697" s="6" t="str">
        <f>_xll.QS.CONTEXT.ADD.CURVE(C8697,"SOFR",$K$2:$K$7,$L$2:$L$7,,,"Actual360","LogLinear",TRUE)</f>
        <v>QSObject:ContextInput:w1~input.qs_context_add_curve.2359132437744.8696.3.0:34751</v>
      </c>
      <c r="E8697" s="6" t="str">
        <f>_xll.QS.INSTRUMENT.SWAP("swap.8695",H8697,B8697,"USD","SOFR",I8697,J8697,0,"Actual360","Simple","Annual","Annual","Annual")</f>
        <v>QSObject:Swap:w1~swap.8695:2073</v>
      </c>
      <c r="F8697" s="6" t="str">
        <f>_xll.QS.TRADE.CREATE("trade.8695",E8697,A8697,"Receive")</f>
        <v>QSObject:SwapTrade:w1~trade.8695:23167</v>
      </c>
      <c r="G8697" s="3">
        <f>_xll.QS.EVALUATE(C8697,F8697)</f>
        <v>64426.113800174127</v>
      </c>
      <c r="H8697" s="5" t="s">
        <v>8738</v>
      </c>
      <c r="I8697" s="7">
        <v>1869500</v>
      </c>
      <c r="J8697" s="8">
        <v>3.9500000000000007E-2</v>
      </c>
    </row>
    <row r="8698" spans="1:10" x14ac:dyDescent="0.25">
      <c r="A8698" s="5" t="s">
        <v>8732</v>
      </c>
      <c r="B8698" s="5" t="s">
        <v>10565</v>
      </c>
      <c r="C8698" s="6" t="str">
        <f>_xll.QS.CONTEXT.CREATE("market.8696",A8698,"USD","SOFR")</f>
        <v>QSObject:PricingContext:w1~market.8696:2072</v>
      </c>
      <c r="D8698" s="6" t="str">
        <f>_xll.QS.CONTEXT.ADD.CURVE(C8698,"SOFR",$K$2:$K$7,$L$2:$L$7,,,"Actual360","LogLinear",TRUE)</f>
        <v>QSObject:ContextInput:w1~input.qs_context_add_curve.2359132437744.8697.3.0:38148</v>
      </c>
      <c r="E8698" s="6" t="str">
        <f>_xll.QS.INSTRUMENT.SWAP("swap.8696",H8698,B8698,"USD","SOFR",I8698,J8698,0,"Actual360","Simple","Annual","Annual","Annual")</f>
        <v>QSObject:Swap:w1~swap.8696:2071</v>
      </c>
      <c r="F8698" s="6" t="str">
        <f>_xll.QS.TRADE.CREATE("trade.8696",E8698,A8698,"Receive")</f>
        <v>QSObject:SwapTrade:w1~trade.8696:23166</v>
      </c>
      <c r="G8698" s="3">
        <f>_xll.QS.EVALUATE(C8698,F8698)</f>
        <v>65428.927970840712</v>
      </c>
      <c r="H8698" s="5" t="s">
        <v>8739</v>
      </c>
      <c r="I8698" s="7">
        <v>1869600</v>
      </c>
      <c r="J8698" s="8">
        <v>3.9600000000000003E-2</v>
      </c>
    </row>
    <row r="8699" spans="1:10" x14ac:dyDescent="0.25">
      <c r="A8699" s="5" t="s">
        <v>8733</v>
      </c>
      <c r="B8699" s="5" t="s">
        <v>10566</v>
      </c>
      <c r="C8699" s="6" t="str">
        <f>_xll.QS.CONTEXT.CREATE("market.8697",A8699,"USD","SOFR")</f>
        <v>QSObject:PricingContext:w1~market.8697:2070</v>
      </c>
      <c r="D8699" s="6" t="str">
        <f>_xll.QS.CONTEXT.ADD.CURVE(C8699,"SOFR",$K$2:$K$7,$L$2:$L$7,,,"Actual360","LogLinear",TRUE)</f>
        <v>QSObject:ContextInput:w1~input.qs_context_add_curve.2359132437744.8698.3.0:34139</v>
      </c>
      <c r="E8699" s="6" t="str">
        <f>_xll.QS.INSTRUMENT.SWAP("swap.8697",H8699,B8699,"USD","SOFR",I8699,J8699,0,"Actual360","Simple","Annual","Annual","Annual")</f>
        <v>QSObject:Swap:w1~swap.8697:2069</v>
      </c>
      <c r="F8699" s="6" t="str">
        <f>_xll.QS.TRADE.CREATE("trade.8697",E8699,A8699,"Receive")</f>
        <v>QSObject:SwapTrade:w1~trade.8697:23165</v>
      </c>
      <c r="G8699" s="3">
        <f>_xll.QS.EVALUATE(C8699,F8699)</f>
        <v>66376.809435126779</v>
      </c>
      <c r="H8699" s="5" t="s">
        <v>8740</v>
      </c>
      <c r="I8699" s="7">
        <v>1869700</v>
      </c>
      <c r="J8699" s="8">
        <v>3.9700000000000013E-2</v>
      </c>
    </row>
    <row r="8700" spans="1:10" x14ac:dyDescent="0.25">
      <c r="A8700" s="5" t="s">
        <v>8734</v>
      </c>
      <c r="B8700" s="5" t="s">
        <v>10567</v>
      </c>
      <c r="C8700" s="6" t="str">
        <f>_xll.QS.CONTEXT.CREATE("market.8698",A8700,"USD","SOFR")</f>
        <v>QSObject:PricingContext:w1~market.8698:2068</v>
      </c>
      <c r="D8700" s="6" t="str">
        <f>_xll.QS.CONTEXT.ADD.CURVE(C8700,"SOFR",$K$2:$K$7,$L$2:$L$7,,,"Actual360","LogLinear",TRUE)</f>
        <v>QSObject:ContextInput:w1~input.qs_context_add_curve.2359132437744.8699.3.0:33531</v>
      </c>
      <c r="E8700" s="6" t="str">
        <f>_xll.QS.INSTRUMENT.SWAP("swap.8698",H8700,B8700,"USD","SOFR",I8700,J8700,0,"Actual360","Simple","Annual","Annual","Annual")</f>
        <v>QSObject:Swap:w1~swap.8698:2067</v>
      </c>
      <c r="F8700" s="6" t="str">
        <f>_xll.QS.TRADE.CREATE("trade.8698",E8700,A8700,"Receive")</f>
        <v>QSObject:SwapTrade:w1~trade.8698:23164</v>
      </c>
      <c r="G8700" s="3">
        <f>_xll.QS.EVALUATE(C8700,F8700)</f>
        <v>67170.180866142327</v>
      </c>
      <c r="H8700" s="5" t="s">
        <v>8741</v>
      </c>
      <c r="I8700" s="7">
        <v>1869800</v>
      </c>
      <c r="J8700" s="8">
        <v>3.9800000000000002E-2</v>
      </c>
    </row>
    <row r="8701" spans="1:10" x14ac:dyDescent="0.25">
      <c r="A8701" s="5" t="s">
        <v>8735</v>
      </c>
      <c r="B8701" s="5" t="s">
        <v>10568</v>
      </c>
      <c r="C8701" s="6" t="str">
        <f>_xll.QS.CONTEXT.CREATE("market.8699",A8701,"USD","SOFR")</f>
        <v>QSObject:PricingContext:w1~market.8699:2066</v>
      </c>
      <c r="D8701" s="6" t="str">
        <f>_xll.QS.CONTEXT.ADD.CURVE(C8701,"SOFR",$K$2:$K$7,$L$2:$L$7,,,"Actual360","LogLinear",TRUE)</f>
        <v>QSObject:ContextInput:w1~input.qs_context_add_curve.2359132437744.8700.3.0:35949</v>
      </c>
      <c r="E8701" s="6" t="str">
        <f>_xll.QS.INSTRUMENT.SWAP("swap.8699",H8701,B8701,"USD","SOFR",I8701,J8701,0,"Actual360","Simple","Annual","Annual","Annual")</f>
        <v>QSObject:Swap:w1~swap.8699:2065</v>
      </c>
      <c r="F8701" s="6" t="str">
        <f>_xll.QS.TRADE.CREATE("trade.8699",E8701,A8701,"Receive")</f>
        <v>QSObject:SwapTrade:w1~trade.8699:23163</v>
      </c>
      <c r="G8701" s="3">
        <f>_xll.QS.EVALUATE(C8701,F8701)</f>
        <v>67877.112856397769</v>
      </c>
      <c r="H8701" s="5" t="s">
        <v>8742</v>
      </c>
      <c r="I8701" s="7">
        <v>1869900</v>
      </c>
      <c r="J8701" s="8">
        <v>3.9899999999999998E-2</v>
      </c>
    </row>
    <row r="8702" spans="1:10" x14ac:dyDescent="0.25">
      <c r="A8702" s="5" t="s">
        <v>8736</v>
      </c>
      <c r="B8702" s="5" t="s">
        <v>10569</v>
      </c>
      <c r="C8702" s="6" t="str">
        <f>_xll.QS.CONTEXT.CREATE("market.8700",A8702,"USD","SOFR")</f>
        <v>QSObject:PricingContext:w1~market.8700:2064</v>
      </c>
      <c r="D8702" s="6" t="str">
        <f>_xll.QS.CONTEXT.ADD.CURVE(C8702,"SOFR",$K$2:$K$7,$L$2:$L$7,,,"Actual360","LogLinear",TRUE)</f>
        <v>QSObject:ContextInput:w1~input.qs_context_add_curve.2359132437744.8701.3.0:33010</v>
      </c>
      <c r="E8702" s="6" t="str">
        <f>_xll.QS.INSTRUMENT.SWAP("swap.8700",H8702,B8702,"USD","SOFR",I8702,J8702,0,"Actual360","Simple","Annual","Annual","Annual")</f>
        <v>QSObject:Swap:w1~swap.8700:2063</v>
      </c>
      <c r="F8702" s="6" t="str">
        <f>_xll.QS.TRADE.CREATE("trade.8700",E8702,A8702,"Receive")</f>
        <v>QSObject:SwapTrade:w1~trade.8700:23162</v>
      </c>
      <c r="G8702" s="3">
        <f>_xll.QS.EVALUATE(C8702,F8702)</f>
        <v>25503.869029599678</v>
      </c>
      <c r="H8702" s="5" t="s">
        <v>8743</v>
      </c>
      <c r="I8702" s="7">
        <v>1870000</v>
      </c>
      <c r="J8702" s="8">
        <v>3.5000000000000003E-2</v>
      </c>
    </row>
    <row r="8703" spans="1:10" x14ac:dyDescent="0.25">
      <c r="A8703" s="5" t="s">
        <v>8737</v>
      </c>
      <c r="B8703" s="5" t="s">
        <v>10570</v>
      </c>
      <c r="C8703" s="6" t="str">
        <f>_xll.QS.CONTEXT.CREATE("market.8701",A8703,"USD","SOFR")</f>
        <v>QSObject:PricingContext:w1~market.8701:2062</v>
      </c>
      <c r="D8703" s="6" t="str">
        <f>_xll.QS.CONTEXT.ADD.CURVE(C8703,"SOFR",$K$2:$K$7,$L$2:$L$7,,,"Actual360","LogLinear",TRUE)</f>
        <v>QSObject:ContextInput:w1~input.qs_context_add_curve.2359132437744.8702.3.0:38815</v>
      </c>
      <c r="E8703" s="6" t="str">
        <f>_xll.QS.INSTRUMENT.SWAP("swap.8701",H8703,B8703,"USD","SOFR",I8703,J8703,0,"Actual360","Simple","Annual","Annual","Annual")</f>
        <v>QSObject:Swap:w1~swap.8701:2061</v>
      </c>
      <c r="F8703" s="6" t="str">
        <f>_xll.QS.TRADE.CREATE("trade.8701",E8703,A8703,"Receive")</f>
        <v>QSObject:SwapTrade:w1~trade.8701:23161</v>
      </c>
      <c r="G8703" s="3">
        <f>_xll.QS.EVALUATE(C8703,F8703)</f>
        <v>26444.479156907386</v>
      </c>
      <c r="H8703" s="5" t="s">
        <v>8744</v>
      </c>
      <c r="I8703" s="7">
        <v>1870100</v>
      </c>
      <c r="J8703" s="8">
        <v>3.5100000000000013E-2</v>
      </c>
    </row>
    <row r="8704" spans="1:10" x14ac:dyDescent="0.25">
      <c r="A8704" s="5" t="s">
        <v>8738</v>
      </c>
      <c r="B8704" s="5" t="s">
        <v>10571</v>
      </c>
      <c r="C8704" s="6" t="str">
        <f>_xll.QS.CONTEXT.CREATE("market.8702",A8704,"USD","SOFR")</f>
        <v>QSObject:PricingContext:w1~market.8702:2060</v>
      </c>
      <c r="D8704" s="6" t="str">
        <f>_xll.QS.CONTEXT.ADD.CURVE(C8704,"SOFR",$K$2:$K$7,$L$2:$L$7,,,"Actual360","LogLinear",TRUE)</f>
        <v>QSObject:ContextInput:w1~input.qs_context_add_curve.2359132437744.8703.3.0:37566</v>
      </c>
      <c r="E8704" s="6" t="str">
        <f>_xll.QS.INSTRUMENT.SWAP("swap.8702",H8704,B8704,"USD","SOFR",I8704,J8704,0,"Actual360","Simple","Annual","Annual","Annual")</f>
        <v>QSObject:Swap:w1~swap.8702:2059</v>
      </c>
      <c r="F8704" s="6" t="str">
        <f>_xll.QS.TRADE.CREATE("trade.8702",E8704,A8704,"Receive")</f>
        <v>QSObject:SwapTrade:w1~trade.8702:23160</v>
      </c>
      <c r="G8704" s="3">
        <f>_xll.QS.EVALUATE(C8704,F8704)</f>
        <v>27365.699084089094</v>
      </c>
      <c r="H8704" s="5" t="s">
        <v>8745</v>
      </c>
      <c r="I8704" s="7">
        <v>1870200</v>
      </c>
      <c r="J8704" s="8">
        <v>3.5200000000000002E-2</v>
      </c>
    </row>
    <row r="8705" spans="1:10" x14ac:dyDescent="0.25">
      <c r="A8705" s="5" t="s">
        <v>8739</v>
      </c>
      <c r="B8705" s="5" t="s">
        <v>10572</v>
      </c>
      <c r="C8705" s="6" t="str">
        <f>_xll.QS.CONTEXT.CREATE("market.8703",A8705,"USD","SOFR")</f>
        <v>QSObject:PricingContext:w1~market.8703:2058</v>
      </c>
      <c r="D8705" s="6" t="str">
        <f>_xll.QS.CONTEXT.ADD.CURVE(C8705,"SOFR",$K$2:$K$7,$L$2:$L$7,,,"Actual360","LogLinear",TRUE)</f>
        <v>QSObject:ContextInput:w1~input.qs_context_add_curve.2359132437744.8704.3.0:38814</v>
      </c>
      <c r="E8705" s="6" t="str">
        <f>_xll.QS.INSTRUMENT.SWAP("swap.8703",H8705,B8705,"USD","SOFR",I8705,J8705,0,"Actual360","Simple","Annual","Annual","Annual")</f>
        <v>QSObject:Swap:w1~swap.8703:2057</v>
      </c>
      <c r="F8705" s="6" t="str">
        <f>_xll.QS.TRADE.CREATE("trade.8703",E8705,A8705,"Receive")</f>
        <v>QSObject:SwapTrade:w1~trade.8703:23159</v>
      </c>
      <c r="G8705" s="3">
        <f>_xll.QS.EVALUATE(C8705,F8705)</f>
        <v>28367.297866898654</v>
      </c>
      <c r="H8705" s="5" t="s">
        <v>8746</v>
      </c>
      <c r="I8705" s="7">
        <v>1870300</v>
      </c>
      <c r="J8705" s="8">
        <v>3.5299999999999998E-2</v>
      </c>
    </row>
    <row r="8706" spans="1:10" x14ac:dyDescent="0.25">
      <c r="A8706" s="5" t="s">
        <v>8740</v>
      </c>
      <c r="B8706" s="5" t="s">
        <v>10573</v>
      </c>
      <c r="C8706" s="6" t="str">
        <f>_xll.QS.CONTEXT.CREATE("market.8704",A8706,"USD","SOFR")</f>
        <v>QSObject:PricingContext:w1~market.8704:2056</v>
      </c>
      <c r="D8706" s="6" t="str">
        <f>_xll.QS.CONTEXT.ADD.CURVE(C8706,"SOFR",$K$2:$K$7,$L$2:$L$7,,,"Actual360","LogLinear",TRUE)</f>
        <v>QSObject:ContextInput:w1~input.qs_context_add_curve.2359132437744.8705.3.0:37565</v>
      </c>
      <c r="E8706" s="6" t="str">
        <f>_xll.QS.INSTRUMENT.SWAP("swap.8704",H8706,B8706,"USD","SOFR",I8706,J8706,0,"Actual360","Simple","Annual","Annual","Annual")</f>
        <v>QSObject:Swap:w1~swap.8704:2055</v>
      </c>
      <c r="F8706" s="6" t="str">
        <f>_xll.QS.TRADE.CREATE("trade.8704",E8706,A8706,"Receive")</f>
        <v>QSObject:SwapTrade:w1~trade.8704:23158</v>
      </c>
      <c r="G8706" s="3">
        <f>_xll.QS.EVALUATE(C8706,F8706)</f>
        <v>29312.83094974047</v>
      </c>
      <c r="H8706" s="5" t="s">
        <v>8747</v>
      </c>
      <c r="I8706" s="7">
        <v>1870400</v>
      </c>
      <c r="J8706" s="8">
        <v>3.5400000000000001E-2</v>
      </c>
    </row>
    <row r="8707" spans="1:10" x14ac:dyDescent="0.25">
      <c r="A8707" s="5" t="s">
        <v>8741</v>
      </c>
      <c r="B8707" s="5" t="s">
        <v>10574</v>
      </c>
      <c r="C8707" s="6" t="str">
        <f>_xll.QS.CONTEXT.CREATE("market.8705",A8707,"USD","SOFR")</f>
        <v>QSObject:PricingContext:w1~market.8705:2054</v>
      </c>
      <c r="D8707" s="6" t="str">
        <f>_xll.QS.CONTEXT.ADD.CURVE(C8707,"SOFR",$K$2:$K$7,$L$2:$L$7,,,"Actual360","LogLinear",TRUE)</f>
        <v>QSObject:ContextInput:w1~input.qs_context_add_curve.2359132437744.8706.3.0:31748</v>
      </c>
      <c r="E8707" s="6" t="str">
        <f>_xll.QS.INSTRUMENT.SWAP("swap.8705",H8707,B8707,"USD","SOFR",I8707,J8707,0,"Actual360","Simple","Annual","Annual","Annual")</f>
        <v>QSObject:Swap:w1~swap.8705:2053</v>
      </c>
      <c r="F8707" s="6" t="str">
        <f>_xll.QS.TRADE.CREATE("trade.8705",E8707,A8707,"Receive")</f>
        <v>QSObject:SwapTrade:w1~trade.8705:23157</v>
      </c>
      <c r="G8707" s="3">
        <f>_xll.QS.EVALUATE(C8707,F8707)</f>
        <v>30105.215931729908</v>
      </c>
      <c r="H8707" s="5" t="s">
        <v>8748</v>
      </c>
      <c r="I8707" s="7">
        <v>1870500</v>
      </c>
      <c r="J8707" s="8">
        <v>3.5499999999999997E-2</v>
      </c>
    </row>
    <row r="8708" spans="1:10" x14ac:dyDescent="0.25">
      <c r="A8708" s="5" t="s">
        <v>8742</v>
      </c>
      <c r="B8708" s="5" t="s">
        <v>10575</v>
      </c>
      <c r="C8708" s="6" t="str">
        <f>_xll.QS.CONTEXT.CREATE("market.8706",A8708,"USD","SOFR")</f>
        <v>QSObject:PricingContext:w1~market.8706:2052</v>
      </c>
      <c r="D8708" s="6" t="str">
        <f>_xll.QS.CONTEXT.ADD.CURVE(C8708,"SOFR",$K$2:$K$7,$L$2:$L$7,,,"Actual360","LogLinear",TRUE)</f>
        <v>QSObject:ContextInput:w1~input.qs_context_add_curve.2359132437744.8707.3.0:38813</v>
      </c>
      <c r="E8708" s="6" t="str">
        <f>_xll.QS.INSTRUMENT.SWAP("swap.8706",H8708,B8708,"USD","SOFR",I8708,J8708,0,"Actual360","Simple","Annual","Annual","Annual")</f>
        <v>QSObject:Swap:w1~swap.8706:2051</v>
      </c>
      <c r="F8708" s="6" t="str">
        <f>_xll.QS.TRADE.CREATE("trade.8706",E8708,A8708,"Receive")</f>
        <v>QSObject:SwapTrade:w1~trade.8706:23156</v>
      </c>
      <c r="G8708" s="3">
        <f>_xll.QS.EVALUATE(C8708,F8708)</f>
        <v>30833.36208579212</v>
      </c>
      <c r="H8708" s="5" t="s">
        <v>8749</v>
      </c>
      <c r="I8708" s="7">
        <v>1870600</v>
      </c>
      <c r="J8708" s="8">
        <v>3.5600000000000007E-2</v>
      </c>
    </row>
    <row r="8709" spans="1:10" x14ac:dyDescent="0.25">
      <c r="A8709" s="5" t="s">
        <v>8743</v>
      </c>
      <c r="B8709" s="5" t="s">
        <v>10576</v>
      </c>
      <c r="C8709" s="6" t="str">
        <f>_xll.QS.CONTEXT.CREATE("market.8707",A8709,"USD","SOFR")</f>
        <v>QSObject:PricingContext:w1~market.8707:2050</v>
      </c>
      <c r="D8709" s="6" t="str">
        <f>_xll.QS.CONTEXT.ADD.CURVE(C8709,"SOFR",$K$2:$K$7,$L$2:$L$7,,,"Actual360","LogLinear",TRUE)</f>
        <v>QSObject:ContextInput:w1~input.qs_context_add_curve.2359132437744.8708.3.0:35370</v>
      </c>
      <c r="E8709" s="6" t="str">
        <f>_xll.QS.INSTRUMENT.SWAP("swap.8707",H8709,B8709,"USD","SOFR",I8709,J8709,0,"Actual360","Simple","Annual","Annual","Annual")</f>
        <v>QSObject:Swap:w1~swap.8707:2049</v>
      </c>
      <c r="F8709" s="6" t="str">
        <f>_xll.QS.TRADE.CREATE("trade.8707",E8709,A8709,"Receive")</f>
        <v>QSObject:SwapTrade:w1~trade.8707:23155</v>
      </c>
      <c r="G8709" s="3">
        <f>_xll.QS.EVALUATE(C8709,F8709)</f>
        <v>31477.753681026559</v>
      </c>
      <c r="H8709" s="5" t="s">
        <v>8750</v>
      </c>
      <c r="I8709" s="7">
        <v>1870700</v>
      </c>
      <c r="J8709" s="8">
        <v>3.5700000000000003E-2</v>
      </c>
    </row>
    <row r="8710" spans="1:10" x14ac:dyDescent="0.25">
      <c r="A8710" s="5" t="s">
        <v>8744</v>
      </c>
      <c r="B8710" s="5" t="s">
        <v>10577</v>
      </c>
      <c r="C8710" s="6" t="str">
        <f>_xll.QS.CONTEXT.CREATE("market.8708",A8710,"USD","SOFR")</f>
        <v>QSObject:PricingContext:w1~market.8708:2048</v>
      </c>
      <c r="D8710" s="6" t="str">
        <f>_xll.QS.CONTEXT.ADD.CURVE(C8710,"SOFR",$K$2:$K$7,$L$2:$L$7,,,"Actual360","LogLinear",TRUE)</f>
        <v>QSObject:ContextInput:w1~input.qs_context_add_curve.2359132437744.8709.3.0:34138</v>
      </c>
      <c r="E8710" s="6" t="str">
        <f>_xll.QS.INSTRUMENT.SWAP("swap.8708",H8710,B8710,"USD","SOFR",I8710,J8710,0,"Actual360","Simple","Annual","Annual","Annual")</f>
        <v>QSObject:Swap:w1~swap.8708:2047</v>
      </c>
      <c r="F8710" s="6" t="str">
        <f>_xll.QS.TRADE.CREATE("trade.8708",E8710,A8710,"Receive")</f>
        <v>QSObject:SwapTrade:w1~trade.8708:23154</v>
      </c>
      <c r="G8710" s="3">
        <f>_xll.QS.EVALUATE(C8710,F8710)</f>
        <v>32419.124404826063</v>
      </c>
      <c r="H8710" s="5" t="s">
        <v>8751</v>
      </c>
      <c r="I8710" s="7">
        <v>1870800</v>
      </c>
      <c r="J8710" s="8">
        <v>3.5800000000000012E-2</v>
      </c>
    </row>
    <row r="8711" spans="1:10" x14ac:dyDescent="0.25">
      <c r="A8711" s="5" t="s">
        <v>8745</v>
      </c>
      <c r="B8711" s="5" t="s">
        <v>10578</v>
      </c>
      <c r="C8711" s="6" t="str">
        <f>_xll.QS.CONTEXT.CREATE("market.8709",A8711,"USD","SOFR")</f>
        <v>QSObject:PricingContext:w1~market.8709:2046</v>
      </c>
      <c r="D8711" s="6" t="str">
        <f>_xll.QS.CONTEXT.ADD.CURVE(C8711,"SOFR",$K$2:$K$7,$L$2:$L$7,,,"Actual360","LogLinear",TRUE)</f>
        <v>QSObject:ContextInput:w1~input.qs_context_add_curve.2359132437744.8710.3.0:39994</v>
      </c>
      <c r="E8711" s="6" t="str">
        <f>_xll.QS.INSTRUMENT.SWAP("swap.8709",H8711,B8711,"USD","SOFR",I8711,J8711,0,"Actual360","Simple","Annual","Annual","Annual")</f>
        <v>QSObject:Swap:w1~swap.8709:2045</v>
      </c>
      <c r="F8711" s="6" t="str">
        <f>_xll.QS.TRADE.CREATE("trade.8709",E8711,A8711,"Receive")</f>
        <v>QSObject:SwapTrade:w1~trade.8709:23153</v>
      </c>
      <c r="G8711" s="3">
        <f>_xll.QS.EVALUATE(C8711,F8711)</f>
        <v>33361.836152036558</v>
      </c>
      <c r="H8711" s="5" t="s">
        <v>8752</v>
      </c>
      <c r="I8711" s="7">
        <v>1870900</v>
      </c>
      <c r="J8711" s="8">
        <v>3.5900000000000001E-2</v>
      </c>
    </row>
    <row r="8712" spans="1:10" x14ac:dyDescent="0.25">
      <c r="A8712" s="5" t="s">
        <v>8746</v>
      </c>
      <c r="B8712" s="5" t="s">
        <v>10579</v>
      </c>
      <c r="C8712" s="6" t="str">
        <f>_xll.QS.CONTEXT.CREATE("market.8710",A8712,"USD","SOFR")</f>
        <v>QSObject:PricingContext:w1~market.8710:2044</v>
      </c>
      <c r="D8712" s="6" t="str">
        <f>_xll.QS.CONTEXT.ADD.CURVE(C8712,"SOFR",$K$2:$K$7,$L$2:$L$7,,,"Actual360","LogLinear",TRUE)</f>
        <v>QSObject:ContextInput:w1~input.qs_context_add_curve.2359132437744.8711.3.0:37015</v>
      </c>
      <c r="E8712" s="6" t="str">
        <f>_xll.QS.INSTRUMENT.SWAP("swap.8710",H8712,B8712,"USD","SOFR",I8712,J8712,0,"Actual360","Simple","Annual","Annual","Annual")</f>
        <v>QSObject:Swap:w1~swap.8710:2043</v>
      </c>
      <c r="F8712" s="6" t="str">
        <f>_xll.QS.TRADE.CREATE("trade.8710",E8712,A8712,"Receive")</f>
        <v>QSObject:SwapTrade:w1~trade.8710:23152</v>
      </c>
      <c r="G8712" s="3">
        <f>_xll.QS.EVALUATE(C8712,F8712)</f>
        <v>34486.552245379127</v>
      </c>
      <c r="H8712" s="5" t="s">
        <v>8753</v>
      </c>
      <c r="I8712" s="7">
        <v>1871000</v>
      </c>
      <c r="J8712" s="8">
        <v>3.5999999999999997E-2</v>
      </c>
    </row>
    <row r="8713" spans="1:10" x14ac:dyDescent="0.25">
      <c r="A8713" s="5" t="s">
        <v>8747</v>
      </c>
      <c r="B8713" s="5" t="s">
        <v>10580</v>
      </c>
      <c r="C8713" s="6" t="str">
        <f>_xll.QS.CONTEXT.CREATE("market.8711",A8713,"USD","SOFR")</f>
        <v>QSObject:PricingContext:w1~market.8711:2042</v>
      </c>
      <c r="D8713" s="6" t="str">
        <f>_xll.QS.CONTEXT.ADD.CURVE(C8713,"SOFR",$K$2:$K$7,$L$2:$L$7,,,"Actual360","LogLinear",TRUE)</f>
        <v>QSObject:ContextInput:w1~input.qs_context_add_curve.2359132437744.8712.3.0:32321</v>
      </c>
      <c r="E8713" s="6" t="str">
        <f>_xll.QS.INSTRUMENT.SWAP("swap.8711",H8713,B8713,"USD","SOFR",I8713,J8713,0,"Actual360","Simple","Annual","Annual","Annual")</f>
        <v>QSObject:Swap:w1~swap.8711:2041</v>
      </c>
      <c r="F8713" s="6" t="str">
        <f>_xll.QS.TRADE.CREATE("trade.8711",E8713,A8713,"Receive")</f>
        <v>QSObject:SwapTrade:w1~trade.8711:23151</v>
      </c>
      <c r="G8713" s="3">
        <f>_xll.QS.EVALUATE(C8713,F8713)</f>
        <v>35368.411802453244</v>
      </c>
      <c r="H8713" s="5" t="s">
        <v>8754</v>
      </c>
      <c r="I8713" s="7">
        <v>1871100</v>
      </c>
      <c r="J8713" s="8">
        <v>3.61E-2</v>
      </c>
    </row>
    <row r="8714" spans="1:10" x14ac:dyDescent="0.25">
      <c r="A8714" s="5" t="s">
        <v>8748</v>
      </c>
      <c r="B8714" s="5" t="s">
        <v>10581</v>
      </c>
      <c r="C8714" s="6" t="str">
        <f>_xll.QS.CONTEXT.CREATE("market.8712",A8714,"USD","SOFR")</f>
        <v>QSObject:PricingContext:w1~market.8712:2040</v>
      </c>
      <c r="D8714" s="6" t="str">
        <f>_xll.QS.CONTEXT.ADD.CURVE(C8714,"SOFR",$K$2:$K$7,$L$2:$L$7,,,"Actual360","LogLinear",TRUE)</f>
        <v>QSObject:ContextInput:w1~input.qs_context_add_curve.2359132437744.8713.3.0:35948</v>
      </c>
      <c r="E8714" s="6" t="str">
        <f>_xll.QS.INSTRUMENT.SWAP("swap.8712",H8714,B8714,"USD","SOFR",I8714,J8714,0,"Actual360","Simple","Annual","Annual","Annual")</f>
        <v>QSObject:Swap:w1~swap.8712:2039</v>
      </c>
      <c r="F8714" s="6" t="str">
        <f>_xll.QS.TRADE.CREATE("trade.8712",E8714,A8714,"Receive")</f>
        <v>QSObject:SwapTrade:w1~trade.8712:23150</v>
      </c>
      <c r="G8714" s="3">
        <f>_xll.QS.EVALUATE(C8714,F8714)</f>
        <v>36231.855928830759</v>
      </c>
      <c r="H8714" s="5" t="s">
        <v>8755</v>
      </c>
      <c r="I8714" s="7">
        <v>1871200</v>
      </c>
      <c r="J8714" s="8">
        <v>3.6200000000000003E-2</v>
      </c>
    </row>
    <row r="8715" spans="1:10" x14ac:dyDescent="0.25">
      <c r="A8715" s="5" t="s">
        <v>8749</v>
      </c>
      <c r="B8715" s="5" t="s">
        <v>10582</v>
      </c>
      <c r="C8715" s="6" t="str">
        <f>_xll.QS.CONTEXT.CREATE("market.8713",A8715,"USD","SOFR")</f>
        <v>QSObject:PricingContext:w1~market.8713:2038</v>
      </c>
      <c r="D8715" s="6" t="str">
        <f>_xll.QS.CONTEXT.ADD.CURVE(C8715,"SOFR",$K$2:$K$7,$L$2:$L$7,,,"Actual360","LogLinear",TRUE)</f>
        <v>QSObject:ContextInput:w1~input.qs_context_add_curve.2359132437744.8714.3.0:35947</v>
      </c>
      <c r="E8715" s="6" t="str">
        <f>_xll.QS.INSTRUMENT.SWAP("swap.8713",H8715,B8715,"USD","SOFR",I8715,J8715,0,"Actual360","Simple","Annual","Annual","Annual")</f>
        <v>QSObject:Swap:w1~swap.8713:2037</v>
      </c>
      <c r="F8715" s="6" t="str">
        <f>_xll.QS.TRADE.CREATE("trade.8713",E8715,A8715,"Receive")</f>
        <v>QSObject:SwapTrade:w1~trade.8713:23149</v>
      </c>
      <c r="G8715" s="3">
        <f>_xll.QS.EVALUATE(C8715,F8715)</f>
        <v>36974.225904444822</v>
      </c>
      <c r="H8715" s="5" t="s">
        <v>8756</v>
      </c>
      <c r="I8715" s="7">
        <v>1871300</v>
      </c>
      <c r="J8715" s="8">
        <v>3.6300000000000013E-2</v>
      </c>
    </row>
    <row r="8716" spans="1:10" x14ac:dyDescent="0.25">
      <c r="A8716" s="5" t="s">
        <v>8750</v>
      </c>
      <c r="B8716" s="5" t="s">
        <v>10583</v>
      </c>
      <c r="C8716" s="6" t="str">
        <f>_xll.QS.CONTEXT.CREATE("market.8714",A8716,"USD","SOFR")</f>
        <v>QSObject:PricingContext:w1~market.8714:2036</v>
      </c>
      <c r="D8716" s="6" t="str">
        <f>_xll.QS.CONTEXT.ADD.CURVE(C8716,"SOFR",$K$2:$K$7,$L$2:$L$7,,,"Actual360","LogLinear",TRUE)</f>
        <v>QSObject:ContextInput:w1~input.qs_context_add_curve.2359132437744.8715.3.0:33009</v>
      </c>
      <c r="E8716" s="6" t="str">
        <f>_xll.QS.INSTRUMENT.SWAP("swap.8714",H8716,B8716,"USD","SOFR",I8716,J8716,0,"Actual360","Simple","Annual","Annual","Annual")</f>
        <v>QSObject:Swap:w1~swap.8714:2035</v>
      </c>
      <c r="F8716" s="6" t="str">
        <f>_xll.QS.TRADE.CREATE("trade.8714",E8716,A8716,"Receive")</f>
        <v>QSObject:SwapTrade:w1~trade.8714:23148</v>
      </c>
      <c r="G8716" s="3">
        <f>_xll.QS.EVALUATE(C8716,F8716)</f>
        <v>37684.074580247288</v>
      </c>
      <c r="H8716" s="5" t="s">
        <v>8757</v>
      </c>
      <c r="I8716" s="7">
        <v>1871400</v>
      </c>
      <c r="J8716" s="8">
        <v>3.6400000000000002E-2</v>
      </c>
    </row>
    <row r="8717" spans="1:10" x14ac:dyDescent="0.25">
      <c r="A8717" s="5" t="s">
        <v>8751</v>
      </c>
      <c r="B8717" s="5" t="s">
        <v>10584</v>
      </c>
      <c r="C8717" s="6" t="str">
        <f>_xll.QS.CONTEXT.CREATE("market.8715",A8717,"USD","SOFR")</f>
        <v>QSObject:PricingContext:w1~market.8715:2034</v>
      </c>
      <c r="D8717" s="6" t="str">
        <f>_xll.QS.CONTEXT.ADD.CURVE(C8717,"SOFR",$K$2:$K$7,$L$2:$L$7,,,"Actual360","LogLinear",TRUE)</f>
        <v>QSObject:ContextInput:w1~input.qs_context_add_curve.2359132437744.8716.3.0:38147</v>
      </c>
      <c r="E8717" s="6" t="str">
        <f>_xll.QS.INSTRUMENT.SWAP("swap.8715",H8717,B8717,"USD","SOFR",I8717,J8717,0,"Actual360","Simple","Annual","Annual","Annual")</f>
        <v>QSObject:Swap:w1~swap.8715:2033</v>
      </c>
      <c r="F8717" s="6" t="str">
        <f>_xll.QS.TRADE.CREATE("trade.8715",E8717,A8717,"Receive")</f>
        <v>QSObject:SwapTrade:w1~trade.8715:23147</v>
      </c>
      <c r="G8717" s="3">
        <f>_xll.QS.EVALUATE(C8717,F8717)</f>
        <v>38552.265071304697</v>
      </c>
      <c r="H8717" s="5" t="s">
        <v>8758</v>
      </c>
      <c r="I8717" s="7">
        <v>1871500</v>
      </c>
      <c r="J8717" s="8">
        <v>3.6499999999999998E-2</v>
      </c>
    </row>
    <row r="8718" spans="1:10" x14ac:dyDescent="0.25">
      <c r="A8718" s="5" t="s">
        <v>8752</v>
      </c>
      <c r="B8718" s="5" t="s">
        <v>10585</v>
      </c>
      <c r="C8718" s="6" t="str">
        <f>_xll.QS.CONTEXT.CREATE("market.8716",A8718,"USD","SOFR")</f>
        <v>QSObject:PricingContext:w1~market.8716:2032</v>
      </c>
      <c r="D8718" s="6" t="str">
        <f>_xll.QS.CONTEXT.ADD.CURVE(C8718,"SOFR",$K$2:$K$7,$L$2:$L$7,,,"Actual360","LogLinear",TRUE)</f>
        <v>QSObject:ContextInput:w1~input.qs_context_add_curve.2359132437744.8717.3.0:38812</v>
      </c>
      <c r="E8718" s="6" t="str">
        <f>_xll.QS.INSTRUMENT.SWAP("swap.8716",H8718,B8718,"USD","SOFR",I8718,J8718,0,"Actual360","Simple","Annual","Annual","Annual")</f>
        <v>QSObject:Swap:w1~swap.8716:2031</v>
      </c>
      <c r="F8718" s="6" t="str">
        <f>_xll.QS.TRADE.CREATE("trade.8716",E8718,A8718,"Receive")</f>
        <v>QSObject:SwapTrade:w1~trade.8716:23146</v>
      </c>
      <c r="G8718" s="3">
        <f>_xll.QS.EVALUATE(C8718,F8718)</f>
        <v>39469.920136923931</v>
      </c>
      <c r="H8718" s="5" t="s">
        <v>8759</v>
      </c>
      <c r="I8718" s="7">
        <v>1871600</v>
      </c>
      <c r="J8718" s="8">
        <v>3.6600000000000001E-2</v>
      </c>
    </row>
    <row r="8719" spans="1:10" x14ac:dyDescent="0.25">
      <c r="A8719" s="5" t="s">
        <v>8753</v>
      </c>
      <c r="B8719" s="5" t="s">
        <v>10586</v>
      </c>
      <c r="C8719" s="6" t="str">
        <f>_xll.QS.CONTEXT.CREATE("market.8717",A8719,"USD","SOFR")</f>
        <v>QSObject:PricingContext:w1~market.8717:2030</v>
      </c>
      <c r="D8719" s="6" t="str">
        <f>_xll.QS.CONTEXT.ADD.CURVE(C8719,"SOFR",$K$2:$K$7,$L$2:$L$7,,,"Actual360","LogLinear",TRUE)</f>
        <v>QSObject:ContextInput:w1~input.qs_context_add_curve.2359132437744.8718.3.0:38146</v>
      </c>
      <c r="E8719" s="6" t="str">
        <f>_xll.QS.INSTRUMENT.SWAP("swap.8717",H8719,B8719,"USD","SOFR",I8719,J8719,0,"Actual360","Simple","Annual","Annual","Annual")</f>
        <v>QSObject:Swap:w1~swap.8717:2029</v>
      </c>
      <c r="F8719" s="6" t="str">
        <f>_xll.QS.TRADE.CREATE("trade.8717",E8719,A8719,"Receive")</f>
        <v>QSObject:SwapTrade:w1~trade.8717:23145</v>
      </c>
      <c r="G8719" s="3">
        <f>_xll.QS.EVALUATE(C8719,F8719)</f>
        <v>40472.123457191083</v>
      </c>
      <c r="H8719" s="5" t="s">
        <v>8760</v>
      </c>
      <c r="I8719" s="7">
        <v>1871700</v>
      </c>
      <c r="J8719" s="8">
        <v>3.6700000000000003E-2</v>
      </c>
    </row>
    <row r="8720" spans="1:10" x14ac:dyDescent="0.25">
      <c r="A8720" s="5" t="s">
        <v>8754</v>
      </c>
      <c r="B8720" s="5" t="s">
        <v>10587</v>
      </c>
      <c r="C8720" s="6" t="str">
        <f>_xll.QS.CONTEXT.CREATE("market.8718",A8720,"USD","SOFR")</f>
        <v>QSObject:PricingContext:w1~market.8718:2028</v>
      </c>
      <c r="D8720" s="6" t="str">
        <f>_xll.QS.CONTEXT.ADD.CURVE(C8720,"SOFR",$K$2:$K$7,$L$2:$L$7,,,"Actual360","LogLinear",TRUE)</f>
        <v>QSObject:ContextInput:w1~input.qs_context_add_curve.2359132437744.8719.3.0:35946</v>
      </c>
      <c r="E8720" s="6" t="str">
        <f>_xll.QS.INSTRUMENT.SWAP("swap.8718",H8720,B8720,"USD","SOFR",I8720,J8720,0,"Actual360","Simple","Annual","Annual","Annual")</f>
        <v>QSObject:Swap:w1~swap.8718:2027</v>
      </c>
      <c r="F8720" s="6" t="str">
        <f>_xll.QS.TRADE.CREATE("trade.8718",E8720,A8720,"Receive")</f>
        <v>QSObject:SwapTrade:w1~trade.8718:23144</v>
      </c>
      <c r="G8720" s="3">
        <f>_xll.QS.EVALUATE(C8720,F8720)</f>
        <v>41419.147446563082</v>
      </c>
      <c r="H8720" s="5" t="s">
        <v>8761</v>
      </c>
      <c r="I8720" s="7">
        <v>1871800</v>
      </c>
      <c r="J8720" s="8">
        <v>3.6800000000000013E-2</v>
      </c>
    </row>
    <row r="8721" spans="1:10" x14ac:dyDescent="0.25">
      <c r="A8721" s="5" t="s">
        <v>8755</v>
      </c>
      <c r="B8721" s="5" t="s">
        <v>10588</v>
      </c>
      <c r="C8721" s="6" t="str">
        <f>_xll.QS.CONTEXT.CREATE("market.8719",A8721,"USD","SOFR")</f>
        <v>QSObject:PricingContext:w1~market.8719:2026</v>
      </c>
      <c r="D8721" s="6" t="str">
        <f>_xll.QS.CONTEXT.ADD.CURVE(C8721,"SOFR",$K$2:$K$7,$L$2:$L$7,,,"Actual360","LogLinear",TRUE)</f>
        <v>QSObject:ContextInput:w1~input.qs_context_add_curve.2359132437744.8720.3.0:38811</v>
      </c>
      <c r="E8721" s="6" t="str">
        <f>_xll.QS.INSTRUMENT.SWAP("swap.8719",H8721,B8721,"USD","SOFR",I8721,J8721,0,"Actual360","Simple","Annual","Annual","Annual")</f>
        <v>QSObject:Swap:w1~swap.8719:2025</v>
      </c>
      <c r="F8721" s="6" t="str">
        <f>_xll.QS.TRADE.CREATE("trade.8719",E8721,A8721,"Receive")</f>
        <v>QSObject:SwapTrade:w1~trade.8719:23143</v>
      </c>
      <c r="G8721" s="3">
        <f>_xll.QS.EVALUATE(C8721,F8721)</f>
        <v>42162.458042357117</v>
      </c>
      <c r="H8721" s="5" t="s">
        <v>8762</v>
      </c>
      <c r="I8721" s="7">
        <v>1871900</v>
      </c>
      <c r="J8721" s="8">
        <v>3.6900000000000002E-2</v>
      </c>
    </row>
    <row r="8722" spans="1:10" x14ac:dyDescent="0.25">
      <c r="A8722" s="5" t="s">
        <v>8756</v>
      </c>
      <c r="B8722" s="5" t="s">
        <v>10589</v>
      </c>
      <c r="C8722" s="6" t="str">
        <f>_xll.QS.CONTEXT.CREATE("market.8720",A8722,"USD","SOFR")</f>
        <v>QSObject:PricingContext:w1~market.8720:2024</v>
      </c>
      <c r="D8722" s="6" t="str">
        <f>_xll.QS.CONTEXT.ADD.CURVE(C8722,"SOFR",$K$2:$K$7,$L$2:$L$7,,,"Actual360","LogLinear",TRUE)</f>
        <v>QSObject:ContextInput:w1~input.qs_context_add_curve.2359132437744.8721.3.0:39993</v>
      </c>
      <c r="E8722" s="6" t="str">
        <f>_xll.QS.INSTRUMENT.SWAP("swap.8720",H8722,B8722,"USD","SOFR",I8722,J8722,0,"Actual360","Simple","Annual","Annual","Annual")</f>
        <v>QSObject:Swap:w1~swap.8720:2023</v>
      </c>
      <c r="F8722" s="6" t="str">
        <f>_xll.QS.TRADE.CREATE("trade.8720",E8722,A8722,"Receive")</f>
        <v>QSObject:SwapTrade:w1~trade.8720:23142</v>
      </c>
      <c r="G8722" s="3">
        <f>_xll.QS.EVALUATE(C8722,F8722)</f>
        <v>42948.417315070641</v>
      </c>
      <c r="H8722" s="5" t="s">
        <v>8763</v>
      </c>
      <c r="I8722" s="7">
        <v>1872000</v>
      </c>
      <c r="J8722" s="8">
        <v>3.7000000000000012E-2</v>
      </c>
    </row>
    <row r="8723" spans="1:10" x14ac:dyDescent="0.25">
      <c r="A8723" s="5" t="s">
        <v>8757</v>
      </c>
      <c r="B8723" s="5" t="s">
        <v>10590</v>
      </c>
      <c r="C8723" s="6" t="str">
        <f>_xll.QS.CONTEXT.CREATE("market.8721",A8723,"USD","SOFR")</f>
        <v>QSObject:PricingContext:w1~market.8721:2022</v>
      </c>
      <c r="D8723" s="6" t="str">
        <f>_xll.QS.CONTEXT.ADD.CURVE(C8723,"SOFR",$K$2:$K$7,$L$2:$L$7,,,"Actual360","LogLinear",TRUE)</f>
        <v>QSObject:ContextInput:w1~input.qs_context_add_curve.2359132437744.8722.3.0:32320</v>
      </c>
      <c r="E8723" s="6" t="str">
        <f>_xll.QS.INSTRUMENT.SWAP("swap.8721",H8723,B8723,"USD","SOFR",I8723,J8723,0,"Actual360","Simple","Annual","Annual","Annual")</f>
        <v>QSObject:Swap:w1~swap.8721:2021</v>
      </c>
      <c r="F8723" s="6" t="str">
        <f>_xll.QS.TRADE.CREATE("trade.8721",E8723,A8723,"Receive")</f>
        <v>QSObject:SwapTrade:w1~trade.8721:23141</v>
      </c>
      <c r="G8723" s="3">
        <f>_xll.QS.EVALUATE(C8723,F8723)</f>
        <v>43668.416974183005</v>
      </c>
      <c r="H8723" s="5" t="s">
        <v>8764</v>
      </c>
      <c r="I8723" s="7">
        <v>1872100</v>
      </c>
      <c r="J8723" s="8">
        <v>3.7100000000000001E-2</v>
      </c>
    </row>
    <row r="8724" spans="1:10" x14ac:dyDescent="0.25">
      <c r="A8724" s="5" t="s">
        <v>8758</v>
      </c>
      <c r="B8724" s="5" t="s">
        <v>10591</v>
      </c>
      <c r="C8724" s="6" t="str">
        <f>_xll.QS.CONTEXT.CREATE("market.8722",A8724,"USD","SOFR")</f>
        <v>QSObject:PricingContext:w1~market.8722:2020</v>
      </c>
      <c r="D8724" s="6" t="str">
        <f>_xll.QS.CONTEXT.ADD.CURVE(C8724,"SOFR",$K$2:$K$7,$L$2:$L$7,,,"Actual360","LogLinear",TRUE)</f>
        <v>QSObject:ContextInput:w1~input.qs_context_add_curve.2359132437744.8723.3.0:39361</v>
      </c>
      <c r="E8724" s="6" t="str">
        <f>_xll.QS.INSTRUMENT.SWAP("swap.8722",H8724,B8724,"USD","SOFR",I8724,J8724,0,"Actual360","Simple","Annual","Annual","Annual")</f>
        <v>QSObject:Swap:w1~swap.8722:2019</v>
      </c>
      <c r="F8724" s="6" t="str">
        <f>_xll.QS.TRADE.CREATE("trade.8722",E8724,A8724,"Receive")</f>
        <v>QSObject:SwapTrade:w1~trade.8722:23140</v>
      </c>
      <c r="G8724" s="3">
        <f>_xll.QS.EVALUATE(C8724,F8724)</f>
        <v>44681.770188752882</v>
      </c>
      <c r="H8724" s="5" t="s">
        <v>8765</v>
      </c>
      <c r="I8724" s="7">
        <v>1872200</v>
      </c>
      <c r="J8724" s="8">
        <v>3.7199999999999997E-2</v>
      </c>
    </row>
    <row r="8725" spans="1:10" x14ac:dyDescent="0.25">
      <c r="A8725" s="5" t="s">
        <v>8759</v>
      </c>
      <c r="B8725" s="5" t="s">
        <v>10592</v>
      </c>
      <c r="C8725" s="6" t="str">
        <f>_xll.QS.CONTEXT.CREATE("market.8723",A8725,"USD","SOFR")</f>
        <v>QSObject:PricingContext:w1~market.8723:2018</v>
      </c>
      <c r="D8725" s="6" t="str">
        <f>_xll.QS.CONTEXT.ADD.CURVE(C8725,"SOFR",$K$2:$K$7,$L$2:$L$7,,,"Actual360","LogLinear",TRUE)</f>
        <v>QSObject:ContextInput:w1~input.qs_context_add_curve.2359132437744.8724.3.0:38810</v>
      </c>
      <c r="E8725" s="6" t="str">
        <f>_xll.QS.INSTRUMENT.SWAP("swap.8723",H8725,B8725,"USD","SOFR",I8725,J8725,0,"Actual360","Simple","Annual","Annual","Annual")</f>
        <v>QSObject:Swap:w1~swap.8723:2017</v>
      </c>
      <c r="F8725" s="6" t="str">
        <f>_xll.QS.TRADE.CREATE("trade.8723",E8725,A8725,"Receive")</f>
        <v>QSObject:SwapTrade:w1~trade.8723:23139</v>
      </c>
      <c r="G8725" s="3">
        <f>_xll.QS.EVALUATE(C8725,F8725)</f>
        <v>45735.154858560287</v>
      </c>
      <c r="H8725" s="5" t="s">
        <v>8766</v>
      </c>
      <c r="I8725" s="7">
        <v>1872300</v>
      </c>
      <c r="J8725" s="8">
        <v>3.73E-2</v>
      </c>
    </row>
    <row r="8726" spans="1:10" x14ac:dyDescent="0.25">
      <c r="A8726" s="5" t="s">
        <v>8760</v>
      </c>
      <c r="B8726" s="5" t="s">
        <v>10593</v>
      </c>
      <c r="C8726" s="6" t="str">
        <f>_xll.QS.CONTEXT.CREATE("market.8724",A8726,"USD","SOFR")</f>
        <v>QSObject:PricingContext:w1~market.8724:2016</v>
      </c>
      <c r="D8726" s="6" t="str">
        <f>_xll.QS.CONTEXT.ADD.CURVE(C8726,"SOFR",$K$2:$K$7,$L$2:$L$7,,,"Actual360","LogLinear",TRUE)</f>
        <v>QSObject:ContextInput:w1~input.qs_context_add_curve.2359132437744.8725.3.0:35945</v>
      </c>
      <c r="E8726" s="6" t="str">
        <f>_xll.QS.INSTRUMENT.SWAP("swap.8724",H8726,B8726,"USD","SOFR",I8726,J8726,0,"Actual360","Simple","Annual","Annual","Annual")</f>
        <v>QSObject:Swap:w1~swap.8724:2015</v>
      </c>
      <c r="F8726" s="6" t="str">
        <f>_xll.QS.TRADE.CREATE("trade.8724",E8726,A8726,"Receive")</f>
        <v>QSObject:SwapTrade:w1~trade.8724:23138</v>
      </c>
      <c r="G8726" s="3">
        <f>_xll.QS.EVALUATE(C8726,F8726)</f>
        <v>46602.571857202871</v>
      </c>
      <c r="H8726" s="5" t="s">
        <v>8767</v>
      </c>
      <c r="I8726" s="7">
        <v>1872400</v>
      </c>
      <c r="J8726" s="8">
        <v>3.7400000000000003E-2</v>
      </c>
    </row>
    <row r="8727" spans="1:10" x14ac:dyDescent="0.25">
      <c r="A8727" s="5" t="s">
        <v>8761</v>
      </c>
      <c r="B8727" s="5" t="s">
        <v>10594</v>
      </c>
      <c r="C8727" s="6" t="str">
        <f>_xll.QS.CONTEXT.CREATE("market.8725",A8727,"USD","SOFR")</f>
        <v>QSObject:PricingContext:w1~market.8725:2014</v>
      </c>
      <c r="D8727" s="6" t="str">
        <f>_xll.QS.CONTEXT.ADD.CURVE(C8727,"SOFR",$K$2:$K$7,$L$2:$L$7,,,"Actual360","LogLinear",TRUE)</f>
        <v>QSObject:ContextInput:w1~input.qs_context_add_curve.2359132437744.8726.3.0:33008</v>
      </c>
      <c r="E8727" s="6" t="str">
        <f>_xll.QS.INSTRUMENT.SWAP("swap.8725",H8727,B8727,"USD","SOFR",I8727,J8727,0,"Actual360","Simple","Annual","Annual","Annual")</f>
        <v>QSObject:Swap:w1~swap.8725:2013</v>
      </c>
      <c r="F8727" s="6" t="str">
        <f>_xll.QS.TRADE.CREATE("trade.8725",E8727,A8727,"Receive")</f>
        <v>QSObject:SwapTrade:w1~trade.8725:23137</v>
      </c>
      <c r="G8727" s="3">
        <f>_xll.QS.EVALUATE(C8727,F8727)</f>
        <v>47448.160439921718</v>
      </c>
      <c r="H8727" s="5" t="s">
        <v>8768</v>
      </c>
      <c r="I8727" s="7">
        <v>1872500</v>
      </c>
      <c r="J8727" s="8">
        <v>3.7500000000000012E-2</v>
      </c>
    </row>
    <row r="8728" spans="1:10" x14ac:dyDescent="0.25">
      <c r="A8728" s="5" t="s">
        <v>8762</v>
      </c>
      <c r="B8728" s="5" t="s">
        <v>10595</v>
      </c>
      <c r="C8728" s="6" t="str">
        <f>_xll.QS.CONTEXT.CREATE("market.8726",A8728,"USD","SOFR")</f>
        <v>QSObject:PricingContext:w1~market.8726:2012</v>
      </c>
      <c r="D8728" s="6" t="str">
        <f>_xll.QS.CONTEXT.ADD.CURVE(C8728,"SOFR",$K$2:$K$7,$L$2:$L$7,,,"Actual360","LogLinear",TRUE)</f>
        <v>QSObject:ContextInput:w1~input.qs_context_add_curve.2359132437744.8727.3.0:35944</v>
      </c>
      <c r="E8728" s="6" t="str">
        <f>_xll.QS.INSTRUMENT.SWAP("swap.8726",H8728,B8728,"USD","SOFR",I8728,J8728,0,"Actual360","Simple","Annual","Annual","Annual")</f>
        <v>QSObject:Swap:w1~swap.8726:2011</v>
      </c>
      <c r="F8728" s="6" t="str">
        <f>_xll.QS.TRADE.CREATE("trade.8726",E8728,A8728,"Receive")</f>
        <v>QSObject:SwapTrade:w1~trade.8726:23136</v>
      </c>
      <c r="G8728" s="3">
        <f>_xll.QS.EVALUATE(C8728,F8728)</f>
        <v>48274.165748801373</v>
      </c>
      <c r="H8728" s="5" t="s">
        <v>8769</v>
      </c>
      <c r="I8728" s="7">
        <v>1872600</v>
      </c>
      <c r="J8728" s="8">
        <v>3.7600000000000001E-2</v>
      </c>
    </row>
    <row r="8729" spans="1:10" x14ac:dyDescent="0.25">
      <c r="A8729" s="5" t="s">
        <v>8763</v>
      </c>
      <c r="B8729" s="5" t="s">
        <v>10596</v>
      </c>
      <c r="C8729" s="6" t="str">
        <f>_xll.QS.CONTEXT.CREATE("market.8727",A8729,"USD","SOFR")</f>
        <v>QSObject:PricingContext:w1~market.8727:2010</v>
      </c>
      <c r="D8729" s="6" t="str">
        <f>_xll.QS.CONTEXT.ADD.CURVE(C8729,"SOFR",$K$2:$K$7,$L$2:$L$7,,,"Actual360","LogLinear",TRUE)</f>
        <v>QSObject:ContextInput:w1~input.qs_context_add_curve.2359132437744.8728.3.0:33007</v>
      </c>
      <c r="E8729" s="6" t="str">
        <f>_xll.QS.INSTRUMENT.SWAP("swap.8727",H8729,B8729,"USD","SOFR",I8729,J8729,0,"Actual360","Simple","Annual","Annual","Annual")</f>
        <v>QSObject:Swap:w1~swap.8727:2009</v>
      </c>
      <c r="F8729" s="6" t="str">
        <f>_xll.QS.TRADE.CREATE("trade.8727",E8729,A8729,"Receive")</f>
        <v>QSObject:SwapTrade:w1~trade.8727:23135</v>
      </c>
      <c r="G8729" s="3">
        <f>_xll.QS.EVALUATE(C8729,F8729)</f>
        <v>49097.4979303238</v>
      </c>
      <c r="H8729" s="5" t="s">
        <v>8770</v>
      </c>
      <c r="I8729" s="7">
        <v>1872700</v>
      </c>
      <c r="J8729" s="8">
        <v>3.7699999999999997E-2</v>
      </c>
    </row>
    <row r="8730" spans="1:10" x14ac:dyDescent="0.25">
      <c r="A8730" s="5" t="s">
        <v>8764</v>
      </c>
      <c r="B8730" s="5" t="s">
        <v>10597</v>
      </c>
      <c r="C8730" s="6" t="str">
        <f>_xll.QS.CONTEXT.CREATE("market.8728",A8730,"USD","SOFR")</f>
        <v>QSObject:PricingContext:w1~market.8728:2008</v>
      </c>
      <c r="D8730" s="6" t="str">
        <f>_xll.QS.CONTEXT.ADD.CURVE(C8730,"SOFR",$K$2:$K$7,$L$2:$L$7,,,"Actual360","LogLinear",TRUE)</f>
        <v>QSObject:ContextInput:w1~input.qs_context_add_curve.2359132437744.8729.3.0:33006</v>
      </c>
      <c r="E8730" s="6" t="str">
        <f>_xll.QS.INSTRUMENT.SWAP("swap.8728",H8730,B8730,"USD","SOFR",I8730,J8730,0,"Actual360","Simple","Annual","Annual","Annual")</f>
        <v>QSObject:Swap:w1~swap.8728:2007</v>
      </c>
      <c r="F8730" s="6" t="str">
        <f>_xll.QS.TRADE.CREATE("trade.8728",E8730,A8730,"Receive")</f>
        <v>QSObject:SwapTrade:w1~trade.8728:23134</v>
      </c>
      <c r="G8730" s="3">
        <f>_xll.QS.EVALUATE(C8730,F8730)</f>
        <v>49734.157006588954</v>
      </c>
      <c r="H8730" s="5" t="s">
        <v>8771</v>
      </c>
      <c r="I8730" s="7">
        <v>1872800</v>
      </c>
      <c r="J8730" s="8">
        <v>3.78E-2</v>
      </c>
    </row>
    <row r="8731" spans="1:10" x14ac:dyDescent="0.25">
      <c r="A8731" s="5" t="s">
        <v>8765</v>
      </c>
      <c r="B8731" s="5" t="s">
        <v>10598</v>
      </c>
      <c r="C8731" s="6" t="str">
        <f>_xll.QS.CONTEXT.CREATE("market.8729",A8731,"USD","SOFR")</f>
        <v>QSObject:PricingContext:w1~market.8729:2006</v>
      </c>
      <c r="D8731" s="6" t="str">
        <f>_xll.QS.CONTEXT.ADD.CURVE(C8731,"SOFR",$K$2:$K$7,$L$2:$L$7,,,"Actual360","LogLinear",TRUE)</f>
        <v>QSObject:ContextInput:w1~input.qs_context_add_curve.2359132437744.8730.3.0:35943</v>
      </c>
      <c r="E8731" s="6" t="str">
        <f>_xll.QS.INSTRUMENT.SWAP("swap.8729",H8731,B8731,"USD","SOFR",I8731,J8731,0,"Actual360","Simple","Annual","Annual","Annual")</f>
        <v>QSObject:Swap:w1~swap.8729:2005</v>
      </c>
      <c r="F8731" s="6" t="str">
        <f>_xll.QS.TRADE.CREATE("trade.8729",E8731,A8731,"Receive")</f>
        <v>QSObject:SwapTrade:w1~trade.8729:23133</v>
      </c>
      <c r="G8731" s="3">
        <f>_xll.QS.EVALUATE(C8731,F8731)</f>
        <v>50678.24664002176</v>
      </c>
      <c r="H8731" s="5" t="s">
        <v>8772</v>
      </c>
      <c r="I8731" s="7">
        <v>1872900</v>
      </c>
      <c r="J8731" s="8">
        <v>3.7900000000000003E-2</v>
      </c>
    </row>
    <row r="8732" spans="1:10" x14ac:dyDescent="0.25">
      <c r="A8732" s="5" t="s">
        <v>8766</v>
      </c>
      <c r="B8732" s="5" t="s">
        <v>10599</v>
      </c>
      <c r="C8732" s="6" t="str">
        <f>_xll.QS.CONTEXT.CREATE("market.8730",A8732,"USD","SOFR")</f>
        <v>QSObject:PricingContext:w1~market.8730:2004</v>
      </c>
      <c r="D8732" s="6" t="str">
        <f>_xll.QS.CONTEXT.ADD.CURVE(C8732,"SOFR",$K$2:$K$7,$L$2:$L$7,,,"Actual360","LogLinear",TRUE)</f>
        <v>QSObject:ContextInput:w1~input.qs_context_add_curve.2359132437744.8731.3.0:39360</v>
      </c>
      <c r="E8732" s="6" t="str">
        <f>_xll.QS.INSTRUMENT.SWAP("swap.8730",H8732,B8732,"USD","SOFR",I8732,J8732,0,"Actual360","Simple","Annual","Annual","Annual")</f>
        <v>QSObject:Swap:w1~swap.8730:2003</v>
      </c>
      <c r="F8732" s="6" t="str">
        <f>_xll.QS.TRADE.CREATE("trade.8730",E8732,A8732,"Receive")</f>
        <v>QSObject:SwapTrade:w1~trade.8730:23132</v>
      </c>
      <c r="G8732" s="3">
        <f>_xll.QS.EVALUATE(C8732,F8732)</f>
        <v>51805.953002713853</v>
      </c>
      <c r="H8732" s="5" t="s">
        <v>8773</v>
      </c>
      <c r="I8732" s="7">
        <v>1873000</v>
      </c>
      <c r="J8732" s="8">
        <v>3.8000000000000013E-2</v>
      </c>
    </row>
    <row r="8733" spans="1:10" x14ac:dyDescent="0.25">
      <c r="A8733" s="5" t="s">
        <v>8767</v>
      </c>
      <c r="B8733" s="5" t="s">
        <v>10600</v>
      </c>
      <c r="C8733" s="6" t="str">
        <f>_xll.QS.CONTEXT.CREATE("market.8731",A8733,"USD","SOFR")</f>
        <v>QSObject:PricingContext:w1~market.8731:2002</v>
      </c>
      <c r="D8733" s="6" t="str">
        <f>_xll.QS.CONTEXT.ADD.CURVE(C8733,"SOFR",$K$2:$K$7,$L$2:$L$7,,,"Actual360","LogLinear",TRUE)</f>
        <v>QSObject:ContextInput:w1~input.qs_context_add_curve.2359132437744.8732.3.0:35369</v>
      </c>
      <c r="E8733" s="6" t="str">
        <f>_xll.QS.INSTRUMENT.SWAP("swap.8731",H8733,B8733,"USD","SOFR",I8733,J8733,0,"Actual360","Simple","Annual","Annual","Annual")</f>
        <v>QSObject:Swap:w1~swap.8731:2001</v>
      </c>
      <c r="F8733" s="6" t="str">
        <f>_xll.QS.TRADE.CREATE("trade.8731",E8733,A8733,"Receive")</f>
        <v>QSObject:SwapTrade:w1~trade.8731:23131</v>
      </c>
      <c r="G8733" s="3">
        <f>_xll.QS.EVALUATE(C8733,F8733)</f>
        <v>52682.374876272115</v>
      </c>
      <c r="H8733" s="5" t="s">
        <v>8774</v>
      </c>
      <c r="I8733" s="7">
        <v>1873100</v>
      </c>
      <c r="J8733" s="8">
        <v>3.8100000000000002E-2</v>
      </c>
    </row>
    <row r="8734" spans="1:10" x14ac:dyDescent="0.25">
      <c r="A8734" s="5" t="s">
        <v>8768</v>
      </c>
      <c r="B8734" s="5" t="s">
        <v>10601</v>
      </c>
      <c r="C8734" s="6" t="str">
        <f>_xll.QS.CONTEXT.CREATE("market.8732",A8734,"USD","SOFR")</f>
        <v>QSObject:PricingContext:w1~market.8732:2000</v>
      </c>
      <c r="D8734" s="6" t="str">
        <f>_xll.QS.CONTEXT.ADD.CURVE(C8734,"SOFR",$K$2:$K$7,$L$2:$L$7,,,"Actual360","LogLinear",TRUE)</f>
        <v>QSObject:ContextInput:w1~input.qs_context_add_curve.2359132437744.8733.3.0:31747</v>
      </c>
      <c r="E8734" s="6" t="str">
        <f>_xll.QS.INSTRUMENT.SWAP("swap.8732",H8734,B8734,"USD","SOFR",I8734,J8734,0,"Actual360","Simple","Annual","Annual","Annual")</f>
        <v>QSObject:Swap:w1~swap.8732:1999</v>
      </c>
      <c r="F8734" s="6" t="str">
        <f>_xll.QS.TRADE.CREATE("trade.8732",E8734,A8734,"Receive")</f>
        <v>QSObject:SwapTrade:w1~trade.8732:23130</v>
      </c>
      <c r="G8734" s="3">
        <f>_xll.QS.EVALUATE(C8734,F8734)</f>
        <v>53567.872953097751</v>
      </c>
      <c r="H8734" s="5" t="s">
        <v>8775</v>
      </c>
      <c r="I8734" s="7">
        <v>1873200</v>
      </c>
      <c r="J8734" s="8">
        <v>3.8199999999999998E-2</v>
      </c>
    </row>
    <row r="8735" spans="1:10" x14ac:dyDescent="0.25">
      <c r="A8735" s="5" t="s">
        <v>8769</v>
      </c>
      <c r="B8735" s="5" t="s">
        <v>10602</v>
      </c>
      <c r="C8735" s="6" t="str">
        <f>_xll.QS.CONTEXT.CREATE("market.8733",A8735,"USD","SOFR")</f>
        <v>QSObject:PricingContext:w1~market.8733:1998</v>
      </c>
      <c r="D8735" s="6" t="str">
        <f>_xll.QS.CONTEXT.ADD.CURVE(C8735,"SOFR",$K$2:$K$7,$L$2:$L$7,,,"Actual360","LogLinear",TRUE)</f>
        <v>QSObject:ContextInput:w1~input.qs_context_add_curve.2359132437744.8734.3.0:35942</v>
      </c>
      <c r="E8735" s="6" t="str">
        <f>_xll.QS.INSTRUMENT.SWAP("swap.8733",H8735,B8735,"USD","SOFR",I8735,J8735,0,"Actual360","Simple","Annual","Annual","Annual")</f>
        <v>QSObject:Swap:w1~swap.8733:1997</v>
      </c>
      <c r="F8735" s="6" t="str">
        <f>_xll.QS.TRADE.CREATE("trade.8733",E8735,A8735,"Receive")</f>
        <v>QSObject:SwapTrade:w1~trade.8733:23129</v>
      </c>
      <c r="G8735" s="3">
        <f>_xll.QS.EVALUATE(C8735,F8735)</f>
        <v>54407.210037902842</v>
      </c>
      <c r="H8735" s="5" t="s">
        <v>8776</v>
      </c>
      <c r="I8735" s="7">
        <v>1873300</v>
      </c>
      <c r="J8735" s="8">
        <v>3.8300000000000001E-2</v>
      </c>
    </row>
    <row r="8736" spans="1:10" x14ac:dyDescent="0.25">
      <c r="A8736" s="5" t="s">
        <v>8770</v>
      </c>
      <c r="B8736" s="5" t="s">
        <v>10603</v>
      </c>
      <c r="C8736" s="6" t="str">
        <f>_xll.QS.CONTEXT.CREATE("market.8734",A8736,"USD","SOFR")</f>
        <v>QSObject:PricingContext:w1~market.8734:1996</v>
      </c>
      <c r="D8736" s="6" t="str">
        <f>_xll.QS.CONTEXT.ADD.CURVE(C8736,"SOFR",$K$2:$K$7,$L$2:$L$7,,,"Actual360","LogLinear",TRUE)</f>
        <v>QSObject:ContextInput:w1~input.qs_context_add_curve.2359132437744.8735.3.0:33005</v>
      </c>
      <c r="E8736" s="6" t="str">
        <f>_xll.QS.INSTRUMENT.SWAP("swap.8734",H8736,B8736,"USD","SOFR",I8736,J8736,0,"Actual360","Simple","Annual","Annual","Annual")</f>
        <v>QSObject:Swap:w1~swap.8734:1995</v>
      </c>
      <c r="F8736" s="6" t="str">
        <f>_xll.QS.TRADE.CREATE("trade.8734",E8736,A8736,"Receive")</f>
        <v>QSObject:SwapTrade:w1~trade.8734:23128</v>
      </c>
      <c r="G8736" s="3">
        <f>_xll.QS.EVALUATE(C8736,F8736)</f>
        <v>55129.994451093626</v>
      </c>
      <c r="H8736" s="5" t="s">
        <v>8777</v>
      </c>
      <c r="I8736" s="7">
        <v>1873400</v>
      </c>
      <c r="J8736" s="8">
        <v>3.8399999999999997E-2</v>
      </c>
    </row>
    <row r="8737" spans="1:10" x14ac:dyDescent="0.25">
      <c r="A8737" s="5" t="s">
        <v>8771</v>
      </c>
      <c r="B8737" s="5" t="s">
        <v>10604</v>
      </c>
      <c r="C8737" s="6" t="str">
        <f>_xll.QS.CONTEXT.CREATE("market.8735",A8737,"USD","SOFR")</f>
        <v>QSObject:PricingContext:w1~market.8735:1994</v>
      </c>
      <c r="D8737" s="6" t="str">
        <f>_xll.QS.CONTEXT.ADD.CURVE(C8737,"SOFR",$K$2:$K$7,$L$2:$L$7,,,"Actual360","LogLinear",TRUE)</f>
        <v>QSObject:ContextInput:w1~input.qs_context_add_curve.2359132437744.8736.3.0:39359</v>
      </c>
      <c r="E8737" s="6" t="str">
        <f>_xll.QS.INSTRUMENT.SWAP("swap.8735",H8737,B8737,"USD","SOFR",I8737,J8737,0,"Actual360","Simple","Annual","Annual","Annual")</f>
        <v>QSObject:Swap:w1~swap.8735:1993</v>
      </c>
      <c r="F8737" s="6" t="str">
        <f>_xll.QS.TRADE.CREATE("trade.8735",E8737,A8737,"Receive")</f>
        <v>QSObject:SwapTrade:w1~trade.8735:23127</v>
      </c>
      <c r="G8737" s="3">
        <f>_xll.QS.EVALUATE(C8737,F8737)</f>
        <v>55869.842503712716</v>
      </c>
      <c r="H8737" s="5" t="s">
        <v>8778</v>
      </c>
      <c r="I8737" s="7">
        <v>1873500</v>
      </c>
      <c r="J8737" s="8">
        <v>3.8500000000000013E-2</v>
      </c>
    </row>
    <row r="8738" spans="1:10" x14ac:dyDescent="0.25">
      <c r="A8738" s="5" t="s">
        <v>8772</v>
      </c>
      <c r="B8738" s="5" t="s">
        <v>10605</v>
      </c>
      <c r="C8738" s="6" t="str">
        <f>_xll.QS.CONTEXT.CREATE("market.8736",A8738,"USD","SOFR")</f>
        <v>QSObject:PricingContext:w1~market.8736:1992</v>
      </c>
      <c r="D8738" s="6" t="str">
        <f>_xll.QS.CONTEXT.ADD.CURVE(C8738,"SOFR",$K$2:$K$7,$L$2:$L$7,,,"Actual360","LogLinear",TRUE)</f>
        <v>QSObject:ContextInput:w1~input.qs_context_add_curve.2359132437744.8737.3.0:38145</v>
      </c>
      <c r="E8738" s="6" t="str">
        <f>_xll.QS.INSTRUMENT.SWAP("swap.8736",H8738,B8738,"USD","SOFR",I8738,J8738,0,"Actual360","Simple","Annual","Annual","Annual")</f>
        <v>QSObject:Swap:w1~swap.8736:1991</v>
      </c>
      <c r="F8738" s="6" t="str">
        <f>_xll.QS.TRADE.CREATE("trade.8736",E8738,A8738,"Receive")</f>
        <v>QSObject:SwapTrade:w1~trade.8736:23126</v>
      </c>
      <c r="G8738" s="3">
        <f>_xll.QS.EVALUATE(C8738,F8738)</f>
        <v>56816.820083967745</v>
      </c>
      <c r="H8738" s="5" t="s">
        <v>8779</v>
      </c>
      <c r="I8738" s="7">
        <v>1873600</v>
      </c>
      <c r="J8738" s="8">
        <v>3.8600000000000002E-2</v>
      </c>
    </row>
    <row r="8739" spans="1:10" x14ac:dyDescent="0.25">
      <c r="A8739" s="5" t="s">
        <v>8773</v>
      </c>
      <c r="B8739" s="5" t="s">
        <v>10606</v>
      </c>
      <c r="C8739" s="6" t="str">
        <f>_xll.QS.CONTEXT.CREATE("market.8737",A8739,"USD","SOFR")</f>
        <v>QSObject:PricingContext:w1~market.8737:1990</v>
      </c>
      <c r="D8739" s="6" t="str">
        <f>_xll.QS.CONTEXT.ADD.CURVE(C8739,"SOFR",$K$2:$K$7,$L$2:$L$7,,,"Actual360","LogLinear",TRUE)</f>
        <v>QSObject:ContextInput:w1~input.qs_context_add_curve.2359132437744.8738.3.0:39358</v>
      </c>
      <c r="E8739" s="6" t="str">
        <f>_xll.QS.INSTRUMENT.SWAP("swap.8737",H8739,B8739,"USD","SOFR",I8739,J8739,0,"Actual360","Simple","Annual","Annual","Annual")</f>
        <v>QSObject:Swap:w1~swap.8737:1989</v>
      </c>
      <c r="F8739" s="6" t="str">
        <f>_xll.QS.TRADE.CREATE("trade.8737",E8739,A8739,"Receive")</f>
        <v>QSObject:SwapTrade:w1~trade.8737:23125</v>
      </c>
      <c r="G8739" s="3">
        <f>_xll.QS.EVALUATE(C8739,F8739)</f>
        <v>57868.323099468616</v>
      </c>
      <c r="H8739" s="5" t="s">
        <v>8780</v>
      </c>
      <c r="I8739" s="7">
        <v>1873700</v>
      </c>
      <c r="J8739" s="8">
        <v>3.8700000000000012E-2</v>
      </c>
    </row>
    <row r="8740" spans="1:10" x14ac:dyDescent="0.25">
      <c r="A8740" s="5" t="s">
        <v>8774</v>
      </c>
      <c r="B8740" s="5" t="s">
        <v>10607</v>
      </c>
      <c r="C8740" s="6" t="str">
        <f>_xll.QS.CONTEXT.CREATE("market.8738",A8740,"USD","SOFR")</f>
        <v>QSObject:PricingContext:w1~market.8738:1988</v>
      </c>
      <c r="D8740" s="6" t="str">
        <f>_xll.QS.CONTEXT.ADD.CURVE(C8740,"SOFR",$K$2:$K$7,$L$2:$L$7,,,"Actual360","LogLinear",TRUE)</f>
        <v>QSObject:ContextInput:w1~input.qs_context_add_curve.2359132437744.8739.3.0:33530</v>
      </c>
      <c r="E8740" s="6" t="str">
        <f>_xll.QS.INSTRUMENT.SWAP("swap.8738",H8740,B8740,"USD","SOFR",I8740,J8740,0,"Actual360","Simple","Annual","Annual","Annual")</f>
        <v>QSObject:Swap:w1~swap.8738:1987</v>
      </c>
      <c r="F8740" s="6" t="str">
        <f>_xll.QS.TRADE.CREATE("trade.8738",E8740,A8740,"Receive")</f>
        <v>QSObject:SwapTrade:w1~trade.8738:23124</v>
      </c>
      <c r="G8740" s="3">
        <f>_xll.QS.EVALUATE(C8740,F8740)</f>
        <v>58663.255551610971</v>
      </c>
      <c r="H8740" s="5" t="s">
        <v>8781</v>
      </c>
      <c r="I8740" s="7">
        <v>1873800</v>
      </c>
      <c r="J8740" s="8">
        <v>3.8800000000000001E-2</v>
      </c>
    </row>
    <row r="8741" spans="1:10" x14ac:dyDescent="0.25">
      <c r="A8741" s="5" t="s">
        <v>8775</v>
      </c>
      <c r="B8741" s="5" t="s">
        <v>10608</v>
      </c>
      <c r="C8741" s="6" t="str">
        <f>_xll.QS.CONTEXT.CREATE("market.8739",A8741,"USD","SOFR")</f>
        <v>QSObject:PricingContext:w1~market.8739:1986</v>
      </c>
      <c r="D8741" s="6" t="str">
        <f>_xll.QS.CONTEXT.ADD.CURVE(C8741,"SOFR",$K$2:$K$7,$L$2:$L$7,,,"Actual360","LogLinear",TRUE)</f>
        <v>QSObject:ContextInput:w1~input.qs_context_add_curve.2359132437744.8740.3.0:34750</v>
      </c>
      <c r="E8741" s="6" t="str">
        <f>_xll.QS.INSTRUMENT.SWAP("swap.8739",H8741,B8741,"USD","SOFR",I8741,J8741,0,"Actual360","Simple","Annual","Annual","Annual")</f>
        <v>QSObject:Swap:w1~swap.8739:1985</v>
      </c>
      <c r="F8741" s="6" t="str">
        <f>_xll.QS.TRADE.CREATE("trade.8739",E8741,A8741,"Receive")</f>
        <v>QSObject:SwapTrade:w1~trade.8739:23123</v>
      </c>
      <c r="G8741" s="3">
        <f>_xll.QS.EVALUATE(C8741,F8741)</f>
        <v>59612.516289838415</v>
      </c>
      <c r="H8741" s="5" t="s">
        <v>8782</v>
      </c>
      <c r="I8741" s="7">
        <v>1873900</v>
      </c>
      <c r="J8741" s="8">
        <v>3.8899999999999997E-2</v>
      </c>
    </row>
    <row r="8742" spans="1:10" x14ac:dyDescent="0.25">
      <c r="A8742" s="5" t="s">
        <v>8776</v>
      </c>
      <c r="B8742" s="5" t="s">
        <v>10609</v>
      </c>
      <c r="C8742" s="6" t="str">
        <f>_xll.QS.CONTEXT.CREATE("market.8740",A8742,"USD","SOFR")</f>
        <v>QSObject:PricingContext:w1~market.8740:1984</v>
      </c>
      <c r="D8742" s="6" t="str">
        <f>_xll.QS.CONTEXT.ADD.CURVE(C8742,"SOFR",$K$2:$K$7,$L$2:$L$7,,,"Actual360","LogLinear",TRUE)</f>
        <v>QSObject:ContextInput:w1~input.qs_context_add_curve.2359132437744.8741.3.0:38144</v>
      </c>
      <c r="E8742" s="6" t="str">
        <f>_xll.QS.INSTRUMENT.SWAP("swap.8740",H8742,B8742,"USD","SOFR",I8742,J8742,0,"Actual360","Simple","Annual","Annual","Annual")</f>
        <v>QSObject:Swap:w1~swap.8740:1983</v>
      </c>
      <c r="F8742" s="6" t="str">
        <f>_xll.QS.TRADE.CREATE("trade.8740",E8742,A8742,"Receive")</f>
        <v>QSObject:SwapTrade:w1~trade.8740:23122</v>
      </c>
      <c r="G8742" s="3">
        <f>_xll.QS.EVALUATE(C8742,F8742)</f>
        <v>60407.662747074122</v>
      </c>
      <c r="H8742" s="5" t="s">
        <v>8783</v>
      </c>
      <c r="I8742" s="7">
        <v>1874000</v>
      </c>
      <c r="J8742" s="8">
        <v>3.9000000000000007E-2</v>
      </c>
    </row>
    <row r="8743" spans="1:10" x14ac:dyDescent="0.25">
      <c r="A8743" s="5" t="s">
        <v>8777</v>
      </c>
      <c r="B8743" s="5" t="s">
        <v>10610</v>
      </c>
      <c r="C8743" s="6" t="str">
        <f>_xll.QS.CONTEXT.CREATE("market.8741",A8743,"USD","SOFR")</f>
        <v>QSObject:PricingContext:w1~market.8741:1982</v>
      </c>
      <c r="D8743" s="6" t="str">
        <f>_xll.QS.CONTEXT.ADD.CURVE(C8743,"SOFR",$K$2:$K$7,$L$2:$L$7,,,"Actual360","LogLinear",TRUE)</f>
        <v>QSObject:ContextInput:w1~input.qs_context_add_curve.2359132437744.8742.3.0:38143</v>
      </c>
      <c r="E8743" s="6" t="str">
        <f>_xll.QS.INSTRUMENT.SWAP("swap.8741",H8743,B8743,"USD","SOFR",I8743,J8743,0,"Actual360","Simple","Annual","Annual","Annual")</f>
        <v>QSObject:Swap:w1~swap.8741:1981</v>
      </c>
      <c r="F8743" s="6" t="str">
        <f>_xll.QS.TRADE.CREATE("trade.8741",E8743,A8743,"Receive")</f>
        <v>QSObject:SwapTrade:w1~trade.8741:23121</v>
      </c>
      <c r="G8743" s="3">
        <f>_xll.QS.EVALUATE(C8743,F8743)</f>
        <v>61123.947636137222</v>
      </c>
      <c r="H8743" s="5" t="s">
        <v>8784</v>
      </c>
      <c r="I8743" s="7">
        <v>1874100</v>
      </c>
      <c r="J8743" s="8">
        <v>3.9100000000000003E-2</v>
      </c>
    </row>
    <row r="8744" spans="1:10" x14ac:dyDescent="0.25">
      <c r="A8744" s="5" t="s">
        <v>8778</v>
      </c>
      <c r="B8744" s="5" t="s">
        <v>10611</v>
      </c>
      <c r="C8744" s="6" t="str">
        <f>_xll.QS.CONTEXT.CREATE("market.8742",A8744,"USD","SOFR")</f>
        <v>QSObject:PricingContext:w1~market.8742:1980</v>
      </c>
      <c r="D8744" s="6" t="str">
        <f>_xll.QS.CONTEXT.ADD.CURVE(C8744,"SOFR",$K$2:$K$7,$L$2:$L$7,,,"Actual360","LogLinear",TRUE)</f>
        <v>QSObject:ContextInput:w1~input.qs_context_add_curve.2359132437744.8743.3.0:38809</v>
      </c>
      <c r="E8744" s="6" t="str">
        <f>_xll.QS.INSTRUMENT.SWAP("swap.8742",H8744,B8744,"USD","SOFR",I8744,J8744,0,"Actual360","Simple","Annual","Annual","Annual")</f>
        <v>QSObject:Swap:w1~swap.8742:1979</v>
      </c>
      <c r="F8744" s="6" t="str">
        <f>_xll.QS.TRADE.CREATE("trade.8742",E8744,A8744,"Receive")</f>
        <v>QSObject:SwapTrade:w1~trade.8742:23120</v>
      </c>
      <c r="G8744" s="3">
        <f>_xll.QS.EVALUATE(C8744,F8744)</f>
        <v>61873.890000108986</v>
      </c>
      <c r="H8744" s="5" t="s">
        <v>8785</v>
      </c>
      <c r="I8744" s="7">
        <v>1874200</v>
      </c>
      <c r="J8744" s="8">
        <v>3.9200000000000013E-2</v>
      </c>
    </row>
    <row r="8745" spans="1:10" x14ac:dyDescent="0.25">
      <c r="A8745" s="5" t="s">
        <v>8779</v>
      </c>
      <c r="B8745" s="5" t="s">
        <v>10612</v>
      </c>
      <c r="C8745" s="6" t="str">
        <f>_xll.QS.CONTEXT.CREATE("market.8743",A8745,"USD","SOFR")</f>
        <v>QSObject:PricingContext:w1~market.8743:1978</v>
      </c>
      <c r="D8745" s="6" t="str">
        <f>_xll.QS.CONTEXT.ADD.CURVE(C8745,"SOFR",$K$2:$K$7,$L$2:$L$7,,,"Actual360","LogLinear",TRUE)</f>
        <v>QSObject:ContextInput:w1~input.qs_context_add_curve.2359132437744.8744.3.0:33529</v>
      </c>
      <c r="E8745" s="6" t="str">
        <f>_xll.QS.INSTRUMENT.SWAP("swap.8743",H8745,B8745,"USD","SOFR",I8745,J8745,0,"Actual360","Simple","Annual","Annual","Annual")</f>
        <v>QSObject:Swap:w1~swap.8743:1977</v>
      </c>
      <c r="F8745" s="6" t="str">
        <f>_xll.QS.TRADE.CREATE("trade.8743",E8745,A8745,"Receive")</f>
        <v>QSObject:SwapTrade:w1~trade.8743:23119</v>
      </c>
      <c r="G8745" s="3">
        <f>_xll.QS.EVALUATE(C8745,F8745)</f>
        <v>62822.07395779153</v>
      </c>
      <c r="H8745" s="5" t="s">
        <v>8786</v>
      </c>
      <c r="I8745" s="7">
        <v>1874300</v>
      </c>
      <c r="J8745" s="8">
        <v>3.9300000000000002E-2</v>
      </c>
    </row>
    <row r="8746" spans="1:10" x14ac:dyDescent="0.25">
      <c r="A8746" s="5" t="s">
        <v>8780</v>
      </c>
      <c r="B8746" s="5" t="s">
        <v>10613</v>
      </c>
      <c r="C8746" s="6" t="str">
        <f>_xll.QS.CONTEXT.CREATE("market.8744",A8746,"USD","SOFR")</f>
        <v>QSObject:PricingContext:w1~market.8744:1976</v>
      </c>
      <c r="D8746" s="6" t="str">
        <f>_xll.QS.CONTEXT.ADD.CURVE(C8746,"SOFR",$K$2:$K$7,$L$2:$L$7,,,"Actual360","LogLinear",TRUE)</f>
        <v>QSObject:ContextInput:w1~input.qs_context_add_curve.2359132437744.8745.3.0:34137</v>
      </c>
      <c r="E8746" s="6" t="str">
        <f>_xll.QS.INSTRUMENT.SWAP("swap.8744",H8746,B8746,"USD","SOFR",I8746,J8746,0,"Actual360","Simple","Annual","Annual","Annual")</f>
        <v>QSObject:Swap:w1~swap.8744:1975</v>
      </c>
      <c r="F8746" s="6" t="str">
        <f>_xll.QS.TRADE.CREATE("trade.8744",E8746,A8746,"Receive")</f>
        <v>QSObject:SwapTrade:w1~trade.8744:23118</v>
      </c>
      <c r="G8746" s="3">
        <f>_xll.QS.EVALUATE(C8746,F8746)</f>
        <v>63730.630968396857</v>
      </c>
      <c r="H8746" s="5" t="s">
        <v>8787</v>
      </c>
      <c r="I8746" s="7">
        <v>1874400</v>
      </c>
      <c r="J8746" s="8">
        <v>3.9399999999999998E-2</v>
      </c>
    </row>
    <row r="8747" spans="1:10" x14ac:dyDescent="0.25">
      <c r="A8747" s="5" t="s">
        <v>8781</v>
      </c>
      <c r="B8747" s="5" t="s">
        <v>10614</v>
      </c>
      <c r="C8747" s="6" t="str">
        <f>_xll.QS.CONTEXT.CREATE("market.8745",A8747,"USD","SOFR")</f>
        <v>QSObject:PricingContext:w1~market.8745:1974</v>
      </c>
      <c r="D8747" s="6" t="str">
        <f>_xll.QS.CONTEXT.ADD.CURVE(C8747,"SOFR",$K$2:$K$7,$L$2:$L$7,,,"Actual360","LogLinear",TRUE)</f>
        <v>QSObject:ContextInput:w1~input.qs_context_add_curve.2359132437744.8746.3.0:35368</v>
      </c>
      <c r="E8747" s="6" t="str">
        <f>_xll.QS.INSTRUMENT.SWAP("swap.8745",H8747,B8747,"USD","SOFR",I8747,J8747,0,"Actual360","Simple","Annual","Annual","Annual")</f>
        <v>QSObject:Swap:w1~swap.8745:1973</v>
      </c>
      <c r="F8747" s="6" t="str">
        <f>_xll.QS.TRADE.CREATE("trade.8745",E8747,A8747,"Receive")</f>
        <v>QSObject:SwapTrade:w1~trade.8745:23117</v>
      </c>
      <c r="G8747" s="3">
        <f>_xll.QS.EVALUATE(C8747,F8747)</f>
        <v>64736.004572145968</v>
      </c>
      <c r="H8747" s="5" t="s">
        <v>8788</v>
      </c>
      <c r="I8747" s="7">
        <v>1874500</v>
      </c>
      <c r="J8747" s="8">
        <v>3.9500000000000007E-2</v>
      </c>
    </row>
    <row r="8748" spans="1:10" x14ac:dyDescent="0.25">
      <c r="A8748" s="5" t="s">
        <v>8782</v>
      </c>
      <c r="B8748" s="5" t="s">
        <v>10615</v>
      </c>
      <c r="C8748" s="6" t="str">
        <f>_xll.QS.CONTEXT.CREATE("market.8746",A8748,"USD","SOFR")</f>
        <v>QSObject:PricingContext:w1~market.8746:1972</v>
      </c>
      <c r="D8748" s="6" t="str">
        <f>_xll.QS.CONTEXT.ADD.CURVE(C8748,"SOFR",$K$2:$K$7,$L$2:$L$7,,,"Actual360","LogLinear",TRUE)</f>
        <v>QSObject:ContextInput:w1~input.qs_context_add_curve.2359132437744.8747.3.0:35367</v>
      </c>
      <c r="E8748" s="6" t="str">
        <f>_xll.QS.INSTRUMENT.SWAP("swap.8746",H8748,B8748,"USD","SOFR",I8748,J8748,0,"Actual360","Simple","Annual","Annual","Annual")</f>
        <v>QSObject:Swap:w1~swap.8746:1971</v>
      </c>
      <c r="F8748" s="6" t="str">
        <f>_xll.QS.TRADE.CREATE("trade.8746",E8748,A8748,"Receive")</f>
        <v>QSObject:SwapTrade:w1~trade.8746:23116</v>
      </c>
      <c r="G8748" s="3">
        <f>_xll.QS.EVALUATE(C8748,F8748)</f>
        <v>65686.010997074627</v>
      </c>
      <c r="H8748" s="5" t="s">
        <v>8789</v>
      </c>
      <c r="I8748" s="7">
        <v>1874600</v>
      </c>
      <c r="J8748" s="8">
        <v>3.9600000000000003E-2</v>
      </c>
    </row>
    <row r="8749" spans="1:10" x14ac:dyDescent="0.25">
      <c r="A8749" s="5" t="s">
        <v>8783</v>
      </c>
      <c r="B8749" s="5" t="s">
        <v>10616</v>
      </c>
      <c r="C8749" s="6" t="str">
        <f>_xll.QS.CONTEXT.CREATE("market.8747",A8749,"USD","SOFR")</f>
        <v>QSObject:PricingContext:w1~market.8747:1970</v>
      </c>
      <c r="D8749" s="6" t="str">
        <f>_xll.QS.CONTEXT.ADD.CURVE(C8749,"SOFR",$K$2:$K$7,$L$2:$L$7,,,"Actual360","LogLinear",TRUE)</f>
        <v>QSObject:ContextInput:w1~input.qs_context_add_curve.2359132437744.8748.3.0:32319</v>
      </c>
      <c r="E8749" s="6" t="str">
        <f>_xll.QS.INSTRUMENT.SWAP("swap.8747",H8749,B8749,"USD","SOFR",I8749,J8749,0,"Actual360","Simple","Annual","Annual","Annual")</f>
        <v>QSObject:Swap:w1~swap.8747:1969</v>
      </c>
      <c r="F8749" s="6" t="str">
        <f>_xll.QS.TRADE.CREATE("trade.8747",E8749,A8749,"Receive")</f>
        <v>QSObject:SwapTrade:w1~trade.8747:23115</v>
      </c>
      <c r="G8749" s="3">
        <f>_xll.QS.EVALUATE(C8749,F8749)</f>
        <v>66481.709600421309</v>
      </c>
      <c r="H8749" s="5" t="s">
        <v>8790</v>
      </c>
      <c r="I8749" s="7">
        <v>1874700</v>
      </c>
      <c r="J8749" s="8">
        <v>3.9700000000000013E-2</v>
      </c>
    </row>
    <row r="8750" spans="1:10" x14ac:dyDescent="0.25">
      <c r="A8750" s="5" t="s">
        <v>8784</v>
      </c>
      <c r="B8750" s="5" t="s">
        <v>10617</v>
      </c>
      <c r="C8750" s="6" t="str">
        <f>_xll.QS.CONTEXT.CREATE("market.8748",A8750,"USD","SOFR")</f>
        <v>QSObject:PricingContext:w1~market.8748:1968</v>
      </c>
      <c r="D8750" s="6" t="str">
        <f>_xll.QS.CONTEXT.ADD.CURVE(C8750,"SOFR",$K$2:$K$7,$L$2:$L$7,,,"Actual360","LogLinear",TRUE)</f>
        <v>QSObject:ContextInput:w1~input.qs_context_add_curve.2359132437744.8749.3.0:35366</v>
      </c>
      <c r="E8750" s="6" t="str">
        <f>_xll.QS.INSTRUMENT.SWAP("swap.8748",H8750,B8750,"USD","SOFR",I8750,J8750,0,"Actual360","Simple","Annual","Annual","Annual")</f>
        <v>QSObject:Swap:w1~swap.8748:1967</v>
      </c>
      <c r="F8750" s="6" t="str">
        <f>_xll.QS.TRADE.CREATE("trade.8748",E8750,A8750,"Receive")</f>
        <v>QSObject:SwapTrade:w1~trade.8748:23114</v>
      </c>
      <c r="G8750" s="3">
        <f>_xll.QS.EVALUATE(C8750,F8750)</f>
        <v>67191.456684983335</v>
      </c>
      <c r="H8750" s="5" t="s">
        <v>8791</v>
      </c>
      <c r="I8750" s="7">
        <v>1874800</v>
      </c>
      <c r="J8750" s="8">
        <v>3.9800000000000002E-2</v>
      </c>
    </row>
    <row r="8751" spans="1:10" x14ac:dyDescent="0.25">
      <c r="A8751" s="5" t="s">
        <v>8785</v>
      </c>
      <c r="B8751" s="5" t="s">
        <v>10618</v>
      </c>
      <c r="C8751" s="6" t="str">
        <f>_xll.QS.CONTEXT.CREATE("market.8749",A8751,"USD","SOFR")</f>
        <v>QSObject:PricingContext:w1~market.8749:1966</v>
      </c>
      <c r="D8751" s="6" t="str">
        <f>_xll.QS.CONTEXT.ADD.CURVE(C8751,"SOFR",$K$2:$K$7,$L$2:$L$7,,,"Actual360","LogLinear",TRUE)</f>
        <v>QSObject:ContextInput:w1~input.qs_context_add_curve.2359132437744.8750.3.0:34136</v>
      </c>
      <c r="E8751" s="6" t="str">
        <f>_xll.QS.INSTRUMENT.SWAP("swap.8749",H8751,B8751,"USD","SOFR",I8751,J8751,0,"Actual360","Simple","Annual","Annual","Annual")</f>
        <v>QSObject:Swap:w1~swap.8749:1965</v>
      </c>
      <c r="F8751" s="6" t="str">
        <f>_xll.QS.TRADE.CREATE("trade.8749",E8751,A8751,"Receive")</f>
        <v>QSObject:SwapTrade:w1~trade.8749:23113</v>
      </c>
      <c r="G8751" s="3">
        <f>_xll.QS.EVALUATE(C8751,F8751)</f>
        <v>67951.383128442976</v>
      </c>
      <c r="H8751" s="5" t="s">
        <v>8792</v>
      </c>
      <c r="I8751" s="7">
        <v>1874900</v>
      </c>
      <c r="J8751" s="8">
        <v>3.9899999999999998E-2</v>
      </c>
    </row>
    <row r="8752" spans="1:10" x14ac:dyDescent="0.25">
      <c r="A8752" s="5" t="s">
        <v>8786</v>
      </c>
      <c r="B8752" s="5" t="s">
        <v>10619</v>
      </c>
      <c r="C8752" s="6" t="str">
        <f>_xll.QS.CONTEXT.CREATE("market.8750",A8752,"USD","SOFR")</f>
        <v>QSObject:PricingContext:w1~market.8750:1703</v>
      </c>
      <c r="D8752" s="6" t="str">
        <f>_xll.QS.CONTEXT.ADD.CURVE(C8752,"SOFR",$K$2:$K$7,$L$2:$L$7,,,"Actual360","LogLinear",TRUE)</f>
        <v>QSObject:ContextInput:w1~input.qs_context_add_curve.2359132437744.8751.3.0:38142</v>
      </c>
      <c r="E8752" s="6" t="str">
        <f>_xll.QS.INSTRUMENT.SWAP("swap.8750",H8752,B8752,"USD","SOFR",I8752,J8752,0,"Actual360","Simple","Annual","Annual","Annual")</f>
        <v>QSObject:Swap:w1~swap.8750:1702</v>
      </c>
      <c r="F8752" s="6" t="str">
        <f>_xll.QS.TRADE.CREATE("trade.8750",E8752,A8752,"Receive")</f>
        <v>QSObject:SwapTrade:w1~trade.8750:23112</v>
      </c>
      <c r="G8752" s="3">
        <f>_xll.QS.EVALUATE(C8752,F8752)</f>
        <v>25648.625457480506</v>
      </c>
      <c r="H8752" s="5" t="s">
        <v>8793</v>
      </c>
      <c r="I8752" s="7">
        <v>1875000</v>
      </c>
      <c r="J8752" s="8">
        <v>3.5000000000000003E-2</v>
      </c>
    </row>
    <row r="8753" spans="1:10" x14ac:dyDescent="0.25">
      <c r="A8753" s="5" t="s">
        <v>8787</v>
      </c>
      <c r="B8753" s="5" t="s">
        <v>10620</v>
      </c>
      <c r="C8753" s="6" t="str">
        <f>_xll.QS.CONTEXT.CREATE("market.8751",A8753,"USD","SOFR")</f>
        <v>QSObject:PricingContext:w1~market.8751:1701</v>
      </c>
      <c r="D8753" s="6" t="str">
        <f>_xll.QS.CONTEXT.ADD.CURVE(C8753,"SOFR",$K$2:$K$7,$L$2:$L$7,,,"Actual360","LogLinear",TRUE)</f>
        <v>QSObject:ContextInput:w1~input.qs_context_add_curve.2359132437744.8752.3.0:35365</v>
      </c>
      <c r="E8753" s="6" t="str">
        <f>_xll.QS.INSTRUMENT.SWAP("swap.8751",H8753,B8753,"USD","SOFR",I8753,J8753,0,"Actual360","Simple","Annual","Annual","Annual")</f>
        <v>QSObject:Swap:w1~swap.8751:1700</v>
      </c>
      <c r="F8753" s="6" t="str">
        <f>_xll.QS.TRADE.CREATE("trade.8751",E8753,A8753,"Receive")</f>
        <v>QSObject:SwapTrade:w1~trade.8751:23111</v>
      </c>
      <c r="G8753" s="3">
        <f>_xll.QS.EVALUATE(C8753,F8753)</f>
        <v>26573.496659199933</v>
      </c>
      <c r="H8753" s="5" t="s">
        <v>8794</v>
      </c>
      <c r="I8753" s="7">
        <v>1875100</v>
      </c>
      <c r="J8753" s="8">
        <v>3.5100000000000013E-2</v>
      </c>
    </row>
    <row r="8754" spans="1:10" x14ac:dyDescent="0.25">
      <c r="A8754" s="5" t="s">
        <v>8788</v>
      </c>
      <c r="B8754" s="5" t="s">
        <v>10621</v>
      </c>
      <c r="C8754" s="6" t="str">
        <f>_xll.QS.CONTEXT.CREATE("market.8752",A8754,"USD","SOFR")</f>
        <v>QSObject:PricingContext:w1~market.8752:1699</v>
      </c>
      <c r="D8754" s="6" t="str">
        <f>_xll.QS.CONTEXT.ADD.CURVE(C8754,"SOFR",$K$2:$K$7,$L$2:$L$7,,,"Actual360","LogLinear",TRUE)</f>
        <v>QSObject:ContextInput:w1~input.qs_context_add_curve.2359132437744.8753.3.0:38808</v>
      </c>
      <c r="E8754" s="6" t="str">
        <f>_xll.QS.INSTRUMENT.SWAP("swap.8752",H8754,B8754,"USD","SOFR",I8754,J8754,0,"Actual360","Simple","Annual","Annual","Annual")</f>
        <v>QSObject:Swap:w1~swap.8752:1698</v>
      </c>
      <c r="F8754" s="6" t="str">
        <f>_xll.QS.TRADE.CREATE("trade.8752",E8754,A8754,"Receive")</f>
        <v>QSObject:SwapTrade:w1~trade.8752:23110</v>
      </c>
      <c r="G8754" s="3">
        <f>_xll.QS.EVALUATE(C8754,F8754)</f>
        <v>27500.055799807982</v>
      </c>
      <c r="H8754" s="5" t="s">
        <v>8795</v>
      </c>
      <c r="I8754" s="7">
        <v>1875200</v>
      </c>
      <c r="J8754" s="8">
        <v>3.5200000000000002E-2</v>
      </c>
    </row>
    <row r="8755" spans="1:10" x14ac:dyDescent="0.25">
      <c r="A8755" s="5" t="s">
        <v>8789</v>
      </c>
      <c r="B8755" s="5" t="s">
        <v>10622</v>
      </c>
      <c r="C8755" s="6" t="str">
        <f>_xll.QS.CONTEXT.CREATE("market.8753",A8755,"USD","SOFR")</f>
        <v>QSObject:PricingContext:w1~market.8753:1697</v>
      </c>
      <c r="D8755" s="6" t="str">
        <f>_xll.QS.CONTEXT.ADD.CURVE(C8755,"SOFR",$K$2:$K$7,$L$2:$L$7,,,"Actual360","LogLinear",TRUE)</f>
        <v>QSObject:ContextInput:w1~input.qs_context_add_curve.2359132437744.8754.3.0:33004</v>
      </c>
      <c r="E8755" s="6" t="str">
        <f>_xll.QS.INSTRUMENT.SWAP("swap.8753",H8755,B8755,"USD","SOFR",I8755,J8755,0,"Actual360","Simple","Annual","Annual","Annual")</f>
        <v>QSObject:Swap:w1~swap.8753:1696</v>
      </c>
      <c r="F8755" s="6" t="str">
        <f>_xll.QS.TRADE.CREATE("trade.8753",E8755,A8755,"Receive")</f>
        <v>QSObject:SwapTrade:w1~trade.8753:23109</v>
      </c>
      <c r="G8755" s="3">
        <f>_xll.QS.EVALUATE(C8755,F8755)</f>
        <v>28524.336451067938</v>
      </c>
      <c r="H8755" s="5" t="s">
        <v>8796</v>
      </c>
      <c r="I8755" s="7">
        <v>1875300</v>
      </c>
      <c r="J8755" s="8">
        <v>3.5299999999999998E-2</v>
      </c>
    </row>
    <row r="8756" spans="1:10" x14ac:dyDescent="0.25">
      <c r="A8756" s="5" t="s">
        <v>8790</v>
      </c>
      <c r="B8756" s="5" t="s">
        <v>10623</v>
      </c>
      <c r="C8756" s="6" t="str">
        <f>_xll.QS.CONTEXT.CREATE("market.8754",A8756,"USD","SOFR")</f>
        <v>QSObject:PricingContext:w1~market.8754:1695</v>
      </c>
      <c r="D8756" s="6" t="str">
        <f>_xll.QS.CONTEXT.ADD.CURVE(C8756,"SOFR",$K$2:$K$7,$L$2:$L$7,,,"Actual360","LogLinear",TRUE)</f>
        <v>QSObject:ContextInput:w1~input.qs_context_add_curve.2359132437744.8755.3.0:34135</v>
      </c>
      <c r="E8756" s="6" t="str">
        <f>_xll.QS.INSTRUMENT.SWAP("swap.8754",H8756,B8756,"USD","SOFR",I8756,J8756,0,"Actual360","Simple","Annual","Annual","Annual")</f>
        <v>QSObject:Swap:w1~swap.8754:1694</v>
      </c>
      <c r="F8756" s="6" t="str">
        <f>_xll.QS.TRADE.CREATE("trade.8754",E8756,A8756,"Receive")</f>
        <v>QSObject:SwapTrade:w1~trade.8754:23108</v>
      </c>
      <c r="G8756" s="3">
        <f>_xll.QS.EVALUATE(C8756,F8756)</f>
        <v>29389.809513691049</v>
      </c>
      <c r="H8756" s="5" t="s">
        <v>8797</v>
      </c>
      <c r="I8756" s="7">
        <v>1875400</v>
      </c>
      <c r="J8756" s="8">
        <v>3.5400000000000001E-2</v>
      </c>
    </row>
    <row r="8757" spans="1:10" x14ac:dyDescent="0.25">
      <c r="A8757" s="5" t="s">
        <v>8791</v>
      </c>
      <c r="B8757" s="5" t="s">
        <v>10624</v>
      </c>
      <c r="C8757" s="6" t="str">
        <f>_xll.QS.CONTEXT.CREATE("market.8755",A8757,"USD","SOFR")</f>
        <v>QSObject:PricingContext:w1~market.8755:1693</v>
      </c>
      <c r="D8757" s="6" t="str">
        <f>_xll.QS.CONTEXT.ADD.CURVE(C8757,"SOFR",$K$2:$K$7,$L$2:$L$7,,,"Actual360","LogLinear",TRUE)</f>
        <v>QSObject:ContextInput:w1~input.qs_context_add_curve.2359132437744.8756.3.0:34134</v>
      </c>
      <c r="E8757" s="6" t="str">
        <f>_xll.QS.INSTRUMENT.SWAP("swap.8755",H8757,B8757,"USD","SOFR",I8757,J8757,0,"Actual360","Simple","Annual","Annual","Annual")</f>
        <v>QSObject:Swap:w1~swap.8755:1692</v>
      </c>
      <c r="F8757" s="6" t="str">
        <f>_xll.QS.TRADE.CREATE("trade.8755",E8757,A8757,"Receive")</f>
        <v>QSObject:SwapTrade:w1~trade.8755:23107</v>
      </c>
      <c r="G8757" s="3">
        <f>_xll.QS.EVALUATE(C8757,F8757)</f>
        <v>30141.61869291107</v>
      </c>
      <c r="H8757" s="5" t="s">
        <v>8798</v>
      </c>
      <c r="I8757" s="7">
        <v>1875500</v>
      </c>
      <c r="J8757" s="8">
        <v>3.5499999999999997E-2</v>
      </c>
    </row>
    <row r="8758" spans="1:10" x14ac:dyDescent="0.25">
      <c r="A8758" s="5" t="s">
        <v>8792</v>
      </c>
      <c r="B8758" s="5" t="s">
        <v>10625</v>
      </c>
      <c r="C8758" s="6" t="str">
        <f>_xll.QS.CONTEXT.CREATE("market.8756",A8758,"USD","SOFR")</f>
        <v>QSObject:PricingContext:w1~market.8756:1691</v>
      </c>
      <c r="D8758" s="6" t="str">
        <f>_xll.QS.CONTEXT.ADD.CURVE(C8758,"SOFR",$K$2:$K$7,$L$2:$L$7,,,"Actual360","LogLinear",TRUE)</f>
        <v>QSObject:ContextInput:w1~input.qs_context_add_curve.2359132437744.8757.3.0:35364</v>
      </c>
      <c r="E8758" s="6" t="str">
        <f>_xll.QS.INSTRUMENT.SWAP("swap.8756",H8758,B8758,"USD","SOFR",I8758,J8758,0,"Actual360","Simple","Annual","Annual","Annual")</f>
        <v>QSObject:Swap:w1~swap.8756:1690</v>
      </c>
      <c r="F8758" s="6" t="str">
        <f>_xll.QS.TRADE.CREATE("trade.8756",E8758,A8758,"Receive")</f>
        <v>QSObject:SwapTrade:w1~trade.8756:23106</v>
      </c>
      <c r="G8758" s="3">
        <f>_xll.QS.EVALUATE(C8758,F8758)</f>
        <v>30841.963608856568</v>
      </c>
      <c r="H8758" s="5" t="s">
        <v>8799</v>
      </c>
      <c r="I8758" s="7">
        <v>1875600</v>
      </c>
      <c r="J8758" s="8">
        <v>3.5600000000000007E-2</v>
      </c>
    </row>
    <row r="8759" spans="1:10" x14ac:dyDescent="0.25">
      <c r="A8759" s="5" t="s">
        <v>8793</v>
      </c>
      <c r="B8759" s="5" t="s">
        <v>10626</v>
      </c>
      <c r="C8759" s="6" t="str">
        <f>_xll.QS.CONTEXT.CREATE("market.8757",A8759,"USD","SOFR")</f>
        <v>QSObject:PricingContext:w1~market.8757:1689</v>
      </c>
      <c r="D8759" s="6" t="str">
        <f>_xll.QS.CONTEXT.ADD.CURVE(C8759,"SOFR",$K$2:$K$7,$L$2:$L$7,,,"Actual360","LogLinear",TRUE)</f>
        <v>QSObject:ContextInput:w1~input.qs_context_add_curve.2359132437744.8758.3.0:35941</v>
      </c>
      <c r="E8759" s="6" t="str">
        <f>_xll.QS.INSTRUMENT.SWAP("swap.8757",H8759,B8759,"USD","SOFR",I8759,J8759,0,"Actual360","Simple","Annual","Annual","Annual")</f>
        <v>QSObject:Swap:w1~swap.8757:1688</v>
      </c>
      <c r="F8759" s="6" t="str">
        <f>_xll.QS.TRADE.CREATE("trade.8757",E8759,A8759,"Receive")</f>
        <v>QSObject:SwapTrade:w1~trade.8757:23105</v>
      </c>
      <c r="G8759" s="3">
        <f>_xll.QS.EVALUATE(C8759,F8759)</f>
        <v>31791.226397212391</v>
      </c>
      <c r="H8759" s="5" t="s">
        <v>8800</v>
      </c>
      <c r="I8759" s="7">
        <v>1875700</v>
      </c>
      <c r="J8759" s="8">
        <v>3.5700000000000003E-2</v>
      </c>
    </row>
    <row r="8760" spans="1:10" x14ac:dyDescent="0.25">
      <c r="A8760" s="5" t="s">
        <v>8794</v>
      </c>
      <c r="B8760" s="5" t="s">
        <v>10627</v>
      </c>
      <c r="C8760" s="6" t="str">
        <f>_xll.QS.CONTEXT.CREATE("market.8758",A8760,"USD","SOFR")</f>
        <v>QSObject:PricingContext:w1~market.8758:1687</v>
      </c>
      <c r="D8760" s="6" t="str">
        <f>_xll.QS.CONTEXT.ADD.CURVE(C8760,"SOFR",$K$2:$K$7,$L$2:$L$7,,,"Actual360","LogLinear",TRUE)</f>
        <v>QSObject:ContextInput:w1~input.qs_context_add_curve.2359132437744.8759.3.0:33003</v>
      </c>
      <c r="E8760" s="6" t="str">
        <f>_xll.QS.INSTRUMENT.SWAP("swap.8758",H8760,B8760,"USD","SOFR",I8760,J8760,0,"Actual360","Simple","Annual","Annual","Annual")</f>
        <v>QSObject:Swap:w1~swap.8758:1686</v>
      </c>
      <c r="F8760" s="6" t="str">
        <f>_xll.QS.TRADE.CREATE("trade.8758",E8760,A8760,"Receive")</f>
        <v>QSObject:SwapTrade:w1~trade.8758:23104</v>
      </c>
      <c r="G8760" s="3">
        <f>_xll.QS.EVALUATE(C8760,F8760)</f>
        <v>32850.490389436454</v>
      </c>
      <c r="H8760" s="5" t="s">
        <v>8801</v>
      </c>
      <c r="I8760" s="7">
        <v>1875800</v>
      </c>
      <c r="J8760" s="8">
        <v>3.5800000000000012E-2</v>
      </c>
    </row>
    <row r="8761" spans="1:10" x14ac:dyDescent="0.25">
      <c r="A8761" s="5" t="s">
        <v>8795</v>
      </c>
      <c r="B8761" s="5" t="s">
        <v>10628</v>
      </c>
      <c r="C8761" s="6" t="str">
        <f>_xll.QS.CONTEXT.CREATE("market.8759",A8761,"USD","SOFR")</f>
        <v>QSObject:PricingContext:w1~market.8759:1685</v>
      </c>
      <c r="D8761" s="6" t="str">
        <f>_xll.QS.CONTEXT.ADD.CURVE(C8761,"SOFR",$K$2:$K$7,$L$2:$L$7,,,"Actual360","LogLinear",TRUE)</f>
        <v>QSObject:ContextInput:w1~input.qs_context_add_curve.2359132437744.8760.3.0:37014</v>
      </c>
      <c r="E8761" s="6" t="str">
        <f>_xll.QS.INSTRUMENT.SWAP("swap.8759",H8761,B8761,"USD","SOFR",I8761,J8761,0,"Actual360","Simple","Annual","Annual","Annual")</f>
        <v>QSObject:Swap:w1~swap.8759:1684</v>
      </c>
      <c r="F8761" s="6" t="str">
        <f>_xll.QS.TRADE.CREATE("trade.8759",E8761,A8761,"Receive")</f>
        <v>QSObject:SwapTrade:w1~trade.8759:23103</v>
      </c>
      <c r="G8761" s="3">
        <f>_xll.QS.EVALUATE(C8761,F8761)</f>
        <v>33565.090504394801</v>
      </c>
      <c r="H8761" s="5" t="s">
        <v>8802</v>
      </c>
      <c r="I8761" s="7">
        <v>1875900</v>
      </c>
      <c r="J8761" s="8">
        <v>3.5900000000000001E-2</v>
      </c>
    </row>
    <row r="8762" spans="1:10" x14ac:dyDescent="0.25">
      <c r="A8762" s="5" t="s">
        <v>8796</v>
      </c>
      <c r="B8762" s="5" t="s">
        <v>10629</v>
      </c>
      <c r="C8762" s="6" t="str">
        <f>_xll.QS.CONTEXT.CREATE("market.8760",A8762,"USD","SOFR")</f>
        <v>QSObject:PricingContext:w1~market.8760:1683</v>
      </c>
      <c r="D8762" s="6" t="str">
        <f>_xll.QS.CONTEXT.ADD.CURVE(C8762,"SOFR",$K$2:$K$7,$L$2:$L$7,,,"Actual360","LogLinear",TRUE)</f>
        <v>QSObject:ContextInput:w1~input.qs_context_add_curve.2359132437744.8761.3.0:33002</v>
      </c>
      <c r="E8762" s="6" t="str">
        <f>_xll.QS.INSTRUMENT.SWAP("swap.8760",H8762,B8762,"USD","SOFR",I8762,J8762,0,"Actual360","Simple","Annual","Annual","Annual")</f>
        <v>QSObject:Swap:w1~swap.8760:1682</v>
      </c>
      <c r="F8762" s="6" t="str">
        <f>_xll.QS.TRADE.CREATE("trade.8760",E8762,A8762,"Receive")</f>
        <v>QSObject:SwapTrade:w1~trade.8760:23102</v>
      </c>
      <c r="G8762" s="3">
        <f>_xll.QS.EVALUATE(C8762,F8762)</f>
        <v>34590.365830819173</v>
      </c>
      <c r="H8762" s="5" t="s">
        <v>8803</v>
      </c>
      <c r="I8762" s="7">
        <v>1876000</v>
      </c>
      <c r="J8762" s="8">
        <v>3.5999999999999997E-2</v>
      </c>
    </row>
    <row r="8763" spans="1:10" x14ac:dyDescent="0.25">
      <c r="A8763" s="5" t="s">
        <v>8797</v>
      </c>
      <c r="B8763" s="5" t="s">
        <v>10630</v>
      </c>
      <c r="C8763" s="6" t="str">
        <f>_xll.QS.CONTEXT.CREATE("market.8761",A8763,"USD","SOFR")</f>
        <v>QSObject:PricingContext:w1~market.8761:1681</v>
      </c>
      <c r="D8763" s="6" t="str">
        <f>_xll.QS.CONTEXT.ADD.CURVE(C8763,"SOFR",$K$2:$K$7,$L$2:$L$7,,,"Actual360","LogLinear",TRUE)</f>
        <v>QSObject:ContextInput:w1~input.qs_context_add_curve.2359132437744.8762.3.0:35940</v>
      </c>
      <c r="E8763" s="6" t="str">
        <f>_xll.QS.INSTRUMENT.SWAP("swap.8761",H8763,B8763,"USD","SOFR",I8763,J8763,0,"Actual360","Simple","Annual","Annual","Annual")</f>
        <v>QSObject:Swap:w1~swap.8761:1680</v>
      </c>
      <c r="F8763" s="6" t="str">
        <f>_xll.QS.TRADE.CREATE("trade.8761",E8763,A8763,"Receive")</f>
        <v>QSObject:SwapTrade:w1~trade.8761:23101</v>
      </c>
      <c r="G8763" s="3">
        <f>_xll.QS.EVALUATE(C8763,F8763)</f>
        <v>35456.130626439066</v>
      </c>
      <c r="H8763" s="5" t="s">
        <v>8804</v>
      </c>
      <c r="I8763" s="7">
        <v>1876100</v>
      </c>
      <c r="J8763" s="8">
        <v>3.61E-2</v>
      </c>
    </row>
    <row r="8764" spans="1:10" x14ac:dyDescent="0.25">
      <c r="A8764" s="5" t="s">
        <v>8798</v>
      </c>
      <c r="B8764" s="5" t="s">
        <v>10631</v>
      </c>
      <c r="C8764" s="6" t="str">
        <f>_xll.QS.CONTEXT.CREATE("market.8762",A8764,"USD","SOFR")</f>
        <v>QSObject:PricingContext:w1~market.8762:1679</v>
      </c>
      <c r="D8764" s="6" t="str">
        <f>_xll.QS.CONTEXT.ADD.CURVE(C8764,"SOFR",$K$2:$K$7,$L$2:$L$7,,,"Actual360","LogLinear",TRUE)</f>
        <v>QSObject:ContextInput:w1~input.qs_context_add_curve.2359132437744.8763.3.0:34133</v>
      </c>
      <c r="E8764" s="6" t="str">
        <f>_xll.QS.INSTRUMENT.SWAP("swap.8762",H8764,B8764,"USD","SOFR",I8764,J8764,0,"Actual360","Simple","Annual","Annual","Annual")</f>
        <v>QSObject:Swap:w1~swap.8762:1678</v>
      </c>
      <c r="F8764" s="6" t="str">
        <f>_xll.QS.TRADE.CREATE("trade.8762",E8764,A8764,"Receive")</f>
        <v>QSObject:SwapTrade:w1~trade.8762:23100</v>
      </c>
      <c r="G8764" s="3">
        <f>_xll.QS.EVALUATE(C8764,F8764)</f>
        <v>36201.321745581648</v>
      </c>
      <c r="H8764" s="5" t="s">
        <v>8805</v>
      </c>
      <c r="I8764" s="7">
        <v>1876200</v>
      </c>
      <c r="J8764" s="8">
        <v>3.6200000000000003E-2</v>
      </c>
    </row>
    <row r="8765" spans="1:10" x14ac:dyDescent="0.25">
      <c r="A8765" s="5" t="s">
        <v>8799</v>
      </c>
      <c r="B8765" s="5" t="s">
        <v>10632</v>
      </c>
      <c r="C8765" s="6" t="str">
        <f>_xll.QS.CONTEXT.CREATE("market.8763",A8765,"USD","SOFR")</f>
        <v>QSObject:PricingContext:w1~market.8763:1677</v>
      </c>
      <c r="D8765" s="6" t="str">
        <f>_xll.QS.CONTEXT.ADD.CURVE(C8765,"SOFR",$K$2:$K$7,$L$2:$L$7,,,"Actual360","LogLinear",TRUE)</f>
        <v>QSObject:ContextInput:w1~input.qs_context_add_curve.2359132437744.8764.3.0:38807</v>
      </c>
      <c r="E8765" s="6" t="str">
        <f>_xll.QS.INSTRUMENT.SWAP("swap.8763",H8765,B8765,"USD","SOFR",I8765,J8765,0,"Actual360","Simple","Annual","Annual","Annual")</f>
        <v>QSObject:Swap:w1~swap.8763:1676</v>
      </c>
      <c r="F8765" s="6" t="str">
        <f>_xll.QS.TRADE.CREATE("trade.8763",E8765,A8765,"Receive")</f>
        <v>QSObject:SwapTrade:w1~trade.8763:23099</v>
      </c>
      <c r="G8765" s="3">
        <f>_xll.QS.EVALUATE(C8765,F8765)</f>
        <v>36911.371486790224</v>
      </c>
      <c r="H8765" s="5" t="s">
        <v>8806</v>
      </c>
      <c r="I8765" s="7">
        <v>1876300</v>
      </c>
      <c r="J8765" s="8">
        <v>3.6300000000000013E-2</v>
      </c>
    </row>
    <row r="8766" spans="1:10" x14ac:dyDescent="0.25">
      <c r="A8766" s="5" t="s">
        <v>8800</v>
      </c>
      <c r="B8766" s="5" t="s">
        <v>10633</v>
      </c>
      <c r="C8766" s="6" t="str">
        <f>_xll.QS.CONTEXT.CREATE("market.8764",A8766,"USD","SOFR")</f>
        <v>QSObject:PricingContext:w1~market.8764:1675</v>
      </c>
      <c r="D8766" s="6" t="str">
        <f>_xll.QS.CONTEXT.ADD.CURVE(C8766,"SOFR",$K$2:$K$7,$L$2:$L$7,,,"Actual360","LogLinear",TRUE)</f>
        <v>QSObject:ContextInput:w1~input.qs_context_add_curve.2359132437744.8765.3.0:39992</v>
      </c>
      <c r="E8766" s="6" t="str">
        <f>_xll.QS.INSTRUMENT.SWAP("swap.8764",H8766,B8766,"USD","SOFR",I8766,J8766,0,"Actual360","Simple","Annual","Annual","Annual")</f>
        <v>QSObject:Swap:w1~swap.8764:1674</v>
      </c>
      <c r="F8766" s="6" t="str">
        <f>_xll.QS.TRADE.CREATE("trade.8764",E8766,A8766,"Receive")</f>
        <v>QSObject:SwapTrade:w1~trade.8764:23098</v>
      </c>
      <c r="G8766" s="3">
        <f>_xll.QS.EVALUATE(C8766,F8766)</f>
        <v>37862.804313709217</v>
      </c>
      <c r="H8766" s="5" t="s">
        <v>8807</v>
      </c>
      <c r="I8766" s="7">
        <v>1876400</v>
      </c>
      <c r="J8766" s="8">
        <v>3.6400000000000002E-2</v>
      </c>
    </row>
    <row r="8767" spans="1:10" x14ac:dyDescent="0.25">
      <c r="A8767" s="5" t="s">
        <v>8801</v>
      </c>
      <c r="B8767" s="5" t="s">
        <v>10634</v>
      </c>
      <c r="C8767" s="6" t="str">
        <f>_xll.QS.CONTEXT.CREATE("market.8765",A8767,"USD","SOFR")</f>
        <v>QSObject:PricingContext:w1~market.8765:1673</v>
      </c>
      <c r="D8767" s="6" t="str">
        <f>_xll.QS.CONTEXT.ADD.CURVE(C8767,"SOFR",$K$2:$K$7,$L$2:$L$7,,,"Actual360","LogLinear",TRUE)</f>
        <v>QSObject:ContextInput:w1~input.qs_context_add_curve.2359132437744.8766.3.0:34132</v>
      </c>
      <c r="E8767" s="6" t="str">
        <f>_xll.QS.INSTRUMENT.SWAP("swap.8765",H8767,B8767,"USD","SOFR",I8767,J8767,0,"Actual360","Simple","Annual","Annual","Annual")</f>
        <v>QSObject:Swap:w1~swap.8765:1672</v>
      </c>
      <c r="F8767" s="6" t="str">
        <f>_xll.QS.TRADE.CREATE("trade.8765",E8767,A8767,"Receive")</f>
        <v>QSObject:SwapTrade:w1~trade.8765:23097</v>
      </c>
      <c r="G8767" s="3">
        <f>_xll.QS.EVALUATE(C8767,F8767)</f>
        <v>38919.552042599855</v>
      </c>
      <c r="H8767" s="5" t="s">
        <v>8808</v>
      </c>
      <c r="I8767" s="7">
        <v>1876500</v>
      </c>
      <c r="J8767" s="8">
        <v>3.6499999999999998E-2</v>
      </c>
    </row>
    <row r="8768" spans="1:10" x14ac:dyDescent="0.25">
      <c r="A8768" s="5" t="s">
        <v>8802</v>
      </c>
      <c r="B8768" s="5" t="s">
        <v>10635</v>
      </c>
      <c r="C8768" s="6" t="str">
        <f>_xll.QS.CONTEXT.CREATE("market.8766",A8768,"USD","SOFR")</f>
        <v>QSObject:PricingContext:w1~market.8766:1671</v>
      </c>
      <c r="D8768" s="6" t="str">
        <f>_xll.QS.CONTEXT.ADD.CURVE(C8768,"SOFR",$K$2:$K$7,$L$2:$L$7,,,"Actual360","LogLinear",TRUE)</f>
        <v>QSObject:ContextInput:w1~input.qs_context_add_curve.2359132437744.8767.3.0:34131</v>
      </c>
      <c r="E8768" s="6" t="str">
        <f>_xll.QS.INSTRUMENT.SWAP("swap.8766",H8768,B8768,"USD","SOFR",I8768,J8768,0,"Actual360","Simple","Annual","Annual","Annual")</f>
        <v>QSObject:Swap:w1~swap.8766:1670</v>
      </c>
      <c r="F8768" s="6" t="str">
        <f>_xll.QS.TRADE.CREATE("trade.8766",E8768,A8768,"Receive")</f>
        <v>QSObject:SwapTrade:w1~trade.8766:23096</v>
      </c>
      <c r="G8768" s="3">
        <f>_xll.QS.EVALUATE(C8768,F8768)</f>
        <v>39712.703829447521</v>
      </c>
      <c r="H8768" s="5" t="s">
        <v>8809</v>
      </c>
      <c r="I8768" s="7">
        <v>1876600</v>
      </c>
      <c r="J8768" s="8">
        <v>3.6600000000000001E-2</v>
      </c>
    </row>
    <row r="8769" spans="1:10" x14ac:dyDescent="0.25">
      <c r="A8769" s="5" t="s">
        <v>8803</v>
      </c>
      <c r="B8769" s="5" t="s">
        <v>10636</v>
      </c>
      <c r="C8769" s="6" t="str">
        <f>_xll.QS.CONTEXT.CREATE("market.8767",A8769,"USD","SOFR")</f>
        <v>QSObject:PricingContext:w1~market.8767:1669</v>
      </c>
      <c r="D8769" s="6" t="str">
        <f>_xll.QS.CONTEXT.ADD.CURVE(C8769,"SOFR",$K$2:$K$7,$L$2:$L$7,,,"Actual360","LogLinear",TRUE)</f>
        <v>QSObject:ContextInput:w1~input.qs_context_add_curve.2359132437744.8768.3.0:32318</v>
      </c>
      <c r="E8769" s="6" t="str">
        <f>_xll.QS.INSTRUMENT.SWAP("swap.8767",H8769,B8769,"USD","SOFR",I8769,J8769,0,"Actual360","Simple","Annual","Annual","Annual")</f>
        <v>QSObject:Swap:w1~swap.8767:1668</v>
      </c>
      <c r="F8769" s="6" t="str">
        <f>_xll.QS.TRADE.CREATE("trade.8767",E8769,A8769,"Receive")</f>
        <v>QSObject:SwapTrade:w1~trade.8767:23095</v>
      </c>
      <c r="G8769" s="3">
        <f>_xll.QS.EVALUATE(C8769,F8769)</f>
        <v>40662.145230791</v>
      </c>
      <c r="H8769" s="5" t="s">
        <v>8810</v>
      </c>
      <c r="I8769" s="7">
        <v>1876700</v>
      </c>
      <c r="J8769" s="8">
        <v>3.6700000000000003E-2</v>
      </c>
    </row>
    <row r="8770" spans="1:10" x14ac:dyDescent="0.25">
      <c r="A8770" s="5" t="s">
        <v>8804</v>
      </c>
      <c r="B8770" s="5" t="s">
        <v>10637</v>
      </c>
      <c r="C8770" s="6" t="str">
        <f>_xll.QS.CONTEXT.CREATE("market.8768",A8770,"USD","SOFR")</f>
        <v>QSObject:PricingContext:w1~market.8768:1667</v>
      </c>
      <c r="D8770" s="6" t="str">
        <f>_xll.QS.CONTEXT.ADD.CURVE(C8770,"SOFR",$K$2:$K$7,$L$2:$L$7,,,"Actual360","LogLinear",TRUE)</f>
        <v>QSObject:ContextInput:w1~input.qs_context_add_curve.2359132437744.8769.3.0:39991</v>
      </c>
      <c r="E8770" s="6" t="str">
        <f>_xll.QS.INSTRUMENT.SWAP("swap.8768",H8770,B8770,"USD","SOFR",I8770,J8770,0,"Actual360","Simple","Annual","Annual","Annual")</f>
        <v>QSObject:Swap:w1~swap.8768:1666</v>
      </c>
      <c r="F8770" s="6" t="str">
        <f>_xll.QS.TRADE.CREATE("trade.8768",E8770,A8770,"Receive")</f>
        <v>QSObject:SwapTrade:w1~trade.8768:23094</v>
      </c>
      <c r="G8770" s="3">
        <f>_xll.QS.EVALUATE(C8770,F8770)</f>
        <v>41457.669640026361</v>
      </c>
      <c r="H8770" s="5" t="s">
        <v>8811</v>
      </c>
      <c r="I8770" s="7">
        <v>1876800</v>
      </c>
      <c r="J8770" s="8">
        <v>3.6800000000000013E-2</v>
      </c>
    </row>
    <row r="8771" spans="1:10" x14ac:dyDescent="0.25">
      <c r="A8771" s="5" t="s">
        <v>8805</v>
      </c>
      <c r="B8771" s="5" t="s">
        <v>10638</v>
      </c>
      <c r="C8771" s="6" t="str">
        <f>_xll.QS.CONTEXT.CREATE("market.8769",A8771,"USD","SOFR")</f>
        <v>QSObject:PricingContext:w1~market.8769:1665</v>
      </c>
      <c r="D8771" s="6" t="str">
        <f>_xll.QS.CONTEXT.ADD.CURVE(C8771,"SOFR",$K$2:$K$7,$L$2:$L$7,,,"Actual360","LogLinear",TRUE)</f>
        <v>QSObject:ContextInput:w1~input.qs_context_add_curve.2359132437744.8770.3.0:37013</v>
      </c>
      <c r="E8771" s="6" t="str">
        <f>_xll.QS.INSTRUMENT.SWAP("swap.8769",H8771,B8771,"USD","SOFR",I8771,J8771,0,"Actual360","Simple","Annual","Annual","Annual")</f>
        <v>QSObject:Swap:w1~swap.8769:1664</v>
      </c>
      <c r="F8771" s="6" t="str">
        <f>_xll.QS.TRADE.CREATE("trade.8769",E8771,A8771,"Receive")</f>
        <v>QSObject:SwapTrade:w1~trade.8769:23093</v>
      </c>
      <c r="G8771" s="3">
        <f>_xll.QS.EVALUATE(C8771,F8771)</f>
        <v>42196.429414464816</v>
      </c>
      <c r="H8771" s="5" t="s">
        <v>8812</v>
      </c>
      <c r="I8771" s="7">
        <v>1876900</v>
      </c>
      <c r="J8771" s="8">
        <v>3.6900000000000002E-2</v>
      </c>
    </row>
    <row r="8772" spans="1:10" x14ac:dyDescent="0.25">
      <c r="A8772" s="5" t="s">
        <v>8806</v>
      </c>
      <c r="B8772" s="5" t="s">
        <v>10639</v>
      </c>
      <c r="C8772" s="6" t="str">
        <f>_xll.QS.CONTEXT.CREATE("market.8770",A8772,"USD","SOFR")</f>
        <v>QSObject:PricingContext:w1~market.8770:1663</v>
      </c>
      <c r="D8772" s="6" t="str">
        <f>_xll.QS.CONTEXT.ADD.CURVE(C8772,"SOFR",$K$2:$K$7,$L$2:$L$7,,,"Actual360","LogLinear",TRUE)</f>
        <v>QSObject:ContextInput:w1~input.qs_context_add_curve.2359132437744.8771.3.0:33001</v>
      </c>
      <c r="E8772" s="6" t="str">
        <f>_xll.QS.INSTRUMENT.SWAP("swap.8770",H8772,B8772,"USD","SOFR",I8772,J8772,0,"Actual360","Simple","Annual","Annual","Annual")</f>
        <v>QSObject:Swap:w1~swap.8770:1662</v>
      </c>
      <c r="F8772" s="6" t="str">
        <f>_xll.QS.TRADE.CREATE("trade.8770",E8772,A8772,"Receive")</f>
        <v>QSObject:SwapTrade:w1~trade.8770:23092</v>
      </c>
      <c r="G8772" s="3">
        <f>_xll.QS.EVALUATE(C8772,F8772)</f>
        <v>42916.952212613345</v>
      </c>
      <c r="H8772" s="5" t="s">
        <v>8813</v>
      </c>
      <c r="I8772" s="7">
        <v>1877000</v>
      </c>
      <c r="J8772" s="8">
        <v>3.7000000000000012E-2</v>
      </c>
    </row>
    <row r="8773" spans="1:10" x14ac:dyDescent="0.25">
      <c r="A8773" s="5" t="s">
        <v>8807</v>
      </c>
      <c r="B8773" s="5" t="s">
        <v>10640</v>
      </c>
      <c r="C8773" s="6" t="str">
        <f>_xll.QS.CONTEXT.CREATE("market.8771",A8773,"USD","SOFR")</f>
        <v>QSObject:PricingContext:w1~market.8771:1661</v>
      </c>
      <c r="D8773" s="6" t="str">
        <f>_xll.QS.CONTEXT.ADD.CURVE(C8773,"SOFR",$K$2:$K$7,$L$2:$L$7,,,"Actual360","LogLinear",TRUE)</f>
        <v>QSObject:ContextInput:w1~input.qs_context_add_curve.2359132437744.8772.3.0:39357</v>
      </c>
      <c r="E8773" s="6" t="str">
        <f>_xll.QS.INSTRUMENT.SWAP("swap.8771",H8773,B8773,"USD","SOFR",I8773,J8773,0,"Actual360","Simple","Annual","Annual","Annual")</f>
        <v>QSObject:Swap:w1~swap.8771:1660</v>
      </c>
      <c r="F8773" s="6" t="str">
        <f>_xll.QS.TRADE.CREATE("trade.8771",E8773,A8773,"Receive")</f>
        <v>QSObject:SwapTrade:w1~trade.8771:23091</v>
      </c>
      <c r="G8773" s="3">
        <f>_xll.QS.EVALUATE(C8773,F8773)</f>
        <v>43863.570379929792</v>
      </c>
      <c r="H8773" s="5" t="s">
        <v>8814</v>
      </c>
      <c r="I8773" s="7">
        <v>1877100</v>
      </c>
      <c r="J8773" s="8">
        <v>3.7100000000000001E-2</v>
      </c>
    </row>
    <row r="8774" spans="1:10" x14ac:dyDescent="0.25">
      <c r="A8774" s="5" t="s">
        <v>8808</v>
      </c>
      <c r="B8774" s="5" t="s">
        <v>10641</v>
      </c>
      <c r="C8774" s="6" t="str">
        <f>_xll.QS.CONTEXT.CREATE("market.8772",A8774,"USD","SOFR")</f>
        <v>QSObject:PricingContext:w1~market.8772:1659</v>
      </c>
      <c r="D8774" s="6" t="str">
        <f>_xll.QS.CONTEXT.ADD.CURVE(C8774,"SOFR",$K$2:$K$7,$L$2:$L$7,,,"Actual360","LogLinear",TRUE)</f>
        <v>QSObject:ContextInput:w1~input.qs_context_add_curve.2359132437744.8773.3.0:33000</v>
      </c>
      <c r="E8774" s="6" t="str">
        <f>_xll.QS.INSTRUMENT.SWAP("swap.8772",H8774,B8774,"USD","SOFR",I8774,J8774,0,"Actual360","Simple","Annual","Annual","Annual")</f>
        <v>QSObject:Swap:w1~swap.8772:1658</v>
      </c>
      <c r="F8774" s="6" t="str">
        <f>_xll.QS.TRADE.CREATE("trade.8772",E8774,A8774,"Receive")</f>
        <v>QSObject:SwapTrade:w1~trade.8772:23090</v>
      </c>
      <c r="G8774" s="3">
        <f>_xll.QS.EVALUATE(C8774,F8774)</f>
        <v>44781.605462601357</v>
      </c>
      <c r="H8774" s="5" t="s">
        <v>8815</v>
      </c>
      <c r="I8774" s="7">
        <v>1877200</v>
      </c>
      <c r="J8774" s="8">
        <v>3.7199999999999997E-2</v>
      </c>
    </row>
    <row r="8775" spans="1:10" x14ac:dyDescent="0.25">
      <c r="A8775" s="5" t="s">
        <v>8809</v>
      </c>
      <c r="B8775" s="5" t="s">
        <v>10642</v>
      </c>
      <c r="C8775" s="6" t="str">
        <f>_xll.QS.CONTEXT.CREATE("market.8773",A8775,"USD","SOFR")</f>
        <v>QSObject:PricingContext:w1~market.8773:1657</v>
      </c>
      <c r="D8775" s="6" t="str">
        <f>_xll.QS.CONTEXT.ADD.CURVE(C8775,"SOFR",$K$2:$K$7,$L$2:$L$7,,,"Actual360","LogLinear",TRUE)</f>
        <v>QSObject:ContextInput:w1~input.qs_context_add_curve.2359132437744.8774.3.0:32317</v>
      </c>
      <c r="E8775" s="6" t="str">
        <f>_xll.QS.INSTRUMENT.SWAP("swap.8773",H8775,B8775,"USD","SOFR",I8775,J8775,0,"Actual360","Simple","Annual","Annual","Annual")</f>
        <v>QSObject:Swap:w1~swap.8773:1656</v>
      </c>
      <c r="F8775" s="6" t="str">
        <f>_xll.QS.TRADE.CREATE("trade.8773",E8775,A8775,"Receive")</f>
        <v>QSObject:SwapTrade:w1~trade.8773:23089</v>
      </c>
      <c r="G8775" s="3">
        <f>_xll.QS.EVALUATE(C8775,F8775)</f>
        <v>45787.175367999611</v>
      </c>
      <c r="H8775" s="5" t="s">
        <v>8816</v>
      </c>
      <c r="I8775" s="7">
        <v>1877300</v>
      </c>
      <c r="J8775" s="8">
        <v>3.73E-2</v>
      </c>
    </row>
    <row r="8776" spans="1:10" x14ac:dyDescent="0.25">
      <c r="A8776" s="5" t="s">
        <v>8810</v>
      </c>
      <c r="B8776" s="5" t="s">
        <v>10643</v>
      </c>
      <c r="C8776" s="6" t="str">
        <f>_xll.QS.CONTEXT.CREATE("market.8774",A8776,"USD","SOFR")</f>
        <v>QSObject:PricingContext:w1~market.8774:1655</v>
      </c>
      <c r="D8776" s="6" t="str">
        <f>_xll.QS.CONTEXT.ADD.CURVE(C8776,"SOFR",$K$2:$K$7,$L$2:$L$7,,,"Actual360","LogLinear",TRUE)</f>
        <v>QSObject:ContextInput:w1~input.qs_context_add_curve.2359132437744.8775.3.0:34130</v>
      </c>
      <c r="E8776" s="6" t="str">
        <f>_xll.QS.INSTRUMENT.SWAP("swap.8774",H8776,B8776,"USD","SOFR",I8776,J8776,0,"Actual360","Simple","Annual","Annual","Annual")</f>
        <v>QSObject:Swap:w1~swap.8774:1654</v>
      </c>
      <c r="F8776" s="6" t="str">
        <f>_xll.QS.TRADE.CREATE("trade.8774",E8776,A8776,"Receive")</f>
        <v>QSObject:SwapTrade:w1~trade.8774:23088</v>
      </c>
      <c r="G8776" s="3">
        <f>_xll.QS.EVALUATE(C8776,F8776)</f>
        <v>46737.473433120838</v>
      </c>
      <c r="H8776" s="5" t="s">
        <v>8817</v>
      </c>
      <c r="I8776" s="7">
        <v>1877400</v>
      </c>
      <c r="J8776" s="8">
        <v>3.7400000000000003E-2</v>
      </c>
    </row>
    <row r="8777" spans="1:10" x14ac:dyDescent="0.25">
      <c r="A8777" s="5" t="s">
        <v>8811</v>
      </c>
      <c r="B8777" s="5" t="s">
        <v>10644</v>
      </c>
      <c r="C8777" s="6" t="str">
        <f>_xll.QS.CONTEXT.CREATE("market.8775",A8777,"USD","SOFR")</f>
        <v>QSObject:PricingContext:w1~market.8775:1653</v>
      </c>
      <c r="D8777" s="6" t="str">
        <f>_xll.QS.CONTEXT.ADD.CURVE(C8777,"SOFR",$K$2:$K$7,$L$2:$L$7,,,"Actual360","LogLinear",TRUE)</f>
        <v>QSObject:ContextInput:w1~input.qs_context_add_curve.2359132437744.8776.3.0:35363</v>
      </c>
      <c r="E8777" s="6" t="str">
        <f>_xll.QS.INSTRUMENT.SWAP("swap.8775",H8777,B8777,"USD","SOFR",I8777,J8777,0,"Actual360","Simple","Annual","Annual","Annual")</f>
        <v>QSObject:Swap:w1~swap.8775:1652</v>
      </c>
      <c r="F8777" s="6" t="str">
        <f>_xll.QS.TRADE.CREATE("trade.8775",E8777,A8777,"Receive")</f>
        <v>QSObject:SwapTrade:w1~trade.8775:23087</v>
      </c>
      <c r="G8777" s="3">
        <f>_xll.QS.EVALUATE(C8777,F8777)</f>
        <v>47533.272713259961</v>
      </c>
      <c r="H8777" s="5" t="s">
        <v>8818</v>
      </c>
      <c r="I8777" s="7">
        <v>1877500</v>
      </c>
      <c r="J8777" s="8">
        <v>3.7500000000000012E-2</v>
      </c>
    </row>
    <row r="8778" spans="1:10" x14ac:dyDescent="0.25">
      <c r="A8778" s="5" t="s">
        <v>8812</v>
      </c>
      <c r="B8778" s="5" t="s">
        <v>10645</v>
      </c>
      <c r="C8778" s="6" t="str">
        <f>_xll.QS.CONTEXT.CREATE("market.8776",A8778,"USD","SOFR")</f>
        <v>QSObject:PricingContext:w1~market.8776:1651</v>
      </c>
      <c r="D8778" s="6" t="str">
        <f>_xll.QS.CONTEXT.ADD.CURVE(C8778,"SOFR",$K$2:$K$7,$L$2:$L$7,,,"Actual360","LogLinear",TRUE)</f>
        <v>QSObject:ContextInput:w1~input.qs_context_add_curve.2359132437744.8777.3.0:35362</v>
      </c>
      <c r="E8778" s="6" t="str">
        <f>_xll.QS.INSTRUMENT.SWAP("swap.8776",H8778,B8778,"USD","SOFR",I8778,J8778,0,"Actual360","Simple","Annual","Annual","Annual")</f>
        <v>QSObject:Swap:w1~swap.8776:1650</v>
      </c>
      <c r="F8778" s="6" t="str">
        <f>_xll.QS.TRADE.CREATE("trade.8776",E8778,A8778,"Receive")</f>
        <v>QSObject:SwapTrade:w1~trade.8776:23086</v>
      </c>
      <c r="G8778" s="3">
        <f>_xll.QS.EVALUATE(C8778,F8778)</f>
        <v>48234.662891178858</v>
      </c>
      <c r="H8778" s="5" t="s">
        <v>8819</v>
      </c>
      <c r="I8778" s="7">
        <v>1877600</v>
      </c>
      <c r="J8778" s="8">
        <v>3.7600000000000001E-2</v>
      </c>
    </row>
    <row r="8779" spans="1:10" x14ac:dyDescent="0.25">
      <c r="A8779" s="5" t="s">
        <v>8813</v>
      </c>
      <c r="B8779" s="5" t="s">
        <v>10646</v>
      </c>
      <c r="C8779" s="6" t="str">
        <f>_xll.QS.CONTEXT.CREATE("market.8777",A8779,"USD","SOFR")</f>
        <v>QSObject:PricingContext:w1~market.8777:1649</v>
      </c>
      <c r="D8779" s="6" t="str">
        <f>_xll.QS.CONTEXT.ADD.CURVE(C8779,"SOFR",$K$2:$K$7,$L$2:$L$7,,,"Actual360","LogLinear",TRUE)</f>
        <v>QSObject:ContextInput:w1~input.qs_context_add_curve.2359132437744.8778.3.0:39990</v>
      </c>
      <c r="E8779" s="6" t="str">
        <f>_xll.QS.INSTRUMENT.SWAP("swap.8777",H8779,B8779,"USD","SOFR",I8779,J8779,0,"Actual360","Simple","Annual","Annual","Annual")</f>
        <v>QSObject:Swap:w1~swap.8777:1648</v>
      </c>
      <c r="F8779" s="6" t="str">
        <f>_xll.QS.TRADE.CREATE("trade.8777",E8779,A8779,"Receive")</f>
        <v>QSObject:SwapTrade:w1~trade.8777:23085</v>
      </c>
      <c r="G8779" s="3">
        <f>_xll.QS.EVALUATE(C8779,F8779)</f>
        <v>48917.842543960222</v>
      </c>
      <c r="H8779" s="5" t="s">
        <v>8820</v>
      </c>
      <c r="I8779" s="7">
        <v>1877700</v>
      </c>
      <c r="J8779" s="8">
        <v>3.7699999999999997E-2</v>
      </c>
    </row>
    <row r="8780" spans="1:10" x14ac:dyDescent="0.25">
      <c r="A8780" s="5" t="s">
        <v>8814</v>
      </c>
      <c r="B8780" s="5" t="s">
        <v>10647</v>
      </c>
      <c r="C8780" s="6" t="str">
        <f>_xll.QS.CONTEXT.CREATE("market.8778",A8780,"USD","SOFR")</f>
        <v>QSObject:PricingContext:w1~market.8778:1647</v>
      </c>
      <c r="D8780" s="6" t="str">
        <f>_xll.QS.CONTEXT.ADD.CURVE(C8780,"SOFR",$K$2:$K$7,$L$2:$L$7,,,"Actual360","LogLinear",TRUE)</f>
        <v>QSObject:ContextInput:w1~input.qs_context_add_curve.2359132437744.8779.3.0:32999</v>
      </c>
      <c r="E8780" s="6" t="str">
        <f>_xll.QS.INSTRUMENT.SWAP("swap.8778",H8780,B8780,"USD","SOFR",I8780,J8780,0,"Actual360","Simple","Annual","Annual","Annual")</f>
        <v>QSObject:Swap:w1~swap.8778:1646</v>
      </c>
      <c r="F8780" s="6" t="str">
        <f>_xll.QS.TRADE.CREATE("trade.8778",E8780,A8780,"Receive")</f>
        <v>QSObject:SwapTrade:w1~trade.8778:23084</v>
      </c>
      <c r="G8780" s="3">
        <f>_xll.QS.EVALUATE(C8780,F8780)</f>
        <v>49866.390619067046</v>
      </c>
      <c r="H8780" s="5" t="s">
        <v>8821</v>
      </c>
      <c r="I8780" s="7">
        <v>1877800</v>
      </c>
      <c r="J8780" s="8">
        <v>3.78E-2</v>
      </c>
    </row>
    <row r="8781" spans="1:10" x14ac:dyDescent="0.25">
      <c r="A8781" s="5" t="s">
        <v>8815</v>
      </c>
      <c r="B8781" s="5" t="s">
        <v>10648</v>
      </c>
      <c r="C8781" s="6" t="str">
        <f>_xll.QS.CONTEXT.CREATE("market.8779",A8781,"USD","SOFR")</f>
        <v>QSObject:PricingContext:w1~market.8779:1645</v>
      </c>
      <c r="D8781" s="6" t="str">
        <f>_xll.QS.CONTEXT.ADD.CURVE(C8781,"SOFR",$K$2:$K$7,$L$2:$L$7,,,"Actual360","LogLinear",TRUE)</f>
        <v>QSObject:ContextInput:w1~input.qs_context_add_curve.2359132437744.8780.3.0:32998</v>
      </c>
      <c r="E8781" s="6" t="str">
        <f>_xll.QS.INSTRUMENT.SWAP("swap.8779",H8781,B8781,"USD","SOFR",I8781,J8781,0,"Actual360","Simple","Annual","Annual","Annual")</f>
        <v>QSObject:Swap:w1~swap.8779:1644</v>
      </c>
      <c r="F8781" s="6" t="str">
        <f>_xll.QS.TRADE.CREATE("trade.8779",E8781,A8781,"Receive")</f>
        <v>QSObject:SwapTrade:w1~trade.8779:23083</v>
      </c>
      <c r="G8781" s="3">
        <f>_xll.QS.EVALUATE(C8781,F8781)</f>
        <v>50814.911211311264</v>
      </c>
      <c r="H8781" s="5" t="s">
        <v>8822</v>
      </c>
      <c r="I8781" s="7">
        <v>1877900</v>
      </c>
      <c r="J8781" s="8">
        <v>3.7900000000000003E-2</v>
      </c>
    </row>
    <row r="8782" spans="1:10" x14ac:dyDescent="0.25">
      <c r="A8782" s="5" t="s">
        <v>8816</v>
      </c>
      <c r="B8782" s="5" t="s">
        <v>10649</v>
      </c>
      <c r="C8782" s="6" t="str">
        <f>_xll.QS.CONTEXT.CREATE("market.8780",A8782,"USD","SOFR")</f>
        <v>QSObject:PricingContext:w1~market.8780:1643</v>
      </c>
      <c r="D8782" s="6" t="str">
        <f>_xll.QS.CONTEXT.ADD.CURVE(C8782,"SOFR",$K$2:$K$7,$L$2:$L$7,,,"Actual360","LogLinear",TRUE)</f>
        <v>QSObject:ContextInput:w1~input.qs_context_add_curve.2359132437744.8781.3.0:37012</v>
      </c>
      <c r="E8782" s="6" t="str">
        <f>_xll.QS.INSTRUMENT.SWAP("swap.8780",H8782,B8782,"USD","SOFR",I8782,J8782,0,"Actual360","Simple","Annual","Annual","Annual")</f>
        <v>QSObject:Swap:w1~swap.8780:1642</v>
      </c>
      <c r="F8782" s="6" t="str">
        <f>_xll.QS.TRADE.CREATE("trade.8780",E8782,A8782,"Receive")</f>
        <v>QSObject:SwapTrade:w1~trade.8780:23082</v>
      </c>
      <c r="G8782" s="3">
        <f>_xll.QS.EVALUATE(C8782,F8782)</f>
        <v>51936.171576815985</v>
      </c>
      <c r="H8782" s="5" t="s">
        <v>8823</v>
      </c>
      <c r="I8782" s="7">
        <v>1878000</v>
      </c>
      <c r="J8782" s="8">
        <v>3.8000000000000013E-2</v>
      </c>
    </row>
    <row r="8783" spans="1:10" x14ac:dyDescent="0.25">
      <c r="A8783" s="5" t="s">
        <v>8817</v>
      </c>
      <c r="B8783" s="5" t="s">
        <v>10650</v>
      </c>
      <c r="C8783" s="6" t="str">
        <f>_xll.QS.CONTEXT.CREATE("market.8781",A8783,"USD","SOFR")</f>
        <v>QSObject:PricingContext:w1~market.8781:1641</v>
      </c>
      <c r="D8783" s="6" t="str">
        <f>_xll.QS.CONTEXT.ADD.CURVE(C8783,"SOFR",$K$2:$K$7,$L$2:$L$7,,,"Actual360","LogLinear",TRUE)</f>
        <v>QSObject:ContextInput:w1~input.qs_context_add_curve.2359132437744.8782.3.0:34749</v>
      </c>
      <c r="E8783" s="6" t="str">
        <f>_xll.QS.INSTRUMENT.SWAP("swap.8781",H8783,B8783,"USD","SOFR",I8783,J8783,0,"Actual360","Simple","Annual","Annual","Annual")</f>
        <v>QSObject:Swap:w1~swap.8781:1640</v>
      </c>
      <c r="F8783" s="6" t="str">
        <f>_xll.QS.TRADE.CREATE("trade.8781",E8783,A8783,"Receive")</f>
        <v>QSObject:SwapTrade:w1~trade.8781:23081</v>
      </c>
      <c r="G8783" s="3">
        <f>_xll.QS.EVALUATE(C8783,F8783)</f>
        <v>52822.243740872356</v>
      </c>
      <c r="H8783" s="5" t="s">
        <v>8824</v>
      </c>
      <c r="I8783" s="7">
        <v>1878100</v>
      </c>
      <c r="J8783" s="8">
        <v>3.8100000000000002E-2</v>
      </c>
    </row>
    <row r="8784" spans="1:10" x14ac:dyDescent="0.25">
      <c r="A8784" s="5" t="s">
        <v>8818</v>
      </c>
      <c r="B8784" s="5" t="s">
        <v>10651</v>
      </c>
      <c r="C8784" s="6" t="str">
        <f>_xll.QS.CONTEXT.CREATE("market.8782",A8784,"USD","SOFR")</f>
        <v>QSObject:PricingContext:w1~market.8782:1639</v>
      </c>
      <c r="D8784" s="6" t="str">
        <f>_xll.QS.CONTEXT.ADD.CURVE(C8784,"SOFR",$K$2:$K$7,$L$2:$L$7,,,"Actual360","LogLinear",TRUE)</f>
        <v>QSObject:ContextInput:w1~input.qs_context_add_curve.2359132437744.8783.3.0:35939</v>
      </c>
      <c r="E8784" s="6" t="str">
        <f>_xll.QS.INSTRUMENT.SWAP("swap.8782",H8784,B8784,"USD","SOFR",I8784,J8784,0,"Actual360","Simple","Annual","Annual","Annual")</f>
        <v>QSObject:Swap:w1~swap.8782:1638</v>
      </c>
      <c r="F8784" s="6" t="str">
        <f>_xll.QS.TRADE.CREATE("trade.8782",E8784,A8784,"Receive")</f>
        <v>QSObject:SwapTrade:w1~trade.8782:23080</v>
      </c>
      <c r="G8784" s="3">
        <f>_xll.QS.EVALUATE(C8784,F8784)</f>
        <v>53689.870154566488</v>
      </c>
      <c r="H8784" s="5" t="s">
        <v>8825</v>
      </c>
      <c r="I8784" s="7">
        <v>1878200</v>
      </c>
      <c r="J8784" s="8">
        <v>3.8199999999999998E-2</v>
      </c>
    </row>
    <row r="8785" spans="1:10" x14ac:dyDescent="0.25">
      <c r="A8785" s="5" t="s">
        <v>8819</v>
      </c>
      <c r="B8785" s="5" t="s">
        <v>10652</v>
      </c>
      <c r="C8785" s="6" t="str">
        <f>_xll.QS.CONTEXT.CREATE("market.8783",A8785,"USD","SOFR")</f>
        <v>QSObject:PricingContext:w1~market.8783:1637</v>
      </c>
      <c r="D8785" s="6" t="str">
        <f>_xll.QS.CONTEXT.ADD.CURVE(C8785,"SOFR",$K$2:$K$7,$L$2:$L$7,,,"Actual360","LogLinear",TRUE)</f>
        <v>QSObject:ContextInput:w1~input.qs_context_add_curve.2359132437744.8784.3.0:36478</v>
      </c>
      <c r="E8785" s="6" t="str">
        <f>_xll.QS.INSTRUMENT.SWAP("swap.8783",H8785,B8785,"USD","SOFR",I8785,J8785,0,"Actual360","Simple","Annual","Annual","Annual")</f>
        <v>QSObject:Swap:w1~swap.8783:1636</v>
      </c>
      <c r="F8785" s="6" t="str">
        <f>_xll.QS.TRADE.CREATE("trade.8783",E8785,A8785,"Receive")</f>
        <v>QSObject:SwapTrade:w1~trade.8783:23079</v>
      </c>
      <c r="G8785" s="3">
        <f>_xll.QS.EVALUATE(C8785,F8785)</f>
        <v>54415.530966369493</v>
      </c>
      <c r="H8785" s="5" t="s">
        <v>8826</v>
      </c>
      <c r="I8785" s="7">
        <v>1878300</v>
      </c>
      <c r="J8785" s="8">
        <v>3.8300000000000001E-2</v>
      </c>
    </row>
    <row r="8786" spans="1:10" x14ac:dyDescent="0.25">
      <c r="A8786" s="5" t="s">
        <v>8820</v>
      </c>
      <c r="B8786" s="5" t="s">
        <v>10653</v>
      </c>
      <c r="C8786" s="6" t="str">
        <f>_xll.QS.CONTEXT.CREATE("market.8784",A8786,"USD","SOFR")</f>
        <v>QSObject:PricingContext:w1~market.8784:1635</v>
      </c>
      <c r="D8786" s="6" t="str">
        <f>_xll.QS.CONTEXT.ADD.CURVE(C8786,"SOFR",$K$2:$K$7,$L$2:$L$7,,,"Actual360","LogLinear",TRUE)</f>
        <v>QSObject:ContextInput:w1~input.qs_context_add_curve.2359132437744.8785.3.0:32997</v>
      </c>
      <c r="E8786" s="6" t="str">
        <f>_xll.QS.INSTRUMENT.SWAP("swap.8784",H8786,B8786,"USD","SOFR",I8786,J8786,0,"Actual360","Simple","Annual","Annual","Annual")</f>
        <v>QSObject:Swap:w1~swap.8784:1634</v>
      </c>
      <c r="F8786" s="6" t="str">
        <f>_xll.QS.TRADE.CREATE("trade.8784",E8786,A8786,"Receive")</f>
        <v>QSObject:SwapTrade:w1~trade.8784:23078</v>
      </c>
      <c r="G8786" s="3">
        <f>_xll.QS.EVALUATE(C8786,F8786)</f>
        <v>55155.797168186662</v>
      </c>
      <c r="H8786" s="5" t="s">
        <v>8827</v>
      </c>
      <c r="I8786" s="7">
        <v>1878400</v>
      </c>
      <c r="J8786" s="8">
        <v>3.8399999999999997E-2</v>
      </c>
    </row>
    <row r="8787" spans="1:10" x14ac:dyDescent="0.25">
      <c r="A8787" s="5" t="s">
        <v>8821</v>
      </c>
      <c r="B8787" s="5" t="s">
        <v>10654</v>
      </c>
      <c r="C8787" s="6" t="str">
        <f>_xll.QS.CONTEXT.CREATE("market.8785",A8787,"USD","SOFR")</f>
        <v>QSObject:PricingContext:w1~market.8785:1633</v>
      </c>
      <c r="D8787" s="6" t="str">
        <f>_xll.QS.CONTEXT.ADD.CURVE(C8787,"SOFR",$K$2:$K$7,$L$2:$L$7,,,"Actual360","LogLinear",TRUE)</f>
        <v>QSObject:ContextInput:w1~input.qs_context_add_curve.2359132437744.8786.3.0:32996</v>
      </c>
      <c r="E8787" s="6" t="str">
        <f>_xll.QS.INSTRUMENT.SWAP("swap.8785",H8787,B8787,"USD","SOFR",I8787,J8787,0,"Actual360","Simple","Annual","Annual","Annual")</f>
        <v>QSObject:Swap:w1~swap.8785:1632</v>
      </c>
      <c r="F8787" s="6" t="str">
        <f>_xll.QS.TRADE.CREATE("trade.8785",E8787,A8787,"Receive")</f>
        <v>QSObject:SwapTrade:w1~trade.8785:23077</v>
      </c>
      <c r="G8787" s="3">
        <f>_xll.QS.EVALUATE(C8787,F8787)</f>
        <v>56029.595026908995</v>
      </c>
      <c r="H8787" s="5" t="s">
        <v>8828</v>
      </c>
      <c r="I8787" s="7">
        <v>1878500</v>
      </c>
      <c r="J8787" s="8">
        <v>3.8500000000000013E-2</v>
      </c>
    </row>
    <row r="8788" spans="1:10" x14ac:dyDescent="0.25">
      <c r="A8788" s="5" t="s">
        <v>8822</v>
      </c>
      <c r="B8788" s="5" t="s">
        <v>10655</v>
      </c>
      <c r="C8788" s="6" t="str">
        <f>_xll.QS.CONTEXT.CREATE("market.8786",A8788,"USD","SOFR")</f>
        <v>QSObject:PricingContext:w1~market.8786:1631</v>
      </c>
      <c r="D8788" s="6" t="str">
        <f>_xll.QS.CONTEXT.ADD.CURVE(C8788,"SOFR",$K$2:$K$7,$L$2:$L$7,,,"Actual360","LogLinear",TRUE)</f>
        <v>QSObject:ContextInput:w1~input.qs_context_add_curve.2359132437744.8787.3.0:38806</v>
      </c>
      <c r="E8788" s="6" t="str">
        <f>_xll.QS.INSTRUMENT.SWAP("swap.8786",H8788,B8788,"USD","SOFR",I8788,J8788,0,"Actual360","Simple","Annual","Annual","Annual")</f>
        <v>QSObject:Swap:w1~swap.8786:1630</v>
      </c>
      <c r="F8788" s="6" t="str">
        <f>_xll.QS.TRADE.CREATE("trade.8786",E8788,A8788,"Receive")</f>
        <v>QSObject:SwapTrade:w1~trade.8786:23076</v>
      </c>
      <c r="G8788" s="3">
        <f>_xll.QS.EVALUATE(C8788,F8788)</f>
        <v>56943.178682769947</v>
      </c>
      <c r="H8788" s="5" t="s">
        <v>8829</v>
      </c>
      <c r="I8788" s="7">
        <v>1878600</v>
      </c>
      <c r="J8788" s="8">
        <v>3.8600000000000002E-2</v>
      </c>
    </row>
    <row r="8789" spans="1:10" x14ac:dyDescent="0.25">
      <c r="A8789" s="5" t="s">
        <v>8823</v>
      </c>
      <c r="B8789" s="5" t="s">
        <v>10656</v>
      </c>
      <c r="C8789" s="6" t="str">
        <f>_xll.QS.CONTEXT.CREATE("market.8787",A8789,"USD","SOFR")</f>
        <v>QSObject:PricingContext:w1~market.8787:1629</v>
      </c>
      <c r="D8789" s="6" t="str">
        <f>_xll.QS.CONTEXT.ADD.CURVE(C8789,"SOFR",$K$2:$K$7,$L$2:$L$7,,,"Actual360","LogLinear",TRUE)</f>
        <v>QSObject:ContextInput:w1~input.qs_context_add_curve.2359132437744.8788.3.0:32995</v>
      </c>
      <c r="E8789" s="6" t="str">
        <f>_xll.QS.INSTRUMENT.SWAP("swap.8787",H8789,B8789,"USD","SOFR",I8789,J8789,0,"Actual360","Simple","Annual","Annual","Annual")</f>
        <v>QSObject:Swap:w1~swap.8787:1628</v>
      </c>
      <c r="F8789" s="6" t="str">
        <f>_xll.QS.TRADE.CREATE("trade.8787",E8789,A8789,"Receive")</f>
        <v>QSObject:SwapTrade:w1~trade.8787:23075</v>
      </c>
      <c r="G8789" s="3">
        <f>_xll.QS.EVALUATE(C8789,F8789)</f>
        <v>57950.318724756049</v>
      </c>
      <c r="H8789" s="5" t="s">
        <v>8830</v>
      </c>
      <c r="I8789" s="7">
        <v>1878700</v>
      </c>
      <c r="J8789" s="8">
        <v>3.8700000000000012E-2</v>
      </c>
    </row>
    <row r="8790" spans="1:10" x14ac:dyDescent="0.25">
      <c r="A8790" s="5" t="s">
        <v>8824</v>
      </c>
      <c r="B8790" s="5" t="s">
        <v>10657</v>
      </c>
      <c r="C8790" s="6" t="str">
        <f>_xll.QS.CONTEXT.CREATE("market.8788",A8790,"USD","SOFR")</f>
        <v>QSObject:PricingContext:w1~market.8788:1627</v>
      </c>
      <c r="D8790" s="6" t="str">
        <f>_xll.QS.CONTEXT.ADD.CURVE(C8790,"SOFR",$K$2:$K$7,$L$2:$L$7,,,"Actual360","LogLinear",TRUE)</f>
        <v>QSObject:ContextInput:w1~input.qs_context_add_curve.2359132437744.8789.3.0:35938</v>
      </c>
      <c r="E8790" s="6" t="str">
        <f>_xll.QS.INSTRUMENT.SWAP("swap.8788",H8790,B8790,"USD","SOFR",I8790,J8790,0,"Actual360","Simple","Annual","Annual","Annual")</f>
        <v>QSObject:Swap:w1~swap.8788:1626</v>
      </c>
      <c r="F8790" s="6" t="str">
        <f>_xll.QS.TRADE.CREATE("trade.8788",E8790,A8790,"Receive")</f>
        <v>QSObject:SwapTrade:w1~trade.8788:23074</v>
      </c>
      <c r="G8790" s="3">
        <f>_xll.QS.EVALUATE(C8790,F8790)</f>
        <v>58902.285370718557</v>
      </c>
      <c r="H8790" s="5" t="s">
        <v>8831</v>
      </c>
      <c r="I8790" s="7">
        <v>1878800</v>
      </c>
      <c r="J8790" s="8">
        <v>3.8800000000000001E-2</v>
      </c>
    </row>
    <row r="8791" spans="1:10" x14ac:dyDescent="0.25">
      <c r="A8791" s="5" t="s">
        <v>8825</v>
      </c>
      <c r="B8791" s="5" t="s">
        <v>10658</v>
      </c>
      <c r="C8791" s="6" t="str">
        <f>_xll.QS.CONTEXT.CREATE("market.8789",A8791,"USD","SOFR")</f>
        <v>QSObject:PricingContext:w1~market.8789:1625</v>
      </c>
      <c r="D8791" s="6" t="str">
        <f>_xll.QS.CONTEXT.ADD.CURVE(C8791,"SOFR",$K$2:$K$7,$L$2:$L$7,,,"Actual360","LogLinear",TRUE)</f>
        <v>QSObject:ContextInput:w1~input.qs_context_add_curve.2359132437744.8790.3.0:34129</v>
      </c>
      <c r="E8791" s="6" t="str">
        <f>_xll.QS.INSTRUMENT.SWAP("swap.8789",H8791,B8791,"USD","SOFR",I8791,J8791,0,"Actual360","Simple","Annual","Annual","Annual")</f>
        <v>QSObject:Swap:w1~swap.8789:1624</v>
      </c>
      <c r="F8791" s="6" t="str">
        <f>_xll.QS.TRADE.CREATE("trade.8789",E8791,A8791,"Receive")</f>
        <v>QSObject:SwapTrade:w1~trade.8789:23073</v>
      </c>
      <c r="G8791" s="3">
        <f>_xll.QS.EVALUATE(C8791,F8791)</f>
        <v>59700.322865541726</v>
      </c>
      <c r="H8791" s="5" t="s">
        <v>8832</v>
      </c>
      <c r="I8791" s="7">
        <v>1878900</v>
      </c>
      <c r="J8791" s="8">
        <v>3.8899999999999997E-2</v>
      </c>
    </row>
    <row r="8792" spans="1:10" x14ac:dyDescent="0.25">
      <c r="A8792" s="5" t="s">
        <v>8826</v>
      </c>
      <c r="B8792" s="5" t="s">
        <v>10659</v>
      </c>
      <c r="C8792" s="6" t="str">
        <f>_xll.QS.CONTEXT.CREATE("market.8790",A8792,"USD","SOFR")</f>
        <v>QSObject:PricingContext:w1~market.8790:1623</v>
      </c>
      <c r="D8792" s="6" t="str">
        <f>_xll.QS.CONTEXT.ADD.CURVE(C8792,"SOFR",$K$2:$K$7,$L$2:$L$7,,,"Actual360","LogLinear",TRUE)</f>
        <v>QSObject:ContextInput:w1~input.qs_context_add_curve.2359132437744.8791.3.0:35361</v>
      </c>
      <c r="E8792" s="6" t="str">
        <f>_xll.QS.INSTRUMENT.SWAP("swap.8790",H8792,B8792,"USD","SOFR",I8792,J8792,0,"Actual360","Simple","Annual","Annual","Annual")</f>
        <v>QSObject:Swap:w1~swap.8790:1622</v>
      </c>
      <c r="F8792" s="6" t="str">
        <f>_xll.QS.TRADE.CREATE("trade.8790",E8792,A8792,"Receive")</f>
        <v>QSObject:SwapTrade:w1~trade.8790:23072</v>
      </c>
      <c r="G8792" s="3">
        <f>_xll.QS.EVALUATE(C8792,F8792)</f>
        <v>60418.301595619523</v>
      </c>
      <c r="H8792" s="5" t="s">
        <v>8833</v>
      </c>
      <c r="I8792" s="7">
        <v>1879000</v>
      </c>
      <c r="J8792" s="8">
        <v>3.9000000000000007E-2</v>
      </c>
    </row>
    <row r="8793" spans="1:10" x14ac:dyDescent="0.25">
      <c r="A8793" s="5" t="s">
        <v>8827</v>
      </c>
      <c r="B8793" s="5" t="s">
        <v>10660</v>
      </c>
      <c r="C8793" s="6" t="str">
        <f>_xll.QS.CONTEXT.CREATE("market.8791",A8793,"USD","SOFR")</f>
        <v>QSObject:PricingContext:w1~market.8791:1621</v>
      </c>
      <c r="D8793" s="6" t="str">
        <f>_xll.QS.CONTEXT.ADD.CURVE(C8793,"SOFR",$K$2:$K$7,$L$2:$L$7,,,"Actual360","LogLinear",TRUE)</f>
        <v>QSObject:ContextInput:w1~input.qs_context_add_curve.2359132437744.8792.3.0:32994</v>
      </c>
      <c r="E8793" s="6" t="str">
        <f>_xll.QS.INSTRUMENT.SWAP("swap.8791",H8793,B8793,"USD","SOFR",I8793,J8793,0,"Actual360","Simple","Annual","Annual","Annual")</f>
        <v>QSObject:Swap:w1~swap.8791:1620</v>
      </c>
      <c r="F8793" s="6" t="str">
        <f>_xll.QS.TRADE.CREATE("trade.8791",E8793,A8793,"Receive")</f>
        <v>QSObject:SwapTrade:w1~trade.8791:23071</v>
      </c>
      <c r="G8793" s="3">
        <f>_xll.QS.EVALUATE(C8793,F8793)</f>
        <v>61168.80665873611</v>
      </c>
      <c r="H8793" s="5" t="s">
        <v>8834</v>
      </c>
      <c r="I8793" s="7">
        <v>1879100</v>
      </c>
      <c r="J8793" s="8">
        <v>3.9100000000000003E-2</v>
      </c>
    </row>
    <row r="8794" spans="1:10" x14ac:dyDescent="0.25">
      <c r="A8794" s="5" t="s">
        <v>8828</v>
      </c>
      <c r="B8794" s="5" t="s">
        <v>10661</v>
      </c>
      <c r="C8794" s="6" t="str">
        <f>_xll.QS.CONTEXT.CREATE("market.8792",A8794,"USD","SOFR")</f>
        <v>QSObject:PricingContext:w1~market.8792:1619</v>
      </c>
      <c r="D8794" s="6" t="str">
        <f>_xll.QS.CONTEXT.ADD.CURVE(C8794,"SOFR",$K$2:$K$7,$L$2:$L$7,,,"Actual360","LogLinear",TRUE)</f>
        <v>QSObject:ContextInput:w1~input.qs_context_add_curve.2359132437744.8793.3.0:36477</v>
      </c>
      <c r="E8794" s="6" t="str">
        <f>_xll.QS.INSTRUMENT.SWAP("swap.8792",H8794,B8794,"USD","SOFR",I8794,J8794,0,"Actual360","Simple","Annual","Annual","Annual")</f>
        <v>QSObject:Swap:w1~swap.8792:1618</v>
      </c>
      <c r="F8794" s="6" t="str">
        <f>_xll.QS.TRADE.CREATE("trade.8792",E8794,A8794,"Receive")</f>
        <v>QSObject:SwapTrade:w1~trade.8792:23070</v>
      </c>
      <c r="G8794" s="3">
        <f>_xll.QS.EVALUATE(C8794,F8794)</f>
        <v>62119.330727145752</v>
      </c>
      <c r="H8794" s="5" t="s">
        <v>8835</v>
      </c>
      <c r="I8794" s="7">
        <v>1879200</v>
      </c>
      <c r="J8794" s="8">
        <v>3.9200000000000013E-2</v>
      </c>
    </row>
    <row r="8795" spans="1:10" x14ac:dyDescent="0.25">
      <c r="A8795" s="5" t="s">
        <v>8829</v>
      </c>
      <c r="B8795" s="5" t="s">
        <v>10662</v>
      </c>
      <c r="C8795" s="6" t="str">
        <f>_xll.QS.CONTEXT.CREATE("market.8793",A8795,"USD","SOFR")</f>
        <v>QSObject:PricingContext:w1~market.8793:1617</v>
      </c>
      <c r="D8795" s="6" t="str">
        <f>_xll.QS.CONTEXT.ADD.CURVE(C8795,"SOFR",$K$2:$K$7,$L$2:$L$7,,,"Actual360","LogLinear",TRUE)</f>
        <v>QSObject:ContextInput:w1~input.qs_context_add_curve.2359132437744.8794.3.0:34128</v>
      </c>
      <c r="E8795" s="6" t="str">
        <f>_xll.QS.INSTRUMENT.SWAP("swap.8793",H8795,B8795,"USD","SOFR",I8795,J8795,0,"Actual360","Simple","Annual","Annual","Annual")</f>
        <v>QSObject:Swap:w1~swap.8793:1616</v>
      </c>
      <c r="F8795" s="6" t="str">
        <f>_xll.QS.TRADE.CREATE("trade.8793",E8795,A8795,"Receive")</f>
        <v>QSObject:SwapTrade:w1~trade.8793:23069</v>
      </c>
      <c r="G8795" s="3">
        <f>_xll.QS.EVALUATE(C8795,F8795)</f>
        <v>63029.508271641935</v>
      </c>
      <c r="H8795" s="5" t="s">
        <v>8836</v>
      </c>
      <c r="I8795" s="7">
        <v>1879300</v>
      </c>
      <c r="J8795" s="8">
        <v>3.9300000000000002E-2</v>
      </c>
    </row>
    <row r="8796" spans="1:10" x14ac:dyDescent="0.25">
      <c r="A8796" s="5" t="s">
        <v>8830</v>
      </c>
      <c r="B8796" s="5" t="s">
        <v>10663</v>
      </c>
      <c r="C8796" s="6" t="str">
        <f>_xll.QS.CONTEXT.CREATE("market.8794",A8796,"USD","SOFR")</f>
        <v>QSObject:PricingContext:w1~market.8794:1615</v>
      </c>
      <c r="D8796" s="6" t="str">
        <f>_xll.QS.CONTEXT.ADD.CURVE(C8796,"SOFR",$K$2:$K$7,$L$2:$L$7,,,"Actual360","LogLinear",TRUE)</f>
        <v>QSObject:ContextInput:w1~input.qs_context_add_curve.2359132437744.8795.3.0:36476</v>
      </c>
      <c r="E8796" s="6" t="str">
        <f>_xll.QS.INSTRUMENT.SWAP("swap.8794",H8796,B8796,"USD","SOFR",I8796,J8796,0,"Actual360","Simple","Annual","Annual","Annual")</f>
        <v>QSObject:Swap:w1~swap.8794:1614</v>
      </c>
      <c r="F8796" s="6" t="str">
        <f>_xll.QS.TRADE.CREATE("trade.8794",E8796,A8796,"Receive")</f>
        <v>QSObject:SwapTrade:w1~trade.8794:23068</v>
      </c>
      <c r="G8796" s="3">
        <f>_xll.QS.EVALUATE(C8796,F8796)</f>
        <v>64038.222240233517</v>
      </c>
      <c r="H8796" s="5" t="s">
        <v>8837</v>
      </c>
      <c r="I8796" s="7">
        <v>1879400</v>
      </c>
      <c r="J8796" s="8">
        <v>3.9399999999999998E-2</v>
      </c>
    </row>
    <row r="8797" spans="1:10" x14ac:dyDescent="0.25">
      <c r="A8797" s="5" t="s">
        <v>8831</v>
      </c>
      <c r="B8797" s="5" t="s">
        <v>10664</v>
      </c>
      <c r="C8797" s="6" t="str">
        <f>_xll.QS.CONTEXT.CREATE("market.8795",A8797,"USD","SOFR")</f>
        <v>QSObject:PricingContext:w1~market.8795:1613</v>
      </c>
      <c r="D8797" s="6" t="str">
        <f>_xll.QS.CONTEXT.ADD.CURVE(C8797,"SOFR",$K$2:$K$7,$L$2:$L$7,,,"Actual360","LogLinear",TRUE)</f>
        <v>QSObject:ContextInput:w1~input.qs_context_add_curve.2359132437744.8796.3.0:39989</v>
      </c>
      <c r="E8797" s="6" t="str">
        <f>_xll.QS.INSTRUMENT.SWAP("swap.8795",H8797,B8797,"USD","SOFR",I8797,J8797,0,"Actual360","Simple","Annual","Annual","Annual")</f>
        <v>QSObject:Swap:w1~swap.8795:1612</v>
      </c>
      <c r="F8797" s="6" t="str">
        <f>_xll.QS.TRADE.CREATE("trade.8795",E8797,A8797,"Receive")</f>
        <v>QSObject:SwapTrade:w1~trade.8795:23067</v>
      </c>
      <c r="G8797" s="3">
        <f>_xll.QS.EVALUATE(C8797,F8797)</f>
        <v>64990.986560578538</v>
      </c>
      <c r="H8797" s="5" t="s">
        <v>8838</v>
      </c>
      <c r="I8797" s="7">
        <v>1879500</v>
      </c>
      <c r="J8797" s="8">
        <v>3.9500000000000007E-2</v>
      </c>
    </row>
    <row r="8798" spans="1:10" x14ac:dyDescent="0.25">
      <c r="A8798" s="5" t="s">
        <v>8832</v>
      </c>
      <c r="B8798" s="5" t="s">
        <v>10665</v>
      </c>
      <c r="C8798" s="6" t="str">
        <f>_xll.QS.CONTEXT.CREATE("market.8796",A8798,"USD","SOFR")</f>
        <v>QSObject:PricingContext:w1~market.8796:1611</v>
      </c>
      <c r="D8798" s="6" t="str">
        <f>_xll.QS.CONTEXT.ADD.CURVE(C8798,"SOFR",$K$2:$K$7,$L$2:$L$7,,,"Actual360","LogLinear",TRUE)</f>
        <v>QSObject:ContextInput:w1~input.qs_context_add_curve.2359132437744.8797.3.0:36475</v>
      </c>
      <c r="E8798" s="6" t="str">
        <f>_xll.QS.INSTRUMENT.SWAP("swap.8796",H8798,B8798,"USD","SOFR",I8798,J8798,0,"Actual360","Simple","Annual","Annual","Annual")</f>
        <v>QSObject:Swap:w1~swap.8796:1610</v>
      </c>
      <c r="F8798" s="6" t="str">
        <f>_xll.QS.TRADE.CREATE("trade.8796",E8798,A8798,"Receive")</f>
        <v>QSObject:SwapTrade:w1~trade.8796:23066</v>
      </c>
      <c r="G8798" s="3">
        <f>_xll.QS.EVALUATE(C8798,F8798)</f>
        <v>65788.719171274046</v>
      </c>
      <c r="H8798" s="5" t="s">
        <v>8839</v>
      </c>
      <c r="I8798" s="7">
        <v>1879600</v>
      </c>
      <c r="J8798" s="8">
        <v>3.9600000000000003E-2</v>
      </c>
    </row>
    <row r="8799" spans="1:10" x14ac:dyDescent="0.25">
      <c r="A8799" s="5" t="s">
        <v>8833</v>
      </c>
      <c r="B8799" s="5" t="s">
        <v>10666</v>
      </c>
      <c r="C8799" s="6" t="str">
        <f>_xll.QS.CONTEXT.CREATE("market.8797",A8799,"USD","SOFR")</f>
        <v>QSObject:PricingContext:w1~market.8797:1609</v>
      </c>
      <c r="D8799" s="6" t="str">
        <f>_xll.QS.CONTEXT.ADD.CURVE(C8799,"SOFR",$K$2:$K$7,$L$2:$L$7,,,"Actual360","LogLinear",TRUE)</f>
        <v>QSObject:ContextInput:w1~input.qs_context_add_curve.2359132437744.8798.3.0:39356</v>
      </c>
      <c r="E8799" s="6" t="str">
        <f>_xll.QS.INSTRUMENT.SWAP("swap.8797",H8799,B8799,"USD","SOFR",I8799,J8799,0,"Actual360","Simple","Annual","Annual","Annual")</f>
        <v>QSObject:Swap:w1~swap.8797:1608</v>
      </c>
      <c r="F8799" s="6" t="str">
        <f>_xll.QS.TRADE.CREATE("trade.8797",E8799,A8799,"Receive")</f>
        <v>QSObject:SwapTrade:w1~trade.8797:23065</v>
      </c>
      <c r="G8799" s="3">
        <f>_xll.QS.EVALUATE(C8799,F8799)</f>
        <v>66501.286672158778</v>
      </c>
      <c r="H8799" s="5" t="s">
        <v>8840</v>
      </c>
      <c r="I8799" s="7">
        <v>1879700</v>
      </c>
      <c r="J8799" s="8">
        <v>3.9700000000000013E-2</v>
      </c>
    </row>
    <row r="8800" spans="1:10" x14ac:dyDescent="0.25">
      <c r="A8800" s="5" t="s">
        <v>8834</v>
      </c>
      <c r="B8800" s="5" t="s">
        <v>10667</v>
      </c>
      <c r="C8800" s="6" t="str">
        <f>_xll.QS.CONTEXT.CREATE("market.8798",A8800,"USD","SOFR")</f>
        <v>QSObject:PricingContext:w1~market.8798:1607</v>
      </c>
      <c r="D8800" s="6" t="str">
        <f>_xll.QS.CONTEXT.ADD.CURVE(C8800,"SOFR",$K$2:$K$7,$L$2:$L$7,,,"Actual360","LogLinear",TRUE)</f>
        <v>QSObject:ContextInput:w1~input.qs_context_add_curve.2359132437744.8799.3.0:33528</v>
      </c>
      <c r="E8800" s="6" t="str">
        <f>_xll.QS.INSTRUMENT.SWAP("swap.8798",H8800,B8800,"USD","SOFR",I8800,J8800,0,"Actual360","Simple","Annual","Annual","Annual")</f>
        <v>QSObject:Swap:w1~swap.8798:1606</v>
      </c>
      <c r="F8800" s="6" t="str">
        <f>_xll.QS.TRADE.CREATE("trade.8798",E8800,A8800,"Receive")</f>
        <v>QSObject:SwapTrade:w1~trade.8798:23064</v>
      </c>
      <c r="G8800" s="3">
        <f>_xll.QS.EVALUATE(C8800,F8800)</f>
        <v>67261.799835967075</v>
      </c>
      <c r="H8800" s="5" t="s">
        <v>8841</v>
      </c>
      <c r="I8800" s="7">
        <v>1879800</v>
      </c>
      <c r="J8800" s="8">
        <v>3.9800000000000002E-2</v>
      </c>
    </row>
    <row r="8801" spans="1:10" x14ac:dyDescent="0.25">
      <c r="A8801" s="5" t="s">
        <v>8835</v>
      </c>
      <c r="B8801" s="5" t="s">
        <v>10668</v>
      </c>
      <c r="C8801" s="6" t="str">
        <f>_xll.QS.CONTEXT.CREATE("market.8799",A8801,"USD","SOFR")</f>
        <v>QSObject:PricingContext:w1~market.8799:1605</v>
      </c>
      <c r="D8801" s="6" t="str">
        <f>_xll.QS.CONTEXT.ADD.CURVE(C8801,"SOFR",$K$2:$K$7,$L$2:$L$7,,,"Actual360","LogLinear",TRUE)</f>
        <v>QSObject:ContextInput:w1~input.qs_context_add_curve.2359132437744.8800.3.0:35937</v>
      </c>
      <c r="E8801" s="6" t="str">
        <f>_xll.QS.INSTRUMENT.SWAP("swap.8799",H8801,B8801,"USD","SOFR",I8801,J8801,0,"Actual360","Simple","Annual","Annual","Annual")</f>
        <v>QSObject:Swap:w1~swap.8799:1604</v>
      </c>
      <c r="F8801" s="6" t="str">
        <f>_xll.QS.TRADE.CREATE("trade.8799",E8801,A8801,"Receive")</f>
        <v>QSObject:SwapTrade:w1~trade.8799:23063</v>
      </c>
      <c r="G8801" s="3">
        <f>_xll.QS.EVALUATE(C8801,F8801)</f>
        <v>68213.587712898181</v>
      </c>
      <c r="H8801" s="5" t="s">
        <v>8842</v>
      </c>
      <c r="I8801" s="7">
        <v>1879900</v>
      </c>
      <c r="J8801" s="8">
        <v>3.9899999999999998E-2</v>
      </c>
    </row>
    <row r="8802" spans="1:10" x14ac:dyDescent="0.25">
      <c r="A8802" s="5" t="s">
        <v>8836</v>
      </c>
      <c r="B8802" s="5" t="s">
        <v>10669</v>
      </c>
      <c r="C8802" s="6" t="str">
        <f>_xll.QS.CONTEXT.CREATE("market.8800",A8802,"USD","SOFR")</f>
        <v>QSObject:PricingContext:w1~market.8800:1603</v>
      </c>
      <c r="D8802" s="6" t="str">
        <f>_xll.QS.CONTEXT.ADD.CURVE(C8802,"SOFR",$K$2:$K$7,$L$2:$L$7,,,"Actual360","LogLinear",TRUE)</f>
        <v>QSObject:ContextInput:w1~input.qs_context_add_curve.2359132437744.8801.3.0:39355</v>
      </c>
      <c r="E8802" s="6" t="str">
        <f>_xll.QS.INSTRUMENT.SWAP("swap.8800",H8802,B8802,"USD","SOFR",I8802,J8802,0,"Actual360","Simple","Annual","Annual","Annual")</f>
        <v>QSObject:Swap:w1~swap.8800:1602</v>
      </c>
      <c r="F8802" s="6" t="str">
        <f>_xll.QS.TRADE.CREATE("trade.8800",E8802,A8802,"Receive")</f>
        <v>QSObject:SwapTrade:w1~trade.8800:23062</v>
      </c>
      <c r="G8802" s="3">
        <f>_xll.QS.EVALUATE(C8802,F8802)</f>
        <v>25776.228065412673</v>
      </c>
      <c r="H8802" s="5" t="s">
        <v>8843</v>
      </c>
      <c r="I8802" s="7">
        <v>1880000</v>
      </c>
      <c r="J8802" s="8">
        <v>3.5000000000000003E-2</v>
      </c>
    </row>
    <row r="8803" spans="1:10" x14ac:dyDescent="0.25">
      <c r="A8803" s="5" t="s">
        <v>8837</v>
      </c>
      <c r="B8803" s="5" t="s">
        <v>10670</v>
      </c>
      <c r="C8803" s="6" t="str">
        <f>_xll.QS.CONTEXT.CREATE("market.8801",A8803,"USD","SOFR")</f>
        <v>QSObject:PricingContext:w1~market.8801:1601</v>
      </c>
      <c r="D8803" s="6" t="str">
        <f>_xll.QS.CONTEXT.ADD.CURVE(C8803,"SOFR",$K$2:$K$7,$L$2:$L$7,,,"Actual360","LogLinear",TRUE)</f>
        <v>QSObject:ContextInput:w1~input.qs_context_add_curve.2359132437744.8802.3.0:38805</v>
      </c>
      <c r="E8803" s="6" t="str">
        <f>_xll.QS.INSTRUMENT.SWAP("swap.8801",H8803,B8803,"USD","SOFR",I8803,J8803,0,"Actual360","Simple","Annual","Annual","Annual")</f>
        <v>QSObject:Swap:w1~swap.8801:1600</v>
      </c>
      <c r="F8803" s="6" t="str">
        <f>_xll.QS.TRADE.CREATE("trade.8801",E8803,A8803,"Receive")</f>
        <v>QSObject:SwapTrade:w1~trade.8801:23061</v>
      </c>
      <c r="G8803" s="3">
        <f>_xll.QS.EVALUATE(C8803,F8803)</f>
        <v>26781.962382362733</v>
      </c>
      <c r="H8803" s="5" t="s">
        <v>8844</v>
      </c>
      <c r="I8803" s="7">
        <v>1880100</v>
      </c>
      <c r="J8803" s="8">
        <v>3.5100000000000013E-2</v>
      </c>
    </row>
    <row r="8804" spans="1:10" x14ac:dyDescent="0.25">
      <c r="A8804" s="5" t="s">
        <v>8838</v>
      </c>
      <c r="B8804" s="5" t="s">
        <v>10671</v>
      </c>
      <c r="C8804" s="6" t="str">
        <f>_xll.QS.CONTEXT.CREATE("market.8802",A8804,"USD","SOFR")</f>
        <v>QSObject:PricingContext:w1~market.8802:1599</v>
      </c>
      <c r="D8804" s="6" t="str">
        <f>_xll.QS.CONTEXT.ADD.CURVE(C8804,"SOFR",$K$2:$K$7,$L$2:$L$7,,,"Actual360","LogLinear",TRUE)</f>
        <v>QSObject:ContextInput:w1~input.qs_context_add_curve.2359132437744.8803.3.0:34748</v>
      </c>
      <c r="E8804" s="6" t="str">
        <f>_xll.QS.INSTRUMENT.SWAP("swap.8802",H8804,B8804,"USD","SOFR",I8804,J8804,0,"Actual360","Simple","Annual","Annual","Annual")</f>
        <v>QSObject:Swap:w1~swap.8802:1598</v>
      </c>
      <c r="F8804" s="6" t="str">
        <f>_xll.QS.TRADE.CREATE("trade.8802",E8804,A8804,"Receive")</f>
        <v>QSObject:SwapTrade:w1~trade.8802:23060</v>
      </c>
      <c r="G8804" s="3">
        <f>_xll.QS.EVALUATE(C8804,F8804)</f>
        <v>27732.183048204228</v>
      </c>
      <c r="H8804" s="5" t="s">
        <v>8845</v>
      </c>
      <c r="I8804" s="7">
        <v>1880200</v>
      </c>
      <c r="J8804" s="8">
        <v>3.5200000000000002E-2</v>
      </c>
    </row>
    <row r="8805" spans="1:10" x14ac:dyDescent="0.25">
      <c r="A8805" s="5" t="s">
        <v>8839</v>
      </c>
      <c r="B8805" s="5" t="s">
        <v>10672</v>
      </c>
      <c r="C8805" s="6" t="str">
        <f>_xll.QS.CONTEXT.CREATE("market.8803",A8805,"USD","SOFR")</f>
        <v>QSObject:PricingContext:w1~market.8803:1597</v>
      </c>
      <c r="D8805" s="6" t="str">
        <f>_xll.QS.CONTEXT.ADD.CURVE(C8805,"SOFR",$K$2:$K$7,$L$2:$L$7,,,"Actual360","LogLinear",TRUE)</f>
        <v>QSObject:ContextInput:w1~input.qs_context_add_curve.2359132437744.8804.3.0:39988</v>
      </c>
      <c r="E8805" s="6" t="str">
        <f>_xll.QS.INSTRUMENT.SWAP("swap.8803",H8805,B8805,"USD","SOFR",I8805,J8805,0,"Actual360","Simple","Annual","Annual","Annual")</f>
        <v>QSObject:Swap:w1~swap.8803:1596</v>
      </c>
      <c r="F8805" s="6" t="str">
        <f>_xll.QS.TRADE.CREATE("trade.8803",E8805,A8805,"Receive")</f>
        <v>QSObject:SwapTrade:w1~trade.8803:23059</v>
      </c>
      <c r="G8805" s="3">
        <f>_xll.QS.EVALUATE(C8805,F8805)</f>
        <v>28528.201733424183</v>
      </c>
      <c r="H8805" s="5" t="s">
        <v>8846</v>
      </c>
      <c r="I8805" s="7">
        <v>1880300</v>
      </c>
      <c r="J8805" s="8">
        <v>3.5299999999999998E-2</v>
      </c>
    </row>
    <row r="8806" spans="1:10" x14ac:dyDescent="0.25">
      <c r="A8806" s="5" t="s">
        <v>8840</v>
      </c>
      <c r="B8806" s="5" t="s">
        <v>10673</v>
      </c>
      <c r="C8806" s="6" t="str">
        <f>_xll.QS.CONTEXT.CREATE("market.8804",A8806,"USD","SOFR")</f>
        <v>QSObject:PricingContext:w1~market.8804:1595</v>
      </c>
      <c r="D8806" s="6" t="str">
        <f>_xll.QS.CONTEXT.ADD.CURVE(C8806,"SOFR",$K$2:$K$7,$L$2:$L$7,,,"Actual360","LogLinear",TRUE)</f>
        <v>QSObject:ContextInput:w1~input.qs_context_add_curve.2359132437744.8805.3.0:32993</v>
      </c>
      <c r="E8806" s="6" t="str">
        <f>_xll.QS.INSTRUMENT.SWAP("swap.8804",H8806,B8806,"USD","SOFR",I8806,J8806,0,"Actual360","Simple","Annual","Annual","Annual")</f>
        <v>QSObject:Swap:w1~swap.8804:1594</v>
      </c>
      <c r="F8806" s="6" t="str">
        <f>_xll.QS.TRADE.CREATE("trade.8804",E8806,A8806,"Receive")</f>
        <v>QSObject:SwapTrade:w1~trade.8804:23058</v>
      </c>
      <c r="G8806" s="3">
        <f>_xll.QS.EVALUATE(C8806,F8806)</f>
        <v>29263.19376488022</v>
      </c>
      <c r="H8806" s="5" t="s">
        <v>8847</v>
      </c>
      <c r="I8806" s="7">
        <v>1880400</v>
      </c>
      <c r="J8806" s="8">
        <v>3.5400000000000001E-2</v>
      </c>
    </row>
    <row r="8807" spans="1:10" x14ac:dyDescent="0.25">
      <c r="A8807" s="5" t="s">
        <v>8841</v>
      </c>
      <c r="B8807" s="5" t="s">
        <v>10674</v>
      </c>
      <c r="C8807" s="6" t="str">
        <f>_xll.QS.CONTEXT.CREATE("market.8805",A8807,"USD","SOFR")</f>
        <v>QSObject:PricingContext:w1~market.8805:1593</v>
      </c>
      <c r="D8807" s="6" t="str">
        <f>_xll.QS.CONTEXT.ADD.CURVE(C8807,"SOFR",$K$2:$K$7,$L$2:$L$7,,,"Actual360","LogLinear",TRUE)</f>
        <v>QSObject:ContextInput:w1~input.qs_context_add_curve.2359132437744.8806.3.0:35936</v>
      </c>
      <c r="E8807" s="6" t="str">
        <f>_xll.QS.INSTRUMENT.SWAP("swap.8805",H8807,B8807,"USD","SOFR",I8807,J8807,0,"Actual360","Simple","Annual","Annual","Annual")</f>
        <v>QSObject:Swap:w1~swap.8805:1592</v>
      </c>
      <c r="F8807" s="6" t="str">
        <f>_xll.QS.TRADE.CREATE("trade.8805",E8807,A8807,"Receive")</f>
        <v>QSObject:SwapTrade:w1~trade.8805:23057</v>
      </c>
      <c r="G8807" s="3">
        <f>_xll.QS.EVALUATE(C8807,F8807)</f>
        <v>29907.394335837671</v>
      </c>
      <c r="H8807" s="5" t="s">
        <v>8848</v>
      </c>
      <c r="I8807" s="7">
        <v>1880500</v>
      </c>
      <c r="J8807" s="8">
        <v>3.5499999999999997E-2</v>
      </c>
    </row>
    <row r="8808" spans="1:10" x14ac:dyDescent="0.25">
      <c r="A8808" s="5" t="s">
        <v>8842</v>
      </c>
      <c r="B8808" s="5" t="s">
        <v>10675</v>
      </c>
      <c r="C8808" s="6" t="str">
        <f>_xll.QS.CONTEXT.CREATE("market.8806",A8808,"USD","SOFR")</f>
        <v>QSObject:PricingContext:w1~market.8806:1591</v>
      </c>
      <c r="D8808" s="6" t="str">
        <f>_xll.QS.CONTEXT.ADD.CURVE(C8808,"SOFR",$K$2:$K$7,$L$2:$L$7,,,"Actual360","LogLinear",TRUE)</f>
        <v>QSObject:ContextInput:w1~input.qs_context_add_curve.2359132437744.8807.3.0:37011</v>
      </c>
      <c r="E8808" s="6" t="str">
        <f>_xll.QS.INSTRUMENT.SWAP("swap.8806",H8808,B8808,"USD","SOFR",I8808,J8808,0,"Actual360","Simple","Annual","Annual","Annual")</f>
        <v>QSObject:Swap:w1~swap.8806:1590</v>
      </c>
      <c r="F8808" s="6" t="str">
        <f>_xll.QS.TRADE.CREATE("trade.8806",E8808,A8808,"Receive")</f>
        <v>QSObject:SwapTrade:w1~trade.8806:23056</v>
      </c>
      <c r="G8808" s="3">
        <f>_xll.QS.EVALUATE(C8808,F8808)</f>
        <v>30854.404965142392</v>
      </c>
      <c r="H8808" s="5" t="s">
        <v>8849</v>
      </c>
      <c r="I8808" s="7">
        <v>1880600</v>
      </c>
      <c r="J8808" s="8">
        <v>3.5600000000000007E-2</v>
      </c>
    </row>
    <row r="8809" spans="1:10" x14ac:dyDescent="0.25">
      <c r="A8809" s="5" t="s">
        <v>8843</v>
      </c>
      <c r="B8809" s="5" t="s">
        <v>10676</v>
      </c>
      <c r="C8809" s="6" t="str">
        <f>_xll.QS.CONTEXT.CREATE("market.8807",A8809,"USD","SOFR")</f>
        <v>QSObject:PricingContext:w1~market.8807:1589</v>
      </c>
      <c r="D8809" s="6" t="str">
        <f>_xll.QS.CONTEXT.ADD.CURVE(C8809,"SOFR",$K$2:$K$7,$L$2:$L$7,,,"Actual360","LogLinear",TRUE)</f>
        <v>QSObject:ContextInput:w1~input.qs_context_add_curve.2359132437744.8808.3.0:31746</v>
      </c>
      <c r="E8809" s="6" t="str">
        <f>_xll.QS.INSTRUMENT.SWAP("swap.8807",H8809,B8809,"USD","SOFR",I8809,J8809,0,"Actual360","Simple","Annual","Annual","Annual")</f>
        <v>QSObject:Swap:w1~swap.8807:1588</v>
      </c>
      <c r="F8809" s="6" t="str">
        <f>_xll.QS.TRADE.CREATE("trade.8807",E8809,A8809,"Receive")</f>
        <v>QSObject:SwapTrade:w1~trade.8807:23055</v>
      </c>
      <c r="G8809" s="3">
        <f>_xll.QS.EVALUATE(C8809,F8809)</f>
        <v>31801.546261944401</v>
      </c>
      <c r="H8809" s="5" t="s">
        <v>8850</v>
      </c>
      <c r="I8809" s="7">
        <v>1880700</v>
      </c>
      <c r="J8809" s="8">
        <v>3.5700000000000003E-2</v>
      </c>
    </row>
    <row r="8810" spans="1:10" x14ac:dyDescent="0.25">
      <c r="A8810" s="5" t="s">
        <v>8844</v>
      </c>
      <c r="B8810" s="5" t="s">
        <v>10677</v>
      </c>
      <c r="C8810" s="6" t="str">
        <f>_xll.QS.CONTEXT.CREATE("market.8808",A8810,"USD","SOFR")</f>
        <v>QSObject:PricingContext:w1~market.8808:1587</v>
      </c>
      <c r="D8810" s="6" t="str">
        <f>_xll.QS.CONTEXT.ADD.CURVE(C8810,"SOFR",$K$2:$K$7,$L$2:$L$7,,,"Actual360","LogLinear",TRUE)</f>
        <v>QSObject:ContextInput:w1~input.qs_context_add_curve.2359132437744.8809.3.0:32992</v>
      </c>
      <c r="E8810" s="6" t="str">
        <f>_xll.QS.INSTRUMENT.SWAP("swap.8808",H8810,B8810,"USD","SOFR",I8810,J8810,0,"Actual360","Simple","Annual","Annual","Annual")</f>
        <v>QSObject:Swap:w1~swap.8808:1586</v>
      </c>
      <c r="F8810" s="6" t="str">
        <f>_xll.QS.TRADE.CREATE("trade.8808",E8810,A8810,"Receive")</f>
        <v>QSObject:SwapTrade:w1~trade.8808:23054</v>
      </c>
      <c r="G8810" s="3">
        <f>_xll.QS.EVALUATE(C8810,F8810)</f>
        <v>32932.387326343909</v>
      </c>
      <c r="H8810" s="5" t="s">
        <v>8851</v>
      </c>
      <c r="I8810" s="7">
        <v>1880800</v>
      </c>
      <c r="J8810" s="8">
        <v>3.5800000000000012E-2</v>
      </c>
    </row>
    <row r="8811" spans="1:10" x14ac:dyDescent="0.25">
      <c r="A8811" s="5" t="s">
        <v>8845</v>
      </c>
      <c r="B8811" s="5" t="s">
        <v>10678</v>
      </c>
      <c r="C8811" s="6" t="str">
        <f>_xll.QS.CONTEXT.CREATE("market.8809",A8811,"USD","SOFR")</f>
        <v>QSObject:PricingContext:w1~market.8809:1585</v>
      </c>
      <c r="D8811" s="6" t="str">
        <f>_xll.QS.CONTEXT.ADD.CURVE(C8811,"SOFR",$K$2:$K$7,$L$2:$L$7,,,"Actual360","LogLinear",TRUE)</f>
        <v>QSObject:ContextInput:w1~input.qs_context_add_curve.2359132437744.8810.3.0:31745</v>
      </c>
      <c r="E8811" s="6" t="str">
        <f>_xll.QS.INSTRUMENT.SWAP("swap.8809",H8811,B8811,"USD","SOFR",I8811,J8811,0,"Actual360","Simple","Annual","Annual","Annual")</f>
        <v>QSObject:Swap:w1~swap.8809:1584</v>
      </c>
      <c r="F8811" s="6" t="str">
        <f>_xll.QS.TRADE.CREATE("trade.8809",E8811,A8811,"Receive")</f>
        <v>QSObject:SwapTrade:w1~trade.8809:23053</v>
      </c>
      <c r="G8811" s="3">
        <f>_xll.QS.EVALUATE(C8811,F8811)</f>
        <v>33819.041576799602</v>
      </c>
      <c r="H8811" s="5" t="s">
        <v>8852</v>
      </c>
      <c r="I8811" s="7">
        <v>1880900</v>
      </c>
      <c r="J8811" s="8">
        <v>3.5900000000000001E-2</v>
      </c>
    </row>
    <row r="8812" spans="1:10" x14ac:dyDescent="0.25">
      <c r="A8812" s="5" t="s">
        <v>8846</v>
      </c>
      <c r="B8812" s="5" t="s">
        <v>10679</v>
      </c>
      <c r="C8812" s="6" t="str">
        <f>_xll.QS.CONTEXT.CREATE("market.8810",A8812,"USD","SOFR")</f>
        <v>QSObject:PricingContext:w1~market.8810:1583</v>
      </c>
      <c r="D8812" s="6" t="str">
        <f>_xll.QS.CONTEXT.ADD.CURVE(C8812,"SOFR",$K$2:$K$7,$L$2:$L$7,,,"Actual360","LogLinear",TRUE)</f>
        <v>QSObject:ContextInput:w1~input.qs_context_add_curve.2359132437744.8811.3.0:34747</v>
      </c>
      <c r="E8812" s="6" t="str">
        <f>_xll.QS.INSTRUMENT.SWAP("swap.8810",H8812,B8812,"USD","SOFR",I8812,J8812,0,"Actual360","Simple","Annual","Annual","Annual")</f>
        <v>QSObject:Swap:w1~swap.8810:1582</v>
      </c>
      <c r="F8812" s="6" t="str">
        <f>_xll.QS.TRADE.CREATE("trade.8810",E8812,A8812,"Receive")</f>
        <v>QSObject:SwapTrade:w1~trade.8810:23052</v>
      </c>
      <c r="G8812" s="3">
        <f>_xll.QS.EVALUATE(C8812,F8812)</f>
        <v>34686.974458946395</v>
      </c>
      <c r="H8812" s="5" t="s">
        <v>8853</v>
      </c>
      <c r="I8812" s="7">
        <v>1881000</v>
      </c>
      <c r="J8812" s="8">
        <v>3.5999999999999997E-2</v>
      </c>
    </row>
    <row r="8813" spans="1:10" x14ac:dyDescent="0.25">
      <c r="A8813" s="5" t="s">
        <v>8847</v>
      </c>
      <c r="B8813" s="5" t="s">
        <v>10680</v>
      </c>
      <c r="C8813" s="6" t="str">
        <f>_xll.QS.CONTEXT.CREATE("market.8811",A8813,"USD","SOFR")</f>
        <v>QSObject:PricingContext:w1~market.8811:1581</v>
      </c>
      <c r="D8813" s="6" t="str">
        <f>_xll.QS.CONTEXT.ADD.CURVE(C8813,"SOFR",$K$2:$K$7,$L$2:$L$7,,,"Actual360","LogLinear",TRUE)</f>
        <v>QSObject:ContextInput:w1~input.qs_context_add_curve.2359132437744.8812.3.0:34746</v>
      </c>
      <c r="E8813" s="6" t="str">
        <f>_xll.QS.INSTRUMENT.SWAP("swap.8811",H8813,B8813,"USD","SOFR",I8813,J8813,0,"Actual360","Simple","Annual","Annual","Annual")</f>
        <v>QSObject:Swap:w1~swap.8811:1580</v>
      </c>
      <c r="F8813" s="6" t="str">
        <f>_xll.QS.TRADE.CREATE("trade.8811",E8813,A8813,"Receive")</f>
        <v>QSObject:SwapTrade:w1~trade.8811:23051</v>
      </c>
      <c r="G8813" s="3">
        <f>_xll.QS.EVALUATE(C8813,F8813)</f>
        <v>35435.194284385048</v>
      </c>
      <c r="H8813" s="5" t="s">
        <v>8854</v>
      </c>
      <c r="I8813" s="7">
        <v>1881100</v>
      </c>
      <c r="J8813" s="8">
        <v>3.61E-2</v>
      </c>
    </row>
    <row r="8814" spans="1:10" x14ac:dyDescent="0.25">
      <c r="A8814" s="5" t="s">
        <v>8848</v>
      </c>
      <c r="B8814" s="5" t="s">
        <v>10681</v>
      </c>
      <c r="C8814" s="6" t="str">
        <f>_xll.QS.CONTEXT.CREATE("market.8812",A8814,"USD","SOFR")</f>
        <v>QSObject:PricingContext:w1~market.8812:1579</v>
      </c>
      <c r="D8814" s="6" t="str">
        <f>_xll.QS.CONTEXT.ADD.CURVE(C8814,"SOFR",$K$2:$K$7,$L$2:$L$7,,,"Actual360","LogLinear",TRUE)</f>
        <v>QSObject:ContextInput:w1~input.qs_context_add_curve.2359132437744.8813.3.0:39987</v>
      </c>
      <c r="E8814" s="6" t="str">
        <f>_xll.QS.INSTRUMENT.SWAP("swap.8812",H8814,B8814,"USD","SOFR",I8814,J8814,0,"Actual360","Simple","Annual","Annual","Annual")</f>
        <v>QSObject:Swap:w1~swap.8812:1578</v>
      </c>
      <c r="F8814" s="6" t="str">
        <f>_xll.QS.TRADE.CREATE("trade.8812",E8814,A8814,"Receive")</f>
        <v>QSObject:SwapTrade:w1~trade.8812:23050</v>
      </c>
      <c r="G8814" s="3">
        <f>_xll.QS.EVALUATE(C8814,F8814)</f>
        <v>36146.032583935252</v>
      </c>
      <c r="H8814" s="5" t="s">
        <v>8855</v>
      </c>
      <c r="I8814" s="7">
        <v>1881200</v>
      </c>
      <c r="J8814" s="8">
        <v>3.6200000000000003E-2</v>
      </c>
    </row>
    <row r="8815" spans="1:10" x14ac:dyDescent="0.25">
      <c r="A8815" s="5" t="s">
        <v>8849</v>
      </c>
      <c r="B8815" s="5" t="s">
        <v>10682</v>
      </c>
      <c r="C8815" s="6" t="str">
        <f>_xll.QS.CONTEXT.CREATE("market.8813",A8815,"USD","SOFR")</f>
        <v>QSObject:PricingContext:w1~market.8813:1577</v>
      </c>
      <c r="D8815" s="6" t="str">
        <f>_xll.QS.CONTEXT.ADD.CURVE(C8815,"SOFR",$K$2:$K$7,$L$2:$L$7,,,"Actual360","LogLinear",TRUE)</f>
        <v>QSObject:ContextInput:w1~input.qs_context_add_curve.2359132437744.8814.3.0:39354</v>
      </c>
      <c r="E8815" s="6" t="str">
        <f>_xll.QS.INSTRUMENT.SWAP("swap.8813",H8815,B8815,"USD","SOFR",I8815,J8815,0,"Actual360","Simple","Annual","Annual","Annual")</f>
        <v>QSObject:Swap:w1~swap.8813:1576</v>
      </c>
      <c r="F8815" s="6" t="str">
        <f>_xll.QS.TRADE.CREATE("trade.8813",E8815,A8815,"Receive")</f>
        <v>QSObject:SwapTrade:w1~trade.8813:23049</v>
      </c>
      <c r="G8815" s="3">
        <f>_xll.QS.EVALUATE(C8815,F8815)</f>
        <v>37018.521844481409</v>
      </c>
      <c r="H8815" s="5" t="s">
        <v>8856</v>
      </c>
      <c r="I8815" s="7">
        <v>1881300</v>
      </c>
      <c r="J8815" s="8">
        <v>3.6300000000000013E-2</v>
      </c>
    </row>
    <row r="8816" spans="1:10" x14ac:dyDescent="0.25">
      <c r="A8816" s="5" t="s">
        <v>8850</v>
      </c>
      <c r="B8816" s="5" t="s">
        <v>10683</v>
      </c>
      <c r="C8816" s="6" t="str">
        <f>_xll.QS.CONTEXT.CREATE("market.8814",A8816,"USD","SOFR")</f>
        <v>QSObject:PricingContext:w1~market.8814:1575</v>
      </c>
      <c r="D8816" s="6" t="str">
        <f>_xll.QS.CONTEXT.ADD.CURVE(C8816,"SOFR",$K$2:$K$7,$L$2:$L$7,,,"Actual360","LogLinear",TRUE)</f>
        <v>QSObject:ContextInput:w1~input.qs_context_add_curve.2359132437744.8815.3.0:32991</v>
      </c>
      <c r="E8816" s="6" t="str">
        <f>_xll.QS.INSTRUMENT.SWAP("swap.8814",H8816,B8816,"USD","SOFR",I8816,J8816,0,"Actual360","Simple","Annual","Annual","Annual")</f>
        <v>QSObject:Swap:w1~swap.8814:1574</v>
      </c>
      <c r="F8816" s="6" t="str">
        <f>_xll.QS.TRADE.CREATE("trade.8814",E8816,A8816,"Receive")</f>
        <v>QSObject:SwapTrade:w1~trade.8814:23048</v>
      </c>
      <c r="G8816" s="3">
        <f>_xll.QS.EVALUATE(C8816,F8816)</f>
        <v>37941.522859508819</v>
      </c>
      <c r="H8816" s="5" t="s">
        <v>8857</v>
      </c>
      <c r="I8816" s="7">
        <v>1881400</v>
      </c>
      <c r="J8816" s="8">
        <v>3.6400000000000002E-2</v>
      </c>
    </row>
    <row r="8817" spans="1:10" x14ac:dyDescent="0.25">
      <c r="A8817" s="5" t="s">
        <v>8851</v>
      </c>
      <c r="B8817" s="5" t="s">
        <v>10684</v>
      </c>
      <c r="C8817" s="6" t="str">
        <f>_xll.QS.CONTEXT.CREATE("market.8815",A8817,"USD","SOFR")</f>
        <v>QSObject:PricingContext:w1~market.8815:1573</v>
      </c>
      <c r="D8817" s="6" t="str">
        <f>_xll.QS.CONTEXT.ADD.CURVE(C8817,"SOFR",$K$2:$K$7,$L$2:$L$7,,,"Actual360","LogLinear",TRUE)</f>
        <v>QSObject:ContextInput:w1~input.qs_context_add_curve.2359132437744.8816.3.0:39353</v>
      </c>
      <c r="E8817" s="6" t="str">
        <f>_xll.QS.INSTRUMENT.SWAP("swap.8815",H8817,B8817,"USD","SOFR",I8817,J8817,0,"Actual360","Simple","Annual","Annual","Annual")</f>
        <v>QSObject:Swap:w1~swap.8815:1572</v>
      </c>
      <c r="F8817" s="6" t="str">
        <f>_xll.QS.TRADE.CREATE("trade.8815",E8817,A8817,"Receive")</f>
        <v>QSObject:SwapTrade:w1~trade.8815:23047</v>
      </c>
      <c r="G8817" s="3">
        <f>_xll.QS.EVALUATE(C8817,F8817)</f>
        <v>38948.765145747137</v>
      </c>
      <c r="H8817" s="5" t="s">
        <v>8858</v>
      </c>
      <c r="I8817" s="7">
        <v>1881500</v>
      </c>
      <c r="J8817" s="8">
        <v>3.6499999999999998E-2</v>
      </c>
    </row>
    <row r="8818" spans="1:10" x14ac:dyDescent="0.25">
      <c r="A8818" s="5" t="s">
        <v>8852</v>
      </c>
      <c r="B8818" s="5" t="s">
        <v>10685</v>
      </c>
      <c r="C8818" s="6" t="str">
        <f>_xll.QS.CONTEXT.CREATE("market.8816",A8818,"USD","SOFR")</f>
        <v>QSObject:PricingContext:w1~market.8816:1571</v>
      </c>
      <c r="D8818" s="6" t="str">
        <f>_xll.QS.CONTEXT.ADD.CURVE(C8818,"SOFR",$K$2:$K$7,$L$2:$L$7,,,"Actual360","LogLinear",TRUE)</f>
        <v>QSObject:ContextInput:w1~input.qs_context_add_curve.2359132437744.8817.3.0:35360</v>
      </c>
      <c r="E8818" s="6" t="str">
        <f>_xll.QS.INSTRUMENT.SWAP("swap.8816",H8818,B8818,"USD","SOFR",I8818,J8818,0,"Actual360","Simple","Annual","Annual","Annual")</f>
        <v>QSObject:Swap:w1~swap.8816:1570</v>
      </c>
      <c r="F8818" s="6" t="str">
        <f>_xll.QS.TRADE.CREATE("trade.8816",E8818,A8818,"Receive")</f>
        <v>QSObject:SwapTrade:w1~trade.8816:23046</v>
      </c>
      <c r="G8818" s="3">
        <f>_xll.QS.EVALUATE(C8818,F8818)</f>
        <v>39900.623801946698</v>
      </c>
      <c r="H8818" s="5" t="s">
        <v>8859</v>
      </c>
      <c r="I8818" s="7">
        <v>1881600</v>
      </c>
      <c r="J8818" s="8">
        <v>3.6600000000000001E-2</v>
      </c>
    </row>
    <row r="8819" spans="1:10" x14ac:dyDescent="0.25">
      <c r="A8819" s="5" t="s">
        <v>8853</v>
      </c>
      <c r="B8819" s="5" t="s">
        <v>10686</v>
      </c>
      <c r="C8819" s="6" t="str">
        <f>_xll.QS.CONTEXT.CREATE("market.8817",A8819,"USD","SOFR")</f>
        <v>QSObject:PricingContext:w1~market.8817:1569</v>
      </c>
      <c r="D8819" s="6" t="str">
        <f>_xll.QS.CONTEXT.ADD.CURVE(C8819,"SOFR",$K$2:$K$7,$L$2:$L$7,,,"Actual360","LogLinear",TRUE)</f>
        <v>QSObject:ContextInput:w1~input.qs_context_add_curve.2359132437744.8818.3.0:32316</v>
      </c>
      <c r="E8819" s="6" t="str">
        <f>_xll.QS.INSTRUMENT.SWAP("swap.8817",H8819,B8819,"USD","SOFR",I8819,J8819,0,"Actual360","Simple","Annual","Annual","Annual")</f>
        <v>QSObject:Swap:w1~swap.8817:1568</v>
      </c>
      <c r="F8819" s="6" t="str">
        <f>_xll.QS.TRADE.CREATE("trade.8817",E8819,A8819,"Receive")</f>
        <v>QSObject:SwapTrade:w1~trade.8817:23045</v>
      </c>
      <c r="G8819" s="3">
        <f>_xll.QS.EVALUATE(C8819,F8819)</f>
        <v>40698.483239454821</v>
      </c>
      <c r="H8819" s="5" t="s">
        <v>8860</v>
      </c>
      <c r="I8819" s="7">
        <v>1881700</v>
      </c>
      <c r="J8819" s="8">
        <v>3.6700000000000003E-2</v>
      </c>
    </row>
    <row r="8820" spans="1:10" x14ac:dyDescent="0.25">
      <c r="A8820" s="5" t="s">
        <v>8854</v>
      </c>
      <c r="B8820" s="5" t="s">
        <v>10687</v>
      </c>
      <c r="C8820" s="6" t="str">
        <f>_xll.QS.CONTEXT.CREATE("market.8818",A8820,"USD","SOFR")</f>
        <v>QSObject:PricingContext:w1~market.8818:1567</v>
      </c>
      <c r="D8820" s="6" t="str">
        <f>_xll.QS.CONTEXT.ADD.CURVE(C8820,"SOFR",$K$2:$K$7,$L$2:$L$7,,,"Actual360","LogLinear",TRUE)</f>
        <v>QSObject:ContextInput:w1~input.qs_context_add_curve.2359132437744.8819.3.0:33527</v>
      </c>
      <c r="E8820" s="6" t="str">
        <f>_xll.QS.INSTRUMENT.SWAP("swap.8818",H8820,B8820,"USD","SOFR",I8820,J8820,0,"Actual360","Simple","Annual","Annual","Annual")</f>
        <v>QSObject:Swap:w1~swap.8818:1566</v>
      </c>
      <c r="F8820" s="6" t="str">
        <f>_xll.QS.TRADE.CREATE("trade.8818",E8820,A8820,"Receive")</f>
        <v>QSObject:SwapTrade:w1~trade.8818:23044</v>
      </c>
      <c r="G8820" s="3">
        <f>_xll.QS.EVALUATE(C8820,F8820)</f>
        <v>41439.766045792821</v>
      </c>
      <c r="H8820" s="5" t="s">
        <v>8861</v>
      </c>
      <c r="I8820" s="7">
        <v>1881800</v>
      </c>
      <c r="J8820" s="8">
        <v>3.6800000000000013E-2</v>
      </c>
    </row>
    <row r="8821" spans="1:10" x14ac:dyDescent="0.25">
      <c r="A8821" s="5" t="s">
        <v>8855</v>
      </c>
      <c r="B8821" s="5" t="s">
        <v>10688</v>
      </c>
      <c r="C8821" s="6" t="str">
        <f>_xll.QS.CONTEXT.CREATE("market.8819",A8821,"USD","SOFR")</f>
        <v>QSObject:PricingContext:w1~market.8819:1565</v>
      </c>
      <c r="D8821" s="6" t="str">
        <f>_xll.QS.CONTEXT.ADD.CURVE(C8821,"SOFR",$K$2:$K$7,$L$2:$L$7,,,"Actual360","LogLinear",TRUE)</f>
        <v>QSObject:ContextInput:w1~input.qs_context_add_curve.2359132437744.8820.3.0:37564</v>
      </c>
      <c r="E8821" s="6" t="str">
        <f>_xll.QS.INSTRUMENT.SWAP("swap.8819",H8821,B8821,"USD","SOFR",I8821,J8821,0,"Actual360","Simple","Annual","Annual","Annual")</f>
        <v>QSObject:Swap:w1~swap.8819:1564</v>
      </c>
      <c r="F8821" s="6" t="str">
        <f>_xll.QS.TRADE.CREATE("trade.8819",E8821,A8821,"Receive")</f>
        <v>QSObject:SwapTrade:w1~trade.8819:23043</v>
      </c>
      <c r="G8821" s="3">
        <f>_xll.QS.EVALUATE(C8821,F8821)</f>
        <v>42160.756447675514</v>
      </c>
      <c r="H8821" s="5" t="s">
        <v>8862</v>
      </c>
      <c r="I8821" s="7">
        <v>1881900</v>
      </c>
      <c r="J8821" s="8">
        <v>3.6900000000000002E-2</v>
      </c>
    </row>
    <row r="8822" spans="1:10" x14ac:dyDescent="0.25">
      <c r="A8822" s="5" t="s">
        <v>8856</v>
      </c>
      <c r="B8822" s="5" t="s">
        <v>10689</v>
      </c>
      <c r="C8822" s="6" t="str">
        <f>_xll.QS.CONTEXT.CREATE("market.8820",A8822,"USD","SOFR")</f>
        <v>QSObject:PricingContext:w1~market.8820:1563</v>
      </c>
      <c r="D8822" s="6" t="str">
        <f>_xll.QS.CONTEXT.ADD.CURVE(C8822,"SOFR",$K$2:$K$7,$L$2:$L$7,,,"Actual360","LogLinear",TRUE)</f>
        <v>QSObject:ContextInput:w1~input.qs_context_add_curve.2359132437744.8821.3.0:34127</v>
      </c>
      <c r="E8822" s="6" t="str">
        <f>_xll.QS.INSTRUMENT.SWAP("swap.8820",H8822,B8822,"USD","SOFR",I8822,J8822,0,"Actual360","Simple","Annual","Annual","Annual")</f>
        <v>QSObject:Swap:w1~swap.8820:1562</v>
      </c>
      <c r="F8822" s="6" t="str">
        <f>_xll.QS.TRADE.CREATE("trade.8820",E8822,A8822,"Receive")</f>
        <v>QSObject:SwapTrade:w1~trade.8820:23042</v>
      </c>
      <c r="G8822" s="3">
        <f>_xll.QS.EVALUATE(C8822,F8822)</f>
        <v>43109.826633892706</v>
      </c>
      <c r="H8822" s="5" t="s">
        <v>8863</v>
      </c>
      <c r="I8822" s="7">
        <v>1882000</v>
      </c>
      <c r="J8822" s="8">
        <v>3.7000000000000012E-2</v>
      </c>
    </row>
    <row r="8823" spans="1:10" x14ac:dyDescent="0.25">
      <c r="A8823" s="5" t="s">
        <v>8857</v>
      </c>
      <c r="B8823" s="5" t="s">
        <v>10690</v>
      </c>
      <c r="C8823" s="6" t="str">
        <f>_xll.QS.CONTEXT.CREATE("market.8821",A8823,"USD","SOFR")</f>
        <v>QSObject:PricingContext:w1~market.8821:1561</v>
      </c>
      <c r="D8823" s="6" t="str">
        <f>_xll.QS.CONTEXT.ADD.CURVE(C8823,"SOFR",$K$2:$K$7,$L$2:$L$7,,,"Actual360","LogLinear",TRUE)</f>
        <v>QSObject:ContextInput:w1~input.qs_context_add_curve.2359132437744.8822.3.0:39352</v>
      </c>
      <c r="E8823" s="6" t="str">
        <f>_xll.QS.INSTRUMENT.SWAP("swap.8821",H8823,B8823,"USD","SOFR",I8823,J8823,0,"Actual360","Simple","Annual","Annual","Annual")</f>
        <v>QSObject:Swap:w1~swap.8821:1560</v>
      </c>
      <c r="F8823" s="6" t="str">
        <f>_xll.QS.TRADE.CREATE("trade.8821",E8823,A8823,"Receive")</f>
        <v>QSObject:SwapTrade:w1~trade.8821:23041</v>
      </c>
      <c r="G8823" s="3">
        <f>_xll.QS.EVALUATE(C8823,F8823)</f>
        <v>44030.763583465421</v>
      </c>
      <c r="H8823" s="5" t="s">
        <v>8864</v>
      </c>
      <c r="I8823" s="7">
        <v>1882100</v>
      </c>
      <c r="J8823" s="8">
        <v>3.7100000000000001E-2</v>
      </c>
    </row>
    <row r="8824" spans="1:10" x14ac:dyDescent="0.25">
      <c r="A8824" s="5" t="s">
        <v>8858</v>
      </c>
      <c r="B8824" s="5" t="s">
        <v>10691</v>
      </c>
      <c r="C8824" s="6" t="str">
        <f>_xll.QS.CONTEXT.CREATE("market.8822",A8824,"USD","SOFR")</f>
        <v>QSObject:PricingContext:w1~market.8822:1559</v>
      </c>
      <c r="D8824" s="6" t="str">
        <f>_xll.QS.CONTEXT.ADD.CURVE(C8824,"SOFR",$K$2:$K$7,$L$2:$L$7,,,"Actual360","LogLinear",TRUE)</f>
        <v>QSObject:ContextInput:w1~input.qs_context_add_curve.2359132437744.8823.3.0:35359</v>
      </c>
      <c r="E8824" s="6" t="str">
        <f>_xll.QS.INSTRUMENT.SWAP("swap.8822",H8824,B8824,"USD","SOFR",I8824,J8824,0,"Actual360","Simple","Annual","Annual","Annual")</f>
        <v>QSObject:Swap:w1~swap.8822:1558</v>
      </c>
      <c r="F8824" s="6" t="str">
        <f>_xll.QS.TRADE.CREATE("trade.8822",E8824,A8824,"Receive")</f>
        <v>QSObject:SwapTrade:w1~trade.8822:23040</v>
      </c>
      <c r="G8824" s="3">
        <f>_xll.QS.EVALUATE(C8824,F8824)</f>
        <v>45039.374921672737</v>
      </c>
      <c r="H8824" s="5" t="s">
        <v>8865</v>
      </c>
      <c r="I8824" s="7">
        <v>1882200</v>
      </c>
      <c r="J8824" s="8">
        <v>3.7199999999999997E-2</v>
      </c>
    </row>
    <row r="8825" spans="1:10" x14ac:dyDescent="0.25">
      <c r="A8825" s="5" t="s">
        <v>8859</v>
      </c>
      <c r="B8825" s="5" t="s">
        <v>10692</v>
      </c>
      <c r="C8825" s="6" t="str">
        <f>_xll.QS.CONTEXT.CREATE("market.8823",A8825,"USD","SOFR")</f>
        <v>QSObject:PricingContext:w1~market.8823:1557</v>
      </c>
      <c r="D8825" s="6" t="str">
        <f>_xll.QS.CONTEXT.ADD.CURVE(C8825,"SOFR",$K$2:$K$7,$L$2:$L$7,,,"Actual360","LogLinear",TRUE)</f>
        <v>QSObject:ContextInput:w1~input.qs_context_add_curve.2359132437744.8824.3.0:35935</v>
      </c>
      <c r="E8825" s="6" t="str">
        <f>_xll.QS.INSTRUMENT.SWAP("swap.8823",H8825,B8825,"USD","SOFR",I8825,J8825,0,"Actual360","Simple","Annual","Annual","Annual")</f>
        <v>QSObject:Swap:w1~swap.8823:1556</v>
      </c>
      <c r="F8825" s="6" t="str">
        <f>_xll.QS.TRADE.CREATE("trade.8823",E8825,A8825,"Receive")</f>
        <v>QSObject:SwapTrade:w1~trade.8823:23039</v>
      </c>
      <c r="G8825" s="3">
        <f>_xll.QS.EVALUATE(C8825,F8825)</f>
        <v>45990.905040227546</v>
      </c>
      <c r="H8825" s="5" t="s">
        <v>8866</v>
      </c>
      <c r="I8825" s="7">
        <v>1882300</v>
      </c>
      <c r="J8825" s="8">
        <v>3.73E-2</v>
      </c>
    </row>
    <row r="8826" spans="1:10" x14ac:dyDescent="0.25">
      <c r="A8826" s="5" t="s">
        <v>8860</v>
      </c>
      <c r="B8826" s="5" t="s">
        <v>10693</v>
      </c>
      <c r="C8826" s="6" t="str">
        <f>_xll.QS.CONTEXT.CREATE("market.8824",A8826,"USD","SOFR")</f>
        <v>QSObject:PricingContext:w1~market.8824:1555</v>
      </c>
      <c r="D8826" s="6" t="str">
        <f>_xll.QS.CONTEXT.ADD.CURVE(C8826,"SOFR",$K$2:$K$7,$L$2:$L$7,,,"Actual360","LogLinear",TRUE)</f>
        <v>QSObject:ContextInput:w1~input.qs_context_add_curve.2359132437744.8825.3.0:35934</v>
      </c>
      <c r="E8826" s="6" t="str">
        <f>_xll.QS.INSTRUMENT.SWAP("swap.8824",H8826,B8826,"USD","SOFR",I8826,J8826,0,"Actual360","Simple","Annual","Annual","Annual")</f>
        <v>QSObject:Swap:w1~swap.8824:1554</v>
      </c>
      <c r="F8826" s="6" t="str">
        <f>_xll.QS.TRADE.CREATE("trade.8824",E8826,A8826,"Receive")</f>
        <v>QSObject:SwapTrade:w1~trade.8824:23038</v>
      </c>
      <c r="G8826" s="3">
        <f>_xll.QS.EVALUATE(C8826,F8826)</f>
        <v>46789.924963522513</v>
      </c>
      <c r="H8826" s="5" t="s">
        <v>8867</v>
      </c>
      <c r="I8826" s="7">
        <v>1882400</v>
      </c>
      <c r="J8826" s="8">
        <v>3.7400000000000003E-2</v>
      </c>
    </row>
    <row r="8827" spans="1:10" x14ac:dyDescent="0.25">
      <c r="A8827" s="5" t="s">
        <v>8861</v>
      </c>
      <c r="B8827" s="5" t="s">
        <v>10694</v>
      </c>
      <c r="C8827" s="6" t="str">
        <f>_xll.QS.CONTEXT.CREATE("market.8825",A8827,"USD","SOFR")</f>
        <v>QSObject:PricingContext:w1~market.8825:1553</v>
      </c>
      <c r="D8827" s="6" t="str">
        <f>_xll.QS.CONTEXT.ADD.CURVE(C8827,"SOFR",$K$2:$K$7,$L$2:$L$7,,,"Actual360","LogLinear",TRUE)</f>
        <v>QSObject:ContextInput:w1~input.qs_context_add_curve.2359132437744.8826.3.0:32990</v>
      </c>
      <c r="E8827" s="6" t="str">
        <f>_xll.QS.INSTRUMENT.SWAP("swap.8825",H8827,B8827,"USD","SOFR",I8827,J8827,0,"Actual360","Simple","Annual","Annual","Annual")</f>
        <v>QSObject:Swap:w1~swap.8825:1552</v>
      </c>
      <c r="F8827" s="6" t="str">
        <f>_xll.QS.TRADE.CREATE("trade.8825",E8827,A8827,"Receive")</f>
        <v>QSObject:SwapTrade:w1~trade.8825:23037</v>
      </c>
      <c r="G8827" s="3">
        <f>_xll.QS.EVALUATE(C8827,F8827)</f>
        <v>47524.761390710941</v>
      </c>
      <c r="H8827" s="5" t="s">
        <v>8868</v>
      </c>
      <c r="I8827" s="7">
        <v>1882500</v>
      </c>
      <c r="J8827" s="8">
        <v>3.7500000000000012E-2</v>
      </c>
    </row>
    <row r="8828" spans="1:10" x14ac:dyDescent="0.25">
      <c r="A8828" s="5" t="s">
        <v>8862</v>
      </c>
      <c r="B8828" s="5" t="s">
        <v>10695</v>
      </c>
      <c r="C8828" s="6" t="str">
        <f>_xll.QS.CONTEXT.CREATE("market.8826",A8828,"USD","SOFR")</f>
        <v>QSObject:PricingContext:w1~market.8826:1551</v>
      </c>
      <c r="D8828" s="6" t="str">
        <f>_xll.QS.CONTEXT.ADD.CURVE(C8828,"SOFR",$K$2:$K$7,$L$2:$L$7,,,"Actual360","LogLinear",TRUE)</f>
        <v>QSObject:ContextInput:w1~input.qs_context_add_curve.2359132437744.8827.3.0:31744</v>
      </c>
      <c r="E8828" s="6" t="str">
        <f>_xll.QS.INSTRUMENT.SWAP("swap.8826",H8828,B8828,"USD","SOFR",I8828,J8828,0,"Actual360","Simple","Annual","Annual","Annual")</f>
        <v>QSObject:Swap:w1~swap.8826:1550</v>
      </c>
      <c r="F8828" s="6" t="str">
        <f>_xll.QS.TRADE.CREATE("trade.8826",E8828,A8828,"Receive")</f>
        <v>QSObject:SwapTrade:w1~trade.8826:23036</v>
      </c>
      <c r="G8828" s="3">
        <f>_xll.QS.EVALUATE(C8828,F8828)</f>
        <v>48255.763420295596</v>
      </c>
      <c r="H8828" s="5" t="s">
        <v>8869</v>
      </c>
      <c r="I8828" s="7">
        <v>1882600</v>
      </c>
      <c r="J8828" s="8">
        <v>3.7600000000000001E-2</v>
      </c>
    </row>
    <row r="8829" spans="1:10" x14ac:dyDescent="0.25">
      <c r="A8829" s="5" t="s">
        <v>8863</v>
      </c>
      <c r="B8829" s="5" t="s">
        <v>10696</v>
      </c>
      <c r="C8829" s="6" t="str">
        <f>_xll.QS.CONTEXT.CREATE("market.8827",A8829,"USD","SOFR")</f>
        <v>QSObject:PricingContext:w1~market.8827:1549</v>
      </c>
      <c r="D8829" s="6" t="str">
        <f>_xll.QS.CONTEXT.ADD.CURVE(C8829,"SOFR",$K$2:$K$7,$L$2:$L$7,,,"Actual360","LogLinear",TRUE)</f>
        <v>QSObject:ContextInput:w1~input.qs_context_add_curve.2359132437744.8828.3.0:34745</v>
      </c>
      <c r="E8829" s="6" t="str">
        <f>_xll.QS.INSTRUMENT.SWAP("swap.8827",H8829,B8829,"USD","SOFR",I8829,J8829,0,"Actual360","Simple","Annual","Annual","Annual")</f>
        <v>QSObject:Swap:w1~swap.8827:1548</v>
      </c>
      <c r="F8829" s="6" t="str">
        <f>_xll.QS.TRADE.CREATE("trade.8827",E8829,A8829,"Receive")</f>
        <v>QSObject:SwapTrade:w1~trade.8827:23035</v>
      </c>
      <c r="G8829" s="3">
        <f>_xll.QS.EVALUATE(C8829,F8829)</f>
        <v>49207.194480378363</v>
      </c>
      <c r="H8829" s="5" t="s">
        <v>8870</v>
      </c>
      <c r="I8829" s="7">
        <v>1882700</v>
      </c>
      <c r="J8829" s="8">
        <v>3.7699999999999997E-2</v>
      </c>
    </row>
    <row r="8830" spans="1:10" x14ac:dyDescent="0.25">
      <c r="A8830" s="5" t="s">
        <v>8864</v>
      </c>
      <c r="B8830" s="5" t="s">
        <v>10697</v>
      </c>
      <c r="C8830" s="6" t="str">
        <f>_xll.QS.CONTEXT.CREATE("market.8828",A8830,"USD","SOFR")</f>
        <v>QSObject:PricingContext:w1~market.8828:1547</v>
      </c>
      <c r="D8830" s="6" t="str">
        <f>_xll.QS.CONTEXT.ADD.CURVE(C8830,"SOFR",$K$2:$K$7,$L$2:$L$7,,,"Actual360","LogLinear",TRUE)</f>
        <v>QSObject:ContextInput:w1~input.qs_context_add_curve.2359132437744.8829.3.0:33526</v>
      </c>
      <c r="E8830" s="6" t="str">
        <f>_xll.QS.INSTRUMENT.SWAP("swap.8828",H8830,B8830,"USD","SOFR",I8830,J8830,0,"Actual360","Simple","Annual","Annual","Annual")</f>
        <v>QSObject:Swap:w1~swap.8828:1546</v>
      </c>
      <c r="F8830" s="6" t="str">
        <f>_xll.QS.TRADE.CREATE("trade.8828",E8830,A8830,"Receive")</f>
        <v>QSObject:SwapTrade:w1~trade.8828:23034</v>
      </c>
      <c r="G8830" s="3">
        <f>_xll.QS.EVALUATE(C8830,F8830)</f>
        <v>50124.73927725479</v>
      </c>
      <c r="H8830" s="5" t="s">
        <v>8871</v>
      </c>
      <c r="I8830" s="7">
        <v>1882800</v>
      </c>
      <c r="J8830" s="8">
        <v>3.78E-2</v>
      </c>
    </row>
    <row r="8831" spans="1:10" x14ac:dyDescent="0.25">
      <c r="A8831" s="5" t="s">
        <v>8865</v>
      </c>
      <c r="B8831" s="5" t="s">
        <v>10698</v>
      </c>
      <c r="C8831" s="6" t="str">
        <f>_xll.QS.CONTEXT.CREATE("market.8829",A8831,"USD","SOFR")</f>
        <v>QSObject:PricingContext:w1~market.8829:1545</v>
      </c>
      <c r="D8831" s="6" t="str">
        <f>_xll.QS.CONTEXT.ADD.CURVE(C8831,"SOFR",$K$2:$K$7,$L$2:$L$7,,,"Actual360","LogLinear",TRUE)</f>
        <v>QSObject:ContextInput:w1~input.qs_context_add_curve.2359132437744.8830.3.0:34744</v>
      </c>
      <c r="E8831" s="6" t="str">
        <f>_xll.QS.INSTRUMENT.SWAP("swap.8829",H8831,B8831,"USD","SOFR",I8831,J8831,0,"Actual360","Simple","Annual","Annual","Annual")</f>
        <v>QSObject:Swap:w1~swap.8829:1544</v>
      </c>
      <c r="F8831" s="6" t="str">
        <f>_xll.QS.TRADE.CREATE("trade.8829",E8831,A8831,"Receive")</f>
        <v>QSObject:SwapTrade:w1~trade.8829:23033</v>
      </c>
      <c r="G8831" s="3">
        <f>_xll.QS.EVALUATE(C8831,F8831)</f>
        <v>51133.335487106873</v>
      </c>
      <c r="H8831" s="5" t="s">
        <v>8872</v>
      </c>
      <c r="I8831" s="7">
        <v>1882900</v>
      </c>
      <c r="J8831" s="8">
        <v>3.7900000000000003E-2</v>
      </c>
    </row>
    <row r="8832" spans="1:10" x14ac:dyDescent="0.25">
      <c r="A8832" s="5" t="s">
        <v>8866</v>
      </c>
      <c r="B8832" s="5" t="s">
        <v>10699</v>
      </c>
      <c r="C8832" s="6" t="str">
        <f>_xll.QS.CONTEXT.CREATE("market.8830",A8832,"USD","SOFR")</f>
        <v>QSObject:PricingContext:w1~market.8830:1543</v>
      </c>
      <c r="D8832" s="6" t="str">
        <f>_xll.QS.CONTEXT.ADD.CURVE(C8832,"SOFR",$K$2:$K$7,$L$2:$L$7,,,"Actual360","LogLinear",TRUE)</f>
        <v>QSObject:ContextInput:w1~input.qs_context_add_curve.2359132437744.8831.3.0:33525</v>
      </c>
      <c r="E8832" s="6" t="str">
        <f>_xll.QS.INSTRUMENT.SWAP("swap.8830",H8832,B8832,"USD","SOFR",I8832,J8832,0,"Actual360","Simple","Annual","Annual","Annual")</f>
        <v>QSObject:Swap:w1~swap.8830:1542</v>
      </c>
      <c r="F8832" s="6" t="str">
        <f>_xll.QS.TRADE.CREATE("trade.8830",E8832,A8832,"Receive")</f>
        <v>QSObject:SwapTrade:w1~trade.8830:23032</v>
      </c>
      <c r="G8832" s="3">
        <f>_xll.QS.EVALUATE(C8832,F8832)</f>
        <v>52086.339080799858</v>
      </c>
      <c r="H8832" s="5" t="s">
        <v>8873</v>
      </c>
      <c r="I8832" s="7">
        <v>1883000</v>
      </c>
      <c r="J8832" s="8">
        <v>3.8000000000000013E-2</v>
      </c>
    </row>
    <row r="8833" spans="1:10" x14ac:dyDescent="0.25">
      <c r="A8833" s="5" t="s">
        <v>8867</v>
      </c>
      <c r="B8833" s="5" t="s">
        <v>10700</v>
      </c>
      <c r="C8833" s="6" t="str">
        <f>_xll.QS.CONTEXT.CREATE("market.8831",A8833,"USD","SOFR")</f>
        <v>QSObject:PricingContext:w1~market.8831:1541</v>
      </c>
      <c r="D8833" s="6" t="str">
        <f>_xll.QS.CONTEXT.ADD.CURVE(C8833,"SOFR",$K$2:$K$7,$L$2:$L$7,,,"Actual360","LogLinear",TRUE)</f>
        <v>QSObject:ContextInput:w1~input.qs_context_add_curve.2359132437744.8832.3.0:32989</v>
      </c>
      <c r="E8833" s="6" t="str">
        <f>_xll.QS.INSTRUMENT.SWAP("swap.8831",H8833,B8833,"USD","SOFR",I8833,J8833,0,"Actual360","Simple","Annual","Annual","Annual")</f>
        <v>QSObject:Swap:w1~swap.8831:1540</v>
      </c>
      <c r="F8833" s="6" t="str">
        <f>_xll.QS.TRADE.CREATE("trade.8831",E8833,A8833,"Receive")</f>
        <v>QSObject:SwapTrade:w1~trade.8831:23031</v>
      </c>
      <c r="G8833" s="3">
        <f>_xll.QS.EVALUATE(C8833,F8833)</f>
        <v>52885.929021882461</v>
      </c>
      <c r="H8833" s="5" t="s">
        <v>8874</v>
      </c>
      <c r="I8833" s="7">
        <v>1883100</v>
      </c>
      <c r="J8833" s="8">
        <v>3.8100000000000002E-2</v>
      </c>
    </row>
    <row r="8834" spans="1:10" x14ac:dyDescent="0.25">
      <c r="A8834" s="5" t="s">
        <v>8868</v>
      </c>
      <c r="B8834" s="5" t="s">
        <v>10701</v>
      </c>
      <c r="C8834" s="6" t="str">
        <f>_xll.QS.CONTEXT.CREATE("market.8832",A8834,"USD","SOFR")</f>
        <v>QSObject:PricingContext:w1~market.8832:1539</v>
      </c>
      <c r="D8834" s="6" t="str">
        <f>_xll.QS.CONTEXT.ADD.CURVE(C8834,"SOFR",$K$2:$K$7,$L$2:$L$7,,,"Actual360","LogLinear",TRUE)</f>
        <v>QSObject:ContextInput:w1~input.qs_context_add_curve.2359132437744.8833.3.0:35933</v>
      </c>
      <c r="E8834" s="6" t="str">
        <f>_xll.QS.INSTRUMENT.SWAP("swap.8832",H8834,B8834,"USD","SOFR",I8834,J8834,0,"Actual360","Simple","Annual","Annual","Annual")</f>
        <v>QSObject:Swap:w1~swap.8832:1538</v>
      </c>
      <c r="F8834" s="6" t="str">
        <f>_xll.QS.TRADE.CREATE("trade.8832",E8834,A8834,"Receive")</f>
        <v>QSObject:SwapTrade:w1~trade.8832:23030</v>
      </c>
      <c r="G8834" s="3">
        <f>_xll.QS.EVALUATE(C8834,F8834)</f>
        <v>53614.196751339245</v>
      </c>
      <c r="H8834" s="5" t="s">
        <v>8875</v>
      </c>
      <c r="I8834" s="7">
        <v>1883200</v>
      </c>
      <c r="J8834" s="8">
        <v>3.8199999999999998E-2</v>
      </c>
    </row>
    <row r="8835" spans="1:10" x14ac:dyDescent="0.25">
      <c r="A8835" s="5" t="s">
        <v>8869</v>
      </c>
      <c r="B8835" s="5" t="s">
        <v>10702</v>
      </c>
      <c r="C8835" s="6" t="str">
        <f>_xll.QS.CONTEXT.CREATE("market.8833",A8835,"USD","SOFR")</f>
        <v>QSObject:PricingContext:w1~market.8833:1537</v>
      </c>
      <c r="D8835" s="6" t="str">
        <f>_xll.QS.CONTEXT.ADD.CURVE(C8835,"SOFR",$K$2:$K$7,$L$2:$L$7,,,"Actual360","LogLinear",TRUE)</f>
        <v>QSObject:ContextInput:w1~input.qs_context_add_curve.2359132437744.8834.3.0:31743</v>
      </c>
      <c r="E8835" s="6" t="str">
        <f>_xll.QS.INSTRUMENT.SWAP("swap.8833",H8835,B8835,"USD","SOFR",I8835,J8835,0,"Actual360","Simple","Annual","Annual","Annual")</f>
        <v>QSObject:Swap:w1~swap.8833:1536</v>
      </c>
      <c r="F8835" s="6" t="str">
        <f>_xll.QS.TRADE.CREATE("trade.8833",E8835,A8835,"Receive")</f>
        <v>QSObject:SwapTrade:w1~trade.8833:23029</v>
      </c>
      <c r="G8835" s="3">
        <f>_xll.QS.EVALUATE(C8835,F8835)</f>
        <v>54355.216584290356</v>
      </c>
      <c r="H8835" s="5" t="s">
        <v>8876</v>
      </c>
      <c r="I8835" s="7">
        <v>1883300</v>
      </c>
      <c r="J8835" s="8">
        <v>3.8300000000000001E-2</v>
      </c>
    </row>
    <row r="8836" spans="1:10" x14ac:dyDescent="0.25">
      <c r="A8836" s="5" t="s">
        <v>8870</v>
      </c>
      <c r="B8836" s="5" t="s">
        <v>10703</v>
      </c>
      <c r="C8836" s="6" t="str">
        <f>_xll.QS.CONTEXT.CREATE("market.8834",A8836,"USD","SOFR")</f>
        <v>QSObject:PricingContext:w1~market.8834:1535</v>
      </c>
      <c r="D8836" s="6" t="str">
        <f>_xll.QS.CONTEXT.ADD.CURVE(C8836,"SOFR",$K$2:$K$7,$L$2:$L$7,,,"Actual360","LogLinear",TRUE)</f>
        <v>QSObject:ContextInput:w1~input.qs_context_add_curve.2359132437744.8835.3.0:34126</v>
      </c>
      <c r="E8836" s="6" t="str">
        <f>_xll.QS.INSTRUMENT.SWAP("swap.8834",H8836,B8836,"USD","SOFR",I8836,J8836,0,"Actual360","Simple","Annual","Annual","Annual")</f>
        <v>QSObject:Swap:w1~swap.8834:1534</v>
      </c>
      <c r="F8836" s="6" t="str">
        <f>_xll.QS.TRADE.CREATE("trade.8834",E8836,A8836,"Receive")</f>
        <v>QSObject:SwapTrade:w1~trade.8834:23028</v>
      </c>
      <c r="G8836" s="3">
        <f>_xll.QS.EVALUATE(C8836,F8836)</f>
        <v>55307.93365931388</v>
      </c>
      <c r="H8836" s="5" t="s">
        <v>8877</v>
      </c>
      <c r="I8836" s="7">
        <v>1883400</v>
      </c>
      <c r="J8836" s="8">
        <v>3.8399999999999997E-2</v>
      </c>
    </row>
    <row r="8837" spans="1:10" x14ac:dyDescent="0.25">
      <c r="A8837" s="5" t="s">
        <v>8871</v>
      </c>
      <c r="B8837" s="5" t="s">
        <v>10704</v>
      </c>
      <c r="C8837" s="6" t="str">
        <f>_xll.QS.CONTEXT.CREATE("market.8835",A8837,"USD","SOFR")</f>
        <v>QSObject:PricingContext:w1~market.8835:1533</v>
      </c>
      <c r="D8837" s="6" t="str">
        <f>_xll.QS.CONTEXT.ADD.CURVE(C8837,"SOFR",$K$2:$K$7,$L$2:$L$7,,,"Actual360","LogLinear",TRUE)</f>
        <v>QSObject:ContextInput:w1~input.qs_context_add_curve.2359132437744.8836.3.0:33524</v>
      </c>
      <c r="E8837" s="6" t="str">
        <f>_xll.QS.INSTRUMENT.SWAP("swap.8835",H8837,B8837,"USD","SOFR",I8837,J8837,0,"Actual360","Simple","Annual","Annual","Annual")</f>
        <v>QSObject:Swap:w1~swap.8835:1532</v>
      </c>
      <c r="F8837" s="6" t="str">
        <f>_xll.QS.TRADE.CREATE("trade.8835",E8837,A8837,"Receive")</f>
        <v>QSObject:SwapTrade:w1~trade.8835:23027</v>
      </c>
      <c r="G8837" s="3">
        <f>_xll.QS.EVALUATE(C8837,F8837)</f>
        <v>56223.163462464312</v>
      </c>
      <c r="H8837" s="5" t="s">
        <v>8878</v>
      </c>
      <c r="I8837" s="7">
        <v>1883500</v>
      </c>
      <c r="J8837" s="8">
        <v>3.8500000000000013E-2</v>
      </c>
    </row>
    <row r="8838" spans="1:10" x14ac:dyDescent="0.25">
      <c r="A8838" s="5" t="s">
        <v>8872</v>
      </c>
      <c r="B8838" s="5" t="s">
        <v>10705</v>
      </c>
      <c r="C8838" s="6" t="str">
        <f>_xll.QS.CONTEXT.CREATE("market.8836",A8838,"USD","SOFR")</f>
        <v>QSObject:PricingContext:w1~market.8836:1531</v>
      </c>
      <c r="D8838" s="6" t="str">
        <f>_xll.QS.CONTEXT.ADD.CURVE(C8838,"SOFR",$K$2:$K$7,$L$2:$L$7,,,"Actual360","LogLinear",TRUE)</f>
        <v>QSObject:ContextInput:w1~input.qs_context_add_curve.2359132437744.8837.3.0:32988</v>
      </c>
      <c r="E8838" s="6" t="str">
        <f>_xll.QS.INSTRUMENT.SWAP("swap.8836",H8838,B8838,"USD","SOFR",I8838,J8838,0,"Actual360","Simple","Annual","Annual","Annual")</f>
        <v>QSObject:Swap:w1~swap.8836:1530</v>
      </c>
      <c r="F8838" s="6" t="str">
        <f>_xll.QS.TRADE.CREATE("trade.8836",E8838,A8838,"Receive")</f>
        <v>QSObject:SwapTrade:w1~trade.8836:23026</v>
      </c>
      <c r="G8838" s="3">
        <f>_xll.QS.EVALUATE(C8838,F8838)</f>
        <v>57232.547671196735</v>
      </c>
      <c r="H8838" s="5" t="s">
        <v>8879</v>
      </c>
      <c r="I8838" s="7">
        <v>1883600</v>
      </c>
      <c r="J8838" s="8">
        <v>3.8600000000000002E-2</v>
      </c>
    </row>
    <row r="8839" spans="1:10" x14ac:dyDescent="0.25">
      <c r="A8839" s="5" t="s">
        <v>8873</v>
      </c>
      <c r="B8839" s="5" t="s">
        <v>10706</v>
      </c>
      <c r="C8839" s="6" t="str">
        <f>_xll.QS.CONTEXT.CREATE("market.8837",A8839,"USD","SOFR")</f>
        <v>QSObject:PricingContext:w1~market.8837:1529</v>
      </c>
      <c r="D8839" s="6" t="str">
        <f>_xll.QS.CONTEXT.ADD.CURVE(C8839,"SOFR",$K$2:$K$7,$L$2:$L$7,,,"Actual360","LogLinear",TRUE)</f>
        <v>QSObject:ContextInput:w1~input.qs_context_add_curve.2359132437744.8838.3.0:39986</v>
      </c>
      <c r="E8839" s="6" t="str">
        <f>_xll.QS.INSTRUMENT.SWAP("swap.8837",H8839,B8839,"USD","SOFR",I8839,J8839,0,"Actual360","Simple","Annual","Annual","Annual")</f>
        <v>QSObject:Swap:w1~swap.8837:1528</v>
      </c>
      <c r="F8839" s="6" t="str">
        <f>_xll.QS.TRADE.CREATE("trade.8837",E8839,A8839,"Receive")</f>
        <v>QSObject:SwapTrade:w1~trade.8837:23025</v>
      </c>
      <c r="G8839" s="3">
        <f>_xll.QS.EVALUATE(C8839,F8839)</f>
        <v>58186.292326346993</v>
      </c>
      <c r="H8839" s="5" t="s">
        <v>8880</v>
      </c>
      <c r="I8839" s="7">
        <v>1883700</v>
      </c>
      <c r="J8839" s="8">
        <v>3.8700000000000012E-2</v>
      </c>
    </row>
    <row r="8840" spans="1:10" x14ac:dyDescent="0.25">
      <c r="A8840" s="5" t="s">
        <v>8874</v>
      </c>
      <c r="B8840" s="5" t="s">
        <v>10707</v>
      </c>
      <c r="C8840" s="6" t="str">
        <f>_xll.QS.CONTEXT.CREATE("market.8838",A8840,"USD","SOFR")</f>
        <v>QSObject:PricingContext:w1~market.8838:1527</v>
      </c>
      <c r="D8840" s="6" t="str">
        <f>_xll.QS.CONTEXT.ADD.CURVE(C8840,"SOFR",$K$2:$K$7,$L$2:$L$7,,,"Actual360","LogLinear",TRUE)</f>
        <v>QSObject:ContextInput:w1~input.qs_context_add_curve.2359132437744.8839.3.0:37563</v>
      </c>
      <c r="E8840" s="6" t="str">
        <f>_xll.QS.INSTRUMENT.SWAP("swap.8838",H8840,B8840,"USD","SOFR",I8840,J8840,0,"Actual360","Simple","Annual","Annual","Annual")</f>
        <v>QSObject:Swap:w1~swap.8838:1526</v>
      </c>
      <c r="F8840" s="6" t="str">
        <f>_xll.QS.TRADE.CREATE("trade.8838",E8840,A8840,"Receive")</f>
        <v>QSObject:SwapTrade:w1~trade.8838:23024</v>
      </c>
      <c r="G8840" s="3">
        <f>_xll.QS.EVALUATE(C8840,F8840)</f>
        <v>58986.452248786954</v>
      </c>
      <c r="H8840" s="5" t="s">
        <v>8881</v>
      </c>
      <c r="I8840" s="7">
        <v>1883800</v>
      </c>
      <c r="J8840" s="8">
        <v>3.8800000000000001E-2</v>
      </c>
    </row>
    <row r="8841" spans="1:10" x14ac:dyDescent="0.25">
      <c r="A8841" s="5" t="s">
        <v>8875</v>
      </c>
      <c r="B8841" s="5" t="s">
        <v>10708</v>
      </c>
      <c r="C8841" s="6" t="str">
        <f>_xll.QS.CONTEXT.CREATE("market.8839",A8841,"USD","SOFR")</f>
        <v>QSObject:PricingContext:w1~market.8839:1525</v>
      </c>
      <c r="D8841" s="6" t="str">
        <f>_xll.QS.CONTEXT.ADD.CURVE(C8841,"SOFR",$K$2:$K$7,$L$2:$L$7,,,"Actual360","LogLinear",TRUE)</f>
        <v>QSObject:ContextInput:w1~input.qs_context_add_curve.2359132437744.8840.3.0:35932</v>
      </c>
      <c r="E8841" s="6" t="str">
        <f>_xll.QS.INSTRUMENT.SWAP("swap.8839",H8841,B8841,"USD","SOFR",I8841,J8841,0,"Actual360","Simple","Annual","Annual","Annual")</f>
        <v>QSObject:Swap:w1~swap.8839:1524</v>
      </c>
      <c r="F8841" s="6" t="str">
        <f>_xll.QS.TRADE.CREATE("trade.8839",E8841,A8841,"Receive")</f>
        <v>QSObject:SwapTrade:w1~trade.8839:23023</v>
      </c>
      <c r="G8841" s="3">
        <f>_xll.QS.EVALUATE(C8841,F8841)</f>
        <v>59708.145954819207</v>
      </c>
      <c r="H8841" s="5" t="s">
        <v>8882</v>
      </c>
      <c r="I8841" s="7">
        <v>1883900</v>
      </c>
      <c r="J8841" s="8">
        <v>3.8899999999999997E-2</v>
      </c>
    </row>
    <row r="8842" spans="1:10" x14ac:dyDescent="0.25">
      <c r="A8842" s="5" t="s">
        <v>8876</v>
      </c>
      <c r="B8842" s="5" t="s">
        <v>10709</v>
      </c>
      <c r="C8842" s="6" t="str">
        <f>_xll.QS.CONTEXT.CREATE("market.8840",A8842,"USD","SOFR")</f>
        <v>QSObject:PricingContext:w1~market.8840:1523</v>
      </c>
      <c r="D8842" s="6" t="str">
        <f>_xll.QS.CONTEXT.ADD.CURVE(C8842,"SOFR",$K$2:$K$7,$L$2:$L$7,,,"Actual360","LogLinear",TRUE)</f>
        <v>QSObject:ContextInput:w1~input.qs_context_add_curve.2359132437744.8841.3.0:34125</v>
      </c>
      <c r="E8842" s="6" t="str">
        <f>_xll.QS.INSTRUMENT.SWAP("swap.8840",H8842,B8842,"USD","SOFR",I8842,J8842,0,"Actual360","Simple","Annual","Annual","Annual")</f>
        <v>QSObject:Swap:w1~swap.8840:1522</v>
      </c>
      <c r="F8842" s="6" t="str">
        <f>_xll.QS.TRADE.CREATE("trade.8840",E8842,A8842,"Receive")</f>
        <v>QSObject:SwapTrade:w1~trade.8840:23022</v>
      </c>
      <c r="G8842" s="3">
        <f>_xll.QS.EVALUATE(C8842,F8842)</f>
        <v>60459.190597098161</v>
      </c>
      <c r="H8842" s="5" t="s">
        <v>8883</v>
      </c>
      <c r="I8842" s="7">
        <v>1884000</v>
      </c>
      <c r="J8842" s="8">
        <v>3.9000000000000007E-2</v>
      </c>
    </row>
    <row r="8843" spans="1:10" x14ac:dyDescent="0.25">
      <c r="A8843" s="5" t="s">
        <v>8877</v>
      </c>
      <c r="B8843" s="5" t="s">
        <v>10710</v>
      </c>
      <c r="C8843" s="6" t="str">
        <f>_xll.QS.CONTEXT.CREATE("market.8841",A8843,"USD","SOFR")</f>
        <v>QSObject:PricingContext:w1~market.8841:1521</v>
      </c>
      <c r="D8843" s="6" t="str">
        <f>_xll.QS.CONTEXT.ADD.CURVE(C8843,"SOFR",$K$2:$K$7,$L$2:$L$7,,,"Actual360","LogLinear",TRUE)</f>
        <v>QSObject:ContextInput:w1~input.qs_context_add_curve.2359132437744.8842.3.0:38141</v>
      </c>
      <c r="E8843" s="6" t="str">
        <f>_xll.QS.INSTRUMENT.SWAP("swap.8841",H8843,B8843,"USD","SOFR",I8843,J8843,0,"Actual360","Simple","Annual","Annual","Annual")</f>
        <v>QSObject:Swap:w1~swap.8841:1520</v>
      </c>
      <c r="F8843" s="6" t="str">
        <f>_xll.QS.TRADE.CREATE("trade.8841",E8843,A8843,"Receive")</f>
        <v>QSObject:SwapTrade:w1~trade.8841:23021</v>
      </c>
      <c r="G8843" s="3">
        <f>_xll.QS.EVALUATE(C8843,F8843)</f>
        <v>61413.194140722451</v>
      </c>
      <c r="H8843" s="5" t="s">
        <v>8884</v>
      </c>
      <c r="I8843" s="7">
        <v>1884100</v>
      </c>
      <c r="J8843" s="8">
        <v>3.9100000000000003E-2</v>
      </c>
    </row>
    <row r="8844" spans="1:10" x14ac:dyDescent="0.25">
      <c r="A8844" s="5" t="s">
        <v>8878</v>
      </c>
      <c r="B8844" s="5" t="s">
        <v>10711</v>
      </c>
      <c r="C8844" s="6" t="str">
        <f>_xll.QS.CONTEXT.CREATE("market.8842",A8844,"USD","SOFR")</f>
        <v>QSObject:PricingContext:w1~market.8842:1519</v>
      </c>
      <c r="D8844" s="6" t="str">
        <f>_xll.QS.CONTEXT.ADD.CURVE(C8844,"SOFR",$K$2:$K$7,$L$2:$L$7,,,"Actual360","LogLinear",TRUE)</f>
        <v>QSObject:ContextInput:w1~input.qs_context_add_curve.2359132437744.8843.3.0:39985</v>
      </c>
      <c r="E8844" s="6" t="str">
        <f>_xll.QS.INSTRUMENT.SWAP("swap.8842",H8844,B8844,"USD","SOFR",I8844,J8844,0,"Actual360","Simple","Annual","Annual","Annual")</f>
        <v>QSObject:Swap:w1~swap.8842:1518</v>
      </c>
      <c r="F8844" s="6" t="str">
        <f>_xll.QS.TRADE.CREATE("trade.8842",E8844,A8844,"Receive")</f>
        <v>QSObject:SwapTrade:w1~trade.8842:23020</v>
      </c>
      <c r="G8844" s="3">
        <f>_xll.QS.EVALUATE(C8844,F8844)</f>
        <v>62325.714062951956</v>
      </c>
      <c r="H8844" s="5" t="s">
        <v>8885</v>
      </c>
      <c r="I8844" s="7">
        <v>1884200</v>
      </c>
      <c r="J8844" s="8">
        <v>3.9200000000000013E-2</v>
      </c>
    </row>
    <row r="8845" spans="1:10" x14ac:dyDescent="0.25">
      <c r="A8845" s="5" t="s">
        <v>8879</v>
      </c>
      <c r="B8845" s="5" t="s">
        <v>10712</v>
      </c>
      <c r="C8845" s="6" t="str">
        <f>_xll.QS.CONTEXT.CREATE("market.8843",A8845,"USD","SOFR")</f>
        <v>QSObject:PricingContext:w1~market.8843:1517</v>
      </c>
      <c r="D8845" s="6" t="str">
        <f>_xll.QS.CONTEXT.ADD.CURVE(C8845,"SOFR",$K$2:$K$7,$L$2:$L$7,,,"Actual360","LogLinear",TRUE)</f>
        <v>QSObject:ContextInput:w1~input.qs_context_add_curve.2359132437744.8844.3.0:37010</v>
      </c>
      <c r="E8845" s="6" t="str">
        <f>_xll.QS.INSTRUMENT.SWAP("swap.8843",H8845,B8845,"USD","SOFR",I8845,J8845,0,"Actual360","Simple","Annual","Annual","Annual")</f>
        <v>QSObject:Swap:w1~swap.8843:1516</v>
      </c>
      <c r="F8845" s="6" t="str">
        <f>_xll.QS.TRADE.CREATE("trade.8843",E8845,A8845,"Receive")</f>
        <v>QSObject:SwapTrade:w1~trade.8843:23019</v>
      </c>
      <c r="G8845" s="3">
        <f>_xll.QS.EVALUATE(C8845,F8845)</f>
        <v>63336.279011954488</v>
      </c>
      <c r="H8845" s="5" t="s">
        <v>8886</v>
      </c>
      <c r="I8845" s="7">
        <v>1884300</v>
      </c>
      <c r="J8845" s="8">
        <v>3.9300000000000002E-2</v>
      </c>
    </row>
    <row r="8846" spans="1:10" x14ac:dyDescent="0.25">
      <c r="A8846" s="5" t="s">
        <v>8880</v>
      </c>
      <c r="B8846" s="5" t="s">
        <v>10713</v>
      </c>
      <c r="C8846" s="6" t="str">
        <f>_xll.QS.CONTEXT.CREATE("market.8844",A8846,"USD","SOFR")</f>
        <v>QSObject:PricingContext:w1~market.8844:1515</v>
      </c>
      <c r="D8846" s="6" t="str">
        <f>_xll.QS.CONTEXT.ADD.CURVE(C8846,"SOFR",$K$2:$K$7,$L$2:$L$7,,,"Actual360","LogLinear",TRUE)</f>
        <v>QSObject:ContextInput:w1~input.qs_context_add_curve.2359132437744.8845.3.0:34743</v>
      </c>
      <c r="E8846" s="6" t="str">
        <f>_xll.QS.INSTRUMENT.SWAP("swap.8844",H8846,B8846,"USD","SOFR",I8846,J8846,0,"Actual360","Simple","Annual","Annual","Annual")</f>
        <v>QSObject:Swap:w1~swap.8844:1514</v>
      </c>
      <c r="F8846" s="6" t="str">
        <f>_xll.QS.TRADE.CREATE("trade.8844",E8846,A8846,"Receive")</f>
        <v>QSObject:SwapTrade:w1~trade.8844:23018</v>
      </c>
      <c r="G8846" s="3">
        <f>_xll.QS.EVALUATE(C8846,F8846)</f>
        <v>64290.568910696144</v>
      </c>
      <c r="H8846" s="5" t="s">
        <v>8887</v>
      </c>
      <c r="I8846" s="7">
        <v>1884400</v>
      </c>
      <c r="J8846" s="8">
        <v>3.9399999999999998E-2</v>
      </c>
    </row>
    <row r="8847" spans="1:10" x14ac:dyDescent="0.25">
      <c r="A8847" s="5" t="s">
        <v>8881</v>
      </c>
      <c r="B8847" s="5" t="s">
        <v>10714</v>
      </c>
      <c r="C8847" s="6" t="str">
        <f>_xll.QS.CONTEXT.CREATE("market.8845",A8847,"USD","SOFR")</f>
        <v>QSObject:PricingContext:w1~market.8845:1513</v>
      </c>
      <c r="D8847" s="6" t="str">
        <f>_xll.QS.CONTEXT.ADD.CURVE(C8847,"SOFR",$K$2:$K$7,$L$2:$L$7,,,"Actual360","LogLinear",TRUE)</f>
        <v>QSObject:ContextInput:w1~input.qs_context_add_curve.2359132437744.8846.3.0:35931</v>
      </c>
      <c r="E8847" s="6" t="str">
        <f>_xll.QS.INSTRUMENT.SWAP("swap.8845",H8847,B8847,"USD","SOFR",I8847,J8847,0,"Actual360","Simple","Annual","Annual","Annual")</f>
        <v>QSObject:Swap:w1~swap.8845:1512</v>
      </c>
      <c r="F8847" s="6" t="str">
        <f>_xll.QS.TRADE.CREATE("trade.8845",E8847,A8847,"Receive")</f>
        <v>QSObject:SwapTrade:w1~trade.8845:23017</v>
      </c>
      <c r="G8847" s="3">
        <f>_xll.QS.EVALUATE(C8847,F8847)</f>
        <v>65092.896184513091</v>
      </c>
      <c r="H8847" s="5" t="s">
        <v>8888</v>
      </c>
      <c r="I8847" s="7">
        <v>1884500</v>
      </c>
      <c r="J8847" s="8">
        <v>3.9500000000000007E-2</v>
      </c>
    </row>
    <row r="8848" spans="1:10" x14ac:dyDescent="0.25">
      <c r="A8848" s="5" t="s">
        <v>8882</v>
      </c>
      <c r="B8848" s="5" t="s">
        <v>10715</v>
      </c>
      <c r="C8848" s="6" t="str">
        <f>_xll.QS.CONTEXT.CREATE("market.8846",A8848,"USD","SOFR")</f>
        <v>QSObject:PricingContext:w1~market.8846:1511</v>
      </c>
      <c r="D8848" s="6" t="str">
        <f>_xll.QS.CONTEXT.ADD.CURVE(C8848,"SOFR",$K$2:$K$7,$L$2:$L$7,,,"Actual360","LogLinear",TRUE)</f>
        <v>QSObject:ContextInput:w1~input.qs_context_add_curve.2359132437744.8847.3.0:35930</v>
      </c>
      <c r="E8848" s="6" t="str">
        <f>_xll.QS.INSTRUMENT.SWAP("swap.8846",H8848,B8848,"USD","SOFR",I8848,J8848,0,"Actual360","Simple","Annual","Annual","Annual")</f>
        <v>QSObject:Swap:w1~swap.8846:1510</v>
      </c>
      <c r="F8848" s="6" t="str">
        <f>_xll.QS.TRADE.CREATE("trade.8846",E8848,A8848,"Receive")</f>
        <v>QSObject:SwapTrade:w1~trade.8846:23016</v>
      </c>
      <c r="G8848" s="3">
        <f>_xll.QS.EVALUATE(C8848,F8848)</f>
        <v>65808.01673699182</v>
      </c>
      <c r="H8848" s="5" t="s">
        <v>8889</v>
      </c>
      <c r="I8848" s="7">
        <v>1884600</v>
      </c>
      <c r="J8848" s="8">
        <v>3.9600000000000003E-2</v>
      </c>
    </row>
    <row r="8849" spans="1:10" x14ac:dyDescent="0.25">
      <c r="A8849" s="5" t="s">
        <v>8883</v>
      </c>
      <c r="B8849" s="5" t="s">
        <v>10716</v>
      </c>
      <c r="C8849" s="6" t="str">
        <f>_xll.QS.CONTEXT.CREATE("market.8847",A8849,"USD","SOFR")</f>
        <v>QSObject:PricingContext:w1~market.8847:1509</v>
      </c>
      <c r="D8849" s="6" t="str">
        <f>_xll.QS.CONTEXT.ADD.CURVE(C8849,"SOFR",$K$2:$K$7,$L$2:$L$7,,,"Actual360","LogLinear",TRUE)</f>
        <v>QSObject:ContextInput:w1~input.qs_context_add_curve.2359132437744.8848.3.0:35929</v>
      </c>
      <c r="E8849" s="6" t="str">
        <f>_xll.QS.INSTRUMENT.SWAP("swap.8847",H8849,B8849,"USD","SOFR",I8849,J8849,0,"Actual360","Simple","Annual","Annual","Annual")</f>
        <v>QSObject:Swap:w1~swap.8847:1508</v>
      </c>
      <c r="F8849" s="6" t="str">
        <f>_xll.QS.TRADE.CREATE("trade.8847",E8849,A8849,"Receive")</f>
        <v>QSObject:SwapTrade:w1~trade.8847:23015</v>
      </c>
      <c r="G8849" s="3">
        <f>_xll.QS.EVALUATE(C8849,F8849)</f>
        <v>66684.845378419093</v>
      </c>
      <c r="H8849" s="5" t="s">
        <v>8890</v>
      </c>
      <c r="I8849" s="7">
        <v>1884700</v>
      </c>
      <c r="J8849" s="8">
        <v>3.9700000000000013E-2</v>
      </c>
    </row>
    <row r="8850" spans="1:10" x14ac:dyDescent="0.25">
      <c r="A8850" s="5" t="s">
        <v>8884</v>
      </c>
      <c r="B8850" s="5" t="s">
        <v>10717</v>
      </c>
      <c r="C8850" s="6" t="str">
        <f>_xll.QS.CONTEXT.CREATE("market.8848",A8850,"USD","SOFR")</f>
        <v>QSObject:PricingContext:w1~market.8848:1507</v>
      </c>
      <c r="D8850" s="6" t="str">
        <f>_xll.QS.CONTEXT.ADD.CURVE(C8850,"SOFR",$K$2:$K$7,$L$2:$L$7,,,"Actual360","LogLinear",TRUE)</f>
        <v>QSObject:ContextInput:w1~input.qs_context_add_curve.2359132437744.8849.3.0:34124</v>
      </c>
      <c r="E8850" s="6" t="str">
        <f>_xll.QS.INSTRUMENT.SWAP("swap.8848",H8850,B8850,"USD","SOFR",I8850,J8850,0,"Actual360","Simple","Annual","Annual","Annual")</f>
        <v>QSObject:Swap:w1~swap.8848:1506</v>
      </c>
      <c r="F8850" s="6" t="str">
        <f>_xll.QS.TRADE.CREATE("trade.8848",E8850,A8850,"Receive")</f>
        <v>QSObject:SwapTrade:w1~trade.8848:23014</v>
      </c>
      <c r="G8850" s="3">
        <f>_xll.QS.EVALUATE(C8850,F8850)</f>
        <v>67637.848449733137</v>
      </c>
      <c r="H8850" s="5" t="s">
        <v>8891</v>
      </c>
      <c r="I8850" s="7">
        <v>1884800</v>
      </c>
      <c r="J8850" s="8">
        <v>3.9800000000000002E-2</v>
      </c>
    </row>
    <row r="8851" spans="1:10" x14ac:dyDescent="0.25">
      <c r="A8851" s="5" t="s">
        <v>8885</v>
      </c>
      <c r="B8851" s="5" t="s">
        <v>10718</v>
      </c>
      <c r="C8851" s="6" t="str">
        <f>_xll.QS.CONTEXT.CREATE("market.8849",A8851,"USD","SOFR")</f>
        <v>QSObject:PricingContext:w1~market.8849:1505</v>
      </c>
      <c r="D8851" s="6" t="str">
        <f>_xll.QS.CONTEXT.ADD.CURVE(C8851,"SOFR",$K$2:$K$7,$L$2:$L$7,,,"Actual360","LogLinear",TRUE)</f>
        <v>QSObject:ContextInput:w1~input.qs_context_add_curve.2359132437744.8850.3.0:38804</v>
      </c>
      <c r="E8851" s="6" t="str">
        <f>_xll.QS.INSTRUMENT.SWAP("swap.8849",H8851,B8851,"USD","SOFR",I8851,J8851,0,"Actual360","Simple","Annual","Annual","Annual")</f>
        <v>QSObject:Swap:w1~swap.8849:1504</v>
      </c>
      <c r="F8851" s="6" t="str">
        <f>_xll.QS.TRADE.CREATE("trade.8849",E8851,A8851,"Receive")</f>
        <v>QSObject:SwapTrade:w1~trade.8849:23013</v>
      </c>
      <c r="G8851" s="3">
        <f>_xll.QS.EVALUATE(C8851,F8851)</f>
        <v>68433.560840926904</v>
      </c>
      <c r="H8851" s="5" t="s">
        <v>8892</v>
      </c>
      <c r="I8851" s="7">
        <v>1884900</v>
      </c>
      <c r="J8851" s="8">
        <v>3.9899999999999998E-2</v>
      </c>
    </row>
    <row r="8852" spans="1:10" x14ac:dyDescent="0.25">
      <c r="A8852" s="5" t="s">
        <v>8886</v>
      </c>
      <c r="B8852" s="5" t="s">
        <v>10719</v>
      </c>
      <c r="C8852" s="6" t="str">
        <f>_xll.QS.CONTEXT.CREATE("market.8850",A8852,"USD","SOFR")</f>
        <v>QSObject:PricingContext:w1~market.8850:1503</v>
      </c>
      <c r="D8852" s="6" t="str">
        <f>_xll.QS.CONTEXT.ADD.CURVE(C8852,"SOFR",$K$2:$K$7,$L$2:$L$7,,,"Actual360","LogLinear",TRUE)</f>
        <v>QSObject:ContextInput:w1~input.qs_context_add_curve.2359132437744.8851.3.0:35358</v>
      </c>
      <c r="E8852" s="6" t="str">
        <f>_xll.QS.INSTRUMENT.SWAP("swap.8850",H8852,B8852,"USD","SOFR",I8852,J8852,0,"Actual360","Simple","Annual","Annual","Annual")</f>
        <v>QSObject:Swap:w1~swap.8850:1502</v>
      </c>
      <c r="F8852" s="6" t="str">
        <f>_xll.QS.TRADE.CREATE("trade.8850",E8852,A8852,"Receive")</f>
        <v>QSObject:SwapTrade:w1~trade.8850:23012</v>
      </c>
      <c r="G8852" s="3">
        <f>_xll.QS.EVALUATE(C8852,F8852)</f>
        <v>25982.233905418449</v>
      </c>
      <c r="H8852" s="5" t="s">
        <v>8893</v>
      </c>
      <c r="I8852" s="7">
        <v>1885000</v>
      </c>
      <c r="J8852" s="8">
        <v>3.5000000000000003E-2</v>
      </c>
    </row>
    <row r="8853" spans="1:10" x14ac:dyDescent="0.25">
      <c r="A8853" s="5" t="s">
        <v>8887</v>
      </c>
      <c r="B8853" s="5" t="s">
        <v>10720</v>
      </c>
      <c r="C8853" s="6" t="str">
        <f>_xll.QS.CONTEXT.CREATE("market.8851",A8853,"USD","SOFR")</f>
        <v>QSObject:PricingContext:w1~market.8851:1501</v>
      </c>
      <c r="D8853" s="6" t="str">
        <f>_xll.QS.CONTEXT.ADD.CURVE(C8853,"SOFR",$K$2:$K$7,$L$2:$L$7,,,"Actual360","LogLinear",TRUE)</f>
        <v>QSObject:ContextInput:w1~input.qs_context_add_curve.2359132437744.8852.3.0:39351</v>
      </c>
      <c r="E8853" s="6" t="str">
        <f>_xll.QS.INSTRUMENT.SWAP("swap.8851",H8853,B8853,"USD","SOFR",I8853,J8853,0,"Actual360","Simple","Annual","Annual","Annual")</f>
        <v>QSObject:Swap:w1~swap.8851:1500</v>
      </c>
      <c r="F8853" s="6" t="str">
        <f>_xll.QS.TRADE.CREATE("trade.8851",E8853,A8853,"Receive")</f>
        <v>QSObject:SwapTrade:w1~trade.8851:23011</v>
      </c>
      <c r="G8853" s="3">
        <f>_xll.QS.EVALUATE(C8853,F8853)</f>
        <v>26857.819385119525</v>
      </c>
      <c r="H8853" s="5" t="s">
        <v>8894</v>
      </c>
      <c r="I8853" s="7">
        <v>1885100</v>
      </c>
      <c r="J8853" s="8">
        <v>3.5100000000000013E-2</v>
      </c>
    </row>
    <row r="8854" spans="1:10" x14ac:dyDescent="0.25">
      <c r="A8854" s="5" t="s">
        <v>8888</v>
      </c>
      <c r="B8854" s="5" t="s">
        <v>10721</v>
      </c>
      <c r="C8854" s="6" t="str">
        <f>_xll.QS.CONTEXT.CREATE("market.8852",A8854,"USD","SOFR")</f>
        <v>QSObject:PricingContext:w1~market.8852:1499</v>
      </c>
      <c r="D8854" s="6" t="str">
        <f>_xll.QS.CONTEXT.ADD.CURVE(C8854,"SOFR",$K$2:$K$7,$L$2:$L$7,,,"Actual360","LogLinear",TRUE)</f>
        <v>QSObject:ContextInput:w1~input.qs_context_add_curve.2359132437744.8853.3.0:38803</v>
      </c>
      <c r="E8854" s="6" t="str">
        <f>_xll.QS.INSTRUMENT.SWAP("swap.8852",H8854,B8854,"USD","SOFR",I8854,J8854,0,"Actual360","Simple","Annual","Annual","Annual")</f>
        <v>QSObject:Swap:w1~swap.8852:1498</v>
      </c>
      <c r="F8854" s="6" t="str">
        <f>_xll.QS.TRADE.CREATE("trade.8852",E8854,A8854,"Receive")</f>
        <v>QSObject:SwapTrade:w1~trade.8852:23010</v>
      </c>
      <c r="G8854" s="3">
        <f>_xll.QS.EVALUATE(C8854,F8854)</f>
        <v>27735.581067317609</v>
      </c>
      <c r="H8854" s="5" t="s">
        <v>8895</v>
      </c>
      <c r="I8854" s="7">
        <v>1885200</v>
      </c>
      <c r="J8854" s="8">
        <v>3.5200000000000002E-2</v>
      </c>
    </row>
    <row r="8855" spans="1:10" x14ac:dyDescent="0.25">
      <c r="A8855" s="5" t="s">
        <v>8889</v>
      </c>
      <c r="B8855" s="5" t="s">
        <v>10722</v>
      </c>
      <c r="C8855" s="6" t="str">
        <f>_xll.QS.CONTEXT.CREATE("market.8853",A8855,"USD","SOFR")</f>
        <v>QSObject:PricingContext:w1~market.8853:1497</v>
      </c>
      <c r="D8855" s="6" t="str">
        <f>_xll.QS.CONTEXT.ADD.CURVE(C8855,"SOFR",$K$2:$K$7,$L$2:$L$7,,,"Actual360","LogLinear",TRUE)</f>
        <v>QSObject:ContextInput:w1~input.qs_context_add_curve.2359132437744.8854.3.0:34123</v>
      </c>
      <c r="E8855" s="6" t="str">
        <f>_xll.QS.INSTRUMENT.SWAP("swap.8853",H8855,B8855,"USD","SOFR",I8855,J8855,0,"Actual360","Simple","Annual","Annual","Annual")</f>
        <v>QSObject:Swap:w1~swap.8853:1496</v>
      </c>
      <c r="F8855" s="6" t="str">
        <f>_xll.QS.TRADE.CREATE("trade.8853",E8855,A8855,"Receive")</f>
        <v>QSObject:SwapTrade:w1~trade.8853:23009</v>
      </c>
      <c r="G8855" s="3">
        <f>_xll.QS.EVALUATE(C8855,F8855)</f>
        <v>28493.024988979072</v>
      </c>
      <c r="H8855" s="5" t="s">
        <v>8896</v>
      </c>
      <c r="I8855" s="7">
        <v>1885300</v>
      </c>
      <c r="J8855" s="8">
        <v>3.5299999999999998E-2</v>
      </c>
    </row>
    <row r="8856" spans="1:10" x14ac:dyDescent="0.25">
      <c r="A8856" s="5" t="s">
        <v>8890</v>
      </c>
      <c r="B8856" s="5" t="s">
        <v>10723</v>
      </c>
      <c r="C8856" s="6" t="str">
        <f>_xll.QS.CONTEXT.CREATE("market.8854",A8856,"USD","SOFR")</f>
        <v>QSObject:PricingContext:w1~market.8854:1495</v>
      </c>
      <c r="D8856" s="6" t="str">
        <f>_xll.QS.CONTEXT.ADD.CURVE(C8856,"SOFR",$K$2:$K$7,$L$2:$L$7,,,"Actual360","LogLinear",TRUE)</f>
        <v>QSObject:ContextInput:w1~input.qs_context_add_curve.2359132437744.8855.3.0:34122</v>
      </c>
      <c r="E8856" s="6" t="str">
        <f>_xll.QS.INSTRUMENT.SWAP("swap.8854",H8856,B8856,"USD","SOFR",I8856,J8856,0,"Actual360","Simple","Annual","Annual","Annual")</f>
        <v>QSObject:Swap:w1~swap.8854:1494</v>
      </c>
      <c r="F8856" s="6" t="str">
        <f>_xll.QS.TRADE.CREATE("trade.8854",E8856,A8856,"Receive")</f>
        <v>QSObject:SwapTrade:w1~trade.8854:23008</v>
      </c>
      <c r="G8856" s="3">
        <f>_xll.QS.EVALUATE(C8856,F8856)</f>
        <v>29194.450731952747</v>
      </c>
      <c r="H8856" s="5" t="s">
        <v>8897</v>
      </c>
      <c r="I8856" s="7">
        <v>1885400</v>
      </c>
      <c r="J8856" s="8">
        <v>3.5400000000000001E-2</v>
      </c>
    </row>
    <row r="8857" spans="1:10" x14ac:dyDescent="0.25">
      <c r="A8857" s="5" t="s">
        <v>8891</v>
      </c>
      <c r="B8857" s="5" t="s">
        <v>10724</v>
      </c>
      <c r="C8857" s="6" t="str">
        <f>_xll.QS.CONTEXT.CREATE("market.8855",A8857,"USD","SOFR")</f>
        <v>QSObject:PricingContext:w1~market.8855:1493</v>
      </c>
      <c r="D8857" s="6" t="str">
        <f>_xll.QS.CONTEXT.ADD.CURVE(C8857,"SOFR",$K$2:$K$7,$L$2:$L$7,,,"Actual360","LogLinear",TRUE)</f>
        <v>QSObject:ContextInput:w1~input.qs_context_add_curve.2359132437744.8856.3.0:35928</v>
      </c>
      <c r="E8857" s="6" t="str">
        <f>_xll.QS.INSTRUMENT.SWAP("swap.8855",H8857,B8857,"USD","SOFR",I8857,J8857,0,"Actual360","Simple","Annual","Annual","Annual")</f>
        <v>QSObject:Swap:w1~swap.8855:1492</v>
      </c>
      <c r="F8857" s="6" t="str">
        <f>_xll.QS.TRADE.CREATE("trade.8855",E8857,A8857,"Receive")</f>
        <v>QSObject:SwapTrade:w1~trade.8855:23007</v>
      </c>
      <c r="G8857" s="3">
        <f>_xll.QS.EVALUATE(C8857,F8857)</f>
        <v>30143.341728025545</v>
      </c>
      <c r="H8857" s="5" t="s">
        <v>8898</v>
      </c>
      <c r="I8857" s="7">
        <v>1885500</v>
      </c>
      <c r="J8857" s="8">
        <v>3.5499999999999997E-2</v>
      </c>
    </row>
    <row r="8858" spans="1:10" x14ac:dyDescent="0.25">
      <c r="A8858" s="5" t="s">
        <v>8892</v>
      </c>
      <c r="B8858" s="5" t="s">
        <v>10725</v>
      </c>
      <c r="C8858" s="6" t="str">
        <f>_xll.QS.CONTEXT.CREATE("market.8856",A8858,"USD","SOFR")</f>
        <v>QSObject:PricingContext:w1~market.8856:1491</v>
      </c>
      <c r="D8858" s="6" t="str">
        <f>_xll.QS.CONTEXT.ADD.CURVE(C8858,"SOFR",$K$2:$K$7,$L$2:$L$7,,,"Actual360","LogLinear",TRUE)</f>
        <v>QSObject:ContextInput:w1~input.qs_context_add_curve.2359132437744.8857.3.0:35357</v>
      </c>
      <c r="E8858" s="6" t="str">
        <f>_xll.QS.INSTRUMENT.SWAP("swap.8856",H8858,B8858,"USD","SOFR",I8858,J8858,0,"Actual360","Simple","Annual","Annual","Annual")</f>
        <v>QSObject:Swap:w1~swap.8856:1490</v>
      </c>
      <c r="F8858" s="6" t="str">
        <f>_xll.QS.TRADE.CREATE("trade.8856",E8858,A8858,"Receive")</f>
        <v>QSObject:SwapTrade:w1~trade.8856:23006</v>
      </c>
      <c r="G8858" s="3">
        <f>_xll.QS.EVALUATE(C8858,F8858)</f>
        <v>31069.35012880493</v>
      </c>
      <c r="H8858" s="5" t="s">
        <v>8899</v>
      </c>
      <c r="I8858" s="7">
        <v>1885600</v>
      </c>
      <c r="J8858" s="8">
        <v>3.5600000000000007E-2</v>
      </c>
    </row>
    <row r="8859" spans="1:10" x14ac:dyDescent="0.25">
      <c r="A8859" s="5" t="s">
        <v>8893</v>
      </c>
      <c r="B8859" s="5" t="s">
        <v>10726</v>
      </c>
      <c r="C8859" s="6" t="str">
        <f>_xll.QS.CONTEXT.CREATE("market.8857",A8859,"USD","SOFR")</f>
        <v>QSObject:PricingContext:w1~market.8857:1489</v>
      </c>
      <c r="D8859" s="6" t="str">
        <f>_xll.QS.CONTEXT.ADD.CURVE(C8859,"SOFR",$K$2:$K$7,$L$2:$L$7,,,"Actual360","LogLinear",TRUE)</f>
        <v>QSObject:ContextInput:w1~input.qs_context_add_curve.2359132437744.8858.3.0:39350</v>
      </c>
      <c r="E8859" s="6" t="str">
        <f>_xll.QS.INSTRUMENT.SWAP("swap.8857",H8859,B8859,"USD","SOFR",I8859,J8859,0,"Actual360","Simple","Annual","Annual","Annual")</f>
        <v>QSObject:Swap:w1~swap.8857:1488</v>
      </c>
      <c r="F8859" s="6" t="str">
        <f>_xll.QS.TRADE.CREATE("trade.8857",E8859,A8859,"Receive")</f>
        <v>QSObject:SwapTrade:w1~trade.8857:23005</v>
      </c>
      <c r="G8859" s="3">
        <f>_xll.QS.EVALUATE(C8859,F8859)</f>
        <v>32078.861773138175</v>
      </c>
      <c r="H8859" s="5" t="s">
        <v>8900</v>
      </c>
      <c r="I8859" s="7">
        <v>1885700</v>
      </c>
      <c r="J8859" s="8">
        <v>3.5700000000000003E-2</v>
      </c>
    </row>
    <row r="8860" spans="1:10" x14ac:dyDescent="0.25">
      <c r="A8860" s="5" t="s">
        <v>8894</v>
      </c>
      <c r="B8860" s="5" t="s">
        <v>10727</v>
      </c>
      <c r="C8860" s="6" t="str">
        <f>_xll.QS.CONTEXT.CREATE("market.8858",A8860,"USD","SOFR")</f>
        <v>QSObject:PricingContext:w1~market.8858:1487</v>
      </c>
      <c r="D8860" s="6" t="str">
        <f>_xll.QS.CONTEXT.ADD.CURVE(C8860,"SOFR",$K$2:$K$7,$L$2:$L$7,,,"Actual360","LogLinear",TRUE)</f>
        <v>QSObject:ContextInput:w1~input.qs_context_add_curve.2359132437744.8859.3.0:38802</v>
      </c>
      <c r="E8860" s="6" t="str">
        <f>_xll.QS.INSTRUMENT.SWAP("swap.8858",H8860,B8860,"USD","SOFR",I8860,J8860,0,"Actual360","Simple","Annual","Annual","Annual")</f>
        <v>QSObject:Swap:w1~swap.8858:1486</v>
      </c>
      <c r="F8860" s="6" t="str">
        <f>_xll.QS.TRADE.CREATE("trade.8858",E8860,A8860,"Receive")</f>
        <v>QSObject:SwapTrade:w1~trade.8858:23004</v>
      </c>
      <c r="G8860" s="3">
        <f>_xll.QS.EVALUATE(C8860,F8860)</f>
        <v>33032.059423704603</v>
      </c>
      <c r="H8860" s="5" t="s">
        <v>8901</v>
      </c>
      <c r="I8860" s="7">
        <v>1885800</v>
      </c>
      <c r="J8860" s="8">
        <v>3.5800000000000012E-2</v>
      </c>
    </row>
    <row r="8861" spans="1:10" x14ac:dyDescent="0.25">
      <c r="A8861" s="5" t="s">
        <v>8895</v>
      </c>
      <c r="B8861" s="5" t="s">
        <v>10728</v>
      </c>
      <c r="C8861" s="6" t="str">
        <f>_xll.QS.CONTEXT.CREATE("market.8859",A8861,"USD","SOFR")</f>
        <v>QSObject:PricingContext:w1~market.8859:1485</v>
      </c>
      <c r="D8861" s="6" t="str">
        <f>_xll.QS.CONTEXT.ADD.CURVE(C8861,"SOFR",$K$2:$K$7,$L$2:$L$7,,,"Actual360","LogLinear",TRUE)</f>
        <v>QSObject:ContextInput:w1~input.qs_context_add_curve.2359132437744.8860.3.0:35356</v>
      </c>
      <c r="E8861" s="6" t="str">
        <f>_xll.QS.INSTRUMENT.SWAP("swap.8859",H8861,B8861,"USD","SOFR",I8861,J8861,0,"Actual360","Simple","Annual","Annual","Annual")</f>
        <v>QSObject:Swap:w1~swap.8859:1484</v>
      </c>
      <c r="F8861" s="6" t="str">
        <f>_xll.QS.TRADE.CREATE("trade.8859",E8861,A8861,"Receive")</f>
        <v>QSObject:SwapTrade:w1~trade.8859:23003</v>
      </c>
      <c r="G8861" s="3">
        <f>_xll.QS.EVALUATE(C8861,F8861)</f>
        <v>33831.970608868527</v>
      </c>
      <c r="H8861" s="5" t="s">
        <v>8902</v>
      </c>
      <c r="I8861" s="7">
        <v>1885900</v>
      </c>
      <c r="J8861" s="8">
        <v>3.5900000000000001E-2</v>
      </c>
    </row>
    <row r="8862" spans="1:10" x14ac:dyDescent="0.25">
      <c r="A8862" s="5" t="s">
        <v>8896</v>
      </c>
      <c r="B8862" s="5" t="s">
        <v>10729</v>
      </c>
      <c r="C8862" s="6" t="str">
        <f>_xll.QS.CONTEXT.CREATE("market.8860",A8862,"USD","SOFR")</f>
        <v>QSObject:PricingContext:w1~market.8860:1483</v>
      </c>
      <c r="D8862" s="6" t="str">
        <f>_xll.QS.CONTEXT.ADD.CURVE(C8862,"SOFR",$K$2:$K$7,$L$2:$L$7,,,"Actual360","LogLinear",TRUE)</f>
        <v>QSObject:ContextInput:w1~input.qs_context_add_curve.2359132437744.8861.3.0:38140</v>
      </c>
      <c r="E8862" s="6" t="str">
        <f>_xll.QS.INSTRUMENT.SWAP("swap.8860",H8862,B8862,"USD","SOFR",I8862,J8862,0,"Actual360","Simple","Annual","Annual","Annual")</f>
        <v>QSObject:Swap:w1~swap.8860:1482</v>
      </c>
      <c r="F8862" s="6" t="str">
        <f>_xll.QS.TRADE.CREATE("trade.8860",E8862,A8862,"Receive")</f>
        <v>QSObject:SwapTrade:w1~trade.8860:23002</v>
      </c>
      <c r="G8862" s="3">
        <f>_xll.QS.EVALUATE(C8862,F8862)</f>
        <v>34582.847514149558</v>
      </c>
      <c r="H8862" s="5" t="s">
        <v>8903</v>
      </c>
      <c r="I8862" s="7">
        <v>1886000</v>
      </c>
      <c r="J8862" s="8">
        <v>3.5999999999999997E-2</v>
      </c>
    </row>
    <row r="8863" spans="1:10" x14ac:dyDescent="0.25">
      <c r="A8863" s="5" t="s">
        <v>8897</v>
      </c>
      <c r="B8863" s="5" t="s">
        <v>10730</v>
      </c>
      <c r="C8863" s="6" t="str">
        <f>_xll.QS.CONTEXT.CREATE("market.8861",A8863,"USD","SOFR")</f>
        <v>QSObject:PricingContext:w1~market.8861:1481</v>
      </c>
      <c r="D8863" s="6" t="str">
        <f>_xll.QS.CONTEXT.ADD.CURVE(C8863,"SOFR",$K$2:$K$7,$L$2:$L$7,,,"Actual360","LogLinear",TRUE)</f>
        <v>QSObject:ContextInput:w1~input.qs_context_add_curve.2359132437744.8862.3.0:35355</v>
      </c>
      <c r="E8863" s="6" t="str">
        <f>_xll.QS.INSTRUMENT.SWAP("swap.8861",H8863,B8863,"USD","SOFR",I8863,J8863,0,"Actual360","Simple","Annual","Annual","Annual")</f>
        <v>QSObject:Swap:w1~swap.8861:1480</v>
      </c>
      <c r="F8863" s="6" t="str">
        <f>_xll.QS.TRADE.CREATE("trade.8861",E8863,A8863,"Receive")</f>
        <v>QSObject:SwapTrade:w1~trade.8861:23001</v>
      </c>
      <c r="G8863" s="3">
        <f>_xll.QS.EVALUATE(C8863,F8863)</f>
        <v>35294.277715589364</v>
      </c>
      <c r="H8863" s="5" t="s">
        <v>8904</v>
      </c>
      <c r="I8863" s="7">
        <v>1886100</v>
      </c>
      <c r="J8863" s="8">
        <v>3.61E-2</v>
      </c>
    </row>
    <row r="8864" spans="1:10" x14ac:dyDescent="0.25">
      <c r="A8864" s="5" t="s">
        <v>8898</v>
      </c>
      <c r="B8864" s="5" t="s">
        <v>10731</v>
      </c>
      <c r="C8864" s="6" t="str">
        <f>_xll.QS.CONTEXT.CREATE("market.8862",A8864,"USD","SOFR")</f>
        <v>QSObject:PricingContext:w1~market.8862:1479</v>
      </c>
      <c r="D8864" s="6" t="str">
        <f>_xll.QS.CONTEXT.ADD.CURVE(C8864,"SOFR",$K$2:$K$7,$L$2:$L$7,,,"Actual360","LogLinear",TRUE)</f>
        <v>QSObject:ContextInput:w1~input.qs_context_add_curve.2359132437744.8863.3.0:38801</v>
      </c>
      <c r="E8864" s="6" t="str">
        <f>_xll.QS.INSTRUMENT.SWAP("swap.8862",H8864,B8864,"USD","SOFR",I8864,J8864,0,"Actual360","Simple","Annual","Annual","Annual")</f>
        <v>QSObject:Swap:w1~swap.8862:1478</v>
      </c>
      <c r="F8864" s="6" t="str">
        <f>_xll.QS.TRADE.CREATE("trade.8862",E8864,A8864,"Receive")</f>
        <v>QSObject:SwapTrade:w1~trade.8862:23000</v>
      </c>
      <c r="G8864" s="3">
        <f>_xll.QS.EVALUATE(C8864,F8864)</f>
        <v>36245.176663335107</v>
      </c>
      <c r="H8864" s="5" t="s">
        <v>8905</v>
      </c>
      <c r="I8864" s="7">
        <v>1886200</v>
      </c>
      <c r="J8864" s="8">
        <v>3.6200000000000003E-2</v>
      </c>
    </row>
    <row r="8865" spans="1:10" x14ac:dyDescent="0.25">
      <c r="A8865" s="5" t="s">
        <v>8899</v>
      </c>
      <c r="B8865" s="5" t="s">
        <v>10732</v>
      </c>
      <c r="C8865" s="6" t="str">
        <f>_xll.QS.CONTEXT.CREATE("market.8863",A8865,"USD","SOFR")</f>
        <v>QSObject:PricingContext:w1~market.8863:1477</v>
      </c>
      <c r="D8865" s="6" t="str">
        <f>_xll.QS.CONTEXT.ADD.CURVE(C8865,"SOFR",$K$2:$K$7,$L$2:$L$7,,,"Actual360","LogLinear",TRUE)</f>
        <v>QSObject:ContextInput:w1~input.qs_context_add_curve.2359132437744.8864.3.0:37009</v>
      </c>
      <c r="E8865" s="6" t="str">
        <f>_xll.QS.INSTRUMENT.SWAP("swap.8863",H8865,B8865,"USD","SOFR",I8865,J8865,0,"Actual360","Simple","Annual","Annual","Annual")</f>
        <v>QSObject:Swap:w1~swap.8863:1476</v>
      </c>
      <c r="F8865" s="6" t="str">
        <f>_xll.QS.TRADE.CREATE("trade.8863",E8865,A8865,"Receive")</f>
        <v>QSObject:SwapTrade:w1~trade.8863:22999</v>
      </c>
      <c r="G8865" s="3">
        <f>_xll.QS.EVALUATE(C8865,F8865)</f>
        <v>37170.440008422629</v>
      </c>
      <c r="H8865" s="5" t="s">
        <v>8906</v>
      </c>
      <c r="I8865" s="7">
        <v>1886300</v>
      </c>
      <c r="J8865" s="8">
        <v>3.6300000000000013E-2</v>
      </c>
    </row>
    <row r="8866" spans="1:10" x14ac:dyDescent="0.25">
      <c r="A8866" s="5" t="s">
        <v>8900</v>
      </c>
      <c r="B8866" s="5" t="s">
        <v>10733</v>
      </c>
      <c r="C8866" s="6" t="str">
        <f>_xll.QS.CONTEXT.CREATE("market.8864",A8866,"USD","SOFR")</f>
        <v>QSObject:PricingContext:w1~market.8864:1475</v>
      </c>
      <c r="D8866" s="6" t="str">
        <f>_xll.QS.CONTEXT.ADD.CURVE(C8866,"SOFR",$K$2:$K$7,$L$2:$L$7,,,"Actual360","LogLinear",TRUE)</f>
        <v>QSObject:ContextInput:w1~input.qs_context_add_curve.2359132437744.8865.3.0:34742</v>
      </c>
      <c r="E8866" s="6" t="str">
        <f>_xll.QS.INSTRUMENT.SWAP("swap.8864",H8866,B8866,"USD","SOFR",I8866,J8866,0,"Actual360","Simple","Annual","Annual","Annual")</f>
        <v>QSObject:Swap:w1~swap.8864:1474</v>
      </c>
      <c r="F8866" s="6" t="str">
        <f>_xll.QS.TRADE.CREATE("trade.8864",E8866,A8866,"Receive")</f>
        <v>QSObject:SwapTrade:w1~trade.8864:22998</v>
      </c>
      <c r="G8866" s="3">
        <f>_xll.QS.EVALUATE(C8866,F8866)</f>
        <v>38180.010738657307</v>
      </c>
      <c r="H8866" s="5" t="s">
        <v>8907</v>
      </c>
      <c r="I8866" s="7">
        <v>1886400</v>
      </c>
      <c r="J8866" s="8">
        <v>3.6400000000000002E-2</v>
      </c>
    </row>
    <row r="8867" spans="1:10" x14ac:dyDescent="0.25">
      <c r="A8867" s="5" t="s">
        <v>8901</v>
      </c>
      <c r="B8867" s="5" t="s">
        <v>10734</v>
      </c>
      <c r="C8867" s="6" t="str">
        <f>_xll.QS.CONTEXT.CREATE("market.8865",A8867,"USD","SOFR")</f>
        <v>QSObject:PricingContext:w1~market.8865:1473</v>
      </c>
      <c r="D8867" s="6" t="str">
        <f>_xll.QS.CONTEXT.ADD.CURVE(C8867,"SOFR",$K$2:$K$7,$L$2:$L$7,,,"Actual360","LogLinear",TRUE)</f>
        <v>QSObject:ContextInput:w1~input.qs_context_add_curve.2359132437744.8866.3.0:34741</v>
      </c>
      <c r="E8867" s="6" t="str">
        <f>_xll.QS.INSTRUMENT.SWAP("swap.8865",H8867,B8867,"USD","SOFR",I8867,J8867,0,"Actual360","Simple","Annual","Annual","Annual")</f>
        <v>QSObject:Swap:w1~swap.8865:1472</v>
      </c>
      <c r="F8867" s="6" t="str">
        <f>_xll.QS.TRADE.CREATE("trade.8865",E8867,A8867,"Receive")</f>
        <v>QSObject:SwapTrade:w1~trade.8865:22997</v>
      </c>
      <c r="G8867" s="3">
        <f>_xll.QS.EVALUATE(C8867,F8867)</f>
        <v>39134.225377708048</v>
      </c>
      <c r="H8867" s="5" t="s">
        <v>8908</v>
      </c>
      <c r="I8867" s="7">
        <v>1886500</v>
      </c>
      <c r="J8867" s="8">
        <v>3.6499999999999998E-2</v>
      </c>
    </row>
    <row r="8868" spans="1:10" x14ac:dyDescent="0.25">
      <c r="A8868" s="5" t="s">
        <v>8902</v>
      </c>
      <c r="B8868" s="5" t="s">
        <v>10735</v>
      </c>
      <c r="C8868" s="6" t="str">
        <f>_xll.QS.CONTEXT.CREATE("market.8866",A8868,"USD","SOFR")</f>
        <v>QSObject:PricingContext:w1~market.8866:1471</v>
      </c>
      <c r="D8868" s="6" t="str">
        <f>_xll.QS.CONTEXT.ADD.CURVE(C8868,"SOFR",$K$2:$K$7,$L$2:$L$7,,,"Actual360","LogLinear",TRUE)</f>
        <v>QSObject:ContextInput:w1~input.qs_context_add_curve.2359132437744.8867.3.0:34121</v>
      </c>
      <c r="E8868" s="6" t="str">
        <f>_xll.QS.INSTRUMENT.SWAP("swap.8866",H8868,B8868,"USD","SOFR",I8868,J8868,0,"Actual360","Simple","Annual","Annual","Annual")</f>
        <v>QSObject:Swap:w1~swap.8866:1470</v>
      </c>
      <c r="F8868" s="6" t="str">
        <f>_xll.QS.TRADE.CREATE("trade.8866",E8868,A8868,"Receive")</f>
        <v>QSObject:SwapTrade:w1~trade.8866:22996</v>
      </c>
      <c r="G8868" s="3">
        <f>_xll.QS.EVALUATE(C8868,F8868)</f>
        <v>39856.515990649976</v>
      </c>
      <c r="H8868" s="5" t="s">
        <v>8909</v>
      </c>
      <c r="I8868" s="7">
        <v>1886600</v>
      </c>
      <c r="J8868" s="8">
        <v>3.6600000000000001E-2</v>
      </c>
    </row>
    <row r="8869" spans="1:10" x14ac:dyDescent="0.25">
      <c r="A8869" s="5" t="s">
        <v>8903</v>
      </c>
      <c r="B8869" s="5" t="s">
        <v>10736</v>
      </c>
      <c r="C8869" s="6" t="str">
        <f>_xll.QS.CONTEXT.CREATE("market.8867",A8869,"USD","SOFR")</f>
        <v>QSObject:PricingContext:w1~market.8867:1469</v>
      </c>
      <c r="D8869" s="6" t="str">
        <f>_xll.QS.CONTEXT.ADD.CURVE(C8869,"SOFR",$K$2:$K$7,$L$2:$L$7,,,"Actual360","LogLinear",TRUE)</f>
        <v>QSObject:ContextInput:w1~input.qs_context_add_curve.2359132437744.8868.3.0:34120</v>
      </c>
      <c r="E8869" s="6" t="str">
        <f>_xll.QS.INSTRUMENT.SWAP("swap.8867",H8869,B8869,"USD","SOFR",I8869,J8869,0,"Actual360","Simple","Annual","Annual","Annual")</f>
        <v>QSObject:Swap:w1~swap.8867:1468</v>
      </c>
      <c r="F8869" s="6" t="str">
        <f>_xll.QS.TRADE.CREATE("trade.8867",E8869,A8869,"Receive")</f>
        <v>QSObject:SwapTrade:w1~trade.8867:22995</v>
      </c>
      <c r="G8869" s="3">
        <f>_xll.QS.EVALUATE(C8869,F8869)</f>
        <v>40524.433776992228</v>
      </c>
      <c r="H8869" s="5" t="s">
        <v>8910</v>
      </c>
      <c r="I8869" s="7">
        <v>1886700</v>
      </c>
      <c r="J8869" s="8">
        <v>3.6700000000000003E-2</v>
      </c>
    </row>
    <row r="8870" spans="1:10" x14ac:dyDescent="0.25">
      <c r="A8870" s="5" t="s">
        <v>8904</v>
      </c>
      <c r="B8870" s="5" t="s">
        <v>10737</v>
      </c>
      <c r="C8870" s="6" t="str">
        <f>_xll.QS.CONTEXT.CREATE("market.8868",A8870,"USD","SOFR")</f>
        <v>QSObject:PricingContext:w1~market.8868:1467</v>
      </c>
      <c r="D8870" s="6" t="str">
        <f>_xll.QS.CONTEXT.ADD.CURVE(C8870,"SOFR",$K$2:$K$7,$L$2:$L$7,,,"Actual360","LogLinear",TRUE)</f>
        <v>QSObject:ContextInput:w1~input.qs_context_add_curve.2359132437744.8869.3.0:35354</v>
      </c>
      <c r="E8870" s="6" t="str">
        <f>_xll.QS.INSTRUMENT.SWAP("swap.8868",H8870,B8870,"USD","SOFR",I8870,J8870,0,"Actual360","Simple","Annual","Annual","Annual")</f>
        <v>QSObject:Swap:w1~swap.8868:1466</v>
      </c>
      <c r="F8870" s="6" t="str">
        <f>_xll.QS.TRADE.CREATE("trade.8868",E8870,A8870,"Receive")</f>
        <v>QSObject:SwapTrade:w1~trade.8868:22994</v>
      </c>
      <c r="G8870" s="3">
        <f>_xll.QS.EVALUATE(C8870,F8870)</f>
        <v>41400.217451992852</v>
      </c>
      <c r="H8870" s="5" t="s">
        <v>8911</v>
      </c>
      <c r="I8870" s="7">
        <v>1886800</v>
      </c>
      <c r="J8870" s="8">
        <v>3.6800000000000013E-2</v>
      </c>
    </row>
    <row r="8871" spans="1:10" x14ac:dyDescent="0.25">
      <c r="A8871" s="5" t="s">
        <v>8905</v>
      </c>
      <c r="B8871" s="5" t="s">
        <v>10738</v>
      </c>
      <c r="C8871" s="6" t="str">
        <f>_xll.QS.CONTEXT.CREATE("market.8869",A8871,"USD","SOFR")</f>
        <v>QSObject:PricingContext:w1~market.8869:1465</v>
      </c>
      <c r="D8871" s="6" t="str">
        <f>_xll.QS.CONTEXT.ADD.CURVE(C8871,"SOFR",$K$2:$K$7,$L$2:$L$7,,,"Actual360","LogLinear",TRUE)</f>
        <v>QSObject:ContextInput:w1~input.qs_context_add_curve.2359132437744.8870.3.0:38800</v>
      </c>
      <c r="E8871" s="6" t="str">
        <f>_xll.QS.INSTRUMENT.SWAP("swap.8869",H8871,B8871,"USD","SOFR",I8871,J8871,0,"Actual360","Simple","Annual","Annual","Annual")</f>
        <v>QSObject:Swap:w1~swap.8869:1464</v>
      </c>
      <c r="F8871" s="6" t="str">
        <f>_xll.QS.TRADE.CREATE("trade.8869",E8871,A8871,"Receive")</f>
        <v>QSObject:SwapTrade:w1~trade.8869:22875</v>
      </c>
      <c r="G8871" s="3">
        <f>_xll.QS.EVALUATE(C8871,F8871)</f>
        <v>42352.685641707671</v>
      </c>
      <c r="H8871" s="5" t="s">
        <v>8912</v>
      </c>
      <c r="I8871" s="7">
        <v>1886900</v>
      </c>
      <c r="J8871" s="8">
        <v>3.6900000000000002E-2</v>
      </c>
    </row>
    <row r="8872" spans="1:10" x14ac:dyDescent="0.25">
      <c r="A8872" s="5" t="s">
        <v>8906</v>
      </c>
      <c r="B8872" s="5" t="s">
        <v>10739</v>
      </c>
      <c r="C8872" s="6" t="str">
        <f>_xll.QS.CONTEXT.CREATE("market.8870",A8872,"USD","SOFR")</f>
        <v>QSObject:PricingContext:w1~market.8870:1463</v>
      </c>
      <c r="D8872" s="6" t="str">
        <f>_xll.QS.CONTEXT.ADD.CURVE(C8872,"SOFR",$K$2:$K$7,$L$2:$L$7,,,"Actual360","LogLinear",TRUE)</f>
        <v>QSObject:ContextInput:w1~input.qs_context_add_curve.2359132437744.8871.3.0:32987</v>
      </c>
      <c r="E8872" s="6" t="str">
        <f>_xll.QS.INSTRUMENT.SWAP("swap.8870",H8872,B8872,"USD","SOFR",I8872,J8872,0,"Actual360","Simple","Annual","Annual","Annual")</f>
        <v>QSObject:Swap:w1~swap.8870:1462</v>
      </c>
      <c r="F8872" s="6" t="str">
        <f>_xll.QS.TRADE.CREATE("trade.8870",E8872,A8872,"Receive")</f>
        <v>QSObject:SwapTrade:w1~trade.8870:22874</v>
      </c>
      <c r="G8872" s="3">
        <f>_xll.QS.EVALUATE(C8872,F8872)</f>
        <v>43483.708878737823</v>
      </c>
      <c r="H8872" s="5" t="s">
        <v>8913</v>
      </c>
      <c r="I8872" s="7">
        <v>1887000</v>
      </c>
      <c r="J8872" s="8">
        <v>3.7000000000000012E-2</v>
      </c>
    </row>
    <row r="8873" spans="1:10" x14ac:dyDescent="0.25">
      <c r="A8873" s="5" t="s">
        <v>8907</v>
      </c>
      <c r="B8873" s="5" t="s">
        <v>10740</v>
      </c>
      <c r="C8873" s="6" t="str">
        <f>_xll.QS.CONTEXT.CREATE("market.8871",A8873,"USD","SOFR")</f>
        <v>QSObject:PricingContext:w1~market.8871:1461</v>
      </c>
      <c r="D8873" s="6" t="str">
        <f>_xll.QS.CONTEXT.ADD.CURVE(C8873,"SOFR",$K$2:$K$7,$L$2:$L$7,,,"Actual360","LogLinear",TRUE)</f>
        <v>QSObject:ContextInput:w1~input.qs_context_add_curve.2359132437744.8872.3.0:34119</v>
      </c>
      <c r="E8873" s="6" t="str">
        <f>_xll.QS.INSTRUMENT.SWAP("swap.8871",H8873,B8873,"USD","SOFR",I8873,J8873,0,"Actual360","Simple","Annual","Annual","Annual")</f>
        <v>QSObject:Swap:w1~swap.8871:1460</v>
      </c>
      <c r="F8873" s="6" t="str">
        <f>_xll.QS.TRADE.CREATE("trade.8871",E8873,A8873,"Receive")</f>
        <v>QSObject:SwapTrade:w1~trade.8871:22873</v>
      </c>
      <c r="G8873" s="3">
        <f>_xll.QS.EVALUATE(C8873,F8873)</f>
        <v>44372.876021399803</v>
      </c>
      <c r="H8873" s="5" t="s">
        <v>8914</v>
      </c>
      <c r="I8873" s="7">
        <v>1887100</v>
      </c>
      <c r="J8873" s="8">
        <v>3.7100000000000001E-2</v>
      </c>
    </row>
    <row r="8874" spans="1:10" x14ac:dyDescent="0.25">
      <c r="A8874" s="5" t="s">
        <v>8908</v>
      </c>
      <c r="B8874" s="5" t="s">
        <v>10741</v>
      </c>
      <c r="C8874" s="6" t="str">
        <f>_xll.QS.CONTEXT.CREATE("market.8872",A8874,"USD","SOFR")</f>
        <v>QSObject:PricingContext:w1~market.8872:1459</v>
      </c>
      <c r="D8874" s="6" t="str">
        <f>_xll.QS.CONTEXT.ADD.CURVE(C8874,"SOFR",$K$2:$K$7,$L$2:$L$7,,,"Actual360","LogLinear",TRUE)</f>
        <v>QSObject:ContextInput:w1~input.qs_context_add_curve.2359132437744.8873.3.0:37008</v>
      </c>
      <c r="E8874" s="6" t="str">
        <f>_xll.QS.INSTRUMENT.SWAP("swap.8872",H8874,B8874,"USD","SOFR",I8874,J8874,0,"Actual360","Simple","Annual","Annual","Annual")</f>
        <v>QSObject:Swap:w1~swap.8872:1458</v>
      </c>
      <c r="F8874" s="6" t="str">
        <f>_xll.QS.TRADE.CREATE("trade.8872",E8874,A8874,"Receive")</f>
        <v>QSObject:SwapTrade:w1~trade.8872:22218</v>
      </c>
      <c r="G8874" s="3">
        <f>_xll.QS.EVALUATE(C8874,F8874)</f>
        <v>45243.705748162676</v>
      </c>
      <c r="H8874" s="5" t="s">
        <v>8915</v>
      </c>
      <c r="I8874" s="7">
        <v>1887200</v>
      </c>
      <c r="J8874" s="8">
        <v>3.7199999999999997E-2</v>
      </c>
    </row>
    <row r="8875" spans="1:10" x14ac:dyDescent="0.25">
      <c r="A8875" s="5" t="s">
        <v>8909</v>
      </c>
      <c r="B8875" s="5" t="s">
        <v>10742</v>
      </c>
      <c r="C8875" s="6" t="str">
        <f>_xll.QS.CONTEXT.CREATE("market.8873",A8875,"USD","SOFR")</f>
        <v>QSObject:PricingContext:w1~market.8873:1457</v>
      </c>
      <c r="D8875" s="6" t="str">
        <f>_xll.QS.CONTEXT.ADD.CURVE(C8875,"SOFR",$K$2:$K$7,$L$2:$L$7,,,"Actual360","LogLinear",TRUE)</f>
        <v>QSObject:ContextInput:w1~input.qs_context_add_curve.2359132437744.8874.3.0:32986</v>
      </c>
      <c r="E8875" s="6" t="str">
        <f>_xll.QS.INSTRUMENT.SWAP("swap.8873",H8875,B8875,"USD","SOFR",I8875,J8875,0,"Actual360","Simple","Annual","Annual","Annual")</f>
        <v>QSObject:Swap:w1~swap.8873:1456</v>
      </c>
      <c r="F8875" s="6" t="str">
        <f>_xll.QS.TRADE.CREATE("trade.8873",E8875,A8875,"Receive")</f>
        <v>QSObject:SwapTrade:w1~trade.8873:22872</v>
      </c>
      <c r="G8875" s="3">
        <f>_xll.QS.EVALUATE(C8875,F8875)</f>
        <v>46041.413085498978</v>
      </c>
      <c r="H8875" s="5" t="s">
        <v>8916</v>
      </c>
      <c r="I8875" s="7">
        <v>1887300</v>
      </c>
      <c r="J8875" s="8">
        <v>3.73E-2</v>
      </c>
    </row>
    <row r="8876" spans="1:10" x14ac:dyDescent="0.25">
      <c r="A8876" s="5" t="s">
        <v>8910</v>
      </c>
      <c r="B8876" s="5" t="s">
        <v>10743</v>
      </c>
      <c r="C8876" s="6" t="str">
        <f>_xll.QS.CONTEXT.CREATE("market.8874",A8876,"USD","SOFR")</f>
        <v>QSObject:PricingContext:w1~market.8874:1455</v>
      </c>
      <c r="D8876" s="6" t="str">
        <f>_xll.QS.CONTEXT.ADD.CURVE(C8876,"SOFR",$K$2:$K$7,$L$2:$L$7,,,"Actual360","LogLinear",TRUE)</f>
        <v>QSObject:ContextInput:w1~input.qs_context_add_curve.2359132437744.8875.3.0:38799</v>
      </c>
      <c r="E8876" s="6" t="str">
        <f>_xll.QS.INSTRUMENT.SWAP("swap.8874",H8876,B8876,"USD","SOFR",I8876,J8876,0,"Actual360","Simple","Annual","Annual","Annual")</f>
        <v>QSObject:Swap:w1~swap.8874:1454</v>
      </c>
      <c r="F8876" s="6" t="str">
        <f>_xll.QS.TRADE.CREATE("trade.8874",E8876,A8876,"Receive")</f>
        <v>QSObject:SwapTrade:w1~trade.8874:22217</v>
      </c>
      <c r="G8876" s="3">
        <f>_xll.QS.EVALUATE(C8876,F8876)</f>
        <v>46779.13533529728</v>
      </c>
      <c r="H8876" s="5" t="s">
        <v>8917</v>
      </c>
      <c r="I8876" s="7">
        <v>1887400</v>
      </c>
      <c r="J8876" s="8">
        <v>3.7400000000000003E-2</v>
      </c>
    </row>
    <row r="8877" spans="1:10" x14ac:dyDescent="0.25">
      <c r="A8877" s="5" t="s">
        <v>8911</v>
      </c>
      <c r="B8877" s="5" t="s">
        <v>10744</v>
      </c>
      <c r="C8877" s="6" t="str">
        <f>_xll.QS.CONTEXT.CREATE("market.8875",A8877,"USD","SOFR")</f>
        <v>QSObject:PricingContext:w1~market.8875:1453</v>
      </c>
      <c r="D8877" s="6" t="str">
        <f>_xll.QS.CONTEXT.ADD.CURVE(C8877,"SOFR",$K$2:$K$7,$L$2:$L$7,,,"Actual360","LogLinear",TRUE)</f>
        <v>QSObject:ContextInput:w1~input.qs_context_add_curve.2359132437744.8876.3.0:34118</v>
      </c>
      <c r="E8877" s="6" t="str">
        <f>_xll.QS.INSTRUMENT.SWAP("swap.8875",H8877,B8877,"USD","SOFR",I8877,J8877,0,"Actual360","Simple","Annual","Annual","Annual")</f>
        <v>QSObject:Swap:w1~swap.8875:1452</v>
      </c>
      <c r="F8877" s="6" t="str">
        <f>_xll.QS.TRADE.CREATE("trade.8875",E8877,A8877,"Receive")</f>
        <v>QSObject:SwapTrade:w1~trade.8875:22871</v>
      </c>
      <c r="G8877" s="3">
        <f>_xll.QS.EVALUATE(C8877,F8877)</f>
        <v>47510.638011912393</v>
      </c>
      <c r="H8877" s="5" t="s">
        <v>8918</v>
      </c>
      <c r="I8877" s="7">
        <v>1887500</v>
      </c>
      <c r="J8877" s="8">
        <v>3.7500000000000012E-2</v>
      </c>
    </row>
    <row r="8878" spans="1:10" x14ac:dyDescent="0.25">
      <c r="A8878" s="5" t="s">
        <v>8912</v>
      </c>
      <c r="B8878" s="5" t="s">
        <v>10745</v>
      </c>
      <c r="C8878" s="6" t="str">
        <f>_xll.QS.CONTEXT.CREATE("market.8876",A8878,"USD","SOFR")</f>
        <v>QSObject:PricingContext:w1~market.8876:1451</v>
      </c>
      <c r="D8878" s="6" t="str">
        <f>_xll.QS.CONTEXT.ADD.CURVE(C8878,"SOFR",$K$2:$K$7,$L$2:$L$7,,,"Actual360","LogLinear",TRUE)</f>
        <v>QSObject:ContextInput:w1~input.qs_context_add_curve.2359132437744.8877.3.0:34117</v>
      </c>
      <c r="E8878" s="6" t="str">
        <f>_xll.QS.INSTRUMENT.SWAP("swap.8876",H8878,B8878,"USD","SOFR",I8878,J8878,0,"Actual360","Simple","Annual","Annual","Annual")</f>
        <v>QSObject:Swap:w1~swap.8876:1450</v>
      </c>
      <c r="F8878" s="6" t="str">
        <f>_xll.QS.TRADE.CREATE("trade.8876",E8878,A8878,"Receive")</f>
        <v>QSObject:SwapTrade:w1~trade.8876:22216</v>
      </c>
      <c r="G8878" s="3">
        <f>_xll.QS.EVALUATE(C8878,F8878)</f>
        <v>48464.405126648802</v>
      </c>
      <c r="H8878" s="5" t="s">
        <v>8919</v>
      </c>
      <c r="I8878" s="7">
        <v>1887600</v>
      </c>
      <c r="J8878" s="8">
        <v>3.7600000000000001E-2</v>
      </c>
    </row>
    <row r="8879" spans="1:10" x14ac:dyDescent="0.25">
      <c r="A8879" s="5" t="s">
        <v>8913</v>
      </c>
      <c r="B8879" s="5" t="s">
        <v>10746</v>
      </c>
      <c r="C8879" s="6" t="str">
        <f>_xll.QS.CONTEXT.CREATE("market.8877",A8879,"USD","SOFR")</f>
        <v>QSObject:PricingContext:w1~market.8877:1449</v>
      </c>
      <c r="D8879" s="6" t="str">
        <f>_xll.QS.CONTEXT.ADD.CURVE(C8879,"SOFR",$K$2:$K$7,$L$2:$L$7,,,"Actual360","LogLinear",TRUE)</f>
        <v>QSObject:ContextInput:w1~input.qs_context_add_curve.2359132437744.8878.3.0:38798</v>
      </c>
      <c r="E8879" s="6" t="str">
        <f>_xll.QS.INSTRUMENT.SWAP("swap.8877",H8879,B8879,"USD","SOFR",I8879,J8879,0,"Actual360","Simple","Annual","Annual","Annual")</f>
        <v>QSObject:Swap:w1~swap.8877:1448</v>
      </c>
      <c r="F8879" s="6" t="str">
        <f>_xll.QS.TRADE.CREATE("trade.8877",E8879,A8879,"Receive")</f>
        <v>QSObject:SwapTrade:w1~trade.8877:22215</v>
      </c>
      <c r="G8879" s="3">
        <f>_xll.QS.EVALUATE(C8879,F8879)</f>
        <v>49384.983583931993</v>
      </c>
      <c r="H8879" s="5" t="s">
        <v>8920</v>
      </c>
      <c r="I8879" s="7">
        <v>1887700</v>
      </c>
      <c r="J8879" s="8">
        <v>3.7699999999999997E-2</v>
      </c>
    </row>
    <row r="8880" spans="1:10" x14ac:dyDescent="0.25">
      <c r="A8880" s="5" t="s">
        <v>8914</v>
      </c>
      <c r="B8880" s="5" t="s">
        <v>10747</v>
      </c>
      <c r="C8880" s="6" t="str">
        <f>_xll.QS.CONTEXT.CREATE("market.8878",A8880,"USD","SOFR")</f>
        <v>QSObject:PricingContext:w1~market.8878:1447</v>
      </c>
      <c r="D8880" s="6" t="str">
        <f>_xll.QS.CONTEXT.ADD.CURVE(C8880,"SOFR",$K$2:$K$7,$L$2:$L$7,,,"Actual360","LogLinear",TRUE)</f>
        <v>QSObject:ContextInput:w1~input.qs_context_add_curve.2359132437744.8879.3.0:34116</v>
      </c>
      <c r="E8880" s="6" t="str">
        <f>_xll.QS.INSTRUMENT.SWAP("swap.8878",H8880,B8880,"USD","SOFR",I8880,J8880,0,"Actual360","Simple","Annual","Annual","Annual")</f>
        <v>QSObject:Swap:w1~swap.8878:1446</v>
      </c>
      <c r="F8880" s="6" t="str">
        <f>_xll.QS.TRADE.CREATE("trade.8878",E8880,A8880,"Receive")</f>
        <v>QSObject:SwapTrade:w1~trade.8878:22870</v>
      </c>
      <c r="G8880" s="3">
        <f>_xll.QS.EVALUATE(C8880,F8880)</f>
        <v>50396.469816271368</v>
      </c>
      <c r="H8880" s="5" t="s">
        <v>8921</v>
      </c>
      <c r="I8880" s="7">
        <v>1887800</v>
      </c>
      <c r="J8880" s="8">
        <v>3.78E-2</v>
      </c>
    </row>
    <row r="8881" spans="1:10" x14ac:dyDescent="0.25">
      <c r="A8881" s="5" t="s">
        <v>8915</v>
      </c>
      <c r="B8881" s="5" t="s">
        <v>10748</v>
      </c>
      <c r="C8881" s="6" t="str">
        <f>_xll.QS.CONTEXT.CREATE("market.8879",A8881,"USD","SOFR")</f>
        <v>QSObject:PricingContext:w1~market.8879:1445</v>
      </c>
      <c r="D8881" s="6" t="str">
        <f>_xll.QS.CONTEXT.ADD.CURVE(C8881,"SOFR",$K$2:$K$7,$L$2:$L$7,,,"Actual360","LogLinear",TRUE)</f>
        <v>QSObject:ContextInput:w1~input.qs_context_add_curve.2359132437744.8880.3.0:38797</v>
      </c>
      <c r="E8881" s="6" t="str">
        <f>_xll.QS.INSTRUMENT.SWAP("swap.8879",H8881,B8881,"USD","SOFR",I8881,J8881,0,"Actual360","Simple","Annual","Annual","Annual")</f>
        <v>QSObject:Swap:w1~swap.8879:1444</v>
      </c>
      <c r="F8881" s="6" t="str">
        <f>_xll.QS.TRADE.CREATE("trade.8879",E8881,A8881,"Receive")</f>
        <v>QSObject:SwapTrade:w1~trade.8879:22869</v>
      </c>
      <c r="G8881" s="3">
        <f>_xll.QS.EVALUATE(C8881,F8881)</f>
        <v>51351.287181668966</v>
      </c>
      <c r="H8881" s="5" t="s">
        <v>8922</v>
      </c>
      <c r="I8881" s="7">
        <v>1887900</v>
      </c>
      <c r="J8881" s="8">
        <v>3.7900000000000003E-2</v>
      </c>
    </row>
    <row r="8882" spans="1:10" x14ac:dyDescent="0.25">
      <c r="A8882" s="5" t="s">
        <v>8916</v>
      </c>
      <c r="B8882" s="5" t="s">
        <v>10749</v>
      </c>
      <c r="C8882" s="6" t="str">
        <f>_xll.QS.CONTEXT.CREATE("market.8880",A8882,"USD","SOFR")</f>
        <v>QSObject:PricingContext:w1~market.8880:1443</v>
      </c>
      <c r="D8882" s="6" t="str">
        <f>_xll.QS.CONTEXT.ADD.CURVE(C8882,"SOFR",$K$2:$K$7,$L$2:$L$7,,,"Actual360","LogLinear",TRUE)</f>
        <v>QSObject:ContextInput:w1~input.qs_context_add_curve.2359132437744.8881.3.0:35353</v>
      </c>
      <c r="E8882" s="6" t="str">
        <f>_xll.QS.INSTRUMENT.SWAP("swap.8880",H8882,B8882,"USD","SOFR",I8882,J8882,0,"Actual360","Simple","Annual","Annual","Annual")</f>
        <v>QSObject:Swap:w1~swap.8880:1442</v>
      </c>
      <c r="F8882" s="6" t="str">
        <f>_xll.QS.TRADE.CREATE("trade.8880",E8882,A8882,"Receive")</f>
        <v>QSObject:SwapTrade:w1~trade.8880:22868</v>
      </c>
      <c r="G8882" s="3">
        <f>_xll.QS.EVALUATE(C8882,F8882)</f>
        <v>52152.674396541872</v>
      </c>
      <c r="H8882" s="5" t="s">
        <v>8923</v>
      </c>
      <c r="I8882" s="7">
        <v>1888000</v>
      </c>
      <c r="J8882" s="8">
        <v>3.8000000000000013E-2</v>
      </c>
    </row>
    <row r="8883" spans="1:10" x14ac:dyDescent="0.25">
      <c r="A8883" s="5" t="s">
        <v>8917</v>
      </c>
      <c r="B8883" s="5" t="s">
        <v>10750</v>
      </c>
      <c r="C8883" s="6" t="str">
        <f>_xll.QS.CONTEXT.CREATE("market.8881",A8883,"USD","SOFR")</f>
        <v>QSObject:PricingContext:w1~market.8881:1441</v>
      </c>
      <c r="D8883" s="6" t="str">
        <f>_xll.QS.CONTEXT.ADD.CURVE(C8883,"SOFR",$K$2:$K$7,$L$2:$L$7,,,"Actual360","LogLinear",TRUE)</f>
        <v>QSObject:ContextInput:w1~input.qs_context_add_curve.2359132437744.8882.3.0:38796</v>
      </c>
      <c r="E8883" s="6" t="str">
        <f>_xll.QS.INSTRUMENT.SWAP("swap.8881",H8883,B8883,"USD","SOFR",I8883,J8883,0,"Actual360","Simple","Annual","Annual","Annual")</f>
        <v>QSObject:Swap:w1~swap.8881:1440</v>
      </c>
      <c r="F8883" s="6" t="str">
        <f>_xll.QS.TRADE.CREATE("trade.8881",E8883,A8883,"Receive")</f>
        <v>QSObject:SwapTrade:w1~trade.8881:22867</v>
      </c>
      <c r="G8883" s="3">
        <f>_xll.QS.EVALUATE(C8883,F8883)</f>
        <v>52883.80873097264</v>
      </c>
      <c r="H8883" s="5" t="s">
        <v>8924</v>
      </c>
      <c r="I8883" s="7">
        <v>1888100</v>
      </c>
      <c r="J8883" s="8">
        <v>3.8100000000000002E-2</v>
      </c>
    </row>
    <row r="8884" spans="1:10" x14ac:dyDescent="0.25">
      <c r="A8884" s="5" t="s">
        <v>8918</v>
      </c>
      <c r="B8884" s="5" t="s">
        <v>10751</v>
      </c>
      <c r="C8884" s="6" t="str">
        <f>_xll.QS.CONTEXT.CREATE("market.8882",A8884,"USD","SOFR")</f>
        <v>QSObject:PricingContext:w1~market.8882:1439</v>
      </c>
      <c r="D8884" s="6" t="str">
        <f>_xll.QS.CONTEXT.ADD.CURVE(C8884,"SOFR",$K$2:$K$7,$L$2:$L$7,,,"Actual360","LogLinear",TRUE)</f>
        <v>QSObject:ContextInput:w1~input.qs_context_add_curve.2359132437744.8883.3.0:36474</v>
      </c>
      <c r="E8884" s="6" t="str">
        <f>_xll.QS.INSTRUMENT.SWAP("swap.8882",H8884,B8884,"USD","SOFR",I8884,J8884,0,"Actual360","Simple","Annual","Annual","Annual")</f>
        <v>QSObject:Swap:w1~swap.8882:1438</v>
      </c>
      <c r="F8884" s="6" t="str">
        <f>_xll.QS.TRADE.CREATE("trade.8882",E8884,A8884,"Receive")</f>
        <v>QSObject:SwapTrade:w1~trade.8882:22866</v>
      </c>
      <c r="G8884" s="3">
        <f>_xll.QS.EVALUATE(C8884,F8884)</f>
        <v>53625.350488706681</v>
      </c>
      <c r="H8884" s="5" t="s">
        <v>8925</v>
      </c>
      <c r="I8884" s="7">
        <v>1888200</v>
      </c>
      <c r="J8884" s="8">
        <v>3.8199999999999998E-2</v>
      </c>
    </row>
    <row r="8885" spans="1:10" x14ac:dyDescent="0.25">
      <c r="A8885" s="5" t="s">
        <v>8919</v>
      </c>
      <c r="B8885" s="5" t="s">
        <v>10752</v>
      </c>
      <c r="C8885" s="6" t="str">
        <f>_xll.QS.CONTEXT.CREATE("market.8883",A8885,"USD","SOFR")</f>
        <v>QSObject:PricingContext:w1~market.8883:1437</v>
      </c>
      <c r="D8885" s="6" t="str">
        <f>_xll.QS.CONTEXT.ADD.CURVE(C8885,"SOFR",$K$2:$K$7,$L$2:$L$7,,,"Actual360","LogLinear",TRUE)</f>
        <v>QSObject:ContextInput:w1~input.qs_context_add_curve.2359132437744.8884.3.0:34115</v>
      </c>
      <c r="E8885" s="6" t="str">
        <f>_xll.QS.INSTRUMENT.SWAP("swap.8883",H8885,B8885,"USD","SOFR",I8885,J8885,0,"Actual360","Simple","Annual","Annual","Annual")</f>
        <v>QSObject:Swap:w1~swap.8883:1436</v>
      </c>
      <c r="F8885" s="6" t="str">
        <f>_xll.QS.TRADE.CREATE("trade.8883",E8885,A8885,"Receive")</f>
        <v>QSObject:SwapTrade:w1~trade.8883:22865</v>
      </c>
      <c r="G8885" s="3">
        <f>_xll.QS.EVALUATE(C8885,F8885)</f>
        <v>54579.273338172876</v>
      </c>
      <c r="H8885" s="5" t="s">
        <v>8926</v>
      </c>
      <c r="I8885" s="7">
        <v>1888300</v>
      </c>
      <c r="J8885" s="8">
        <v>3.8300000000000001E-2</v>
      </c>
    </row>
    <row r="8886" spans="1:10" x14ac:dyDescent="0.25">
      <c r="A8886" s="5" t="s">
        <v>8920</v>
      </c>
      <c r="B8886" s="5" t="s">
        <v>10753</v>
      </c>
      <c r="C8886" s="6" t="str">
        <f>_xll.QS.CONTEXT.CREATE("market.8884",A8886,"USD","SOFR")</f>
        <v>QSObject:PricingContext:w1~market.8884:1435</v>
      </c>
      <c r="D8886" s="6" t="str">
        <f>_xll.QS.CONTEXT.ADD.CURVE(C8886,"SOFR",$K$2:$K$7,$L$2:$L$7,,,"Actual360","LogLinear",TRUE)</f>
        <v>QSObject:ContextInput:w1~input.qs_context_add_curve.2359132437744.8885.3.0:34114</v>
      </c>
      <c r="E8886" s="6" t="str">
        <f>_xll.QS.INSTRUMENT.SWAP("swap.8884",H8886,B8886,"USD","SOFR",I8886,J8886,0,"Actual360","Simple","Annual","Annual","Annual")</f>
        <v>QSObject:Swap:w1~swap.8884:1434</v>
      </c>
      <c r="F8886" s="6" t="str">
        <f>_xll.QS.TRADE.CREATE("trade.8884",E8886,A8886,"Receive")</f>
        <v>QSObject:SwapTrade:w1~trade.8884:22214</v>
      </c>
      <c r="G8886" s="3">
        <f>_xll.QS.EVALUATE(C8886,F8886)</f>
        <v>55498.629498558912</v>
      </c>
      <c r="H8886" s="5" t="s">
        <v>8927</v>
      </c>
      <c r="I8886" s="7">
        <v>1888400</v>
      </c>
      <c r="J8886" s="8">
        <v>3.8399999999999997E-2</v>
      </c>
    </row>
    <row r="8887" spans="1:10" x14ac:dyDescent="0.25">
      <c r="A8887" s="5" t="s">
        <v>8921</v>
      </c>
      <c r="B8887" s="5" t="s">
        <v>10754</v>
      </c>
      <c r="C8887" s="6" t="str">
        <f>_xll.QS.CONTEXT.CREATE("market.8885",A8887,"USD","SOFR")</f>
        <v>QSObject:PricingContext:w1~market.8885:1433</v>
      </c>
      <c r="D8887" s="6" t="str">
        <f>_xll.QS.CONTEXT.ADD.CURVE(C8887,"SOFR",$K$2:$K$7,$L$2:$L$7,,,"Actual360","LogLinear",TRUE)</f>
        <v>QSObject:ContextInput:w1~input.qs_context_add_curve.2359132437744.8886.3.0:34113</v>
      </c>
      <c r="E8887" s="6" t="str">
        <f>_xll.QS.INSTRUMENT.SWAP("swap.8885",H8887,B8887,"USD","SOFR",I8887,J8887,0,"Actual360","Simple","Annual","Annual","Annual")</f>
        <v>QSObject:Swap:w1~swap.8885:1432</v>
      </c>
      <c r="F8887" s="6" t="str">
        <f>_xll.QS.TRADE.CREATE("trade.8885",E8887,A8887,"Receive")</f>
        <v>QSObject:SwapTrade:w1~trade.8885:22213</v>
      </c>
      <c r="G8887" s="3">
        <f>_xll.QS.EVALUATE(C8887,F8887)</f>
        <v>56510.572575221289</v>
      </c>
      <c r="H8887" s="5" t="s">
        <v>8928</v>
      </c>
      <c r="I8887" s="7">
        <v>1888500</v>
      </c>
      <c r="J8887" s="8">
        <v>3.8500000000000013E-2</v>
      </c>
    </row>
    <row r="8888" spans="1:10" x14ac:dyDescent="0.25">
      <c r="A8888" s="5" t="s">
        <v>8922</v>
      </c>
      <c r="B8888" s="5" t="s">
        <v>10755</v>
      </c>
      <c r="C8888" s="6" t="str">
        <f>_xll.QS.CONTEXT.CREATE("market.8886",A8888,"USD","SOFR")</f>
        <v>QSObject:PricingContext:w1~market.8886:1431</v>
      </c>
      <c r="D8888" s="6" t="str">
        <f>_xll.QS.CONTEXT.ADD.CURVE(C8888,"SOFR",$K$2:$K$7,$L$2:$L$7,,,"Actual360","LogLinear",TRUE)</f>
        <v>QSObject:ContextInput:w1~input.qs_context_add_curve.2359132437744.8887.3.0:35927</v>
      </c>
      <c r="E8888" s="6" t="str">
        <f>_xll.QS.INSTRUMENT.SWAP("swap.8886",H8888,B8888,"USD","SOFR",I8888,J8888,0,"Actual360","Simple","Annual","Annual","Annual")</f>
        <v>QSObject:Swap:w1~swap.8886:1430</v>
      </c>
      <c r="F8888" s="6" t="str">
        <f>_xll.QS.TRADE.CREATE("trade.8886",E8888,A8888,"Receive")</f>
        <v>QSObject:SwapTrade:w1~trade.8886:22864</v>
      </c>
      <c r="G8888" s="3">
        <f>_xll.QS.EVALUATE(C8888,F8888)</f>
        <v>57466.7348442742</v>
      </c>
      <c r="H8888" s="5" t="s">
        <v>8929</v>
      </c>
      <c r="I8888" s="7">
        <v>1888600</v>
      </c>
      <c r="J8888" s="8">
        <v>3.8600000000000002E-2</v>
      </c>
    </row>
    <row r="8889" spans="1:10" x14ac:dyDescent="0.25">
      <c r="A8889" s="5" t="s">
        <v>8923</v>
      </c>
      <c r="B8889" s="5" t="s">
        <v>10756</v>
      </c>
      <c r="C8889" s="6" t="str">
        <f>_xll.QS.CONTEXT.CREATE("market.8887",A8889,"USD","SOFR")</f>
        <v>QSObject:PricingContext:w1~market.8887:1429</v>
      </c>
      <c r="D8889" s="6" t="str">
        <f>_xll.QS.CONTEXT.ADD.CURVE(C8889,"SOFR",$K$2:$K$7,$L$2:$L$7,,,"Actual360","LogLinear",TRUE)</f>
        <v>QSObject:ContextInput:w1~input.qs_context_add_curve.2359132437744.8888.3.0:32985</v>
      </c>
      <c r="E8889" s="6" t="str">
        <f>_xll.QS.INSTRUMENT.SWAP("swap.8887",H8889,B8889,"USD","SOFR",I8889,J8889,0,"Actual360","Simple","Annual","Annual","Annual")</f>
        <v>QSObject:Swap:w1~swap.8887:1428</v>
      </c>
      <c r="F8889" s="6" t="str">
        <f>_xll.QS.TRADE.CREATE("trade.8887",E8889,A8889,"Receive")</f>
        <v>QSObject:SwapTrade:w1~trade.8887:22212</v>
      </c>
      <c r="G8889" s="3">
        <f>_xll.QS.EVALUATE(C8889,F8889)</f>
        <v>58268.92895506847</v>
      </c>
      <c r="H8889" s="5" t="s">
        <v>8930</v>
      </c>
      <c r="I8889" s="7">
        <v>1888700</v>
      </c>
      <c r="J8889" s="8">
        <v>3.8700000000000012E-2</v>
      </c>
    </row>
    <row r="8890" spans="1:10" x14ac:dyDescent="0.25">
      <c r="A8890" s="5" t="s">
        <v>8924</v>
      </c>
      <c r="B8890" s="5" t="s">
        <v>10757</v>
      </c>
      <c r="C8890" s="6" t="str">
        <f>_xll.QS.CONTEXT.CREATE("market.8888",A8890,"USD","SOFR")</f>
        <v>QSObject:PricingContext:w1~market.8888:1427</v>
      </c>
      <c r="D8890" s="6" t="str">
        <f>_xll.QS.CONTEXT.ADD.CURVE(C8890,"SOFR",$K$2:$K$7,$L$2:$L$7,,,"Actual360","LogLinear",TRUE)</f>
        <v>QSObject:ContextInput:w1~input.qs_context_add_curve.2359132437744.8889.3.0:39349</v>
      </c>
      <c r="E8890" s="6" t="str">
        <f>_xll.QS.INSTRUMENT.SWAP("swap.8888",H8890,B8890,"USD","SOFR",I8890,J8890,0,"Actual360","Simple","Annual","Annual","Annual")</f>
        <v>QSObject:Swap:w1~swap.8888:1426</v>
      </c>
      <c r="F8890" s="6" t="str">
        <f>_xll.QS.TRADE.CREATE("trade.8888",E8890,A8890,"Receive")</f>
        <v>QSObject:SwapTrade:w1~trade.8888:22211</v>
      </c>
      <c r="G8890" s="3">
        <f>_xll.QS.EVALUATE(C8890,F8890)</f>
        <v>58993.471964676348</v>
      </c>
      <c r="H8890" s="5" t="s">
        <v>8931</v>
      </c>
      <c r="I8890" s="7">
        <v>1888800</v>
      </c>
      <c r="J8890" s="8">
        <v>3.8800000000000001E-2</v>
      </c>
    </row>
    <row r="8891" spans="1:10" x14ac:dyDescent="0.25">
      <c r="A8891" s="5" t="s">
        <v>8925</v>
      </c>
      <c r="B8891" s="5" t="s">
        <v>10758</v>
      </c>
      <c r="C8891" s="6" t="str">
        <f>_xll.QS.CONTEXT.CREATE("market.8889",A8891,"USD","SOFR")</f>
        <v>QSObject:PricingContext:w1~market.8889:1425</v>
      </c>
      <c r="D8891" s="6" t="str">
        <f>_xll.QS.CONTEXT.ADD.CURVE(C8891,"SOFR",$K$2:$K$7,$L$2:$L$7,,,"Actual360","LogLinear",TRUE)</f>
        <v>QSObject:ContextInput:w1~input.qs_context_add_curve.2359132437744.8890.3.0:35352</v>
      </c>
      <c r="E8891" s="6" t="str">
        <f>_xll.QS.INSTRUMENT.SWAP("swap.8889",H8891,B8891,"USD","SOFR",I8891,J8891,0,"Actual360","Simple","Annual","Annual","Annual")</f>
        <v>QSObject:Swap:w1~swap.8889:1424</v>
      </c>
      <c r="F8891" s="6" t="str">
        <f>_xll.QS.TRADE.CREATE("trade.8889",E8891,A8891,"Receive")</f>
        <v>QSObject:SwapTrade:w1~trade.8889:22210</v>
      </c>
      <c r="G8891" s="3">
        <f>_xll.QS.EVALUATE(C8891,F8891)</f>
        <v>59745.065294862325</v>
      </c>
      <c r="H8891" s="5" t="s">
        <v>8932</v>
      </c>
      <c r="I8891" s="7">
        <v>1888900</v>
      </c>
      <c r="J8891" s="8">
        <v>3.8899999999999997E-2</v>
      </c>
    </row>
    <row r="8892" spans="1:10" x14ac:dyDescent="0.25">
      <c r="A8892" s="5" t="s">
        <v>8926</v>
      </c>
      <c r="B8892" s="5" t="s">
        <v>10759</v>
      </c>
      <c r="C8892" s="6" t="str">
        <f>_xll.QS.CONTEXT.CREATE("market.8890",A8892,"USD","SOFR")</f>
        <v>QSObject:PricingContext:w1~market.8890:1423</v>
      </c>
      <c r="D8892" s="6" t="str">
        <f>_xll.QS.CONTEXT.ADD.CURVE(C8892,"SOFR",$K$2:$K$7,$L$2:$L$7,,,"Actual360","LogLinear",TRUE)</f>
        <v>QSObject:ContextInput:w1~input.qs_context_add_curve.2359132437744.8891.3.0:32315</v>
      </c>
      <c r="E8892" s="6" t="str">
        <f>_xll.QS.INSTRUMENT.SWAP("swap.8890",H8892,B8892,"USD","SOFR",I8892,J8892,0,"Actual360","Simple","Annual","Annual","Annual")</f>
        <v>QSObject:Swap:w1~swap.8890:1422</v>
      </c>
      <c r="F8892" s="6" t="str">
        <f>_xll.QS.TRADE.CREATE("trade.8890",E8892,A8892,"Receive")</f>
        <v>QSObject:SwapTrade:w1~trade.8890:22863</v>
      </c>
      <c r="G8892" s="3">
        <f>_xll.QS.EVALUATE(C8892,F8892)</f>
        <v>60701.408003949895</v>
      </c>
      <c r="H8892" s="5" t="s">
        <v>8933</v>
      </c>
      <c r="I8892" s="7">
        <v>1889000</v>
      </c>
      <c r="J8892" s="8">
        <v>3.9000000000000007E-2</v>
      </c>
    </row>
    <row r="8893" spans="1:10" x14ac:dyDescent="0.25">
      <c r="A8893" s="5" t="s">
        <v>8927</v>
      </c>
      <c r="B8893" s="5" t="s">
        <v>10760</v>
      </c>
      <c r="C8893" s="6" t="str">
        <f>_xll.QS.CONTEXT.CREATE("market.8891",A8893,"USD","SOFR")</f>
        <v>QSObject:PricingContext:w1~market.8891:1421</v>
      </c>
      <c r="D8893" s="6" t="str">
        <f>_xll.QS.CONTEXT.ADD.CURVE(C8893,"SOFR",$K$2:$K$7,$L$2:$L$7,,,"Actual360","LogLinear",TRUE)</f>
        <v>QSObject:ContextInput:w1~input.qs_context_add_curve.2359132437744.8892.3.0:34740</v>
      </c>
      <c r="E8893" s="6" t="str">
        <f>_xll.QS.INSTRUMENT.SWAP("swap.8891",H8893,B8893,"USD","SOFR",I8893,J8893,0,"Actual360","Simple","Annual","Annual","Annual")</f>
        <v>QSObject:Swap:w1~swap.8891:1420</v>
      </c>
      <c r="F8893" s="6" t="str">
        <f>_xll.QS.TRADE.CREATE("trade.8891",E8893,A8893,"Receive")</f>
        <v>QSObject:SwapTrade:w1~trade.8891:22209</v>
      </c>
      <c r="G8893" s="3">
        <f>_xll.QS.EVALUATE(C8893,F8893)</f>
        <v>61617.066791566242</v>
      </c>
      <c r="H8893" s="5" t="s">
        <v>8934</v>
      </c>
      <c r="I8893" s="7">
        <v>1889100</v>
      </c>
      <c r="J8893" s="8">
        <v>3.9100000000000003E-2</v>
      </c>
    </row>
    <row r="8894" spans="1:10" x14ac:dyDescent="0.25">
      <c r="A8894" s="5" t="s">
        <v>8928</v>
      </c>
      <c r="B8894" s="5" t="s">
        <v>10761</v>
      </c>
      <c r="C8894" s="6" t="str">
        <f>_xll.QS.CONTEXT.CREATE("market.8892",A8894,"USD","SOFR")</f>
        <v>QSObject:PricingContext:w1~market.8892:1419</v>
      </c>
      <c r="D8894" s="6" t="str">
        <f>_xll.QS.CONTEXT.ADD.CURVE(C8894,"SOFR",$K$2:$K$7,$L$2:$L$7,,,"Actual360","LogLinear",TRUE)</f>
        <v>QSObject:ContextInput:w1~input.qs_context_add_curve.2359132437744.8893.3.0:35351</v>
      </c>
      <c r="E8894" s="6" t="str">
        <f>_xll.QS.INSTRUMENT.SWAP("swap.8892",H8894,B8894,"USD","SOFR",I8894,J8894,0,"Actual360","Simple","Annual","Annual","Annual")</f>
        <v>QSObject:Swap:w1~swap.8892:1418</v>
      </c>
      <c r="F8894" s="6" t="str">
        <f>_xll.QS.TRADE.CREATE("trade.8892",E8894,A8894,"Receive")</f>
        <v>QSObject:SwapTrade:w1~trade.8892:22208</v>
      </c>
      <c r="G8894" s="3">
        <f>_xll.QS.EVALUATE(C8894,F8894)</f>
        <v>62629.798167411696</v>
      </c>
      <c r="H8894" s="5" t="s">
        <v>8935</v>
      </c>
      <c r="I8894" s="7">
        <v>1889200</v>
      </c>
      <c r="J8894" s="8">
        <v>3.9200000000000013E-2</v>
      </c>
    </row>
    <row r="8895" spans="1:10" x14ac:dyDescent="0.25">
      <c r="A8895" s="5" t="s">
        <v>8929</v>
      </c>
      <c r="B8895" s="5" t="s">
        <v>10762</v>
      </c>
      <c r="C8895" s="6" t="str">
        <f>_xll.QS.CONTEXT.CREATE("market.8893",A8895,"USD","SOFR")</f>
        <v>QSObject:PricingContext:w1~market.8893:1417</v>
      </c>
      <c r="D8895" s="6" t="str">
        <f>_xll.QS.CONTEXT.ADD.CURVE(C8895,"SOFR",$K$2:$K$7,$L$2:$L$7,,,"Actual360","LogLinear",TRUE)</f>
        <v>QSObject:ContextInput:w1~input.qs_context_add_curve.2359132437744.8894.3.0:35926</v>
      </c>
      <c r="E8895" s="6" t="str">
        <f>_xll.QS.INSTRUMENT.SWAP("swap.8893",H8895,B8895,"USD","SOFR",I8895,J8895,0,"Actual360","Simple","Annual","Annual","Annual")</f>
        <v>QSObject:Swap:w1~swap.8893:1416</v>
      </c>
      <c r="F8895" s="6" t="str">
        <f>_xll.QS.TRADE.CREATE("trade.8893",E8895,A8895,"Receive")</f>
        <v>QSObject:SwapTrade:w1~trade.8893:22862</v>
      </c>
      <c r="G8895" s="3">
        <f>_xll.QS.EVALUATE(C8895,F8895)</f>
        <v>63586.701711854839</v>
      </c>
      <c r="H8895" s="5" t="s">
        <v>8936</v>
      </c>
      <c r="I8895" s="7">
        <v>1889300</v>
      </c>
      <c r="J8895" s="8">
        <v>3.9300000000000002E-2</v>
      </c>
    </row>
    <row r="8896" spans="1:10" x14ac:dyDescent="0.25">
      <c r="A8896" s="5" t="s">
        <v>8930</v>
      </c>
      <c r="B8896" s="5" t="s">
        <v>10763</v>
      </c>
      <c r="C8896" s="6" t="str">
        <f>_xll.QS.CONTEXT.CREATE("market.8894",A8896,"USD","SOFR")</f>
        <v>QSObject:PricingContext:w1~market.8894:1415</v>
      </c>
      <c r="D8896" s="6" t="str">
        <f>_xll.QS.CONTEXT.ADD.CURVE(C8896,"SOFR",$K$2:$K$7,$L$2:$L$7,,,"Actual360","LogLinear",TRUE)</f>
        <v>QSObject:ContextInput:w1~input.qs_context_add_curve.2359132437744.8895.3.0:32314</v>
      </c>
      <c r="E8896" s="6" t="str">
        <f>_xll.QS.INSTRUMENT.SWAP("swap.8894",H8896,B8896,"USD","SOFR",I8896,J8896,0,"Actual360","Simple","Annual","Annual","Annual")</f>
        <v>QSObject:Swap:w1~swap.8894:1414</v>
      </c>
      <c r="F8896" s="6" t="str">
        <f>_xll.QS.TRADE.CREATE("trade.8894",E8896,A8896,"Receive")</f>
        <v>QSObject:SwapTrade:w1~trade.8894:22207</v>
      </c>
      <c r="G8896" s="3">
        <f>_xll.QS.EVALUATE(C8896,F8896)</f>
        <v>64389.465642669646</v>
      </c>
      <c r="H8896" s="5" t="s">
        <v>8937</v>
      </c>
      <c r="I8896" s="7">
        <v>1889400</v>
      </c>
      <c r="J8896" s="8">
        <v>3.9399999999999998E-2</v>
      </c>
    </row>
    <row r="8897" spans="1:10" x14ac:dyDescent="0.25">
      <c r="A8897" s="5" t="s">
        <v>8931</v>
      </c>
      <c r="B8897" s="5" t="s">
        <v>10764</v>
      </c>
      <c r="C8897" s="6" t="str">
        <f>_xll.QS.CONTEXT.CREATE("market.8895",A8897,"USD","SOFR")</f>
        <v>QSObject:PricingContext:w1~market.8895:1413</v>
      </c>
      <c r="D8897" s="6" t="str">
        <f>_xll.QS.CONTEXT.ADD.CURVE(C8897,"SOFR",$K$2:$K$7,$L$2:$L$7,,,"Actual360","LogLinear",TRUE)</f>
        <v>QSObject:ContextInput:w1~input.qs_context_add_curve.2359132437744.8896.3.0:32313</v>
      </c>
      <c r="E8897" s="6" t="str">
        <f>_xll.QS.INSTRUMENT.SWAP("swap.8895",H8897,B8897,"USD","SOFR",I8897,J8897,0,"Actual360","Simple","Annual","Annual","Annual")</f>
        <v>QSObject:Swap:w1~swap.8895:1412</v>
      </c>
      <c r="F8897" s="6" t="str">
        <f>_xll.QS.TRADE.CREATE("trade.8895",E8897,A8897,"Receive")</f>
        <v>QSObject:SwapTrade:w1~trade.8895:22206</v>
      </c>
      <c r="G8897" s="3">
        <f>_xll.QS.EVALUATE(C8897,F8897)</f>
        <v>65107.411043643799</v>
      </c>
      <c r="H8897" s="5" t="s">
        <v>8938</v>
      </c>
      <c r="I8897" s="7">
        <v>1889500</v>
      </c>
      <c r="J8897" s="8">
        <v>3.9500000000000007E-2</v>
      </c>
    </row>
    <row r="8898" spans="1:10" x14ac:dyDescent="0.25">
      <c r="A8898" s="5" t="s">
        <v>8932</v>
      </c>
      <c r="B8898" s="5" t="s">
        <v>10765</v>
      </c>
      <c r="C8898" s="6" t="str">
        <f>_xll.QS.CONTEXT.CREATE("market.8896",A8898,"USD","SOFR")</f>
        <v>QSObject:PricingContext:w1~market.8896:1411</v>
      </c>
      <c r="D8898" s="6" t="str">
        <f>_xll.QS.CONTEXT.ADD.CURVE(C8898,"SOFR",$K$2:$K$7,$L$2:$L$7,,,"Actual360","LogLinear",TRUE)</f>
        <v>QSObject:ContextInput:w1~input.qs_context_add_curve.2359132437744.8897.3.0:37007</v>
      </c>
      <c r="E8898" s="6" t="str">
        <f>_xll.QS.INSTRUMENT.SWAP("swap.8896",H8898,B8898,"USD","SOFR",I8898,J8898,0,"Actual360","Simple","Annual","Annual","Annual")</f>
        <v>QSObject:Swap:w1~swap.8896:1410</v>
      </c>
      <c r="F8898" s="6" t="str">
        <f>_xll.QS.TRADE.CREATE("trade.8896",E8898,A8898,"Receive")</f>
        <v>QSObject:SwapTrade:w1~trade.8896:22861</v>
      </c>
      <c r="G8898" s="3">
        <f>_xll.QS.EVALUATE(C8898,F8898)</f>
        <v>65869.060209556876</v>
      </c>
      <c r="H8898" s="5" t="s">
        <v>8939</v>
      </c>
      <c r="I8898" s="7">
        <v>1889600</v>
      </c>
      <c r="J8898" s="8">
        <v>3.9600000000000003E-2</v>
      </c>
    </row>
    <row r="8899" spans="1:10" x14ac:dyDescent="0.25">
      <c r="A8899" s="5" t="s">
        <v>8933</v>
      </c>
      <c r="B8899" s="5" t="s">
        <v>10766</v>
      </c>
      <c r="C8899" s="6" t="str">
        <f>_xll.QS.CONTEXT.CREATE("market.8897",A8899,"USD","SOFR")</f>
        <v>QSObject:PricingContext:w1~market.8897:1409</v>
      </c>
      <c r="D8899" s="6" t="str">
        <f>_xll.QS.CONTEXT.ADD.CURVE(C8899,"SOFR",$K$2:$K$7,$L$2:$L$7,,,"Actual360","LogLinear",TRUE)</f>
        <v>QSObject:ContextInput:w1~input.qs_context_add_curve.2359132437744.8898.3.0:35350</v>
      </c>
      <c r="E8899" s="6" t="str">
        <f>_xll.QS.INSTRUMENT.SWAP("swap.8897",H8899,B8899,"USD","SOFR",I8899,J8899,0,"Actual360","Simple","Annual","Annual","Annual")</f>
        <v>QSObject:Swap:w1~swap.8897:1408</v>
      </c>
      <c r="F8899" s="6" t="str">
        <f>_xll.QS.TRADE.CREATE("trade.8897",E8899,A8899,"Receive")</f>
        <v>QSObject:SwapTrade:w1~trade.8897:22205</v>
      </c>
      <c r="G8899" s="3">
        <f>_xll.QS.EVALUATE(C8899,F8899)</f>
        <v>66826.691396309674</v>
      </c>
      <c r="H8899" s="5" t="s">
        <v>8940</v>
      </c>
      <c r="I8899" s="7">
        <v>1889700</v>
      </c>
      <c r="J8899" s="8">
        <v>3.9700000000000013E-2</v>
      </c>
    </row>
    <row r="8900" spans="1:10" x14ac:dyDescent="0.25">
      <c r="A8900" s="5" t="s">
        <v>8934</v>
      </c>
      <c r="B8900" s="5" t="s">
        <v>10767</v>
      </c>
      <c r="C8900" s="6" t="str">
        <f>_xll.QS.CONTEXT.CREATE("market.8898",A8900,"USD","SOFR")</f>
        <v>QSObject:PricingContext:w1~market.8898:1407</v>
      </c>
      <c r="D8900" s="6" t="str">
        <f>_xll.QS.CONTEXT.ADD.CURVE(C8900,"SOFR",$K$2:$K$7,$L$2:$L$7,,,"Actual360","LogLinear",TRUE)</f>
        <v>QSObject:ContextInput:w1~input.qs_context_add_curve.2359132437744.8899.3.0:36473</v>
      </c>
      <c r="E8900" s="6" t="str">
        <f>_xll.QS.INSTRUMENT.SWAP("swap.8898",H8900,B8900,"USD","SOFR",I8900,J8900,0,"Actual360","Simple","Annual","Annual","Annual")</f>
        <v>QSObject:Swap:w1~swap.8898:1406</v>
      </c>
      <c r="F8900" s="6" t="str">
        <f>_xll.QS.TRADE.CREATE("trade.8898",E8900,A8900,"Receive")</f>
        <v>QSObject:SwapTrade:w1~trade.8898:22204</v>
      </c>
      <c r="G8900" s="3">
        <f>_xll.QS.EVALUATE(C8900,F8900)</f>
        <v>67740.023173431153</v>
      </c>
      <c r="H8900" s="5" t="s">
        <v>8941</v>
      </c>
      <c r="I8900" s="7">
        <v>1889800</v>
      </c>
      <c r="J8900" s="8">
        <v>3.9800000000000002E-2</v>
      </c>
    </row>
    <row r="8901" spans="1:10" x14ac:dyDescent="0.25">
      <c r="A8901" s="5" t="s">
        <v>8935</v>
      </c>
      <c r="B8901" s="5" t="s">
        <v>10768</v>
      </c>
      <c r="C8901" s="6" t="str">
        <f>_xll.QS.CONTEXT.CREATE("market.8899",A8901,"USD","SOFR")</f>
        <v>QSObject:PricingContext:w1~market.8899:1405</v>
      </c>
      <c r="D8901" s="6" t="str">
        <f>_xll.QS.CONTEXT.ADD.CURVE(C8901,"SOFR",$K$2:$K$7,$L$2:$L$7,,,"Actual360","LogLinear",TRUE)</f>
        <v>QSObject:ContextInput:w1~input.qs_context_add_curve.2359132437744.8900.3.0:35349</v>
      </c>
      <c r="E8901" s="6" t="str">
        <f>_xll.QS.INSTRUMENT.SWAP("swap.8899",H8901,B8901,"USD","SOFR",I8901,J8901,0,"Actual360","Simple","Annual","Annual","Annual")</f>
        <v>QSObject:Swap:w1~swap.8899:1404</v>
      </c>
      <c r="F8901" s="6" t="str">
        <f>_xll.QS.TRADE.CREATE("trade.8899",E8901,A8901,"Receive")</f>
        <v>QSObject:SwapTrade:w1~trade.8899:22860</v>
      </c>
      <c r="G8901" s="3">
        <f>_xll.QS.EVALUATE(C8901,F8901)</f>
        <v>68753.542916269624</v>
      </c>
      <c r="H8901" s="5" t="s">
        <v>8942</v>
      </c>
      <c r="I8901" s="7">
        <v>1889900</v>
      </c>
      <c r="J8901" s="8">
        <v>3.9899999999999998E-2</v>
      </c>
    </row>
    <row r="8902" spans="1:10" x14ac:dyDescent="0.25">
      <c r="A8902" s="5" t="s">
        <v>8936</v>
      </c>
      <c r="B8902" s="5" t="s">
        <v>10769</v>
      </c>
      <c r="C8902" s="6" t="str">
        <f>_xll.QS.CONTEXT.CREATE("market.8900",A8902,"USD","SOFR")</f>
        <v>QSObject:PricingContext:w1~market.8900:1403</v>
      </c>
      <c r="D8902" s="6" t="str">
        <f>_xll.QS.CONTEXT.ADD.CURVE(C8902,"SOFR",$K$2:$K$7,$L$2:$L$7,,,"Actual360","LogLinear",TRUE)</f>
        <v>QSObject:ContextInput:w1~input.qs_context_add_curve.2359132437744.8901.3.0:34112</v>
      </c>
      <c r="E8902" s="6" t="str">
        <f>_xll.QS.INSTRUMENT.SWAP("swap.8900",H8902,B8902,"USD","SOFR",I8902,J8902,0,"Actual360","Simple","Annual","Annual","Annual")</f>
        <v>QSObject:Swap:w1~swap.8900:1402</v>
      </c>
      <c r="F8902" s="6" t="str">
        <f>_xll.QS.TRADE.CREATE("trade.8900",E8902,A8902,"Receive")</f>
        <v>QSObject:SwapTrade:w1~trade.8900:22203</v>
      </c>
      <c r="G8902" s="3">
        <f>_xll.QS.EVALUATE(C8902,F8902)</f>
        <v>26133.139808661937</v>
      </c>
      <c r="H8902" s="5" t="s">
        <v>8943</v>
      </c>
      <c r="I8902" s="7">
        <v>1890000</v>
      </c>
      <c r="J8902" s="8">
        <v>3.5000000000000003E-2</v>
      </c>
    </row>
    <row r="8903" spans="1:10" x14ac:dyDescent="0.25">
      <c r="A8903" s="5" t="s">
        <v>8937</v>
      </c>
      <c r="B8903" s="5" t="s">
        <v>10770</v>
      </c>
      <c r="C8903" s="6" t="str">
        <f>_xll.QS.CONTEXT.CREATE("market.8901",A8903,"USD","SOFR")</f>
        <v>QSObject:PricingContext:w1~market.8901:1401</v>
      </c>
      <c r="D8903" s="6" t="str">
        <f>_xll.QS.CONTEXT.ADD.CURVE(C8903,"SOFR",$K$2:$K$7,$L$2:$L$7,,,"Actual360","LogLinear",TRUE)</f>
        <v>QSObject:ContextInput:w1~input.qs_context_add_curve.2359132437744.8902.3.0:38139</v>
      </c>
      <c r="E8903" s="6" t="str">
        <f>_xll.QS.INSTRUMENT.SWAP("swap.8901",H8903,B8903,"USD","SOFR",I8903,J8903,0,"Actual360","Simple","Annual","Annual","Annual")</f>
        <v>QSObject:Swap:w1~swap.8901:1400</v>
      </c>
      <c r="F8903" s="6" t="str">
        <f>_xll.QS.TRADE.CREATE("trade.8901",E8903,A8903,"Receive")</f>
        <v>QSObject:SwapTrade:w1~trade.8901:22859</v>
      </c>
      <c r="G8903" s="3">
        <f>_xll.QS.EVALUATE(C8903,F8903)</f>
        <v>26934.35958089937</v>
      </c>
      <c r="H8903" s="5" t="s">
        <v>8944</v>
      </c>
      <c r="I8903" s="7">
        <v>1890100</v>
      </c>
      <c r="J8903" s="8">
        <v>3.5100000000000013E-2</v>
      </c>
    </row>
    <row r="8904" spans="1:10" x14ac:dyDescent="0.25">
      <c r="A8904" s="5" t="s">
        <v>8938</v>
      </c>
      <c r="B8904" s="5" t="s">
        <v>10771</v>
      </c>
      <c r="C8904" s="6" t="str">
        <f>_xll.QS.CONTEXT.CREATE("market.8902",A8904,"USD","SOFR")</f>
        <v>QSObject:PricingContext:w1~market.8902:1399</v>
      </c>
      <c r="D8904" s="6" t="str">
        <f>_xll.QS.CONTEXT.ADD.CURVE(C8904,"SOFR",$K$2:$K$7,$L$2:$L$7,,,"Actual360","LogLinear",TRUE)</f>
        <v>QSObject:ContextInput:w1~input.qs_context_add_curve.2359132437744.8903.3.0:33523</v>
      </c>
      <c r="E8904" s="6" t="str">
        <f>_xll.QS.INSTRUMENT.SWAP("swap.8902",H8904,B8904,"USD","SOFR",I8904,J8904,0,"Actual360","Simple","Annual","Annual","Annual")</f>
        <v>QSObject:Swap:w1~swap.8902:1398</v>
      </c>
      <c r="F8904" s="6" t="str">
        <f>_xll.QS.TRADE.CREATE("trade.8902",E8904,A8904,"Receive")</f>
        <v>QSObject:SwapTrade:w1~trade.8902:22202</v>
      </c>
      <c r="G8904" s="3">
        <f>_xll.QS.EVALUATE(C8904,F8904)</f>
        <v>27675.905977536881</v>
      </c>
      <c r="H8904" s="5" t="s">
        <v>8945</v>
      </c>
      <c r="I8904" s="7">
        <v>1890200</v>
      </c>
      <c r="J8904" s="8">
        <v>3.5200000000000002E-2</v>
      </c>
    </row>
    <row r="8905" spans="1:10" x14ac:dyDescent="0.25">
      <c r="A8905" s="5" t="s">
        <v>8939</v>
      </c>
      <c r="B8905" s="5" t="s">
        <v>10772</v>
      </c>
      <c r="C8905" s="6" t="str">
        <f>_xll.QS.CONTEXT.CREATE("market.8903",A8905,"USD","SOFR")</f>
        <v>QSObject:PricingContext:w1~market.8903:1397</v>
      </c>
      <c r="D8905" s="6" t="str">
        <f>_xll.QS.CONTEXT.ADD.CURVE(C8905,"SOFR",$K$2:$K$7,$L$2:$L$7,,,"Actual360","LogLinear",TRUE)</f>
        <v>QSObject:ContextInput:w1~input.qs_context_add_curve.2359132437744.8904.3.0:37006</v>
      </c>
      <c r="E8905" s="6" t="str">
        <f>_xll.QS.INSTRUMENT.SWAP("swap.8903",H8905,B8905,"USD","SOFR",I8905,J8905,0,"Actual360","Simple","Annual","Annual","Annual")</f>
        <v>QSObject:Swap:w1~swap.8903:1396</v>
      </c>
      <c r="F8905" s="6" t="str">
        <f>_xll.QS.TRADE.CREATE("trade.8903",E8905,A8905,"Receive")</f>
        <v>QSObject:SwapTrade:w1~trade.8903:22858</v>
      </c>
      <c r="G8905" s="3">
        <f>_xll.QS.EVALUATE(C8905,F8905)</f>
        <v>28319.73929002355</v>
      </c>
      <c r="H8905" s="5" t="s">
        <v>8946</v>
      </c>
      <c r="I8905" s="7">
        <v>1890300</v>
      </c>
      <c r="J8905" s="8">
        <v>3.5299999999999998E-2</v>
      </c>
    </row>
    <row r="8906" spans="1:10" x14ac:dyDescent="0.25">
      <c r="A8906" s="5" t="s">
        <v>8940</v>
      </c>
      <c r="B8906" s="5" t="s">
        <v>10773</v>
      </c>
      <c r="C8906" s="6" t="str">
        <f>_xll.QS.CONTEXT.CREATE("market.8904",A8906,"USD","SOFR")</f>
        <v>QSObject:PricingContext:w1~market.8904:1395</v>
      </c>
      <c r="D8906" s="6" t="str">
        <f>_xll.QS.CONTEXT.ADD.CURVE(C8906,"SOFR",$K$2:$K$7,$L$2:$L$7,,,"Actual360","LogLinear",TRUE)</f>
        <v>QSObject:ContextInput:w1~input.qs_context_add_curve.2359132437744.8905.3.0:32312</v>
      </c>
      <c r="E8906" s="6" t="str">
        <f>_xll.QS.INSTRUMENT.SWAP("swap.8904",H8906,B8906,"USD","SOFR",I8906,J8906,0,"Actual360","Simple","Annual","Annual","Annual")</f>
        <v>QSObject:Swap:w1~swap.8904:1394</v>
      </c>
      <c r="F8906" s="6" t="str">
        <f>_xll.QS.TRADE.CREATE("trade.8904",E8906,A8906,"Receive")</f>
        <v>QSObject:SwapTrade:w1~trade.8904:22857</v>
      </c>
      <c r="G8906" s="3">
        <f>_xll.QS.EVALUATE(C8906,F8906)</f>
        <v>29272.444151566444</v>
      </c>
      <c r="H8906" s="5" t="s">
        <v>8947</v>
      </c>
      <c r="I8906" s="7">
        <v>1890400</v>
      </c>
      <c r="J8906" s="8">
        <v>3.5400000000000001E-2</v>
      </c>
    </row>
    <row r="8907" spans="1:10" x14ac:dyDescent="0.25">
      <c r="A8907" s="5" t="s">
        <v>8941</v>
      </c>
      <c r="B8907" s="5" t="s">
        <v>10774</v>
      </c>
      <c r="C8907" s="6" t="str">
        <f>_xll.QS.CONTEXT.CREATE("market.8905",A8907,"USD","SOFR")</f>
        <v>QSObject:PricingContext:w1~market.8905:1393</v>
      </c>
      <c r="D8907" s="6" t="str">
        <f>_xll.QS.CONTEXT.ADD.CURVE(C8907,"SOFR",$K$2:$K$7,$L$2:$L$7,,,"Actual360","LogLinear",TRUE)</f>
        <v>QSObject:ContextInput:w1~input.qs_context_add_curve.2359132437744.8906.3.0:31742</v>
      </c>
      <c r="E8907" s="6" t="str">
        <f>_xll.QS.INSTRUMENT.SWAP("swap.8905",H8907,B8907,"USD","SOFR",I8907,J8907,0,"Actual360","Simple","Annual","Annual","Annual")</f>
        <v>QSObject:Swap:w1~swap.8905:1392</v>
      </c>
      <c r="F8907" s="6" t="str">
        <f>_xll.QS.TRADE.CREATE("trade.8905",E8907,A8907,"Receive")</f>
        <v>QSObject:SwapTrade:w1~trade.8905:22856</v>
      </c>
      <c r="G8907" s="3">
        <f>_xll.QS.EVALUATE(C8907,F8907)</f>
        <v>30222.759049772321</v>
      </c>
      <c r="H8907" s="5" t="s">
        <v>8948</v>
      </c>
      <c r="I8907" s="7">
        <v>1890500</v>
      </c>
      <c r="J8907" s="8">
        <v>3.5499999999999997E-2</v>
      </c>
    </row>
    <row r="8908" spans="1:10" x14ac:dyDescent="0.25">
      <c r="A8908" s="5" t="s">
        <v>8942</v>
      </c>
      <c r="B8908" s="5" t="s">
        <v>10775</v>
      </c>
      <c r="C8908" s="6" t="str">
        <f>_xll.QS.CONTEXT.CREATE("market.8906",A8908,"USD","SOFR")</f>
        <v>QSObject:PricingContext:w1~market.8906:1391</v>
      </c>
      <c r="D8908" s="6" t="str">
        <f>_xll.QS.CONTEXT.ADD.CURVE(C8908,"SOFR",$K$2:$K$7,$L$2:$L$7,,,"Actual360","LogLinear",TRUE)</f>
        <v>QSObject:ContextInput:w1~input.qs_context_add_curve.2359132437744.8907.3.0:34739</v>
      </c>
      <c r="E8908" s="6" t="str">
        <f>_xll.QS.INSTRUMENT.SWAP("swap.8906",H8908,B8908,"USD","SOFR",I8908,J8908,0,"Actual360","Simple","Annual","Annual","Annual")</f>
        <v>QSObject:Swap:w1~swap.8906:1390</v>
      </c>
      <c r="F8908" s="6" t="str">
        <f>_xll.QS.TRADE.CREATE("trade.8906",E8908,A8908,"Receive")</f>
        <v>QSObject:SwapTrade:w1~trade.8906:22201</v>
      </c>
      <c r="G8908" s="3">
        <f>_xll.QS.EVALUATE(C8908,F8908)</f>
        <v>31359.82094407457</v>
      </c>
      <c r="H8908" s="5" t="s">
        <v>8949</v>
      </c>
      <c r="I8908" s="7">
        <v>1890600</v>
      </c>
      <c r="J8908" s="8">
        <v>3.5600000000000007E-2</v>
      </c>
    </row>
    <row r="8909" spans="1:10" x14ac:dyDescent="0.25">
      <c r="A8909" s="5" t="s">
        <v>8943</v>
      </c>
      <c r="B8909" s="5" t="s">
        <v>10776</v>
      </c>
      <c r="C8909" s="6" t="str">
        <f>_xll.QS.CONTEXT.CREATE("market.8907",A8909,"USD","SOFR")</f>
        <v>QSObject:PricingContext:w1~market.8907:1389</v>
      </c>
      <c r="D8909" s="6" t="str">
        <f>_xll.QS.CONTEXT.ADD.CURVE(C8909,"SOFR",$K$2:$K$7,$L$2:$L$7,,,"Actual360","LogLinear",TRUE)</f>
        <v>QSObject:ContextInput:w1~input.qs_context_add_curve.2359132437744.8908.3.0:34111</v>
      </c>
      <c r="E8909" s="6" t="str">
        <f>_xll.QS.INSTRUMENT.SWAP("swap.8907",H8909,B8909,"USD","SOFR",I8909,J8909,0,"Actual360","Simple","Annual","Annual","Annual")</f>
        <v>QSObject:Swap:w1~swap.8907:1388</v>
      </c>
      <c r="F8909" s="6" t="str">
        <f>_xll.QS.TRADE.CREATE("trade.8907",E8909,A8909,"Receive")</f>
        <v>QSObject:SwapTrade:w1~trade.8907:22200</v>
      </c>
      <c r="G8909" s="3">
        <f>_xll.QS.EVALUATE(C8909,F8909)</f>
        <v>32251.216154643713</v>
      </c>
      <c r="H8909" s="5" t="s">
        <v>8950</v>
      </c>
      <c r="I8909" s="7">
        <v>1890700</v>
      </c>
      <c r="J8909" s="8">
        <v>3.5700000000000003E-2</v>
      </c>
    </row>
    <row r="8910" spans="1:10" x14ac:dyDescent="0.25">
      <c r="A8910" s="5" t="s">
        <v>8944</v>
      </c>
      <c r="B8910" s="5" t="s">
        <v>10777</v>
      </c>
      <c r="C8910" s="6" t="str">
        <f>_xll.QS.CONTEXT.CREATE("market.8908",A8910,"USD","SOFR")</f>
        <v>QSObject:PricingContext:w1~market.8908:1387</v>
      </c>
      <c r="D8910" s="6" t="str">
        <f>_xll.QS.CONTEXT.ADD.CURVE(C8910,"SOFR",$K$2:$K$7,$L$2:$L$7,,,"Actual360","LogLinear",TRUE)</f>
        <v>QSObject:ContextInput:w1~input.qs_context_add_curve.2359132437744.8909.3.0:38795</v>
      </c>
      <c r="E8910" s="6" t="str">
        <f>_xll.QS.INSTRUMENT.SWAP("swap.8908",H8910,B8910,"USD","SOFR",I8910,J8910,0,"Actual360","Simple","Annual","Annual","Annual")</f>
        <v>QSObject:Swap:w1~swap.8908:1386</v>
      </c>
      <c r="F8910" s="6" t="str">
        <f>_xll.QS.TRADE.CREATE("trade.8908",E8910,A8910,"Receive")</f>
        <v>QSObject:SwapTrade:w1~trade.8908:22199</v>
      </c>
      <c r="G8910" s="3">
        <f>_xll.QS.EVALUATE(C8910,F8910)</f>
        <v>33124.219089198428</v>
      </c>
      <c r="H8910" s="5" t="s">
        <v>8951</v>
      </c>
      <c r="I8910" s="7">
        <v>1890800</v>
      </c>
      <c r="J8910" s="8">
        <v>3.5800000000000012E-2</v>
      </c>
    </row>
    <row r="8911" spans="1:10" x14ac:dyDescent="0.25">
      <c r="A8911" s="5" t="s">
        <v>8945</v>
      </c>
      <c r="B8911" s="5" t="s">
        <v>10778</v>
      </c>
      <c r="C8911" s="6" t="str">
        <f>_xll.QS.CONTEXT.CREATE("market.8909",A8911,"USD","SOFR")</f>
        <v>QSObject:PricingContext:w1~market.8909:1385</v>
      </c>
      <c r="D8911" s="6" t="str">
        <f>_xll.QS.CONTEXT.ADD.CURVE(C8911,"SOFR",$K$2:$K$7,$L$2:$L$7,,,"Actual360","LogLinear",TRUE)</f>
        <v>QSObject:ContextInput:w1~input.qs_context_add_curve.2359132437744.8910.3.0:37005</v>
      </c>
      <c r="E8911" s="6" t="str">
        <f>_xll.QS.INSTRUMENT.SWAP("swap.8909",H8911,B8911,"USD","SOFR",I8911,J8911,0,"Actual360","Simple","Annual","Annual","Annual")</f>
        <v>QSObject:Swap:w1~swap.8909:1384</v>
      </c>
      <c r="F8911" s="6" t="str">
        <f>_xll.QS.TRADE.CREATE("trade.8909",E8911,A8911,"Receive")</f>
        <v>QSObject:SwapTrade:w1~trade.8909:22855</v>
      </c>
      <c r="G8911" s="3">
        <f>_xll.QS.EVALUATE(C8911,F8911)</f>
        <v>33945.727960424279</v>
      </c>
      <c r="H8911" s="5" t="s">
        <v>8952</v>
      </c>
      <c r="I8911" s="7">
        <v>1890900</v>
      </c>
      <c r="J8911" s="8">
        <v>3.5900000000000001E-2</v>
      </c>
    </row>
    <row r="8912" spans="1:10" x14ac:dyDescent="0.25">
      <c r="A8912" s="5" t="s">
        <v>8946</v>
      </c>
      <c r="B8912" s="5" t="s">
        <v>10779</v>
      </c>
      <c r="C8912" s="6" t="str">
        <f>_xll.QS.CONTEXT.CREATE("market.8910",A8912,"USD","SOFR")</f>
        <v>QSObject:PricingContext:w1~market.8910:1383</v>
      </c>
      <c r="D8912" s="6" t="str">
        <f>_xll.QS.CONTEXT.ADD.CURVE(C8912,"SOFR",$K$2:$K$7,$L$2:$L$7,,,"Actual360","LogLinear",TRUE)</f>
        <v>QSObject:ContextInput:w1~input.qs_context_add_curve.2359132437744.8911.3.0:34738</v>
      </c>
      <c r="E8912" s="6" t="str">
        <f>_xll.QS.INSTRUMENT.SWAP("swap.8910",H8912,B8912,"USD","SOFR",I8912,J8912,0,"Actual360","Simple","Annual","Annual","Annual")</f>
        <v>QSObject:Swap:w1~swap.8910:1382</v>
      </c>
      <c r="F8912" s="6" t="str">
        <f>_xll.QS.TRADE.CREATE("trade.8910",E8912,A8912,"Receive")</f>
        <v>QSObject:SwapTrade:w1~trade.8910:22854</v>
      </c>
      <c r="G8912" s="3">
        <f>_xll.QS.EVALUATE(C8912,F8912)</f>
        <v>34590.863705751901</v>
      </c>
      <c r="H8912" s="5" t="s">
        <v>8953</v>
      </c>
      <c r="I8912" s="7">
        <v>1891000</v>
      </c>
      <c r="J8912" s="8">
        <v>3.5999999999999997E-2</v>
      </c>
    </row>
    <row r="8913" spans="1:10" x14ac:dyDescent="0.25">
      <c r="A8913" s="5" t="s">
        <v>8947</v>
      </c>
      <c r="B8913" s="5" t="s">
        <v>10780</v>
      </c>
      <c r="C8913" s="6" t="str">
        <f>_xll.QS.CONTEXT.CREATE("market.8911",A8913,"USD","SOFR")</f>
        <v>QSObject:PricingContext:w1~market.8911:1381</v>
      </c>
      <c r="D8913" s="6" t="str">
        <f>_xll.QS.CONTEXT.ADD.CURVE(C8913,"SOFR",$K$2:$K$7,$L$2:$L$7,,,"Actual360","LogLinear",TRUE)</f>
        <v>QSObject:ContextInput:w1~input.qs_context_add_curve.2359132437744.8912.3.0:31741</v>
      </c>
      <c r="E8913" s="6" t="str">
        <f>_xll.QS.INSTRUMENT.SWAP("swap.8911",H8913,B8913,"USD","SOFR",I8913,J8913,0,"Actual360","Simple","Annual","Annual","Annual")</f>
        <v>QSObject:Swap:w1~swap.8911:1380</v>
      </c>
      <c r="F8913" s="6" t="str">
        <f>_xll.QS.TRADE.CREATE("trade.8911",E8913,A8913,"Receive")</f>
        <v>QSObject:SwapTrade:w1~trade.8911:22198</v>
      </c>
      <c r="G8913" s="3">
        <f>_xll.QS.EVALUATE(C8913,F8913)</f>
        <v>35467.473736440137</v>
      </c>
      <c r="H8913" s="5" t="s">
        <v>8954</v>
      </c>
      <c r="I8913" s="7">
        <v>1891100</v>
      </c>
      <c r="J8913" s="8">
        <v>3.61E-2</v>
      </c>
    </row>
    <row r="8914" spans="1:10" x14ac:dyDescent="0.25">
      <c r="A8914" s="5" t="s">
        <v>8948</v>
      </c>
      <c r="B8914" s="5" t="s">
        <v>10781</v>
      </c>
      <c r="C8914" s="6" t="str">
        <f>_xll.QS.CONTEXT.CREATE("market.8912",A8914,"USD","SOFR")</f>
        <v>QSObject:PricingContext:w1~market.8912:1379</v>
      </c>
      <c r="D8914" s="6" t="str">
        <f>_xll.QS.CONTEXT.ADD.CURVE(C8914,"SOFR",$K$2:$K$7,$L$2:$L$7,,,"Actual360","LogLinear",TRUE)</f>
        <v>QSObject:ContextInput:w1~input.qs_context_add_curve.2359132437744.8913.3.0:38794</v>
      </c>
      <c r="E8914" s="6" t="str">
        <f>_xll.QS.INSTRUMENT.SWAP("swap.8912",H8914,B8914,"USD","SOFR",I8914,J8914,0,"Actual360","Simple","Annual","Annual","Annual")</f>
        <v>QSObject:Swap:w1~swap.8912:1378</v>
      </c>
      <c r="F8914" s="6" t="str">
        <f>_xll.QS.TRADE.CREATE("trade.8912",E8914,A8914,"Receive")</f>
        <v>QSObject:SwapTrade:w1~trade.8912:22853</v>
      </c>
      <c r="G8914" s="3">
        <f>_xll.QS.EVALUATE(C8914,F8914)</f>
        <v>36395.102027187393</v>
      </c>
      <c r="H8914" s="5" t="s">
        <v>8955</v>
      </c>
      <c r="I8914" s="7">
        <v>1891200</v>
      </c>
      <c r="J8914" s="8">
        <v>3.6200000000000003E-2</v>
      </c>
    </row>
    <row r="8915" spans="1:10" x14ac:dyDescent="0.25">
      <c r="A8915" s="5" t="s">
        <v>8949</v>
      </c>
      <c r="B8915" s="5" t="s">
        <v>10782</v>
      </c>
      <c r="C8915" s="6" t="str">
        <f>_xll.QS.CONTEXT.CREATE("market.8913",A8915,"USD","SOFR")</f>
        <v>QSObject:PricingContext:w1~market.8913:1377</v>
      </c>
      <c r="D8915" s="6" t="str">
        <f>_xll.QS.CONTEXT.ADD.CURVE(C8915,"SOFR",$K$2:$K$7,$L$2:$L$7,,,"Actual360","LogLinear",TRUE)</f>
        <v>QSObject:ContextInput:w1~input.qs_context_add_curve.2359132437744.8914.3.0:33522</v>
      </c>
      <c r="E8915" s="6" t="str">
        <f>_xll.QS.INSTRUMENT.SWAP("swap.8913",H8915,B8915,"USD","SOFR",I8915,J8915,0,"Actual360","Simple","Annual","Annual","Annual")</f>
        <v>QSObject:Swap:w1~swap.8913:1376</v>
      </c>
      <c r="F8915" s="6" t="str">
        <f>_xll.QS.TRADE.CREATE("trade.8913",E8915,A8915,"Receive")</f>
        <v>QSObject:SwapTrade:w1~trade.8913:22197</v>
      </c>
      <c r="G8915" s="3">
        <f>_xll.QS.EVALUATE(C8915,F8915)</f>
        <v>37480.053656597767</v>
      </c>
      <c r="H8915" s="5" t="s">
        <v>8956</v>
      </c>
      <c r="I8915" s="7">
        <v>1891300</v>
      </c>
      <c r="J8915" s="8">
        <v>3.6300000000000013E-2</v>
      </c>
    </row>
    <row r="8916" spans="1:10" x14ac:dyDescent="0.25">
      <c r="A8916" s="5" t="s">
        <v>8950</v>
      </c>
      <c r="B8916" s="5" t="s">
        <v>10783</v>
      </c>
      <c r="C8916" s="6" t="str">
        <f>_xll.QS.CONTEXT.CREATE("market.8914",A8916,"USD","SOFR")</f>
        <v>QSObject:PricingContext:w1~market.8914:1375</v>
      </c>
      <c r="D8916" s="6" t="str">
        <f>_xll.QS.CONTEXT.ADD.CURVE(C8916,"SOFR",$K$2:$K$7,$L$2:$L$7,,,"Actual360","LogLinear",TRUE)</f>
        <v>QSObject:ContextInput:w1~input.qs_context_add_curve.2359132437744.8915.3.0:38793</v>
      </c>
      <c r="E8916" s="6" t="str">
        <f>_xll.QS.INSTRUMENT.SWAP("swap.8914",H8916,B8916,"USD","SOFR",I8916,J8916,0,"Actual360","Simple","Annual","Annual","Annual")</f>
        <v>QSObject:Swap:w1~swap.8914:1374</v>
      </c>
      <c r="F8916" s="6" t="str">
        <f>_xll.QS.TRADE.CREATE("trade.8914",E8916,A8916,"Receive")</f>
        <v>QSObject:SwapTrade:w1~trade.8914:22196</v>
      </c>
      <c r="G8916" s="3">
        <f>_xll.QS.EVALUATE(C8916,F8916)</f>
        <v>38363.389533161913</v>
      </c>
      <c r="H8916" s="5" t="s">
        <v>8957</v>
      </c>
      <c r="I8916" s="7">
        <v>1891400</v>
      </c>
      <c r="J8916" s="8">
        <v>3.6400000000000002E-2</v>
      </c>
    </row>
    <row r="8917" spans="1:10" x14ac:dyDescent="0.25">
      <c r="A8917" s="5" t="s">
        <v>8951</v>
      </c>
      <c r="B8917" s="5" t="s">
        <v>10784</v>
      </c>
      <c r="C8917" s="6" t="str">
        <f>_xll.QS.CONTEXT.CREATE("market.8915",A8917,"USD","SOFR")</f>
        <v>QSObject:PricingContext:w1~market.8915:1373</v>
      </c>
      <c r="D8917" s="6" t="str">
        <f>_xll.QS.CONTEXT.ADD.CURVE(C8917,"SOFR",$K$2:$K$7,$L$2:$L$7,,,"Actual360","LogLinear",TRUE)</f>
        <v>QSObject:ContextInput:w1~input.qs_context_add_curve.2359132437744.8916.3.0:39348</v>
      </c>
      <c r="E8917" s="6" t="str">
        <f>_xll.QS.INSTRUMENT.SWAP("swap.8915",H8917,B8917,"USD","SOFR",I8917,J8917,0,"Actual360","Simple","Annual","Annual","Annual")</f>
        <v>QSObject:Swap:w1~swap.8915:1372</v>
      </c>
      <c r="F8917" s="6" t="str">
        <f>_xll.QS.TRADE.CREATE("trade.8915",E8917,A8917,"Receive")</f>
        <v>QSObject:SwapTrade:w1~trade.8915:22195</v>
      </c>
      <c r="G8917" s="3">
        <f>_xll.QS.EVALUATE(C8917,F8917)</f>
        <v>39165.908564811078</v>
      </c>
      <c r="H8917" s="5" t="s">
        <v>8958</v>
      </c>
      <c r="I8917" s="7">
        <v>1891500</v>
      </c>
      <c r="J8917" s="8">
        <v>3.6499999999999998E-2</v>
      </c>
    </row>
    <row r="8918" spans="1:10" x14ac:dyDescent="0.25">
      <c r="A8918" s="5" t="s">
        <v>8952</v>
      </c>
      <c r="B8918" s="5" t="s">
        <v>10785</v>
      </c>
      <c r="C8918" s="6" t="str">
        <f>_xll.QS.CONTEXT.CREATE("market.8916",A8918,"USD","SOFR")</f>
        <v>QSObject:PricingContext:w1~market.8916:1371</v>
      </c>
      <c r="D8918" s="6" t="str">
        <f>_xll.QS.CONTEXT.ADD.CURVE(C8918,"SOFR",$K$2:$K$7,$L$2:$L$7,,,"Actual360","LogLinear",TRUE)</f>
        <v>QSObject:ContextInput:w1~input.qs_context_add_curve.2359132437744.8917.3.0:37004</v>
      </c>
      <c r="E8918" s="6" t="str">
        <f>_xll.QS.INSTRUMENT.SWAP("swap.8916",H8918,B8918,"USD","SOFR",I8918,J8918,0,"Actual360","Simple","Annual","Annual","Annual")</f>
        <v>QSObject:Swap:w1~swap.8916:1370</v>
      </c>
      <c r="F8918" s="6" t="str">
        <f>_xll.QS.TRADE.CREATE("trade.8916",E8918,A8918,"Receive")</f>
        <v>QSObject:SwapTrade:w1~trade.8916:22194</v>
      </c>
      <c r="G8918" s="3">
        <f>_xll.QS.EVALUATE(C8918,F8918)</f>
        <v>39913.121853984609</v>
      </c>
      <c r="H8918" s="5" t="s">
        <v>8959</v>
      </c>
      <c r="I8918" s="7">
        <v>1891600</v>
      </c>
      <c r="J8918" s="8">
        <v>3.6600000000000001E-2</v>
      </c>
    </row>
    <row r="8919" spans="1:10" x14ac:dyDescent="0.25">
      <c r="A8919" s="5" t="s">
        <v>8953</v>
      </c>
      <c r="B8919" s="5" t="s">
        <v>10786</v>
      </c>
      <c r="C8919" s="6" t="str">
        <f>_xll.QS.CONTEXT.CREATE("market.8917",A8919,"USD","SOFR")</f>
        <v>QSObject:PricingContext:w1~market.8917:1369</v>
      </c>
      <c r="D8919" s="6" t="str">
        <f>_xll.QS.CONTEXT.ADD.CURVE(C8919,"SOFR",$K$2:$K$7,$L$2:$L$7,,,"Actual360","LogLinear",TRUE)</f>
        <v>QSObject:ContextInput:w1~input.qs_context_add_curve.2359132437744.8918.3.0:38138</v>
      </c>
      <c r="E8919" s="6" t="str">
        <f>_xll.QS.INSTRUMENT.SWAP("swap.8917",H8919,B8919,"USD","SOFR",I8919,J8919,0,"Actual360","Simple","Annual","Annual","Annual")</f>
        <v>QSObject:Swap:w1~swap.8917:1368</v>
      </c>
      <c r="F8919" s="6" t="str">
        <f>_xll.QS.TRADE.CREATE("trade.8917",E8919,A8919,"Receive")</f>
        <v>QSObject:SwapTrade:w1~trade.8917:22193</v>
      </c>
      <c r="G8919" s="3">
        <f>_xll.QS.EVALUATE(C8919,F8919)</f>
        <v>40635.0593333875</v>
      </c>
      <c r="H8919" s="5" t="s">
        <v>8960</v>
      </c>
      <c r="I8919" s="7">
        <v>1891700</v>
      </c>
      <c r="J8919" s="8">
        <v>3.6700000000000003E-2</v>
      </c>
    </row>
    <row r="8920" spans="1:10" x14ac:dyDescent="0.25">
      <c r="A8920" s="5" t="s">
        <v>8954</v>
      </c>
      <c r="B8920" s="5" t="s">
        <v>10787</v>
      </c>
      <c r="C8920" s="6" t="str">
        <f>_xll.QS.CONTEXT.CREATE("market.8918",A8920,"USD","SOFR")</f>
        <v>QSObject:PricingContext:w1~market.8918:1367</v>
      </c>
      <c r="D8920" s="6" t="str">
        <f>_xll.QS.CONTEXT.ADD.CURVE(C8920,"SOFR",$K$2:$K$7,$L$2:$L$7,,,"Actual360","LogLinear",TRUE)</f>
        <v>QSObject:ContextInput:w1~input.qs_context_add_curve.2359132437744.8919.3.0:38792</v>
      </c>
      <c r="E8920" s="6" t="str">
        <f>_xll.QS.INSTRUMENT.SWAP("swap.8918",H8920,B8920,"USD","SOFR",I8920,J8920,0,"Actual360","Simple","Annual","Annual","Annual")</f>
        <v>QSObject:Swap:w1~swap.8918:1366</v>
      </c>
      <c r="F8920" s="6" t="str">
        <f>_xll.QS.TRADE.CREATE("trade.8918",E8920,A8920,"Receive")</f>
        <v>QSObject:SwapTrade:w1~trade.8918:22852</v>
      </c>
      <c r="G8920" s="3">
        <f>_xll.QS.EVALUATE(C8920,F8920)</f>
        <v>41589.873377027005</v>
      </c>
      <c r="H8920" s="5" t="s">
        <v>8961</v>
      </c>
      <c r="I8920" s="7">
        <v>1891800</v>
      </c>
      <c r="J8920" s="8">
        <v>3.6800000000000013E-2</v>
      </c>
    </row>
    <row r="8921" spans="1:10" x14ac:dyDescent="0.25">
      <c r="A8921" s="5" t="s">
        <v>8955</v>
      </c>
      <c r="B8921" s="5" t="s">
        <v>10788</v>
      </c>
      <c r="C8921" s="6" t="str">
        <f>_xll.QS.CONTEXT.CREATE("market.8919",A8921,"USD","SOFR")</f>
        <v>QSObject:PricingContext:w1~market.8919:1365</v>
      </c>
      <c r="D8921" s="6" t="str">
        <f>_xll.QS.CONTEXT.ADD.CURVE(C8921,"SOFR",$K$2:$K$7,$L$2:$L$7,,,"Actual360","LogLinear",TRUE)</f>
        <v>QSObject:ContextInput:w1~input.qs_context_add_curve.2359132437744.8920.3.0:37003</v>
      </c>
      <c r="E8921" s="6" t="str">
        <f>_xll.QS.INSTRUMENT.SWAP("swap.8919",H8921,B8921,"USD","SOFR",I8921,J8921,0,"Actual360","Simple","Annual","Annual","Annual")</f>
        <v>QSObject:Swap:w1~swap.8919:1364</v>
      </c>
      <c r="F8921" s="6" t="str">
        <f>_xll.QS.TRADE.CREATE("trade.8919",E8921,A8921,"Receive")</f>
        <v>QSObject:SwapTrade:w1~trade.8919:22851</v>
      </c>
      <c r="G8921" s="3">
        <f>_xll.QS.EVALUATE(C8921,F8921)</f>
        <v>42515.27108847347</v>
      </c>
      <c r="H8921" s="5" t="s">
        <v>8962</v>
      </c>
      <c r="I8921" s="7">
        <v>1891900</v>
      </c>
      <c r="J8921" s="8">
        <v>3.6900000000000002E-2</v>
      </c>
    </row>
    <row r="8922" spans="1:10" x14ac:dyDescent="0.25">
      <c r="A8922" s="5" t="s">
        <v>8956</v>
      </c>
      <c r="B8922" s="5" t="s">
        <v>10789</v>
      </c>
      <c r="C8922" s="6" t="str">
        <f>_xll.QS.CONTEXT.CREATE("market.8920",A8922,"USD","SOFR")</f>
        <v>QSObject:PricingContext:w1~market.8920:1363</v>
      </c>
      <c r="D8922" s="6" t="str">
        <f>_xll.QS.CONTEXT.ADD.CURVE(C8922,"SOFR",$K$2:$K$7,$L$2:$L$7,,,"Actual360","LogLinear",TRUE)</f>
        <v>QSObject:ContextInput:w1~input.qs_context_add_curve.2359132437744.8921.3.0:38137</v>
      </c>
      <c r="E8922" s="6" t="str">
        <f>_xll.QS.INSTRUMENT.SWAP("swap.8920",H8922,B8922,"USD","SOFR",I8922,J8922,0,"Actual360","Simple","Annual","Annual","Annual")</f>
        <v>QSObject:Swap:w1~swap.8920:1362</v>
      </c>
      <c r="F8922" s="6" t="str">
        <f>_xll.QS.TRADE.CREATE("trade.8920",E8922,A8922,"Receive")</f>
        <v>QSObject:SwapTrade:w1~trade.8920:22850</v>
      </c>
      <c r="G8922" s="3">
        <f>_xll.QS.EVALUATE(C8922,F8922)</f>
        <v>43528.196105335504</v>
      </c>
      <c r="H8922" s="5" t="s">
        <v>8963</v>
      </c>
      <c r="I8922" s="7">
        <v>1892000</v>
      </c>
      <c r="J8922" s="8">
        <v>3.7000000000000012E-2</v>
      </c>
    </row>
    <row r="8923" spans="1:10" x14ac:dyDescent="0.25">
      <c r="A8923" s="5" t="s">
        <v>8957</v>
      </c>
      <c r="B8923" s="5" t="s">
        <v>10790</v>
      </c>
      <c r="C8923" s="6" t="str">
        <f>_xll.QS.CONTEXT.CREATE("market.8921",A8923,"USD","SOFR")</f>
        <v>QSObject:PricingContext:w1~market.8921:1361</v>
      </c>
      <c r="D8923" s="6" t="str">
        <f>_xll.QS.CONTEXT.ADD.CURVE(C8923,"SOFR",$K$2:$K$7,$L$2:$L$7,,,"Actual360","LogLinear",TRUE)</f>
        <v>QSObject:ContextInput:w1~input.qs_context_add_curve.2359132437744.8922.3.0:31740</v>
      </c>
      <c r="E8923" s="6" t="str">
        <f>_xll.QS.INSTRUMENT.SWAP("swap.8921",H8923,B8923,"USD","SOFR",I8923,J8923,0,"Actual360","Simple","Annual","Annual","Annual")</f>
        <v>QSObject:Swap:w1~swap.8921:1360</v>
      </c>
      <c r="F8923" s="6" t="str">
        <f>_xll.QS.TRADE.CREATE("trade.8921",E8923,A8923,"Receive")</f>
        <v>QSObject:SwapTrade:w1~trade.8921:22192</v>
      </c>
      <c r="G8923" s="3">
        <f>_xll.QS.EVALUATE(C8923,F8923)</f>
        <v>44485.293202874833</v>
      </c>
      <c r="H8923" s="5" t="s">
        <v>8964</v>
      </c>
      <c r="I8923" s="7">
        <v>1892100</v>
      </c>
      <c r="J8923" s="8">
        <v>3.7100000000000001E-2</v>
      </c>
    </row>
    <row r="8924" spans="1:10" x14ac:dyDescent="0.25">
      <c r="A8924" s="5" t="s">
        <v>8958</v>
      </c>
      <c r="B8924" s="5" t="s">
        <v>10791</v>
      </c>
      <c r="C8924" s="6" t="str">
        <f>_xll.QS.CONTEXT.CREATE("market.8922",A8924,"USD","SOFR")</f>
        <v>QSObject:PricingContext:w1~market.8922:1359</v>
      </c>
      <c r="D8924" s="6" t="str">
        <f>_xll.QS.CONTEXT.ADD.CURVE(C8924,"SOFR",$K$2:$K$7,$L$2:$L$7,,,"Actual360","LogLinear",TRUE)</f>
        <v>QSObject:ContextInput:w1~input.qs_context_add_curve.2359132437744.8923.3.0:39984</v>
      </c>
      <c r="E8924" s="6" t="str">
        <f>_xll.QS.INSTRUMENT.SWAP("swap.8922",H8924,B8924,"USD","SOFR",I8924,J8924,0,"Actual360","Simple","Annual","Annual","Annual")</f>
        <v>QSObject:Swap:w1~swap.8922:1358</v>
      </c>
      <c r="F8924" s="6" t="str">
        <f>_xll.QS.TRADE.CREATE("trade.8922",E8924,A8924,"Receive")</f>
        <v>QSObject:SwapTrade:w1~trade.8922:22191</v>
      </c>
      <c r="G8924" s="3">
        <f>_xll.QS.EVALUATE(C8924,F8924)</f>
        <v>45288.382038931413</v>
      </c>
      <c r="H8924" s="5" t="s">
        <v>8965</v>
      </c>
      <c r="I8924" s="7">
        <v>1892200</v>
      </c>
      <c r="J8924" s="8">
        <v>3.7199999999999997E-2</v>
      </c>
    </row>
    <row r="8925" spans="1:10" x14ac:dyDescent="0.25">
      <c r="A8925" s="5" t="s">
        <v>8959</v>
      </c>
      <c r="B8925" s="5" t="s">
        <v>10792</v>
      </c>
      <c r="C8925" s="6" t="str">
        <f>_xll.QS.CONTEXT.CREATE("market.8923",A8925,"USD","SOFR")</f>
        <v>QSObject:PricingContext:w1~market.8923:1357</v>
      </c>
      <c r="D8925" s="6" t="str">
        <f>_xll.QS.CONTEXT.ADD.CURVE(C8925,"SOFR",$K$2:$K$7,$L$2:$L$7,,,"Actual360","LogLinear",TRUE)</f>
        <v>QSObject:ContextInput:w1~input.qs_context_add_curve.2359132437744.8924.3.0:32311</v>
      </c>
      <c r="E8925" s="6" t="str">
        <f>_xll.QS.INSTRUMENT.SWAP("swap.8923",H8925,B8925,"USD","SOFR",I8925,J8925,0,"Actual360","Simple","Annual","Annual","Annual")</f>
        <v>QSObject:Swap:w1~swap.8923:1356</v>
      </c>
      <c r="F8925" s="6" t="str">
        <f>_xll.QS.TRADE.CREATE("trade.8923",E8925,A8925,"Receive")</f>
        <v>QSObject:SwapTrade:w1~trade.8923:22849</v>
      </c>
      <c r="G8925" s="3">
        <f>_xll.QS.EVALUATE(C8925,F8925)</f>
        <v>46028.995437031459</v>
      </c>
      <c r="H8925" s="5" t="s">
        <v>8966</v>
      </c>
      <c r="I8925" s="7">
        <v>1892300</v>
      </c>
      <c r="J8925" s="8">
        <v>3.73E-2</v>
      </c>
    </row>
    <row r="8926" spans="1:10" x14ac:dyDescent="0.25">
      <c r="A8926" s="5" t="s">
        <v>8960</v>
      </c>
      <c r="B8926" s="5" t="s">
        <v>10793</v>
      </c>
      <c r="C8926" s="6" t="str">
        <f>_xll.QS.CONTEXT.CREATE("market.8924",A8926,"USD","SOFR")</f>
        <v>QSObject:PricingContext:w1~market.8924:1355</v>
      </c>
      <c r="D8926" s="6" t="str">
        <f>_xll.QS.CONTEXT.ADD.CURVE(C8926,"SOFR",$K$2:$K$7,$L$2:$L$7,,,"Actual360","LogLinear",TRUE)</f>
        <v>QSObject:ContextInput:w1~input.qs_context_add_curve.2359132437744.8925.3.0:33521</v>
      </c>
      <c r="E8926" s="6" t="str">
        <f>_xll.QS.INSTRUMENT.SWAP("swap.8924",H8926,B8926,"USD","SOFR",I8926,J8926,0,"Actual360","Simple","Annual","Annual","Annual")</f>
        <v>QSObject:Swap:w1~swap.8924:1354</v>
      </c>
      <c r="F8926" s="6" t="str">
        <f>_xll.QS.TRADE.CREATE("trade.8924",E8926,A8926,"Receive")</f>
        <v>QSObject:SwapTrade:w1~trade.8924:22848</v>
      </c>
      <c r="G8926" s="3">
        <f>_xll.QS.EVALUATE(C8926,F8926)</f>
        <v>46760.991754716284</v>
      </c>
      <c r="H8926" s="5" t="s">
        <v>8967</v>
      </c>
      <c r="I8926" s="7">
        <v>1892400</v>
      </c>
      <c r="J8926" s="8">
        <v>3.7400000000000003E-2</v>
      </c>
    </row>
    <row r="8927" spans="1:10" x14ac:dyDescent="0.25">
      <c r="A8927" s="5" t="s">
        <v>8961</v>
      </c>
      <c r="B8927" s="5" t="s">
        <v>10794</v>
      </c>
      <c r="C8927" s="6" t="str">
        <f>_xll.QS.CONTEXT.CREATE("market.8925",A8927,"USD","SOFR")</f>
        <v>QSObject:PricingContext:w1~market.8925:1353</v>
      </c>
      <c r="D8927" s="6" t="str">
        <f>_xll.QS.CONTEXT.ADD.CURVE(C8927,"SOFR",$K$2:$K$7,$L$2:$L$7,,,"Actual360","LogLinear",TRUE)</f>
        <v>QSObject:ContextInput:w1~input.qs_context_add_curve.2359132437744.8926.3.0:37002</v>
      </c>
      <c r="E8927" s="6" t="str">
        <f>_xll.QS.INSTRUMENT.SWAP("swap.8925",H8927,B8927,"USD","SOFR",I8927,J8927,0,"Actual360","Simple","Annual","Annual","Annual")</f>
        <v>QSObject:Swap:w1~swap.8925:1352</v>
      </c>
      <c r="F8927" s="6" t="str">
        <f>_xll.QS.TRADE.CREATE("trade.8925",E8927,A8927,"Receive")</f>
        <v>QSObject:SwapTrade:w1~trade.8925:22190</v>
      </c>
      <c r="G8927" s="3">
        <f>_xll.QS.EVALUATE(C8927,F8927)</f>
        <v>47717.094470446471</v>
      </c>
      <c r="H8927" s="5" t="s">
        <v>8968</v>
      </c>
      <c r="I8927" s="7">
        <v>1892500</v>
      </c>
      <c r="J8927" s="8">
        <v>3.7500000000000012E-2</v>
      </c>
    </row>
    <row r="8928" spans="1:10" x14ac:dyDescent="0.25">
      <c r="A8928" s="5" t="s">
        <v>8962</v>
      </c>
      <c r="B8928" s="5" t="s">
        <v>10795</v>
      </c>
      <c r="C8928" s="6" t="str">
        <f>_xll.QS.CONTEXT.CREATE("market.8926",A8928,"USD","SOFR")</f>
        <v>QSObject:PricingContext:w1~market.8926:1351</v>
      </c>
      <c r="D8928" s="6" t="str">
        <f>_xll.QS.CONTEXT.ADD.CURVE(C8928,"SOFR",$K$2:$K$7,$L$2:$L$7,,,"Actual360","LogLinear",TRUE)</f>
        <v>QSObject:ContextInput:w1~input.qs_context_add_curve.2359132437744.8927.3.0:38791</v>
      </c>
      <c r="E8928" s="6" t="str">
        <f>_xll.QS.INSTRUMENT.SWAP("swap.8926",H8928,B8928,"USD","SOFR",I8928,J8928,0,"Actual360","Simple","Annual","Annual","Annual")</f>
        <v>QSObject:Swap:w1~swap.8926:1350</v>
      </c>
      <c r="F8928" s="6" t="str">
        <f>_xll.QS.TRADE.CREATE("trade.8926",E8928,A8928,"Receive")</f>
        <v>QSObject:SwapTrade:w1~trade.8926:22847</v>
      </c>
      <c r="G8928" s="3">
        <f>_xll.QS.EVALUATE(C8928,F8928)</f>
        <v>48640.164222705927</v>
      </c>
      <c r="H8928" s="5" t="s">
        <v>8969</v>
      </c>
      <c r="I8928" s="7">
        <v>1892600</v>
      </c>
      <c r="J8928" s="8">
        <v>3.7600000000000001E-2</v>
      </c>
    </row>
    <row r="8929" spans="1:10" x14ac:dyDescent="0.25">
      <c r="A8929" s="5" t="s">
        <v>8963</v>
      </c>
      <c r="B8929" s="5" t="s">
        <v>10796</v>
      </c>
      <c r="C8929" s="6" t="str">
        <f>_xll.QS.CONTEXT.CREATE("market.8927",A8929,"USD","SOFR")</f>
        <v>QSObject:PricingContext:w1~market.8927:1349</v>
      </c>
      <c r="D8929" s="6" t="str">
        <f>_xll.QS.CONTEXT.ADD.CURVE(C8929,"SOFR",$K$2:$K$7,$L$2:$L$7,,,"Actual360","LogLinear",TRUE)</f>
        <v>QSObject:ContextInput:w1~input.qs_context_add_curve.2359132437744.8928.3.0:38790</v>
      </c>
      <c r="E8929" s="6" t="str">
        <f>_xll.QS.INSTRUMENT.SWAP("swap.8927",H8929,B8929,"USD","SOFR",I8929,J8929,0,"Actual360","Simple","Annual","Annual","Annual")</f>
        <v>QSObject:Swap:w1~swap.8927:1348</v>
      </c>
      <c r="F8929" s="6" t="str">
        <f>_xll.QS.TRADE.CREATE("trade.8927",E8929,A8929,"Receive")</f>
        <v>QSObject:SwapTrade:w1~trade.8927:22846</v>
      </c>
      <c r="G8929" s="3">
        <f>_xll.QS.EVALUATE(C8929,F8929)</f>
        <v>49653.877635622695</v>
      </c>
      <c r="H8929" s="5" t="s">
        <v>8970</v>
      </c>
      <c r="I8929" s="7">
        <v>1892700</v>
      </c>
      <c r="J8929" s="8">
        <v>3.7699999999999997E-2</v>
      </c>
    </row>
    <row r="8930" spans="1:10" x14ac:dyDescent="0.25">
      <c r="A8930" s="5" t="s">
        <v>8964</v>
      </c>
      <c r="B8930" s="5" t="s">
        <v>10797</v>
      </c>
      <c r="C8930" s="6" t="str">
        <f>_xll.QS.CONTEXT.CREATE("market.8928",A8930,"USD","SOFR")</f>
        <v>QSObject:PricingContext:w1~market.8928:1347</v>
      </c>
      <c r="D8930" s="6" t="str">
        <f>_xll.QS.CONTEXT.ADD.CURVE(C8930,"SOFR",$K$2:$K$7,$L$2:$L$7,,,"Actual360","LogLinear",TRUE)</f>
        <v>QSObject:ContextInput:w1~input.qs_context_add_curve.2359132437744.8929.3.0:38789</v>
      </c>
      <c r="E8930" s="6" t="str">
        <f>_xll.QS.INSTRUMENT.SWAP("swap.8928",H8930,B8930,"USD","SOFR",I8930,J8930,0,"Actual360","Simple","Annual","Annual","Annual")</f>
        <v>QSObject:Swap:w1~swap.8928:1346</v>
      </c>
      <c r="F8930" s="6" t="str">
        <f>_xll.QS.TRADE.CREATE("trade.8928",E8930,A8930,"Receive")</f>
        <v>QSObject:SwapTrade:w1~trade.8928:22189</v>
      </c>
      <c r="G8930" s="3">
        <f>_xll.QS.EVALUATE(C8930,F8930)</f>
        <v>50611.716077562764</v>
      </c>
      <c r="H8930" s="5" t="s">
        <v>8971</v>
      </c>
      <c r="I8930" s="7">
        <v>1892800</v>
      </c>
      <c r="J8930" s="8">
        <v>3.78E-2</v>
      </c>
    </row>
    <row r="8931" spans="1:10" x14ac:dyDescent="0.25">
      <c r="A8931" s="5" t="s">
        <v>8965</v>
      </c>
      <c r="B8931" s="5" t="s">
        <v>10798</v>
      </c>
      <c r="C8931" s="6" t="str">
        <f>_xll.QS.CONTEXT.CREATE("market.8929",A8931,"USD","SOFR")</f>
        <v>QSObject:PricingContext:w1~market.8929:1345</v>
      </c>
      <c r="D8931" s="6" t="str">
        <f>_xll.QS.CONTEXT.ADD.CURVE(C8931,"SOFR",$K$2:$K$7,$L$2:$L$7,,,"Actual360","LogLinear",TRUE)</f>
        <v>QSObject:ContextInput:w1~input.qs_context_add_curve.2359132437744.8930.3.0:35925</v>
      </c>
      <c r="E8931" s="6" t="str">
        <f>_xll.QS.INSTRUMENT.SWAP("swap.8929",H8931,B8931,"USD","SOFR",I8931,J8931,0,"Actual360","Simple","Annual","Annual","Annual")</f>
        <v>QSObject:Swap:w1~swap.8929:1344</v>
      </c>
      <c r="F8931" s="6" t="str">
        <f>_xll.QS.TRADE.CREATE("trade.8929",E8931,A8931,"Receive")</f>
        <v>QSObject:SwapTrade:w1~trade.8929:22845</v>
      </c>
      <c r="G8931" s="3">
        <f>_xll.QS.EVALUATE(C8931,F8931)</f>
        <v>51415.372910313126</v>
      </c>
      <c r="H8931" s="5" t="s">
        <v>8972</v>
      </c>
      <c r="I8931" s="7">
        <v>1892900</v>
      </c>
      <c r="J8931" s="8">
        <v>3.7900000000000003E-2</v>
      </c>
    </row>
    <row r="8932" spans="1:10" x14ac:dyDescent="0.25">
      <c r="A8932" s="5" t="s">
        <v>8966</v>
      </c>
      <c r="B8932" s="5" t="s">
        <v>10799</v>
      </c>
      <c r="C8932" s="6" t="str">
        <f>_xll.QS.CONTEXT.CREATE("market.8930",A8932,"USD","SOFR")</f>
        <v>QSObject:PricingContext:w1~market.8930:1343</v>
      </c>
      <c r="D8932" s="6" t="str">
        <f>_xll.QS.CONTEXT.ADD.CURVE(C8932,"SOFR",$K$2:$K$7,$L$2:$L$7,,,"Actual360","LogLinear",TRUE)</f>
        <v>QSObject:ContextInput:w1~input.qs_context_add_curve.2359132437744.8931.3.0:32310</v>
      </c>
      <c r="E8932" s="6" t="str">
        <f>_xll.QS.INSTRUMENT.SWAP("swap.8930",H8932,B8932,"USD","SOFR",I8932,J8932,0,"Actual360","Simple","Annual","Annual","Annual")</f>
        <v>QSObject:Swap:w1~swap.8930:1342</v>
      </c>
      <c r="F8932" s="6" t="str">
        <f>_xll.QS.TRADE.CREATE("trade.8930",E8932,A8932,"Receive")</f>
        <v>QSObject:SwapTrade:w1~trade.8930:22188</v>
      </c>
      <c r="G8932" s="3">
        <f>_xll.QS.EVALUATE(C8932,F8932)</f>
        <v>52149.379319988555</v>
      </c>
      <c r="H8932" s="5" t="s">
        <v>8973</v>
      </c>
      <c r="I8932" s="7">
        <v>1893000</v>
      </c>
      <c r="J8932" s="8">
        <v>3.8000000000000013E-2</v>
      </c>
    </row>
    <row r="8933" spans="1:10" x14ac:dyDescent="0.25">
      <c r="A8933" s="5" t="s">
        <v>8967</v>
      </c>
      <c r="B8933" s="5" t="s">
        <v>10800</v>
      </c>
      <c r="C8933" s="6" t="str">
        <f>_xll.QS.CONTEXT.CREATE("market.8931",A8933,"USD","SOFR")</f>
        <v>QSObject:PricingContext:w1~market.8931:1341</v>
      </c>
      <c r="D8933" s="6" t="str">
        <f>_xll.QS.CONTEXT.ADD.CURVE(C8933,"SOFR",$K$2:$K$7,$L$2:$L$7,,,"Actual360","LogLinear",TRUE)</f>
        <v>QSObject:ContextInput:w1~input.qs_context_add_curve.2359132437744.8932.3.0:35348</v>
      </c>
      <c r="E8933" s="6" t="str">
        <f>_xll.QS.INSTRUMENT.SWAP("swap.8931",H8933,B8933,"USD","SOFR",I8933,J8933,0,"Actual360","Simple","Annual","Annual","Annual")</f>
        <v>QSObject:Swap:w1~swap.8931:1340</v>
      </c>
      <c r="F8933" s="6" t="str">
        <f>_xll.QS.TRADE.CREATE("trade.8931",E8933,A8933,"Receive")</f>
        <v>QSObject:SwapTrade:w1~trade.8931:22187</v>
      </c>
      <c r="G8933" s="3">
        <f>_xll.QS.EVALUATE(C8933,F8933)</f>
        <v>52891.436167046231</v>
      </c>
      <c r="H8933" s="5" t="s">
        <v>8974</v>
      </c>
      <c r="I8933" s="7">
        <v>1893100</v>
      </c>
      <c r="J8933" s="8">
        <v>3.8100000000000002E-2</v>
      </c>
    </row>
    <row r="8934" spans="1:10" x14ac:dyDescent="0.25">
      <c r="A8934" s="5" t="s">
        <v>8968</v>
      </c>
      <c r="B8934" s="5" t="s">
        <v>10801</v>
      </c>
      <c r="C8934" s="6" t="str">
        <f>_xll.QS.CONTEXT.CREATE("market.8932",A8934,"USD","SOFR")</f>
        <v>QSObject:PricingContext:w1~market.8932:1339</v>
      </c>
      <c r="D8934" s="6" t="str">
        <f>_xll.QS.CONTEXT.ADD.CURVE(C8934,"SOFR",$K$2:$K$7,$L$2:$L$7,,,"Actual360","LogLinear",TRUE)</f>
        <v>QSObject:ContextInput:w1~input.qs_context_add_curve.2359132437744.8933.3.0:35347</v>
      </c>
      <c r="E8934" s="6" t="str">
        <f>_xll.QS.INSTRUMENT.SWAP("swap.8932",H8934,B8934,"USD","SOFR",I8934,J8934,0,"Actual360","Simple","Annual","Annual","Annual")</f>
        <v>QSObject:Swap:w1~swap.8932:1338</v>
      </c>
      <c r="F8934" s="6" t="str">
        <f>_xll.QS.TRADE.CREATE("trade.8932",E8934,A8934,"Receive")</f>
        <v>QSObject:SwapTrade:w1~trade.8932:22844</v>
      </c>
      <c r="G8934" s="3">
        <f>_xll.QS.EVALUATE(C8934,F8934)</f>
        <v>53848.834185032734</v>
      </c>
      <c r="H8934" s="5" t="s">
        <v>8975</v>
      </c>
      <c r="I8934" s="7">
        <v>1893200</v>
      </c>
      <c r="J8934" s="8">
        <v>3.8199999999999998E-2</v>
      </c>
    </row>
    <row r="8935" spans="1:10" x14ac:dyDescent="0.25">
      <c r="A8935" s="5" t="s">
        <v>8969</v>
      </c>
      <c r="B8935" s="5" t="s">
        <v>10802</v>
      </c>
      <c r="C8935" s="6" t="str">
        <f>_xll.QS.CONTEXT.CREATE("market.8933",A8935,"USD","SOFR")</f>
        <v>QSObject:PricingContext:w1~market.8933:1337</v>
      </c>
      <c r="D8935" s="6" t="str">
        <f>_xll.QS.CONTEXT.ADD.CURVE(C8935,"SOFR",$K$2:$K$7,$L$2:$L$7,,,"Actual360","LogLinear",TRUE)</f>
        <v>QSObject:ContextInput:w1~input.qs_context_add_curve.2359132437744.8934.3.0:38136</v>
      </c>
      <c r="E8935" s="6" t="str">
        <f>_xll.QS.INSTRUMENT.SWAP("swap.8933",H8935,B8935,"USD","SOFR",I8935,J8935,0,"Actual360","Simple","Annual","Annual","Annual")</f>
        <v>QSObject:Swap:w1~swap.8933:1336</v>
      </c>
      <c r="F8935" s="6" t="str">
        <f>_xll.QS.TRADE.CREATE("trade.8933",E8935,A8935,"Receive")</f>
        <v>QSObject:SwapTrade:w1~trade.8933:22186</v>
      </c>
      <c r="G8935" s="3">
        <f>_xll.QS.EVALUATE(C8935,F8935)</f>
        <v>54769.634821653439</v>
      </c>
      <c r="H8935" s="5" t="s">
        <v>8976</v>
      </c>
      <c r="I8935" s="7">
        <v>1893300</v>
      </c>
      <c r="J8935" s="8">
        <v>3.8300000000000001E-2</v>
      </c>
    </row>
    <row r="8936" spans="1:10" x14ac:dyDescent="0.25">
      <c r="A8936" s="5" t="s">
        <v>8970</v>
      </c>
      <c r="B8936" s="5" t="s">
        <v>10803</v>
      </c>
      <c r="C8936" s="6" t="str">
        <f>_xll.QS.CONTEXT.CREATE("market.8934",A8936,"USD","SOFR")</f>
        <v>QSObject:PricingContext:w1~market.8934:1335</v>
      </c>
      <c r="D8936" s="6" t="str">
        <f>_xll.QS.CONTEXT.ADD.CURVE(C8936,"SOFR",$K$2:$K$7,$L$2:$L$7,,,"Actual360","LogLinear",TRUE)</f>
        <v>QSObject:ContextInput:w1~input.qs_context_add_curve.2359132437744.8935.3.0:37562</v>
      </c>
      <c r="E8936" s="6" t="str">
        <f>_xll.QS.INSTRUMENT.SWAP("swap.8934",H8936,B8936,"USD","SOFR",I8936,J8936,0,"Actual360","Simple","Annual","Annual","Annual")</f>
        <v>QSObject:Swap:w1~swap.8934:1334</v>
      </c>
      <c r="F8936" s="6" t="str">
        <f>_xll.QS.TRADE.CREATE("trade.8934",E8936,A8936,"Receive")</f>
        <v>QSObject:SwapTrade:w1~trade.8934:22843</v>
      </c>
      <c r="G8936" s="3">
        <f>_xll.QS.EVALUATE(C8936,F8936)</f>
        <v>55784.078428605928</v>
      </c>
      <c r="H8936" s="5" t="s">
        <v>8977</v>
      </c>
      <c r="I8936" s="7">
        <v>1893400</v>
      </c>
      <c r="J8936" s="8">
        <v>3.8399999999999997E-2</v>
      </c>
    </row>
    <row r="8937" spans="1:10" x14ac:dyDescent="0.25">
      <c r="A8937" s="5" t="s">
        <v>8971</v>
      </c>
      <c r="B8937" s="5" t="s">
        <v>10804</v>
      </c>
      <c r="C8937" s="6" t="str">
        <f>_xll.QS.CONTEXT.CREATE("market.8935",A8937,"USD","SOFR")</f>
        <v>QSObject:PricingContext:w1~market.8935:1333</v>
      </c>
      <c r="D8937" s="6" t="str">
        <f>_xll.QS.CONTEXT.ADD.CURVE(C8937,"SOFR",$K$2:$K$7,$L$2:$L$7,,,"Actual360","LogLinear",TRUE)</f>
        <v>QSObject:ContextInput:w1~input.qs_context_add_curve.2359132437744.8936.3.0:38788</v>
      </c>
      <c r="E8937" s="6" t="str">
        <f>_xll.QS.INSTRUMENT.SWAP("swap.8935",H8937,B8937,"USD","SOFR",I8937,J8937,0,"Actual360","Simple","Annual","Annual","Annual")</f>
        <v>QSObject:Swap:w1~swap.8935:1332</v>
      </c>
      <c r="F8937" s="6" t="str">
        <f>_xll.QS.TRADE.CREATE("trade.8935",E8937,A8937,"Receive")</f>
        <v>QSObject:SwapTrade:w1~trade.8935:22842</v>
      </c>
      <c r="G8937" s="3">
        <f>_xll.QS.EVALUATE(C8937,F8937)</f>
        <v>56742.658157226331</v>
      </c>
      <c r="H8937" s="5" t="s">
        <v>8978</v>
      </c>
      <c r="I8937" s="7">
        <v>1893500</v>
      </c>
      <c r="J8937" s="8">
        <v>3.8500000000000013E-2</v>
      </c>
    </row>
    <row r="8938" spans="1:10" x14ac:dyDescent="0.25">
      <c r="A8938" s="5" t="s">
        <v>8972</v>
      </c>
      <c r="B8938" s="5" t="s">
        <v>10805</v>
      </c>
      <c r="C8938" s="6" t="str">
        <f>_xll.QS.CONTEXT.CREATE("market.8936",A8938,"USD","SOFR")</f>
        <v>QSObject:PricingContext:w1~market.8936:1331</v>
      </c>
      <c r="D8938" s="6" t="str">
        <f>_xll.QS.CONTEXT.ADD.CURVE(C8938,"SOFR",$K$2:$K$7,$L$2:$L$7,,,"Actual360","LogLinear",TRUE)</f>
        <v>QSObject:ContextInput:w1~input.qs_context_add_curve.2359132437744.8937.3.0:38787</v>
      </c>
      <c r="E8938" s="6" t="str">
        <f>_xll.QS.INSTRUMENT.SWAP("swap.8936",H8938,B8938,"USD","SOFR",I8938,J8938,0,"Actual360","Simple","Annual","Annual","Annual")</f>
        <v>QSObject:Swap:w1~swap.8936:1330</v>
      </c>
      <c r="F8938" s="6" t="str">
        <f>_xll.QS.TRADE.CREATE("trade.8936",E8938,A8938,"Receive")</f>
        <v>QSObject:SwapTrade:w1~trade.8936:22185</v>
      </c>
      <c r="G8938" s="3">
        <f>_xll.QS.EVALUATE(C8938,F8938)</f>
        <v>57546.886492805243</v>
      </c>
      <c r="H8938" s="5" t="s">
        <v>8979</v>
      </c>
      <c r="I8938" s="7">
        <v>1893600</v>
      </c>
      <c r="J8938" s="8">
        <v>3.8600000000000002E-2</v>
      </c>
    </row>
    <row r="8939" spans="1:10" x14ac:dyDescent="0.25">
      <c r="A8939" s="5" t="s">
        <v>8973</v>
      </c>
      <c r="B8939" s="5" t="s">
        <v>10806</v>
      </c>
      <c r="C8939" s="6" t="str">
        <f>_xll.QS.CONTEXT.CREATE("market.8937",A8939,"USD","SOFR")</f>
        <v>QSObject:PricingContext:w1~market.8937:1329</v>
      </c>
      <c r="D8939" s="6" t="str">
        <f>_xll.QS.CONTEXT.ADD.CURVE(C8939,"SOFR",$K$2:$K$7,$L$2:$L$7,,,"Actual360","LogLinear",TRUE)</f>
        <v>QSObject:ContextInput:w1~input.qs_context_add_curve.2359132437744.8938.3.0:39347</v>
      </c>
      <c r="E8939" s="6" t="str">
        <f>_xll.QS.INSTRUMENT.SWAP("swap.8937",H8939,B8939,"USD","SOFR",I8939,J8939,0,"Actual360","Simple","Annual","Annual","Annual")</f>
        <v>QSObject:Swap:w1~swap.8937:1328</v>
      </c>
      <c r="F8939" s="6" t="str">
        <f>_xll.QS.TRADE.CREATE("trade.8937",E8939,A8939,"Receive")</f>
        <v>QSObject:SwapTrade:w1~trade.8937:22184</v>
      </c>
      <c r="G8939" s="3">
        <f>_xll.QS.EVALUATE(C8939,F8939)</f>
        <v>58274.284131681394</v>
      </c>
      <c r="H8939" s="5" t="s">
        <v>8980</v>
      </c>
      <c r="I8939" s="7">
        <v>1893700</v>
      </c>
      <c r="J8939" s="8">
        <v>3.8700000000000012E-2</v>
      </c>
    </row>
    <row r="8940" spans="1:10" x14ac:dyDescent="0.25">
      <c r="A8940" s="5" t="s">
        <v>8974</v>
      </c>
      <c r="B8940" s="5" t="s">
        <v>10807</v>
      </c>
      <c r="C8940" s="6" t="str">
        <f>_xll.QS.CONTEXT.CREATE("market.8938",A8940,"USD","SOFR")</f>
        <v>QSObject:PricingContext:w1~market.8938:1327</v>
      </c>
      <c r="D8940" s="6" t="str">
        <f>_xll.QS.CONTEXT.ADD.CURVE(C8940,"SOFR",$K$2:$K$7,$L$2:$L$7,,,"Actual360","LogLinear",TRUE)</f>
        <v>QSObject:ContextInput:w1~input.qs_context_add_curve.2359132437744.8939.3.0:32309</v>
      </c>
      <c r="E8940" s="6" t="str">
        <f>_xll.QS.INSTRUMENT.SWAP("swap.8938",H8940,B8940,"USD","SOFR",I8940,J8940,0,"Actual360","Simple","Annual","Annual","Annual")</f>
        <v>QSObject:Swap:w1~swap.8938:1326</v>
      </c>
      <c r="F8940" s="6" t="str">
        <f>_xll.QS.TRADE.CREATE("trade.8938",E8940,A8940,"Receive")</f>
        <v>QSObject:SwapTrade:w1~trade.8938:22841</v>
      </c>
      <c r="G8940" s="3">
        <f>_xll.QS.EVALUATE(C8940,F8940)</f>
        <v>59154.371813632715</v>
      </c>
      <c r="H8940" s="5" t="s">
        <v>8981</v>
      </c>
      <c r="I8940" s="7">
        <v>1893800</v>
      </c>
      <c r="J8940" s="8">
        <v>3.8800000000000001E-2</v>
      </c>
    </row>
    <row r="8941" spans="1:10" x14ac:dyDescent="0.25">
      <c r="A8941" s="5" t="s">
        <v>8975</v>
      </c>
      <c r="B8941" s="5" t="s">
        <v>10808</v>
      </c>
      <c r="C8941" s="6" t="str">
        <f>_xll.QS.CONTEXT.CREATE("market.8939",A8941,"USD","SOFR")</f>
        <v>QSObject:PricingContext:w1~market.8939:1325</v>
      </c>
      <c r="D8941" s="6" t="str">
        <f>_xll.QS.CONTEXT.ADD.CURVE(C8941,"SOFR",$K$2:$K$7,$L$2:$L$7,,,"Actual360","LogLinear",TRUE)</f>
        <v>QSObject:ContextInput:w1~input.qs_context_add_curve.2359132437744.8940.3.0:37001</v>
      </c>
      <c r="E8941" s="6" t="str">
        <f>_xll.QS.INSTRUMENT.SWAP("swap.8939",H8941,B8941,"USD","SOFR",I8941,J8941,0,"Actual360","Simple","Annual","Annual","Annual")</f>
        <v>QSObject:Swap:w1~swap.8939:1324</v>
      </c>
      <c r="F8941" s="6" t="str">
        <f>_xll.QS.TRADE.CREATE("trade.8939",E8941,A8941,"Receive")</f>
        <v>QSObject:SwapTrade:w1~trade.8939:22840</v>
      </c>
      <c r="G8941" s="3">
        <f>_xll.QS.EVALUATE(C8941,F8941)</f>
        <v>60111.982115124156</v>
      </c>
      <c r="H8941" s="5" t="s">
        <v>8982</v>
      </c>
      <c r="I8941" s="7">
        <v>1893900</v>
      </c>
      <c r="J8941" s="8">
        <v>3.8899999999999997E-2</v>
      </c>
    </row>
    <row r="8942" spans="1:10" x14ac:dyDescent="0.25">
      <c r="A8942" s="5" t="s">
        <v>8976</v>
      </c>
      <c r="B8942" s="5" t="s">
        <v>10809</v>
      </c>
      <c r="C8942" s="6" t="str">
        <f>_xll.QS.CONTEXT.CREATE("market.8940",A8942,"USD","SOFR")</f>
        <v>QSObject:PricingContext:w1~market.8940:1323</v>
      </c>
      <c r="D8942" s="6" t="str">
        <f>_xll.QS.CONTEXT.ADD.CURVE(C8942,"SOFR",$K$2:$K$7,$L$2:$L$7,,,"Actual360","LogLinear",TRUE)</f>
        <v>QSObject:ContextInput:w1~input.qs_context_add_curve.2359132437744.8941.3.0:35346</v>
      </c>
      <c r="E8942" s="6" t="str">
        <f>_xll.QS.INSTRUMENT.SWAP("swap.8940",H8942,B8942,"USD","SOFR",I8942,J8942,0,"Actual360","Simple","Annual","Annual","Annual")</f>
        <v>QSObject:Swap:w1~swap.8940:1322</v>
      </c>
      <c r="F8942" s="6" t="str">
        <f>_xll.QS.TRADE.CREATE("trade.8940",E8942,A8942,"Receive")</f>
        <v>QSObject:SwapTrade:w1~trade.8940:22839</v>
      </c>
      <c r="G8942" s="3">
        <f>_xll.QS.EVALUATE(C8942,F8942)</f>
        <v>60903.507757743748</v>
      </c>
      <c r="H8942" s="5" t="s">
        <v>8983</v>
      </c>
      <c r="I8942" s="7">
        <v>1894000</v>
      </c>
      <c r="J8942" s="8">
        <v>3.9000000000000007E-2</v>
      </c>
    </row>
    <row r="8943" spans="1:10" x14ac:dyDescent="0.25">
      <c r="A8943" s="5" t="s">
        <v>8977</v>
      </c>
      <c r="B8943" s="5" t="s">
        <v>10810</v>
      </c>
      <c r="C8943" s="6" t="str">
        <f>_xll.QS.CONTEXT.CREATE("market.8941",A8943,"USD","SOFR")</f>
        <v>QSObject:PricingContext:w1~market.8941:1321</v>
      </c>
      <c r="D8943" s="6" t="str">
        <f>_xll.QS.CONTEXT.ADD.CURVE(C8943,"SOFR",$K$2:$K$7,$L$2:$L$7,,,"Actual360","LogLinear",TRUE)</f>
        <v>QSObject:ContextInput:w1~input.qs_context_add_curve.2359132437744.8942.3.0:32308</v>
      </c>
      <c r="E8943" s="6" t="str">
        <f>_xll.QS.INSTRUMENT.SWAP("swap.8941",H8943,B8943,"USD","SOFR",I8943,J8943,0,"Actual360","Simple","Annual","Annual","Annual")</f>
        <v>QSObject:Swap:w1~swap.8941:1320</v>
      </c>
      <c r="F8943" s="6" t="str">
        <f>_xll.QS.TRADE.CREATE("trade.8941",E8943,A8943,"Receive")</f>
        <v>QSObject:SwapTrade:w1~trade.8941:22838</v>
      </c>
      <c r="G8943" s="3">
        <f>_xll.QS.EVALUATE(C8943,F8943)</f>
        <v>61918.617398543254</v>
      </c>
      <c r="H8943" s="5" t="s">
        <v>8984</v>
      </c>
      <c r="I8943" s="7">
        <v>1894100</v>
      </c>
      <c r="J8943" s="8">
        <v>3.9100000000000003E-2</v>
      </c>
    </row>
    <row r="8944" spans="1:10" x14ac:dyDescent="0.25">
      <c r="A8944" s="5" t="s">
        <v>8978</v>
      </c>
      <c r="B8944" s="5" t="s">
        <v>10811</v>
      </c>
      <c r="C8944" s="6" t="str">
        <f>_xll.QS.CONTEXT.CREATE("market.8942",A8944,"USD","SOFR")</f>
        <v>QSObject:PricingContext:w1~market.8942:1319</v>
      </c>
      <c r="D8944" s="6" t="str">
        <f>_xll.QS.CONTEXT.ADD.CURVE(C8944,"SOFR",$K$2:$K$7,$L$2:$L$7,,,"Actual360","LogLinear",TRUE)</f>
        <v>QSObject:ContextInput:w1~input.qs_context_add_curve.2359132437744.8943.3.0:36472</v>
      </c>
      <c r="E8944" s="6" t="str">
        <f>_xll.QS.INSTRUMENT.SWAP("swap.8942",H8944,B8944,"USD","SOFR",I8944,J8944,0,"Actual360","Simple","Annual","Annual","Annual")</f>
        <v>QSObject:Swap:w1~swap.8942:1318</v>
      </c>
      <c r="F8944" s="6" t="str">
        <f>_xll.QS.TRADE.CREATE("trade.8942",E8944,A8944,"Receive")</f>
        <v>QSObject:SwapTrade:w1~trade.8942:22837</v>
      </c>
      <c r="G8944" s="3">
        <f>_xll.QS.EVALUATE(C8944,F8944)</f>
        <v>62800.089640487786</v>
      </c>
      <c r="H8944" s="5" t="s">
        <v>8985</v>
      </c>
      <c r="I8944" s="7">
        <v>1894200</v>
      </c>
      <c r="J8944" s="8">
        <v>3.9200000000000013E-2</v>
      </c>
    </row>
    <row r="8945" spans="1:10" x14ac:dyDescent="0.25">
      <c r="A8945" s="5" t="s">
        <v>8979</v>
      </c>
      <c r="B8945" s="5" t="s">
        <v>10812</v>
      </c>
      <c r="C8945" s="6" t="str">
        <f>_xll.QS.CONTEXT.CREATE("market.8943",A8945,"USD","SOFR")</f>
        <v>QSObject:PricingContext:w1~market.8943:1317</v>
      </c>
      <c r="D8945" s="6" t="str">
        <f>_xll.QS.CONTEXT.ADD.CURVE(C8945,"SOFR",$K$2:$K$7,$L$2:$L$7,,,"Actual360","LogLinear",TRUE)</f>
        <v>QSObject:ContextInput:w1~input.qs_context_add_curve.2359132437744.8944.3.0:38135</v>
      </c>
      <c r="E8945" s="6" t="str">
        <f>_xll.QS.INSTRUMENT.SWAP("swap.8943",H8945,B8945,"USD","SOFR",I8945,J8945,0,"Actual360","Simple","Annual","Annual","Annual")</f>
        <v>QSObject:Swap:w1~swap.8943:1316</v>
      </c>
      <c r="F8945" s="6" t="str">
        <f>_xll.QS.TRADE.CREATE("trade.8943",E8945,A8945,"Receive")</f>
        <v>QSObject:SwapTrade:w1~trade.8943:22836</v>
      </c>
      <c r="G8945" s="3">
        <f>_xll.QS.EVALUATE(C8945,F8945)</f>
        <v>63523.877627899063</v>
      </c>
      <c r="H8945" s="5" t="s">
        <v>8986</v>
      </c>
      <c r="I8945" s="7">
        <v>1894300</v>
      </c>
      <c r="J8945" s="8">
        <v>3.9300000000000002E-2</v>
      </c>
    </row>
    <row r="8946" spans="1:10" x14ac:dyDescent="0.25">
      <c r="A8946" s="5" t="s">
        <v>8980</v>
      </c>
      <c r="B8946" s="5" t="s">
        <v>10813</v>
      </c>
      <c r="C8946" s="6" t="str">
        <f>_xll.QS.CONTEXT.CREATE("market.8944",A8946,"USD","SOFR")</f>
        <v>QSObject:PricingContext:w1~market.8944:1315</v>
      </c>
      <c r="D8946" s="6" t="str">
        <f>_xll.QS.CONTEXT.ADD.CURVE(C8946,"SOFR",$K$2:$K$7,$L$2:$L$7,,,"Actual360","LogLinear",TRUE)</f>
        <v>QSObject:ContextInput:w1~input.qs_context_add_curve.2359132437744.8945.3.0:37000</v>
      </c>
      <c r="E8946" s="6" t="str">
        <f>_xll.QS.INSTRUMENT.SWAP("swap.8944",H8946,B8946,"USD","SOFR",I8946,J8946,0,"Actual360","Simple","Annual","Annual","Annual")</f>
        <v>QSObject:Swap:w1~swap.8944:1314</v>
      </c>
      <c r="F8946" s="6" t="str">
        <f>_xll.QS.TRADE.CREATE("trade.8944",E8946,A8946,"Receive")</f>
        <v>QSObject:SwapTrade:w1~trade.8944:22835</v>
      </c>
      <c r="G8946" s="3">
        <f>_xll.QS.EVALUATE(C8946,F8946)</f>
        <v>64405.173578192735</v>
      </c>
      <c r="H8946" s="5" t="s">
        <v>8987</v>
      </c>
      <c r="I8946" s="7">
        <v>1894400</v>
      </c>
      <c r="J8946" s="8">
        <v>3.9399999999999998E-2</v>
      </c>
    </row>
    <row r="8947" spans="1:10" x14ac:dyDescent="0.25">
      <c r="A8947" s="5" t="s">
        <v>8981</v>
      </c>
      <c r="B8947" s="5" t="s">
        <v>10814</v>
      </c>
      <c r="C8947" s="6" t="str">
        <f>_xll.QS.CONTEXT.CREATE("market.8945",A8947,"USD","SOFR")</f>
        <v>QSObject:PricingContext:w1~market.8945:1313</v>
      </c>
      <c r="D8947" s="6" t="str">
        <f>_xll.QS.CONTEXT.ADD.CURVE(C8947,"SOFR",$K$2:$K$7,$L$2:$L$7,,,"Actual360","LogLinear",TRUE)</f>
        <v>QSObject:ContextInput:w1~input.qs_context_add_curve.2359132437744.8946.3.0:34110</v>
      </c>
      <c r="E8947" s="6" t="str">
        <f>_xll.QS.INSTRUMENT.SWAP("swap.8945",H8947,B8947,"USD","SOFR",I8947,J8947,0,"Actual360","Simple","Annual","Annual","Annual")</f>
        <v>QSObject:Swap:w1~swap.8945:1312</v>
      </c>
      <c r="F8947" s="6" t="str">
        <f>_xll.QS.TRADE.CREATE("trade.8945",E8947,A8947,"Receive")</f>
        <v>QSObject:SwapTrade:w1~trade.8945:22834</v>
      </c>
      <c r="G8947" s="3">
        <f>_xll.QS.EVALUATE(C8947,F8947)</f>
        <v>65167.181690277313</v>
      </c>
      <c r="H8947" s="5" t="s">
        <v>8988</v>
      </c>
      <c r="I8947" s="7">
        <v>1894500</v>
      </c>
      <c r="J8947" s="8">
        <v>3.9500000000000007E-2</v>
      </c>
    </row>
    <row r="8948" spans="1:10" x14ac:dyDescent="0.25">
      <c r="A8948" s="5" t="s">
        <v>8982</v>
      </c>
      <c r="B8948" s="5" t="s">
        <v>10815</v>
      </c>
      <c r="C8948" s="6" t="str">
        <f>_xll.QS.CONTEXT.CREATE("market.8946",A8948,"USD","SOFR")</f>
        <v>QSObject:PricingContext:w1~market.8946:1311</v>
      </c>
      <c r="D8948" s="6" t="str">
        <f>_xll.QS.CONTEXT.ADD.CURVE(C8948,"SOFR",$K$2:$K$7,$L$2:$L$7,,,"Actual360","LogLinear",TRUE)</f>
        <v>QSObject:ContextInput:w1~input.qs_context_add_curve.2359132437744.8947.3.0:35924</v>
      </c>
      <c r="E8948" s="6" t="str">
        <f>_xll.QS.INSTRUMENT.SWAP("swap.8946",H8948,B8948,"USD","SOFR",I8948,J8948,0,"Actual360","Simple","Annual","Annual","Annual")</f>
        <v>QSObject:Swap:w1~swap.8946:1310</v>
      </c>
      <c r="F8948" s="6" t="str">
        <f>_xll.QS.TRADE.CREATE("trade.8946",E8948,A8948,"Receive")</f>
        <v>QSObject:SwapTrade:w1~trade.8946:22833</v>
      </c>
      <c r="G8948" s="3">
        <f>_xll.QS.EVALUATE(C8948,F8948)</f>
        <v>66196.411558041</v>
      </c>
      <c r="H8948" s="5" t="s">
        <v>8989</v>
      </c>
      <c r="I8948" s="7">
        <v>1894600</v>
      </c>
      <c r="J8948" s="8">
        <v>3.9600000000000003E-2</v>
      </c>
    </row>
    <row r="8949" spans="1:10" x14ac:dyDescent="0.25">
      <c r="A8949" s="5" t="s">
        <v>8983</v>
      </c>
      <c r="B8949" s="5" t="s">
        <v>10816</v>
      </c>
      <c r="C8949" s="6" t="str">
        <f>_xll.QS.CONTEXT.CREATE("market.8947",A8949,"USD","SOFR")</f>
        <v>QSObject:PricingContext:w1~market.8947:1309</v>
      </c>
      <c r="D8949" s="6" t="str">
        <f>_xll.QS.CONTEXT.ADD.CURVE(C8949,"SOFR",$K$2:$K$7,$L$2:$L$7,,,"Actual360","LogLinear",TRUE)</f>
        <v>QSObject:ContextInput:w1~input.qs_context_add_curve.2359132437744.8948.3.0:31739</v>
      </c>
      <c r="E8949" s="6" t="str">
        <f>_xll.QS.INSTRUMENT.SWAP("swap.8947",H8949,B8949,"USD","SOFR",I8949,J8949,0,"Actual360","Simple","Annual","Annual","Annual")</f>
        <v>QSObject:Swap:w1~swap.8947:1308</v>
      </c>
      <c r="F8949" s="6" t="str">
        <f>_xll.QS.TRADE.CREATE("trade.8947",E8949,A8949,"Receive")</f>
        <v>QSObject:SwapTrade:w1~trade.8947:22832</v>
      </c>
      <c r="G8949" s="3">
        <f>_xll.QS.EVALUATE(C8949,F8949)</f>
        <v>67251.207502831923</v>
      </c>
      <c r="H8949" s="5" t="s">
        <v>8990</v>
      </c>
      <c r="I8949" s="7">
        <v>1894700</v>
      </c>
      <c r="J8949" s="8">
        <v>3.9700000000000013E-2</v>
      </c>
    </row>
    <row r="8950" spans="1:10" x14ac:dyDescent="0.25">
      <c r="A8950" s="5" t="s">
        <v>8984</v>
      </c>
      <c r="B8950" s="5" t="s">
        <v>10817</v>
      </c>
      <c r="C8950" s="6" t="str">
        <f>_xll.QS.CONTEXT.CREATE("market.8948",A8950,"USD","SOFR")</f>
        <v>QSObject:PricingContext:w1~market.8948:1307</v>
      </c>
      <c r="D8950" s="6" t="str">
        <f>_xll.QS.CONTEXT.ADD.CURVE(C8950,"SOFR",$K$2:$K$7,$L$2:$L$7,,,"Actual360","LogLinear",TRUE)</f>
        <v>QSObject:ContextInput:w1~input.qs_context_add_curve.2359132437744.8949.3.0:38786</v>
      </c>
      <c r="E8950" s="6" t="str">
        <f>_xll.QS.INSTRUMENT.SWAP("swap.8948",H8950,B8950,"USD","SOFR",I8950,J8950,0,"Actual360","Simple","Annual","Annual","Annual")</f>
        <v>QSObject:Swap:w1~swap.8948:1306</v>
      </c>
      <c r="F8950" s="6" t="str">
        <f>_xll.QS.TRADE.CREATE("trade.8948",E8950,A8950,"Receive")</f>
        <v>QSObject:SwapTrade:w1~trade.8948:22831</v>
      </c>
      <c r="G8950" s="3">
        <f>_xll.QS.EVALUATE(C8950,F8950)</f>
        <v>68145.90297007456</v>
      </c>
      <c r="H8950" s="5" t="s">
        <v>8991</v>
      </c>
      <c r="I8950" s="7">
        <v>1894800</v>
      </c>
      <c r="J8950" s="8">
        <v>3.9800000000000002E-2</v>
      </c>
    </row>
    <row r="8951" spans="1:10" x14ac:dyDescent="0.25">
      <c r="A8951" s="5" t="s">
        <v>8985</v>
      </c>
      <c r="B8951" s="5" t="s">
        <v>10818</v>
      </c>
      <c r="C8951" s="6" t="str">
        <f>_xll.QS.CONTEXT.CREATE("market.8949",A8951,"USD","SOFR")</f>
        <v>QSObject:PricingContext:w1~market.8949:1305</v>
      </c>
      <c r="D8951" s="6" t="str">
        <f>_xll.QS.CONTEXT.ADD.CURVE(C8951,"SOFR",$K$2:$K$7,$L$2:$L$7,,,"Actual360","LogLinear",TRUE)</f>
        <v>QSObject:ContextInput:w1~input.qs_context_add_curve.2359132437744.8950.3.0:38785</v>
      </c>
      <c r="E8951" s="6" t="str">
        <f>_xll.QS.INSTRUMENT.SWAP("swap.8949",H8951,B8951,"USD","SOFR",I8951,J8951,0,"Actual360","Simple","Annual","Annual","Annual")</f>
        <v>QSObject:Swap:w1~swap.8949:1304</v>
      </c>
      <c r="F8951" s="6" t="str">
        <f>_xll.QS.TRADE.CREATE("trade.8949",E8951,A8951,"Receive")</f>
        <v>QSObject:SwapTrade:w1~trade.8949:22830</v>
      </c>
      <c r="G8951" s="3">
        <f>_xll.QS.EVALUATE(C8951,F8951)</f>
        <v>69021.540187665378</v>
      </c>
      <c r="H8951" s="5" t="s">
        <v>8992</v>
      </c>
      <c r="I8951" s="7">
        <v>1894900</v>
      </c>
      <c r="J8951" s="8">
        <v>3.9899999999999998E-2</v>
      </c>
    </row>
    <row r="8952" spans="1:10" x14ac:dyDescent="0.25">
      <c r="A8952" s="5" t="s">
        <v>8986</v>
      </c>
      <c r="B8952" s="5" t="s">
        <v>10819</v>
      </c>
      <c r="C8952" s="6" t="str">
        <f>_xll.QS.CONTEXT.CREATE("market.8950",A8952,"USD","SOFR")</f>
        <v>QSObject:PricingContext:w1~market.8950:1303</v>
      </c>
      <c r="D8952" s="6" t="str">
        <f>_xll.QS.CONTEXT.ADD.CURVE(C8952,"SOFR",$K$2:$K$7,$L$2:$L$7,,,"Actual360","LogLinear",TRUE)</f>
        <v>QSObject:ContextInput:w1~input.qs_context_add_curve.2359132437744.8951.3.0:38784</v>
      </c>
      <c r="E8952" s="6" t="str">
        <f>_xll.QS.INSTRUMENT.SWAP("swap.8950",H8952,B8952,"USD","SOFR",I8952,J8952,0,"Actual360","Simple","Annual","Annual","Annual")</f>
        <v>QSObject:Swap:w1~swap.8950:1302</v>
      </c>
      <c r="F8952" s="6" t="str">
        <f>_xll.QS.TRADE.CREATE("trade.8950",E8952,A8952,"Receive")</f>
        <v>QSObject:SwapTrade:w1~trade.8950:22829</v>
      </c>
      <c r="G8952" s="3">
        <f>_xll.QS.EVALUATE(C8952,F8952)</f>
        <v>26130.48603063466</v>
      </c>
      <c r="H8952" s="5" t="s">
        <v>8993</v>
      </c>
      <c r="I8952" s="7">
        <v>1895000</v>
      </c>
      <c r="J8952" s="8">
        <v>3.5000000000000003E-2</v>
      </c>
    </row>
    <row r="8953" spans="1:10" x14ac:dyDescent="0.25">
      <c r="A8953" s="5" t="s">
        <v>8987</v>
      </c>
      <c r="B8953" s="5" t="s">
        <v>10820</v>
      </c>
      <c r="C8953" s="6" t="str">
        <f>_xll.QS.CONTEXT.CREATE("market.8951",A8953,"USD","SOFR")</f>
        <v>QSObject:PricingContext:w1~market.8951:1301</v>
      </c>
      <c r="D8953" s="6" t="str">
        <f>_xll.QS.CONTEXT.ADD.CURVE(C8953,"SOFR",$K$2:$K$7,$L$2:$L$7,,,"Actual360","LogLinear",TRUE)</f>
        <v>QSObject:ContextInput:w1~input.qs_context_add_curve.2359132437744.8952.3.0:38783</v>
      </c>
      <c r="E8953" s="6" t="str">
        <f>_xll.QS.INSTRUMENT.SWAP("swap.8951",H8953,B8953,"USD","SOFR",I8953,J8953,0,"Actual360","Simple","Annual","Annual","Annual")</f>
        <v>QSObject:Swap:w1~swap.8951:1300</v>
      </c>
      <c r="F8953" s="6" t="str">
        <f>_xll.QS.TRADE.CREATE("trade.8951",E8953,A8953,"Receive")</f>
        <v>QSObject:SwapTrade:w1~trade.8951:22828</v>
      </c>
      <c r="G8953" s="3">
        <f>_xll.QS.EVALUATE(C8953,F8953)</f>
        <v>26893.834377423242</v>
      </c>
      <c r="H8953" s="5" t="s">
        <v>8994</v>
      </c>
      <c r="I8953" s="7">
        <v>1895100</v>
      </c>
      <c r="J8953" s="8">
        <v>3.5100000000000013E-2</v>
      </c>
    </row>
    <row r="8954" spans="1:10" x14ac:dyDescent="0.25">
      <c r="A8954" s="5" t="s">
        <v>8988</v>
      </c>
      <c r="B8954" s="5" t="s">
        <v>10821</v>
      </c>
      <c r="C8954" s="6" t="str">
        <f>_xll.QS.CONTEXT.CREATE("market.8952",A8954,"USD","SOFR")</f>
        <v>QSObject:PricingContext:w1~market.8952:1299</v>
      </c>
      <c r="D8954" s="6" t="str">
        <f>_xll.QS.CONTEXT.ADD.CURVE(C8954,"SOFR",$K$2:$K$7,$L$2:$L$7,,,"Actual360","LogLinear",TRUE)</f>
        <v>QSObject:ContextInput:w1~input.qs_context_add_curve.2359132437744.8953.3.0:31738</v>
      </c>
      <c r="E8954" s="6" t="str">
        <f>_xll.QS.INSTRUMENT.SWAP("swap.8952",H8954,B8954,"USD","SOFR",I8954,J8954,0,"Actual360","Simple","Annual","Annual","Annual")</f>
        <v>QSObject:Swap:w1~swap.8952:1298</v>
      </c>
      <c r="F8954" s="6" t="str">
        <f>_xll.QS.TRADE.CREATE("trade.8952",E8954,A8954,"Receive")</f>
        <v>QSObject:SwapTrade:w1~trade.8952:22827</v>
      </c>
      <c r="G8954" s="3">
        <f>_xll.QS.EVALUATE(C8954,F8954)</f>
        <v>27596.089771939442</v>
      </c>
      <c r="H8954" s="5" t="s">
        <v>8995</v>
      </c>
      <c r="I8954" s="7">
        <v>1895200</v>
      </c>
      <c r="J8954" s="8">
        <v>3.5200000000000002E-2</v>
      </c>
    </row>
    <row r="8955" spans="1:10" x14ac:dyDescent="0.25">
      <c r="A8955" s="5" t="s">
        <v>8989</v>
      </c>
      <c r="B8955" s="5" t="s">
        <v>10822</v>
      </c>
      <c r="C8955" s="6" t="str">
        <f>_xll.QS.CONTEXT.CREATE("market.8953",A8955,"USD","SOFR")</f>
        <v>QSObject:PricingContext:w1~market.8953:1297</v>
      </c>
      <c r="D8955" s="6" t="str">
        <f>_xll.QS.CONTEXT.ADD.CURVE(C8955,"SOFR",$K$2:$K$7,$L$2:$L$7,,,"Actual360","LogLinear",TRUE)</f>
        <v>QSObject:ContextInput:w1~input.qs_context_add_curve.2359132437744.8954.3.0:34737</v>
      </c>
      <c r="E8955" s="6" t="str">
        <f>_xll.QS.INSTRUMENT.SWAP("swap.8953",H8955,B8955,"USD","SOFR",I8955,J8955,0,"Actual360","Simple","Annual","Annual","Annual")</f>
        <v>QSObject:Swap:w1~swap.8953:1296</v>
      </c>
      <c r="F8955" s="6" t="str">
        <f>_xll.QS.TRADE.CREATE("trade.8953",E8955,A8955,"Receive")</f>
        <v>QSObject:SwapTrade:w1~trade.8953:22826</v>
      </c>
      <c r="G8955" s="3">
        <f>_xll.QS.EVALUATE(C8955,F8955)</f>
        <v>28550.658313495645</v>
      </c>
      <c r="H8955" s="5" t="s">
        <v>8996</v>
      </c>
      <c r="I8955" s="7">
        <v>1895300</v>
      </c>
      <c r="J8955" s="8">
        <v>3.5299999999999998E-2</v>
      </c>
    </row>
    <row r="8956" spans="1:10" x14ac:dyDescent="0.25">
      <c r="A8956" s="5" t="s">
        <v>8990</v>
      </c>
      <c r="B8956" s="5" t="s">
        <v>10823</v>
      </c>
      <c r="C8956" s="6" t="str">
        <f>_xll.QS.CONTEXT.CREATE("market.8954",A8956,"USD","SOFR")</f>
        <v>QSObject:PricingContext:w1~market.8954:1295</v>
      </c>
      <c r="D8956" s="6" t="str">
        <f>_xll.QS.CONTEXT.ADD.CURVE(C8956,"SOFR",$K$2:$K$7,$L$2:$L$7,,,"Actual360","LogLinear",TRUE)</f>
        <v>QSObject:ContextInput:w1~input.qs_context_add_curve.2359132437744.8955.3.0:39983</v>
      </c>
      <c r="E8956" s="6" t="str">
        <f>_xll.QS.INSTRUMENT.SWAP("swap.8954",H8956,B8956,"USD","SOFR",I8956,J8956,0,"Actual360","Simple","Annual","Annual","Annual")</f>
        <v>QSObject:Swap:w1~swap.8954:1294</v>
      </c>
      <c r="F8956" s="6" t="str">
        <f>_xll.QS.TRADE.CREATE("trade.8954",E8956,A8956,"Receive")</f>
        <v>QSObject:SwapTrade:w1~trade.8954:22825</v>
      </c>
      <c r="G8956" s="3">
        <f>_xll.QS.EVALUATE(C8956,F8956)</f>
        <v>29483.493869199767</v>
      </c>
      <c r="H8956" s="5" t="s">
        <v>8997</v>
      </c>
      <c r="I8956" s="7">
        <v>1895400</v>
      </c>
      <c r="J8956" s="8">
        <v>3.5400000000000001E-2</v>
      </c>
    </row>
    <row r="8957" spans="1:10" x14ac:dyDescent="0.25">
      <c r="A8957" s="5" t="s">
        <v>8991</v>
      </c>
      <c r="B8957" s="5" t="s">
        <v>10824</v>
      </c>
      <c r="C8957" s="6" t="str">
        <f>_xll.QS.CONTEXT.CREATE("market.8955",A8957,"USD","SOFR")</f>
        <v>QSObject:PricingContext:w1~market.8955:1293</v>
      </c>
      <c r="D8957" s="6" t="str">
        <f>_xll.QS.CONTEXT.ADD.CURVE(C8957,"SOFR",$K$2:$K$7,$L$2:$L$7,,,"Actual360","LogLinear",TRUE)</f>
        <v>QSObject:ContextInput:w1~input.qs_context_add_curve.2359132437744.8956.3.0:36471</v>
      </c>
      <c r="E8957" s="6" t="str">
        <f>_xll.QS.INSTRUMENT.SWAP("swap.8955",H8957,B8957,"USD","SOFR",I8957,J8957,0,"Actual360","Simple","Annual","Annual","Annual")</f>
        <v>QSObject:Swap:w1~swap.8955:1292</v>
      </c>
      <c r="F8957" s="6" t="str">
        <f>_xll.QS.TRADE.CREATE("trade.8955",E8957,A8957,"Receive")</f>
        <v>QSObject:SwapTrade:w1~trade.8955:22824</v>
      </c>
      <c r="G8957" s="3">
        <f>_xll.QS.EVALUATE(C8957,F8957)</f>
        <v>30497.400099723214</v>
      </c>
      <c r="H8957" s="5" t="s">
        <v>8998</v>
      </c>
      <c r="I8957" s="7">
        <v>1895500</v>
      </c>
      <c r="J8957" s="8">
        <v>3.5499999999999997E-2</v>
      </c>
    </row>
    <row r="8958" spans="1:10" x14ac:dyDescent="0.25">
      <c r="A8958" s="5" t="s">
        <v>8992</v>
      </c>
      <c r="B8958" s="5" t="s">
        <v>10825</v>
      </c>
      <c r="C8958" s="6" t="str">
        <f>_xll.QS.CONTEXT.CREATE("market.8956",A8958,"USD","SOFR")</f>
        <v>QSObject:PricingContext:w1~market.8956:1291</v>
      </c>
      <c r="D8958" s="6" t="str">
        <f>_xll.QS.CONTEXT.ADD.CURVE(C8958,"SOFR",$K$2:$K$7,$L$2:$L$7,,,"Actual360","LogLinear",TRUE)</f>
        <v>QSObject:ContextInput:w1~input.qs_context_add_curve.2359132437744.8957.3.0:32307</v>
      </c>
      <c r="E8958" s="6" t="str">
        <f>_xll.QS.INSTRUMENT.SWAP("swap.8956",H8958,B8958,"USD","SOFR",I8958,J8958,0,"Actual360","Simple","Annual","Annual","Annual")</f>
        <v>QSObject:Swap:w1~swap.8956:1290</v>
      </c>
      <c r="F8958" s="6" t="str">
        <f>_xll.QS.TRADE.CREATE("trade.8956",E8958,A8958,"Receive")</f>
        <v>QSObject:SwapTrade:w1~trade.8956:22823</v>
      </c>
      <c r="G8958" s="3">
        <f>_xll.QS.EVALUATE(C8958,F8958)</f>
        <v>31455.431508168862</v>
      </c>
      <c r="H8958" s="5" t="s">
        <v>8999</v>
      </c>
      <c r="I8958" s="7">
        <v>1895600</v>
      </c>
      <c r="J8958" s="8">
        <v>3.5600000000000007E-2</v>
      </c>
    </row>
    <row r="8959" spans="1:10" x14ac:dyDescent="0.25">
      <c r="A8959" s="5" t="s">
        <v>8993</v>
      </c>
      <c r="B8959" s="5" t="s">
        <v>10826</v>
      </c>
      <c r="C8959" s="6" t="str">
        <f>_xll.QS.CONTEXT.CREATE("market.8957",A8959,"USD","SOFR")</f>
        <v>QSObject:PricingContext:w1~market.8957:1289</v>
      </c>
      <c r="D8959" s="6" t="str">
        <f>_xll.QS.CONTEXT.ADD.CURVE(C8959,"SOFR",$K$2:$K$7,$L$2:$L$7,,,"Actual360","LogLinear",TRUE)</f>
        <v>QSObject:ContextInput:w1~input.qs_context_add_curve.2359132437744.8958.3.0:32306</v>
      </c>
      <c r="E8959" s="6" t="str">
        <f>_xll.QS.INSTRUMENT.SWAP("swap.8957",H8959,B8959,"USD","SOFR",I8959,J8959,0,"Actual360","Simple","Annual","Annual","Annual")</f>
        <v>QSObject:Swap:w1~swap.8957:1288</v>
      </c>
      <c r="F8959" s="6" t="str">
        <f>_xll.QS.TRADE.CREATE("trade.8957",E8959,A8959,"Receive")</f>
        <v>QSObject:SwapTrade:w1~trade.8957:22822</v>
      </c>
      <c r="G8959" s="3">
        <f>_xll.QS.EVALUATE(C8959,F8959)</f>
        <v>32259.415459818454</v>
      </c>
      <c r="H8959" s="5" t="s">
        <v>9000</v>
      </c>
      <c r="I8959" s="7">
        <v>1895700</v>
      </c>
      <c r="J8959" s="8">
        <v>3.5700000000000003E-2</v>
      </c>
    </row>
    <row r="8960" spans="1:10" x14ac:dyDescent="0.25">
      <c r="A8960" s="5" t="s">
        <v>8994</v>
      </c>
      <c r="B8960" s="5" t="s">
        <v>10827</v>
      </c>
      <c r="C8960" s="6" t="str">
        <f>_xll.QS.CONTEXT.CREATE("market.8958",A8960,"USD","SOFR")</f>
        <v>QSObject:PricingContext:w1~market.8958:1287</v>
      </c>
      <c r="D8960" s="6" t="str">
        <f>_xll.QS.CONTEXT.ADD.CURVE(C8960,"SOFR",$K$2:$K$7,$L$2:$L$7,,,"Actual360","LogLinear",TRUE)</f>
        <v>QSObject:ContextInput:w1~input.qs_context_add_curve.2359132437744.8959.3.0:34109</v>
      </c>
      <c r="E8960" s="6" t="str">
        <f>_xll.QS.INSTRUMENT.SWAP("swap.8958",H8960,B8960,"USD","SOFR",I8960,J8960,0,"Actual360","Simple","Annual","Annual","Annual")</f>
        <v>QSObject:Swap:w1~swap.8958:1286</v>
      </c>
      <c r="F8960" s="6" t="str">
        <f>_xll.QS.TRADE.CREATE("trade.8958",E8960,A8960,"Receive")</f>
        <v>QSObject:SwapTrade:w1~trade.8958:22821</v>
      </c>
      <c r="G8960" s="3">
        <f>_xll.QS.EVALUATE(C8960,F8960)</f>
        <v>33016.156307401565</v>
      </c>
      <c r="H8960" s="5" t="s">
        <v>9001</v>
      </c>
      <c r="I8960" s="7">
        <v>1895800</v>
      </c>
      <c r="J8960" s="8">
        <v>3.5800000000000012E-2</v>
      </c>
    </row>
    <row r="8961" spans="1:10" x14ac:dyDescent="0.25">
      <c r="A8961" s="5" t="s">
        <v>8995</v>
      </c>
      <c r="B8961" s="5" t="s">
        <v>10828</v>
      </c>
      <c r="C8961" s="6" t="str">
        <f>_xll.QS.CONTEXT.CREATE("market.8959",A8961,"USD","SOFR")</f>
        <v>QSObject:PricingContext:w1~market.8959:1285</v>
      </c>
      <c r="D8961" s="6" t="str">
        <f>_xll.QS.CONTEXT.ADD.CURVE(C8961,"SOFR",$K$2:$K$7,$L$2:$L$7,,,"Actual360","LogLinear",TRUE)</f>
        <v>QSObject:ContextInput:w1~input.qs_context_add_curve.2359132437744.8960.3.0:38782</v>
      </c>
      <c r="E8961" s="6" t="str">
        <f>_xll.QS.INSTRUMENT.SWAP("swap.8959",H8961,B8961,"USD","SOFR",I8961,J8961,0,"Actual360","Simple","Annual","Annual","Annual")</f>
        <v>QSObject:Swap:w1~swap.8959:1284</v>
      </c>
      <c r="F8961" s="6" t="str">
        <f>_xll.QS.TRADE.CREATE("trade.8959",E8961,A8961,"Receive")</f>
        <v>QSObject:SwapTrade:w1~trade.8959:22820</v>
      </c>
      <c r="G8961" s="3">
        <f>_xll.QS.EVALUATE(C8961,F8961)</f>
        <v>33728.48054871551</v>
      </c>
      <c r="H8961" s="5" t="s">
        <v>9002</v>
      </c>
      <c r="I8961" s="7">
        <v>1895900</v>
      </c>
      <c r="J8961" s="8">
        <v>3.5900000000000001E-2</v>
      </c>
    </row>
    <row r="8962" spans="1:10" x14ac:dyDescent="0.25">
      <c r="A8962" s="5" t="s">
        <v>8996</v>
      </c>
      <c r="B8962" s="5" t="s">
        <v>10829</v>
      </c>
      <c r="C8962" s="6" t="str">
        <f>_xll.QS.CONTEXT.CREATE("market.8960",A8962,"USD","SOFR")</f>
        <v>QSObject:PricingContext:w1~market.8960:1283</v>
      </c>
      <c r="D8962" s="6" t="str">
        <f>_xll.QS.CONTEXT.ADD.CURVE(C8962,"SOFR",$K$2:$K$7,$L$2:$L$7,,,"Actual360","LogLinear",TRUE)</f>
        <v>QSObject:ContextInput:w1~input.qs_context_add_curve.2359132437744.8961.3.0:38781</v>
      </c>
      <c r="E8962" s="6" t="str">
        <f>_xll.QS.INSTRUMENT.SWAP("swap.8960",H8962,B8962,"USD","SOFR",I8962,J8962,0,"Actual360","Simple","Annual","Annual","Annual")</f>
        <v>QSObject:Swap:w1~swap.8960:1282</v>
      </c>
      <c r="F8962" s="6" t="str">
        <f>_xll.QS.TRADE.CREATE("trade.8960",E8962,A8962,"Receive")</f>
        <v>QSObject:SwapTrade:w1~trade.8960:22819</v>
      </c>
      <c r="G8962" s="3">
        <f>_xll.QS.EVALUATE(C8962,F8962)</f>
        <v>34684.338410447876</v>
      </c>
      <c r="H8962" s="5" t="s">
        <v>9003</v>
      </c>
      <c r="I8962" s="7">
        <v>1896000</v>
      </c>
      <c r="J8962" s="8">
        <v>3.5999999999999997E-2</v>
      </c>
    </row>
    <row r="8963" spans="1:10" x14ac:dyDescent="0.25">
      <c r="A8963" s="5" t="s">
        <v>8997</v>
      </c>
      <c r="B8963" s="5" t="s">
        <v>10830</v>
      </c>
      <c r="C8963" s="6" t="str">
        <f>_xll.QS.CONTEXT.CREATE("market.8961",A8963,"USD","SOFR")</f>
        <v>QSObject:PricingContext:w1~market.8961:1281</v>
      </c>
      <c r="D8963" s="6" t="str">
        <f>_xll.QS.CONTEXT.ADD.CURVE(C8963,"SOFR",$K$2:$K$7,$L$2:$L$7,,,"Actual360","LogLinear",TRUE)</f>
        <v>QSObject:ContextInput:w1~input.qs_context_add_curve.2359132437744.8962.3.0:38134</v>
      </c>
      <c r="E8963" s="6" t="str">
        <f>_xll.QS.INSTRUMENT.SWAP("swap.8961",H8963,B8963,"USD","SOFR",I8963,J8963,0,"Actual360","Simple","Annual","Annual","Annual")</f>
        <v>QSObject:Swap:w1~swap.8961:1280</v>
      </c>
      <c r="F8963" s="6" t="str">
        <f>_xll.QS.TRADE.CREATE("trade.8961",E8963,A8963,"Receive")</f>
        <v>QSObject:SwapTrade:w1~trade.8961:22818</v>
      </c>
      <c r="G8963" s="3">
        <f>_xll.QS.EVALUATE(C8963,F8963)</f>
        <v>35614.842844657309</v>
      </c>
      <c r="H8963" s="5" t="s">
        <v>9004</v>
      </c>
      <c r="I8963" s="7">
        <v>1896100</v>
      </c>
      <c r="J8963" s="8">
        <v>3.61E-2</v>
      </c>
    </row>
    <row r="8964" spans="1:10" x14ac:dyDescent="0.25">
      <c r="A8964" s="5" t="s">
        <v>8998</v>
      </c>
      <c r="B8964" s="5" t="s">
        <v>10831</v>
      </c>
      <c r="C8964" s="6" t="str">
        <f>_xll.QS.CONTEXT.CREATE("market.8962",A8964,"USD","SOFR")</f>
        <v>QSObject:PricingContext:w1~market.8962:1279</v>
      </c>
      <c r="D8964" s="6" t="str">
        <f>_xll.QS.CONTEXT.ADD.CURVE(C8964,"SOFR",$K$2:$K$7,$L$2:$L$7,,,"Actual360","LogLinear",TRUE)</f>
        <v>QSObject:ContextInput:w1~input.qs_context_add_curve.2359132437744.8963.3.0:38133</v>
      </c>
      <c r="E8964" s="6" t="str">
        <f>_xll.QS.INSTRUMENT.SWAP("swap.8962",H8964,B8964,"USD","SOFR",I8964,J8964,0,"Actual360","Simple","Annual","Annual","Annual")</f>
        <v>QSObject:Swap:w1~swap.8962:1278</v>
      </c>
      <c r="F8964" s="6" t="str">
        <f>_xll.QS.TRADE.CREATE("trade.8962",E8964,A8964,"Receive")</f>
        <v>QSObject:SwapTrade:w1~trade.8962:22817</v>
      </c>
      <c r="G8964" s="3">
        <f>_xll.QS.EVALUATE(C8964,F8964)</f>
        <v>36629.537568107233</v>
      </c>
      <c r="H8964" s="5" t="s">
        <v>9005</v>
      </c>
      <c r="I8964" s="7">
        <v>1896200</v>
      </c>
      <c r="J8964" s="8">
        <v>3.6200000000000003E-2</v>
      </c>
    </row>
    <row r="8965" spans="1:10" x14ac:dyDescent="0.25">
      <c r="A8965" s="5" t="s">
        <v>8999</v>
      </c>
      <c r="B8965" s="5" t="s">
        <v>10832</v>
      </c>
      <c r="C8965" s="6" t="str">
        <f>_xll.QS.CONTEXT.CREATE("market.8963",A8965,"USD","SOFR")</f>
        <v>QSObject:PricingContext:w1~market.8963:1277</v>
      </c>
      <c r="D8965" s="6" t="str">
        <f>_xll.QS.CONTEXT.ADD.CURVE(C8965,"SOFR",$K$2:$K$7,$L$2:$L$7,,,"Actual360","LogLinear",TRUE)</f>
        <v>QSObject:ContextInput:w1~input.qs_context_add_curve.2359132437744.8964.3.0:38780</v>
      </c>
      <c r="E8965" s="6" t="str">
        <f>_xll.QS.INSTRUMENT.SWAP("swap.8963",H8965,B8965,"USD","SOFR",I8965,J8965,0,"Actual360","Simple","Annual","Annual","Annual")</f>
        <v>QSObject:Swap:w1~swap.8963:1276</v>
      </c>
      <c r="F8965" s="6" t="str">
        <f>_xll.QS.TRADE.CREATE("trade.8963",E8965,A8965,"Receive")</f>
        <v>QSObject:SwapTrade:w1~trade.8963:22816</v>
      </c>
      <c r="G8965" s="3">
        <f>_xll.QS.EVALUATE(C8965,F8965)</f>
        <v>37588.310389964689</v>
      </c>
      <c r="H8965" s="5" t="s">
        <v>9006</v>
      </c>
      <c r="I8965" s="7">
        <v>1896300</v>
      </c>
      <c r="J8965" s="8">
        <v>3.6300000000000013E-2</v>
      </c>
    </row>
    <row r="8966" spans="1:10" x14ac:dyDescent="0.25">
      <c r="A8966" s="5" t="s">
        <v>9000</v>
      </c>
      <c r="B8966" s="5" t="s">
        <v>10833</v>
      </c>
      <c r="C8966" s="6" t="str">
        <f>_xll.QS.CONTEXT.CREATE("market.8964",A8966,"USD","SOFR")</f>
        <v>QSObject:PricingContext:w1~market.8964:1275</v>
      </c>
      <c r="D8966" s="6" t="str">
        <f>_xll.QS.CONTEXT.ADD.CURVE(C8966,"SOFR",$K$2:$K$7,$L$2:$L$7,,,"Actual360","LogLinear",TRUE)</f>
        <v>QSObject:ContextInput:w1~input.qs_context_add_curve.2359132437744.8965.3.0:37561</v>
      </c>
      <c r="E8966" s="6" t="str">
        <f>_xll.QS.INSTRUMENT.SWAP("swap.8964",H8966,B8966,"USD","SOFR",I8966,J8966,0,"Actual360","Simple","Annual","Annual","Annual")</f>
        <v>QSObject:Swap:w1~swap.8964:1274</v>
      </c>
      <c r="F8966" s="6" t="str">
        <f>_xll.QS.TRADE.CREATE("trade.8964",E8966,A8966,"Receive")</f>
        <v>QSObject:SwapTrade:w1~trade.8964:22815</v>
      </c>
      <c r="G8966" s="3">
        <f>_xll.QS.EVALUATE(C8966,F8966)</f>
        <v>38392.864057546576</v>
      </c>
      <c r="H8966" s="5" t="s">
        <v>9007</v>
      </c>
      <c r="I8966" s="7">
        <v>1896400</v>
      </c>
      <c r="J8966" s="8">
        <v>3.6400000000000002E-2</v>
      </c>
    </row>
    <row r="8967" spans="1:10" x14ac:dyDescent="0.25">
      <c r="A8967" s="5" t="s">
        <v>9001</v>
      </c>
      <c r="B8967" s="5" t="s">
        <v>10834</v>
      </c>
      <c r="C8967" s="6" t="str">
        <f>_xll.QS.CONTEXT.CREATE("market.8965",A8967,"USD","SOFR")</f>
        <v>QSObject:PricingContext:w1~market.8965:1273</v>
      </c>
      <c r="D8967" s="6" t="str">
        <f>_xll.QS.CONTEXT.ADD.CURVE(C8967,"SOFR",$K$2:$K$7,$L$2:$L$7,,,"Actual360","LogLinear",TRUE)</f>
        <v>QSObject:ContextInput:w1~input.qs_context_add_curve.2359132437744.8966.3.0:33520</v>
      </c>
      <c r="E8967" s="6" t="str">
        <f>_xll.QS.INSTRUMENT.SWAP("swap.8965",H8967,B8967,"USD","SOFR",I8967,J8967,0,"Actual360","Simple","Annual","Annual","Annual")</f>
        <v>QSObject:Swap:w1~swap.8965:1272</v>
      </c>
      <c r="F8967" s="6" t="str">
        <f>_xll.QS.TRADE.CREATE("trade.8965",E8967,A8967,"Receive")</f>
        <v>QSObject:SwapTrade:w1~trade.8965:22814</v>
      </c>
      <c r="G8967" s="3">
        <f>_xll.QS.EVALUATE(C8967,F8967)</f>
        <v>39142.992080231736</v>
      </c>
      <c r="H8967" s="5" t="s">
        <v>9008</v>
      </c>
      <c r="I8967" s="7">
        <v>1896500</v>
      </c>
      <c r="J8967" s="8">
        <v>3.6499999999999998E-2</v>
      </c>
    </row>
    <row r="8968" spans="1:10" x14ac:dyDescent="0.25">
      <c r="A8968" s="5" t="s">
        <v>9002</v>
      </c>
      <c r="B8968" s="5" t="s">
        <v>10835</v>
      </c>
      <c r="C8968" s="6" t="str">
        <f>_xll.QS.CONTEXT.CREATE("market.8966",A8968,"USD","SOFR")</f>
        <v>QSObject:PricingContext:w1~market.8966:1271</v>
      </c>
      <c r="D8968" s="6" t="str">
        <f>_xll.QS.CONTEXT.ADD.CURVE(C8968,"SOFR",$K$2:$K$7,$L$2:$L$7,,,"Actual360","LogLinear",TRUE)</f>
        <v>QSObject:ContextInput:w1~input.qs_context_add_curve.2359132437744.8967.3.0:38132</v>
      </c>
      <c r="E8968" s="6" t="str">
        <f>_xll.QS.INSTRUMENT.SWAP("swap.8966",H8968,B8968,"USD","SOFR",I8968,J8968,0,"Actual360","Simple","Annual","Annual","Annual")</f>
        <v>QSObject:Swap:w1~swap.8966:1270</v>
      </c>
      <c r="F8968" s="6" t="str">
        <f>_xll.QS.TRADE.CREATE("trade.8966",E8968,A8968,"Receive")</f>
        <v>QSObject:SwapTrade:w1~trade.8966:22813</v>
      </c>
      <c r="G8968" s="3">
        <f>_xll.QS.EVALUATE(C8968,F8968)</f>
        <v>39865.3921743049</v>
      </c>
      <c r="H8968" s="5" t="s">
        <v>9009</v>
      </c>
      <c r="I8968" s="7">
        <v>1896600</v>
      </c>
      <c r="J8968" s="8">
        <v>3.6600000000000001E-2</v>
      </c>
    </row>
    <row r="8969" spans="1:10" x14ac:dyDescent="0.25">
      <c r="A8969" s="5" t="s">
        <v>9003</v>
      </c>
      <c r="B8969" s="5" t="s">
        <v>10836</v>
      </c>
      <c r="C8969" s="6" t="str">
        <f>_xll.QS.CONTEXT.CREATE("market.8967",A8969,"USD","SOFR")</f>
        <v>QSObject:PricingContext:w1~market.8967:1269</v>
      </c>
      <c r="D8969" s="6" t="str">
        <f>_xll.QS.CONTEXT.ADD.CURVE(C8969,"SOFR",$K$2:$K$7,$L$2:$L$7,,,"Actual360","LogLinear",TRUE)</f>
        <v>QSObject:ContextInput:w1~input.qs_context_add_curve.2359132437744.8968.3.0:34108</v>
      </c>
      <c r="E8969" s="6" t="str">
        <f>_xll.QS.INSTRUMENT.SWAP("swap.8967",H8969,B8969,"USD","SOFR",I8969,J8969,0,"Actual360","Simple","Annual","Annual","Annual")</f>
        <v>QSObject:Swap:w1~swap.8967:1268</v>
      </c>
      <c r="F8969" s="6" t="str">
        <f>_xll.QS.TRADE.CREATE("trade.8967",E8969,A8969,"Receive")</f>
        <v>QSObject:SwapTrade:w1~trade.8967:22812</v>
      </c>
      <c r="G8969" s="3">
        <f>_xll.QS.EVALUATE(C8969,F8969)</f>
        <v>40822.539809873226</v>
      </c>
      <c r="H8969" s="5" t="s">
        <v>9010</v>
      </c>
      <c r="I8969" s="7">
        <v>1896700</v>
      </c>
      <c r="J8969" s="8">
        <v>3.6700000000000003E-2</v>
      </c>
    </row>
    <row r="8970" spans="1:10" x14ac:dyDescent="0.25">
      <c r="A8970" s="5" t="s">
        <v>9004</v>
      </c>
      <c r="B8970" s="5" t="s">
        <v>10837</v>
      </c>
      <c r="C8970" s="6" t="str">
        <f>_xll.QS.CONTEXT.CREATE("market.8968",A8970,"USD","SOFR")</f>
        <v>QSObject:PricingContext:w1~market.8968:1267</v>
      </c>
      <c r="D8970" s="6" t="str">
        <f>_xll.QS.CONTEXT.ADD.CURVE(C8970,"SOFR",$K$2:$K$7,$L$2:$L$7,,,"Actual360","LogLinear",TRUE)</f>
        <v>QSObject:ContextInput:w1~input.qs_context_add_curve.2359132437744.8969.3.0:34736</v>
      </c>
      <c r="E8970" s="6" t="str">
        <f>_xll.QS.INSTRUMENT.SWAP("swap.8968",H8970,B8970,"USD","SOFR",I8970,J8970,0,"Actual360","Simple","Annual","Annual","Annual")</f>
        <v>QSObject:Swap:w1~swap.8968:1266</v>
      </c>
      <c r="F8970" s="6" t="str">
        <f>_xll.QS.TRADE.CREATE("trade.8968",E8970,A8970,"Receive")</f>
        <v>QSObject:SwapTrade:w1~trade.8968:22811</v>
      </c>
      <c r="G8970" s="3">
        <f>_xll.QS.EVALUATE(C8970,F8970)</f>
        <v>41750.710908972665</v>
      </c>
      <c r="H8970" s="5" t="s">
        <v>9011</v>
      </c>
      <c r="I8970" s="7">
        <v>1896800</v>
      </c>
      <c r="J8970" s="8">
        <v>3.6800000000000013E-2</v>
      </c>
    </row>
    <row r="8971" spans="1:10" x14ac:dyDescent="0.25">
      <c r="A8971" s="5" t="s">
        <v>9005</v>
      </c>
      <c r="B8971" s="5" t="s">
        <v>10838</v>
      </c>
      <c r="C8971" s="6" t="str">
        <f>_xll.QS.CONTEXT.CREATE("market.8969",A8971,"USD","SOFR")</f>
        <v>QSObject:PricingContext:w1~market.8969:1265</v>
      </c>
      <c r="D8971" s="6" t="str">
        <f>_xll.QS.CONTEXT.ADD.CURVE(C8971,"SOFR",$K$2:$K$7,$L$2:$L$7,,,"Actual360","LogLinear",TRUE)</f>
        <v>QSObject:ContextInput:w1~input.qs_context_add_curve.2359132437744.8970.3.0:34735</v>
      </c>
      <c r="E8971" s="6" t="str">
        <f>_xll.QS.INSTRUMENT.SWAP("swap.8969",H8971,B8971,"USD","SOFR",I8971,J8971,0,"Actual360","Simple","Annual","Annual","Annual")</f>
        <v>QSObject:Swap:w1~swap.8969:1264</v>
      </c>
      <c r="F8971" s="6" t="str">
        <f>_xll.QS.TRADE.CREATE("trade.8969",E8971,A8971,"Receive")</f>
        <v>QSObject:SwapTrade:w1~trade.8969:22810</v>
      </c>
      <c r="G8971" s="3">
        <f>_xll.QS.EVALUATE(C8971,F8971)</f>
        <v>42766.518511888884</v>
      </c>
      <c r="H8971" s="5" t="s">
        <v>9012</v>
      </c>
      <c r="I8971" s="7">
        <v>1896900</v>
      </c>
      <c r="J8971" s="8">
        <v>3.6900000000000002E-2</v>
      </c>
    </row>
    <row r="8972" spans="1:10" x14ac:dyDescent="0.25">
      <c r="A8972" s="5" t="s">
        <v>9006</v>
      </c>
      <c r="B8972" s="5" t="s">
        <v>10839</v>
      </c>
      <c r="C8972" s="6" t="str">
        <f>_xll.QS.CONTEXT.CREATE("market.8970",A8972,"USD","SOFR")</f>
        <v>QSObject:PricingContext:w1~market.8970:1263</v>
      </c>
      <c r="D8972" s="6" t="str">
        <f>_xll.QS.CONTEXT.ADD.CURVE(C8972,"SOFR",$K$2:$K$7,$L$2:$L$7,,,"Actual360","LogLinear",TRUE)</f>
        <v>QSObject:ContextInput:w1~input.qs_context_add_curve.2359132437744.8971.3.0:31737</v>
      </c>
      <c r="E8972" s="6" t="str">
        <f>_xll.QS.INSTRUMENT.SWAP("swap.8970",H8972,B8972,"USD","SOFR",I8972,J8972,0,"Actual360","Simple","Annual","Annual","Annual")</f>
        <v>QSObject:Swap:w1~swap.8970:1262</v>
      </c>
      <c r="F8972" s="6" t="str">
        <f>_xll.QS.TRADE.CREATE("trade.8970",E8972,A8972,"Receive")</f>
        <v>QSObject:SwapTrade:w1~trade.8970:22809</v>
      </c>
      <c r="G8972" s="3">
        <f>_xll.QS.EVALUATE(C8972,F8972)</f>
        <v>43726.546709729169</v>
      </c>
      <c r="H8972" s="5" t="s">
        <v>9013</v>
      </c>
      <c r="I8972" s="7">
        <v>1897000</v>
      </c>
      <c r="J8972" s="8">
        <v>3.7000000000000012E-2</v>
      </c>
    </row>
    <row r="8973" spans="1:10" x14ac:dyDescent="0.25">
      <c r="A8973" s="5" t="s">
        <v>9007</v>
      </c>
      <c r="B8973" s="5" t="s">
        <v>10840</v>
      </c>
      <c r="C8973" s="6" t="str">
        <f>_xll.QS.CONTEXT.CREATE("market.8971",A8973,"USD","SOFR")</f>
        <v>QSObject:PricingContext:w1~market.8971:1261</v>
      </c>
      <c r="D8973" s="6" t="str">
        <f>_xll.QS.CONTEXT.ADD.CURVE(C8973,"SOFR",$K$2:$K$7,$L$2:$L$7,,,"Actual360","LogLinear",TRUE)</f>
        <v>QSObject:ContextInput:w1~input.qs_context_add_curve.2359132437744.8972.3.0:34107</v>
      </c>
      <c r="E8973" s="6" t="str">
        <f>_xll.QS.INSTRUMENT.SWAP("swap.8971",H8973,B8973,"USD","SOFR",I8973,J8973,0,"Actual360","Simple","Annual","Annual","Annual")</f>
        <v>QSObject:Swap:w1~swap.8971:1260</v>
      </c>
      <c r="F8973" s="6" t="str">
        <f>_xll.QS.TRADE.CREATE("trade.8971",E8973,A8973,"Receive")</f>
        <v>QSObject:SwapTrade:w1~trade.8971:22808</v>
      </c>
      <c r="G8973" s="3">
        <f>_xll.QS.EVALUATE(C8973,F8973)</f>
        <v>44530.831823819281</v>
      </c>
      <c r="H8973" s="5" t="s">
        <v>9014</v>
      </c>
      <c r="I8973" s="7">
        <v>1897100</v>
      </c>
      <c r="J8973" s="8">
        <v>3.7100000000000001E-2</v>
      </c>
    </row>
    <row r="8974" spans="1:10" x14ac:dyDescent="0.25">
      <c r="A8974" s="5" t="s">
        <v>9008</v>
      </c>
      <c r="B8974" s="5" t="s">
        <v>10841</v>
      </c>
      <c r="C8974" s="6" t="str">
        <f>_xll.QS.CONTEXT.CREATE("market.8972",A8974,"USD","SOFR")</f>
        <v>QSObject:PricingContext:w1~market.8972:1259</v>
      </c>
      <c r="D8974" s="6" t="str">
        <f>_xll.QS.CONTEXT.ADD.CURVE(C8974,"SOFR",$K$2:$K$7,$L$2:$L$7,,,"Actual360","LogLinear",TRUE)</f>
        <v>QSObject:ContextInput:w1~input.qs_context_add_curve.2359132437744.8973.3.0:34734</v>
      </c>
      <c r="E8974" s="6" t="str">
        <f>_xll.QS.INSTRUMENT.SWAP("swap.8972",H8974,B8974,"USD","SOFR",I8974,J8974,0,"Actual360","Simple","Annual","Annual","Annual")</f>
        <v>QSObject:Swap:w1~swap.8972:1258</v>
      </c>
      <c r="F8974" s="6" t="str">
        <f>_xll.QS.TRADE.CREATE("trade.8972",E8974,A8974,"Receive")</f>
        <v>QSObject:SwapTrade:w1~trade.8972:22807</v>
      </c>
      <c r="G8974" s="3">
        <f>_xll.QS.EVALUATE(C8974,F8974)</f>
        <v>45274.34169591403</v>
      </c>
      <c r="H8974" s="5" t="s">
        <v>9015</v>
      </c>
      <c r="I8974" s="7">
        <v>1897200</v>
      </c>
      <c r="J8974" s="8">
        <v>3.7199999999999997E-2</v>
      </c>
    </row>
    <row r="8975" spans="1:10" x14ac:dyDescent="0.25">
      <c r="A8975" s="5" t="s">
        <v>9009</v>
      </c>
      <c r="B8975" s="5" t="s">
        <v>10842</v>
      </c>
      <c r="C8975" s="6" t="str">
        <f>_xll.QS.CONTEXT.CREATE("market.8973",A8975,"USD","SOFR")</f>
        <v>QSObject:PricingContext:w1~market.8973:1257</v>
      </c>
      <c r="D8975" s="6" t="str">
        <f>_xll.QS.CONTEXT.ADD.CURVE(C8975,"SOFR",$K$2:$K$7,$L$2:$L$7,,,"Actual360","LogLinear",TRUE)</f>
        <v>QSObject:ContextInput:w1~input.qs_context_add_curve.2359132437744.8974.3.0:32305</v>
      </c>
      <c r="E8975" s="6" t="str">
        <f>_xll.QS.INSTRUMENT.SWAP("swap.8973",H8975,B8975,"USD","SOFR",I8975,J8975,0,"Actual360","Simple","Annual","Annual","Annual")</f>
        <v>QSObject:Swap:w1~swap.8973:1256</v>
      </c>
      <c r="F8975" s="6" t="str">
        <f>_xll.QS.TRADE.CREATE("trade.8973",E8975,A8975,"Receive")</f>
        <v>QSObject:SwapTrade:w1~trade.8973:22806</v>
      </c>
      <c r="G8975" s="3">
        <f>_xll.QS.EVALUATE(C8975,F8975)</f>
        <v>46006.824648706963</v>
      </c>
      <c r="H8975" s="5" t="s">
        <v>9016</v>
      </c>
      <c r="I8975" s="7">
        <v>1897300</v>
      </c>
      <c r="J8975" s="8">
        <v>3.73E-2</v>
      </c>
    </row>
    <row r="8976" spans="1:10" x14ac:dyDescent="0.25">
      <c r="A8976" s="5" t="s">
        <v>9010</v>
      </c>
      <c r="B8976" s="5" t="s">
        <v>10843</v>
      </c>
      <c r="C8976" s="6" t="str">
        <f>_xll.QS.CONTEXT.CREATE("market.8974",A8976,"USD","SOFR")</f>
        <v>QSObject:PricingContext:w1~market.8974:1255</v>
      </c>
      <c r="D8976" s="6" t="str">
        <f>_xll.QS.CONTEXT.ADD.CURVE(C8976,"SOFR",$K$2:$K$7,$L$2:$L$7,,,"Actual360","LogLinear",TRUE)</f>
        <v>QSObject:ContextInput:w1~input.qs_context_add_curve.2359132437744.8975.3.0:35345</v>
      </c>
      <c r="E8976" s="6" t="str">
        <f>_xll.QS.INSTRUMENT.SWAP("swap.8974",H8976,B8976,"USD","SOFR",I8976,J8976,0,"Actual360","Simple","Annual","Annual","Annual")</f>
        <v>QSObject:Swap:w1~swap.8974:1254</v>
      </c>
      <c r="F8976" s="6" t="str">
        <f>_xll.QS.TRADE.CREATE("trade.8974",E8976,A8976,"Receive")</f>
        <v>QSObject:SwapTrade:w1~trade.8974:22805</v>
      </c>
      <c r="G8976" s="3">
        <f>_xll.QS.EVALUATE(C8976,F8976)</f>
        <v>46964.15590254408</v>
      </c>
      <c r="H8976" s="5" t="s">
        <v>9017</v>
      </c>
      <c r="I8976" s="7">
        <v>1897400</v>
      </c>
      <c r="J8976" s="8">
        <v>3.7400000000000003E-2</v>
      </c>
    </row>
    <row r="8977" spans="1:10" x14ac:dyDescent="0.25">
      <c r="A8977" s="5" t="s">
        <v>9011</v>
      </c>
      <c r="B8977" s="5" t="s">
        <v>10844</v>
      </c>
      <c r="C8977" s="6" t="str">
        <f>_xll.QS.CONTEXT.CREATE("market.8975",A8977,"USD","SOFR")</f>
        <v>QSObject:PricingContext:w1~market.8975:1253</v>
      </c>
      <c r="D8977" s="6" t="str">
        <f>_xll.QS.CONTEXT.ADD.CURVE(C8977,"SOFR",$K$2:$K$7,$L$2:$L$7,,,"Actual360","LogLinear",TRUE)</f>
        <v>QSObject:ContextInput:w1~input.qs_context_add_curve.2359132437744.8976.3.0:37560</v>
      </c>
      <c r="E8977" s="6" t="str">
        <f>_xll.QS.INSTRUMENT.SWAP("swap.8975",H8977,B8977,"USD","SOFR",I8977,J8977,0,"Actual360","Simple","Annual","Annual","Annual")</f>
        <v>QSObject:Swap:w1~swap.8975:1252</v>
      </c>
      <c r="F8977" s="6" t="str">
        <f>_xll.QS.TRADE.CREATE("trade.8975",E8977,A8977,"Receive")</f>
        <v>QSObject:SwapTrade:w1~trade.8975:22804</v>
      </c>
      <c r="G8977" s="3">
        <f>_xll.QS.EVALUATE(C8977,F8977)</f>
        <v>47890.022873673959</v>
      </c>
      <c r="H8977" s="5" t="s">
        <v>9018</v>
      </c>
      <c r="I8977" s="7">
        <v>1897500</v>
      </c>
      <c r="J8977" s="8">
        <v>3.7500000000000012E-2</v>
      </c>
    </row>
    <row r="8978" spans="1:10" x14ac:dyDescent="0.25">
      <c r="A8978" s="5" t="s">
        <v>9012</v>
      </c>
      <c r="B8978" s="5" t="s">
        <v>10845</v>
      </c>
      <c r="C8978" s="6" t="str">
        <f>_xll.QS.CONTEXT.CREATE("market.8976",A8978,"USD","SOFR")</f>
        <v>QSObject:PricingContext:w1~market.8976:1251</v>
      </c>
      <c r="D8978" s="6" t="str">
        <f>_xll.QS.CONTEXT.ADD.CURVE(C8978,"SOFR",$K$2:$K$7,$L$2:$L$7,,,"Actual360","LogLinear",TRUE)</f>
        <v>QSObject:ContextInput:w1~input.qs_context_add_curve.2359132437744.8977.3.0:35344</v>
      </c>
      <c r="E8978" s="6" t="str">
        <f>_xll.QS.INSTRUMENT.SWAP("swap.8976",H8978,B8978,"USD","SOFR",I8978,J8978,0,"Actual360","Simple","Annual","Annual","Annual")</f>
        <v>QSObject:Swap:w1~swap.8976:1250</v>
      </c>
      <c r="F8978" s="6" t="str">
        <f>_xll.QS.TRADE.CREATE("trade.8976",E8978,A8978,"Receive")</f>
        <v>QSObject:SwapTrade:w1~trade.8976:22803</v>
      </c>
      <c r="G8978" s="3">
        <f>_xll.QS.EVALUATE(C8978,F8978)</f>
        <v>48907.369974878937</v>
      </c>
      <c r="H8978" s="5" t="s">
        <v>9019</v>
      </c>
      <c r="I8978" s="7">
        <v>1897600</v>
      </c>
      <c r="J8978" s="8">
        <v>3.7600000000000001E-2</v>
      </c>
    </row>
    <row r="8979" spans="1:10" x14ac:dyDescent="0.25">
      <c r="A8979" s="5" t="s">
        <v>9013</v>
      </c>
      <c r="B8979" s="5" t="s">
        <v>10846</v>
      </c>
      <c r="C8979" s="6" t="str">
        <f>_xll.QS.CONTEXT.CREATE("market.8977",A8979,"USD","SOFR")</f>
        <v>QSObject:PricingContext:w1~market.8977:1249</v>
      </c>
      <c r="D8979" s="6" t="str">
        <f>_xll.QS.CONTEXT.ADD.CURVE(C8979,"SOFR",$K$2:$K$7,$L$2:$L$7,,,"Actual360","LogLinear",TRUE)</f>
        <v>QSObject:ContextInput:w1~input.qs_context_add_curve.2359132437744.8978.3.0:32984</v>
      </c>
      <c r="E8979" s="6" t="str">
        <f>_xll.QS.INSTRUMENT.SWAP("swap.8977",H8979,B8979,"USD","SOFR",I8979,J8979,0,"Actual360","Simple","Annual","Annual","Annual")</f>
        <v>QSObject:Swap:w1~swap.8977:1248</v>
      </c>
      <c r="F8979" s="6" t="str">
        <f>_xll.QS.TRADE.CREATE("trade.8977",E8979,A8979,"Receive")</f>
        <v>QSObject:SwapTrade:w1~trade.8977:22802</v>
      </c>
      <c r="G8979" s="3">
        <f>_xll.QS.EVALUATE(C8979,F8979)</f>
        <v>49867.62576848147</v>
      </c>
      <c r="H8979" s="5" t="s">
        <v>9020</v>
      </c>
      <c r="I8979" s="7">
        <v>1897700</v>
      </c>
      <c r="J8979" s="8">
        <v>3.7699999999999997E-2</v>
      </c>
    </row>
    <row r="8980" spans="1:10" x14ac:dyDescent="0.25">
      <c r="A8980" s="5" t="s">
        <v>9014</v>
      </c>
      <c r="B8980" s="5" t="s">
        <v>10847</v>
      </c>
      <c r="C8980" s="6" t="str">
        <f>_xll.QS.CONTEXT.CREATE("market.8978",A8980,"USD","SOFR")</f>
        <v>QSObject:PricingContext:w1~market.8978:1247</v>
      </c>
      <c r="D8980" s="6" t="str">
        <f>_xll.QS.CONTEXT.ADD.CURVE(C8980,"SOFR",$K$2:$K$7,$L$2:$L$7,,,"Actual360","LogLinear",TRUE)</f>
        <v>QSObject:ContextInput:w1~input.qs_context_add_curve.2359132437744.8979.3.0:38779</v>
      </c>
      <c r="E8980" s="6" t="str">
        <f>_xll.QS.INSTRUMENT.SWAP("swap.8978",H8980,B8980,"USD","SOFR",I8980,J8980,0,"Actual360","Simple","Annual","Annual","Annual")</f>
        <v>QSObject:Swap:w1~swap.8978:1246</v>
      </c>
      <c r="F8980" s="6" t="str">
        <f>_xll.QS.TRADE.CREATE("trade.8978",E8980,A8980,"Receive")</f>
        <v>QSObject:SwapTrade:w1~trade.8978:22801</v>
      </c>
      <c r="G8980" s="3">
        <f>_xll.QS.EVALUATE(C8980,F8980)</f>
        <v>50673.318758636262</v>
      </c>
      <c r="H8980" s="5" t="s">
        <v>9021</v>
      </c>
      <c r="I8980" s="7">
        <v>1897800</v>
      </c>
      <c r="J8980" s="8">
        <v>3.78E-2</v>
      </c>
    </row>
    <row r="8981" spans="1:10" x14ac:dyDescent="0.25">
      <c r="A8981" s="5" t="s">
        <v>9015</v>
      </c>
      <c r="B8981" s="5" t="s">
        <v>10848</v>
      </c>
      <c r="C8981" s="6" t="str">
        <f>_xll.QS.CONTEXT.CREATE("market.8979",A8981,"USD","SOFR")</f>
        <v>QSObject:PricingContext:w1~market.8979:1245</v>
      </c>
      <c r="D8981" s="6" t="str">
        <f>_xll.QS.CONTEXT.ADD.CURVE(C8981,"SOFR",$K$2:$K$7,$L$2:$L$7,,,"Actual360","LogLinear",TRUE)</f>
        <v>QSObject:ContextInput:w1~input.qs_context_add_curve.2359132437744.8980.3.0:35343</v>
      </c>
      <c r="E8981" s="6" t="str">
        <f>_xll.QS.INSTRUMENT.SWAP("swap.8979",H8981,B8981,"USD","SOFR",I8981,J8981,0,"Actual360","Simple","Annual","Annual","Annual")</f>
        <v>QSObject:Swap:w1~swap.8979:1244</v>
      </c>
      <c r="F8981" s="6" t="str">
        <f>_xll.QS.TRADE.CREATE("trade.8979",E8981,A8981,"Receive")</f>
        <v>QSObject:SwapTrade:w1~trade.8979:22800</v>
      </c>
      <c r="G8981" s="3">
        <f>_xll.QS.EVALUATE(C8981,F8981)</f>
        <v>51410.205154448187</v>
      </c>
      <c r="H8981" s="5" t="s">
        <v>9022</v>
      </c>
      <c r="I8981" s="7">
        <v>1897900</v>
      </c>
      <c r="J8981" s="8">
        <v>3.7900000000000003E-2</v>
      </c>
    </row>
    <row r="8982" spans="1:10" x14ac:dyDescent="0.25">
      <c r="A8982" s="5" t="s">
        <v>9016</v>
      </c>
      <c r="B8982" s="5" t="s">
        <v>10849</v>
      </c>
      <c r="C8982" s="6" t="str">
        <f>_xll.QS.CONTEXT.CREATE("market.8980",A8982,"USD","SOFR")</f>
        <v>QSObject:PricingContext:w1~market.8980:1243</v>
      </c>
      <c r="D8982" s="6" t="str">
        <f>_xll.QS.CONTEXT.ADD.CURVE(C8982,"SOFR",$K$2:$K$7,$L$2:$L$7,,,"Actual360","LogLinear",TRUE)</f>
        <v>QSObject:ContextInput:w1~input.qs_context_add_curve.2359132437744.8981.3.0:34733</v>
      </c>
      <c r="E8982" s="6" t="str">
        <f>_xll.QS.INSTRUMENT.SWAP("swap.8980",H8982,B8982,"USD","SOFR",I8982,J8982,0,"Actual360","Simple","Annual","Annual","Annual")</f>
        <v>QSObject:Swap:w1~swap.8980:1242</v>
      </c>
      <c r="F8982" s="6" t="str">
        <f>_xll.QS.TRADE.CREATE("trade.8980",E8982,A8982,"Receive")</f>
        <v>QSObject:SwapTrade:w1~trade.8980:22799</v>
      </c>
      <c r="G8982" s="3">
        <f>_xll.QS.EVALUATE(C8982,F8982)</f>
        <v>52152.777971922776</v>
      </c>
      <c r="H8982" s="5" t="s">
        <v>9023</v>
      </c>
      <c r="I8982" s="7">
        <v>1898000</v>
      </c>
      <c r="J8982" s="8">
        <v>3.8000000000000013E-2</v>
      </c>
    </row>
    <row r="8983" spans="1:10" x14ac:dyDescent="0.25">
      <c r="A8983" s="5" t="s">
        <v>9017</v>
      </c>
      <c r="B8983" s="5" t="s">
        <v>10850</v>
      </c>
      <c r="C8983" s="6" t="str">
        <f>_xll.QS.CONTEXT.CREATE("market.8981",A8983,"USD","SOFR")</f>
        <v>QSObject:PricingContext:w1~market.8981:1241</v>
      </c>
      <c r="D8983" s="6" t="str">
        <f>_xll.QS.CONTEXT.ADD.CURVE(C8983,"SOFR",$K$2:$K$7,$L$2:$L$7,,,"Actual360","LogLinear",TRUE)</f>
        <v>QSObject:ContextInput:w1~input.qs_context_add_curve.2359132437744.8982.3.0:35342</v>
      </c>
      <c r="E8983" s="6" t="str">
        <f>_xll.QS.INSTRUMENT.SWAP("swap.8981",H8983,B8983,"USD","SOFR",I8983,J8983,0,"Actual360","Simple","Annual","Annual","Annual")</f>
        <v>QSObject:Swap:w1~swap.8981:1240</v>
      </c>
      <c r="F8983" s="6" t="str">
        <f>_xll.QS.TRADE.CREATE("trade.8981",E8983,A8983,"Receive")</f>
        <v>QSObject:SwapTrade:w1~trade.8981:22798</v>
      </c>
      <c r="G8983" s="3">
        <f>_xll.QS.EVALUATE(C8983,F8983)</f>
        <v>53112.506516142239</v>
      </c>
      <c r="H8983" s="5" t="s">
        <v>9024</v>
      </c>
      <c r="I8983" s="7">
        <v>1898100</v>
      </c>
      <c r="J8983" s="8">
        <v>3.8100000000000002E-2</v>
      </c>
    </row>
    <row r="8984" spans="1:10" x14ac:dyDescent="0.25">
      <c r="A8984" s="5" t="s">
        <v>9018</v>
      </c>
      <c r="B8984" s="5" t="s">
        <v>10851</v>
      </c>
      <c r="C8984" s="6" t="str">
        <f>_xll.QS.CONTEXT.CREATE("market.8982",A8984,"USD","SOFR")</f>
        <v>QSObject:PricingContext:w1~market.8982:1239</v>
      </c>
      <c r="D8984" s="6" t="str">
        <f>_xll.QS.CONTEXT.ADD.CURVE(C8984,"SOFR",$K$2:$K$7,$L$2:$L$7,,,"Actual360","LogLinear",TRUE)</f>
        <v>QSObject:ContextInput:w1~input.qs_context_add_curve.2359132437744.8983.3.0:34106</v>
      </c>
      <c r="E8984" s="6" t="str">
        <f>_xll.QS.INSTRUMENT.SWAP("swap.8982",H8984,B8984,"USD","SOFR",I8984,J8984,0,"Actual360","Simple","Annual","Annual","Annual")</f>
        <v>QSObject:Swap:w1~swap.8982:1238</v>
      </c>
      <c r="F8984" s="6" t="str">
        <f>_xll.QS.TRADE.CREATE("trade.8982",E8984,A8984,"Receive")</f>
        <v>QSObject:SwapTrade:w1~trade.8982:22797</v>
      </c>
      <c r="G8984" s="3">
        <f>_xll.QS.EVALUATE(C8984,F8984)</f>
        <v>54036.004304175651</v>
      </c>
      <c r="H8984" s="5" t="s">
        <v>9025</v>
      </c>
      <c r="I8984" s="7">
        <v>1898200</v>
      </c>
      <c r="J8984" s="8">
        <v>3.8199999999999998E-2</v>
      </c>
    </row>
    <row r="8985" spans="1:10" x14ac:dyDescent="0.25">
      <c r="A8985" s="5" t="s">
        <v>9019</v>
      </c>
      <c r="B8985" s="5" t="s">
        <v>10852</v>
      </c>
      <c r="C8985" s="6" t="str">
        <f>_xll.QS.CONTEXT.CREATE("market.8983",A8985,"USD","SOFR")</f>
        <v>QSObject:PricingContext:w1~market.8983:1237</v>
      </c>
      <c r="D8985" s="6" t="str">
        <f>_xll.QS.CONTEXT.ADD.CURVE(C8985,"SOFR",$K$2:$K$7,$L$2:$L$7,,,"Actual360","LogLinear",TRUE)</f>
        <v>QSObject:ContextInput:w1~input.qs_context_add_curve.2359132437744.8984.3.0:35341</v>
      </c>
      <c r="E8985" s="6" t="str">
        <f>_xll.QS.INSTRUMENT.SWAP("swap.8983",H8985,B8985,"USD","SOFR",I8985,J8985,0,"Actual360","Simple","Annual","Annual","Annual")</f>
        <v>QSObject:Swap:w1~swap.8983:1236</v>
      </c>
      <c r="F8985" s="6" t="str">
        <f>_xll.QS.TRADE.CREATE("trade.8983",E8985,A8985,"Receive")</f>
        <v>QSObject:SwapTrade:w1~trade.8983:22796</v>
      </c>
      <c r="G8985" s="3">
        <f>_xll.QS.EVALUATE(C8985,F8985)</f>
        <v>55053.06491326636</v>
      </c>
      <c r="H8985" s="5" t="s">
        <v>9026</v>
      </c>
      <c r="I8985" s="7">
        <v>1898300</v>
      </c>
      <c r="J8985" s="8">
        <v>3.8300000000000001E-2</v>
      </c>
    </row>
    <row r="8986" spans="1:10" x14ac:dyDescent="0.25">
      <c r="A8986" s="5" t="s">
        <v>9020</v>
      </c>
      <c r="B8986" s="5" t="s">
        <v>10853</v>
      </c>
      <c r="C8986" s="6" t="str">
        <f>_xll.QS.CONTEXT.CREATE("market.8984",A8986,"USD","SOFR")</f>
        <v>QSObject:PricingContext:w1~market.8984:1235</v>
      </c>
      <c r="D8986" s="6" t="str">
        <f>_xll.QS.CONTEXT.ADD.CURVE(C8986,"SOFR",$K$2:$K$7,$L$2:$L$7,,,"Actual360","LogLinear",TRUE)</f>
        <v>QSObject:ContextInput:w1~input.qs_context_add_curve.2359132437744.8985.3.0:34105</v>
      </c>
      <c r="E8986" s="6" t="str">
        <f>_xll.QS.INSTRUMENT.SWAP("swap.8984",H8986,B8986,"USD","SOFR",I8986,J8986,0,"Actual360","Simple","Annual","Annual","Annual")</f>
        <v>QSObject:Swap:w1~swap.8984:1234</v>
      </c>
      <c r="F8986" s="6" t="str">
        <f>_xll.QS.TRADE.CREATE("trade.8984",E8986,A8986,"Receive")</f>
        <v>QSObject:SwapTrade:w1~trade.8984:22795</v>
      </c>
      <c r="G8986" s="3">
        <f>_xll.QS.EVALUATE(C8986,F8986)</f>
        <v>56014.062265202898</v>
      </c>
      <c r="H8986" s="5" t="s">
        <v>9027</v>
      </c>
      <c r="I8986" s="7">
        <v>1898400</v>
      </c>
      <c r="J8986" s="8">
        <v>3.8399999999999997E-2</v>
      </c>
    </row>
    <row r="8987" spans="1:10" x14ac:dyDescent="0.25">
      <c r="A8987" s="5" t="s">
        <v>9021</v>
      </c>
      <c r="B8987" s="5" t="s">
        <v>10854</v>
      </c>
      <c r="C8987" s="6" t="str">
        <f>_xll.QS.CONTEXT.CREATE("market.8985",A8987,"USD","SOFR")</f>
        <v>QSObject:PricingContext:w1~market.8985:1233</v>
      </c>
      <c r="D8987" s="6" t="str">
        <f>_xll.QS.CONTEXT.ADD.CURVE(C8987,"SOFR",$K$2:$K$7,$L$2:$L$7,,,"Actual360","LogLinear",TRUE)</f>
        <v>QSObject:ContextInput:w1~input.qs_context_add_curve.2359132437744.8986.3.0:34732</v>
      </c>
      <c r="E8987" s="6" t="str">
        <f>_xll.QS.INSTRUMENT.SWAP("swap.8985",H8987,B8987,"USD","SOFR",I8987,J8987,0,"Actual360","Simple","Annual","Annual","Annual")</f>
        <v>QSObject:Swap:w1~swap.8985:1232</v>
      </c>
      <c r="F8987" s="6" t="str">
        <f>_xll.QS.TRADE.CREATE("trade.8985",E8987,A8987,"Receive")</f>
        <v>QSObject:SwapTrade:w1~trade.8985:22794</v>
      </c>
      <c r="G8987" s="3">
        <f>_xll.QS.EVALUATE(C8987,F8987)</f>
        <v>56820.324861997862</v>
      </c>
      <c r="H8987" s="5" t="s">
        <v>9028</v>
      </c>
      <c r="I8987" s="7">
        <v>1898500</v>
      </c>
      <c r="J8987" s="8">
        <v>3.8500000000000013E-2</v>
      </c>
    </row>
    <row r="8988" spans="1:10" x14ac:dyDescent="0.25">
      <c r="A8988" s="5" t="s">
        <v>9022</v>
      </c>
      <c r="B8988" s="5" t="s">
        <v>10855</v>
      </c>
      <c r="C8988" s="6" t="str">
        <f>_xll.QS.CONTEXT.CREATE("market.8986",A8988,"USD","SOFR")</f>
        <v>QSObject:PricingContext:w1~market.8986:1231</v>
      </c>
      <c r="D8988" s="6" t="str">
        <f>_xll.QS.CONTEXT.ADD.CURVE(C8988,"SOFR",$K$2:$K$7,$L$2:$L$7,,,"Actual360","LogLinear",TRUE)</f>
        <v>QSObject:ContextInput:w1~input.qs_context_add_curve.2359132437744.8987.3.0:35340</v>
      </c>
      <c r="E8988" s="6" t="str">
        <f>_xll.QS.INSTRUMENT.SWAP("swap.8986",H8988,B8988,"USD","SOFR",I8988,J8988,0,"Actual360","Simple","Annual","Annual","Annual")</f>
        <v>QSObject:Swap:w1~swap.8986:1230</v>
      </c>
      <c r="F8988" s="6" t="str">
        <f>_xll.QS.TRADE.CREATE("trade.8986",E8988,A8988,"Receive")</f>
        <v>QSObject:SwapTrade:w1~trade.8986:22793</v>
      </c>
      <c r="G8988" s="3">
        <f>_xll.QS.EVALUATE(C8988,F8988)</f>
        <v>57550.582455834403</v>
      </c>
      <c r="H8988" s="5" t="s">
        <v>9029</v>
      </c>
      <c r="I8988" s="7">
        <v>1898600</v>
      </c>
      <c r="J8988" s="8">
        <v>3.8600000000000002E-2</v>
      </c>
    </row>
    <row r="8989" spans="1:10" x14ac:dyDescent="0.25">
      <c r="A8989" s="5" t="s">
        <v>9023</v>
      </c>
      <c r="B8989" s="5" t="s">
        <v>10856</v>
      </c>
      <c r="C8989" s="6" t="str">
        <f>_xll.QS.CONTEXT.CREATE("market.8987",A8989,"USD","SOFR")</f>
        <v>QSObject:PricingContext:w1~market.8987:1229</v>
      </c>
      <c r="D8989" s="6" t="str">
        <f>_xll.QS.CONTEXT.ADD.CURVE(C8989,"SOFR",$K$2:$K$7,$L$2:$L$7,,,"Actual360","LogLinear",TRUE)</f>
        <v>QSObject:ContextInput:w1~input.qs_context_add_curve.2359132437744.8988.3.0:39982</v>
      </c>
      <c r="E8989" s="6" t="str">
        <f>_xll.QS.INSTRUMENT.SWAP("swap.8987",H8989,B8989,"USD","SOFR",I8989,J8989,0,"Actual360","Simple","Annual","Annual","Annual")</f>
        <v>QSObject:Swap:w1~swap.8987:1228</v>
      </c>
      <c r="F8989" s="6" t="str">
        <f>_xll.QS.TRADE.CREATE("trade.8987",E8989,A8989,"Receive")</f>
        <v>QSObject:SwapTrade:w1~trade.8987:22792</v>
      </c>
      <c r="G8989" s="3">
        <f>_xll.QS.EVALUATE(C8989,F8989)</f>
        <v>58303.252143951395</v>
      </c>
      <c r="H8989" s="5" t="s">
        <v>9030</v>
      </c>
      <c r="I8989" s="7">
        <v>1898700</v>
      </c>
      <c r="J8989" s="8">
        <v>3.8700000000000012E-2</v>
      </c>
    </row>
    <row r="8990" spans="1:10" x14ac:dyDescent="0.25">
      <c r="A8990" s="5" t="s">
        <v>9024</v>
      </c>
      <c r="B8990" s="5" t="s">
        <v>10857</v>
      </c>
      <c r="C8990" s="6" t="str">
        <f>_xll.QS.CONTEXT.CREATE("market.8988",A8990,"USD","SOFR")</f>
        <v>QSObject:PricingContext:w1~market.8988:1227</v>
      </c>
      <c r="D8990" s="6" t="str">
        <f>_xll.QS.CONTEXT.ADD.CURVE(C8990,"SOFR",$K$2:$K$7,$L$2:$L$7,,,"Actual360","LogLinear",TRUE)</f>
        <v>QSObject:ContextInput:w1~input.qs_context_add_curve.2359132437744.8989.3.0:35339</v>
      </c>
      <c r="E8990" s="6" t="str">
        <f>_xll.QS.INSTRUMENT.SWAP("swap.8988",H8990,B8990,"USD","SOFR",I8990,J8990,0,"Actual360","Simple","Annual","Annual","Annual")</f>
        <v>QSObject:Swap:w1~swap.8988:1226</v>
      </c>
      <c r="F8990" s="6" t="str">
        <f>_xll.QS.TRADE.CREATE("trade.8988",E8990,A8990,"Receive")</f>
        <v>QSObject:SwapTrade:w1~trade.8988:22791</v>
      </c>
      <c r="G8990" s="3">
        <f>_xll.QS.EVALUATE(C8990,F8990)</f>
        <v>59264.271822985946</v>
      </c>
      <c r="H8990" s="5" t="s">
        <v>9031</v>
      </c>
      <c r="I8990" s="7">
        <v>1898800</v>
      </c>
      <c r="J8990" s="8">
        <v>3.8800000000000001E-2</v>
      </c>
    </row>
    <row r="8991" spans="1:10" x14ac:dyDescent="0.25">
      <c r="A8991" s="5" t="s">
        <v>9025</v>
      </c>
      <c r="B8991" s="5" t="s">
        <v>10858</v>
      </c>
      <c r="C8991" s="6" t="str">
        <f>_xll.QS.CONTEXT.CREATE("market.8989",A8991,"USD","SOFR")</f>
        <v>QSObject:PricingContext:w1~market.8989:1225</v>
      </c>
      <c r="D8991" s="6" t="str">
        <f>_xll.QS.CONTEXT.ADD.CURVE(C8991,"SOFR",$K$2:$K$7,$L$2:$L$7,,,"Actual360","LogLinear",TRUE)</f>
        <v>QSObject:ContextInput:w1~input.qs_context_add_curve.2359132437744.8990.3.0:32983</v>
      </c>
      <c r="E8991" s="6" t="str">
        <f>_xll.QS.INSTRUMENT.SWAP("swap.8989",H8991,B8991,"USD","SOFR",I8991,J8991,0,"Actual360","Simple","Annual","Annual","Annual")</f>
        <v>QSObject:Swap:w1~swap.8989:1224</v>
      </c>
      <c r="F8991" s="6" t="str">
        <f>_xll.QS.TRADE.CREATE("trade.8989",E8991,A8991,"Receive")</f>
        <v>QSObject:SwapTrade:w1~trade.8989:22790</v>
      </c>
      <c r="G8991" s="3">
        <f>_xll.QS.EVALUATE(C8991,F8991)</f>
        <v>60185.429635063505</v>
      </c>
      <c r="H8991" s="5" t="s">
        <v>9032</v>
      </c>
      <c r="I8991" s="7">
        <v>1898900</v>
      </c>
      <c r="J8991" s="8">
        <v>3.8899999999999997E-2</v>
      </c>
    </row>
    <row r="8992" spans="1:10" x14ac:dyDescent="0.25">
      <c r="A8992" s="5" t="s">
        <v>9026</v>
      </c>
      <c r="B8992" s="5" t="s">
        <v>10859</v>
      </c>
      <c r="C8992" s="6" t="str">
        <f>_xll.QS.CONTEXT.CREATE("market.8990",A8992,"USD","SOFR")</f>
        <v>QSObject:PricingContext:w1~market.8990:1223</v>
      </c>
      <c r="D8992" s="6" t="str">
        <f>_xll.QS.CONTEXT.ADD.CURVE(C8992,"SOFR",$K$2:$K$7,$L$2:$L$7,,,"Actual360","LogLinear",TRUE)</f>
        <v>QSObject:ContextInput:w1~input.qs_context_add_curve.2359132437744.8991.3.0:38778</v>
      </c>
      <c r="E8992" s="6" t="str">
        <f>_xll.QS.INSTRUMENT.SWAP("swap.8990",H8992,B8992,"USD","SOFR",I8992,J8992,0,"Actual360","Simple","Annual","Annual","Annual")</f>
        <v>QSObject:Swap:w1~swap.8990:1222</v>
      </c>
      <c r="F8992" s="6" t="str">
        <f>_xll.QS.TRADE.CREATE("trade.8990",E8992,A8992,"Receive")</f>
        <v>QSObject:SwapTrade:w1~trade.8990:22789</v>
      </c>
      <c r="G8992" s="3">
        <f>_xll.QS.EVALUATE(C8992,F8992)</f>
        <v>61203.279008321842</v>
      </c>
      <c r="H8992" s="5" t="s">
        <v>9033</v>
      </c>
      <c r="I8992" s="7">
        <v>1899000</v>
      </c>
      <c r="J8992" s="8">
        <v>3.9000000000000007E-2</v>
      </c>
    </row>
    <row r="8993" spans="1:10" x14ac:dyDescent="0.25">
      <c r="A8993" s="5" t="s">
        <v>9027</v>
      </c>
      <c r="B8993" s="5" t="s">
        <v>10860</v>
      </c>
      <c r="C8993" s="6" t="str">
        <f>_xll.QS.CONTEXT.CREATE("market.8991",A8993,"USD","SOFR")</f>
        <v>QSObject:PricingContext:w1~market.8991:1221</v>
      </c>
      <c r="D8993" s="6" t="str">
        <f>_xll.QS.CONTEXT.ADD.CURVE(C8993,"SOFR",$K$2:$K$7,$L$2:$L$7,,,"Actual360","LogLinear",TRUE)</f>
        <v>QSObject:ContextInput:w1~input.qs_context_add_curve.2359132437744.8992.3.0:38777</v>
      </c>
      <c r="E8993" s="6" t="str">
        <f>_xll.QS.INSTRUMENT.SWAP("swap.8991",H8993,B8993,"USD","SOFR",I8993,J8993,0,"Actual360","Simple","Annual","Annual","Annual")</f>
        <v>QSObject:Swap:w1~swap.8991:1220</v>
      </c>
      <c r="F8993" s="6" t="str">
        <f>_xll.QS.TRADE.CREATE("trade.8991",E8993,A8993,"Receive")</f>
        <v>QSObject:SwapTrade:w1~trade.8991:22788</v>
      </c>
      <c r="G8993" s="3">
        <f>_xll.QS.EVALUATE(C8993,F8993)</f>
        <v>62165.017966899584</v>
      </c>
      <c r="H8993" s="5" t="s">
        <v>9034</v>
      </c>
      <c r="I8993" s="7">
        <v>1899100</v>
      </c>
      <c r="J8993" s="8">
        <v>3.9100000000000003E-2</v>
      </c>
    </row>
    <row r="8994" spans="1:10" x14ac:dyDescent="0.25">
      <c r="A8994" s="5" t="s">
        <v>9028</v>
      </c>
      <c r="B8994" s="5" t="s">
        <v>10861</v>
      </c>
      <c r="C8994" s="6" t="str">
        <f>_xll.QS.CONTEXT.CREATE("market.8992",A8994,"USD","SOFR")</f>
        <v>QSObject:PricingContext:w1~market.8992:1219</v>
      </c>
      <c r="D8994" s="6" t="str">
        <f>_xll.QS.CONTEXT.ADD.CURVE(C8994,"SOFR",$K$2:$K$7,$L$2:$L$7,,,"Actual360","LogLinear",TRUE)</f>
        <v>QSObject:ContextInput:w1~input.qs_context_add_curve.2359132437744.8993.3.0:39981</v>
      </c>
      <c r="E8994" s="6" t="str">
        <f>_xll.QS.INSTRUMENT.SWAP("swap.8992",H8994,B8994,"USD","SOFR",I8994,J8994,0,"Actual360","Simple","Annual","Annual","Annual")</f>
        <v>QSObject:Swap:w1~swap.8992:1218</v>
      </c>
      <c r="F8994" s="6" t="str">
        <f>_xll.QS.TRADE.CREATE("trade.8992",E8994,A8994,"Receive")</f>
        <v>QSObject:SwapTrade:w1~trade.8992:22787</v>
      </c>
      <c r="G8994" s="3">
        <f>_xll.QS.EVALUATE(C8994,F8994)</f>
        <v>62971.850133903761</v>
      </c>
      <c r="H8994" s="5" t="s">
        <v>9035</v>
      </c>
      <c r="I8994" s="7">
        <v>1899200</v>
      </c>
      <c r="J8994" s="8">
        <v>3.9200000000000013E-2</v>
      </c>
    </row>
    <row r="8995" spans="1:10" x14ac:dyDescent="0.25">
      <c r="A8995" s="5" t="s">
        <v>9029</v>
      </c>
      <c r="B8995" s="5" t="s">
        <v>10862</v>
      </c>
      <c r="C8995" s="6" t="str">
        <f>_xll.QS.CONTEXT.CREATE("market.8993",A8995,"USD","SOFR")</f>
        <v>QSObject:PricingContext:w1~market.8993:1217</v>
      </c>
      <c r="D8995" s="6" t="str">
        <f>_xll.QS.CONTEXT.ADD.CURVE(C8995,"SOFR",$K$2:$K$7,$L$2:$L$7,,,"Actual360","LogLinear",TRUE)</f>
        <v>QSObject:ContextInput:w1~input.qs_context_add_curve.2359132437744.8994.3.0:34104</v>
      </c>
      <c r="E8995" s="6" t="str">
        <f>_xll.QS.INSTRUMENT.SWAP("swap.8993",H8995,B8995,"USD","SOFR",I8995,J8995,0,"Actual360","Simple","Annual","Annual","Annual")</f>
        <v>QSObject:Swap:w1~swap.8993:1216</v>
      </c>
      <c r="F8995" s="6" t="str">
        <f>_xll.QS.TRADE.CREATE("trade.8993",E8995,A8995,"Receive")</f>
        <v>QSObject:SwapTrade:w1~trade.8993:22786</v>
      </c>
      <c r="G8995" s="3">
        <f>_xll.QS.EVALUATE(C8995,F8995)</f>
        <v>63695.47360007243</v>
      </c>
      <c r="H8995" s="5" t="s">
        <v>9036</v>
      </c>
      <c r="I8995" s="7">
        <v>1899300</v>
      </c>
      <c r="J8995" s="8">
        <v>3.9300000000000002E-2</v>
      </c>
    </row>
    <row r="8996" spans="1:10" x14ac:dyDescent="0.25">
      <c r="A8996" s="5" t="s">
        <v>9030</v>
      </c>
      <c r="B8996" s="5" t="s">
        <v>10863</v>
      </c>
      <c r="C8996" s="6" t="str">
        <f>_xll.QS.CONTEXT.CREATE("market.8994",A8996,"USD","SOFR")</f>
        <v>QSObject:PricingContext:w1~market.8994:1215</v>
      </c>
      <c r="D8996" s="6" t="str">
        <f>_xll.QS.CONTEXT.ADD.CURVE(C8996,"SOFR",$K$2:$K$7,$L$2:$L$7,,,"Actual360","LogLinear",TRUE)</f>
        <v>QSObject:ContextInput:w1~input.qs_context_add_curve.2359132437744.8995.3.0:34103</v>
      </c>
      <c r="E8996" s="6" t="str">
        <f>_xll.QS.INSTRUMENT.SWAP("swap.8994",H8996,B8996,"USD","SOFR",I8996,J8996,0,"Actual360","Simple","Annual","Annual","Annual")</f>
        <v>QSObject:Swap:w1~swap.8994:1214</v>
      </c>
      <c r="F8996" s="6" t="str">
        <f>_xll.QS.TRADE.CREATE("trade.8994",E8996,A8996,"Receive")</f>
        <v>QSObject:SwapTrade:w1~trade.8994:22785</v>
      </c>
      <c r="G8996" s="3">
        <f>_xll.QS.EVALUATE(C8996,F8996)</f>
        <v>64458.24716479268</v>
      </c>
      <c r="H8996" s="5" t="s">
        <v>9037</v>
      </c>
      <c r="I8996" s="7">
        <v>1899400</v>
      </c>
      <c r="J8996" s="8">
        <v>3.9399999999999998E-2</v>
      </c>
    </row>
    <row r="8997" spans="1:10" x14ac:dyDescent="0.25">
      <c r="A8997" s="5" t="s">
        <v>9031</v>
      </c>
      <c r="B8997" s="5" t="s">
        <v>10864</v>
      </c>
      <c r="C8997" s="6" t="str">
        <f>_xll.QS.CONTEXT.CREATE("market.8995",A8997,"USD","SOFR")</f>
        <v>QSObject:PricingContext:w1~market.8995:1213</v>
      </c>
      <c r="D8997" s="6" t="str">
        <f>_xll.QS.CONTEXT.ADD.CURVE(C8997,"SOFR",$K$2:$K$7,$L$2:$L$7,,,"Actual360","LogLinear",TRUE)</f>
        <v>QSObject:ContextInput:w1~input.qs_context_add_curve.2359132437744.8996.3.0:34102</v>
      </c>
      <c r="E8997" s="6" t="str">
        <f>_xll.QS.INSTRUMENT.SWAP("swap.8995",H8997,B8997,"USD","SOFR",I8997,J8997,0,"Actual360","Simple","Annual","Annual","Annual")</f>
        <v>QSObject:Swap:w1~swap.8995:1212</v>
      </c>
      <c r="F8997" s="6" t="str">
        <f>_xll.QS.TRADE.CREATE("trade.8995",E8997,A8997,"Receive")</f>
        <v>QSObject:SwapTrade:w1~trade.8995:22784</v>
      </c>
      <c r="G8997" s="3">
        <f>_xll.QS.EVALUATE(C8997,F8997)</f>
        <v>65420.558432302663</v>
      </c>
      <c r="H8997" s="5" t="s">
        <v>9038</v>
      </c>
      <c r="I8997" s="7">
        <v>1899500</v>
      </c>
      <c r="J8997" s="8">
        <v>3.9500000000000007E-2</v>
      </c>
    </row>
    <row r="8998" spans="1:10" x14ac:dyDescent="0.25">
      <c r="A8998" s="5" t="s">
        <v>9032</v>
      </c>
      <c r="B8998" s="5" t="s">
        <v>10865</v>
      </c>
      <c r="C8998" s="6" t="str">
        <f>_xll.QS.CONTEXT.CREATE("market.8996",A8998,"USD","SOFR")</f>
        <v>QSObject:PricingContext:w1~market.8996:1211</v>
      </c>
      <c r="D8998" s="6" t="str">
        <f>_xll.QS.CONTEXT.ADD.CURVE(C8998,"SOFR",$K$2:$K$7,$L$2:$L$7,,,"Actual360","LogLinear",TRUE)</f>
        <v>QSObject:ContextInput:w1~input.qs_context_add_curve.2359132437744.8997.3.0:35923</v>
      </c>
      <c r="E8998" s="6" t="str">
        <f>_xll.QS.INSTRUMENT.SWAP("swap.8996",H8998,B8998,"USD","SOFR",I8998,J8998,0,"Actual360","Simple","Annual","Annual","Annual")</f>
        <v>QSObject:Swap:w1~swap.8996:1210</v>
      </c>
      <c r="F8998" s="6" t="str">
        <f>_xll.QS.TRADE.CREATE("trade.8996",E8998,A8998,"Receive")</f>
        <v>QSObject:SwapTrade:w1~trade.8996:22783</v>
      </c>
      <c r="G8998" s="3">
        <f>_xll.QS.EVALUATE(C8998,F8998)</f>
        <v>66339.374054809159</v>
      </c>
      <c r="H8998" s="5" t="s">
        <v>9039</v>
      </c>
      <c r="I8998" s="7">
        <v>1899600</v>
      </c>
      <c r="J8998" s="8">
        <v>3.9600000000000003E-2</v>
      </c>
    </row>
    <row r="8999" spans="1:10" x14ac:dyDescent="0.25">
      <c r="A8999" s="5" t="s">
        <v>9033</v>
      </c>
      <c r="B8999" s="5" t="s">
        <v>10866</v>
      </c>
      <c r="C8999" s="6" t="str">
        <f>_xll.QS.CONTEXT.CREATE("market.8997",A8999,"USD","SOFR")</f>
        <v>QSObject:PricingContext:w1~market.8997:1209</v>
      </c>
      <c r="D8999" s="6" t="str">
        <f>_xll.QS.CONTEXT.ADD.CURVE(C8999,"SOFR",$K$2:$K$7,$L$2:$L$7,,,"Actual360","LogLinear",TRUE)</f>
        <v>QSObject:ContextInput:w1~input.qs_context_add_curve.2359132437744.8998.3.0:39980</v>
      </c>
      <c r="E8999" s="6" t="str">
        <f>_xll.QS.INSTRUMENT.SWAP("swap.8997",H8999,B8999,"USD","SOFR",I8999,J8999,0,"Actual360","Simple","Annual","Annual","Annual")</f>
        <v>QSObject:Swap:w1~swap.8997:1208</v>
      </c>
      <c r="F8999" s="6" t="str">
        <f>_xll.QS.TRADE.CREATE("trade.8997",E8999,A8999,"Receive")</f>
        <v>QSObject:SwapTrade:w1~trade.8997:22782</v>
      </c>
      <c r="G8999" s="3">
        <f>_xll.QS.EVALUATE(C8999,F8999)</f>
        <v>67358.012260044998</v>
      </c>
      <c r="H8999" s="5" t="s">
        <v>9040</v>
      </c>
      <c r="I8999" s="7">
        <v>1899700</v>
      </c>
      <c r="J8999" s="8">
        <v>3.9700000000000013E-2</v>
      </c>
    </row>
    <row r="9000" spans="1:10" x14ac:dyDescent="0.25">
      <c r="A9000" s="5" t="s">
        <v>9034</v>
      </c>
      <c r="B9000" s="5" t="s">
        <v>10867</v>
      </c>
      <c r="C9000" s="6" t="str">
        <f>_xll.QS.CONTEXT.CREATE("market.8998",A9000,"USD","SOFR")</f>
        <v>QSObject:PricingContext:w1~market.8998:1207</v>
      </c>
      <c r="D9000" s="6" t="str">
        <f>_xll.QS.CONTEXT.ADD.CURVE(C9000,"SOFR",$K$2:$K$7,$L$2:$L$7,,,"Actual360","LogLinear",TRUE)</f>
        <v>QSObject:ContextInput:w1~input.qs_context_add_curve.2359132437744.8999.3.0:31736</v>
      </c>
      <c r="E9000" s="6" t="str">
        <f>_xll.QS.INSTRUMENT.SWAP("swap.8998",H9000,B9000,"USD","SOFR",I9000,J9000,0,"Actual360","Simple","Annual","Annual","Annual")</f>
        <v>QSObject:Swap:w1~swap.8998:1206</v>
      </c>
      <c r="F9000" s="6" t="str">
        <f>_xll.QS.TRADE.CREATE("trade.8998",E9000,A9000,"Receive")</f>
        <v>QSObject:SwapTrade:w1~trade.8998:22781</v>
      </c>
      <c r="G9000" s="3">
        <f>_xll.QS.EVALUATE(C9000,F9000)</f>
        <v>68320.492873571697</v>
      </c>
      <c r="H9000" s="5" t="s">
        <v>9041</v>
      </c>
      <c r="I9000" s="7">
        <v>1899800</v>
      </c>
      <c r="J9000" s="8">
        <v>3.9800000000000002E-2</v>
      </c>
    </row>
    <row r="9001" spans="1:10" x14ac:dyDescent="0.25">
      <c r="A9001" s="5" t="s">
        <v>9035</v>
      </c>
      <c r="B9001" s="5" t="s">
        <v>10868</v>
      </c>
      <c r="C9001" s="6" t="str">
        <f>_xll.QS.CONTEXT.CREATE("market.8999",A9001,"USD","SOFR")</f>
        <v>QSObject:PricingContext:w1~market.8999:1205</v>
      </c>
      <c r="D9001" s="6" t="str">
        <f>_xll.QS.CONTEXT.ADD.CURVE(C9001,"SOFR",$K$2:$K$7,$L$2:$L$7,,,"Actual360","LogLinear",TRUE)</f>
        <v>QSObject:ContextInput:w1~input.qs_context_add_curve.2359132437744.9000.3.0:38131</v>
      </c>
      <c r="E9001" s="6" t="str">
        <f>_xll.QS.INSTRUMENT.SWAP("swap.8999",H9001,B9001,"USD","SOFR",I9001,J9001,0,"Actual360","Simple","Annual","Annual","Annual")</f>
        <v>QSObject:Swap:w1~swap.8999:1204</v>
      </c>
      <c r="F9001" s="6" t="str">
        <f>_xll.QS.TRADE.CREATE("trade.8999",E9001,A9001,"Receive")</f>
        <v>QSObject:SwapTrade:w1~trade.8999:22780</v>
      </c>
      <c r="G9001" s="3">
        <f>_xll.QS.EVALUATE(C9001,F9001)</f>
        <v>69127.894574353733</v>
      </c>
      <c r="H9001" s="5" t="s">
        <v>9042</v>
      </c>
      <c r="I9001" s="7">
        <v>1899900</v>
      </c>
      <c r="J9001" s="8">
        <v>3.9899999999999998E-2</v>
      </c>
    </row>
    <row r="9002" spans="1:10" x14ac:dyDescent="0.25">
      <c r="A9002" s="5" t="s">
        <v>9036</v>
      </c>
      <c r="B9002" s="5" t="s">
        <v>10869</v>
      </c>
      <c r="C9002" s="6" t="str">
        <f>_xll.QS.CONTEXT.CREATE("market.9000",A9002,"USD","SOFR")</f>
        <v>QSObject:PricingContext:w1~market.9000:1203</v>
      </c>
      <c r="D9002" s="6" t="str">
        <f>_xll.QS.CONTEXT.ADD.CURVE(C9002,"SOFR",$K$2:$K$7,$L$2:$L$7,,,"Actual360","LogLinear",TRUE)</f>
        <v>QSObject:ContextInput:w1~input.qs_context_add_curve.2359132437744.9001.3.0:39346</v>
      </c>
      <c r="E9002" s="6" t="str">
        <f>_xll.QS.INSTRUMENT.SWAP("swap.9000",H9002,B9002,"USD","SOFR",I9002,J9002,0,"Actual360","Simple","Annual","Annual","Annual")</f>
        <v>QSObject:Swap:w1~swap.9000:1202</v>
      </c>
      <c r="F9002" s="6" t="str">
        <f>_xll.QS.TRADE.CREATE("trade.9000",E9002,A9002,"Receive")</f>
        <v>QSObject:SwapTrade:w1~trade.9000:22779</v>
      </c>
      <c r="G9002" s="3">
        <f>_xll.QS.EVALUATE(C9002,F9002)</f>
        <v>26142.174769989047</v>
      </c>
      <c r="H9002" s="5" t="s">
        <v>9043</v>
      </c>
      <c r="I9002" s="7">
        <v>1900000</v>
      </c>
      <c r="J9002" s="8">
        <v>3.5000000000000003E-2</v>
      </c>
    </row>
    <row r="9003" spans="1:10" x14ac:dyDescent="0.25">
      <c r="A9003" s="5" t="s">
        <v>9037</v>
      </c>
      <c r="B9003" s="5" t="s">
        <v>10870</v>
      </c>
      <c r="C9003" s="6" t="str">
        <f>_xll.QS.CONTEXT.CREATE("market.9001",A9003,"USD","SOFR")</f>
        <v>QSObject:PricingContext:w1~market.9001:1201</v>
      </c>
      <c r="D9003" s="6" t="str">
        <f>_xll.QS.CONTEXT.ADD.CURVE(C9003,"SOFR",$K$2:$K$7,$L$2:$L$7,,,"Actual360","LogLinear",TRUE)</f>
        <v>QSObject:ContextInput:w1~input.qs_context_add_curve.2359132437744.9002.3.0:33519</v>
      </c>
      <c r="E9003" s="6" t="str">
        <f>_xll.QS.INSTRUMENT.SWAP("swap.9001",H9003,B9003,"USD","SOFR",I9003,J9003,0,"Actual360","Simple","Annual","Annual","Annual")</f>
        <v>QSObject:Swap:w1~swap.9001:1200</v>
      </c>
      <c r="F9003" s="6" t="str">
        <f>_xll.QS.TRADE.CREATE("trade.9001",E9003,A9003,"Receive")</f>
        <v>QSObject:SwapTrade:w1~trade.9001:22778</v>
      </c>
      <c r="G9003" s="3">
        <f>_xll.QS.EVALUATE(C9003,F9003)</f>
        <v>27022.29875531383</v>
      </c>
      <c r="H9003" s="5" t="s">
        <v>9044</v>
      </c>
      <c r="I9003" s="7">
        <v>1900100</v>
      </c>
      <c r="J9003" s="8">
        <v>3.5100000000000013E-2</v>
      </c>
    </row>
    <row r="9004" spans="1:10" x14ac:dyDescent="0.25">
      <c r="A9004" s="5" t="s">
        <v>9038</v>
      </c>
      <c r="B9004" s="5" t="s">
        <v>10871</v>
      </c>
      <c r="C9004" s="6" t="str">
        <f>_xll.QS.CONTEXT.CREATE("market.9002",A9004,"USD","SOFR")</f>
        <v>QSObject:PricingContext:w1~market.9002:1199</v>
      </c>
      <c r="D9004" s="6" t="str">
        <f>_xll.QS.CONTEXT.ADD.CURVE(C9004,"SOFR",$K$2:$K$7,$L$2:$L$7,,,"Actual360","LogLinear",TRUE)</f>
        <v>QSObject:ContextInput:w1~input.qs_context_add_curve.2359132437744.9003.3.0:38130</v>
      </c>
      <c r="E9004" s="6" t="str">
        <f>_xll.QS.INSTRUMENT.SWAP("swap.9002",H9004,B9004,"USD","SOFR",I9004,J9004,0,"Actual360","Simple","Annual","Annual","Annual")</f>
        <v>QSObject:Swap:w1~swap.9002:1198</v>
      </c>
      <c r="F9004" s="6" t="str">
        <f>_xll.QS.TRADE.CREATE("trade.9002",E9004,A9004,"Receive")</f>
        <v>QSObject:SwapTrade:w1~trade.9002:22777</v>
      </c>
      <c r="G9004" s="3">
        <f>_xll.QS.EVALUATE(C9004,F9004)</f>
        <v>27670.50073675032</v>
      </c>
      <c r="H9004" s="5" t="s">
        <v>9045</v>
      </c>
      <c r="I9004" s="7">
        <v>1900200</v>
      </c>
      <c r="J9004" s="8">
        <v>3.5200000000000002E-2</v>
      </c>
    </row>
    <row r="9005" spans="1:10" x14ac:dyDescent="0.25">
      <c r="A9005" s="5" t="s">
        <v>9039</v>
      </c>
      <c r="B9005" s="5" t="s">
        <v>10872</v>
      </c>
      <c r="C9005" s="6" t="str">
        <f>_xll.QS.CONTEXT.CREATE("market.9003",A9005,"USD","SOFR")</f>
        <v>QSObject:PricingContext:w1~market.9003:1197</v>
      </c>
      <c r="D9005" s="6" t="str">
        <f>_xll.QS.CONTEXT.ADD.CURVE(C9005,"SOFR",$K$2:$K$7,$L$2:$L$7,,,"Actual360","LogLinear",TRUE)</f>
        <v>QSObject:ContextInput:w1~input.qs_context_add_curve.2359132437744.9004.3.0:38776</v>
      </c>
      <c r="E9005" s="6" t="str">
        <f>_xll.QS.INSTRUMENT.SWAP("swap.9003",H9005,B9005,"USD","SOFR",I9005,J9005,0,"Actual360","Simple","Annual","Annual","Annual")</f>
        <v>QSObject:Swap:w1~swap.9003:1196</v>
      </c>
      <c r="F9005" s="6" t="str">
        <f>_xll.QS.TRADE.CREATE("trade.9003",E9005,A9005,"Receive")</f>
        <v>QSObject:SwapTrade:w1~trade.9003:22776</v>
      </c>
      <c r="G9005" s="3">
        <f>_xll.QS.EVALUATE(C9005,F9005)</f>
        <v>28625.474295882508</v>
      </c>
      <c r="H9005" s="5" t="s">
        <v>9046</v>
      </c>
      <c r="I9005" s="7">
        <v>1900300</v>
      </c>
      <c r="J9005" s="8">
        <v>3.5299999999999998E-2</v>
      </c>
    </row>
    <row r="9006" spans="1:10" x14ac:dyDescent="0.25">
      <c r="A9006" s="5" t="s">
        <v>9040</v>
      </c>
      <c r="B9006" s="5" t="s">
        <v>10873</v>
      </c>
      <c r="C9006" s="6" t="str">
        <f>_xll.QS.CONTEXT.CREATE("market.9004",A9006,"USD","SOFR")</f>
        <v>QSObject:PricingContext:w1~market.9004:1195</v>
      </c>
      <c r="D9006" s="6" t="str">
        <f>_xll.QS.CONTEXT.ADD.CURVE(C9006,"SOFR",$K$2:$K$7,$L$2:$L$7,,,"Actual360","LogLinear",TRUE)</f>
        <v>QSObject:ContextInput:w1~input.qs_context_add_curve.2359132437744.9005.3.0:38129</v>
      </c>
      <c r="E9006" s="6" t="str">
        <f>_xll.QS.INSTRUMENT.SWAP("swap.9004",H9006,B9006,"USD","SOFR",I9006,J9006,0,"Actual360","Simple","Annual","Annual","Annual")</f>
        <v>QSObject:Swap:w1~swap.9004:1194</v>
      </c>
      <c r="F9006" s="6" t="str">
        <f>_xll.QS.TRADE.CREATE("trade.9004",E9006,A9006,"Receive")</f>
        <v>QSObject:SwapTrade:w1~trade.9004:22775</v>
      </c>
      <c r="G9006" s="3">
        <f>_xll.QS.EVALUATE(C9006,F9006)</f>
        <v>29772.331456656553</v>
      </c>
      <c r="H9006" s="5" t="s">
        <v>9047</v>
      </c>
      <c r="I9006" s="7">
        <v>1900400</v>
      </c>
      <c r="J9006" s="8">
        <v>3.5400000000000001E-2</v>
      </c>
    </row>
    <row r="9007" spans="1:10" x14ac:dyDescent="0.25">
      <c r="A9007" s="5" t="s">
        <v>9041</v>
      </c>
      <c r="B9007" s="5" t="s">
        <v>10874</v>
      </c>
      <c r="C9007" s="6" t="str">
        <f>_xll.QS.CONTEXT.CREATE("market.9005",A9007,"USD","SOFR")</f>
        <v>QSObject:PricingContext:w1~market.9005:1193</v>
      </c>
      <c r="D9007" s="6" t="str">
        <f>_xll.QS.CONTEXT.ADD.CURVE(C9007,"SOFR",$K$2:$K$7,$L$2:$L$7,,,"Actual360","LogLinear",TRUE)</f>
        <v>QSObject:ContextInput:w1~input.qs_context_add_curve.2359132437744.9006.3.0:31735</v>
      </c>
      <c r="E9007" s="6" t="str">
        <f>_xll.QS.INSTRUMENT.SWAP("swap.9005",H9007,B9007,"USD","SOFR",I9007,J9007,0,"Actual360","Simple","Annual","Annual","Annual")</f>
        <v>QSObject:Swap:w1~swap.9005:1192</v>
      </c>
      <c r="F9007" s="6" t="str">
        <f>_xll.QS.TRADE.CREATE("trade.9005",E9007,A9007,"Receive")</f>
        <v>QSObject:SwapTrade:w1~trade.9005:22774</v>
      </c>
      <c r="G9007" s="3">
        <f>_xll.QS.EVALUATE(C9007,F9007)</f>
        <v>30665.573262328413</v>
      </c>
      <c r="H9007" s="5" t="s">
        <v>9048</v>
      </c>
      <c r="I9007" s="7">
        <v>1900500</v>
      </c>
      <c r="J9007" s="8">
        <v>3.5499999999999997E-2</v>
      </c>
    </row>
    <row r="9008" spans="1:10" x14ac:dyDescent="0.25">
      <c r="A9008" s="5" t="s">
        <v>9042</v>
      </c>
      <c r="B9008" s="5" t="s">
        <v>10875</v>
      </c>
      <c r="C9008" s="6" t="str">
        <f>_xll.QS.CONTEXT.CREATE("market.9006",A9008,"USD","SOFR")</f>
        <v>QSObject:PricingContext:w1~market.9006:1191</v>
      </c>
      <c r="D9008" s="6" t="str">
        <f>_xll.QS.CONTEXT.ADD.CURVE(C9008,"SOFR",$K$2:$K$7,$L$2:$L$7,,,"Actual360","LogLinear",TRUE)</f>
        <v>QSObject:ContextInput:w1~input.qs_context_add_curve.2359132437744.9007.3.0:31734</v>
      </c>
      <c r="E9008" s="6" t="str">
        <f>_xll.QS.INSTRUMENT.SWAP("swap.9006",H9008,B9008,"USD","SOFR",I9008,J9008,0,"Actual360","Simple","Annual","Annual","Annual")</f>
        <v>QSObject:Swap:w1~swap.9006:1190</v>
      </c>
      <c r="F9008" s="6" t="str">
        <f>_xll.QS.TRADE.CREATE("trade.9006",E9008,A9008,"Receive")</f>
        <v>QSObject:SwapTrade:w1~trade.9006:22773</v>
      </c>
      <c r="G9008" s="3">
        <f>_xll.QS.EVALUATE(C9008,F9008)</f>
        <v>31544.216400355836</v>
      </c>
      <c r="H9008" s="5" t="s">
        <v>9049</v>
      </c>
      <c r="I9008" s="7">
        <v>1900600</v>
      </c>
      <c r="J9008" s="8">
        <v>3.5600000000000007E-2</v>
      </c>
    </row>
    <row r="9009" spans="1:10" x14ac:dyDescent="0.25">
      <c r="A9009" s="5" t="s">
        <v>9043</v>
      </c>
      <c r="B9009" s="5" t="s">
        <v>10876</v>
      </c>
      <c r="C9009" s="6" t="str">
        <f>_xll.QS.CONTEXT.CREATE("market.9007",A9009,"USD","SOFR")</f>
        <v>QSObject:PricingContext:w1~market.9007:1189</v>
      </c>
      <c r="D9009" s="6" t="str">
        <f>_xll.QS.CONTEXT.ADD.CURVE(C9009,"SOFR",$K$2:$K$7,$L$2:$L$7,,,"Actual360","LogLinear",TRUE)</f>
        <v>QSObject:ContextInput:w1~input.qs_context_add_curve.2359132437744.9008.3.0:39345</v>
      </c>
      <c r="E9009" s="6" t="str">
        <f>_xll.QS.INSTRUMENT.SWAP("swap.9007",H9009,B9009,"USD","SOFR",I9009,J9009,0,"Actual360","Simple","Annual","Annual","Annual")</f>
        <v>QSObject:Swap:w1~swap.9007:1188</v>
      </c>
      <c r="F9009" s="6" t="str">
        <f>_xll.QS.TRADE.CREATE("trade.9007",E9009,A9009,"Receive")</f>
        <v>QSObject:SwapTrade:w1~trade.9007:22772</v>
      </c>
      <c r="G9009" s="3">
        <f>_xll.QS.EVALUATE(C9009,F9009)</f>
        <v>32304.218964600957</v>
      </c>
      <c r="H9009" s="5" t="s">
        <v>9050</v>
      </c>
      <c r="I9009" s="7">
        <v>1900700</v>
      </c>
      <c r="J9009" s="8">
        <v>3.5700000000000003E-2</v>
      </c>
    </row>
    <row r="9010" spans="1:10" x14ac:dyDescent="0.25">
      <c r="A9010" s="5" t="s">
        <v>9044</v>
      </c>
      <c r="B9010" s="5" t="s">
        <v>10877</v>
      </c>
      <c r="C9010" s="6" t="str">
        <f>_xll.QS.CONTEXT.CREATE("market.9008",A9010,"USD","SOFR")</f>
        <v>QSObject:PricingContext:w1~market.9008:1187</v>
      </c>
      <c r="D9010" s="6" t="str">
        <f>_xll.QS.CONTEXT.ADD.CURVE(C9010,"SOFR",$K$2:$K$7,$L$2:$L$7,,,"Actual360","LogLinear",TRUE)</f>
        <v>QSObject:ContextInput:w1~input.qs_context_add_curve.2359132437744.9009.3.0:31733</v>
      </c>
      <c r="E9010" s="6" t="str">
        <f>_xll.QS.INSTRUMENT.SWAP("swap.9008",H9010,B9010,"USD","SOFR",I9010,J9010,0,"Actual360","Simple","Annual","Annual","Annual")</f>
        <v>QSObject:Swap:w1~swap.9008:1186</v>
      </c>
      <c r="F9010" s="6" t="str">
        <f>_xll.QS.TRADE.CREATE("trade.9008",E9010,A9010,"Receive")</f>
        <v>QSObject:SwapTrade:w1~trade.9008:22771</v>
      </c>
      <c r="G9010" s="3">
        <f>_xll.QS.EVALUATE(C9010,F9010)</f>
        <v>33016.81916168936</v>
      </c>
      <c r="H9010" s="5" t="s">
        <v>9051</v>
      </c>
      <c r="I9010" s="7">
        <v>1900800</v>
      </c>
      <c r="J9010" s="8">
        <v>3.5800000000000012E-2</v>
      </c>
    </row>
    <row r="9011" spans="1:10" x14ac:dyDescent="0.25">
      <c r="A9011" s="5" t="s">
        <v>9045</v>
      </c>
      <c r="B9011" s="5" t="s">
        <v>10878</v>
      </c>
      <c r="C9011" s="6" t="str">
        <f>_xll.QS.CONTEXT.CREATE("market.9009",A9011,"USD","SOFR")</f>
        <v>QSObject:PricingContext:w1~market.9009:1185</v>
      </c>
      <c r="D9011" s="6" t="str">
        <f>_xll.QS.CONTEXT.ADD.CURVE(C9011,"SOFR",$K$2:$K$7,$L$2:$L$7,,,"Actual360","LogLinear",TRUE)</f>
        <v>QSObject:ContextInput:w1~input.qs_context_add_curve.2359132437744.9010.3.0:38775</v>
      </c>
      <c r="E9011" s="6" t="str">
        <f>_xll.QS.INSTRUMENT.SWAP("swap.9009",H9011,B9011,"USD","SOFR",I9011,J9011,0,"Actual360","Simple","Annual","Annual","Annual")</f>
        <v>QSObject:Swap:w1~swap.9009:1184</v>
      </c>
      <c r="F9011" s="6" t="str">
        <f>_xll.QS.TRADE.CREATE("trade.9009",E9011,A9011,"Receive")</f>
        <v>QSObject:SwapTrade:w1~trade.9009:22770</v>
      </c>
      <c r="G9011" s="3">
        <f>_xll.QS.EVALUATE(C9011,F9011)</f>
        <v>33897.80722874451</v>
      </c>
      <c r="H9011" s="5" t="s">
        <v>9052</v>
      </c>
      <c r="I9011" s="7">
        <v>1900900</v>
      </c>
      <c r="J9011" s="8">
        <v>3.5900000000000001E-2</v>
      </c>
    </row>
    <row r="9012" spans="1:10" x14ac:dyDescent="0.25">
      <c r="A9012" s="5" t="s">
        <v>9046</v>
      </c>
      <c r="B9012" s="5" t="s">
        <v>10879</v>
      </c>
      <c r="C9012" s="6" t="str">
        <f>_xll.QS.CONTEXT.CREATE("market.9010",A9012,"USD","SOFR")</f>
        <v>QSObject:PricingContext:w1~market.9010:1183</v>
      </c>
      <c r="D9012" s="6" t="str">
        <f>_xll.QS.CONTEXT.ADD.CURVE(C9012,"SOFR",$K$2:$K$7,$L$2:$L$7,,,"Actual360","LogLinear",TRUE)</f>
        <v>QSObject:ContextInput:w1~input.qs_context_add_curve.2359132437744.9011.3.0:38774</v>
      </c>
      <c r="E9012" s="6" t="str">
        <f>_xll.QS.INSTRUMENT.SWAP("swap.9010",H9012,B9012,"USD","SOFR",I9012,J9012,0,"Actual360","Simple","Annual","Annual","Annual")</f>
        <v>QSObject:Swap:w1~swap.9010:1182</v>
      </c>
      <c r="F9012" s="6" t="str">
        <f>_xll.QS.TRADE.CREATE("trade.9010",E9012,A9012,"Receive")</f>
        <v>QSObject:SwapTrade:w1~trade.9010:22769</v>
      </c>
      <c r="G9012" s="3">
        <f>_xll.QS.EVALUATE(C9012,F9012)</f>
        <v>34831.012352400779</v>
      </c>
      <c r="H9012" s="5" t="s">
        <v>9053</v>
      </c>
      <c r="I9012" s="7">
        <v>1901000</v>
      </c>
      <c r="J9012" s="8">
        <v>3.5999999999999997E-2</v>
      </c>
    </row>
    <row r="9013" spans="1:10" x14ac:dyDescent="0.25">
      <c r="A9013" s="5" t="s">
        <v>9047</v>
      </c>
      <c r="B9013" s="5" t="s">
        <v>10880</v>
      </c>
      <c r="C9013" s="6" t="str">
        <f>_xll.QS.CONTEXT.CREATE("market.9011",A9013,"USD","SOFR")</f>
        <v>QSObject:PricingContext:w1~market.9011:1181</v>
      </c>
      <c r="D9013" s="6" t="str">
        <f>_xll.QS.CONTEXT.ADD.CURVE(C9013,"SOFR",$K$2:$K$7,$L$2:$L$7,,,"Actual360","LogLinear",TRUE)</f>
        <v>QSObject:ContextInput:w1~input.qs_context_add_curve.2359132437744.9012.3.0:39344</v>
      </c>
      <c r="E9013" s="6" t="str">
        <f>_xll.QS.INSTRUMENT.SWAP("swap.9011",H9013,B9013,"USD","SOFR",I9013,J9013,0,"Actual360","Simple","Annual","Annual","Annual")</f>
        <v>QSObject:Swap:w1~swap.9011:1180</v>
      </c>
      <c r="F9013" s="6" t="str">
        <f>_xll.QS.TRADE.CREATE("trade.9011",E9013,A9013,"Receive")</f>
        <v>QSObject:SwapTrade:w1~trade.9011:22768</v>
      </c>
      <c r="G9013" s="3">
        <f>_xll.QS.EVALUATE(C9013,F9013)</f>
        <v>35847.756328345371</v>
      </c>
      <c r="H9013" s="5" t="s">
        <v>9054</v>
      </c>
      <c r="I9013" s="7">
        <v>1901100</v>
      </c>
      <c r="J9013" s="8">
        <v>3.61E-2</v>
      </c>
    </row>
    <row r="9014" spans="1:10" x14ac:dyDescent="0.25">
      <c r="A9014" s="5" t="s">
        <v>9048</v>
      </c>
      <c r="B9014" s="5" t="s">
        <v>10881</v>
      </c>
      <c r="C9014" s="6" t="str">
        <f>_xll.QS.CONTEXT.CREATE("market.9012",A9014,"USD","SOFR")</f>
        <v>QSObject:PricingContext:w1~market.9012:1179</v>
      </c>
      <c r="D9014" s="6" t="str">
        <f>_xll.QS.CONTEXT.ADD.CURVE(C9014,"SOFR",$K$2:$K$7,$L$2:$L$7,,,"Actual360","LogLinear",TRUE)</f>
        <v>QSObject:ContextInput:w1~input.qs_context_add_curve.2359132437744.9013.3.0:39979</v>
      </c>
      <c r="E9014" s="6" t="str">
        <f>_xll.QS.INSTRUMENT.SWAP("swap.9012",H9014,B9014,"USD","SOFR",I9014,J9014,0,"Actual360","Simple","Annual","Annual","Annual")</f>
        <v>QSObject:Swap:w1~swap.9012:1178</v>
      </c>
      <c r="F9014" s="6" t="str">
        <f>_xll.QS.TRADE.CREATE("trade.9012",E9014,A9014,"Receive")</f>
        <v>QSObject:SwapTrade:w1~trade.9012:22767</v>
      </c>
      <c r="G9014" s="3">
        <f>_xll.QS.EVALUATE(C9014,F9014)</f>
        <v>36808.712041791929</v>
      </c>
      <c r="H9014" s="5" t="s">
        <v>9055</v>
      </c>
      <c r="I9014" s="7">
        <v>1901200</v>
      </c>
      <c r="J9014" s="8">
        <v>3.6200000000000003E-2</v>
      </c>
    </row>
    <row r="9015" spans="1:10" x14ac:dyDescent="0.25">
      <c r="A9015" s="5" t="s">
        <v>9049</v>
      </c>
      <c r="B9015" s="5" t="s">
        <v>10882</v>
      </c>
      <c r="C9015" s="6" t="str">
        <f>_xll.QS.CONTEXT.CREATE("market.9013",A9015,"USD","SOFR")</f>
        <v>QSObject:PricingContext:w1~market.9013:1177</v>
      </c>
      <c r="D9015" s="6" t="str">
        <f>_xll.QS.CONTEXT.ADD.CURVE(C9015,"SOFR",$K$2:$K$7,$L$2:$L$7,,,"Actual360","LogLinear",TRUE)</f>
        <v>QSObject:ContextInput:w1~input.qs_context_add_curve.2359132437744.9014.3.0:38773</v>
      </c>
      <c r="E9015" s="6" t="str">
        <f>_xll.QS.INSTRUMENT.SWAP("swap.9013",H9015,B9015,"USD","SOFR",I9015,J9015,0,"Actual360","Simple","Annual","Annual","Annual")</f>
        <v>QSObject:Swap:w1~swap.9013:1176</v>
      </c>
      <c r="F9015" s="6" t="str">
        <f>_xll.QS.TRADE.CREATE("trade.9013",E9015,A9015,"Receive")</f>
        <v>QSObject:SwapTrade:w1~trade.9013:22766</v>
      </c>
      <c r="G9015" s="3">
        <f>_xll.QS.EVALUATE(C9015,F9015)</f>
        <v>37615.300381737768</v>
      </c>
      <c r="H9015" s="5" t="s">
        <v>9056</v>
      </c>
      <c r="I9015" s="7">
        <v>1901300</v>
      </c>
      <c r="J9015" s="8">
        <v>3.6300000000000013E-2</v>
      </c>
    </row>
    <row r="9016" spans="1:10" x14ac:dyDescent="0.25">
      <c r="A9016" s="5" t="s">
        <v>9050</v>
      </c>
      <c r="B9016" s="5" t="s">
        <v>10883</v>
      </c>
      <c r="C9016" s="6" t="str">
        <f>_xll.QS.CONTEXT.CREATE("market.9014",A9016,"USD","SOFR")</f>
        <v>QSObject:PricingContext:w1~market.9014:1175</v>
      </c>
      <c r="D9016" s="6" t="str">
        <f>_xll.QS.CONTEXT.ADD.CURVE(C9016,"SOFR",$K$2:$K$7,$L$2:$L$7,,,"Actual360","LogLinear",TRUE)</f>
        <v>QSObject:ContextInput:w1~input.qs_context_add_curve.2359132437744.9015.3.0:38128</v>
      </c>
      <c r="E9016" s="6" t="str">
        <f>_xll.QS.INSTRUMENT.SWAP("swap.9014",H9016,B9016,"USD","SOFR",I9016,J9016,0,"Actual360","Simple","Annual","Annual","Annual")</f>
        <v>QSObject:Swap:w1~swap.9014:1174</v>
      </c>
      <c r="F9016" s="6" t="str">
        <f>_xll.QS.TRADE.CREATE("trade.9014",E9016,A9016,"Receive")</f>
        <v>QSObject:SwapTrade:w1~trade.9014:22765</v>
      </c>
      <c r="G9016" s="3">
        <f>_xll.QS.EVALUATE(C9016,F9016)</f>
        <v>38368.3484636266</v>
      </c>
      <c r="H9016" s="5" t="s">
        <v>9057</v>
      </c>
      <c r="I9016" s="7">
        <v>1901400</v>
      </c>
      <c r="J9016" s="8">
        <v>3.6400000000000002E-2</v>
      </c>
    </row>
    <row r="9017" spans="1:10" x14ac:dyDescent="0.25">
      <c r="A9017" s="5" t="s">
        <v>9051</v>
      </c>
      <c r="B9017" s="5" t="s">
        <v>10884</v>
      </c>
      <c r="C9017" s="6" t="str">
        <f>_xll.QS.CONTEXT.CREATE("market.9015",A9017,"USD","SOFR")</f>
        <v>QSObject:PricingContext:w1~market.9015:1173</v>
      </c>
      <c r="D9017" s="6" t="str">
        <f>_xll.QS.CONTEXT.ADD.CURVE(C9017,"SOFR",$K$2:$K$7,$L$2:$L$7,,,"Actual360","LogLinear",TRUE)</f>
        <v>QSObject:ContextInput:w1~input.qs_context_add_curve.2359132437744.9016.3.0:31732</v>
      </c>
      <c r="E9017" s="6" t="str">
        <f>_xll.QS.INSTRUMENT.SWAP("swap.9015",H9017,B9017,"USD","SOFR",I9017,J9017,0,"Actual360","Simple","Annual","Annual","Annual")</f>
        <v>QSObject:Swap:w1~swap.9015:1172</v>
      </c>
      <c r="F9017" s="6" t="str">
        <f>_xll.QS.TRADE.CREATE("trade.9015",E9017,A9017,"Receive")</f>
        <v>QSObject:SwapTrade:w1~trade.9015:22764</v>
      </c>
      <c r="G9017" s="3">
        <f>_xll.QS.EVALUATE(C9017,F9017)</f>
        <v>39091.204166408781</v>
      </c>
      <c r="H9017" s="5" t="s">
        <v>9058</v>
      </c>
      <c r="I9017" s="7">
        <v>1901500</v>
      </c>
      <c r="J9017" s="8">
        <v>3.6499999999999998E-2</v>
      </c>
    </row>
    <row r="9018" spans="1:10" x14ac:dyDescent="0.25">
      <c r="A9018" s="5" t="s">
        <v>9052</v>
      </c>
      <c r="B9018" s="5" t="s">
        <v>10885</v>
      </c>
      <c r="C9018" s="6" t="str">
        <f>_xll.QS.CONTEXT.CREATE("market.9016",A9018,"USD","SOFR")</f>
        <v>QSObject:PricingContext:w1~market.9016:1171</v>
      </c>
      <c r="D9018" s="6" t="str">
        <f>_xll.QS.CONTEXT.ADD.CURVE(C9018,"SOFR",$K$2:$K$7,$L$2:$L$7,,,"Actual360","LogLinear",TRUE)</f>
        <v>QSObject:ContextInput:w1~input.qs_context_add_curve.2359132437744.9017.3.0:38772</v>
      </c>
      <c r="E9018" s="6" t="str">
        <f>_xll.QS.INSTRUMENT.SWAP("swap.9016",H9018,B9018,"USD","SOFR",I9018,J9018,0,"Actual360","Simple","Annual","Annual","Annual")</f>
        <v>QSObject:Swap:w1~swap.9016:1170</v>
      </c>
      <c r="F9018" s="6" t="str">
        <f>_xll.QS.TRADE.CREATE("trade.9016",E9018,A9018,"Receive")</f>
        <v>QSObject:SwapTrade:w1~trade.9016:22763</v>
      </c>
      <c r="G9018" s="3">
        <f>_xll.QS.EVALUATE(C9018,F9018)</f>
        <v>40050.684940246458</v>
      </c>
      <c r="H9018" s="5" t="s">
        <v>9059</v>
      </c>
      <c r="I9018" s="7">
        <v>1901600</v>
      </c>
      <c r="J9018" s="8">
        <v>3.6600000000000001E-2</v>
      </c>
    </row>
    <row r="9019" spans="1:10" x14ac:dyDescent="0.25">
      <c r="A9019" s="5" t="s">
        <v>9053</v>
      </c>
      <c r="B9019" s="5" t="s">
        <v>10886</v>
      </c>
      <c r="C9019" s="6" t="str">
        <f>_xll.QS.CONTEXT.CREATE("market.9017",A9019,"USD","SOFR")</f>
        <v>QSObject:PricingContext:w1~market.9017:1169</v>
      </c>
      <c r="D9019" s="6" t="str">
        <f>_xll.QS.CONTEXT.ADD.CURVE(C9019,"SOFR",$K$2:$K$7,$L$2:$L$7,,,"Actual360","LogLinear",TRUE)</f>
        <v>QSObject:ContextInput:w1~input.qs_context_add_curve.2359132437744.9018.3.0:38771</v>
      </c>
      <c r="E9019" s="6" t="str">
        <f>_xll.QS.INSTRUMENT.SWAP("swap.9017",H9019,B9019,"USD","SOFR",I9019,J9019,0,"Actual360","Simple","Annual","Annual","Annual")</f>
        <v>QSObject:Swap:w1~swap.9017:1168</v>
      </c>
      <c r="F9019" s="6" t="str">
        <f>_xll.QS.TRADE.CREATE("trade.9017",E9019,A9019,"Receive")</f>
        <v>QSObject:SwapTrade:w1~trade.9017:22762</v>
      </c>
      <c r="G9019" s="3">
        <f>_xll.QS.EVALUATE(C9019,F9019)</f>
        <v>40981.631640613785</v>
      </c>
      <c r="H9019" s="5" t="s">
        <v>9060</v>
      </c>
      <c r="I9019" s="7">
        <v>1901700</v>
      </c>
      <c r="J9019" s="8">
        <v>3.6700000000000003E-2</v>
      </c>
    </row>
    <row r="9020" spans="1:10" x14ac:dyDescent="0.25">
      <c r="A9020" s="5" t="s">
        <v>9054</v>
      </c>
      <c r="B9020" s="5" t="s">
        <v>10887</v>
      </c>
      <c r="C9020" s="6" t="str">
        <f>_xll.QS.CONTEXT.CREATE("market.9018",A9020,"USD","SOFR")</f>
        <v>QSObject:PricingContext:w1~market.9018:1167</v>
      </c>
      <c r="D9020" s="6" t="str">
        <f>_xll.QS.CONTEXT.ADD.CURVE(C9020,"SOFR",$K$2:$K$7,$L$2:$L$7,,,"Actual360","LogLinear",TRUE)</f>
        <v>QSObject:ContextInput:w1~input.qs_context_add_curve.2359132437744.9019.3.0:31731</v>
      </c>
      <c r="E9020" s="6" t="str">
        <f>_xll.QS.INSTRUMENT.SWAP("swap.9018",H9020,B9020,"USD","SOFR",I9020,J9020,0,"Actual360","Simple","Annual","Annual","Annual")</f>
        <v>QSObject:Swap:w1~swap.9018:1166</v>
      </c>
      <c r="F9020" s="6" t="str">
        <f>_xll.QS.TRADE.CREATE("trade.9018",E9020,A9020,"Receive")</f>
        <v>QSObject:SwapTrade:w1~trade.9018:22761</v>
      </c>
      <c r="G9020" s="3">
        <f>_xll.QS.EVALUATE(C9020,F9020)</f>
        <v>41999.673124315115</v>
      </c>
      <c r="H9020" s="5" t="s">
        <v>9061</v>
      </c>
      <c r="I9020" s="7">
        <v>1901800</v>
      </c>
      <c r="J9020" s="8">
        <v>3.6800000000000013E-2</v>
      </c>
    </row>
    <row r="9021" spans="1:10" x14ac:dyDescent="0.25">
      <c r="A9021" s="5" t="s">
        <v>9055</v>
      </c>
      <c r="B9021" s="5" t="s">
        <v>10888</v>
      </c>
      <c r="C9021" s="6" t="str">
        <f>_xll.QS.CONTEXT.CREATE("market.9019",A9021,"USD","SOFR")</f>
        <v>QSObject:PricingContext:w1~market.9019:1165</v>
      </c>
      <c r="D9021" s="6" t="str">
        <f>_xll.QS.CONTEXT.ADD.CURVE(C9021,"SOFR",$K$2:$K$7,$L$2:$L$7,,,"Actual360","LogLinear",TRUE)</f>
        <v>QSObject:ContextInput:w1~input.qs_context_add_curve.2359132437744.9020.3.0:39978</v>
      </c>
      <c r="E9021" s="6" t="str">
        <f>_xll.QS.INSTRUMENT.SWAP("swap.9019",H9021,B9021,"USD","SOFR",I9021,J9021,0,"Actual360","Simple","Annual","Annual","Annual")</f>
        <v>QSObject:Swap:w1~swap.9019:1164</v>
      </c>
      <c r="F9021" s="6" t="str">
        <f>_xll.QS.TRADE.CREATE("trade.9019",E9021,A9021,"Receive")</f>
        <v>QSObject:SwapTrade:w1~trade.9019:22760</v>
      </c>
      <c r="G9021" s="3">
        <f>_xll.QS.EVALUATE(C9021,F9021)</f>
        <v>42961.604545620903</v>
      </c>
      <c r="H9021" s="5" t="s">
        <v>9062</v>
      </c>
      <c r="I9021" s="7">
        <v>1901900</v>
      </c>
      <c r="J9021" s="8">
        <v>3.6900000000000002E-2</v>
      </c>
    </row>
    <row r="9022" spans="1:10" x14ac:dyDescent="0.25">
      <c r="A9022" s="5" t="s">
        <v>9056</v>
      </c>
      <c r="B9022" s="5" t="s">
        <v>10889</v>
      </c>
      <c r="C9022" s="6" t="str">
        <f>_xll.QS.CONTEXT.CREATE("market.9020",A9022,"USD","SOFR")</f>
        <v>QSObject:PricingContext:w1~market.9020:1163</v>
      </c>
      <c r="D9022" s="6" t="str">
        <f>_xll.QS.CONTEXT.ADD.CURVE(C9022,"SOFR",$K$2:$K$7,$L$2:$L$7,,,"Actual360","LogLinear",TRUE)</f>
        <v>QSObject:ContextInput:w1~input.qs_context_add_curve.2359132437744.9021.3.0:39977</v>
      </c>
      <c r="E9022" s="6" t="str">
        <f>_xll.QS.INSTRUMENT.SWAP("swap.9020",H9022,B9022,"USD","SOFR",I9022,J9022,0,"Actual360","Simple","Annual","Annual","Annual")</f>
        <v>QSObject:Swap:w1~swap.9020:1162</v>
      </c>
      <c r="F9022" s="6" t="str">
        <f>_xll.QS.TRADE.CREATE("trade.9020",E9022,A9022,"Receive")</f>
        <v>QSObject:SwapTrade:w1~trade.9020:22759</v>
      </c>
      <c r="G9022" s="3">
        <f>_xll.QS.EVALUATE(C9022,F9022)</f>
        <v>43768.762440162594</v>
      </c>
      <c r="H9022" s="5" t="s">
        <v>9063</v>
      </c>
      <c r="I9022" s="7">
        <v>1902000</v>
      </c>
      <c r="J9022" s="8">
        <v>3.7000000000000012E-2</v>
      </c>
    </row>
    <row r="9023" spans="1:10" x14ac:dyDescent="0.25">
      <c r="A9023" s="5" t="s">
        <v>9057</v>
      </c>
      <c r="B9023" s="5" t="s">
        <v>10890</v>
      </c>
      <c r="C9023" s="6" t="str">
        <f>_xll.QS.CONTEXT.CREATE("market.9021",A9023,"USD","SOFR")</f>
        <v>QSObject:PricingContext:w1~market.9021:1161</v>
      </c>
      <c r="D9023" s="6" t="str">
        <f>_xll.QS.CONTEXT.ADD.CURVE(C9023,"SOFR",$K$2:$K$7,$L$2:$L$7,,,"Actual360","LogLinear",TRUE)</f>
        <v>QSObject:ContextInput:w1~input.qs_context_add_curve.2359132437744.9022.3.0:38770</v>
      </c>
      <c r="E9023" s="6" t="str">
        <f>_xll.QS.INSTRUMENT.SWAP("swap.9021",H9023,B9023,"USD","SOFR",I9023,J9023,0,"Actual360","Simple","Annual","Annual","Annual")</f>
        <v>QSObject:Swap:w1~swap.9021:1160</v>
      </c>
      <c r="F9023" s="6" t="str">
        <f>_xll.QS.TRADE.CREATE("trade.9021",E9023,A9023,"Receive")</f>
        <v>QSObject:SwapTrade:w1~trade.9021:22758</v>
      </c>
      <c r="G9023" s="3">
        <f>_xll.QS.EVALUATE(C9023,F9023)</f>
        <v>44515.174111944267</v>
      </c>
      <c r="H9023" s="5" t="s">
        <v>9064</v>
      </c>
      <c r="I9023" s="7">
        <v>1902100</v>
      </c>
      <c r="J9023" s="8">
        <v>3.7100000000000001E-2</v>
      </c>
    </row>
    <row r="9024" spans="1:10" x14ac:dyDescent="0.25">
      <c r="A9024" s="5" t="s">
        <v>9058</v>
      </c>
      <c r="B9024" s="5" t="s">
        <v>10891</v>
      </c>
      <c r="C9024" s="6" t="str">
        <f>_xll.QS.CONTEXT.CREATE("market.9022",A9024,"USD","SOFR")</f>
        <v>QSObject:PricingContext:w1~market.9022:1159</v>
      </c>
      <c r="D9024" s="6" t="str">
        <f>_xll.QS.CONTEXT.ADD.CURVE(C9024,"SOFR",$K$2:$K$7,$L$2:$L$7,,,"Actual360","LogLinear",TRUE)</f>
        <v>QSObject:ContextInput:w1~input.qs_context_add_curve.2359132437744.9023.3.0:39976</v>
      </c>
      <c r="E9024" s="6" t="str">
        <f>_xll.QS.INSTRUMENT.SWAP("swap.9022",H9024,B9024,"USD","SOFR",I9024,J9024,0,"Actual360","Simple","Annual","Annual","Annual")</f>
        <v>QSObject:Swap:w1~swap.9022:1158</v>
      </c>
      <c r="F9024" s="6" t="str">
        <f>_xll.QS.TRADE.CREATE("trade.9022",E9024,A9024,"Receive")</f>
        <v>QSObject:SwapTrade:w1~trade.9022:22757</v>
      </c>
      <c r="G9024" s="3">
        <f>_xll.QS.EVALUATE(C9024,F9024)</f>
        <v>45248.136693884844</v>
      </c>
      <c r="H9024" s="5" t="s">
        <v>9065</v>
      </c>
      <c r="I9024" s="7">
        <v>1902200</v>
      </c>
      <c r="J9024" s="8">
        <v>3.7199999999999997E-2</v>
      </c>
    </row>
    <row r="9025" spans="1:10" x14ac:dyDescent="0.25">
      <c r="A9025" s="5" t="s">
        <v>9059</v>
      </c>
      <c r="B9025" s="5" t="s">
        <v>10892</v>
      </c>
      <c r="C9025" s="6" t="str">
        <f>_xll.QS.CONTEXT.CREATE("market.9023",A9025,"USD","SOFR")</f>
        <v>QSObject:PricingContext:w1~market.9023:1157</v>
      </c>
      <c r="D9025" s="6" t="str">
        <f>_xll.QS.CONTEXT.ADD.CURVE(C9025,"SOFR",$K$2:$K$7,$L$2:$L$7,,,"Actual360","LogLinear",TRUE)</f>
        <v>QSObject:ContextInput:w1~input.qs_context_add_curve.2359132437744.9024.3.0:39975</v>
      </c>
      <c r="E9025" s="6" t="str">
        <f>_xll.QS.INSTRUMENT.SWAP("swap.9023",H9025,B9025,"USD","SOFR",I9025,J9025,0,"Actual360","Simple","Annual","Annual","Annual")</f>
        <v>QSObject:Swap:w1~swap.9023:1156</v>
      </c>
      <c r="F9025" s="6" t="str">
        <f>_xll.QS.TRADE.CREATE("trade.9023",E9025,A9025,"Receive")</f>
        <v>QSObject:SwapTrade:w1~trade.9023:22756</v>
      </c>
      <c r="G9025" s="3">
        <f>_xll.QS.EVALUATE(C9025,F9025)</f>
        <v>46208.90925062295</v>
      </c>
      <c r="H9025" s="5" t="s">
        <v>9066</v>
      </c>
      <c r="I9025" s="7">
        <v>1902300</v>
      </c>
      <c r="J9025" s="8">
        <v>3.73E-2</v>
      </c>
    </row>
    <row r="9026" spans="1:10" x14ac:dyDescent="0.25">
      <c r="A9026" s="5" t="s">
        <v>9060</v>
      </c>
      <c r="B9026" s="5" t="s">
        <v>10893</v>
      </c>
      <c r="C9026" s="6" t="str">
        <f>_xll.QS.CONTEXT.CREATE("market.9024",A9026,"USD","SOFR")</f>
        <v>QSObject:PricingContext:w1~market.9024:1155</v>
      </c>
      <c r="D9026" s="6" t="str">
        <f>_xll.QS.CONTEXT.ADD.CURVE(C9026,"SOFR",$K$2:$K$7,$L$2:$L$7,,,"Actual360","LogLinear",TRUE)</f>
        <v>QSObject:ContextInput:w1~input.qs_context_add_curve.2359132437744.9025.3.0:39974</v>
      </c>
      <c r="E9026" s="6" t="str">
        <f>_xll.QS.INSTRUMENT.SWAP("swap.9024",H9026,B9026,"USD","SOFR",I9026,J9026,0,"Actual360","Simple","Annual","Annual","Annual")</f>
        <v>QSObject:Swap:w1~swap.9024:1154</v>
      </c>
      <c r="F9026" s="6" t="str">
        <f>_xll.QS.TRADE.CREATE("trade.9024",E9026,A9026,"Receive")</f>
        <v>QSObject:SwapTrade:w1~trade.9024:22755</v>
      </c>
      <c r="G9026" s="3">
        <f>_xll.QS.EVALUATE(C9026,F9026)</f>
        <v>47137.512812726753</v>
      </c>
      <c r="H9026" s="5" t="s">
        <v>9067</v>
      </c>
      <c r="I9026" s="7">
        <v>1902400</v>
      </c>
      <c r="J9026" s="8">
        <v>3.7400000000000003E-2</v>
      </c>
    </row>
    <row r="9027" spans="1:10" x14ac:dyDescent="0.25">
      <c r="A9027" s="5" t="s">
        <v>9061</v>
      </c>
      <c r="B9027" s="5" t="s">
        <v>10894</v>
      </c>
      <c r="C9027" s="6" t="str">
        <f>_xll.QS.CONTEXT.CREATE("market.9025",A9027,"USD","SOFR")</f>
        <v>QSObject:PricingContext:w1~market.9025:1153</v>
      </c>
      <c r="D9027" s="6" t="str">
        <f>_xll.QS.CONTEXT.ADD.CURVE(C9027,"SOFR",$K$2:$K$7,$L$2:$L$7,,,"Actual360","LogLinear",TRUE)</f>
        <v>QSObject:ContextInput:w1~input.qs_context_add_curve.2359132437744.9026.3.0:38769</v>
      </c>
      <c r="E9027" s="6" t="str">
        <f>_xll.QS.INSTRUMENT.SWAP("swap.9025",H9027,B9027,"USD","SOFR",I9027,J9027,0,"Actual360","Simple","Annual","Annual","Annual")</f>
        <v>QSObject:Swap:w1~swap.9025:1152</v>
      </c>
      <c r="F9027" s="6" t="str">
        <f>_xll.QS.TRADE.CREATE("trade.9025",E9027,A9027,"Receive")</f>
        <v>QSObject:SwapTrade:w1~trade.9025:22754</v>
      </c>
      <c r="G9027" s="3">
        <f>_xll.QS.EVALUATE(C9027,F9027)</f>
        <v>48156.343157467512</v>
      </c>
      <c r="H9027" s="5" t="s">
        <v>9068</v>
      </c>
      <c r="I9027" s="7">
        <v>1902500</v>
      </c>
      <c r="J9027" s="8">
        <v>3.7500000000000012E-2</v>
      </c>
    </row>
    <row r="9028" spans="1:10" x14ac:dyDescent="0.25">
      <c r="A9028" s="5" t="s">
        <v>9062</v>
      </c>
      <c r="B9028" s="5" t="s">
        <v>10895</v>
      </c>
      <c r="C9028" s="6" t="str">
        <f>_xll.QS.CONTEXT.CREATE("market.9026",A9028,"USD","SOFR")</f>
        <v>QSObject:PricingContext:w1~market.9026:1151</v>
      </c>
      <c r="D9028" s="6" t="str">
        <f>_xll.QS.CONTEXT.ADD.CURVE(C9028,"SOFR",$K$2:$K$7,$L$2:$L$7,,,"Actual360","LogLinear",TRUE)</f>
        <v>QSObject:ContextInput:w1~input.qs_context_add_curve.2359132437744.9027.3.0:38127</v>
      </c>
      <c r="E9028" s="6" t="str">
        <f>_xll.QS.INSTRUMENT.SWAP("swap.9026",H9028,B9028,"USD","SOFR",I9028,J9028,0,"Actual360","Simple","Annual","Annual","Annual")</f>
        <v>QSObject:Swap:w1~swap.9026:1150</v>
      </c>
      <c r="F9028" s="6" t="str">
        <f>_xll.QS.TRADE.CREATE("trade.9026",E9028,A9028,"Receive")</f>
        <v>QSObject:SwapTrade:w1~trade.9026:22753</v>
      </c>
      <c r="G9028" s="3">
        <f>_xll.QS.EVALUATE(C9028,F9028)</f>
        <v>49119.016254425042</v>
      </c>
      <c r="H9028" s="5" t="s">
        <v>9069</v>
      </c>
      <c r="I9028" s="7">
        <v>1902600</v>
      </c>
      <c r="J9028" s="8">
        <v>3.7600000000000001E-2</v>
      </c>
    </row>
    <row r="9029" spans="1:10" x14ac:dyDescent="0.25">
      <c r="A9029" s="5" t="s">
        <v>9063</v>
      </c>
      <c r="B9029" s="5" t="s">
        <v>10896</v>
      </c>
      <c r="C9029" s="6" t="str">
        <f>_xll.QS.CONTEXT.CREATE("market.9027",A9029,"USD","SOFR")</f>
        <v>QSObject:PricingContext:w1~market.9027:1149</v>
      </c>
      <c r="D9029" s="6" t="str">
        <f>_xll.QS.CONTEXT.ADD.CURVE(C9029,"SOFR",$K$2:$K$7,$L$2:$L$7,,,"Actual360","LogLinear",TRUE)</f>
        <v>QSObject:ContextInput:w1~input.qs_context_add_curve.2359132437744.9028.3.0:38768</v>
      </c>
      <c r="E9029" s="6" t="str">
        <f>_xll.QS.INSTRUMENT.SWAP("swap.9027",H9029,B9029,"USD","SOFR",I9029,J9029,0,"Actual360","Simple","Annual","Annual","Annual")</f>
        <v>QSObject:Swap:w1~swap.9027:1148</v>
      </c>
      <c r="F9029" s="6" t="str">
        <f>_xll.QS.TRADE.CREATE("trade.9027",E9029,A9029,"Receive")</f>
        <v>QSObject:SwapTrade:w1~trade.9027:22752</v>
      </c>
      <c r="G9029" s="3">
        <f>_xll.QS.EVALUATE(C9029,F9029)</f>
        <v>49926.743667131923</v>
      </c>
      <c r="H9029" s="5" t="s">
        <v>9070</v>
      </c>
      <c r="I9029" s="7">
        <v>1902700</v>
      </c>
      <c r="J9029" s="8">
        <v>3.7699999999999997E-2</v>
      </c>
    </row>
    <row r="9030" spans="1:10" x14ac:dyDescent="0.25">
      <c r="A9030" s="5" t="s">
        <v>9064</v>
      </c>
      <c r="B9030" s="5" t="s">
        <v>10897</v>
      </c>
      <c r="C9030" s="6" t="str">
        <f>_xll.QS.CONTEXT.CREATE("market.9028",A9030,"USD","SOFR")</f>
        <v>QSObject:PricingContext:w1~market.9028:1147</v>
      </c>
      <c r="D9030" s="6" t="str">
        <f>_xll.QS.CONTEXT.ADD.CURVE(C9030,"SOFR",$K$2:$K$7,$L$2:$L$7,,,"Actual360","LogLinear",TRUE)</f>
        <v>QSObject:ContextInput:w1~input.qs_context_add_curve.2359132437744.9029.3.0:31730</v>
      </c>
      <c r="E9030" s="6" t="str">
        <f>_xll.QS.INSTRUMENT.SWAP("swap.9028",H9030,B9030,"USD","SOFR",I9030,J9030,0,"Actual360","Simple","Annual","Annual","Annual")</f>
        <v>QSObject:Swap:w1~swap.9028:1146</v>
      </c>
      <c r="F9030" s="6" t="str">
        <f>_xll.QS.TRADE.CREATE("trade.9028",E9030,A9030,"Receive")</f>
        <v>QSObject:SwapTrade:w1~trade.9028:22751</v>
      </c>
      <c r="G9030" s="3">
        <f>_xll.QS.EVALUATE(C9030,F9030)</f>
        <v>50666.513603113832</v>
      </c>
      <c r="H9030" s="5" t="s">
        <v>9071</v>
      </c>
      <c r="I9030" s="7">
        <v>1902800</v>
      </c>
      <c r="J9030" s="8">
        <v>3.78E-2</v>
      </c>
    </row>
    <row r="9031" spans="1:10" x14ac:dyDescent="0.25">
      <c r="A9031" s="5" t="s">
        <v>9065</v>
      </c>
      <c r="B9031" s="5" t="s">
        <v>10898</v>
      </c>
      <c r="C9031" s="6" t="str">
        <f>_xll.QS.CONTEXT.CREATE("market.9029",A9031,"USD","SOFR")</f>
        <v>QSObject:PricingContext:w1~market.9029:1145</v>
      </c>
      <c r="D9031" s="6" t="str">
        <f>_xll.QS.CONTEXT.ADD.CURVE(C9031,"SOFR",$K$2:$K$7,$L$2:$L$7,,,"Actual360","LogLinear",TRUE)</f>
        <v>QSObject:ContextInput:w1~input.qs_context_add_curve.2359132437744.9030.3.0:31729</v>
      </c>
      <c r="E9031" s="6" t="str">
        <f>_xll.QS.INSTRUMENT.SWAP("swap.9029",H9031,B9031,"USD","SOFR",I9031,J9031,0,"Actual360","Simple","Annual","Annual","Annual")</f>
        <v>QSObject:Swap:w1~swap.9029:1144</v>
      </c>
      <c r="F9031" s="6" t="str">
        <f>_xll.QS.TRADE.CREATE("trade.9029",E9031,A9031,"Receive")</f>
        <v>QSObject:SwapTrade:w1~trade.9029:22750</v>
      </c>
      <c r="G9031" s="3">
        <f>_xll.QS.EVALUATE(C9031,F9031)</f>
        <v>51409.590070173705</v>
      </c>
      <c r="H9031" s="5" t="s">
        <v>9072</v>
      </c>
      <c r="I9031" s="7">
        <v>1902900</v>
      </c>
      <c r="J9031" s="8">
        <v>3.7900000000000003E-2</v>
      </c>
    </row>
    <row r="9032" spans="1:10" x14ac:dyDescent="0.25">
      <c r="A9032" s="5" t="s">
        <v>9066</v>
      </c>
      <c r="B9032" s="5" t="s">
        <v>10899</v>
      </c>
      <c r="C9032" s="6" t="str">
        <f>_xll.QS.CONTEXT.CREATE("market.9030",A9032,"USD","SOFR")</f>
        <v>QSObject:PricingContext:w1~market.9030:1143</v>
      </c>
      <c r="D9032" s="6" t="str">
        <f>_xll.QS.CONTEXT.ADD.CURVE(C9032,"SOFR",$K$2:$K$7,$L$2:$L$7,,,"Actual360","LogLinear",TRUE)</f>
        <v>QSObject:ContextInput:w1~input.qs_context_add_curve.2359132437744.9031.3.0:38767</v>
      </c>
      <c r="E9032" s="6" t="str">
        <f>_xll.QS.INSTRUMENT.SWAP("swap.9030",H9032,B9032,"USD","SOFR",I9032,J9032,0,"Actual360","Simple","Annual","Annual","Annual")</f>
        <v>QSObject:Swap:w1~swap.9030:1142</v>
      </c>
      <c r="F9032" s="6" t="str">
        <f>_xll.QS.TRADE.CREATE("trade.9030",E9032,A9032,"Receive")</f>
        <v>QSObject:SwapTrade:w1~trade.9030:22749</v>
      </c>
      <c r="G9032" s="3">
        <f>_xll.QS.EVALUATE(C9032,F9032)</f>
        <v>52371.837331665847</v>
      </c>
      <c r="H9032" s="5" t="s">
        <v>9073</v>
      </c>
      <c r="I9032" s="7">
        <v>1903000</v>
      </c>
      <c r="J9032" s="8">
        <v>3.8000000000000013E-2</v>
      </c>
    </row>
    <row r="9033" spans="1:10" x14ac:dyDescent="0.25">
      <c r="A9033" s="5" t="s">
        <v>9067</v>
      </c>
      <c r="B9033" s="5" t="s">
        <v>10900</v>
      </c>
      <c r="C9033" s="6" t="str">
        <f>_xll.QS.CONTEXT.CREATE("market.9031",A9033,"USD","SOFR")</f>
        <v>QSObject:PricingContext:w1~market.9031:1141</v>
      </c>
      <c r="D9033" s="6" t="str">
        <f>_xll.QS.CONTEXT.ADD.CURVE(C9033,"SOFR",$K$2:$K$7,$L$2:$L$7,,,"Actual360","LogLinear",TRUE)</f>
        <v>QSObject:ContextInput:w1~input.qs_context_add_curve.2359132437744.9032.3.0:31728</v>
      </c>
      <c r="E9033" s="6" t="str">
        <f>_xll.QS.INSTRUMENT.SWAP("swap.9031",H9033,B9033,"USD","SOFR",I9033,J9033,0,"Actual360","Simple","Annual","Annual","Annual")</f>
        <v>QSObject:Swap:w1~swap.9031:1140</v>
      </c>
      <c r="F9033" s="6" t="str">
        <f>_xll.QS.TRADE.CREATE("trade.9031",E9033,A9033,"Receive")</f>
        <v>QSObject:SwapTrade:w1~trade.9031:22748</v>
      </c>
      <c r="G9033" s="3">
        <f>_xll.QS.EVALUATE(C9033,F9033)</f>
        <v>53298.394902675478</v>
      </c>
      <c r="H9033" s="5" t="s">
        <v>9074</v>
      </c>
      <c r="I9033" s="7">
        <v>1903100</v>
      </c>
      <c r="J9033" s="8">
        <v>3.8100000000000002E-2</v>
      </c>
    </row>
    <row r="9034" spans="1:10" x14ac:dyDescent="0.25">
      <c r="A9034" s="5" t="s">
        <v>9068</v>
      </c>
      <c r="B9034" s="5" t="s">
        <v>10901</v>
      </c>
      <c r="C9034" s="6" t="str">
        <f>_xll.QS.CONTEXT.CREATE("market.9032",A9034,"USD","SOFR")</f>
        <v>QSObject:PricingContext:w1~market.9032:1139</v>
      </c>
      <c r="D9034" s="6" t="str">
        <f>_xll.QS.CONTEXT.ADD.CURVE(C9034,"SOFR",$K$2:$K$7,$L$2:$L$7,,,"Actual360","LogLinear",TRUE)</f>
        <v>QSObject:ContextInput:w1~input.qs_context_add_curve.2359132437744.9033.3.0:39973</v>
      </c>
      <c r="E9034" s="6" t="str">
        <f>_xll.QS.INSTRUMENT.SWAP("swap.9032",H9034,B9034,"USD","SOFR",I9034,J9034,0,"Actual360","Simple","Annual","Annual","Annual")</f>
        <v>QSObject:Swap:w1~swap.9032:1138</v>
      </c>
      <c r="F9034" s="6" t="str">
        <f>_xll.QS.TRADE.CREATE("trade.9032",E9034,A9034,"Receive")</f>
        <v>QSObject:SwapTrade:w1~trade.9032:22747</v>
      </c>
      <c r="G9034" s="3">
        <f>_xll.QS.EVALUATE(C9034,F9034)</f>
        <v>54317.532347287284</v>
      </c>
      <c r="H9034" s="5" t="s">
        <v>9075</v>
      </c>
      <c r="I9034" s="7">
        <v>1903200</v>
      </c>
      <c r="J9034" s="8">
        <v>3.8199999999999998E-2</v>
      </c>
    </row>
    <row r="9035" spans="1:10" x14ac:dyDescent="0.25">
      <c r="A9035" s="5" t="s">
        <v>9069</v>
      </c>
      <c r="B9035" s="5" t="s">
        <v>10902</v>
      </c>
      <c r="C9035" s="6" t="str">
        <f>_xll.QS.CONTEXT.CREATE("market.9033",A9035,"USD","SOFR")</f>
        <v>QSObject:PricingContext:w1~market.9033:1137</v>
      </c>
      <c r="D9035" s="6" t="str">
        <f>_xll.QS.CONTEXT.ADD.CURVE(C9035,"SOFR",$K$2:$K$7,$L$2:$L$7,,,"Actual360","LogLinear",TRUE)</f>
        <v>QSObject:ContextInput:w1~input.qs_context_add_curve.2359132437744.9034.3.0:31727</v>
      </c>
      <c r="E9035" s="6" t="str">
        <f>_xll.QS.INSTRUMENT.SWAP("swap.9033",H9035,B9035,"USD","SOFR",I9035,J9035,0,"Actual360","Simple","Annual","Annual","Annual")</f>
        <v>QSObject:Swap:w1~swap.9033:1136</v>
      </c>
      <c r="F9035" s="6" t="str">
        <f>_xll.QS.TRADE.CREATE("trade.9033",E9035,A9035,"Receive")</f>
        <v>QSObject:SwapTrade:w1~trade.9033:22746</v>
      </c>
      <c r="G9035" s="3">
        <f>_xll.QS.EVALUATE(C9035,F9035)</f>
        <v>55280.720024123759</v>
      </c>
      <c r="H9035" s="5" t="s">
        <v>9076</v>
      </c>
      <c r="I9035" s="7">
        <v>1903300</v>
      </c>
      <c r="J9035" s="8">
        <v>3.8300000000000001E-2</v>
      </c>
    </row>
    <row r="9036" spans="1:10" x14ac:dyDescent="0.25">
      <c r="A9036" s="5" t="s">
        <v>9070</v>
      </c>
      <c r="B9036" s="5" t="s">
        <v>10903</v>
      </c>
      <c r="C9036" s="6" t="str">
        <f>_xll.QS.CONTEXT.CREATE("market.9034",A9036,"USD","SOFR")</f>
        <v>QSObject:PricingContext:w1~market.9034:1135</v>
      </c>
      <c r="D9036" s="6" t="str">
        <f>_xll.QS.CONTEXT.ADD.CURVE(C9036,"SOFR",$K$2:$K$7,$L$2:$L$7,,,"Actual360","LogLinear",TRUE)</f>
        <v>QSObject:ContextInput:w1~input.qs_context_add_curve.2359132437744.9035.3.0:38766</v>
      </c>
      <c r="E9036" s="6" t="str">
        <f>_xll.QS.INSTRUMENT.SWAP("swap.9034",H9036,B9036,"USD","SOFR",I9036,J9036,0,"Actual360","Simple","Annual","Annual","Annual")</f>
        <v>QSObject:Swap:w1~swap.9034:1134</v>
      </c>
      <c r="F9036" s="6" t="str">
        <f>_xll.QS.TRADE.CREATE("trade.9034",E9036,A9036,"Receive")</f>
        <v>QSObject:SwapTrade:w1~trade.9034:22745</v>
      </c>
      <c r="G9036" s="3">
        <f>_xll.QS.EVALUATE(C9036,F9036)</f>
        <v>56088.778827445836</v>
      </c>
      <c r="H9036" s="5" t="s">
        <v>9077</v>
      </c>
      <c r="I9036" s="7">
        <v>1903400</v>
      </c>
      <c r="J9036" s="8">
        <v>3.8399999999999997E-2</v>
      </c>
    </row>
    <row r="9037" spans="1:10" x14ac:dyDescent="0.25">
      <c r="A9037" s="5" t="s">
        <v>9071</v>
      </c>
      <c r="B9037" s="5" t="s">
        <v>10904</v>
      </c>
      <c r="C9037" s="6" t="str">
        <f>_xll.QS.CONTEXT.CREATE("market.9035",A9037,"USD","SOFR")</f>
        <v>QSObject:PricingContext:w1~market.9035:1133</v>
      </c>
      <c r="D9037" s="6" t="str">
        <f>_xll.QS.CONTEXT.ADD.CURVE(C9037,"SOFR",$K$2:$K$7,$L$2:$L$7,,,"Actual360","LogLinear",TRUE)</f>
        <v>QSObject:ContextInput:w1~input.qs_context_add_curve.2359132437744.9036.3.0:39972</v>
      </c>
      <c r="E9037" s="6" t="str">
        <f>_xll.QS.INSTRUMENT.SWAP("swap.9035",H9037,B9037,"USD","SOFR",I9037,J9037,0,"Actual360","Simple","Annual","Annual","Annual")</f>
        <v>QSObject:Swap:w1~swap.9035:1132</v>
      </c>
      <c r="F9037" s="6" t="str">
        <f>_xll.QS.TRADE.CREATE("trade.9035",E9037,A9037,"Receive")</f>
        <v>QSObject:SwapTrade:w1~trade.9035:22744</v>
      </c>
      <c r="G9037" s="3">
        <f>_xll.QS.EVALUATE(C9037,F9037)</f>
        <v>56821.901966068079</v>
      </c>
      <c r="H9037" s="5" t="s">
        <v>9078</v>
      </c>
      <c r="I9037" s="7">
        <v>1903500</v>
      </c>
      <c r="J9037" s="8">
        <v>3.8500000000000013E-2</v>
      </c>
    </row>
    <row r="9038" spans="1:10" x14ac:dyDescent="0.25">
      <c r="A9038" s="5" t="s">
        <v>9072</v>
      </c>
      <c r="B9038" s="5" t="s">
        <v>10905</v>
      </c>
      <c r="C9038" s="6" t="str">
        <f>_xll.QS.CONTEXT.CREATE("market.9036",A9038,"USD","SOFR")</f>
        <v>QSObject:PricingContext:w1~market.9036:1131</v>
      </c>
      <c r="D9038" s="6" t="str">
        <f>_xll.QS.CONTEXT.ADD.CURVE(C9038,"SOFR",$K$2:$K$7,$L$2:$L$7,,,"Actual360","LogLinear",TRUE)</f>
        <v>QSObject:ContextInput:w1~input.qs_context_add_curve.2359132437744.9037.3.0:38765</v>
      </c>
      <c r="E9038" s="6" t="str">
        <f>_xll.QS.INSTRUMENT.SWAP("swap.9036",H9038,B9038,"USD","SOFR",I9038,J9038,0,"Actual360","Simple","Annual","Annual","Annual")</f>
        <v>QSObject:Swap:w1~swap.9036:1130</v>
      </c>
      <c r="F9038" s="6" t="str">
        <f>_xll.QS.TRADE.CREATE("trade.9036",E9038,A9038,"Receive")</f>
        <v>QSObject:SwapTrade:w1~trade.9036:22743</v>
      </c>
      <c r="G9038" s="3">
        <f>_xll.QS.EVALUATE(C9038,F9038)</f>
        <v>57575.100375111324</v>
      </c>
      <c r="H9038" s="5" t="s">
        <v>9079</v>
      </c>
      <c r="I9038" s="7">
        <v>1903600</v>
      </c>
      <c r="J9038" s="8">
        <v>3.8600000000000002E-2</v>
      </c>
    </row>
    <row r="9039" spans="1:10" x14ac:dyDescent="0.25">
      <c r="A9039" s="5" t="s">
        <v>9073</v>
      </c>
      <c r="B9039" s="5" t="s">
        <v>10906</v>
      </c>
      <c r="C9039" s="6" t="str">
        <f>_xll.QS.CONTEXT.CREATE("market.9037",A9039,"USD","SOFR")</f>
        <v>QSObject:PricingContext:w1~market.9037:1129</v>
      </c>
      <c r="D9039" s="6" t="str">
        <f>_xll.QS.CONTEXT.ADD.CURVE(C9039,"SOFR",$K$2:$K$7,$L$2:$L$7,,,"Actual360","LogLinear",TRUE)</f>
        <v>QSObject:ContextInput:w1~input.qs_context_add_curve.2359132437744.9038.3.0:39971</v>
      </c>
      <c r="E9039" s="6" t="str">
        <f>_xll.QS.INSTRUMENT.SWAP("swap.9037",H9039,B9039,"USD","SOFR",I9039,J9039,0,"Actual360","Simple","Annual","Annual","Annual")</f>
        <v>QSObject:Swap:w1~swap.9037:1128</v>
      </c>
      <c r="F9039" s="6" t="str">
        <f>_xll.QS.TRADE.CREATE("trade.9037",E9039,A9039,"Receive")</f>
        <v>QSObject:SwapTrade:w1~trade.9037:22742</v>
      </c>
      <c r="G9039" s="3">
        <f>_xll.QS.EVALUATE(C9039,F9039)</f>
        <v>58538.797854240249</v>
      </c>
      <c r="H9039" s="5" t="s">
        <v>9080</v>
      </c>
      <c r="I9039" s="7">
        <v>1903700</v>
      </c>
      <c r="J9039" s="8">
        <v>3.8700000000000012E-2</v>
      </c>
    </row>
    <row r="9040" spans="1:10" x14ac:dyDescent="0.25">
      <c r="A9040" s="5" t="s">
        <v>9074</v>
      </c>
      <c r="B9040" s="5" t="s">
        <v>10907</v>
      </c>
      <c r="C9040" s="6" t="str">
        <f>_xll.QS.CONTEXT.CREATE("market.9038",A9040,"USD","SOFR")</f>
        <v>QSObject:PricingContext:w1~market.9038:1127</v>
      </c>
      <c r="D9040" s="6" t="str">
        <f>_xll.QS.CONTEXT.ADD.CURVE(C9040,"SOFR",$K$2:$K$7,$L$2:$L$7,,,"Actual360","LogLinear",TRUE)</f>
        <v>QSObject:ContextInput:w1~input.qs_context_add_curve.2359132437744.9039.3.0:38764</v>
      </c>
      <c r="E9040" s="6" t="str">
        <f>_xll.QS.INSTRUMENT.SWAP("swap.9038",H9040,B9040,"USD","SOFR",I9040,J9040,0,"Actual360","Simple","Annual","Annual","Annual")</f>
        <v>QSObject:Swap:w1~swap.9038:1126</v>
      </c>
      <c r="F9040" s="6" t="str">
        <f>_xll.QS.TRADE.CREATE("trade.9038",E9040,A9040,"Receive")</f>
        <v>QSObject:SwapTrade:w1~trade.9038:22741</v>
      </c>
      <c r="G9040" s="3">
        <f>_xll.QS.EVALUATE(C9040,F9040)</f>
        <v>59462.605671593286</v>
      </c>
      <c r="H9040" s="5" t="s">
        <v>9081</v>
      </c>
      <c r="I9040" s="7">
        <v>1903800</v>
      </c>
      <c r="J9040" s="8">
        <v>3.8800000000000001E-2</v>
      </c>
    </row>
    <row r="9041" spans="1:10" x14ac:dyDescent="0.25">
      <c r="A9041" s="5" t="s">
        <v>9075</v>
      </c>
      <c r="B9041" s="5" t="s">
        <v>10908</v>
      </c>
      <c r="C9041" s="6" t="str">
        <f>_xll.QS.CONTEXT.CREATE("market.9039",A9041,"USD","SOFR")</f>
        <v>QSObject:PricingContext:w1~market.9039:1125</v>
      </c>
      <c r="D9041" s="6" t="str">
        <f>_xll.QS.CONTEXT.ADD.CURVE(C9041,"SOFR",$K$2:$K$7,$L$2:$L$7,,,"Actual360","LogLinear",TRUE)</f>
        <v>QSObject:ContextInput:w1~input.qs_context_add_curve.2359132437744.9040.3.0:31726</v>
      </c>
      <c r="E9041" s="6" t="str">
        <f>_xll.QS.INSTRUMENT.SWAP("swap.9039",H9041,B9041,"USD","SOFR",I9041,J9041,0,"Actual360","Simple","Annual","Annual","Annual")</f>
        <v>QSObject:Swap:w1~swap.9039:1124</v>
      </c>
      <c r="F9041" s="6" t="str">
        <f>_xll.QS.TRADE.CREATE("trade.9039",E9041,A9041,"Receive")</f>
        <v>QSObject:SwapTrade:w1~trade.9039:22740</v>
      </c>
      <c r="G9041" s="3">
        <f>_xll.QS.EVALUATE(C9041,F9041)</f>
        <v>60482.898645554968</v>
      </c>
      <c r="H9041" s="5" t="s">
        <v>9082</v>
      </c>
      <c r="I9041" s="7">
        <v>1903900</v>
      </c>
      <c r="J9041" s="8">
        <v>3.8899999999999997E-2</v>
      </c>
    </row>
    <row r="9042" spans="1:10" x14ac:dyDescent="0.25">
      <c r="A9042" s="5" t="s">
        <v>9076</v>
      </c>
      <c r="B9042" s="5" t="s">
        <v>10909</v>
      </c>
      <c r="C9042" s="6" t="str">
        <f>_xll.QS.CONTEXT.CREATE("market.9040",A9042,"USD","SOFR")</f>
        <v>QSObject:PricingContext:w1~market.9040:1123</v>
      </c>
      <c r="D9042" s="6" t="str">
        <f>_xll.QS.CONTEXT.ADD.CURVE(C9042,"SOFR",$K$2:$K$7,$L$2:$L$7,,,"Actual360","LogLinear",TRUE)</f>
        <v>QSObject:ContextInput:w1~input.qs_context_add_curve.2359132437744.9041.3.0:39970</v>
      </c>
      <c r="E9042" s="6" t="str">
        <f>_xll.QS.INSTRUMENT.SWAP("swap.9040",H9042,B9042,"USD","SOFR",I9042,J9042,0,"Actual360","Simple","Annual","Annual","Annual")</f>
        <v>QSObject:Swap:w1~swap.9040:1122</v>
      </c>
      <c r="F9042" s="6" t="str">
        <f>_xll.QS.TRADE.CREATE("trade.9040",E9042,A9042,"Receive")</f>
        <v>QSObject:SwapTrade:w1~trade.9040:22739</v>
      </c>
      <c r="G9042" s="3">
        <f>_xll.QS.EVALUATE(C9042,F9042)</f>
        <v>61446.886794060018</v>
      </c>
      <c r="H9042" s="5" t="s">
        <v>9083</v>
      </c>
      <c r="I9042" s="7">
        <v>1904000</v>
      </c>
      <c r="J9042" s="8">
        <v>3.9000000000000007E-2</v>
      </c>
    </row>
    <row r="9043" spans="1:10" x14ac:dyDescent="0.25">
      <c r="A9043" s="5" t="s">
        <v>9077</v>
      </c>
      <c r="B9043" s="5" t="s">
        <v>10910</v>
      </c>
      <c r="C9043" s="6" t="str">
        <f>_xll.QS.CONTEXT.CREATE("market.9041",A9043,"USD","SOFR")</f>
        <v>QSObject:PricingContext:w1~market.9041:1121</v>
      </c>
      <c r="D9043" s="6" t="str">
        <f>_xll.QS.CONTEXT.ADD.CURVE(C9043,"SOFR",$K$2:$K$7,$L$2:$L$7,,,"Actual360","LogLinear",TRUE)</f>
        <v>QSObject:ContextInput:w1~input.qs_context_add_curve.2359132437744.9042.3.0:39969</v>
      </c>
      <c r="E9043" s="6" t="str">
        <f>_xll.QS.INSTRUMENT.SWAP("swap.9041",H9043,B9043,"USD","SOFR",I9043,J9043,0,"Actual360","Simple","Annual","Annual","Annual")</f>
        <v>QSObject:Swap:w1~swap.9041:1120</v>
      </c>
      <c r="F9043" s="6" t="str">
        <f>_xll.QS.TRADE.CREATE("trade.9041",E9043,A9043,"Receive")</f>
        <v>QSObject:SwapTrade:w1~trade.9041:22738</v>
      </c>
      <c r="G9043" s="3">
        <f>_xll.QS.EVALUATE(C9043,F9043)</f>
        <v>62255.817732242213</v>
      </c>
      <c r="H9043" s="5" t="s">
        <v>9084</v>
      </c>
      <c r="I9043" s="7">
        <v>1904100</v>
      </c>
      <c r="J9043" s="8">
        <v>3.9100000000000003E-2</v>
      </c>
    </row>
    <row r="9044" spans="1:10" x14ac:dyDescent="0.25">
      <c r="A9044" s="5" t="s">
        <v>9078</v>
      </c>
      <c r="B9044" s="5" t="s">
        <v>10911</v>
      </c>
      <c r="C9044" s="6" t="str">
        <f>_xll.QS.CONTEXT.CREATE("market.9042",A9044,"USD","SOFR")</f>
        <v>QSObject:PricingContext:w1~market.9042:1119</v>
      </c>
      <c r="D9044" s="6" t="str">
        <f>_xll.QS.CONTEXT.ADD.CURVE(C9044,"SOFR",$K$2:$K$7,$L$2:$L$7,,,"Actual360","LogLinear",TRUE)</f>
        <v>QSObject:ContextInput:w1~input.qs_context_add_curve.2359132437744.9043.3.0:38763</v>
      </c>
      <c r="E9044" s="6" t="str">
        <f>_xll.QS.INSTRUMENT.SWAP("swap.9042",H9044,B9044,"USD","SOFR",I9044,J9044,0,"Actual360","Simple","Annual","Annual","Annual")</f>
        <v>QSObject:Swap:w1~swap.9042:1118</v>
      </c>
      <c r="F9044" s="6" t="str">
        <f>_xll.QS.TRADE.CREATE("trade.9042",E9044,A9044,"Receive")</f>
        <v>QSObject:SwapTrade:w1~trade.9042:22737</v>
      </c>
      <c r="G9044" s="3">
        <f>_xll.QS.EVALUATE(C9044,F9044)</f>
        <v>62943.084899033674</v>
      </c>
      <c r="H9044" s="5" t="s">
        <v>9085</v>
      </c>
      <c r="I9044" s="7">
        <v>1904200</v>
      </c>
      <c r="J9044" s="8">
        <v>3.9200000000000013E-2</v>
      </c>
    </row>
    <row r="9045" spans="1:10" x14ac:dyDescent="0.25">
      <c r="A9045" s="5" t="s">
        <v>9079</v>
      </c>
      <c r="B9045" s="5" t="s">
        <v>10912</v>
      </c>
      <c r="C9045" s="6" t="str">
        <f>_xll.QS.CONTEXT.CREATE("market.9043",A9045,"USD","SOFR")</f>
        <v>QSObject:PricingContext:w1~market.9043:1117</v>
      </c>
      <c r="D9045" s="6" t="str">
        <f>_xll.QS.CONTEXT.ADD.CURVE(C9045,"SOFR",$K$2:$K$7,$L$2:$L$7,,,"Actual360","LogLinear",TRUE)</f>
        <v>QSObject:ContextInput:w1~input.qs_context_add_curve.2359132437744.9044.3.0:39968</v>
      </c>
      <c r="E9045" s="6" t="str">
        <f>_xll.QS.INSTRUMENT.SWAP("swap.9043",H9045,B9045,"USD","SOFR",I9045,J9045,0,"Actual360","Simple","Annual","Annual","Annual")</f>
        <v>QSObject:Swap:w1~swap.9043:1116</v>
      </c>
      <c r="F9045" s="6" t="str">
        <f>_xll.QS.TRADE.CREATE("trade.9043",E9045,A9045,"Receive")</f>
        <v>QSObject:SwapTrade:w1~trade.9043:22736</v>
      </c>
      <c r="G9045" s="3">
        <f>_xll.QS.EVALUATE(C9045,F9045)</f>
        <v>63664.928087539338</v>
      </c>
      <c r="H9045" s="5" t="s">
        <v>9086</v>
      </c>
      <c r="I9045" s="7">
        <v>1904300</v>
      </c>
      <c r="J9045" s="8">
        <v>3.9300000000000002E-2</v>
      </c>
    </row>
    <row r="9046" spans="1:10" x14ac:dyDescent="0.25">
      <c r="A9046" s="5" t="s">
        <v>9080</v>
      </c>
      <c r="B9046" s="5" t="s">
        <v>10913</v>
      </c>
      <c r="C9046" s="6" t="str">
        <f>_xll.QS.CONTEXT.CREATE("market.9044",A9046,"USD","SOFR")</f>
        <v>QSObject:PricingContext:w1~market.9044:1115</v>
      </c>
      <c r="D9046" s="6" t="str">
        <f>_xll.QS.CONTEXT.ADD.CURVE(C9046,"SOFR",$K$2:$K$7,$L$2:$L$7,,,"Actual360","LogLinear",TRUE)</f>
        <v>QSObject:ContextInput:w1~input.qs_context_add_curve.2359132437744.9045.3.0:31725</v>
      </c>
      <c r="E9046" s="6" t="str">
        <f>_xll.QS.INSTRUMENT.SWAP("swap.9044",H9046,B9046,"USD","SOFR",I9046,J9046,0,"Actual360","Simple","Annual","Annual","Annual")</f>
        <v>QSObject:Swap:w1~swap.9044:1114</v>
      </c>
      <c r="F9046" s="6" t="str">
        <f>_xll.QS.TRADE.CREATE("trade.9044",E9046,A9046,"Receive")</f>
        <v>QSObject:SwapTrade:w1~trade.9044:22735</v>
      </c>
      <c r="G9046" s="3">
        <f>_xll.QS.EVALUATE(C9046,F9046)</f>
        <v>64630.71395805465</v>
      </c>
      <c r="H9046" s="5" t="s">
        <v>9087</v>
      </c>
      <c r="I9046" s="7">
        <v>1904400</v>
      </c>
      <c r="J9046" s="8">
        <v>3.9399999999999998E-2</v>
      </c>
    </row>
    <row r="9047" spans="1:10" x14ac:dyDescent="0.25">
      <c r="A9047" s="5" t="s">
        <v>9081</v>
      </c>
      <c r="B9047" s="5" t="s">
        <v>10914</v>
      </c>
      <c r="C9047" s="6" t="str">
        <f>_xll.QS.CONTEXT.CREATE("market.9045",A9047,"USD","SOFR")</f>
        <v>QSObject:PricingContext:w1~market.9045:1113</v>
      </c>
      <c r="D9047" s="6" t="str">
        <f>_xll.QS.CONTEXT.ADD.CURVE(C9047,"SOFR",$K$2:$K$7,$L$2:$L$7,,,"Actual360","LogLinear",TRUE)</f>
        <v>QSObject:ContextInput:w1~input.qs_context_add_curve.2359132437744.9046.3.0:31724</v>
      </c>
      <c r="E9047" s="6" t="str">
        <f>_xll.QS.INSTRUMENT.SWAP("swap.9045",H9047,B9047,"USD","SOFR",I9047,J9047,0,"Actual360","Simple","Annual","Annual","Annual")</f>
        <v>QSObject:Swap:w1~swap.9045:1112</v>
      </c>
      <c r="F9047" s="6" t="str">
        <f>_xll.QS.TRADE.CREATE("trade.9045",E9047,A9047,"Receive")</f>
        <v>QSObject:SwapTrade:w1~trade.9045:22734</v>
      </c>
      <c r="G9047" s="3">
        <f>_xll.QS.EVALUATE(C9047,F9047)</f>
        <v>65593.208693306849</v>
      </c>
      <c r="H9047" s="5" t="s">
        <v>9088</v>
      </c>
      <c r="I9047" s="7">
        <v>1904500</v>
      </c>
      <c r="J9047" s="8">
        <v>3.9500000000000007E-2</v>
      </c>
    </row>
    <row r="9048" spans="1:10" x14ac:dyDescent="0.25">
      <c r="A9048" s="5" t="s">
        <v>9082</v>
      </c>
      <c r="B9048" s="5" t="s">
        <v>10915</v>
      </c>
      <c r="C9048" s="6" t="str">
        <f>_xll.QS.CONTEXT.CREATE("market.9046",A9048,"USD","SOFR")</f>
        <v>QSObject:PricingContext:w1~market.9046:1111</v>
      </c>
      <c r="D9048" s="6" t="str">
        <f>_xll.QS.CONTEXT.ADD.CURVE(C9048,"SOFR",$K$2:$K$7,$L$2:$L$7,,,"Actual360","LogLinear",TRUE)</f>
        <v>QSObject:ContextInput:w1~input.qs_context_add_curve.2359132437744.9047.3.0:39967</v>
      </c>
      <c r="E9048" s="6" t="str">
        <f>_xll.QS.INSTRUMENT.SWAP("swap.9046",H9048,B9048,"USD","SOFR",I9048,J9048,0,"Actual360","Simple","Annual","Annual","Annual")</f>
        <v>QSObject:Swap:w1~swap.9046:1110</v>
      </c>
      <c r="F9048" s="6" t="str">
        <f>_xll.QS.TRADE.CREATE("trade.9046",E9048,A9048,"Receive")</f>
        <v>QSObject:SwapTrade:w1~trade.9046:22733</v>
      </c>
      <c r="G9048" s="3">
        <f>_xll.QS.EVALUATE(C9048,F9048)</f>
        <v>66724.144698465039</v>
      </c>
      <c r="H9048" s="5" t="s">
        <v>9089</v>
      </c>
      <c r="I9048" s="7">
        <v>1904600</v>
      </c>
      <c r="J9048" s="8">
        <v>3.9600000000000003E-2</v>
      </c>
    </row>
    <row r="9049" spans="1:10" x14ac:dyDescent="0.25">
      <c r="A9049" s="5" t="s">
        <v>9083</v>
      </c>
      <c r="B9049" s="5" t="s">
        <v>10916</v>
      </c>
      <c r="C9049" s="6" t="str">
        <f>_xll.QS.CONTEXT.CREATE("market.9047",A9049,"USD","SOFR")</f>
        <v>QSObject:PricingContext:w1~market.9047:1109</v>
      </c>
      <c r="D9049" s="6" t="str">
        <f>_xll.QS.CONTEXT.ADD.CURVE(C9049,"SOFR",$K$2:$K$7,$L$2:$L$7,,,"Actual360","LogLinear",TRUE)</f>
        <v>QSObject:ContextInput:w1~input.qs_context_add_curve.2359132437744.9048.3.0:31723</v>
      </c>
      <c r="E9049" s="6" t="str">
        <f>_xll.QS.INSTRUMENT.SWAP("swap.9047",H9049,B9049,"USD","SOFR",I9049,J9049,0,"Actual360","Simple","Annual","Annual","Annual")</f>
        <v>QSObject:Swap:w1~swap.9047:1108</v>
      </c>
      <c r="F9049" s="6" t="str">
        <f>_xll.QS.TRADE.CREATE("trade.9047",E9049,A9049,"Receive")</f>
        <v>QSObject:SwapTrade:w1~trade.9047:22732</v>
      </c>
      <c r="G9049" s="3">
        <f>_xll.QS.EVALUATE(C9049,F9049)</f>
        <v>67624.145521181286</v>
      </c>
      <c r="H9049" s="5" t="s">
        <v>9090</v>
      </c>
      <c r="I9049" s="7">
        <v>1904700</v>
      </c>
      <c r="J9049" s="8">
        <v>3.9700000000000013E-2</v>
      </c>
    </row>
    <row r="9050" spans="1:10" x14ac:dyDescent="0.25">
      <c r="A9050" s="5" t="s">
        <v>9084</v>
      </c>
      <c r="B9050" s="5" t="s">
        <v>10917</v>
      </c>
      <c r="C9050" s="6" t="str">
        <f>_xll.QS.CONTEXT.CREATE("market.9048",A9050,"USD","SOFR")</f>
        <v>QSObject:PricingContext:w1~market.9048:1107</v>
      </c>
      <c r="D9050" s="6" t="str">
        <f>_xll.QS.CONTEXT.ADD.CURVE(C9050,"SOFR",$K$2:$K$7,$L$2:$L$7,,,"Actual360","LogLinear",TRUE)</f>
        <v>QSObject:ContextInput:w1~input.qs_context_add_curve.2359132437744.9049.3.0:39966</v>
      </c>
      <c r="E9050" s="6" t="str">
        <f>_xll.QS.INSTRUMENT.SWAP("swap.9048",H9050,B9050,"USD","SOFR",I9050,J9050,0,"Actual360","Simple","Annual","Annual","Annual")</f>
        <v>QSObject:Swap:w1~swap.9048:1106</v>
      </c>
      <c r="F9050" s="6" t="str">
        <f>_xll.QS.TRADE.CREATE("trade.9048",E9050,A9050,"Receive")</f>
        <v>QSObject:SwapTrade:w1~trade.9048:22731</v>
      </c>
      <c r="G9050" s="3">
        <f>_xll.QS.EVALUATE(C9050,F9050)</f>
        <v>68505.885853276326</v>
      </c>
      <c r="H9050" s="5" t="s">
        <v>9091</v>
      </c>
      <c r="I9050" s="7">
        <v>1904800</v>
      </c>
      <c r="J9050" s="8">
        <v>3.9800000000000002E-2</v>
      </c>
    </row>
    <row r="9051" spans="1:10" x14ac:dyDescent="0.25">
      <c r="A9051" s="5" t="s">
        <v>9085</v>
      </c>
      <c r="B9051" s="5" t="s">
        <v>10918</v>
      </c>
      <c r="C9051" s="6" t="str">
        <f>_xll.QS.CONTEXT.CREATE("market.9049",A9051,"USD","SOFR")</f>
        <v>QSObject:PricingContext:w1~market.9049:1105</v>
      </c>
      <c r="D9051" s="6" t="str">
        <f>_xll.QS.CONTEXT.ADD.CURVE(C9051,"SOFR",$K$2:$K$7,$L$2:$L$7,,,"Actual360","LogLinear",TRUE)</f>
        <v>QSObject:ContextInput:w1~input.qs_context_add_curve.2359132437744.9050.3.0:38762</v>
      </c>
      <c r="E9051" s="6" t="str">
        <f>_xll.QS.INSTRUMENT.SWAP("swap.9049",H9051,B9051,"USD","SOFR",I9051,J9051,0,"Actual360","Simple","Annual","Annual","Annual")</f>
        <v>QSObject:Swap:w1~swap.9049:1104</v>
      </c>
      <c r="F9051" s="6" t="str">
        <f>_xll.QS.TRADE.CREATE("trade.9049",E9051,A9051,"Receive")</f>
        <v>QSObject:SwapTrade:w1~trade.9049:22730</v>
      </c>
      <c r="G9051" s="3">
        <f>_xll.QS.EVALUATE(C9051,F9051)</f>
        <v>69225.705885520612</v>
      </c>
      <c r="H9051" s="5" t="s">
        <v>9092</v>
      </c>
      <c r="I9051" s="7">
        <v>1904900</v>
      </c>
      <c r="J9051" s="8">
        <v>3.9899999999999998E-2</v>
      </c>
    </row>
    <row r="9052" spans="1:10" x14ac:dyDescent="0.25">
      <c r="A9052" s="5" t="s">
        <v>9086</v>
      </c>
      <c r="B9052" s="5" t="s">
        <v>10919</v>
      </c>
      <c r="C9052" s="6" t="str">
        <f>_xll.QS.CONTEXT.CREATE("market.9050",A9052,"USD","SOFR")</f>
        <v>QSObject:PricingContext:w1~market.9050:1103</v>
      </c>
      <c r="D9052" s="6" t="str">
        <f>_xll.QS.CONTEXT.ADD.CURVE(C9052,"SOFR",$K$2:$K$7,$L$2:$L$7,,,"Actual360","LogLinear",TRUE)</f>
        <v>QSObject:ContextInput:w1~input.qs_context_add_curve.2359132437744.9051.3.0:31722</v>
      </c>
      <c r="E9052" s="6" t="str">
        <f>_xll.QS.INSTRUMENT.SWAP("swap.9050",H9052,B9052,"USD","SOFR",I9052,J9052,0,"Actual360","Simple","Annual","Annual","Annual")</f>
        <v>QSObject:Swap:w1~swap.9050:1102</v>
      </c>
      <c r="F9052" s="6" t="str">
        <f>_xll.QS.TRADE.CREATE("trade.9050",E9052,A9052,"Receive")</f>
        <v>QSObject:SwapTrade:w1~trade.9050:22729</v>
      </c>
      <c r="G9052" s="3">
        <f>_xll.QS.EVALUATE(C9052,F9052)</f>
        <v>26058.347192582536</v>
      </c>
      <c r="H9052" s="5" t="s">
        <v>9093</v>
      </c>
      <c r="I9052" s="7">
        <v>1905000</v>
      </c>
      <c r="J9052" s="8">
        <v>3.5000000000000003E-2</v>
      </c>
    </row>
    <row r="9053" spans="1:10" x14ac:dyDescent="0.25">
      <c r="A9053" s="5" t="s">
        <v>9087</v>
      </c>
      <c r="B9053" s="5" t="s">
        <v>10920</v>
      </c>
      <c r="C9053" s="6" t="str">
        <f>_xll.QS.CONTEXT.CREATE("market.9051",A9053,"USD","SOFR")</f>
        <v>QSObject:PricingContext:w1~market.9051:1101</v>
      </c>
      <c r="D9053" s="6" t="str">
        <f>_xll.QS.CONTEXT.ADD.CURVE(C9053,"SOFR",$K$2:$K$7,$L$2:$L$7,,,"Actual360","LogLinear",TRUE)</f>
        <v>QSObject:ContextInput:w1~input.qs_context_add_curve.2359132437744.9052.3.0:39965</v>
      </c>
      <c r="E9053" s="6" t="str">
        <f>_xll.QS.INSTRUMENT.SWAP("swap.9051",H9053,B9053,"USD","SOFR",I9053,J9053,0,"Actual360","Simple","Annual","Annual","Annual")</f>
        <v>QSObject:Swap:w1~swap.9051:1100</v>
      </c>
      <c r="F9053" s="6" t="str">
        <f>_xll.QS.TRADE.CREATE("trade.9051",E9053,A9053,"Receive")</f>
        <v>QSObject:SwapTrade:w1~trade.9051:22728</v>
      </c>
      <c r="G9053" s="3">
        <f>_xll.QS.EVALUATE(C9053,F9053)</f>
        <v>26940.420837855869</v>
      </c>
      <c r="H9053" s="5" t="s">
        <v>9094</v>
      </c>
      <c r="I9053" s="7">
        <v>1905100</v>
      </c>
      <c r="J9053" s="8">
        <v>3.5100000000000013E-2</v>
      </c>
    </row>
    <row r="9054" spans="1:10" x14ac:dyDescent="0.25">
      <c r="A9054" s="5" t="s">
        <v>9088</v>
      </c>
      <c r="B9054" s="5" t="s">
        <v>10921</v>
      </c>
      <c r="C9054" s="6" t="str">
        <f>_xll.QS.CONTEXT.CREATE("market.9052",A9054,"USD","SOFR")</f>
        <v>QSObject:PricingContext:w1~market.9052:1099</v>
      </c>
      <c r="D9054" s="6" t="str">
        <f>_xll.QS.CONTEXT.ADD.CURVE(C9054,"SOFR",$K$2:$K$7,$L$2:$L$7,,,"Actual360","LogLinear",TRUE)</f>
        <v>QSObject:ContextInput:w1~input.qs_context_add_curve.2359132437744.9053.3.0:31721</v>
      </c>
      <c r="E9054" s="6" t="str">
        <f>_xll.QS.INSTRUMENT.SWAP("swap.9052",H9054,B9054,"USD","SOFR",I9054,J9054,0,"Actual360","Simple","Annual","Annual","Annual")</f>
        <v>QSObject:Swap:w1~swap.9052:1098</v>
      </c>
      <c r="F9054" s="6" t="str">
        <f>_xll.QS.TRADE.CREATE("trade.9052",E9054,A9054,"Receive")</f>
        <v>QSObject:SwapTrade:w1~trade.9052:22727</v>
      </c>
      <c r="G9054" s="3">
        <f>_xll.QS.EVALUATE(C9054,F9054)</f>
        <v>27878.840167863411</v>
      </c>
      <c r="H9054" s="5" t="s">
        <v>9095</v>
      </c>
      <c r="I9054" s="7">
        <v>1905200</v>
      </c>
      <c r="J9054" s="8">
        <v>3.5200000000000002E-2</v>
      </c>
    </row>
    <row r="9055" spans="1:10" x14ac:dyDescent="0.25">
      <c r="A9055" s="5" t="s">
        <v>9089</v>
      </c>
      <c r="B9055" s="5" t="s">
        <v>10922</v>
      </c>
      <c r="C9055" s="6" t="str">
        <f>_xll.QS.CONTEXT.CREATE("market.9053",A9055,"USD","SOFR")</f>
        <v>QSObject:PricingContext:w1~market.9053:1097</v>
      </c>
      <c r="D9055" s="6" t="str">
        <f>_xll.QS.CONTEXT.ADD.CURVE(C9055,"SOFR",$K$2:$K$7,$L$2:$L$7,,,"Actual360","LogLinear",TRUE)</f>
        <v>QSObject:ContextInput:w1~input.qs_context_add_curve.2359132437744.9054.3.0:31720</v>
      </c>
      <c r="E9055" s="6" t="str">
        <f>_xll.QS.INSTRUMENT.SWAP("swap.9053",H9055,B9055,"USD","SOFR",I9055,J9055,0,"Actual360","Simple","Annual","Annual","Annual")</f>
        <v>QSObject:Swap:w1~swap.9053:1096</v>
      </c>
      <c r="F9055" s="6" t="str">
        <f>_xll.QS.TRADE.CREATE("trade.9053",E9055,A9055,"Receive")</f>
        <v>QSObject:SwapTrade:w1~trade.9053:22726</v>
      </c>
      <c r="G9055" s="3">
        <f>_xll.QS.EVALUATE(C9055,F9055)</f>
        <v>28897.86179963711</v>
      </c>
      <c r="H9055" s="5" t="s">
        <v>9096</v>
      </c>
      <c r="I9055" s="7">
        <v>1905300</v>
      </c>
      <c r="J9055" s="8">
        <v>3.5299999999999998E-2</v>
      </c>
    </row>
    <row r="9056" spans="1:10" x14ac:dyDescent="0.25">
      <c r="A9056" s="5" t="s">
        <v>9090</v>
      </c>
      <c r="B9056" s="5" t="s">
        <v>10923</v>
      </c>
      <c r="C9056" s="6" t="str">
        <f>_xll.QS.CONTEXT.CREATE("market.9054",A9056,"USD","SOFR")</f>
        <v>QSObject:PricingContext:w1~market.9054:1095</v>
      </c>
      <c r="D9056" s="6" t="str">
        <f>_xll.QS.CONTEXT.ADD.CURVE(C9056,"SOFR",$K$2:$K$7,$L$2:$L$7,,,"Actual360","LogLinear",TRUE)</f>
        <v>QSObject:ContextInput:w1~input.qs_context_add_curve.2359132437744.9055.3.0:39964</v>
      </c>
      <c r="E9056" s="6" t="str">
        <f>_xll.QS.INSTRUMENT.SWAP("swap.9054",H9056,B9056,"USD","SOFR",I9056,J9056,0,"Actual360","Simple","Annual","Annual","Annual")</f>
        <v>QSObject:Swap:w1~swap.9054:1094</v>
      </c>
      <c r="F9056" s="6" t="str">
        <f>_xll.QS.TRADE.CREATE("trade.9054",E9056,A9056,"Receive")</f>
        <v>QSObject:SwapTrade:w1~trade.9054:22725</v>
      </c>
      <c r="G9056" s="3">
        <f>_xll.QS.EVALUATE(C9056,F9056)</f>
        <v>29860.726772732283</v>
      </c>
      <c r="H9056" s="5" t="s">
        <v>9097</v>
      </c>
      <c r="I9056" s="7">
        <v>1905400</v>
      </c>
      <c r="J9056" s="8">
        <v>3.5400000000000001E-2</v>
      </c>
    </row>
    <row r="9057" spans="1:10" x14ac:dyDescent="0.25">
      <c r="A9057" s="5" t="s">
        <v>9091</v>
      </c>
      <c r="B9057" s="5" t="s">
        <v>10924</v>
      </c>
      <c r="C9057" s="6" t="str">
        <f>_xll.QS.CONTEXT.CREATE("market.9055",A9057,"USD","SOFR")</f>
        <v>QSObject:PricingContext:w1~market.9055:1093</v>
      </c>
      <c r="D9057" s="6" t="str">
        <f>_xll.QS.CONTEXT.ADD.CURVE(C9057,"SOFR",$K$2:$K$7,$L$2:$L$7,,,"Actual360","LogLinear",TRUE)</f>
        <v>QSObject:ContextInput:w1~input.qs_context_add_curve.2359132437744.9056.3.0:31719</v>
      </c>
      <c r="E9057" s="6" t="str">
        <f>_xll.QS.INSTRUMENT.SWAP("swap.9055",H9057,B9057,"USD","SOFR",I9057,J9057,0,"Actual360","Simple","Annual","Annual","Annual")</f>
        <v>QSObject:Swap:w1~swap.9055:1092</v>
      </c>
      <c r="F9057" s="6" t="str">
        <f>_xll.QS.TRADE.CREATE("trade.9055",E9057,A9057,"Receive")</f>
        <v>QSObject:SwapTrade:w1~trade.9055:22724</v>
      </c>
      <c r="G9057" s="3">
        <f>_xll.QS.EVALUATE(C9057,F9057)</f>
        <v>30668.780355351577</v>
      </c>
      <c r="H9057" s="5" t="s">
        <v>9098</v>
      </c>
      <c r="I9057" s="7">
        <v>1905500</v>
      </c>
      <c r="J9057" s="8">
        <v>3.5499999999999997E-2</v>
      </c>
    </row>
    <row r="9058" spans="1:10" x14ac:dyDescent="0.25">
      <c r="A9058" s="5" t="s">
        <v>9092</v>
      </c>
      <c r="B9058" s="5" t="s">
        <v>10925</v>
      </c>
      <c r="C9058" s="6" t="str">
        <f>_xll.QS.CONTEXT.CREATE("market.9056",A9058,"USD","SOFR")</f>
        <v>QSObject:PricingContext:w1~market.9056:1091</v>
      </c>
      <c r="D9058" s="6" t="str">
        <f>_xll.QS.CONTEXT.ADD.CURVE(C9058,"SOFR",$K$2:$K$7,$L$2:$L$7,,,"Actual360","LogLinear",TRUE)</f>
        <v>QSObject:ContextInput:w1~input.qs_context_add_curve.2359132437744.9057.3.0:39963</v>
      </c>
      <c r="E9058" s="6" t="str">
        <f>_xll.QS.INSTRUMENT.SWAP("swap.9056",H9058,B9058,"USD","SOFR",I9058,J9058,0,"Actual360","Simple","Annual","Annual","Annual")</f>
        <v>QSObject:Swap:w1~swap.9056:1090</v>
      </c>
      <c r="F9058" s="6" t="str">
        <f>_xll.QS.TRADE.CREATE("trade.9056",E9058,A9058,"Receive")</f>
        <v>QSObject:SwapTrade:w1~trade.9056:22723</v>
      </c>
      <c r="G9058" s="3">
        <f>_xll.QS.EVALUATE(C9058,F9058)</f>
        <v>31431.403166068761</v>
      </c>
      <c r="H9058" s="5" t="s">
        <v>9099</v>
      </c>
      <c r="I9058" s="7">
        <v>1905600</v>
      </c>
      <c r="J9058" s="8">
        <v>3.5600000000000007E-2</v>
      </c>
    </row>
    <row r="9059" spans="1:10" x14ac:dyDescent="0.25">
      <c r="A9059" s="5" t="s">
        <v>9093</v>
      </c>
      <c r="B9059" s="5" t="s">
        <v>10926</v>
      </c>
      <c r="C9059" s="6" t="str">
        <f>_xll.QS.CONTEXT.CREATE("market.9057",A9059,"USD","SOFR")</f>
        <v>QSObject:PricingContext:w1~market.9057:1089</v>
      </c>
      <c r="D9059" s="6" t="str">
        <f>_xll.QS.CONTEXT.ADD.CURVE(C9059,"SOFR",$K$2:$K$7,$L$2:$L$7,,,"Actual360","LogLinear",TRUE)</f>
        <v>QSObject:ContextInput:w1~input.qs_context_add_curve.2359132437744.9058.3.0:31718</v>
      </c>
      <c r="E9059" s="6" t="str">
        <f>_xll.QS.INSTRUMENT.SWAP("swap.9057",H9059,B9059,"USD","SOFR",I9059,J9059,0,"Actual360","Simple","Annual","Annual","Annual")</f>
        <v>QSObject:Swap:w1~swap.9057:1088</v>
      </c>
      <c r="F9059" s="6" t="str">
        <f>_xll.QS.TRADE.CREATE("trade.9057",E9059,A9059,"Receive")</f>
        <v>QSObject:SwapTrade:w1~trade.9057:22722</v>
      </c>
      <c r="G9059" s="3">
        <f>_xll.QS.EVALUATE(C9059,F9059)</f>
        <v>32144.583577963524</v>
      </c>
      <c r="H9059" s="5" t="s">
        <v>9100</v>
      </c>
      <c r="I9059" s="7">
        <v>1905700</v>
      </c>
      <c r="J9059" s="8">
        <v>3.5700000000000003E-2</v>
      </c>
    </row>
    <row r="9060" spans="1:10" x14ac:dyDescent="0.25">
      <c r="A9060" s="5" t="s">
        <v>9094</v>
      </c>
      <c r="B9060" s="5" t="s">
        <v>10927</v>
      </c>
      <c r="C9060" s="6" t="str">
        <f>_xll.QS.CONTEXT.CREATE("market.9058",A9060,"USD","SOFR")</f>
        <v>QSObject:PricingContext:w1~market.9058:1087</v>
      </c>
      <c r="D9060" s="6" t="str">
        <f>_xll.QS.CONTEXT.ADD.CURVE(C9060,"SOFR",$K$2:$K$7,$L$2:$L$7,,,"Actual360","LogLinear",TRUE)</f>
        <v>QSObject:ContextInput:w1~input.qs_context_add_curve.2359132437744.9059.3.0:38761</v>
      </c>
      <c r="E9060" s="6" t="str">
        <f>_xll.QS.INSTRUMENT.SWAP("swap.9058",H9060,B9060,"USD","SOFR",I9060,J9060,0,"Actual360","Simple","Annual","Annual","Annual")</f>
        <v>QSObject:Swap:w1~swap.9058:1086</v>
      </c>
      <c r="F9060" s="6" t="str">
        <f>_xll.QS.TRADE.CREATE("trade.9058",E9060,A9060,"Receive")</f>
        <v>QSObject:SwapTrade:w1~trade.9058:22721</v>
      </c>
      <c r="G9060" s="3">
        <f>_xll.QS.EVALUATE(C9060,F9060)</f>
        <v>33105.104151765096</v>
      </c>
      <c r="H9060" s="5" t="s">
        <v>9101</v>
      </c>
      <c r="I9060" s="7">
        <v>1905800</v>
      </c>
      <c r="J9060" s="8">
        <v>3.5800000000000012E-2</v>
      </c>
    </row>
    <row r="9061" spans="1:10" x14ac:dyDescent="0.25">
      <c r="A9061" s="5" t="s">
        <v>9095</v>
      </c>
      <c r="B9061" s="5" t="s">
        <v>10928</v>
      </c>
      <c r="C9061" s="6" t="str">
        <f>_xll.QS.CONTEXT.CREATE("market.9059",A9061,"USD","SOFR")</f>
        <v>QSObject:PricingContext:w1~market.9059:1085</v>
      </c>
      <c r="D9061" s="6" t="str">
        <f>_xll.QS.CONTEXT.ADD.CURVE(C9061,"SOFR",$K$2:$K$7,$L$2:$L$7,,,"Actual360","LogLinear",TRUE)</f>
        <v>QSObject:ContextInput:w1~input.qs_context_add_curve.2359132437744.9060.3.0:31717</v>
      </c>
      <c r="E9061" s="6" t="str">
        <f>_xll.QS.INSTRUMENT.SWAP("swap.9059",H9061,B9061,"USD","SOFR",I9061,J9061,0,"Actual360","Simple","Annual","Annual","Annual")</f>
        <v>QSObject:Swap:w1~swap.9059:1084</v>
      </c>
      <c r="F9061" s="6" t="str">
        <f>_xll.QS.TRADE.CREATE("trade.9059",E9061,A9061,"Receive")</f>
        <v>QSObject:SwapTrade:w1~trade.9059:22720</v>
      </c>
      <c r="G9061" s="3">
        <f>_xll.QS.EVALUATE(C9061,F9061)</f>
        <v>34041.177181201703</v>
      </c>
      <c r="H9061" s="5" t="s">
        <v>9102</v>
      </c>
      <c r="I9061" s="7">
        <v>1905900</v>
      </c>
      <c r="J9061" s="8">
        <v>3.5900000000000001E-2</v>
      </c>
    </row>
    <row r="9062" spans="1:10" x14ac:dyDescent="0.25">
      <c r="A9062" s="5" t="s">
        <v>9096</v>
      </c>
      <c r="B9062" s="5" t="s">
        <v>10929</v>
      </c>
      <c r="C9062" s="6" t="str">
        <f>_xll.QS.CONTEXT.CREATE("market.9060",A9062,"USD","SOFR")</f>
        <v>QSObject:PricingContext:w1~market.9060:1083</v>
      </c>
      <c r="D9062" s="6" t="str">
        <f>_xll.QS.CONTEXT.ADD.CURVE(C9062,"SOFR",$K$2:$K$7,$L$2:$L$7,,,"Actual360","LogLinear",TRUE)</f>
        <v>QSObject:ContextInput:w1~input.qs_context_add_curve.2359132437744.9061.3.0:38760</v>
      </c>
      <c r="E9062" s="6" t="str">
        <f>_xll.QS.INSTRUMENT.SWAP("swap.9060",H9062,B9062,"USD","SOFR",I9062,J9062,0,"Actual360","Simple","Annual","Annual","Annual")</f>
        <v>QSObject:Swap:w1~swap.9060:1082</v>
      </c>
      <c r="F9062" s="6" t="str">
        <f>_xll.QS.TRADE.CREATE("trade.9060",E9062,A9062,"Receive")</f>
        <v>QSObject:SwapTrade:w1~trade.9060:22719</v>
      </c>
      <c r="G9062" s="3">
        <f>_xll.QS.EVALUATE(C9062,F9062)</f>
        <v>35060.987770886168</v>
      </c>
      <c r="H9062" s="5" t="s">
        <v>9103</v>
      </c>
      <c r="I9062" s="7">
        <v>1906000</v>
      </c>
      <c r="J9062" s="8">
        <v>3.5999999999999997E-2</v>
      </c>
    </row>
    <row r="9063" spans="1:10" x14ac:dyDescent="0.25">
      <c r="A9063" s="5" t="s">
        <v>9097</v>
      </c>
      <c r="B9063" s="5" t="s">
        <v>10930</v>
      </c>
      <c r="C9063" s="6" t="str">
        <f>_xll.QS.CONTEXT.CREATE("market.9061",A9063,"USD","SOFR")</f>
        <v>QSObject:PricingContext:w1~market.9061:1081</v>
      </c>
      <c r="D9063" s="6" t="str">
        <f>_xll.QS.CONTEXT.ADD.CURVE(C9063,"SOFR",$K$2:$K$7,$L$2:$L$7,,,"Actual360","LogLinear",TRUE)</f>
        <v>QSObject:ContextInput:w1~input.qs_context_add_curve.2359132437744.9062.3.0:39962</v>
      </c>
      <c r="E9063" s="6" t="str">
        <f>_xll.QS.INSTRUMENT.SWAP("swap.9061",H9063,B9063,"USD","SOFR",I9063,J9063,0,"Actual360","Simple","Annual","Annual","Annual")</f>
        <v>QSObject:Swap:w1~swap.9061:1080</v>
      </c>
      <c r="F9063" s="6" t="str">
        <f>_xll.QS.TRADE.CREATE("trade.9061",E9063,A9063,"Receive")</f>
        <v>QSObject:SwapTrade:w1~trade.9061:22718</v>
      </c>
      <c r="G9063" s="3">
        <f>_xll.QS.EVALUATE(C9063,F9063)</f>
        <v>36024.594488644034</v>
      </c>
      <c r="H9063" s="5" t="s">
        <v>9104</v>
      </c>
      <c r="I9063" s="7">
        <v>1906100</v>
      </c>
      <c r="J9063" s="8">
        <v>3.61E-2</v>
      </c>
    </row>
    <row r="9064" spans="1:10" x14ac:dyDescent="0.25">
      <c r="A9064" s="5" t="s">
        <v>9098</v>
      </c>
      <c r="B9064" s="5" t="s">
        <v>10931</v>
      </c>
      <c r="C9064" s="6" t="str">
        <f>_xll.QS.CONTEXT.CREATE("market.9062",A9064,"USD","SOFR")</f>
        <v>QSObject:PricingContext:w1~market.9062:1079</v>
      </c>
      <c r="D9064" s="6" t="str">
        <f>_xll.QS.CONTEXT.ADD.CURVE(C9064,"SOFR",$K$2:$K$7,$L$2:$L$7,,,"Actual360","LogLinear",TRUE)</f>
        <v>QSObject:ContextInput:w1~input.qs_context_add_curve.2359132437744.9063.3.0:31716</v>
      </c>
      <c r="E9064" s="6" t="str">
        <f>_xll.QS.INSTRUMENT.SWAP("swap.9062",H9064,B9064,"USD","SOFR",I9064,J9064,0,"Actual360","Simple","Annual","Annual","Annual")</f>
        <v>QSObject:Swap:w1~swap.9062:1078</v>
      </c>
      <c r="F9064" s="6" t="str">
        <f>_xll.QS.TRADE.CREATE("trade.9062",E9064,A9064,"Receive")</f>
        <v>QSObject:SwapTrade:w1~trade.9062:22717</v>
      </c>
      <c r="G9064" s="3">
        <f>_xll.QS.EVALUATE(C9064,F9064)</f>
        <v>36833.517517028631</v>
      </c>
      <c r="H9064" s="5" t="s">
        <v>9105</v>
      </c>
      <c r="I9064" s="7">
        <v>1906200</v>
      </c>
      <c r="J9064" s="8">
        <v>3.6200000000000003E-2</v>
      </c>
    </row>
    <row r="9065" spans="1:10" x14ac:dyDescent="0.25">
      <c r="A9065" s="5" t="s">
        <v>9099</v>
      </c>
      <c r="B9065" s="5" t="s">
        <v>10932</v>
      </c>
      <c r="C9065" s="6" t="str">
        <f>_xll.QS.CONTEXT.CREATE("market.9063",A9065,"USD","SOFR")</f>
        <v>QSObject:PricingContext:w1~market.9063:1077</v>
      </c>
      <c r="D9065" s="6" t="str">
        <f>_xll.QS.CONTEXT.ADD.CURVE(C9065,"SOFR",$K$2:$K$7,$L$2:$L$7,,,"Actual360","LogLinear",TRUE)</f>
        <v>QSObject:ContextInput:w1~input.qs_context_add_curve.2359132437744.9064.3.0:38759</v>
      </c>
      <c r="E9065" s="6" t="str">
        <f>_xll.QS.INSTRUMENT.SWAP("swap.9063",H9065,B9065,"USD","SOFR",I9065,J9065,0,"Actual360","Simple","Annual","Annual","Annual")</f>
        <v>QSObject:Swap:w1~swap.9063:1076</v>
      </c>
      <c r="F9065" s="6" t="str">
        <f>_xll.QS.TRADE.CREATE("trade.9063",E9065,A9065,"Receive")</f>
        <v>QSObject:SwapTrade:w1~trade.9063:22716</v>
      </c>
      <c r="G9065" s="3">
        <f>_xll.QS.EVALUATE(C9065,F9065)</f>
        <v>37589.191004169807</v>
      </c>
      <c r="H9065" s="5" t="s">
        <v>9106</v>
      </c>
      <c r="I9065" s="7">
        <v>1906300</v>
      </c>
      <c r="J9065" s="8">
        <v>3.6300000000000013E-2</v>
      </c>
    </row>
    <row r="9066" spans="1:10" x14ac:dyDescent="0.25">
      <c r="A9066" s="5" t="s">
        <v>9100</v>
      </c>
      <c r="B9066" s="5" t="s">
        <v>10933</v>
      </c>
      <c r="C9066" s="6" t="str">
        <f>_xll.QS.CONTEXT.CREATE("market.9064",A9066,"USD","SOFR")</f>
        <v>QSObject:PricingContext:w1~market.9064:1075</v>
      </c>
      <c r="D9066" s="6" t="str">
        <f>_xll.QS.CONTEXT.ADD.CURVE(C9066,"SOFR",$K$2:$K$7,$L$2:$L$7,,,"Actual360","LogLinear",TRUE)</f>
        <v>QSObject:ContextInput:w1~input.qs_context_add_curve.2359132437744.9065.3.0:31715</v>
      </c>
      <c r="E9066" s="6" t="str">
        <f>_xll.QS.INSTRUMENT.SWAP("swap.9064",H9066,B9066,"USD","SOFR",I9066,J9066,0,"Actual360","Simple","Annual","Annual","Annual")</f>
        <v>QSObject:Swap:w1~swap.9064:1074</v>
      </c>
      <c r="F9066" s="6" t="str">
        <f>_xll.QS.TRADE.CREATE("trade.9064",E9066,A9066,"Receive")</f>
        <v>QSObject:SwapTrade:w1~trade.9064:22715</v>
      </c>
      <c r="G9066" s="3">
        <f>_xll.QS.EVALUATE(C9066,F9066)</f>
        <v>38312.495309699858</v>
      </c>
      <c r="H9066" s="5" t="s">
        <v>9107</v>
      </c>
      <c r="I9066" s="7">
        <v>1906400</v>
      </c>
      <c r="J9066" s="8">
        <v>3.6400000000000002E-2</v>
      </c>
    </row>
    <row r="9067" spans="1:10" x14ac:dyDescent="0.25">
      <c r="A9067" s="5" t="s">
        <v>9101</v>
      </c>
      <c r="B9067" s="5" t="s">
        <v>10934</v>
      </c>
      <c r="C9067" s="6" t="str">
        <f>_xll.QS.CONTEXT.CREATE("market.9065",A9067,"USD","SOFR")</f>
        <v>QSObject:PricingContext:w1~market.9065:1073</v>
      </c>
      <c r="D9067" s="6" t="str">
        <f>_xll.QS.CONTEXT.ADD.CURVE(C9067,"SOFR",$K$2:$K$7,$L$2:$L$7,,,"Actual360","LogLinear",TRUE)</f>
        <v>QSObject:ContextInput:w1~input.qs_context_add_curve.2359132437744.9066.3.0:31714</v>
      </c>
      <c r="E9067" s="6" t="str">
        <f>_xll.QS.INSTRUMENT.SWAP("swap.9065",H9067,B9067,"USD","SOFR",I9067,J9067,0,"Actual360","Simple","Annual","Annual","Annual")</f>
        <v>QSObject:Swap:w1~swap.9065:1072</v>
      </c>
      <c r="F9067" s="6" t="str">
        <f>_xll.QS.TRADE.CREATE("trade.9065",E9067,A9067,"Receive")</f>
        <v>QSObject:SwapTrade:w1~trade.9065:22714</v>
      </c>
      <c r="G9067" s="3">
        <f>_xll.QS.EVALUATE(C9067,F9067)</f>
        <v>39274.308768147108</v>
      </c>
      <c r="H9067" s="5" t="s">
        <v>9108</v>
      </c>
      <c r="I9067" s="7">
        <v>1906500</v>
      </c>
      <c r="J9067" s="8">
        <v>3.6499999999999998E-2</v>
      </c>
    </row>
    <row r="9068" spans="1:10" x14ac:dyDescent="0.25">
      <c r="A9068" s="5" t="s">
        <v>9102</v>
      </c>
      <c r="B9068" s="5" t="s">
        <v>10935</v>
      </c>
      <c r="C9068" s="6" t="str">
        <f>_xll.QS.CONTEXT.CREATE("market.9066",A9068,"USD","SOFR")</f>
        <v>QSObject:PricingContext:w1~market.9066:1071</v>
      </c>
      <c r="D9068" s="6" t="str">
        <f>_xll.QS.CONTEXT.ADD.CURVE(C9068,"SOFR",$K$2:$K$7,$L$2:$L$7,,,"Actual360","LogLinear",TRUE)</f>
        <v>QSObject:ContextInput:w1~input.qs_context_add_curve.2359132437744.9067.3.0:31713</v>
      </c>
      <c r="E9068" s="6" t="str">
        <f>_xll.QS.INSTRUMENT.SWAP("swap.9066",H9068,B9068,"USD","SOFR",I9068,J9068,0,"Actual360","Simple","Annual","Annual","Annual")</f>
        <v>QSObject:Swap:w1~swap.9066:1070</v>
      </c>
      <c r="F9068" s="6" t="str">
        <f>_xll.QS.TRADE.CREATE("trade.9066",E9068,A9068,"Receive")</f>
        <v>QSObject:SwapTrade:w1~trade.9066:22713</v>
      </c>
      <c r="G9068" s="3">
        <f>_xll.QS.EVALUATE(C9068,F9068)</f>
        <v>40208.025917718282</v>
      </c>
      <c r="H9068" s="5" t="s">
        <v>9109</v>
      </c>
      <c r="I9068" s="7">
        <v>1906600</v>
      </c>
      <c r="J9068" s="8">
        <v>3.6600000000000001E-2</v>
      </c>
    </row>
    <row r="9069" spans="1:10" x14ac:dyDescent="0.25">
      <c r="A9069" s="5" t="s">
        <v>9103</v>
      </c>
      <c r="B9069" s="5" t="s">
        <v>10936</v>
      </c>
      <c r="C9069" s="6" t="str">
        <f>_xll.QS.CONTEXT.CREATE("market.9067",A9069,"USD","SOFR")</f>
        <v>QSObject:PricingContext:w1~market.9067:1069</v>
      </c>
      <c r="D9069" s="6" t="str">
        <f>_xll.QS.CONTEXT.ADD.CURVE(C9069,"SOFR",$K$2:$K$7,$L$2:$L$7,,,"Actual360","LogLinear",TRUE)</f>
        <v>QSObject:ContextInput:w1~input.qs_context_add_curve.2359132437744.9068.3.0:39961</v>
      </c>
      <c r="E9069" s="6" t="str">
        <f>_xll.QS.INSTRUMENT.SWAP("swap.9067",H9069,B9069,"USD","SOFR",I9069,J9069,0,"Actual360","Simple","Annual","Annual","Annual")</f>
        <v>QSObject:Swap:w1~swap.9067:1068</v>
      </c>
      <c r="F9069" s="6" t="str">
        <f>_xll.QS.TRADE.CREATE("trade.9067",E9069,A9069,"Receive")</f>
        <v>QSObject:SwapTrade:w1~trade.9067:22712</v>
      </c>
      <c r="G9069" s="3">
        <f>_xll.QS.EVALUATE(C9069,F9069)</f>
        <v>41229.381275030646</v>
      </c>
      <c r="H9069" s="5" t="s">
        <v>9110</v>
      </c>
      <c r="I9069" s="7">
        <v>1906700</v>
      </c>
      <c r="J9069" s="8">
        <v>3.6700000000000003E-2</v>
      </c>
    </row>
    <row r="9070" spans="1:10" x14ac:dyDescent="0.25">
      <c r="A9070" s="5" t="s">
        <v>9104</v>
      </c>
      <c r="B9070" s="5" t="s">
        <v>10937</v>
      </c>
      <c r="C9070" s="6" t="str">
        <f>_xll.QS.CONTEXT.CREATE("market.9068",A9070,"USD","SOFR")</f>
        <v>QSObject:PricingContext:w1~market.9068:1067</v>
      </c>
      <c r="D9070" s="6" t="str">
        <f>_xll.QS.CONTEXT.ADD.CURVE(C9070,"SOFR",$K$2:$K$7,$L$2:$L$7,,,"Actual360","LogLinear",TRUE)</f>
        <v>QSObject:ContextInput:w1~input.qs_context_add_curve.2359132437744.9069.3.0:31712</v>
      </c>
      <c r="E9070" s="6" t="str">
        <f>_xll.QS.INSTRUMENT.SWAP("swap.9068",H9070,B9070,"USD","SOFR",I9070,J9070,0,"Actual360","Simple","Annual","Annual","Annual")</f>
        <v>QSObject:Swap:w1~swap.9068:1066</v>
      </c>
      <c r="F9070" s="6" t="str">
        <f>_xll.QS.TRADE.CREATE("trade.9068",E9070,A9070,"Receive")</f>
        <v>QSObject:SwapTrade:w1~trade.9068:22711</v>
      </c>
      <c r="G9070" s="3">
        <f>_xll.QS.EVALUATE(C9070,F9070)</f>
        <v>42192.981409531116</v>
      </c>
      <c r="H9070" s="5" t="s">
        <v>9111</v>
      </c>
      <c r="I9070" s="7">
        <v>1906800</v>
      </c>
      <c r="J9070" s="8">
        <v>3.6800000000000013E-2</v>
      </c>
    </row>
    <row r="9071" spans="1:10" x14ac:dyDescent="0.25">
      <c r="A9071" s="5" t="s">
        <v>9105</v>
      </c>
      <c r="B9071" s="5" t="s">
        <v>10938</v>
      </c>
      <c r="C9071" s="6" t="str">
        <f>_xll.QS.CONTEXT.CREATE("market.9069",A9071,"USD","SOFR")</f>
        <v>QSObject:PricingContext:w1~market.9069:1065</v>
      </c>
      <c r="D9071" s="6" t="str">
        <f>_xll.QS.CONTEXT.ADD.CURVE(C9071,"SOFR",$K$2:$K$7,$L$2:$L$7,,,"Actual360","LogLinear",TRUE)</f>
        <v>QSObject:ContextInput:w1~input.qs_context_add_curve.2359132437744.9070.3.0:38758</v>
      </c>
      <c r="E9071" s="6" t="str">
        <f>_xll.QS.INSTRUMENT.SWAP("swap.9069",H9071,B9071,"USD","SOFR",I9071,J9071,0,"Actual360","Simple","Annual","Annual","Annual")</f>
        <v>QSObject:Swap:w1~swap.9069:1064</v>
      </c>
      <c r="F9071" s="6" t="str">
        <f>_xll.QS.TRADE.CREATE("trade.9069",E9071,A9071,"Receive")</f>
        <v>QSObject:SwapTrade:w1~trade.9069:22710</v>
      </c>
      <c r="G9071" s="3">
        <f>_xll.QS.EVALUATE(C9071,F9071)</f>
        <v>43002.173887961551</v>
      </c>
      <c r="H9071" s="5" t="s">
        <v>9112</v>
      </c>
      <c r="I9071" s="7">
        <v>1906900</v>
      </c>
      <c r="J9071" s="8">
        <v>3.6900000000000002E-2</v>
      </c>
    </row>
    <row r="9072" spans="1:10" x14ac:dyDescent="0.25">
      <c r="A9072" s="5" t="s">
        <v>9106</v>
      </c>
      <c r="B9072" s="5" t="s">
        <v>10939</v>
      </c>
      <c r="C9072" s="6" t="str">
        <f>_xll.QS.CONTEXT.CREATE("market.9070",A9072,"USD","SOFR")</f>
        <v>QSObject:PricingContext:w1~market.9070:1063</v>
      </c>
      <c r="D9072" s="6" t="str">
        <f>_xll.QS.CONTEXT.ADD.CURVE(C9072,"SOFR",$K$2:$K$7,$L$2:$L$7,,,"Actual360","LogLinear",TRUE)</f>
        <v>QSObject:ContextInput:w1~input.qs_context_add_curve.2359132437744.9071.3.0:31711</v>
      </c>
      <c r="E9072" s="6" t="str">
        <f>_xll.QS.INSTRUMENT.SWAP("swap.9070",H9072,B9072,"USD","SOFR",I9072,J9072,0,"Actual360","Simple","Annual","Annual","Annual")</f>
        <v>QSObject:Swap:w1~swap.9070:1062</v>
      </c>
      <c r="F9072" s="6" t="str">
        <f>_xll.QS.TRADE.CREATE("trade.9070",E9072,A9072,"Receive")</f>
        <v>QSObject:SwapTrade:w1~trade.9070:22709</v>
      </c>
      <c r="G9072" s="3">
        <f>_xll.QS.EVALUATE(C9072,F9072)</f>
        <v>43751.492685122699</v>
      </c>
      <c r="H9072" s="5" t="s">
        <v>9113</v>
      </c>
      <c r="I9072" s="7">
        <v>1907000</v>
      </c>
      <c r="J9072" s="8">
        <v>3.7000000000000012E-2</v>
      </c>
    </row>
    <row r="9073" spans="1:10" x14ac:dyDescent="0.25">
      <c r="A9073" s="5" t="s">
        <v>9107</v>
      </c>
      <c r="B9073" s="5" t="s">
        <v>10940</v>
      </c>
      <c r="C9073" s="6" t="str">
        <f>_xll.QS.CONTEXT.CREATE("market.9071",A9073,"USD","SOFR")</f>
        <v>QSObject:PricingContext:w1~market.9071:1061</v>
      </c>
      <c r="D9073" s="6" t="str">
        <f>_xll.QS.CONTEXT.ADD.CURVE(C9073,"SOFR",$K$2:$K$7,$L$2:$L$7,,,"Actual360","LogLinear",TRUE)</f>
        <v>QSObject:ContextInput:w1~input.qs_context_add_curve.2359132437744.9072.3.0:38757</v>
      </c>
      <c r="E9073" s="6" t="str">
        <f>_xll.QS.INSTRUMENT.SWAP("swap.9071",H9073,B9073,"USD","SOFR",I9073,J9073,0,"Actual360","Simple","Annual","Annual","Annual")</f>
        <v>QSObject:Swap:w1~swap.9071:1060</v>
      </c>
      <c r="F9073" s="6" t="str">
        <f>_xll.QS.TRADE.CREATE("trade.9071",E9073,A9073,"Receive")</f>
        <v>QSObject:SwapTrade:w1~trade.9071:22708</v>
      </c>
      <c r="G9073" s="3">
        <f>_xll.QS.EVALUATE(C9073,F9073)</f>
        <v>44434.639337996246</v>
      </c>
      <c r="H9073" s="5" t="s">
        <v>9114</v>
      </c>
      <c r="I9073" s="7">
        <v>1907100</v>
      </c>
      <c r="J9073" s="8">
        <v>3.7100000000000001E-2</v>
      </c>
    </row>
    <row r="9074" spans="1:10" x14ac:dyDescent="0.25">
      <c r="A9074" s="5" t="s">
        <v>9108</v>
      </c>
      <c r="B9074" s="5" t="s">
        <v>10941</v>
      </c>
      <c r="C9074" s="6" t="str">
        <f>_xll.QS.CONTEXT.CREATE("market.9072",A9074,"USD","SOFR")</f>
        <v>QSObject:PricingContext:w1~market.9072:1059</v>
      </c>
      <c r="D9074" s="6" t="str">
        <f>_xll.QS.CONTEXT.ADD.CURVE(C9074,"SOFR",$K$2:$K$7,$L$2:$L$7,,,"Actual360","LogLinear",TRUE)</f>
        <v>QSObject:ContextInput:w1~input.qs_context_add_curve.2359132437744.9073.3.0:39960</v>
      </c>
      <c r="E9074" s="6" t="str">
        <f>_xll.QS.INSTRUMENT.SWAP("swap.9072",H9074,B9074,"USD","SOFR",I9074,J9074,0,"Actual360","Simple","Annual","Annual","Annual")</f>
        <v>QSObject:Swap:w1~swap.9072:1058</v>
      </c>
      <c r="F9074" s="6" t="str">
        <f>_xll.QS.TRADE.CREATE("trade.9072",E9074,A9074,"Receive")</f>
        <v>QSObject:SwapTrade:w1~trade.9072:22707</v>
      </c>
      <c r="G9074" s="3">
        <f>_xll.QS.EVALUATE(C9074,F9074)</f>
        <v>45398.133885281764</v>
      </c>
      <c r="H9074" s="5" t="s">
        <v>9115</v>
      </c>
      <c r="I9074" s="7">
        <v>1907200</v>
      </c>
      <c r="J9074" s="8">
        <v>3.7199999999999997E-2</v>
      </c>
    </row>
    <row r="9075" spans="1:10" x14ac:dyDescent="0.25">
      <c r="A9075" s="5" t="s">
        <v>9109</v>
      </c>
      <c r="B9075" s="5" t="s">
        <v>10942</v>
      </c>
      <c r="C9075" s="6" t="str">
        <f>_xll.QS.CONTEXT.CREATE("market.9073",A9075,"USD","SOFR")</f>
        <v>QSObject:PricingContext:w1~market.9073:1057</v>
      </c>
      <c r="D9075" s="6" t="str">
        <f>_xll.QS.CONTEXT.ADD.CURVE(C9075,"SOFR",$K$2:$K$7,$L$2:$L$7,,,"Actual360","LogLinear",TRUE)</f>
        <v>QSObject:ContextInput:w1~input.qs_context_add_curve.2359132437744.9074.3.0:38756</v>
      </c>
      <c r="E9075" s="6" t="str">
        <f>_xll.QS.INSTRUMENT.SWAP("swap.9073",H9075,B9075,"USD","SOFR",I9075,J9075,0,"Actual360","Simple","Annual","Annual","Annual")</f>
        <v>QSObject:Swap:w1~swap.9073:1056</v>
      </c>
      <c r="F9075" s="6" t="str">
        <f>_xll.QS.TRADE.CREATE("trade.9073",E9075,A9075,"Receive")</f>
        <v>QSObject:SwapTrade:w1~trade.9073:22706</v>
      </c>
      <c r="G9075" s="3">
        <f>_xll.QS.EVALUATE(C9075,F9075)</f>
        <v>46299.68047514488</v>
      </c>
      <c r="H9075" s="5" t="s">
        <v>9116</v>
      </c>
      <c r="I9075" s="7">
        <v>1907300</v>
      </c>
      <c r="J9075" s="8">
        <v>3.73E-2</v>
      </c>
    </row>
    <row r="9076" spans="1:10" x14ac:dyDescent="0.25">
      <c r="A9076" s="5" t="s">
        <v>9110</v>
      </c>
      <c r="B9076" s="5" t="s">
        <v>10943</v>
      </c>
      <c r="C9076" s="6" t="str">
        <f>_xll.QS.CONTEXT.CREATE("market.9074",A9076,"USD","SOFR")</f>
        <v>QSObject:PricingContext:w1~market.9074:1055</v>
      </c>
      <c r="D9076" s="6" t="str">
        <f>_xll.QS.CONTEXT.ADD.CURVE(C9076,"SOFR",$K$2:$K$7,$L$2:$L$7,,,"Actual360","LogLinear",TRUE)</f>
        <v>QSObject:ContextInput:w1~input.qs_context_add_curve.2359132437744.9075.3.0:39959</v>
      </c>
      <c r="E9076" s="6" t="str">
        <f>_xll.QS.INSTRUMENT.SWAP("swap.9074",H9076,B9076,"USD","SOFR",I9076,J9076,0,"Actual360","Simple","Annual","Annual","Annual")</f>
        <v>QSObject:Swap:w1~swap.9074:1054</v>
      </c>
      <c r="F9076" s="6" t="str">
        <f>_xll.QS.TRADE.CREATE("trade.9074",E9076,A9076,"Receive")</f>
        <v>QSObject:SwapTrade:w1~trade.9074:22705</v>
      </c>
      <c r="G9076" s="3">
        <f>_xll.QS.EVALUATE(C9076,F9076)</f>
        <v>47471.597642439119</v>
      </c>
      <c r="H9076" s="5" t="s">
        <v>9117</v>
      </c>
      <c r="I9076" s="7">
        <v>1907400</v>
      </c>
      <c r="J9076" s="8">
        <v>3.7400000000000003E-2</v>
      </c>
    </row>
    <row r="9077" spans="1:10" x14ac:dyDescent="0.25">
      <c r="A9077" s="5" t="s">
        <v>9111</v>
      </c>
      <c r="B9077" s="5" t="s">
        <v>10944</v>
      </c>
      <c r="C9077" s="6" t="str">
        <f>_xll.QS.CONTEXT.CREATE("market.9075",A9077,"USD","SOFR")</f>
        <v>QSObject:PricingContext:w1~market.9075:1053</v>
      </c>
      <c r="D9077" s="6" t="str">
        <f>_xll.QS.CONTEXT.ADD.CURVE(C9077,"SOFR",$K$2:$K$7,$L$2:$L$7,,,"Actual360","LogLinear",TRUE)</f>
        <v>QSObject:ContextInput:w1~input.qs_context_add_curve.2359132437744.9076.3.0:31710</v>
      </c>
      <c r="E9077" s="6" t="str">
        <f>_xll.QS.INSTRUMENT.SWAP("swap.9075",H9077,B9077,"USD","SOFR",I9077,J9077,0,"Actual360","Simple","Annual","Annual","Annual")</f>
        <v>QSObject:Swap:w1~swap.9075:1052</v>
      </c>
      <c r="F9077" s="6" t="str">
        <f>_xll.QS.TRADE.CREATE("trade.9075",E9077,A9077,"Receive")</f>
        <v>QSObject:SwapTrade:w1~trade.9075:22704</v>
      </c>
      <c r="G9077" s="3">
        <f>_xll.QS.EVALUATE(C9077,F9077)</f>
        <v>48368.671830579937</v>
      </c>
      <c r="H9077" s="5" t="s">
        <v>9118</v>
      </c>
      <c r="I9077" s="7">
        <v>1907500</v>
      </c>
      <c r="J9077" s="8">
        <v>3.7500000000000012E-2</v>
      </c>
    </row>
    <row r="9078" spans="1:10" x14ac:dyDescent="0.25">
      <c r="A9078" s="5" t="s">
        <v>9112</v>
      </c>
      <c r="B9078" s="5" t="s">
        <v>10945</v>
      </c>
      <c r="C9078" s="6" t="str">
        <f>_xll.QS.CONTEXT.CREATE("market.9076",A9078,"USD","SOFR")</f>
        <v>QSObject:PricingContext:w1~market.9076:1051</v>
      </c>
      <c r="D9078" s="6" t="str">
        <f>_xll.QS.CONTEXT.ADD.CURVE(C9078,"SOFR",$K$2:$K$7,$L$2:$L$7,,,"Actual360","LogLinear",TRUE)</f>
        <v>QSObject:ContextInput:w1~input.qs_context_add_curve.2359132437744.9077.3.0:38755</v>
      </c>
      <c r="E9078" s="6" t="str">
        <f>_xll.QS.INSTRUMENT.SWAP("swap.9076",H9078,B9078,"USD","SOFR",I9078,J9078,0,"Actual360","Simple","Annual","Annual","Annual")</f>
        <v>QSObject:Swap:w1~swap.9076:1050</v>
      </c>
      <c r="F9078" s="6" t="str">
        <f>_xll.QS.TRADE.CREATE("trade.9076",E9078,A9078,"Receive")</f>
        <v>QSObject:SwapTrade:w1~trade.9076:22703</v>
      </c>
      <c r="G9078" s="3">
        <f>_xll.QS.EVALUATE(C9078,F9078)</f>
        <v>49253.584198560602</v>
      </c>
      <c r="H9078" s="5" t="s">
        <v>9119</v>
      </c>
      <c r="I9078" s="7">
        <v>1907600</v>
      </c>
      <c r="J9078" s="8">
        <v>3.7600000000000001E-2</v>
      </c>
    </row>
    <row r="9079" spans="1:10" x14ac:dyDescent="0.25">
      <c r="A9079" s="5" t="s">
        <v>9113</v>
      </c>
      <c r="B9079" s="5" t="s">
        <v>10946</v>
      </c>
      <c r="C9079" s="6" t="str">
        <f>_xll.QS.CONTEXT.CREATE("market.9077",A9079,"USD","SOFR")</f>
        <v>QSObject:PricingContext:w1~market.9077:1049</v>
      </c>
      <c r="D9079" s="6" t="str">
        <f>_xll.QS.CONTEXT.ADD.CURVE(C9079,"SOFR",$K$2:$K$7,$L$2:$L$7,,,"Actual360","LogLinear",TRUE)</f>
        <v>QSObject:ContextInput:w1~input.qs_context_add_curve.2359132437744.9078.3.0:31709</v>
      </c>
      <c r="E9079" s="6" t="str">
        <f>_xll.QS.INSTRUMENT.SWAP("swap.9077",H9079,B9079,"USD","SOFR",I9079,J9079,0,"Actual360","Simple","Annual","Annual","Annual")</f>
        <v>QSObject:Swap:w1~swap.9077:1048</v>
      </c>
      <c r="F9079" s="6" t="str">
        <f>_xll.QS.TRADE.CREATE("trade.9077",E9079,A9079,"Receive")</f>
        <v>QSObject:SwapTrade:w1~trade.9077:22702</v>
      </c>
      <c r="G9079" s="3">
        <f>_xll.QS.EVALUATE(C9079,F9079)</f>
        <v>49996.25076705301</v>
      </c>
      <c r="H9079" s="5" t="s">
        <v>9120</v>
      </c>
      <c r="I9079" s="7">
        <v>1907700</v>
      </c>
      <c r="J9079" s="8">
        <v>3.7699999999999997E-2</v>
      </c>
    </row>
    <row r="9080" spans="1:10" x14ac:dyDescent="0.25">
      <c r="A9080" s="5" t="s">
        <v>9114</v>
      </c>
      <c r="B9080" s="5" t="s">
        <v>10947</v>
      </c>
      <c r="C9080" s="6" t="str">
        <f>_xll.QS.CONTEXT.CREATE("market.9078",A9080,"USD","SOFR")</f>
        <v>QSObject:PricingContext:w1~market.9078:1047</v>
      </c>
      <c r="D9080" s="6" t="str">
        <f>_xll.QS.CONTEXT.ADD.CURVE(C9080,"SOFR",$K$2:$K$7,$L$2:$L$7,,,"Actual360","LogLinear",TRUE)</f>
        <v>QSObject:ContextInput:w1~input.qs_context_add_curve.2359132437744.9079.3.0:39958</v>
      </c>
      <c r="E9080" s="6" t="str">
        <f>_xll.QS.INSTRUMENT.SWAP("swap.9078",H9080,B9080,"USD","SOFR",I9080,J9080,0,"Actual360","Simple","Annual","Annual","Annual")</f>
        <v>QSObject:Swap:w1~swap.9078:1046</v>
      </c>
      <c r="F9080" s="6" t="str">
        <f>_xll.QS.TRADE.CREATE("trade.9078",E9080,A9080,"Receive")</f>
        <v>QSObject:SwapTrade:w1~trade.9078:22701</v>
      </c>
      <c r="G9080" s="3">
        <f>_xll.QS.EVALUATE(C9080,F9080)</f>
        <v>50739.643562183897</v>
      </c>
      <c r="H9080" s="5" t="s">
        <v>9121</v>
      </c>
      <c r="I9080" s="7">
        <v>1907800</v>
      </c>
      <c r="J9080" s="8">
        <v>3.78E-2</v>
      </c>
    </row>
    <row r="9081" spans="1:10" x14ac:dyDescent="0.25">
      <c r="A9081" s="5" t="s">
        <v>9115</v>
      </c>
      <c r="B9081" s="5" t="s">
        <v>10948</v>
      </c>
      <c r="C9081" s="6" t="str">
        <f>_xll.QS.CONTEXT.CREATE("market.9079",A9081,"USD","SOFR")</f>
        <v>QSObject:PricingContext:w1~market.9079:1045</v>
      </c>
      <c r="D9081" s="6" t="str">
        <f>_xll.QS.CONTEXT.ADD.CURVE(C9081,"SOFR",$K$2:$K$7,$L$2:$L$7,,,"Actual360","LogLinear",TRUE)</f>
        <v>QSObject:ContextInput:w1~input.qs_context_add_curve.2359132437744.9080.3.0:38754</v>
      </c>
      <c r="E9081" s="6" t="str">
        <f>_xll.QS.INSTRUMENT.SWAP("swap.9079",H9081,B9081,"USD","SOFR",I9081,J9081,0,"Actual360","Simple","Annual","Annual","Annual")</f>
        <v>QSObject:Swap:w1~swap.9079:1044</v>
      </c>
      <c r="F9081" s="6" t="str">
        <f>_xll.QS.TRADE.CREATE("trade.9079",E9081,A9081,"Receive")</f>
        <v>QSObject:SwapTrade:w1~trade.9079:22700</v>
      </c>
      <c r="G9081" s="3">
        <f>_xll.QS.EVALUATE(C9081,F9081)</f>
        <v>51701.813793394875</v>
      </c>
      <c r="H9081" s="5" t="s">
        <v>9122</v>
      </c>
      <c r="I9081" s="7">
        <v>1907900</v>
      </c>
      <c r="J9081" s="8">
        <v>3.7900000000000003E-2</v>
      </c>
    </row>
    <row r="9082" spans="1:10" x14ac:dyDescent="0.25">
      <c r="A9082" s="5" t="s">
        <v>9116</v>
      </c>
      <c r="B9082" s="5" t="s">
        <v>10949</v>
      </c>
      <c r="C9082" s="6" t="str">
        <f>_xll.QS.CONTEXT.CREATE("market.9080",A9082,"USD","SOFR")</f>
        <v>QSObject:PricingContext:w1~market.9080:1043</v>
      </c>
      <c r="D9082" s="6" t="str">
        <f>_xll.QS.CONTEXT.ADD.CURVE(C9082,"SOFR",$K$2:$K$7,$L$2:$L$7,,,"Actual360","LogLinear",TRUE)</f>
        <v>QSObject:ContextInput:w1~input.qs_context_add_curve.2359132437744.9081.3.0:39957</v>
      </c>
      <c r="E9082" s="6" t="str">
        <f>_xll.QS.INSTRUMENT.SWAP("swap.9080",H9082,B9082,"USD","SOFR",I9082,J9082,0,"Actual360","Simple","Annual","Annual","Annual")</f>
        <v>QSObject:Swap:w1~swap.9080:1042</v>
      </c>
      <c r="F9082" s="6" t="str">
        <f>_xll.QS.TRADE.CREATE("trade.9080",E9082,A9082,"Receive")</f>
        <v>QSObject:SwapTrade:w1~trade.9080:22699</v>
      </c>
      <c r="G9082" s="3">
        <f>_xll.QS.EVALUATE(C9082,F9082)</f>
        <v>52555.302754362077</v>
      </c>
      <c r="H9082" s="5" t="s">
        <v>9123</v>
      </c>
      <c r="I9082" s="7">
        <v>1908000</v>
      </c>
      <c r="J9082" s="8">
        <v>3.8000000000000013E-2</v>
      </c>
    </row>
    <row r="9083" spans="1:10" x14ac:dyDescent="0.25">
      <c r="A9083" s="5" t="s">
        <v>9117</v>
      </c>
      <c r="B9083" s="5" t="s">
        <v>10950</v>
      </c>
      <c r="C9083" s="6" t="str">
        <f>_xll.QS.CONTEXT.CREATE("market.9081",A9083,"USD","SOFR")</f>
        <v>QSObject:PricingContext:w1~market.9081:1041</v>
      </c>
      <c r="D9083" s="6" t="str">
        <f>_xll.QS.CONTEXT.ADD.CURVE(C9083,"SOFR",$K$2:$K$7,$L$2:$L$7,,,"Actual360","LogLinear",TRUE)</f>
        <v>QSObject:ContextInput:w1~input.qs_context_add_curve.2359132437744.9082.3.0:38753</v>
      </c>
      <c r="E9083" s="6" t="str">
        <f>_xll.QS.INSTRUMENT.SWAP("swap.9081",H9083,B9083,"USD","SOFR",I9083,J9083,0,"Actual360","Simple","Annual","Annual","Annual")</f>
        <v>QSObject:Swap:w1~swap.9081:1040</v>
      </c>
      <c r="F9083" s="6" t="str">
        <f>_xll.QS.TRADE.CREATE("trade.9081",E9083,A9083,"Receive")</f>
        <v>QSObject:SwapTrade:w1~trade.9081:22698</v>
      </c>
      <c r="G9083" s="3">
        <f>_xll.QS.EVALUATE(C9083,F9083)</f>
        <v>53577.480624640397</v>
      </c>
      <c r="H9083" s="5" t="s">
        <v>9124</v>
      </c>
      <c r="I9083" s="7">
        <v>1908100</v>
      </c>
      <c r="J9083" s="8">
        <v>3.8100000000000002E-2</v>
      </c>
    </row>
    <row r="9084" spans="1:10" x14ac:dyDescent="0.25">
      <c r="A9084" s="5" t="s">
        <v>9118</v>
      </c>
      <c r="B9084" s="5" t="s">
        <v>10951</v>
      </c>
      <c r="C9084" s="6" t="str">
        <f>_xll.QS.CONTEXT.CREATE("market.9082",A9084,"USD","SOFR")</f>
        <v>QSObject:PricingContext:w1~market.9082:1039</v>
      </c>
      <c r="D9084" s="6" t="str">
        <f>_xll.QS.CONTEXT.ADD.CURVE(C9084,"SOFR",$K$2:$K$7,$L$2:$L$7,,,"Actual360","LogLinear",TRUE)</f>
        <v>QSObject:ContextInput:w1~input.qs_context_add_curve.2359132437744.9083.3.0:38752</v>
      </c>
      <c r="E9084" s="6" t="str">
        <f>_xll.QS.INSTRUMENT.SWAP("swap.9082",H9084,B9084,"USD","SOFR",I9084,J9084,0,"Actual360","Simple","Annual","Annual","Annual")</f>
        <v>QSObject:Swap:w1~swap.9082:1038</v>
      </c>
      <c r="F9084" s="6" t="str">
        <f>_xll.QS.TRADE.CREATE("trade.9082",E9084,A9084,"Receive")</f>
        <v>QSObject:SwapTrade:w1~trade.9082:22697</v>
      </c>
      <c r="G9084" s="3">
        <f>_xll.QS.EVALUATE(C9084,F9084)</f>
        <v>54543.312866230575</v>
      </c>
      <c r="H9084" s="5" t="s">
        <v>9125</v>
      </c>
      <c r="I9084" s="7">
        <v>1908200</v>
      </c>
      <c r="J9084" s="8">
        <v>3.8199999999999998E-2</v>
      </c>
    </row>
    <row r="9085" spans="1:10" x14ac:dyDescent="0.25">
      <c r="A9085" s="5" t="s">
        <v>9119</v>
      </c>
      <c r="B9085" s="5" t="s">
        <v>10952</v>
      </c>
      <c r="C9085" s="6" t="str">
        <f>_xll.QS.CONTEXT.CREATE("market.9083",A9085,"USD","SOFR")</f>
        <v>QSObject:PricingContext:w1~market.9083:1037</v>
      </c>
      <c r="D9085" s="6" t="str">
        <f>_xll.QS.CONTEXT.ADD.CURVE(C9085,"SOFR",$K$2:$K$7,$L$2:$L$7,,,"Actual360","LogLinear",TRUE)</f>
        <v>QSObject:ContextInput:w1~input.qs_context_add_curve.2359132437744.9084.3.0:38751</v>
      </c>
      <c r="E9085" s="6" t="str">
        <f>_xll.QS.INSTRUMENT.SWAP("swap.9083",H9085,B9085,"USD","SOFR",I9085,J9085,0,"Actual360","Simple","Annual","Annual","Annual")</f>
        <v>QSObject:Swap:w1~swap.9083:1036</v>
      </c>
      <c r="F9085" s="6" t="str">
        <f>_xll.QS.TRADE.CREATE("trade.9083",E9085,A9085,"Receive")</f>
        <v>QSObject:SwapTrade:w1~trade.9083:22696</v>
      </c>
      <c r="G9085" s="3">
        <f>_xll.QS.EVALUATE(C9085,F9085)</f>
        <v>55353.644094749296</v>
      </c>
      <c r="H9085" s="5" t="s">
        <v>9126</v>
      </c>
      <c r="I9085" s="7">
        <v>1908300</v>
      </c>
      <c r="J9085" s="8">
        <v>3.8300000000000001E-2</v>
      </c>
    </row>
    <row r="9086" spans="1:10" x14ac:dyDescent="0.25">
      <c r="A9086" s="5" t="s">
        <v>9120</v>
      </c>
      <c r="B9086" s="5" t="s">
        <v>10953</v>
      </c>
      <c r="C9086" s="6" t="str">
        <f>_xll.QS.CONTEXT.CREATE("market.9084",A9086,"USD","SOFR")</f>
        <v>QSObject:PricingContext:w1~market.9084:1035</v>
      </c>
      <c r="D9086" s="6" t="str">
        <f>_xll.QS.CONTEXT.ADD.CURVE(C9086,"SOFR",$K$2:$K$7,$L$2:$L$7,,,"Actual360","LogLinear",TRUE)</f>
        <v>QSObject:ContextInput:w1~input.qs_context_add_curve.2359132437744.9085.3.0:31708</v>
      </c>
      <c r="E9086" s="6" t="str">
        <f>_xll.QS.INSTRUMENT.SWAP("swap.9084",H9086,B9086,"USD","SOFR",I9086,J9086,0,"Actual360","Simple","Annual","Annual","Annual")</f>
        <v>QSObject:Swap:w1~swap.9084:1034</v>
      </c>
      <c r="F9086" s="6" t="str">
        <f>_xll.QS.TRADE.CREATE("trade.9084",E9086,A9086,"Receive")</f>
        <v>QSObject:SwapTrade:w1~trade.9084:22695</v>
      </c>
      <c r="G9086" s="3">
        <f>_xll.QS.EVALUATE(C9086,F9086)</f>
        <v>56089.546346543117</v>
      </c>
      <c r="H9086" s="5" t="s">
        <v>9127</v>
      </c>
      <c r="I9086" s="7">
        <v>1908400</v>
      </c>
      <c r="J9086" s="8">
        <v>3.8399999999999997E-2</v>
      </c>
    </row>
    <row r="9087" spans="1:10" x14ac:dyDescent="0.25">
      <c r="A9087" s="5" t="s">
        <v>9121</v>
      </c>
      <c r="B9087" s="5" t="s">
        <v>10954</v>
      </c>
      <c r="C9087" s="6" t="str">
        <f>_xll.QS.CONTEXT.CREATE("market.9085",A9087,"USD","SOFR")</f>
        <v>QSObject:PricingContext:w1~market.9085:1033</v>
      </c>
      <c r="D9087" s="6" t="str">
        <f>_xll.QS.CONTEXT.ADD.CURVE(C9087,"SOFR",$K$2:$K$7,$L$2:$L$7,,,"Actual360","LogLinear",TRUE)</f>
        <v>QSObject:ContextInput:w1~input.qs_context_add_curve.2359132437744.9086.3.0:31707</v>
      </c>
      <c r="E9087" s="6" t="str">
        <f>_xll.QS.INSTRUMENT.SWAP("swap.9085",H9087,B9087,"USD","SOFR",I9087,J9087,0,"Actual360","Simple","Annual","Annual","Annual")</f>
        <v>QSObject:Swap:w1~swap.9085:1032</v>
      </c>
      <c r="F9087" s="6" t="str">
        <f>_xll.QS.TRADE.CREATE("trade.9085",E9087,A9087,"Receive")</f>
        <v>QSObject:SwapTrade:w1~trade.9085:22694</v>
      </c>
      <c r="G9087" s="3">
        <f>_xll.QS.EVALUATE(C9087,F9087)</f>
        <v>56843.246200971538</v>
      </c>
      <c r="H9087" s="5" t="s">
        <v>9128</v>
      </c>
      <c r="I9087" s="7">
        <v>1908500</v>
      </c>
      <c r="J9087" s="8">
        <v>3.8500000000000013E-2</v>
      </c>
    </row>
    <row r="9088" spans="1:10" x14ac:dyDescent="0.25">
      <c r="A9088" s="5" t="s">
        <v>9122</v>
      </c>
      <c r="B9088" s="5" t="s">
        <v>10955</v>
      </c>
      <c r="C9088" s="6" t="str">
        <f>_xll.QS.CONTEXT.CREATE("market.9086",A9088,"USD","SOFR")</f>
        <v>QSObject:PricingContext:w1~market.9086:1031</v>
      </c>
      <c r="D9088" s="6" t="str">
        <f>_xll.QS.CONTEXT.ADD.CURVE(C9088,"SOFR",$K$2:$K$7,$L$2:$L$7,,,"Actual360","LogLinear",TRUE)</f>
        <v>QSObject:ContextInput:w1~input.qs_context_add_curve.2359132437744.9087.3.0:38750</v>
      </c>
      <c r="E9088" s="6" t="str">
        <f>_xll.QS.INSTRUMENT.SWAP("swap.9086",H9088,B9088,"USD","SOFR",I9088,J9088,0,"Actual360","Simple","Annual","Annual","Annual")</f>
        <v>QSObject:Swap:w1~swap.9086:1030</v>
      </c>
      <c r="F9088" s="6" t="str">
        <f>_xll.QS.TRADE.CREATE("trade.9086",E9088,A9088,"Receive")</f>
        <v>QSObject:SwapTrade:w1~trade.9086:22693</v>
      </c>
      <c r="G9088" s="3">
        <f>_xll.QS.EVALUATE(C9088,F9088)</f>
        <v>57808.920386247955</v>
      </c>
      <c r="H9088" s="5" t="s">
        <v>9129</v>
      </c>
      <c r="I9088" s="7">
        <v>1908600</v>
      </c>
      <c r="J9088" s="8">
        <v>3.8600000000000002E-2</v>
      </c>
    </row>
    <row r="9089" spans="1:10" x14ac:dyDescent="0.25">
      <c r="A9089" s="5" t="s">
        <v>9123</v>
      </c>
      <c r="B9089" s="5" t="s">
        <v>10956</v>
      </c>
      <c r="C9089" s="6" t="str">
        <f>_xll.QS.CONTEXT.CREATE("market.9087",A9089,"USD","SOFR")</f>
        <v>QSObject:PricingContext:w1~market.9087:1029</v>
      </c>
      <c r="D9089" s="6" t="str">
        <f>_xll.QS.CONTEXT.ADD.CURVE(C9089,"SOFR",$K$2:$K$7,$L$2:$L$7,,,"Actual360","LogLinear",TRUE)</f>
        <v>QSObject:ContextInput:w1~input.qs_context_add_curve.2359132437744.9088.3.0:38749</v>
      </c>
      <c r="E9089" s="6" t="str">
        <f>_xll.QS.INSTRUMENT.SWAP("swap.9087",H9089,B9089,"USD","SOFR",I9089,J9089,0,"Actual360","Simple","Annual","Annual","Annual")</f>
        <v>QSObject:Swap:w1~swap.9087:1028</v>
      </c>
      <c r="F9089" s="6" t="str">
        <f>_xll.QS.TRADE.CREATE("trade.9087",E9089,A9089,"Receive")</f>
        <v>QSObject:SwapTrade:w1~trade.9087:22692</v>
      </c>
      <c r="G9089" s="3">
        <f>_xll.QS.EVALUATE(C9089,F9089)</f>
        <v>58735.71834939863</v>
      </c>
      <c r="H9089" s="5" t="s">
        <v>9130</v>
      </c>
      <c r="I9089" s="7">
        <v>1908700</v>
      </c>
      <c r="J9089" s="8">
        <v>3.8700000000000012E-2</v>
      </c>
    </row>
    <row r="9090" spans="1:10" x14ac:dyDescent="0.25">
      <c r="A9090" s="5" t="s">
        <v>9124</v>
      </c>
      <c r="B9090" s="5" t="s">
        <v>10957</v>
      </c>
      <c r="C9090" s="6" t="str">
        <f>_xll.QS.CONTEXT.CREATE("market.9088",A9090,"USD","SOFR")</f>
        <v>QSObject:PricingContext:w1~market.9088:1027</v>
      </c>
      <c r="D9090" s="6" t="str">
        <f>_xll.QS.CONTEXT.ADD.CURVE(C9090,"SOFR",$K$2:$K$7,$L$2:$L$7,,,"Actual360","LogLinear",TRUE)</f>
        <v>QSObject:ContextInput:w1~input.qs_context_add_curve.2359132437744.9089.3.0:39956</v>
      </c>
      <c r="E9090" s="6" t="str">
        <f>_xll.QS.INSTRUMENT.SWAP("swap.9088",H9090,B9090,"USD","SOFR",I9090,J9090,0,"Actual360","Simple","Annual","Annual","Annual")</f>
        <v>QSObject:Swap:w1~swap.9088:1026</v>
      </c>
      <c r="F9090" s="6" t="str">
        <f>_xll.QS.TRADE.CREATE("trade.9088",E9090,A9090,"Receive")</f>
        <v>QSObject:SwapTrade:w1~trade.9088:22691</v>
      </c>
      <c r="G9090" s="3">
        <f>_xll.QS.EVALUATE(C9090,F9090)</f>
        <v>59758.609931720224</v>
      </c>
      <c r="H9090" s="5" t="s">
        <v>9131</v>
      </c>
      <c r="I9090" s="7">
        <v>1908800</v>
      </c>
      <c r="J9090" s="8">
        <v>3.8800000000000001E-2</v>
      </c>
    </row>
    <row r="9091" spans="1:10" x14ac:dyDescent="0.25">
      <c r="A9091" s="5" t="s">
        <v>9125</v>
      </c>
      <c r="B9091" s="5" t="s">
        <v>10958</v>
      </c>
      <c r="C9091" s="6" t="str">
        <f>_xll.QS.CONTEXT.CREATE("market.9089",A9091,"USD","SOFR")</f>
        <v>QSObject:PricingContext:w1~market.9089:1025</v>
      </c>
      <c r="D9091" s="6" t="str">
        <f>_xll.QS.CONTEXT.ADD.CURVE(C9091,"SOFR",$K$2:$K$7,$L$2:$L$7,,,"Actual360","LogLinear",TRUE)</f>
        <v>QSObject:ContextInput:w1~input.qs_context_add_curve.2359132437744.9090.3.0:39955</v>
      </c>
      <c r="E9091" s="6" t="str">
        <f>_xll.QS.INSTRUMENT.SWAP("swap.9089",H9091,B9091,"USD","SOFR",I9091,J9091,0,"Actual360","Simple","Annual","Annual","Annual")</f>
        <v>QSObject:Swap:w1~swap.9089:1024</v>
      </c>
      <c r="F9091" s="6" t="str">
        <f>_xll.QS.TRADE.CREATE("trade.9089",E9091,A9091,"Receive")</f>
        <v>QSObject:SwapTrade:w1~trade.9089:22690</v>
      </c>
      <c r="G9091" s="3">
        <f>_xll.QS.EVALUATE(C9091,F9091)</f>
        <v>60688.03561088031</v>
      </c>
      <c r="H9091" s="5" t="s">
        <v>9132</v>
      </c>
      <c r="I9091" s="7">
        <v>1908900</v>
      </c>
      <c r="J9091" s="8">
        <v>3.8899999999999997E-2</v>
      </c>
    </row>
    <row r="9092" spans="1:10" x14ac:dyDescent="0.25">
      <c r="A9092" s="5" t="s">
        <v>9126</v>
      </c>
      <c r="B9092" s="5" t="s">
        <v>10959</v>
      </c>
      <c r="C9092" s="6" t="str">
        <f>_xll.QS.CONTEXT.CREATE("market.9090",A9092,"USD","SOFR")</f>
        <v>QSObject:PricingContext:w1~market.9090:1023</v>
      </c>
      <c r="D9092" s="6" t="str">
        <f>_xll.QS.CONTEXT.ADD.CURVE(C9092,"SOFR",$K$2:$K$7,$L$2:$L$7,,,"Actual360","LogLinear",TRUE)</f>
        <v>QSObject:ContextInput:w1~input.qs_context_add_curve.2359132437744.9091.3.0:39954</v>
      </c>
      <c r="E9092" s="6" t="str">
        <f>_xll.QS.INSTRUMENT.SWAP("swap.9090",H9092,B9092,"USD","SOFR",I9092,J9092,0,"Actual360","Simple","Annual","Annual","Annual")</f>
        <v>QSObject:Swap:w1~swap.9090:1022</v>
      </c>
      <c r="F9092" s="6" t="str">
        <f>_xll.QS.TRADE.CREATE("trade.9090",E9092,A9092,"Receive")</f>
        <v>QSObject:SwapTrade:w1~trade.9090:22689</v>
      </c>
      <c r="G9092" s="3">
        <f>_xll.QS.EVALUATE(C9092,F9092)</f>
        <v>61495.708707750346</v>
      </c>
      <c r="H9092" s="5" t="s">
        <v>9133</v>
      </c>
      <c r="I9092" s="7">
        <v>1909000</v>
      </c>
      <c r="J9092" s="8">
        <v>3.9000000000000007E-2</v>
      </c>
    </row>
    <row r="9093" spans="1:10" x14ac:dyDescent="0.25">
      <c r="A9093" s="5" t="s">
        <v>9127</v>
      </c>
      <c r="B9093" s="5" t="s">
        <v>10960</v>
      </c>
      <c r="C9093" s="6" t="str">
        <f>_xll.QS.CONTEXT.CREATE("market.9091",A9093,"USD","SOFR")</f>
        <v>QSObject:PricingContext:w1~market.9091:1021</v>
      </c>
      <c r="D9093" s="6" t="str">
        <f>_xll.QS.CONTEXT.ADD.CURVE(C9093,"SOFR",$K$2:$K$7,$L$2:$L$7,,,"Actual360","LogLinear",TRUE)</f>
        <v>QSObject:ContextInput:w1~input.qs_context_add_curve.2359132437744.9092.3.0:39953</v>
      </c>
      <c r="E9093" s="6" t="str">
        <f>_xll.QS.INSTRUMENT.SWAP("swap.9091",H9093,B9093,"USD","SOFR",I9093,J9093,0,"Actual360","Simple","Annual","Annual","Annual")</f>
        <v>QSObject:Swap:w1~swap.9091:1020</v>
      </c>
      <c r="F9093" s="6" t="str">
        <f>_xll.QS.TRADE.CREATE("trade.9091",E9093,A9093,"Receive")</f>
        <v>QSObject:SwapTrade:w1~trade.9091:22688</v>
      </c>
      <c r="G9093" s="3">
        <f>_xll.QS.EVALUATE(C9093,F9093)</f>
        <v>62384.558561151476</v>
      </c>
      <c r="H9093" s="5" t="s">
        <v>9134</v>
      </c>
      <c r="I9093" s="7">
        <v>1909100</v>
      </c>
      <c r="J9093" s="8">
        <v>3.9100000000000003E-2</v>
      </c>
    </row>
    <row r="9094" spans="1:10" x14ac:dyDescent="0.25">
      <c r="A9094" s="5" t="s">
        <v>9128</v>
      </c>
      <c r="B9094" s="5" t="s">
        <v>10961</v>
      </c>
      <c r="C9094" s="6" t="str">
        <f>_xll.QS.CONTEXT.CREATE("market.9092",A9094,"USD","SOFR")</f>
        <v>QSObject:PricingContext:w1~market.9092:1019</v>
      </c>
      <c r="D9094" s="6" t="str">
        <f>_xll.QS.CONTEXT.ADD.CURVE(C9094,"SOFR",$K$2:$K$7,$L$2:$L$7,,,"Actual360","LogLinear",TRUE)</f>
        <v>QSObject:ContextInput:w1~input.qs_context_add_curve.2359132437744.9093.3.0:31706</v>
      </c>
      <c r="E9094" s="6" t="str">
        <f>_xll.QS.INSTRUMENT.SWAP("swap.9092",H9094,B9094,"USD","SOFR",I9094,J9094,0,"Actual360","Simple","Annual","Annual","Annual")</f>
        <v>QSObject:Swap:w1~swap.9092:1018</v>
      </c>
      <c r="F9094" s="6" t="str">
        <f>_xll.QS.TRADE.CREATE("trade.9092",E9094,A9094,"Receive")</f>
        <v>QSObject:SwapTrade:w1~trade.9092:22687</v>
      </c>
      <c r="G9094" s="3">
        <f>_xll.QS.EVALUATE(C9094,F9094)</f>
        <v>63273.818603472064</v>
      </c>
      <c r="H9094" s="5" t="s">
        <v>9135</v>
      </c>
      <c r="I9094" s="7">
        <v>1909200</v>
      </c>
      <c r="J9094" s="8">
        <v>3.9200000000000013E-2</v>
      </c>
    </row>
    <row r="9095" spans="1:10" x14ac:dyDescent="0.25">
      <c r="A9095" s="5" t="s">
        <v>9129</v>
      </c>
      <c r="B9095" s="5" t="s">
        <v>10962</v>
      </c>
      <c r="C9095" s="6" t="str">
        <f>_xll.QS.CONTEXT.CREATE("market.9093",A9095,"USD","SOFR")</f>
        <v>QSObject:PricingContext:w1~market.9093:1017</v>
      </c>
      <c r="D9095" s="6" t="str">
        <f>_xll.QS.CONTEXT.ADD.CURVE(C9095,"SOFR",$K$2:$K$7,$L$2:$L$7,,,"Actual360","LogLinear",TRUE)</f>
        <v>QSObject:ContextInput:w1~input.qs_context_add_curve.2359132437744.9094.3.0:38748</v>
      </c>
      <c r="E9095" s="6" t="str">
        <f>_xll.QS.INSTRUMENT.SWAP("swap.9093",H9095,B9095,"USD","SOFR",I9095,J9095,0,"Actual360","Simple","Annual","Annual","Annual")</f>
        <v>QSObject:Swap:w1~swap.9093:1016</v>
      </c>
      <c r="F9095" s="6" t="str">
        <f>_xll.QS.TRADE.CREATE("trade.9093",E9095,A9095,"Receive")</f>
        <v>QSObject:SwapTrade:w1~trade.9093:22686</v>
      </c>
      <c r="G9095" s="3">
        <f>_xll.QS.EVALUATE(C9095,F9095)</f>
        <v>64066.757316245159</v>
      </c>
      <c r="H9095" s="5" t="s">
        <v>9136</v>
      </c>
      <c r="I9095" s="7">
        <v>1909300</v>
      </c>
      <c r="J9095" s="8">
        <v>3.9300000000000002E-2</v>
      </c>
    </row>
    <row r="9096" spans="1:10" x14ac:dyDescent="0.25">
      <c r="A9096" s="5" t="s">
        <v>9130</v>
      </c>
      <c r="B9096" s="5" t="s">
        <v>10963</v>
      </c>
      <c r="C9096" s="6" t="str">
        <f>_xll.QS.CONTEXT.CREATE("market.9094",A9096,"USD","SOFR")</f>
        <v>QSObject:PricingContext:w1~market.9094:1015</v>
      </c>
      <c r="D9096" s="6" t="str">
        <f>_xll.QS.CONTEXT.ADD.CURVE(C9096,"SOFR",$K$2:$K$7,$L$2:$L$7,,,"Actual360","LogLinear",TRUE)</f>
        <v>QSObject:ContextInput:w1~input.qs_context_add_curve.2359132437744.9095.3.0:31705</v>
      </c>
      <c r="E9096" s="6" t="str">
        <f>_xll.QS.INSTRUMENT.SWAP("swap.9094",H9096,B9096,"USD","SOFR",I9096,J9096,0,"Actual360","Simple","Annual","Annual","Annual")</f>
        <v>QSObject:Swap:w1~swap.9094:1014</v>
      </c>
      <c r="F9096" s="6" t="str">
        <f>_xll.QS.TRADE.CREATE("trade.9094",E9096,A9096,"Receive")</f>
        <v>QSObject:SwapTrade:w1~trade.9094:22685</v>
      </c>
      <c r="G9096" s="3">
        <f>_xll.QS.EVALUATE(C9096,F9096)</f>
        <v>65139.462116369286</v>
      </c>
      <c r="H9096" s="5" t="s">
        <v>9137</v>
      </c>
      <c r="I9096" s="7">
        <v>1909400</v>
      </c>
      <c r="J9096" s="8">
        <v>3.9399999999999998E-2</v>
      </c>
    </row>
    <row r="9097" spans="1:10" x14ac:dyDescent="0.25">
      <c r="A9097" s="5" t="s">
        <v>9131</v>
      </c>
      <c r="B9097" s="5" t="s">
        <v>10964</v>
      </c>
      <c r="C9097" s="6" t="str">
        <f>_xll.QS.CONTEXT.CREATE("market.9095",A9097,"USD","SOFR")</f>
        <v>QSObject:PricingContext:w1~market.9095:1013</v>
      </c>
      <c r="D9097" s="6" t="str">
        <f>_xll.QS.CONTEXT.ADD.CURVE(C9097,"SOFR",$K$2:$K$7,$L$2:$L$7,,,"Actual360","LogLinear",TRUE)</f>
        <v>QSObject:ContextInput:w1~input.qs_context_add_curve.2359132437744.9096.3.0:31704</v>
      </c>
      <c r="E9097" s="6" t="str">
        <f>_xll.QS.INSTRUMENT.SWAP("swap.9095",H9097,B9097,"USD","SOFR",I9097,J9097,0,"Actual360","Simple","Annual","Annual","Annual")</f>
        <v>QSObject:Swap:w1~swap.9095:1012</v>
      </c>
      <c r="F9097" s="6" t="str">
        <f>_xll.QS.TRADE.CREATE("trade.9095",E9097,A9097,"Receive")</f>
        <v>QSObject:SwapTrade:w1~trade.9095:22684</v>
      </c>
      <c r="G9097" s="3">
        <f>_xll.QS.EVALUATE(C9097,F9097)</f>
        <v>66032.917664273642</v>
      </c>
      <c r="H9097" s="5" t="s">
        <v>9138</v>
      </c>
      <c r="I9097" s="7">
        <v>1909500</v>
      </c>
      <c r="J9097" s="8">
        <v>3.9500000000000007E-2</v>
      </c>
    </row>
    <row r="9098" spans="1:10" x14ac:dyDescent="0.25">
      <c r="A9098" s="5" t="s">
        <v>9132</v>
      </c>
      <c r="B9098" s="5" t="s">
        <v>10965</v>
      </c>
      <c r="C9098" s="6" t="str">
        <f>_xll.QS.CONTEXT.CREATE("market.9096",A9098,"USD","SOFR")</f>
        <v>QSObject:PricingContext:w1~market.9096:1011</v>
      </c>
      <c r="D9098" s="6" t="str">
        <f>_xll.QS.CONTEXT.ADD.CURVE(C9098,"SOFR",$K$2:$K$7,$L$2:$L$7,,,"Actual360","LogLinear",TRUE)</f>
        <v>QSObject:ContextInput:w1~input.qs_context_add_curve.2359132437744.9097.3.0:31703</v>
      </c>
      <c r="E9098" s="6" t="str">
        <f>_xll.QS.INSTRUMENT.SWAP("swap.9096",H9098,B9098,"USD","SOFR",I9098,J9098,0,"Actual360","Simple","Annual","Annual","Annual")</f>
        <v>QSObject:Swap:w1~swap.9096:1010</v>
      </c>
      <c r="F9098" s="6" t="str">
        <f>_xll.QS.TRADE.CREATE("trade.9096",E9098,A9098,"Receive")</f>
        <v>QSObject:SwapTrade:w1~trade.9096:22683</v>
      </c>
      <c r="G9098" s="3">
        <f>_xll.QS.EVALUATE(C9098,F9098)</f>
        <v>66911.721387926169</v>
      </c>
      <c r="H9098" s="5" t="s">
        <v>9139</v>
      </c>
      <c r="I9098" s="7">
        <v>1909600</v>
      </c>
      <c r="J9098" s="8">
        <v>3.9600000000000003E-2</v>
      </c>
    </row>
    <row r="9099" spans="1:10" x14ac:dyDescent="0.25">
      <c r="A9099" s="5" t="s">
        <v>9133</v>
      </c>
      <c r="B9099" s="5" t="s">
        <v>10966</v>
      </c>
      <c r="C9099" s="6" t="str">
        <f>_xll.QS.CONTEXT.CREATE("market.9097",A9099,"USD","SOFR")</f>
        <v>QSObject:PricingContext:w1~market.9097:1009</v>
      </c>
      <c r="D9099" s="6" t="str">
        <f>_xll.QS.CONTEXT.ADD.CURVE(C9099,"SOFR",$K$2:$K$7,$L$2:$L$7,,,"Actual360","LogLinear",TRUE)</f>
        <v>QSObject:ContextInput:w1~input.qs_context_add_curve.2359132437744.9098.3.0:31702</v>
      </c>
      <c r="E9099" s="6" t="str">
        <f>_xll.QS.INSTRUMENT.SWAP("swap.9097",H9099,B9099,"USD","SOFR",I9099,J9099,0,"Actual360","Simple","Annual","Annual","Annual")</f>
        <v>QSObject:Swap:w1~swap.9097:1008</v>
      </c>
      <c r="F9099" s="6" t="str">
        <f>_xll.QS.TRADE.CREATE("trade.9097",E9099,A9099,"Receive")</f>
        <v>QSObject:SwapTrade:w1~trade.9097:22682</v>
      </c>
      <c r="G9099" s="3">
        <f>_xll.QS.EVALUATE(C9099,F9099)</f>
        <v>67723.090600097028</v>
      </c>
      <c r="H9099" s="5" t="s">
        <v>9140</v>
      </c>
      <c r="I9099" s="7">
        <v>1909700</v>
      </c>
      <c r="J9099" s="8">
        <v>3.9700000000000013E-2</v>
      </c>
    </row>
    <row r="9100" spans="1:10" x14ac:dyDescent="0.25">
      <c r="A9100" s="5" t="s">
        <v>9134</v>
      </c>
      <c r="B9100" s="5" t="s">
        <v>10967</v>
      </c>
      <c r="C9100" s="6" t="str">
        <f>_xll.QS.CONTEXT.CREATE("market.9098",A9100,"USD","SOFR")</f>
        <v>QSObject:PricingContext:w1~market.9098:1007</v>
      </c>
      <c r="D9100" s="6" t="str">
        <f>_xll.QS.CONTEXT.ADD.CURVE(C9100,"SOFR",$K$2:$K$7,$L$2:$L$7,,,"Actual360","LogLinear",TRUE)</f>
        <v>QSObject:ContextInput:w1~input.qs_context_add_curve.2359132437744.9099.3.0:31701</v>
      </c>
      <c r="E9100" s="6" t="str">
        <f>_xll.QS.INSTRUMENT.SWAP("swap.9098",H9100,B9100,"USD","SOFR",I9100,J9100,0,"Actual360","Simple","Annual","Annual","Annual")</f>
        <v>QSObject:Swap:w1~swap.9098:1006</v>
      </c>
      <c r="F9100" s="6" t="str">
        <f>_xll.QS.TRADE.CREATE("trade.9098",E9100,A9100,"Receive")</f>
        <v>QSObject:SwapTrade:w1~trade.9098:22681</v>
      </c>
      <c r="G9100" s="3">
        <f>_xll.QS.EVALUATE(C9100,F9100)</f>
        <v>68445.839984852151</v>
      </c>
      <c r="H9100" s="5" t="s">
        <v>9141</v>
      </c>
      <c r="I9100" s="7">
        <v>1909800</v>
      </c>
      <c r="J9100" s="8">
        <v>3.9800000000000002E-2</v>
      </c>
    </row>
    <row r="9101" spans="1:10" x14ac:dyDescent="0.25">
      <c r="A9101" s="5" t="s">
        <v>9135</v>
      </c>
      <c r="B9101" s="5" t="s">
        <v>10968</v>
      </c>
      <c r="C9101" s="6" t="str">
        <f>_xll.QS.CONTEXT.CREATE("market.9099",A9101,"USD","SOFR")</f>
        <v>QSObject:PricingContext:w1~market.9099:1005</v>
      </c>
      <c r="D9101" s="6" t="str">
        <f>_xll.QS.CONTEXT.ADD.CURVE(C9101,"SOFR",$K$2:$K$7,$L$2:$L$7,,,"Actual360","LogLinear",TRUE)</f>
        <v>QSObject:ContextInput:w1~input.qs_context_add_curve.2359132437744.9100.3.0:31700</v>
      </c>
      <c r="E9101" s="6" t="str">
        <f>_xll.QS.INSTRUMENT.SWAP("swap.9099",H9101,B9101,"USD","SOFR",I9101,J9101,0,"Actual360","Simple","Annual","Annual","Annual")</f>
        <v>QSObject:Swap:w1~swap.9099:1004</v>
      </c>
      <c r="F9101" s="6" t="str">
        <f>_xll.QS.TRADE.CREATE("trade.9099",E9101,A9101,"Receive")</f>
        <v>QSObject:SwapTrade:w1~trade.9099:22680</v>
      </c>
      <c r="G9101" s="3">
        <f>_xll.QS.EVALUATE(C9101,F9101)</f>
        <v>69219.870846732287</v>
      </c>
      <c r="H9101" s="5" t="s">
        <v>9142</v>
      </c>
      <c r="I9101" s="7">
        <v>1909900</v>
      </c>
      <c r="J9101" s="8">
        <v>3.9899999999999998E-2</v>
      </c>
    </row>
    <row r="9102" spans="1:10" x14ac:dyDescent="0.25">
      <c r="A9102" s="5" t="s">
        <v>9136</v>
      </c>
      <c r="B9102" s="5" t="s">
        <v>10969</v>
      </c>
      <c r="C9102" s="6" t="str">
        <f>_xll.QS.CONTEXT.CREATE("market.9100",A9102,"USD","SOFR")</f>
        <v>QSObject:PricingContext:w1~market.9100:1003</v>
      </c>
      <c r="D9102" s="6" t="str">
        <f>_xll.QS.CONTEXT.ADD.CURVE(C9102,"SOFR",$K$2:$K$7,$L$2:$L$7,,,"Actual360","LogLinear",TRUE)</f>
        <v>QSObject:ContextInput:w1~input.qs_context_add_curve.2359132437744.9101.3.0:31699</v>
      </c>
      <c r="E9102" s="6" t="str">
        <f>_xll.QS.INSTRUMENT.SWAP("swap.9100",H9102,B9102,"USD","SOFR",I9102,J9102,0,"Actual360","Simple","Annual","Annual","Annual")</f>
        <v>QSObject:Swap:w1~swap.9100:1002</v>
      </c>
      <c r="F9102" s="6" t="str">
        <f>_xll.QS.TRADE.CREATE("trade.9100",E9102,A9102,"Receive")</f>
        <v>QSObject:SwapTrade:w1~trade.9100:22679</v>
      </c>
      <c r="G9102" s="3">
        <f>_xll.QS.EVALUATE(C9102,F9102)</f>
        <v>26128.523161499172</v>
      </c>
      <c r="H9102" s="5" t="s">
        <v>9143</v>
      </c>
      <c r="I9102" s="7">
        <v>1910000</v>
      </c>
      <c r="J9102" s="8">
        <v>3.5000000000000003E-2</v>
      </c>
    </row>
    <row r="9103" spans="1:10" x14ac:dyDescent="0.25">
      <c r="A9103" s="5" t="s">
        <v>9137</v>
      </c>
      <c r="B9103" s="5" t="s">
        <v>10970</v>
      </c>
      <c r="C9103" s="6" t="str">
        <f>_xll.QS.CONTEXT.CREATE("market.9101",A9103,"USD","SOFR")</f>
        <v>QSObject:PricingContext:w1~market.9101:1001</v>
      </c>
      <c r="D9103" s="6" t="str">
        <f>_xll.QS.CONTEXT.ADD.CURVE(C9103,"SOFR",$K$2:$K$7,$L$2:$L$7,,,"Actual360","LogLinear",TRUE)</f>
        <v>QSObject:ContextInput:w1~input.qs_context_add_curve.2359132437744.9102.3.0:31698</v>
      </c>
      <c r="E9103" s="6" t="str">
        <f>_xll.QS.INSTRUMENT.SWAP("swap.9101",H9103,B9103,"USD","SOFR",I9103,J9103,0,"Actual360","Simple","Annual","Annual","Annual")</f>
        <v>QSObject:Swap:w1~swap.9101:1000</v>
      </c>
      <c r="F9103" s="6" t="str">
        <f>_xll.QS.TRADE.CREATE("trade.9101",E9103,A9103,"Receive")</f>
        <v>QSObject:SwapTrade:w1~trade.9101:22678</v>
      </c>
      <c r="G9103" s="3">
        <f>_xll.QS.EVALUATE(C9103,F9103)</f>
        <v>27069.736903231555</v>
      </c>
      <c r="H9103" s="5" t="s">
        <v>9144</v>
      </c>
      <c r="I9103" s="7">
        <v>1910100</v>
      </c>
      <c r="J9103" s="8">
        <v>3.5100000000000013E-2</v>
      </c>
    </row>
    <row r="9104" spans="1:10" x14ac:dyDescent="0.25">
      <c r="A9104" s="5" t="s">
        <v>9138</v>
      </c>
      <c r="B9104" s="5" t="s">
        <v>10971</v>
      </c>
      <c r="C9104" s="6" t="str">
        <f>_xll.QS.CONTEXT.CREATE("market.9102",A9104,"USD","SOFR")</f>
        <v>QSObject:PricingContext:w1~market.9102:999</v>
      </c>
      <c r="D9104" s="6" t="str">
        <f>_xll.QS.CONTEXT.ADD.CURVE(C9104,"SOFR",$K$2:$K$7,$L$2:$L$7,,,"Actual360","LogLinear",TRUE)</f>
        <v>QSObject:ContextInput:w1~input.qs_context_add_curve.2359132437744.9103.3.0:39952</v>
      </c>
      <c r="E9104" s="6" t="str">
        <f>_xll.QS.INSTRUMENT.SWAP("swap.9102",H9104,B9104,"USD","SOFR",I9104,J9104,0,"Actual360","Simple","Annual","Annual","Annual")</f>
        <v>QSObject:Swap:w1~swap.9102:998</v>
      </c>
      <c r="F9104" s="6" t="str">
        <f>_xll.QS.TRADE.CREATE("trade.9102",E9104,A9104,"Receive")</f>
        <v>QSObject:SwapTrade:w1~trade.9102:22677</v>
      </c>
      <c r="G9104" s="3">
        <f>_xll.QS.EVALUATE(C9104,F9104)</f>
        <v>28091.404907552605</v>
      </c>
      <c r="H9104" s="5" t="s">
        <v>9145</v>
      </c>
      <c r="I9104" s="7">
        <v>1910200</v>
      </c>
      <c r="J9104" s="8">
        <v>3.5200000000000002E-2</v>
      </c>
    </row>
    <row r="9105" spans="1:10" x14ac:dyDescent="0.25">
      <c r="A9105" s="5" t="s">
        <v>9139</v>
      </c>
      <c r="B9105" s="5" t="s">
        <v>10972</v>
      </c>
      <c r="C9105" s="6" t="str">
        <f>_xll.QS.CONTEXT.CREATE("market.9103",A9105,"USD","SOFR")</f>
        <v>QSObject:PricingContext:w1~market.9103:997</v>
      </c>
      <c r="D9105" s="6" t="str">
        <f>_xll.QS.CONTEXT.ADD.CURVE(C9105,"SOFR",$K$2:$K$7,$L$2:$L$7,,,"Actual360","LogLinear",TRUE)</f>
        <v>QSObject:ContextInput:w1~input.qs_context_add_curve.2359132437744.9104.3.0:31697</v>
      </c>
      <c r="E9105" s="6" t="str">
        <f>_xll.QS.INSTRUMENT.SWAP("swap.9103",H9105,B9105,"USD","SOFR",I9105,J9105,0,"Actual360","Simple","Annual","Annual","Annual")</f>
        <v>QSObject:Swap:w1~swap.9103:996</v>
      </c>
      <c r="F9105" s="6" t="str">
        <f>_xll.QS.TRADE.CREATE("trade.9103",E9105,A9105,"Receive")</f>
        <v>QSObject:SwapTrade:w1~trade.9103:22676</v>
      </c>
      <c r="G9105" s="3">
        <f>_xll.QS.EVALUATE(C9105,F9105)</f>
        <v>29056.595597550964</v>
      </c>
      <c r="H9105" s="5" t="s">
        <v>9146</v>
      </c>
      <c r="I9105" s="7">
        <v>1910300</v>
      </c>
      <c r="J9105" s="8">
        <v>3.5299999999999998E-2</v>
      </c>
    </row>
    <row r="9106" spans="1:10" x14ac:dyDescent="0.25">
      <c r="A9106" s="5" t="s">
        <v>9140</v>
      </c>
      <c r="B9106" s="5" t="s">
        <v>10973</v>
      </c>
      <c r="C9106" s="6" t="str">
        <f>_xll.QS.CONTEXT.CREATE("market.9104",A9106,"USD","SOFR")</f>
        <v>QSObject:PricingContext:w1~market.9104:995</v>
      </c>
      <c r="D9106" s="6" t="str">
        <f>_xll.QS.CONTEXT.ADD.CURVE(C9106,"SOFR",$K$2:$K$7,$L$2:$L$7,,,"Actual360","LogLinear",TRUE)</f>
        <v>QSObject:ContextInput:w1~input.qs_context_add_curve.2359132437744.9105.3.0:31696</v>
      </c>
      <c r="E9106" s="6" t="str">
        <f>_xll.QS.INSTRUMENT.SWAP("swap.9104",H9106,B9106,"USD","SOFR",I9106,J9106,0,"Actual360","Simple","Annual","Annual","Annual")</f>
        <v>QSObject:Swap:w1~swap.9104:994</v>
      </c>
      <c r="F9106" s="6" t="str">
        <f>_xll.QS.TRADE.CREATE("trade.9104",E9106,A9106,"Receive")</f>
        <v>QSObject:SwapTrade:w1~trade.9104:22675</v>
      </c>
      <c r="G9106" s="3">
        <f>_xll.QS.EVALUATE(C9106,F9106)</f>
        <v>29866.684050301497</v>
      </c>
      <c r="H9106" s="5" t="s">
        <v>9147</v>
      </c>
      <c r="I9106" s="7">
        <v>1910400</v>
      </c>
      <c r="J9106" s="8">
        <v>3.5400000000000001E-2</v>
      </c>
    </row>
    <row r="9107" spans="1:10" x14ac:dyDescent="0.25">
      <c r="A9107" s="5" t="s">
        <v>9141</v>
      </c>
      <c r="B9107" s="5" t="s">
        <v>10974</v>
      </c>
      <c r="C9107" s="6" t="str">
        <f>_xll.QS.CONTEXT.CREATE("market.9105",A9107,"USD","SOFR")</f>
        <v>QSObject:PricingContext:w1~market.9105:993</v>
      </c>
      <c r="D9107" s="6" t="str">
        <f>_xll.QS.CONTEXT.ADD.CURVE(C9107,"SOFR",$K$2:$K$7,$L$2:$L$7,,,"Actual360","LogLinear",TRUE)</f>
        <v>QSObject:ContextInput:w1~input.qs_context_add_curve.2359132437744.9106.3.0:31695</v>
      </c>
      <c r="E9107" s="6" t="str">
        <f>_xll.QS.INSTRUMENT.SWAP("swap.9105",H9107,B9107,"USD","SOFR",I9107,J9107,0,"Actual360","Simple","Annual","Annual","Annual")</f>
        <v>QSObject:Swap:w1~swap.9105:992</v>
      </c>
      <c r="F9107" s="6" t="str">
        <f>_xll.QS.TRADE.CREATE("trade.9105",E9107,A9107,"Receive")</f>
        <v>QSObject:SwapTrade:w1~trade.9105:22674</v>
      </c>
      <c r="G9107" s="3">
        <f>_xll.QS.EVALUATE(C9107,F9107)</f>
        <v>30632.255831124436</v>
      </c>
      <c r="H9107" s="5" t="s">
        <v>9148</v>
      </c>
      <c r="I9107" s="7">
        <v>1910500</v>
      </c>
      <c r="J9107" s="8">
        <v>3.5499999999999997E-2</v>
      </c>
    </row>
    <row r="9108" spans="1:10" x14ac:dyDescent="0.25">
      <c r="A9108" s="5" t="s">
        <v>9142</v>
      </c>
      <c r="B9108" s="5" t="s">
        <v>10975</v>
      </c>
      <c r="C9108" s="6" t="str">
        <f>_xll.QS.CONTEXT.CREATE("market.9106",A9108,"USD","SOFR")</f>
        <v>QSObject:PricingContext:w1~market.9106:991</v>
      </c>
      <c r="D9108" s="6" t="str">
        <f>_xll.QS.CONTEXT.ADD.CURVE(C9108,"SOFR",$K$2:$K$7,$L$2:$L$7,,,"Actual360","LogLinear",TRUE)</f>
        <v>QSObject:ContextInput:w1~input.qs_context_add_curve.2359132437744.9107.3.0:39951</v>
      </c>
      <c r="E9108" s="6" t="str">
        <f>_xll.QS.INSTRUMENT.SWAP("swap.9106",H9108,B9108,"USD","SOFR",I9108,J9108,0,"Actual360","Simple","Annual","Annual","Annual")</f>
        <v>QSObject:Swap:w1~swap.9106:990</v>
      </c>
      <c r="F9108" s="6" t="str">
        <f>_xll.QS.TRADE.CREATE("trade.9106",E9108,A9108,"Receive")</f>
        <v>QSObject:SwapTrade:w1~trade.9106:22673</v>
      </c>
      <c r="G9108" s="3">
        <f>_xll.QS.EVALUATE(C9108,F9108)</f>
        <v>31345.853819367963</v>
      </c>
      <c r="H9108" s="5" t="s">
        <v>9149</v>
      </c>
      <c r="I9108" s="7">
        <v>1910600</v>
      </c>
      <c r="J9108" s="8">
        <v>3.5600000000000007E-2</v>
      </c>
    </row>
    <row r="9109" spans="1:10" x14ac:dyDescent="0.25">
      <c r="A9109" s="5" t="s">
        <v>9143</v>
      </c>
      <c r="B9109" s="5" t="s">
        <v>10976</v>
      </c>
      <c r="C9109" s="6" t="str">
        <f>_xll.QS.CONTEXT.CREATE("market.9107",A9109,"USD","SOFR")</f>
        <v>QSObject:PricingContext:w1~market.9107:989</v>
      </c>
      <c r="D9109" s="6" t="str">
        <f>_xll.QS.CONTEXT.ADD.CURVE(C9109,"SOFR",$K$2:$K$7,$L$2:$L$7,,,"Actual360","LogLinear",TRUE)</f>
        <v>QSObject:ContextInput:w1~input.qs_context_add_curve.2359132437744.9108.3.0:39950</v>
      </c>
      <c r="E9109" s="6" t="str">
        <f>_xll.QS.INSTRUMENT.SWAP("swap.9107",H9109,B9109,"USD","SOFR",I9109,J9109,0,"Actual360","Simple","Annual","Annual","Annual")</f>
        <v>QSObject:Swap:w1~swap.9107:988</v>
      </c>
      <c r="F9109" s="6" t="str">
        <f>_xll.QS.TRADE.CREATE("trade.9107",E9109,A9109,"Receive")</f>
        <v>QSObject:SwapTrade:w1~trade.9107:22672</v>
      </c>
      <c r="G9109" s="3">
        <f>_xll.QS.EVALUATE(C9109,F9109)</f>
        <v>32308.705068714109</v>
      </c>
      <c r="H9109" s="5" t="s">
        <v>9150</v>
      </c>
      <c r="I9109" s="7">
        <v>1910700</v>
      </c>
      <c r="J9109" s="8">
        <v>3.5700000000000003E-2</v>
      </c>
    </row>
    <row r="9110" spans="1:10" x14ac:dyDescent="0.25">
      <c r="A9110" s="5" t="s">
        <v>9144</v>
      </c>
      <c r="B9110" s="5" t="s">
        <v>10977</v>
      </c>
      <c r="C9110" s="6" t="str">
        <f>_xll.QS.CONTEXT.CREATE("market.9108",A9110,"USD","SOFR")</f>
        <v>QSObject:PricingContext:w1~market.9108:987</v>
      </c>
      <c r="D9110" s="6" t="str">
        <f>_xll.QS.CONTEXT.ADD.CURVE(C9110,"SOFR",$K$2:$K$7,$L$2:$L$7,,,"Actual360","LogLinear",TRUE)</f>
        <v>QSObject:ContextInput:w1~input.qs_context_add_curve.2359132437744.9109.3.0:39949</v>
      </c>
      <c r="E9110" s="6" t="str">
        <f>_xll.QS.INSTRUMENT.SWAP("swap.9108",H9110,B9110,"USD","SOFR",I9110,J9110,0,"Actual360","Simple","Annual","Annual","Annual")</f>
        <v>QSObject:Swap:w1~swap.9108:986</v>
      </c>
      <c r="F9110" s="6" t="str">
        <f>_xll.QS.TRADE.CREATE("trade.9108",E9110,A9110,"Receive")</f>
        <v>QSObject:SwapTrade:w1~trade.9108:22671</v>
      </c>
      <c r="G9110" s="3">
        <f>_xll.QS.EVALUATE(C9110,F9110)</f>
        <v>33247.565716187426</v>
      </c>
      <c r="H9110" s="5" t="s">
        <v>9151</v>
      </c>
      <c r="I9110" s="7">
        <v>1910800</v>
      </c>
      <c r="J9110" s="8">
        <v>3.5800000000000012E-2</v>
      </c>
    </row>
    <row r="9111" spans="1:10" x14ac:dyDescent="0.25">
      <c r="A9111" s="5" t="s">
        <v>9145</v>
      </c>
      <c r="B9111" s="5" t="s">
        <v>10978</v>
      </c>
      <c r="C9111" s="6" t="str">
        <f>_xll.QS.CONTEXT.CREATE("market.9109",A9111,"USD","SOFR")</f>
        <v>QSObject:PricingContext:w1~market.9109:985</v>
      </c>
      <c r="D9111" s="6" t="str">
        <f>_xll.QS.CONTEXT.ADD.CURVE(C9111,"SOFR",$K$2:$K$7,$L$2:$L$7,,,"Actual360","LogLinear",TRUE)</f>
        <v>QSObject:ContextInput:w1~input.qs_context_add_curve.2359132437744.9110.3.0:31694</v>
      </c>
      <c r="E9111" s="6" t="str">
        <f>_xll.QS.INSTRUMENT.SWAP("swap.9109",H9111,B9111,"USD","SOFR",I9111,J9111,0,"Actual360","Simple","Annual","Annual","Annual")</f>
        <v>QSObject:Swap:w1~swap.9109:984</v>
      </c>
      <c r="F9111" s="6" t="str">
        <f>_xll.QS.TRADE.CREATE("trade.9109",E9111,A9111,"Receive")</f>
        <v>QSObject:SwapTrade:w1~trade.9109:22670</v>
      </c>
      <c r="G9111" s="3">
        <f>_xll.QS.EVALUATE(C9111,F9111)</f>
        <v>34269.934137274009</v>
      </c>
      <c r="H9111" s="5" t="s">
        <v>9152</v>
      </c>
      <c r="I9111" s="7">
        <v>1910900</v>
      </c>
      <c r="J9111" s="8">
        <v>3.5900000000000001E-2</v>
      </c>
    </row>
    <row r="9112" spans="1:10" x14ac:dyDescent="0.25">
      <c r="A9112" s="5" t="s">
        <v>9146</v>
      </c>
      <c r="B9112" s="5" t="s">
        <v>10979</v>
      </c>
      <c r="C9112" s="6" t="str">
        <f>_xll.QS.CONTEXT.CREATE("market.9110",A9112,"USD","SOFR")</f>
        <v>QSObject:PricingContext:w1~market.9110:983</v>
      </c>
      <c r="D9112" s="6" t="str">
        <f>_xll.QS.CONTEXT.ADD.CURVE(C9112,"SOFR",$K$2:$K$7,$L$2:$L$7,,,"Actual360","LogLinear",TRUE)</f>
        <v>QSObject:ContextInput:w1~input.qs_context_add_curve.2359132437744.9111.3.0:39948</v>
      </c>
      <c r="E9112" s="6" t="str">
        <f>_xll.QS.INSTRUMENT.SWAP("swap.9110",H9112,B9112,"USD","SOFR",I9112,J9112,0,"Actual360","Simple","Annual","Annual","Annual")</f>
        <v>QSObject:Swap:w1~swap.9110:982</v>
      </c>
      <c r="F9112" s="6" t="str">
        <f>_xll.QS.TRADE.CREATE("trade.9110",E9112,A9112,"Receive")</f>
        <v>QSObject:SwapTrade:w1~trade.9110:22669</v>
      </c>
      <c r="G9112" s="3">
        <f>_xll.QS.EVALUATE(C9112,F9112)</f>
        <v>35235.957730520779</v>
      </c>
      <c r="H9112" s="5" t="s">
        <v>9153</v>
      </c>
      <c r="I9112" s="7">
        <v>1911000</v>
      </c>
      <c r="J9112" s="8">
        <v>3.5999999999999997E-2</v>
      </c>
    </row>
    <row r="9113" spans="1:10" x14ac:dyDescent="0.25">
      <c r="A9113" s="5" t="s">
        <v>9147</v>
      </c>
      <c r="B9113" s="5" t="s">
        <v>10980</v>
      </c>
      <c r="C9113" s="6" t="str">
        <f>_xll.QS.CONTEXT.CREATE("market.9111",A9113,"USD","SOFR")</f>
        <v>QSObject:PricingContext:w1~market.9111:981</v>
      </c>
      <c r="D9113" s="6" t="str">
        <f>_xll.QS.CONTEXT.ADD.CURVE(C9113,"SOFR",$K$2:$K$7,$L$2:$L$7,,,"Actual360","LogLinear",TRUE)</f>
        <v>QSObject:ContextInput:w1~input.qs_context_add_curve.2359132437744.9112.3.0:31693</v>
      </c>
      <c r="E9113" s="6" t="str">
        <f>_xll.QS.INSTRUMENT.SWAP("swap.9111",H9113,B9113,"USD","SOFR",I9113,J9113,0,"Actual360","Simple","Annual","Annual","Annual")</f>
        <v>QSObject:Swap:w1~swap.9111:980</v>
      </c>
      <c r="F9113" s="6" t="str">
        <f>_xll.QS.TRADE.CREATE("trade.9111",E9113,A9113,"Receive")</f>
        <v>QSObject:SwapTrade:w1~trade.9111:22668</v>
      </c>
      <c r="G9113" s="3">
        <f>_xll.QS.EVALUATE(C9113,F9113)</f>
        <v>36046.615524486435</v>
      </c>
      <c r="H9113" s="5" t="s">
        <v>9154</v>
      </c>
      <c r="I9113" s="7">
        <v>1911100</v>
      </c>
      <c r="J9113" s="8">
        <v>3.61E-2</v>
      </c>
    </row>
    <row r="9114" spans="1:10" x14ac:dyDescent="0.25">
      <c r="A9114" s="5" t="s">
        <v>9148</v>
      </c>
      <c r="B9114" s="5" t="s">
        <v>10981</v>
      </c>
      <c r="C9114" s="6" t="str">
        <f>_xll.QS.CONTEXT.CREATE("market.9112",A9114,"USD","SOFR")</f>
        <v>QSObject:PricingContext:w1~market.9112:979</v>
      </c>
      <c r="D9114" s="6" t="str">
        <f>_xll.QS.CONTEXT.ADD.CURVE(C9114,"SOFR",$K$2:$K$7,$L$2:$L$7,,,"Actual360","LogLinear",TRUE)</f>
        <v>QSObject:ContextInput:w1~input.qs_context_add_curve.2359132437744.9113.3.0:31692</v>
      </c>
      <c r="E9114" s="6" t="str">
        <f>_xll.QS.INSTRUMENT.SWAP("swap.9112",H9114,B9114,"USD","SOFR",I9114,J9114,0,"Actual360","Simple","Annual","Annual","Annual")</f>
        <v>QSObject:Swap:w1~swap.9112:978</v>
      </c>
      <c r="F9114" s="6" t="str">
        <f>_xll.QS.TRADE.CREATE("trade.9112",E9114,A9114,"Receive")</f>
        <v>QSObject:SwapTrade:w1~trade.9112:22667</v>
      </c>
      <c r="G9114" s="3">
        <f>_xll.QS.EVALUATE(C9114,F9114)</f>
        <v>36805.519701860685</v>
      </c>
      <c r="H9114" s="5" t="s">
        <v>9155</v>
      </c>
      <c r="I9114" s="7">
        <v>1911200</v>
      </c>
      <c r="J9114" s="8">
        <v>3.6200000000000003E-2</v>
      </c>
    </row>
    <row r="9115" spans="1:10" x14ac:dyDescent="0.25">
      <c r="A9115" s="5" t="s">
        <v>9149</v>
      </c>
      <c r="B9115" s="5" t="s">
        <v>10982</v>
      </c>
      <c r="C9115" s="6" t="str">
        <f>_xll.QS.CONTEXT.CREATE("market.9113",A9115,"USD","SOFR")</f>
        <v>QSObject:PricingContext:w1~market.9113:977</v>
      </c>
      <c r="D9115" s="6" t="str">
        <f>_xll.QS.CONTEXT.ADD.CURVE(C9115,"SOFR",$K$2:$K$7,$L$2:$L$7,,,"Actual360","LogLinear",TRUE)</f>
        <v>QSObject:ContextInput:w1~input.qs_context_add_curve.2359132437744.9114.3.0:39947</v>
      </c>
      <c r="E9115" s="6" t="str">
        <f>_xll.QS.INSTRUMENT.SWAP("swap.9113",H9115,B9115,"USD","SOFR",I9115,J9115,0,"Actual360","Simple","Annual","Annual","Annual")</f>
        <v>QSObject:Swap:w1~swap.9113:976</v>
      </c>
      <c r="F9115" s="6" t="str">
        <f>_xll.QS.TRADE.CREATE("trade.9113",E9115,A9115,"Receive")</f>
        <v>QSObject:SwapTrade:w1~trade.9113:22666</v>
      </c>
      <c r="G9115" s="3">
        <f>_xll.QS.EVALUATE(C9115,F9115)</f>
        <v>37529.265604177788</v>
      </c>
      <c r="H9115" s="5" t="s">
        <v>9156</v>
      </c>
      <c r="I9115" s="7">
        <v>1911300</v>
      </c>
      <c r="J9115" s="8">
        <v>3.6300000000000013E-2</v>
      </c>
    </row>
    <row r="9116" spans="1:10" x14ac:dyDescent="0.25">
      <c r="A9116" s="5" t="s">
        <v>9150</v>
      </c>
      <c r="B9116" s="5" t="s">
        <v>10983</v>
      </c>
      <c r="C9116" s="6" t="str">
        <f>_xll.QS.CONTEXT.CREATE("market.9114",A9116,"USD","SOFR")</f>
        <v>QSObject:PricingContext:w1~market.9114:975</v>
      </c>
      <c r="D9116" s="6" t="str">
        <f>_xll.QS.CONTEXT.ADD.CURVE(C9116,"SOFR",$K$2:$K$7,$L$2:$L$7,,,"Actual360","LogLinear",TRUE)</f>
        <v>QSObject:ContextInput:w1~input.qs_context_add_curve.2359132437744.9115.3.0:39946</v>
      </c>
      <c r="E9116" s="6" t="str">
        <f>_xll.QS.INSTRUMENT.SWAP("swap.9114",H9116,B9116,"USD","SOFR",I9116,J9116,0,"Actual360","Simple","Annual","Annual","Annual")</f>
        <v>QSObject:Swap:w1~swap.9114:974</v>
      </c>
      <c r="F9116" s="6" t="str">
        <f>_xll.QS.TRADE.CREATE("trade.9114",E9116,A9116,"Receive")</f>
        <v>QSObject:SwapTrade:w1~trade.9114:22665</v>
      </c>
      <c r="G9116" s="3">
        <f>_xll.QS.EVALUATE(C9116,F9116)</f>
        <v>38493.411293574725</v>
      </c>
      <c r="H9116" s="5" t="s">
        <v>9157</v>
      </c>
      <c r="I9116" s="7">
        <v>1911400</v>
      </c>
      <c r="J9116" s="8">
        <v>3.6400000000000002E-2</v>
      </c>
    </row>
    <row r="9117" spans="1:10" x14ac:dyDescent="0.25">
      <c r="A9117" s="5" t="s">
        <v>9151</v>
      </c>
      <c r="B9117" s="5" t="s">
        <v>10984</v>
      </c>
      <c r="C9117" s="6" t="str">
        <f>_xll.QS.CONTEXT.CREATE("market.9115",A9117,"USD","SOFR")</f>
        <v>QSObject:PricingContext:w1~market.9115:973</v>
      </c>
      <c r="D9117" s="6" t="str">
        <f>_xll.QS.CONTEXT.ADD.CURVE(C9117,"SOFR",$K$2:$K$7,$L$2:$L$7,,,"Actual360","LogLinear",TRUE)</f>
        <v>QSObject:ContextInput:w1~input.qs_context_add_curve.2359132437744.9116.3.0:31691</v>
      </c>
      <c r="E9117" s="6" t="str">
        <f>_xll.QS.INSTRUMENT.SWAP("swap.9115",H9117,B9117,"USD","SOFR",I9117,J9117,0,"Actual360","Simple","Annual","Annual","Annual")</f>
        <v>QSObject:Swap:w1~swap.9115:972</v>
      </c>
      <c r="F9117" s="6" t="str">
        <f>_xll.QS.TRADE.CREATE("trade.9115",E9117,A9117,"Receive")</f>
        <v>QSObject:SwapTrade:w1~trade.9115:22664</v>
      </c>
      <c r="G9117" s="3">
        <f>_xll.QS.EVALUATE(C9117,F9117)</f>
        <v>39429.766276681468</v>
      </c>
      <c r="H9117" s="5" t="s">
        <v>9158</v>
      </c>
      <c r="I9117" s="7">
        <v>1911500</v>
      </c>
      <c r="J9117" s="8">
        <v>3.6499999999999998E-2</v>
      </c>
    </row>
    <row r="9118" spans="1:10" x14ac:dyDescent="0.25">
      <c r="A9118" s="5" t="s">
        <v>9152</v>
      </c>
      <c r="B9118" s="5" t="s">
        <v>10985</v>
      </c>
      <c r="C9118" s="6" t="str">
        <f>_xll.QS.CONTEXT.CREATE("market.9116",A9118,"USD","SOFR")</f>
        <v>QSObject:PricingContext:w1~market.9116:971</v>
      </c>
      <c r="D9118" s="6" t="str">
        <f>_xll.QS.CONTEXT.ADD.CURVE(C9118,"SOFR",$K$2:$K$7,$L$2:$L$7,,,"Actual360","LogLinear",TRUE)</f>
        <v>QSObject:ContextInput:w1~input.qs_context_add_curve.2359132437744.9117.3.0:31690</v>
      </c>
      <c r="E9118" s="6" t="str">
        <f>_xll.QS.INSTRUMENT.SWAP("swap.9116",H9118,B9118,"USD","SOFR",I9118,J9118,0,"Actual360","Simple","Annual","Annual","Annual")</f>
        <v>QSObject:Swap:w1~swap.9116:970</v>
      </c>
      <c r="F9118" s="6" t="str">
        <f>_xll.QS.TRADE.CREATE("trade.9116",E9118,A9118,"Receive")</f>
        <v>QSObject:SwapTrade:w1~trade.9116:22663</v>
      </c>
      <c r="G9118" s="3">
        <f>_xll.QS.EVALUATE(C9118,F9118)</f>
        <v>40452.814491058685</v>
      </c>
      <c r="H9118" s="5" t="s">
        <v>9159</v>
      </c>
      <c r="I9118" s="7">
        <v>1911600</v>
      </c>
      <c r="J9118" s="8">
        <v>3.6600000000000001E-2</v>
      </c>
    </row>
    <row r="9119" spans="1:10" x14ac:dyDescent="0.25">
      <c r="A9119" s="5" t="s">
        <v>9153</v>
      </c>
      <c r="B9119" s="5" t="s">
        <v>10986</v>
      </c>
      <c r="C9119" s="6" t="str">
        <f>_xll.QS.CONTEXT.CREATE("market.9117",A9119,"USD","SOFR")</f>
        <v>QSObject:PricingContext:w1~market.9117:969</v>
      </c>
      <c r="D9119" s="6" t="str">
        <f>_xll.QS.CONTEXT.ADD.CURVE(C9119,"SOFR",$K$2:$K$7,$L$2:$L$7,,,"Actual360","LogLinear",TRUE)</f>
        <v>QSObject:ContextInput:w1~input.qs_context_add_curve.2359132437744.9118.3.0:39945</v>
      </c>
      <c r="E9119" s="6" t="str">
        <f>_xll.QS.INSTRUMENT.SWAP("swap.9117",H9119,B9119,"USD","SOFR",I9119,J9119,0,"Actual360","Simple","Annual","Annual","Annual")</f>
        <v>QSObject:Swap:w1~swap.9117:968</v>
      </c>
      <c r="F9119" s="6" t="str">
        <f>_xll.QS.TRADE.CREATE("trade.9117",E9119,A9119,"Receive")</f>
        <v>QSObject:SwapTrade:w1~trade.9117:22662</v>
      </c>
      <c r="G9119" s="3">
        <f>_xll.QS.EVALUATE(C9119,F9119)</f>
        <v>41410.330969386079</v>
      </c>
      <c r="H9119" s="5" t="s">
        <v>9160</v>
      </c>
      <c r="I9119" s="7">
        <v>1911700</v>
      </c>
      <c r="J9119" s="8">
        <v>3.6700000000000003E-2</v>
      </c>
    </row>
    <row r="9120" spans="1:10" x14ac:dyDescent="0.25">
      <c r="A9120" s="5" t="s">
        <v>9154</v>
      </c>
      <c r="B9120" s="5" t="s">
        <v>10987</v>
      </c>
      <c r="C9120" s="6" t="str">
        <f>_xll.QS.CONTEXT.CREATE("market.9118",A9120,"USD","SOFR")</f>
        <v>QSObject:PricingContext:w1~market.9118:967</v>
      </c>
      <c r="D9120" s="6" t="str">
        <f>_xll.QS.CONTEXT.ADD.CURVE(C9120,"SOFR",$K$2:$K$7,$L$2:$L$7,,,"Actual360","LogLinear",TRUE)</f>
        <v>QSObject:ContextInput:w1~input.qs_context_add_curve.2359132437744.9119.3.0:31689</v>
      </c>
      <c r="E9120" s="6" t="str">
        <f>_xll.QS.INSTRUMENT.SWAP("swap.9118",H9120,B9120,"USD","SOFR",I9120,J9120,0,"Actual360","Simple","Annual","Annual","Annual")</f>
        <v>QSObject:Swap:w1~swap.9118:966</v>
      </c>
      <c r="F9120" s="6" t="str">
        <f>_xll.QS.TRADE.CREATE("trade.9118",E9120,A9120,"Receive")</f>
        <v>QSObject:SwapTrade:w1~trade.9118:22661</v>
      </c>
      <c r="G9120" s="3">
        <f>_xll.QS.EVALUATE(C9120,F9120)</f>
        <v>42302.747381050336</v>
      </c>
      <c r="H9120" s="5" t="s">
        <v>9161</v>
      </c>
      <c r="I9120" s="7">
        <v>1911800</v>
      </c>
      <c r="J9120" s="8">
        <v>3.6800000000000013E-2</v>
      </c>
    </row>
    <row r="9121" spans="1:10" x14ac:dyDescent="0.25">
      <c r="A9121" s="5" t="s">
        <v>9155</v>
      </c>
      <c r="B9121" s="5" t="s">
        <v>10988</v>
      </c>
      <c r="C9121" s="6" t="str">
        <f>_xll.QS.CONTEXT.CREATE("market.9119",A9121,"USD","SOFR")</f>
        <v>QSObject:PricingContext:w1~market.9119:965</v>
      </c>
      <c r="D9121" s="6" t="str">
        <f>_xll.QS.CONTEXT.ADD.CURVE(C9121,"SOFR",$K$2:$K$7,$L$2:$L$7,,,"Actual360","LogLinear",TRUE)</f>
        <v>QSObject:ContextInput:w1~input.qs_context_add_curve.2359132437744.9120.3.0:31688</v>
      </c>
      <c r="E9121" s="6" t="str">
        <f>_xll.QS.INSTRUMENT.SWAP("swap.9119",H9121,B9121,"USD","SOFR",I9121,J9121,0,"Actual360","Simple","Annual","Annual","Annual")</f>
        <v>QSObject:Swap:w1~swap.9119:964</v>
      </c>
      <c r="F9121" s="6" t="str">
        <f>_xll.QS.TRADE.CREATE("trade.9119",E9121,A9121,"Receive")</f>
        <v>QSObject:SwapTrade:w1~trade.9119:22660</v>
      </c>
      <c r="G9121" s="3">
        <f>_xll.QS.EVALUATE(C9121,F9121)</f>
        <v>43055.215381796283</v>
      </c>
      <c r="H9121" s="5" t="s">
        <v>9162</v>
      </c>
      <c r="I9121" s="7">
        <v>1911900</v>
      </c>
      <c r="J9121" s="8">
        <v>3.6900000000000002E-2</v>
      </c>
    </row>
    <row r="9122" spans="1:10" x14ac:dyDescent="0.25">
      <c r="A9122" s="5" t="s">
        <v>9156</v>
      </c>
      <c r="B9122" s="5" t="s">
        <v>10989</v>
      </c>
      <c r="C9122" s="6" t="str">
        <f>_xll.QS.CONTEXT.CREATE("market.9120",A9122,"USD","SOFR")</f>
        <v>QSObject:PricingContext:w1~market.9120:963</v>
      </c>
      <c r="D9122" s="6" t="str">
        <f>_xll.QS.CONTEXT.ADD.CURVE(C9122,"SOFR",$K$2:$K$7,$L$2:$L$7,,,"Actual360","LogLinear",TRUE)</f>
        <v>QSObject:ContextInput:w1~input.qs_context_add_curve.2359132437744.9121.3.0:31687</v>
      </c>
      <c r="E9122" s="6" t="str">
        <f>_xll.QS.INSTRUMENT.SWAP("swap.9120",H9122,B9122,"USD","SOFR",I9122,J9122,0,"Actual360","Simple","Annual","Annual","Annual")</f>
        <v>QSObject:Swap:w1~swap.9120:962</v>
      </c>
      <c r="F9122" s="6" t="str">
        <f>_xll.QS.TRADE.CREATE("trade.9120",E9122,A9122,"Receive")</f>
        <v>QSObject:SwapTrade:w1~trade.9120:22659</v>
      </c>
      <c r="G9122" s="3">
        <f>_xll.QS.EVALUATE(C9122,F9122)</f>
        <v>43788.799075655486</v>
      </c>
      <c r="H9122" s="5" t="s">
        <v>9163</v>
      </c>
      <c r="I9122" s="7">
        <v>1912000</v>
      </c>
      <c r="J9122" s="8">
        <v>3.7000000000000012E-2</v>
      </c>
    </row>
    <row r="9123" spans="1:10" x14ac:dyDescent="0.25">
      <c r="A9123" s="5" t="s">
        <v>9157</v>
      </c>
      <c r="B9123" s="5" t="s">
        <v>10990</v>
      </c>
      <c r="C9123" s="6" t="str">
        <f>_xll.QS.CONTEXT.CREATE("market.9121",A9123,"USD","SOFR")</f>
        <v>QSObject:PricingContext:w1~market.9121:961</v>
      </c>
      <c r="D9123" s="6" t="str">
        <f>_xll.QS.CONTEXT.ADD.CURVE(C9123,"SOFR",$K$2:$K$7,$L$2:$L$7,,,"Actual360","LogLinear",TRUE)</f>
        <v>QSObject:ContextInput:w1~input.qs_context_add_curve.2359132437744.9122.3.0:39944</v>
      </c>
      <c r="E9123" s="6" t="str">
        <f>_xll.QS.INSTRUMENT.SWAP("swap.9121",H9123,B9123,"USD","SOFR",I9123,J9123,0,"Actual360","Simple","Annual","Annual","Annual")</f>
        <v>QSObject:Swap:w1~swap.9121:960</v>
      </c>
      <c r="F9123" s="6" t="str">
        <f>_xll.QS.TRADE.CREATE("trade.9121",E9123,A9123,"Receive")</f>
        <v>QSObject:SwapTrade:w1~trade.9121:22658</v>
      </c>
      <c r="G9123" s="3">
        <f>_xll.QS.EVALUATE(C9123,F9123)</f>
        <v>44753.695966626823</v>
      </c>
      <c r="H9123" s="5" t="s">
        <v>9164</v>
      </c>
      <c r="I9123" s="7">
        <v>1912100</v>
      </c>
      <c r="J9123" s="8">
        <v>3.7100000000000001E-2</v>
      </c>
    </row>
    <row r="9124" spans="1:10" x14ac:dyDescent="0.25">
      <c r="A9124" s="5" t="s">
        <v>9158</v>
      </c>
      <c r="B9124" s="5" t="s">
        <v>10991</v>
      </c>
      <c r="C9124" s="6" t="str">
        <f>_xll.QS.CONTEXT.CREATE("market.9122",A9124,"USD","SOFR")</f>
        <v>QSObject:PricingContext:w1~market.9122:959</v>
      </c>
      <c r="D9124" s="6" t="str">
        <f>_xll.QS.CONTEXT.ADD.CURVE(C9124,"SOFR",$K$2:$K$7,$L$2:$L$7,,,"Actual360","LogLinear",TRUE)</f>
        <v>QSObject:ContextInput:w1~input.qs_context_add_curve.2359132437744.9123.3.0:39943</v>
      </c>
      <c r="E9124" s="6" t="str">
        <f>_xll.QS.INSTRUMENT.SWAP("swap.9122",H9124,B9124,"USD","SOFR",I9124,J9124,0,"Actual360","Simple","Annual","Annual","Annual")</f>
        <v>QSObject:Swap:w1~swap.9122:958</v>
      </c>
      <c r="F9124" s="6" t="str">
        <f>_xll.QS.TRADE.CREATE("trade.9122",E9124,A9124,"Receive")</f>
        <v>QSObject:SwapTrade:w1~trade.9122:22657</v>
      </c>
      <c r="G9124" s="3">
        <f>_xll.QS.EVALUATE(C9124,F9124)</f>
        <v>45832.887107038187</v>
      </c>
      <c r="H9124" s="5" t="s">
        <v>9165</v>
      </c>
      <c r="I9124" s="7">
        <v>1912200</v>
      </c>
      <c r="J9124" s="8">
        <v>3.7199999999999997E-2</v>
      </c>
    </row>
    <row r="9125" spans="1:10" x14ac:dyDescent="0.25">
      <c r="A9125" s="5" t="s">
        <v>9159</v>
      </c>
      <c r="B9125" s="5" t="s">
        <v>10992</v>
      </c>
      <c r="C9125" s="6" t="str">
        <f>_xll.QS.CONTEXT.CREATE("market.9123",A9125,"USD","SOFR")</f>
        <v>QSObject:PricingContext:w1~market.9123:957</v>
      </c>
      <c r="D9125" s="6" t="str">
        <f>_xll.QS.CONTEXT.ADD.CURVE(C9125,"SOFR",$K$2:$K$7,$L$2:$L$7,,,"Actual360","LogLinear",TRUE)</f>
        <v>QSObject:ContextInput:w1~input.qs_context_add_curve.2359132437744.9124.3.0:31686</v>
      </c>
      <c r="E9125" s="6" t="str">
        <f>_xll.QS.INSTRUMENT.SWAP("swap.9123",H9125,B9125,"USD","SOFR",I9125,J9125,0,"Actual360","Simple","Annual","Annual","Annual")</f>
        <v>QSObject:Swap:w1~swap.9123:956</v>
      </c>
      <c r="F9125" s="6" t="str">
        <f>_xll.QS.TRADE.CREATE("trade.9123",E9125,A9125,"Receive")</f>
        <v>QSObject:SwapTrade:w1~trade.9123:22656</v>
      </c>
      <c r="G9125" s="3">
        <f>_xll.QS.EVALUATE(C9125,F9125)</f>
        <v>46730.098713921776</v>
      </c>
      <c r="H9125" s="5" t="s">
        <v>9166</v>
      </c>
      <c r="I9125" s="7">
        <v>1912300</v>
      </c>
      <c r="J9125" s="8">
        <v>3.73E-2</v>
      </c>
    </row>
    <row r="9126" spans="1:10" x14ac:dyDescent="0.25">
      <c r="A9126" s="5" t="s">
        <v>9160</v>
      </c>
      <c r="B9126" s="5" t="s">
        <v>10993</v>
      </c>
      <c r="C9126" s="6" t="str">
        <f>_xll.QS.CONTEXT.CREATE("market.9124",A9126,"USD","SOFR")</f>
        <v>QSObject:PricingContext:w1~market.9124:955</v>
      </c>
      <c r="D9126" s="6" t="str">
        <f>_xll.QS.CONTEXT.ADD.CURVE(C9126,"SOFR",$K$2:$K$7,$L$2:$L$7,,,"Actual360","LogLinear",TRUE)</f>
        <v>QSObject:ContextInput:w1~input.qs_context_add_curve.2359132437744.9125.3.0:39942</v>
      </c>
      <c r="E9126" s="6" t="str">
        <f>_xll.QS.INSTRUMENT.SWAP("swap.9124",H9126,B9126,"USD","SOFR",I9126,J9126,0,"Actual360","Simple","Annual","Annual","Annual")</f>
        <v>QSObject:Swap:w1~swap.9124:954</v>
      </c>
      <c r="F9126" s="6" t="str">
        <f>_xll.QS.TRADE.CREATE("trade.9124",E9126,A9126,"Receive")</f>
        <v>QSObject:SwapTrade:w1~trade.9124:22655</v>
      </c>
      <c r="G9126" s="3">
        <f>_xll.QS.EVALUATE(C9126,F9126)</f>
        <v>47598.173289312777</v>
      </c>
      <c r="H9126" s="5" t="s">
        <v>9167</v>
      </c>
      <c r="I9126" s="7">
        <v>1912400</v>
      </c>
      <c r="J9126" s="8">
        <v>3.7400000000000003E-2</v>
      </c>
    </row>
    <row r="9127" spans="1:10" x14ac:dyDescent="0.25">
      <c r="A9127" s="5" t="s">
        <v>9161</v>
      </c>
      <c r="B9127" s="5" t="s">
        <v>10994</v>
      </c>
      <c r="C9127" s="6" t="str">
        <f>_xll.QS.CONTEXT.CREATE("market.9125",A9127,"USD","SOFR")</f>
        <v>QSObject:PricingContext:w1~market.9125:953</v>
      </c>
      <c r="D9127" s="6" t="str">
        <f>_xll.QS.CONTEXT.ADD.CURVE(C9127,"SOFR",$K$2:$K$7,$L$2:$L$7,,,"Actual360","LogLinear",TRUE)</f>
        <v>QSObject:ContextInput:w1~input.qs_context_add_curve.2359132437744.9126.3.0:31685</v>
      </c>
      <c r="E9127" s="6" t="str">
        <f>_xll.QS.INSTRUMENT.SWAP("swap.9125",H9127,B9127,"USD","SOFR",I9127,J9127,0,"Actual360","Simple","Annual","Annual","Annual")</f>
        <v>QSObject:Swap:w1~swap.9125:952</v>
      </c>
      <c r="F9127" s="6" t="str">
        <f>_xll.QS.TRADE.CREATE("trade.9125",E9127,A9127,"Receive")</f>
        <v>QSObject:SwapTrade:w1~trade.9125:22654</v>
      </c>
      <c r="G9127" s="3">
        <f>_xll.QS.EVALUATE(C9127,F9127)</f>
        <v>48491.430496252658</v>
      </c>
      <c r="H9127" s="5" t="s">
        <v>9168</v>
      </c>
      <c r="I9127" s="7">
        <v>1912500</v>
      </c>
      <c r="J9127" s="8">
        <v>3.7500000000000012E-2</v>
      </c>
    </row>
    <row r="9128" spans="1:10" x14ac:dyDescent="0.25">
      <c r="A9128" s="5" t="s">
        <v>9162</v>
      </c>
      <c r="B9128" s="5" t="s">
        <v>10995</v>
      </c>
      <c r="C9128" s="6" t="str">
        <f>_xll.QS.CONTEXT.CREATE("market.9126",A9128,"USD","SOFR")</f>
        <v>QSObject:PricingContext:w1~market.9126:951</v>
      </c>
      <c r="D9128" s="6" t="str">
        <f>_xll.QS.CONTEXT.ADD.CURVE(C9128,"SOFR",$K$2:$K$7,$L$2:$L$7,,,"Actual360","LogLinear",TRUE)</f>
        <v>QSObject:ContextInput:w1~input.qs_context_add_curve.2359132437744.9127.3.0:39941</v>
      </c>
      <c r="E9128" s="6" t="str">
        <f>_xll.QS.INSTRUMENT.SWAP("swap.9126",H9128,B9128,"USD","SOFR",I9128,J9128,0,"Actual360","Simple","Annual","Annual","Annual")</f>
        <v>QSObject:Swap:w1~swap.9126:950</v>
      </c>
      <c r="F9128" s="6" t="str">
        <f>_xll.QS.TRADE.CREATE("trade.9126",E9128,A9128,"Receive")</f>
        <v>QSObject:SwapTrade:w1~trade.9126:22653</v>
      </c>
      <c r="G9128" s="3">
        <f>_xll.QS.EVALUATE(C9128,F9128)</f>
        <v>49237.22503194365</v>
      </c>
      <c r="H9128" s="5" t="s">
        <v>9169</v>
      </c>
      <c r="I9128" s="7">
        <v>1912600</v>
      </c>
      <c r="J9128" s="8">
        <v>3.7600000000000001E-2</v>
      </c>
    </row>
    <row r="9129" spans="1:10" x14ac:dyDescent="0.25">
      <c r="A9129" s="5" t="s">
        <v>9163</v>
      </c>
      <c r="B9129" s="5" t="s">
        <v>10996</v>
      </c>
      <c r="C9129" s="6" t="str">
        <f>_xll.QS.CONTEXT.CREATE("market.9127",A9129,"USD","SOFR")</f>
        <v>QSObject:PricingContext:w1~market.9127:949</v>
      </c>
      <c r="D9129" s="6" t="str">
        <f>_xll.QS.CONTEXT.ADD.CURVE(C9129,"SOFR",$K$2:$K$7,$L$2:$L$7,,,"Actual360","LogLinear",TRUE)</f>
        <v>QSObject:ContextInput:w1~input.qs_context_add_curve.2359132437744.9128.3.0:31684</v>
      </c>
      <c r="E9129" s="6" t="str">
        <f>_xll.QS.INSTRUMENT.SWAP("swap.9127",H9129,B9129,"USD","SOFR",I9129,J9129,0,"Actual360","Simple","Annual","Annual","Annual")</f>
        <v>QSObject:Swap:w1~swap.9127:948</v>
      </c>
      <c r="F9129" s="6" t="str">
        <f>_xll.QS.TRADE.CREATE("trade.9127",E9129,A9129,"Receive")</f>
        <v>QSObject:SwapTrade:w1~trade.9127:22652</v>
      </c>
      <c r="G9129" s="3">
        <f>_xll.QS.EVALUATE(C9129,F9129)</f>
        <v>49980.966098143152</v>
      </c>
      <c r="H9129" s="5" t="s">
        <v>9170</v>
      </c>
      <c r="I9129" s="7">
        <v>1912700</v>
      </c>
      <c r="J9129" s="8">
        <v>3.7699999999999997E-2</v>
      </c>
    </row>
    <row r="9130" spans="1:10" x14ac:dyDescent="0.25">
      <c r="A9130" s="5" t="s">
        <v>9164</v>
      </c>
      <c r="B9130" s="5" t="s">
        <v>10997</v>
      </c>
      <c r="C9130" s="6" t="str">
        <f>_xll.QS.CONTEXT.CREATE("market.9128",A9130,"USD","SOFR")</f>
        <v>QSObject:PricingContext:w1~market.9128:947</v>
      </c>
      <c r="D9130" s="6" t="str">
        <f>_xll.QS.CONTEXT.ADD.CURVE(C9130,"SOFR",$K$2:$K$7,$L$2:$L$7,,,"Actual360","LogLinear",TRUE)</f>
        <v>QSObject:ContextInput:w1~input.qs_context_add_curve.2359132437744.9129.3.0:31683</v>
      </c>
      <c r="E9130" s="6" t="str">
        <f>_xll.QS.INSTRUMENT.SWAP("swap.9128",H9130,B9130,"USD","SOFR",I9130,J9130,0,"Actual360","Simple","Annual","Annual","Annual")</f>
        <v>QSObject:Swap:w1~swap.9128:946</v>
      </c>
      <c r="F9130" s="6" t="str">
        <f>_xll.QS.TRADE.CREATE("trade.9128",E9130,A9130,"Receive")</f>
        <v>QSObject:SwapTrade:w1~trade.9128:22651</v>
      </c>
      <c r="G9130" s="3">
        <f>_xll.QS.EVALUATE(C9130,F9130)</f>
        <v>50945.531789946312</v>
      </c>
      <c r="H9130" s="5" t="s">
        <v>9171</v>
      </c>
      <c r="I9130" s="7">
        <v>1912800</v>
      </c>
      <c r="J9130" s="8">
        <v>3.78E-2</v>
      </c>
    </row>
    <row r="9131" spans="1:10" x14ac:dyDescent="0.25">
      <c r="A9131" s="5" t="s">
        <v>9165</v>
      </c>
      <c r="B9131" s="5" t="s">
        <v>10998</v>
      </c>
      <c r="C9131" s="6" t="str">
        <f>_xll.QS.CONTEXT.CREATE("market.9129",A9131,"USD","SOFR")</f>
        <v>QSObject:PricingContext:w1~market.9129:945</v>
      </c>
      <c r="D9131" s="6" t="str">
        <f>_xll.QS.CONTEXT.ADD.CURVE(C9131,"SOFR",$K$2:$K$7,$L$2:$L$7,,,"Actual360","LogLinear",TRUE)</f>
        <v>QSObject:ContextInput:w1~input.qs_context_add_curve.2359132437744.9130.3.0:31682</v>
      </c>
      <c r="E9131" s="6" t="str">
        <f>_xll.QS.INSTRUMENT.SWAP("swap.9129",H9131,B9131,"USD","SOFR",I9131,J9131,0,"Actual360","Simple","Annual","Annual","Annual")</f>
        <v>QSObject:Swap:w1~swap.9129:944</v>
      </c>
      <c r="F9131" s="6" t="str">
        <f>_xll.QS.TRADE.CREATE("trade.9129",E9131,A9131,"Receive")</f>
        <v>QSObject:SwapTrade:w1~trade.9129:22650</v>
      </c>
      <c r="G9131" s="3">
        <f>_xll.QS.EVALUATE(C9131,F9131)</f>
        <v>52024.247672327503</v>
      </c>
      <c r="H9131" s="5" t="s">
        <v>9172</v>
      </c>
      <c r="I9131" s="7">
        <v>1912900</v>
      </c>
      <c r="J9131" s="8">
        <v>3.7900000000000003E-2</v>
      </c>
    </row>
    <row r="9132" spans="1:10" x14ac:dyDescent="0.25">
      <c r="A9132" s="5" t="s">
        <v>9166</v>
      </c>
      <c r="B9132" s="5" t="s">
        <v>10999</v>
      </c>
      <c r="C9132" s="6" t="str">
        <f>_xll.QS.CONTEXT.CREATE("market.9130",A9132,"USD","SOFR")</f>
        <v>QSObject:PricingContext:w1~market.9130:943</v>
      </c>
      <c r="D9132" s="6" t="str">
        <f>_xll.QS.CONTEXT.ADD.CURVE(C9132,"SOFR",$K$2:$K$7,$L$2:$L$7,,,"Actual360","LogLinear",TRUE)</f>
        <v>QSObject:ContextInput:w1~input.qs_context_add_curve.2359132437744.9131.3.0:39940</v>
      </c>
      <c r="E9132" s="6" t="str">
        <f>_xll.QS.INSTRUMENT.SWAP("swap.9130",H9132,B9132,"USD","SOFR",I9132,J9132,0,"Actual360","Simple","Annual","Annual","Annual")</f>
        <v>QSObject:Swap:w1~swap.9130:942</v>
      </c>
      <c r="F9132" s="6" t="str">
        <f>_xll.QS.TRADE.CREATE("trade.9130",E9132,A9132,"Receive")</f>
        <v>QSObject:SwapTrade:w1~trade.9130:22649</v>
      </c>
      <c r="G9132" s="3">
        <f>_xll.QS.EVALUATE(C9132,F9132)</f>
        <v>52921.408951033081</v>
      </c>
      <c r="H9132" s="5" t="s">
        <v>9173</v>
      </c>
      <c r="I9132" s="7">
        <v>1913000</v>
      </c>
      <c r="J9132" s="8">
        <v>3.8000000000000013E-2</v>
      </c>
    </row>
    <row r="9133" spans="1:10" x14ac:dyDescent="0.25">
      <c r="A9133" s="5" t="s">
        <v>9167</v>
      </c>
      <c r="B9133" s="5" t="s">
        <v>11000</v>
      </c>
      <c r="C9133" s="6" t="str">
        <f>_xll.QS.CONTEXT.CREATE("market.9131",A9133,"USD","SOFR")</f>
        <v>QSObject:PricingContext:w1~market.9131:941</v>
      </c>
      <c r="D9133" s="6" t="str">
        <f>_xll.QS.CONTEXT.ADD.CURVE(C9133,"SOFR",$K$2:$K$7,$L$2:$L$7,,,"Actual360","LogLinear",TRUE)</f>
        <v>QSObject:ContextInput:w1~input.qs_context_add_curve.2359132437744.9132.3.0:39939</v>
      </c>
      <c r="E9133" s="6" t="str">
        <f>_xll.QS.INSTRUMENT.SWAP("swap.9131",H9133,B9133,"USD","SOFR",I9133,J9133,0,"Actual360","Simple","Annual","Annual","Annual")</f>
        <v>QSObject:Swap:w1~swap.9131:940</v>
      </c>
      <c r="F9133" s="6" t="str">
        <f>_xll.QS.TRADE.CREATE("trade.9131",E9133,A9133,"Receive")</f>
        <v>QSObject:SwapTrade:w1~trade.9131:22648</v>
      </c>
      <c r="G9133" s="3">
        <f>_xll.QS.EVALUATE(C9133,F9133)</f>
        <v>53801.159359281584</v>
      </c>
      <c r="H9133" s="5" t="s">
        <v>9174</v>
      </c>
      <c r="I9133" s="7">
        <v>1913100</v>
      </c>
      <c r="J9133" s="8">
        <v>3.8100000000000002E-2</v>
      </c>
    </row>
    <row r="9134" spans="1:10" x14ac:dyDescent="0.25">
      <c r="A9134" s="5" t="s">
        <v>9168</v>
      </c>
      <c r="B9134" s="5" t="s">
        <v>11001</v>
      </c>
      <c r="C9134" s="6" t="str">
        <f>_xll.QS.CONTEXT.CREATE("market.9132",A9134,"USD","SOFR")</f>
        <v>QSObject:PricingContext:w1~market.9132:939</v>
      </c>
      <c r="D9134" s="6" t="str">
        <f>_xll.QS.CONTEXT.ADD.CURVE(C9134,"SOFR",$K$2:$K$7,$L$2:$L$7,,,"Actual360","LogLinear",TRUE)</f>
        <v>QSObject:ContextInput:w1~input.qs_context_add_curve.2359132437744.9133.3.0:31681</v>
      </c>
      <c r="E9134" s="6" t="str">
        <f>_xll.QS.INSTRUMENT.SWAP("swap.9132",H9134,B9134,"USD","SOFR",I9134,J9134,0,"Actual360","Simple","Annual","Annual","Annual")</f>
        <v>QSObject:Swap:w1~swap.9132:938</v>
      </c>
      <c r="F9134" s="6" t="str">
        <f>_xll.QS.TRADE.CREATE("trade.9132",E9134,A9134,"Receive")</f>
        <v>QSObject:SwapTrade:w1~trade.9132:22647</v>
      </c>
      <c r="G9134" s="3">
        <f>_xll.QS.EVALUATE(C9134,F9134)</f>
        <v>54613.524958308357</v>
      </c>
      <c r="H9134" s="5" t="s">
        <v>9175</v>
      </c>
      <c r="I9134" s="7">
        <v>1913200</v>
      </c>
      <c r="J9134" s="8">
        <v>3.8199999999999998E-2</v>
      </c>
    </row>
    <row r="9135" spans="1:10" x14ac:dyDescent="0.25">
      <c r="A9135" s="5" t="s">
        <v>9169</v>
      </c>
      <c r="B9135" s="5" t="s">
        <v>11002</v>
      </c>
      <c r="C9135" s="6" t="str">
        <f>_xll.QS.CONTEXT.CREATE("market.9133",A9135,"USD","SOFR")</f>
        <v>QSObject:PricingContext:w1~market.9133:937</v>
      </c>
      <c r="D9135" s="6" t="str">
        <f>_xll.QS.CONTEXT.ADD.CURVE(C9135,"SOFR",$K$2:$K$7,$L$2:$L$7,,,"Actual360","LogLinear",TRUE)</f>
        <v>QSObject:ContextInput:w1~input.qs_context_add_curve.2359132437744.9134.3.0:31680</v>
      </c>
      <c r="E9135" s="6" t="str">
        <f>_xll.QS.INSTRUMENT.SWAP("swap.9133",H9135,B9135,"USD","SOFR",I9135,J9135,0,"Actual360","Simple","Annual","Annual","Annual")</f>
        <v>QSObject:Swap:w1~swap.9133:936</v>
      </c>
      <c r="F9135" s="6" t="str">
        <f>_xll.QS.TRADE.CREATE("trade.9133",E9135,A9135,"Receive")</f>
        <v>QSObject:SwapTrade:w1~trade.9133:22646</v>
      </c>
      <c r="G9135" s="3">
        <f>_xll.QS.EVALUATE(C9135,F9135)</f>
        <v>55352.39437118169</v>
      </c>
      <c r="H9135" s="5" t="s">
        <v>9176</v>
      </c>
      <c r="I9135" s="7">
        <v>1913300</v>
      </c>
      <c r="J9135" s="8">
        <v>3.8300000000000001E-2</v>
      </c>
    </row>
    <row r="9136" spans="1:10" x14ac:dyDescent="0.25">
      <c r="A9136" s="5" t="s">
        <v>9170</v>
      </c>
      <c r="B9136" s="5" t="s">
        <v>11003</v>
      </c>
      <c r="C9136" s="6" t="str">
        <f>_xll.QS.CONTEXT.CREATE("market.9134",A9136,"USD","SOFR")</f>
        <v>QSObject:PricingContext:w1~market.9134:935</v>
      </c>
      <c r="D9136" s="6" t="str">
        <f>_xll.QS.CONTEXT.ADD.CURVE(C9136,"SOFR",$K$2:$K$7,$L$2:$L$7,,,"Actual360","LogLinear",TRUE)</f>
        <v>QSObject:ContextInput:w1~input.qs_context_add_curve.2359132437744.9135.3.0:31679</v>
      </c>
      <c r="E9136" s="6" t="str">
        <f>_xll.QS.INSTRUMENT.SWAP("swap.9134",H9136,B9136,"USD","SOFR",I9136,J9136,0,"Actual360","Simple","Annual","Annual","Annual")</f>
        <v>QSObject:Swap:w1~swap.9134:934</v>
      </c>
      <c r="F9136" s="6" t="str">
        <f>_xll.QS.TRADE.CREATE("trade.9134",E9136,A9136,"Receive")</f>
        <v>QSObject:SwapTrade:w1~trade.9134:22645</v>
      </c>
      <c r="G9136" s="3">
        <f>_xll.QS.EVALUATE(C9136,F9136)</f>
        <v>56106.626051485895</v>
      </c>
      <c r="H9136" s="5" t="s">
        <v>9177</v>
      </c>
      <c r="I9136" s="7">
        <v>1913400</v>
      </c>
      <c r="J9136" s="8">
        <v>3.8399999999999997E-2</v>
      </c>
    </row>
    <row r="9137" spans="1:10" x14ac:dyDescent="0.25">
      <c r="A9137" s="5" t="s">
        <v>9171</v>
      </c>
      <c r="B9137" s="5" t="s">
        <v>11004</v>
      </c>
      <c r="C9137" s="6" t="str">
        <f>_xll.QS.CONTEXT.CREATE("market.9135",A9137,"USD","SOFR")</f>
        <v>QSObject:PricingContext:w1~market.9135:933</v>
      </c>
      <c r="D9137" s="6" t="str">
        <f>_xll.QS.CONTEXT.ADD.CURVE(C9137,"SOFR",$K$2:$K$7,$L$2:$L$7,,,"Actual360","LogLinear",TRUE)</f>
        <v>QSObject:ContextInput:w1~input.qs_context_add_curve.2359132437744.9136.3.0:39938</v>
      </c>
      <c r="E9137" s="6" t="str">
        <f>_xll.QS.INSTRUMENT.SWAP("swap.9135",H9137,B9137,"USD","SOFR",I9137,J9137,0,"Actual360","Simple","Annual","Annual","Annual")</f>
        <v>QSObject:Swap:w1~swap.9135:932</v>
      </c>
      <c r="F9137" s="6" t="str">
        <f>_xll.QS.TRADE.CREATE("trade.9135",E9137,A9137,"Receive")</f>
        <v>QSObject:SwapTrade:w1~trade.9135:22644</v>
      </c>
      <c r="G9137" s="3">
        <f>_xll.QS.EVALUATE(C9137,F9137)</f>
        <v>57074.657782993738</v>
      </c>
      <c r="H9137" s="5" t="s">
        <v>9178</v>
      </c>
      <c r="I9137" s="7">
        <v>1913500</v>
      </c>
      <c r="J9137" s="8">
        <v>3.8500000000000013E-2</v>
      </c>
    </row>
    <row r="9138" spans="1:10" x14ac:dyDescent="0.25">
      <c r="A9138" s="5" t="s">
        <v>9172</v>
      </c>
      <c r="B9138" s="5" t="s">
        <v>11005</v>
      </c>
      <c r="C9138" s="6" t="str">
        <f>_xll.QS.CONTEXT.CREATE("market.9136",A9138,"USD","SOFR")</f>
        <v>QSObject:PricingContext:w1~market.9136:931</v>
      </c>
      <c r="D9138" s="6" t="str">
        <f>_xll.QS.CONTEXT.ADD.CURVE(C9138,"SOFR",$K$2:$K$7,$L$2:$L$7,,,"Actual360","LogLinear",TRUE)</f>
        <v>QSObject:ContextInput:w1~input.qs_context_add_curve.2359132437744.9137.3.0:39937</v>
      </c>
      <c r="E9138" s="6" t="str">
        <f>_xll.QS.INSTRUMENT.SWAP("swap.9136",H9138,B9138,"USD","SOFR",I9138,J9138,0,"Actual360","Simple","Annual","Annual","Annual")</f>
        <v>QSObject:Swap:w1~swap.9136:930</v>
      </c>
      <c r="F9138" s="6" t="str">
        <f>_xll.QS.TRADE.CREATE("trade.9136",E9138,A9138,"Receive")</f>
        <v>QSObject:SwapTrade:w1~trade.9136:22643</v>
      </c>
      <c r="G9138" s="3">
        <f>_xll.QS.EVALUATE(C9138,F9138)</f>
        <v>58003.922394613794</v>
      </c>
      <c r="H9138" s="5" t="s">
        <v>9179</v>
      </c>
      <c r="I9138" s="7">
        <v>1913600</v>
      </c>
      <c r="J9138" s="8">
        <v>3.8600000000000002E-2</v>
      </c>
    </row>
    <row r="9139" spans="1:10" x14ac:dyDescent="0.25">
      <c r="A9139" s="5" t="s">
        <v>9173</v>
      </c>
      <c r="B9139" s="5" t="s">
        <v>11006</v>
      </c>
      <c r="C9139" s="6" t="str">
        <f>_xll.QS.CONTEXT.CREATE("market.9137",A9139,"USD","SOFR")</f>
        <v>QSObject:PricingContext:w1~market.9137:929</v>
      </c>
      <c r="D9139" s="6" t="str">
        <f>_xll.QS.CONTEXT.ADD.CURVE(C9139,"SOFR",$K$2:$K$7,$L$2:$L$7,,,"Actual360","LogLinear",TRUE)</f>
        <v>QSObject:ContextInput:w1~input.qs_context_add_curve.2359132437744.9138.3.0:31678</v>
      </c>
      <c r="E9139" s="6" t="str">
        <f>_xll.QS.INSTRUMENT.SWAP("swap.9137",H9139,B9139,"USD","SOFR",I9139,J9139,0,"Actual360","Simple","Annual","Annual","Annual")</f>
        <v>QSObject:Swap:w1~swap.9137:928</v>
      </c>
      <c r="F9139" s="6" t="str">
        <f>_xll.QS.TRADE.CREATE("trade.9137",E9139,A9139,"Receive")</f>
        <v>QSObject:SwapTrade:w1~trade.9137:22642</v>
      </c>
      <c r="G9139" s="3">
        <f>_xll.QS.EVALUATE(C9139,F9139)</f>
        <v>59029.332406110327</v>
      </c>
      <c r="H9139" s="5" t="s">
        <v>9180</v>
      </c>
      <c r="I9139" s="7">
        <v>1913700</v>
      </c>
      <c r="J9139" s="8">
        <v>3.8700000000000012E-2</v>
      </c>
    </row>
    <row r="9140" spans="1:10" x14ac:dyDescent="0.25">
      <c r="A9140" s="5" t="s">
        <v>9174</v>
      </c>
      <c r="B9140" s="5" t="s">
        <v>11007</v>
      </c>
      <c r="C9140" s="6" t="str">
        <f>_xll.QS.CONTEXT.CREATE("market.9138",A9140,"USD","SOFR")</f>
        <v>QSObject:PricingContext:w1~market.9138:927</v>
      </c>
      <c r="D9140" s="6" t="str">
        <f>_xll.QS.CONTEXT.ADD.CURVE(C9140,"SOFR",$K$2:$K$7,$L$2:$L$7,,,"Actual360","LogLinear",TRUE)</f>
        <v>QSObject:ContextInput:w1~input.qs_context_add_curve.2359132437744.9139.3.0:39936</v>
      </c>
      <c r="E9140" s="6" t="str">
        <f>_xll.QS.INSTRUMENT.SWAP("swap.9138",H9140,B9140,"USD","SOFR",I9140,J9140,0,"Actual360","Simple","Annual","Annual","Annual")</f>
        <v>QSObject:Swap:w1~swap.9138:926</v>
      </c>
      <c r="F9140" s="6" t="str">
        <f>_xll.QS.TRADE.CREATE("trade.9138",E9140,A9140,"Receive")</f>
        <v>QSObject:SwapTrade:w1~trade.9138:22641</v>
      </c>
      <c r="G9140" s="3">
        <f>_xll.QS.EVALUATE(C9140,F9140)</f>
        <v>59997.959401003376</v>
      </c>
      <c r="H9140" s="5" t="s">
        <v>9181</v>
      </c>
      <c r="I9140" s="7">
        <v>1913800</v>
      </c>
      <c r="J9140" s="8">
        <v>3.8800000000000001E-2</v>
      </c>
    </row>
    <row r="9141" spans="1:10" x14ac:dyDescent="0.25">
      <c r="A9141" s="5" t="s">
        <v>9175</v>
      </c>
      <c r="B9141" s="5" t="s">
        <v>11008</v>
      </c>
      <c r="C9141" s="6" t="str">
        <f>_xll.QS.CONTEXT.CREATE("market.9139",A9141,"USD","SOFR")</f>
        <v>QSObject:PricingContext:w1~market.9139:925</v>
      </c>
      <c r="D9141" s="6" t="str">
        <f>_xll.QS.CONTEXT.ADD.CURVE(C9141,"SOFR",$K$2:$K$7,$L$2:$L$7,,,"Actual360","LogLinear",TRUE)</f>
        <v>QSObject:ContextInput:w1~input.qs_context_add_curve.2359132437744.9140.3.0:39935</v>
      </c>
      <c r="E9141" s="6" t="str">
        <f>_xll.QS.INSTRUMENT.SWAP("swap.9139",H9141,B9141,"USD","SOFR",I9141,J9141,0,"Actual360","Simple","Annual","Annual","Annual")</f>
        <v>QSObject:Swap:w1~swap.9139:924</v>
      </c>
      <c r="F9141" s="6" t="str">
        <f>_xll.QS.TRADE.CREATE("trade.9139",E9141,A9141,"Receive")</f>
        <v>QSObject:SwapTrade:w1~trade.9139:22640</v>
      </c>
      <c r="G9141" s="3">
        <f>_xll.QS.EVALUATE(C9141,F9141)</f>
        <v>60811.012261942793</v>
      </c>
      <c r="H9141" s="5" t="s">
        <v>9182</v>
      </c>
      <c r="I9141" s="7">
        <v>1913900</v>
      </c>
      <c r="J9141" s="8">
        <v>3.8899999999999997E-2</v>
      </c>
    </row>
    <row r="9142" spans="1:10" x14ac:dyDescent="0.25">
      <c r="A9142" s="5" t="s">
        <v>9176</v>
      </c>
      <c r="B9142" s="5" t="s">
        <v>11009</v>
      </c>
      <c r="C9142" s="6" t="str">
        <f>_xll.QS.CONTEXT.CREATE("market.9140",A9142,"USD","SOFR")</f>
        <v>QSObject:PricingContext:w1~market.9140:923</v>
      </c>
      <c r="D9142" s="6" t="str">
        <f>_xll.QS.CONTEXT.ADD.CURVE(C9142,"SOFR",$K$2:$K$7,$L$2:$L$7,,,"Actual360","LogLinear",TRUE)</f>
        <v>QSObject:ContextInput:w1~input.qs_context_add_curve.2359132437744.9141.3.0:39934</v>
      </c>
      <c r="E9142" s="6" t="str">
        <f>_xll.QS.INSTRUMENT.SWAP("swap.9140",H9142,B9142,"USD","SOFR",I9142,J9142,0,"Actual360","Simple","Annual","Annual","Annual")</f>
        <v>QSObject:Swap:w1~swap.9140:922</v>
      </c>
      <c r="F9142" s="6" t="str">
        <f>_xll.QS.TRADE.CREATE("trade.9140",E9142,A9142,"Receive")</f>
        <v>QSObject:SwapTrade:w1~trade.9140:22639</v>
      </c>
      <c r="G9142" s="3">
        <f>_xll.QS.EVALUATE(C9142,F9142)</f>
        <v>61504.81597540361</v>
      </c>
      <c r="H9142" s="5" t="s">
        <v>9183</v>
      </c>
      <c r="I9142" s="7">
        <v>1914000</v>
      </c>
      <c r="J9142" s="8">
        <v>3.9000000000000007E-2</v>
      </c>
    </row>
    <row r="9143" spans="1:10" x14ac:dyDescent="0.25">
      <c r="A9143" s="5" t="s">
        <v>9177</v>
      </c>
      <c r="B9143" s="5" t="s">
        <v>11010</v>
      </c>
      <c r="C9143" s="6" t="str">
        <f>_xll.QS.CONTEXT.CREATE("market.9141",A9143,"USD","SOFR")</f>
        <v>QSObject:PricingContext:w1~market.9141:921</v>
      </c>
      <c r="D9143" s="6" t="str">
        <f>_xll.QS.CONTEXT.ADD.CURVE(C9143,"SOFR",$K$2:$K$7,$L$2:$L$7,,,"Actual360","LogLinear",TRUE)</f>
        <v>QSObject:ContextInput:w1~input.qs_context_add_curve.2359132437744.9142.3.0:31677</v>
      </c>
      <c r="E9143" s="6" t="str">
        <f>_xll.QS.INSTRUMENT.SWAP("swap.9141",H9143,B9143,"USD","SOFR",I9143,J9143,0,"Actual360","Simple","Annual","Annual","Annual")</f>
        <v>QSObject:Swap:w1~swap.9141:920</v>
      </c>
      <c r="F9143" s="6" t="str">
        <f>_xll.QS.TRADE.CREATE("trade.9141",E9143,A9143,"Receive")</f>
        <v>QSObject:SwapTrade:w1~trade.9141:22638</v>
      </c>
      <c r="G9143" s="3">
        <f>_xll.QS.EVALUATE(C9143,F9143)</f>
        <v>62226.666624297352</v>
      </c>
      <c r="H9143" s="5" t="s">
        <v>9184</v>
      </c>
      <c r="I9143" s="7">
        <v>1914100</v>
      </c>
      <c r="J9143" s="8">
        <v>3.9100000000000003E-2</v>
      </c>
    </row>
    <row r="9144" spans="1:10" x14ac:dyDescent="0.25">
      <c r="A9144" s="5" t="s">
        <v>9178</v>
      </c>
      <c r="B9144" s="5" t="s">
        <v>11011</v>
      </c>
      <c r="C9144" s="6" t="str">
        <f>_xll.QS.CONTEXT.CREATE("market.9142",A9144,"USD","SOFR")</f>
        <v>QSObject:PricingContext:w1~market.9142:919</v>
      </c>
      <c r="D9144" s="6" t="str">
        <f>_xll.QS.CONTEXT.ADD.CURVE(C9144,"SOFR",$K$2:$K$7,$L$2:$L$7,,,"Actual360","LogLinear",TRUE)</f>
        <v>QSObject:ContextInput:w1~input.qs_context_add_curve.2359132437744.9143.3.0:39933</v>
      </c>
      <c r="E9144" s="6" t="str">
        <f>_xll.QS.INSTRUMENT.SWAP("swap.9142",H9144,B9144,"USD","SOFR",I9144,J9144,0,"Actual360","Simple","Annual","Annual","Annual")</f>
        <v>QSObject:Swap:w1~swap.9142:918</v>
      </c>
      <c r="F9144" s="6" t="str">
        <f>_xll.QS.TRADE.CREATE("trade.9142",E9144,A9144,"Receive")</f>
        <v>QSObject:SwapTrade:w1~trade.9142:22637</v>
      </c>
      <c r="G9144" s="3">
        <f>_xll.QS.EVALUATE(C9144,F9144)</f>
        <v>63197.039243072461</v>
      </c>
      <c r="H9144" s="5" t="s">
        <v>9185</v>
      </c>
      <c r="I9144" s="7">
        <v>1914200</v>
      </c>
      <c r="J9144" s="8">
        <v>3.9200000000000013E-2</v>
      </c>
    </row>
    <row r="9145" spans="1:10" x14ac:dyDescent="0.25">
      <c r="A9145" s="5" t="s">
        <v>9179</v>
      </c>
      <c r="B9145" s="5" t="s">
        <v>11012</v>
      </c>
      <c r="C9145" s="6" t="str">
        <f>_xll.QS.CONTEXT.CREATE("market.9143",A9145,"USD","SOFR")</f>
        <v>QSObject:PricingContext:w1~market.9143:917</v>
      </c>
      <c r="D9145" s="6" t="str">
        <f>_xll.QS.CONTEXT.ADD.CURVE(C9145,"SOFR",$K$2:$K$7,$L$2:$L$7,,,"Actual360","LogLinear",TRUE)</f>
        <v>QSObject:ContextInput:w1~input.qs_context_add_curve.2359132437744.9144.3.0:39932</v>
      </c>
      <c r="E9145" s="6" t="str">
        <f>_xll.QS.INSTRUMENT.SWAP("swap.9143",H9145,B9145,"USD","SOFR",I9145,J9145,0,"Actual360","Simple","Annual","Annual","Annual")</f>
        <v>QSObject:Swap:w1~swap.9143:916</v>
      </c>
      <c r="F9145" s="6" t="str">
        <f>_xll.QS.TRADE.CREATE("trade.9143",E9145,A9145,"Receive")</f>
        <v>QSObject:SwapTrade:w1~trade.9143:22636</v>
      </c>
      <c r="G9145" s="3">
        <f>_xll.QS.EVALUATE(C9145,F9145)</f>
        <v>64164.314964149591</v>
      </c>
      <c r="H9145" s="5" t="s">
        <v>9186</v>
      </c>
      <c r="I9145" s="7">
        <v>1914300</v>
      </c>
      <c r="J9145" s="8">
        <v>3.9300000000000002E-2</v>
      </c>
    </row>
    <row r="9146" spans="1:10" x14ac:dyDescent="0.25">
      <c r="A9146" s="5" t="s">
        <v>9180</v>
      </c>
      <c r="B9146" s="5" t="s">
        <v>11013</v>
      </c>
      <c r="C9146" s="6" t="str">
        <f>_xll.QS.CONTEXT.CREATE("market.9144",A9146,"USD","SOFR")</f>
        <v>QSObject:PricingContext:w1~market.9144:915</v>
      </c>
      <c r="D9146" s="6" t="str">
        <f>_xll.QS.CONTEXT.ADD.CURVE(C9146,"SOFR",$K$2:$K$7,$L$2:$L$7,,,"Actual360","LogLinear",TRUE)</f>
        <v>QSObject:ContextInput:w1~input.qs_context_add_curve.2359132437744.9145.3.0:39931</v>
      </c>
      <c r="E9146" s="6" t="str">
        <f>_xll.QS.INSTRUMENT.SWAP("swap.9144",H9146,B9146,"USD","SOFR",I9146,J9146,0,"Actual360","Simple","Annual","Annual","Annual")</f>
        <v>QSObject:Swap:w1~swap.9144:914</v>
      </c>
      <c r="F9146" s="6" t="str">
        <f>_xll.QS.TRADE.CREATE("trade.9144",E9146,A9146,"Receive")</f>
        <v>QSObject:SwapTrade:w1~trade.9144:22635</v>
      </c>
      <c r="G9146" s="3">
        <f>_xll.QS.EVALUATE(C9146,F9146)</f>
        <v>65301.752995426352</v>
      </c>
      <c r="H9146" s="5" t="s">
        <v>9187</v>
      </c>
      <c r="I9146" s="7">
        <v>1914400</v>
      </c>
      <c r="J9146" s="8">
        <v>3.9399999999999998E-2</v>
      </c>
    </row>
    <row r="9147" spans="1:10" x14ac:dyDescent="0.25">
      <c r="A9147" s="5" t="s">
        <v>9181</v>
      </c>
      <c r="B9147" s="5" t="s">
        <v>11014</v>
      </c>
      <c r="C9147" s="6" t="str">
        <f>_xll.QS.CONTEXT.CREATE("market.9145",A9147,"USD","SOFR")</f>
        <v>QSObject:PricingContext:w1~market.9145:913</v>
      </c>
      <c r="D9147" s="6" t="str">
        <f>_xll.QS.CONTEXT.ADD.CURVE(C9147,"SOFR",$K$2:$K$7,$L$2:$L$7,,,"Actual360","LogLinear",TRUE)</f>
        <v>QSObject:ContextInput:w1~input.qs_context_add_curve.2359132437744.9146.3.0:39930</v>
      </c>
      <c r="E9147" s="6" t="str">
        <f>_xll.QS.INSTRUMENT.SWAP("swap.9145",H9147,B9147,"USD","SOFR",I9147,J9147,0,"Actual360","Simple","Annual","Annual","Annual")</f>
        <v>QSObject:Swap:w1~swap.9145:912</v>
      </c>
      <c r="F9147" s="6" t="str">
        <f>_xll.QS.TRADE.CREATE("trade.9145",E9147,A9147,"Receive")</f>
        <v>QSObject:SwapTrade:w1~trade.9145:22634</v>
      </c>
      <c r="G9147" s="3">
        <f>_xll.QS.EVALUATE(C9147,F9147)</f>
        <v>66206.434682498904</v>
      </c>
      <c r="H9147" s="5" t="s">
        <v>9188</v>
      </c>
      <c r="I9147" s="7">
        <v>1914500</v>
      </c>
      <c r="J9147" s="8">
        <v>3.9500000000000007E-2</v>
      </c>
    </row>
    <row r="9148" spans="1:10" x14ac:dyDescent="0.25">
      <c r="A9148" s="5" t="s">
        <v>9182</v>
      </c>
      <c r="B9148" s="5" t="s">
        <v>11015</v>
      </c>
      <c r="C9148" s="6" t="str">
        <f>_xll.QS.CONTEXT.CREATE("market.9146",A9148,"USD","SOFR")</f>
        <v>QSObject:PricingContext:w1~market.9146:911</v>
      </c>
      <c r="D9148" s="6" t="str">
        <f>_xll.QS.CONTEXT.ADD.CURVE(C9148,"SOFR",$K$2:$K$7,$L$2:$L$7,,,"Actual360","LogLinear",TRUE)</f>
        <v>QSObject:ContextInput:w1~input.qs_context_add_curve.2359132437744.9147.3.0:39929</v>
      </c>
      <c r="E9148" s="6" t="str">
        <f>_xll.QS.INSTRUMENT.SWAP("swap.9146",H9148,B9148,"USD","SOFR",I9148,J9148,0,"Actual360","Simple","Annual","Annual","Annual")</f>
        <v>QSObject:Swap:w1~swap.9146:910</v>
      </c>
      <c r="F9148" s="6" t="str">
        <f>_xll.QS.TRADE.CREATE("trade.9146",E9148,A9148,"Receive")</f>
        <v>QSObject:SwapTrade:w1~trade.9146:22633</v>
      </c>
      <c r="G9148" s="3">
        <f>_xll.QS.EVALUATE(C9148,F9148)</f>
        <v>67092.591212090992</v>
      </c>
      <c r="H9148" s="5" t="s">
        <v>9189</v>
      </c>
      <c r="I9148" s="7">
        <v>1914600</v>
      </c>
      <c r="J9148" s="8">
        <v>3.9600000000000003E-2</v>
      </c>
    </row>
    <row r="9149" spans="1:10" x14ac:dyDescent="0.25">
      <c r="A9149" s="5" t="s">
        <v>9183</v>
      </c>
      <c r="B9149" s="5" t="s">
        <v>11016</v>
      </c>
      <c r="C9149" s="6" t="str">
        <f>_xll.QS.CONTEXT.CREATE("market.9147",A9149,"USD","SOFR")</f>
        <v>QSObject:PricingContext:w1~market.9147:909</v>
      </c>
      <c r="D9149" s="6" t="str">
        <f>_xll.QS.CONTEXT.ADD.CURVE(C9149,"SOFR",$K$2:$K$7,$L$2:$L$7,,,"Actual360","LogLinear",TRUE)</f>
        <v>QSObject:ContextInput:w1~input.qs_context_add_curve.2359132437744.9148.3.0:39928</v>
      </c>
      <c r="E9149" s="6" t="str">
        <f>_xll.QS.INSTRUMENT.SWAP("swap.9147",H9149,B9149,"USD","SOFR",I9149,J9149,0,"Actual360","Simple","Annual","Annual","Annual")</f>
        <v>QSObject:Swap:w1~swap.9147:908</v>
      </c>
      <c r="F9149" s="6" t="str">
        <f>_xll.QS.TRADE.CREATE("trade.9147",E9149,A9149,"Receive")</f>
        <v>QSObject:SwapTrade:w1~trade.9147:22632</v>
      </c>
      <c r="G9149" s="3">
        <f>_xll.QS.EVALUATE(C9149,F9149)</f>
        <v>67818.084836357782</v>
      </c>
      <c r="H9149" s="5" t="s">
        <v>9190</v>
      </c>
      <c r="I9149" s="7">
        <v>1914700</v>
      </c>
      <c r="J9149" s="8">
        <v>3.9700000000000013E-2</v>
      </c>
    </row>
    <row r="9150" spans="1:10" x14ac:dyDescent="0.25">
      <c r="A9150" s="5" t="s">
        <v>9184</v>
      </c>
      <c r="B9150" s="5" t="s">
        <v>11017</v>
      </c>
      <c r="C9150" s="6" t="str">
        <f>_xll.QS.CONTEXT.CREATE("market.9148",A9150,"USD","SOFR")</f>
        <v>QSObject:PricingContext:w1~market.9148:907</v>
      </c>
      <c r="D9150" s="6" t="str">
        <f>_xll.QS.CONTEXT.ADD.CURVE(C9150,"SOFR",$K$2:$K$7,$L$2:$L$7,,,"Actual360","LogLinear",TRUE)</f>
        <v>QSObject:ContextInput:w1~input.qs_context_add_curve.2359132437744.9149.3.0:39927</v>
      </c>
      <c r="E9150" s="6" t="str">
        <f>_xll.QS.INSTRUMENT.SWAP("swap.9148",H9150,B9150,"USD","SOFR",I9150,J9150,0,"Actual360","Simple","Annual","Annual","Annual")</f>
        <v>QSObject:Swap:w1~swap.9148:906</v>
      </c>
      <c r="F9150" s="6" t="str">
        <f>_xll.QS.TRADE.CREATE("trade.9148",E9150,A9150,"Receive")</f>
        <v>QSObject:SwapTrade:w1~trade.9148:22631</v>
      </c>
      <c r="G9150" s="3">
        <f>_xll.QS.EVALUATE(C9150,F9150)</f>
        <v>68592.484997500214</v>
      </c>
      <c r="H9150" s="5" t="s">
        <v>9191</v>
      </c>
      <c r="I9150" s="7">
        <v>1914800</v>
      </c>
      <c r="J9150" s="8">
        <v>3.9800000000000002E-2</v>
      </c>
    </row>
    <row r="9151" spans="1:10" x14ac:dyDescent="0.25">
      <c r="A9151" s="5" t="s">
        <v>9185</v>
      </c>
      <c r="B9151" s="5" t="s">
        <v>11018</v>
      </c>
      <c r="C9151" s="6" t="str">
        <f>_xll.QS.CONTEXT.CREATE("market.9149",A9151,"USD","SOFR")</f>
        <v>QSObject:PricingContext:w1~market.9149:905</v>
      </c>
      <c r="D9151" s="6" t="str">
        <f>_xll.QS.CONTEXT.ADD.CURVE(C9151,"SOFR",$K$2:$K$7,$L$2:$L$7,,,"Actual360","LogLinear",TRUE)</f>
        <v>QSObject:ContextInput:w1~input.qs_context_add_curve.2359132437744.9150.3.0:39926</v>
      </c>
      <c r="E9151" s="6" t="str">
        <f>_xll.QS.INSTRUMENT.SWAP("swap.9149",H9151,B9151,"USD","SOFR",I9151,J9151,0,"Actual360","Simple","Annual","Annual","Annual")</f>
        <v>QSObject:Swap:w1~swap.9149:904</v>
      </c>
      <c r="F9151" s="6" t="str">
        <f>_xll.QS.TRADE.CREATE("trade.9149",E9151,A9151,"Receive")</f>
        <v>QSObject:SwapTrade:w1~trade.9149:22630</v>
      </c>
      <c r="G9151" s="3">
        <f>_xll.QS.EVALUATE(C9151,F9151)</f>
        <v>69484.838600135728</v>
      </c>
      <c r="H9151" s="5" t="s">
        <v>9192</v>
      </c>
      <c r="I9151" s="7">
        <v>1914900</v>
      </c>
      <c r="J9151" s="8">
        <v>3.9899999999999998E-2</v>
      </c>
    </row>
    <row r="9152" spans="1:10" x14ac:dyDescent="0.25">
      <c r="A9152" s="5" t="s">
        <v>9186</v>
      </c>
      <c r="B9152" s="5" t="s">
        <v>11019</v>
      </c>
      <c r="C9152" s="6" t="str">
        <f>_xll.QS.CONTEXT.CREATE("market.9150",A9152,"USD","SOFR")</f>
        <v>QSObject:PricingContext:w1~market.9150:903</v>
      </c>
      <c r="D9152" s="6" t="str">
        <f>_xll.QS.CONTEXT.ADD.CURVE(C9152,"SOFR",$K$2:$K$7,$L$2:$L$7,,,"Actual360","LogLinear",TRUE)</f>
        <v>QSObject:ContextInput:w1~input.qs_context_add_curve.2359132437744.9151.3.0:39925</v>
      </c>
      <c r="E9152" s="6" t="str">
        <f>_xll.QS.INSTRUMENT.SWAP("swap.9150",H9152,B9152,"USD","SOFR",I9152,J9152,0,"Actual360","Simple","Annual","Annual","Annual")</f>
        <v>QSObject:Swap:w1~swap.9150:902</v>
      </c>
      <c r="F9152" s="6" t="str">
        <f>_xll.QS.TRADE.CREATE("trade.9150",E9152,A9152,"Receive")</f>
        <v>QSObject:SwapTrade:w1~trade.9150:22629</v>
      </c>
      <c r="G9152" s="3">
        <f>_xll.QS.EVALUATE(C9152,F9152)</f>
        <v>26256.110111096808</v>
      </c>
      <c r="H9152" s="5" t="s">
        <v>9193</v>
      </c>
      <c r="I9152" s="7">
        <v>1915000</v>
      </c>
      <c r="J9152" s="8">
        <v>3.5000000000000003E-2</v>
      </c>
    </row>
    <row r="9153" spans="1:10" x14ac:dyDescent="0.25">
      <c r="A9153" s="5" t="s">
        <v>9187</v>
      </c>
      <c r="B9153" s="5" t="s">
        <v>11020</v>
      </c>
      <c r="C9153" s="6" t="str">
        <f>_xll.QS.CONTEXT.CREATE("market.9151",A9153,"USD","SOFR")</f>
        <v>QSObject:PricingContext:w1~market.9151:901</v>
      </c>
      <c r="D9153" s="6" t="str">
        <f>_xll.QS.CONTEXT.ADD.CURVE(C9153,"SOFR",$K$2:$K$7,$L$2:$L$7,,,"Actual360","LogLinear",TRUE)</f>
        <v>QSObject:ContextInput:w1~input.qs_context_add_curve.2359132437744.9152.3.0:39924</v>
      </c>
      <c r="E9153" s="6" t="str">
        <f>_xll.QS.INSTRUMENT.SWAP("swap.9151",H9153,B9153,"USD","SOFR",I9153,J9153,0,"Actual360","Simple","Annual","Annual","Annual")</f>
        <v>QSObject:Swap:w1~swap.9151:900</v>
      </c>
      <c r="F9153" s="6" t="str">
        <f>_xll.QS.TRADE.CREATE("trade.9151",E9153,A9153,"Receive")</f>
        <v>QSObject:SwapTrade:w1~trade.9151:22628</v>
      </c>
      <c r="G9153" s="3">
        <f>_xll.QS.EVALUATE(C9153,F9153)</f>
        <v>27280.246872879878</v>
      </c>
      <c r="H9153" s="5" t="s">
        <v>9194</v>
      </c>
      <c r="I9153" s="7">
        <v>1915100</v>
      </c>
      <c r="J9153" s="8">
        <v>3.5100000000000013E-2</v>
      </c>
    </row>
    <row r="9154" spans="1:10" x14ac:dyDescent="0.25">
      <c r="A9154" s="5" t="s">
        <v>9188</v>
      </c>
      <c r="B9154" s="5" t="s">
        <v>11021</v>
      </c>
      <c r="C9154" s="6" t="str">
        <f>_xll.QS.CONTEXT.CREATE("market.9152",A9154,"USD","SOFR")</f>
        <v>QSObject:PricingContext:w1~market.9152:899</v>
      </c>
      <c r="D9154" s="6" t="str">
        <f>_xll.QS.CONTEXT.ADD.CURVE(C9154,"SOFR",$K$2:$K$7,$L$2:$L$7,,,"Actual360","LogLinear",TRUE)</f>
        <v>QSObject:ContextInput:w1~input.qs_context_add_curve.2359132437744.9153.3.0:39923</v>
      </c>
      <c r="E9154" s="6" t="str">
        <f>_xll.QS.INSTRUMENT.SWAP("swap.9152",H9154,B9154,"USD","SOFR",I9154,J9154,0,"Actual360","Simple","Annual","Annual","Annual")</f>
        <v>QSObject:Swap:w1~swap.9152:898</v>
      </c>
      <c r="F9154" s="6" t="str">
        <f>_xll.QS.TRADE.CREATE("trade.9152",E9154,A9154,"Receive")</f>
        <v>QSObject:SwapTrade:w1~trade.9152:22627</v>
      </c>
      <c r="G9154" s="3">
        <f>_xll.QS.EVALUATE(C9154,F9154)</f>
        <v>28247.945217394554</v>
      </c>
      <c r="H9154" s="5" t="s">
        <v>9195</v>
      </c>
      <c r="I9154" s="7">
        <v>1915200</v>
      </c>
      <c r="J9154" s="8">
        <v>3.5200000000000002E-2</v>
      </c>
    </row>
    <row r="9155" spans="1:10" x14ac:dyDescent="0.25">
      <c r="A9155" s="5" t="s">
        <v>9189</v>
      </c>
      <c r="B9155" s="5" t="s">
        <v>11022</v>
      </c>
      <c r="C9155" s="6" t="str">
        <f>_xll.QS.CONTEXT.CREATE("market.9153",A9155,"USD","SOFR")</f>
        <v>QSObject:PricingContext:w1~market.9153:897</v>
      </c>
      <c r="D9155" s="6" t="str">
        <f>_xll.QS.CONTEXT.ADD.CURVE(C9155,"SOFR",$K$2:$K$7,$L$2:$L$7,,,"Actual360","LogLinear",TRUE)</f>
        <v>QSObject:ContextInput:w1~input.qs_context_add_curve.2359132437744.9154.3.0:39922</v>
      </c>
      <c r="E9155" s="6" t="str">
        <f>_xll.QS.INSTRUMENT.SWAP("swap.9153",H9155,B9155,"USD","SOFR",I9155,J9155,0,"Actual360","Simple","Annual","Annual","Annual")</f>
        <v>QSObject:Swap:w1~swap.9153:896</v>
      </c>
      <c r="F9155" s="6" t="str">
        <f>_xll.QS.TRADE.CREATE("trade.9153",E9155,A9155,"Receive")</f>
        <v>QSObject:SwapTrade:w1~trade.9153:22626</v>
      </c>
      <c r="G9155" s="3">
        <f>_xll.QS.EVALUATE(C9155,F9155)</f>
        <v>29060.362494761335</v>
      </c>
      <c r="H9155" s="5" t="s">
        <v>9196</v>
      </c>
      <c r="I9155" s="7">
        <v>1915300</v>
      </c>
      <c r="J9155" s="8">
        <v>3.5299999999999998E-2</v>
      </c>
    </row>
    <row r="9156" spans="1:10" x14ac:dyDescent="0.25">
      <c r="A9156" s="5" t="s">
        <v>9190</v>
      </c>
      <c r="B9156" s="5" t="s">
        <v>11023</v>
      </c>
      <c r="C9156" s="6" t="str">
        <f>_xll.QS.CONTEXT.CREATE("market.9154",A9156,"USD","SOFR")</f>
        <v>QSObject:PricingContext:w1~market.9154:895</v>
      </c>
      <c r="D9156" s="6" t="str">
        <f>_xll.QS.CONTEXT.ADD.CURVE(C9156,"SOFR",$K$2:$K$7,$L$2:$L$7,,,"Actual360","LogLinear",TRUE)</f>
        <v>QSObject:ContextInput:w1~input.qs_context_add_curve.2359132437744.9155.3.0:39921</v>
      </c>
      <c r="E9156" s="6" t="str">
        <f>_xll.QS.INSTRUMENT.SWAP("swap.9154",H9156,B9156,"USD","SOFR",I9156,J9156,0,"Actual360","Simple","Annual","Annual","Annual")</f>
        <v>QSObject:Swap:w1~swap.9154:894</v>
      </c>
      <c r="F9156" s="6" t="str">
        <f>_xll.QS.TRADE.CREATE("trade.9154",E9156,A9156,"Receive")</f>
        <v>QSObject:SwapTrade:w1~trade.9154:22625</v>
      </c>
      <c r="G9156" s="3">
        <f>_xll.QS.EVALUATE(C9156,F9156)</f>
        <v>29889.4006731915</v>
      </c>
      <c r="H9156" s="5" t="s">
        <v>9197</v>
      </c>
      <c r="I9156" s="7">
        <v>1915400</v>
      </c>
      <c r="J9156" s="8">
        <v>3.5400000000000001E-2</v>
      </c>
    </row>
    <row r="9157" spans="1:10" x14ac:dyDescent="0.25">
      <c r="A9157" s="5" t="s">
        <v>9191</v>
      </c>
      <c r="B9157" s="5" t="s">
        <v>11024</v>
      </c>
      <c r="C9157" s="6" t="str">
        <f>_xll.QS.CONTEXT.CREATE("market.9155",A9157,"USD","SOFR")</f>
        <v>QSObject:PricingContext:w1~market.9155:893</v>
      </c>
      <c r="D9157" s="6" t="str">
        <f>_xll.QS.CONTEXT.ADD.CURVE(C9157,"SOFR",$K$2:$K$7,$L$2:$L$7,,,"Actual360","LogLinear",TRUE)</f>
        <v>QSObject:ContextInput:w1~input.qs_context_add_curve.2359132437744.9156.3.0:39920</v>
      </c>
      <c r="E9157" s="6" t="str">
        <f>_xll.QS.INSTRUMENT.SWAP("swap.9155",H9157,B9157,"USD","SOFR",I9157,J9157,0,"Actual360","Simple","Annual","Annual","Annual")</f>
        <v>QSObject:Swap:w1~swap.9155:892</v>
      </c>
      <c r="F9157" s="6" t="str">
        <f>_xll.QS.TRADE.CREATE("trade.9155",E9157,A9157,"Receive")</f>
        <v>QSObject:SwapTrade:w1~trade.9155:22624</v>
      </c>
      <c r="G9157" s="3">
        <f>_xll.QS.EVALUATE(C9157,F9157)</f>
        <v>30542.603211959089</v>
      </c>
      <c r="H9157" s="5" t="s">
        <v>9198</v>
      </c>
      <c r="I9157" s="7">
        <v>1915500</v>
      </c>
      <c r="J9157" s="8">
        <v>3.5499999999999997E-2</v>
      </c>
    </row>
    <row r="9158" spans="1:10" x14ac:dyDescent="0.25">
      <c r="A9158" s="5" t="s">
        <v>9192</v>
      </c>
      <c r="B9158" s="5" t="s">
        <v>11025</v>
      </c>
      <c r="C9158" s="6" t="str">
        <f>_xll.QS.CONTEXT.CREATE("market.9156",A9158,"USD","SOFR")</f>
        <v>QSObject:PricingContext:w1~market.9156:891</v>
      </c>
      <c r="D9158" s="6" t="str">
        <f>_xll.QS.CONTEXT.ADD.CURVE(C9158,"SOFR",$K$2:$K$7,$L$2:$L$7,,,"Actual360","LogLinear",TRUE)</f>
        <v>QSObject:ContextInput:w1~input.qs_context_add_curve.2359132437744.9157.3.0:39919</v>
      </c>
      <c r="E9158" s="6" t="str">
        <f>_xll.QS.INSTRUMENT.SWAP("swap.9156",H9158,B9158,"USD","SOFR",I9158,J9158,0,"Actual360","Simple","Annual","Annual","Annual")</f>
        <v>QSObject:Swap:w1~swap.9156:890</v>
      </c>
      <c r="F9158" s="6" t="str">
        <f>_xll.QS.TRADE.CREATE("trade.9156",E9158,A9158,"Receive")</f>
        <v>QSObject:SwapTrade:w1~trade.9156:22623</v>
      </c>
      <c r="G9158" s="3">
        <f>_xll.QS.EVALUATE(C9158,F9158)</f>
        <v>31507.784683190563</v>
      </c>
      <c r="H9158" s="5" t="s">
        <v>9199</v>
      </c>
      <c r="I9158" s="7">
        <v>1915600</v>
      </c>
      <c r="J9158" s="8">
        <v>3.5600000000000007E-2</v>
      </c>
    </row>
    <row r="9159" spans="1:10" x14ac:dyDescent="0.25">
      <c r="A9159" s="5" t="s">
        <v>9193</v>
      </c>
      <c r="B9159" s="5" t="s">
        <v>11026</v>
      </c>
      <c r="C9159" s="6" t="str">
        <f>_xll.QS.CONTEXT.CREATE("market.9157",A9159,"USD","SOFR")</f>
        <v>QSObject:PricingContext:w1~market.9157:889</v>
      </c>
      <c r="D9159" s="6" t="str">
        <f>_xll.QS.CONTEXT.ADD.CURVE(C9159,"SOFR",$K$2:$K$7,$L$2:$L$7,,,"Actual360","LogLinear",TRUE)</f>
        <v>QSObject:ContextInput:w1~input.qs_context_add_curve.2359132437744.9158.3.0:39918</v>
      </c>
      <c r="E9159" s="6" t="str">
        <f>_xll.QS.INSTRUMENT.SWAP("swap.9157",H9159,B9159,"USD","SOFR",I9159,J9159,0,"Actual360","Simple","Annual","Annual","Annual")</f>
        <v>QSObject:Swap:w1~swap.9157:888</v>
      </c>
      <c r="F9159" s="6" t="str">
        <f>_xll.QS.TRADE.CREATE("trade.9157",E9159,A9159,"Receive")</f>
        <v>QSObject:SwapTrade:w1~trade.9157:22622</v>
      </c>
      <c r="G9159" s="3">
        <f>_xll.QS.EVALUATE(C9159,F9159)</f>
        <v>32449.435162315625</v>
      </c>
      <c r="H9159" s="5" t="s">
        <v>9200</v>
      </c>
      <c r="I9159" s="7">
        <v>1915700</v>
      </c>
      <c r="J9159" s="8">
        <v>3.5700000000000003E-2</v>
      </c>
    </row>
    <row r="9160" spans="1:10" x14ac:dyDescent="0.25">
      <c r="A9160" s="5" t="s">
        <v>9194</v>
      </c>
      <c r="B9160" s="5" t="s">
        <v>11027</v>
      </c>
      <c r="C9160" s="6" t="str">
        <f>_xll.QS.CONTEXT.CREATE("market.9158",A9160,"USD","SOFR")</f>
        <v>QSObject:PricingContext:w1~market.9158:887</v>
      </c>
      <c r="D9160" s="6" t="str">
        <f>_xll.QS.CONTEXT.ADD.CURVE(C9160,"SOFR",$K$2:$K$7,$L$2:$L$7,,,"Actual360","LogLinear",TRUE)</f>
        <v>QSObject:ContextInput:w1~input.qs_context_add_curve.2359132437744.9159.3.0:39917</v>
      </c>
      <c r="E9160" s="6" t="str">
        <f>_xll.QS.INSTRUMENT.SWAP("swap.9158",H9160,B9160,"USD","SOFR",I9160,J9160,0,"Actual360","Simple","Annual","Annual","Annual")</f>
        <v>QSObject:Swap:w1~swap.9158:886</v>
      </c>
      <c r="F9160" s="6" t="str">
        <f>_xll.QS.TRADE.CREATE("trade.9158",E9160,A9160,"Receive")</f>
        <v>QSObject:SwapTrade:w1~trade.9158:22621</v>
      </c>
      <c r="G9160" s="3">
        <f>_xll.QS.EVALUATE(C9160,F9160)</f>
        <v>33548.294166415719</v>
      </c>
      <c r="H9160" s="5" t="s">
        <v>9201</v>
      </c>
      <c r="I9160" s="7">
        <v>1915800</v>
      </c>
      <c r="J9160" s="8">
        <v>3.5800000000000012E-2</v>
      </c>
    </row>
    <row r="9161" spans="1:10" x14ac:dyDescent="0.25">
      <c r="A9161" s="5" t="s">
        <v>9195</v>
      </c>
      <c r="B9161" s="5" t="s">
        <v>11028</v>
      </c>
      <c r="C9161" s="6" t="str">
        <f>_xll.QS.CONTEXT.CREATE("market.9159",A9161,"USD","SOFR")</f>
        <v>QSObject:PricingContext:w1~market.9159:885</v>
      </c>
      <c r="D9161" s="6" t="str">
        <f>_xll.QS.CONTEXT.ADD.CURVE(C9161,"SOFR",$K$2:$K$7,$L$2:$L$7,,,"Actual360","LogLinear",TRUE)</f>
        <v>QSObject:ContextInput:w1~input.qs_context_add_curve.2359132437744.9160.3.0:39916</v>
      </c>
      <c r="E9161" s="6" t="str">
        <f>_xll.QS.INSTRUMENT.SWAP("swap.9159",H9161,B9161,"USD","SOFR",I9161,J9161,0,"Actual360","Simple","Annual","Annual","Annual")</f>
        <v>QSObject:Swap:w1~swap.9159:884</v>
      </c>
      <c r="F9161" s="6" t="str">
        <f>_xll.QS.TRADE.CREATE("trade.9159",E9161,A9161,"Receive")</f>
        <v>QSObject:SwapTrade:w1~trade.9159:22620</v>
      </c>
      <c r="G9161" s="3">
        <f>_xll.QS.EVALUATE(C9161,F9161)</f>
        <v>34442.801767422206</v>
      </c>
      <c r="H9161" s="5" t="s">
        <v>9202</v>
      </c>
      <c r="I9161" s="7">
        <v>1915900</v>
      </c>
      <c r="J9161" s="8">
        <v>3.5900000000000001E-2</v>
      </c>
    </row>
    <row r="9162" spans="1:10" x14ac:dyDescent="0.25">
      <c r="A9162" s="5" t="s">
        <v>9196</v>
      </c>
      <c r="B9162" s="5" t="s">
        <v>11029</v>
      </c>
      <c r="C9162" s="6" t="str">
        <f>_xll.QS.CONTEXT.CREATE("market.9160",A9162,"USD","SOFR")</f>
        <v>QSObject:PricingContext:w1~market.9160:883</v>
      </c>
      <c r="D9162" s="6" t="str">
        <f>_xll.QS.CONTEXT.ADD.CURVE(C9162,"SOFR",$K$2:$K$7,$L$2:$L$7,,,"Actual360","LogLinear",TRUE)</f>
        <v>QSObject:ContextInput:w1~input.qs_context_add_curve.2359132437744.9161.3.0:39915</v>
      </c>
      <c r="E9162" s="6" t="str">
        <f>_xll.QS.INSTRUMENT.SWAP("swap.9160",H9162,B9162,"USD","SOFR",I9162,J9162,0,"Actual360","Simple","Annual","Annual","Annual")</f>
        <v>QSObject:Swap:w1~swap.9160:882</v>
      </c>
      <c r="F9162" s="6" t="str">
        <f>_xll.QS.TRADE.CREATE("trade.9160",E9162,A9162,"Receive")</f>
        <v>QSObject:SwapTrade:w1~trade.9160:22619</v>
      </c>
      <c r="G9162" s="3">
        <f>_xll.QS.EVALUATE(C9162,F9162)</f>
        <v>35255.494343044338</v>
      </c>
      <c r="H9162" s="5" t="s">
        <v>9203</v>
      </c>
      <c r="I9162" s="7">
        <v>1916000</v>
      </c>
      <c r="J9162" s="8">
        <v>3.5999999999999997E-2</v>
      </c>
    </row>
    <row r="9163" spans="1:10" x14ac:dyDescent="0.25">
      <c r="A9163" s="5" t="s">
        <v>9197</v>
      </c>
      <c r="B9163" s="5" t="s">
        <v>11030</v>
      </c>
      <c r="C9163" s="6" t="str">
        <f>_xll.QS.CONTEXT.CREATE("market.9161",A9163,"USD","SOFR")</f>
        <v>QSObject:PricingContext:w1~market.9161:881</v>
      </c>
      <c r="D9163" s="6" t="str">
        <f>_xll.QS.CONTEXT.ADD.CURVE(C9163,"SOFR",$K$2:$K$7,$L$2:$L$7,,,"Actual360","LogLinear",TRUE)</f>
        <v>QSObject:ContextInput:w1~input.qs_context_add_curve.2359132437744.9162.3.0:39914</v>
      </c>
      <c r="E9163" s="6" t="str">
        <f>_xll.QS.INSTRUMENT.SWAP("swap.9161",H9163,B9163,"USD","SOFR",I9163,J9163,0,"Actual360","Simple","Annual","Annual","Annual")</f>
        <v>QSObject:Swap:w1~swap.9161:880</v>
      </c>
      <c r="F9163" s="6" t="str">
        <f>_xll.QS.TRADE.CREATE("trade.9161",E9163,A9163,"Receive")</f>
        <v>QSObject:SwapTrade:w1~trade.9161:22618</v>
      </c>
      <c r="G9163" s="3">
        <f>_xll.QS.EVALUATE(C9163,F9163)</f>
        <v>36017.334556699905</v>
      </c>
      <c r="H9163" s="5" t="s">
        <v>9204</v>
      </c>
      <c r="I9163" s="7">
        <v>1916100</v>
      </c>
      <c r="J9163" s="8">
        <v>3.61E-2</v>
      </c>
    </row>
    <row r="9164" spans="1:10" x14ac:dyDescent="0.25">
      <c r="A9164" s="5" t="s">
        <v>9198</v>
      </c>
      <c r="B9164" s="5" t="s">
        <v>11031</v>
      </c>
      <c r="C9164" s="6" t="str">
        <f>_xll.QS.CONTEXT.CREATE("market.9162",A9164,"USD","SOFR")</f>
        <v>QSObject:PricingContext:w1~market.9162:879</v>
      </c>
      <c r="D9164" s="6" t="str">
        <f>_xll.QS.CONTEXT.ADD.CURVE(C9164,"SOFR",$K$2:$K$7,$L$2:$L$7,,,"Actual360","LogLinear",TRUE)</f>
        <v>QSObject:ContextInput:w1~input.qs_context_add_curve.2359132437744.9163.3.0:39913</v>
      </c>
      <c r="E9164" s="6" t="str">
        <f>_xll.QS.INSTRUMENT.SWAP("swap.9162",H9164,B9164,"USD","SOFR",I9164,J9164,0,"Actual360","Simple","Annual","Annual","Annual")</f>
        <v>QSObject:Swap:w1~swap.9162:878</v>
      </c>
      <c r="F9164" s="6" t="str">
        <f>_xll.QS.TRADE.CREATE("trade.9162",E9164,A9164,"Receive")</f>
        <v>QSObject:SwapTrade:w1~trade.9162:22617</v>
      </c>
      <c r="G9164" s="3">
        <f>_xll.QS.EVALUATE(C9164,F9164)</f>
        <v>36741.515049842448</v>
      </c>
      <c r="H9164" s="5" t="s">
        <v>9205</v>
      </c>
      <c r="I9164" s="7">
        <v>1916200</v>
      </c>
      <c r="J9164" s="8">
        <v>3.6200000000000003E-2</v>
      </c>
    </row>
    <row r="9165" spans="1:10" x14ac:dyDescent="0.25">
      <c r="A9165" s="5" t="s">
        <v>9199</v>
      </c>
      <c r="B9165" s="5" t="s">
        <v>11032</v>
      </c>
      <c r="C9165" s="6" t="str">
        <f>_xll.QS.CONTEXT.CREATE("market.9163",A9165,"USD","SOFR")</f>
        <v>QSObject:PricingContext:w1~market.9163:877</v>
      </c>
      <c r="D9165" s="6" t="str">
        <f>_xll.QS.CONTEXT.ADD.CURVE(C9165,"SOFR",$K$2:$K$7,$L$2:$L$7,,,"Actual360","LogLinear",TRUE)</f>
        <v>QSObject:ContextInput:w1~input.qs_context_add_curve.2359132437744.9164.3.0:31676</v>
      </c>
      <c r="E9165" s="6" t="str">
        <f>_xll.QS.INSTRUMENT.SWAP("swap.9163",H9165,B9165,"USD","SOFR",I9165,J9165,0,"Actual360","Simple","Annual","Annual","Annual")</f>
        <v>QSObject:Swap:w1~swap.9163:876</v>
      </c>
      <c r="F9165" s="6" t="str">
        <f>_xll.QS.TRADE.CREATE("trade.9163",E9165,A9165,"Receive")</f>
        <v>QSObject:SwapTrade:w1~trade.9163:22616</v>
      </c>
      <c r="G9165" s="3">
        <f>_xll.QS.EVALUATE(C9165,F9165)</f>
        <v>37707.992516529535</v>
      </c>
      <c r="H9165" s="5" t="s">
        <v>9206</v>
      </c>
      <c r="I9165" s="7">
        <v>1916300</v>
      </c>
      <c r="J9165" s="8">
        <v>3.6300000000000013E-2</v>
      </c>
    </row>
    <row r="9166" spans="1:10" x14ac:dyDescent="0.25">
      <c r="A9166" s="5" t="s">
        <v>9200</v>
      </c>
      <c r="B9166" s="5" t="s">
        <v>11033</v>
      </c>
      <c r="C9166" s="6" t="str">
        <f>_xll.QS.CONTEXT.CREATE("market.9164",A9166,"USD","SOFR")</f>
        <v>QSObject:PricingContext:w1~market.9164:875</v>
      </c>
      <c r="D9166" s="6" t="str">
        <f>_xll.QS.CONTEXT.ADD.CURVE(C9166,"SOFR",$K$2:$K$7,$L$2:$L$7,,,"Actual360","LogLinear",TRUE)</f>
        <v>QSObject:ContextInput:w1~input.qs_context_add_curve.2359132437744.9165.3.0:31675</v>
      </c>
      <c r="E9166" s="6" t="str">
        <f>_xll.QS.INSTRUMENT.SWAP("swap.9164",H9166,B9166,"USD","SOFR",I9166,J9166,0,"Actual360","Simple","Annual","Annual","Annual")</f>
        <v>QSObject:Swap:w1~swap.9164:874</v>
      </c>
      <c r="F9166" s="6" t="str">
        <f>_xll.QS.TRADE.CREATE("trade.9164",E9166,A9166,"Receive")</f>
        <v>QSObject:SwapTrade:w1~trade.9164:22615</v>
      </c>
      <c r="G9166" s="3">
        <f>_xll.QS.EVALUATE(C9166,F9166)</f>
        <v>38647.279302392235</v>
      </c>
      <c r="H9166" s="5" t="s">
        <v>9207</v>
      </c>
      <c r="I9166" s="7">
        <v>1916400</v>
      </c>
      <c r="J9166" s="8">
        <v>3.6400000000000002E-2</v>
      </c>
    </row>
    <row r="9167" spans="1:10" x14ac:dyDescent="0.25">
      <c r="A9167" s="5" t="s">
        <v>9201</v>
      </c>
      <c r="B9167" s="5" t="s">
        <v>11034</v>
      </c>
      <c r="C9167" s="6" t="str">
        <f>_xll.QS.CONTEXT.CREATE("market.9165",A9167,"USD","SOFR")</f>
        <v>QSObject:PricingContext:w1~market.9165:873</v>
      </c>
      <c r="D9167" s="6" t="str">
        <f>_xll.QS.CONTEXT.ADD.CURVE(C9167,"SOFR",$K$2:$K$7,$L$2:$L$7,,,"Actual360","LogLinear",TRUE)</f>
        <v>QSObject:ContextInput:w1~input.qs_context_add_curve.2359132437744.9166.3.0:31674</v>
      </c>
      <c r="E9167" s="6" t="str">
        <f>_xll.QS.INSTRUMENT.SWAP("swap.9165",H9167,B9167,"USD","SOFR",I9167,J9167,0,"Actual360","Simple","Annual","Annual","Annual")</f>
        <v>QSObject:Swap:w1~swap.9165:872</v>
      </c>
      <c r="F9167" s="6" t="str">
        <f>_xll.QS.TRADE.CREATE("trade.9165",E9167,A9167,"Receive")</f>
        <v>QSObject:SwapTrade:w1~trade.9165:22614</v>
      </c>
      <c r="G9167" s="3">
        <f>_xll.QS.EVALUATE(C9167,F9167)</f>
        <v>39672.994977775663</v>
      </c>
      <c r="H9167" s="5" t="s">
        <v>9208</v>
      </c>
      <c r="I9167" s="7">
        <v>1916500</v>
      </c>
      <c r="J9167" s="8">
        <v>3.6499999999999998E-2</v>
      </c>
    </row>
    <row r="9168" spans="1:10" x14ac:dyDescent="0.25">
      <c r="A9168" s="5" t="s">
        <v>9202</v>
      </c>
      <c r="B9168" s="5" t="s">
        <v>11035</v>
      </c>
      <c r="C9168" s="6" t="str">
        <f>_xll.QS.CONTEXT.CREATE("market.9166",A9168,"USD","SOFR")</f>
        <v>QSObject:PricingContext:w1~market.9166:871</v>
      </c>
      <c r="D9168" s="6" t="str">
        <f>_xll.QS.CONTEXT.ADD.CURVE(C9168,"SOFR",$K$2:$K$7,$L$2:$L$7,,,"Actual360","LogLinear",TRUE)</f>
        <v>QSObject:ContextInput:w1~input.qs_context_add_curve.2359132437744.9167.3.0:31673</v>
      </c>
      <c r="E9168" s="6" t="str">
        <f>_xll.QS.INSTRUMENT.SWAP("swap.9166",H9168,B9168,"USD","SOFR",I9168,J9168,0,"Actual360","Simple","Annual","Annual","Annual")</f>
        <v>QSObject:Swap:w1~swap.9166:870</v>
      </c>
      <c r="F9168" s="6" t="str">
        <f>_xll.QS.TRADE.CREATE("trade.9166",E9168,A9168,"Receive")</f>
        <v>QSObject:SwapTrade:w1~trade.9166:22613</v>
      </c>
      <c r="G9168" s="3">
        <f>_xll.QS.EVALUATE(C9168,F9168)</f>
        <v>40642.177522425496</v>
      </c>
      <c r="H9168" s="5" t="s">
        <v>9209</v>
      </c>
      <c r="I9168" s="7">
        <v>1916600</v>
      </c>
      <c r="J9168" s="8">
        <v>3.6600000000000001E-2</v>
      </c>
    </row>
    <row r="9169" spans="1:10" x14ac:dyDescent="0.25">
      <c r="A9169" s="5" t="s">
        <v>9203</v>
      </c>
      <c r="B9169" s="5" t="s">
        <v>11036</v>
      </c>
      <c r="C9169" s="6" t="str">
        <f>_xll.QS.CONTEXT.CREATE("market.9167",A9169,"USD","SOFR")</f>
        <v>QSObject:PricingContext:w1~market.9167:869</v>
      </c>
      <c r="D9169" s="6" t="str">
        <f>_xll.QS.CONTEXT.ADD.CURVE(C9169,"SOFR",$K$2:$K$7,$L$2:$L$7,,,"Actual360","LogLinear",TRUE)</f>
        <v>QSObject:ContextInput:w1~input.qs_context_add_curve.2359132437744.9168.3.0:31672</v>
      </c>
      <c r="E9169" s="6" t="str">
        <f>_xll.QS.INSTRUMENT.SWAP("swap.9167",H9169,B9169,"USD","SOFR",I9169,J9169,0,"Actual360","Simple","Annual","Annual","Annual")</f>
        <v>QSObject:Swap:w1~swap.9167:868</v>
      </c>
      <c r="F9169" s="6" t="str">
        <f>_xll.QS.TRADE.CREATE("trade.9167",E9169,A9169,"Receive")</f>
        <v>QSObject:SwapTrade:w1~trade.9167:22612</v>
      </c>
      <c r="G9169" s="3">
        <f>_xll.QS.EVALUATE(C9169,F9169)</f>
        <v>41455.270116457461</v>
      </c>
      <c r="H9169" s="5" t="s">
        <v>9210</v>
      </c>
      <c r="I9169" s="7">
        <v>1916700</v>
      </c>
      <c r="J9169" s="8">
        <v>3.6700000000000003E-2</v>
      </c>
    </row>
    <row r="9170" spans="1:10" x14ac:dyDescent="0.25">
      <c r="A9170" s="5" t="s">
        <v>9204</v>
      </c>
      <c r="B9170" s="5" t="s">
        <v>11037</v>
      </c>
      <c r="C9170" s="6" t="str">
        <f>_xll.QS.CONTEXT.CREATE("market.9168",A9170,"USD","SOFR")</f>
        <v>QSObject:PricingContext:w1~market.9168:867</v>
      </c>
      <c r="D9170" s="6" t="str">
        <f>_xll.QS.CONTEXT.ADD.CURVE(C9170,"SOFR",$K$2:$K$7,$L$2:$L$7,,,"Actual360","LogLinear",TRUE)</f>
        <v>QSObject:ContextInput:w1~input.qs_context_add_curve.2359132437744.9169.3.0:31671</v>
      </c>
      <c r="E9170" s="6" t="str">
        <f>_xll.QS.INSTRUMENT.SWAP("swap.9168",H9170,B9170,"USD","SOFR",I9170,J9170,0,"Actual360","Simple","Annual","Annual","Annual")</f>
        <v>QSObject:Swap:w1~swap.9168:866</v>
      </c>
      <c r="F9170" s="6" t="str">
        <f>_xll.QS.TRADE.CREATE("trade.9168",E9170,A9170,"Receive")</f>
        <v>QSObject:SwapTrade:w1~trade.9168:22611</v>
      </c>
      <c r="G9170" s="3">
        <f>_xll.QS.EVALUATE(C9170,F9170)</f>
        <v>42183.053091908121</v>
      </c>
      <c r="H9170" s="5" t="s">
        <v>9211</v>
      </c>
      <c r="I9170" s="7">
        <v>1916800</v>
      </c>
      <c r="J9170" s="8">
        <v>3.6800000000000013E-2</v>
      </c>
    </row>
    <row r="9171" spans="1:10" x14ac:dyDescent="0.25">
      <c r="A9171" s="5" t="s">
        <v>9205</v>
      </c>
      <c r="B9171" s="5" t="s">
        <v>11038</v>
      </c>
      <c r="C9171" s="6" t="str">
        <f>_xll.QS.CONTEXT.CREATE("market.9169",A9171,"USD","SOFR")</f>
        <v>QSObject:PricingContext:w1~market.9169:865</v>
      </c>
      <c r="D9171" s="6" t="str">
        <f>_xll.QS.CONTEXT.ADD.CURVE(C9171,"SOFR",$K$2:$K$7,$L$2:$L$7,,,"Actual360","LogLinear",TRUE)</f>
        <v>QSObject:ContextInput:w1~input.qs_context_add_curve.2359132437744.9170.3.0:31670</v>
      </c>
      <c r="E9171" s="6" t="str">
        <f>_xll.QS.INSTRUMENT.SWAP("swap.9169",H9171,B9171,"USD","SOFR",I9171,J9171,0,"Actual360","Simple","Annual","Annual","Annual")</f>
        <v>QSObject:Swap:w1~swap.9169:864</v>
      </c>
      <c r="F9171" s="6" t="str">
        <f>_xll.QS.TRADE.CREATE("trade.9169",E9171,A9171,"Receive")</f>
        <v>QSObject:SwapTrade:w1~trade.9169:22610</v>
      </c>
      <c r="G9171" s="3">
        <f>_xll.QS.EVALUATE(C9171,F9171)</f>
        <v>42865.498022644017</v>
      </c>
      <c r="H9171" s="5" t="s">
        <v>9212</v>
      </c>
      <c r="I9171" s="7">
        <v>1916900</v>
      </c>
      <c r="J9171" s="8">
        <v>3.6900000000000002E-2</v>
      </c>
    </row>
    <row r="9172" spans="1:10" x14ac:dyDescent="0.25">
      <c r="A9172" s="5" t="s">
        <v>9206</v>
      </c>
      <c r="B9172" s="5" t="s">
        <v>11039</v>
      </c>
      <c r="C9172" s="6" t="str">
        <f>_xll.QS.CONTEXT.CREATE("market.9170",A9172,"USD","SOFR")</f>
        <v>QSObject:PricingContext:w1~market.9170:863</v>
      </c>
      <c r="D9172" s="6" t="str">
        <f>_xll.QS.CONTEXT.ADD.CURVE(C9172,"SOFR",$K$2:$K$7,$L$2:$L$7,,,"Actual360","LogLinear",TRUE)</f>
        <v>QSObject:ContextInput:w1~input.qs_context_add_curve.2359132437744.9171.3.0:31669</v>
      </c>
      <c r="E9172" s="6" t="str">
        <f>_xll.QS.INSTRUMENT.SWAP("swap.9170",H9172,B9172,"USD","SOFR",I9172,J9172,0,"Actual360","Simple","Annual","Annual","Annual")</f>
        <v>QSObject:Swap:w1~swap.9170:862</v>
      </c>
      <c r="F9172" s="6" t="str">
        <f>_xll.QS.TRADE.CREATE("trade.9170",E9172,A9172,"Receive")</f>
        <v>QSObject:SwapTrade:w1~trade.9170:22609</v>
      </c>
      <c r="G9172" s="3">
        <f>_xll.QS.EVALUATE(C9172,F9172)</f>
        <v>43833.764968471121</v>
      </c>
      <c r="H9172" s="5" t="s">
        <v>9213</v>
      </c>
      <c r="I9172" s="7">
        <v>1917000</v>
      </c>
      <c r="J9172" s="8">
        <v>3.7000000000000012E-2</v>
      </c>
    </row>
    <row r="9173" spans="1:10" x14ac:dyDescent="0.25">
      <c r="A9173" s="5" t="s">
        <v>9207</v>
      </c>
      <c r="B9173" s="5" t="s">
        <v>11040</v>
      </c>
      <c r="C9173" s="6" t="str">
        <f>_xll.QS.CONTEXT.CREATE("market.9171",A9173,"USD","SOFR")</f>
        <v>QSObject:PricingContext:w1~market.9171:861</v>
      </c>
      <c r="D9173" s="6" t="str">
        <f>_xll.QS.CONTEXT.ADD.CURVE(C9173,"SOFR",$K$2:$K$7,$L$2:$L$7,,,"Actual360","LogLinear",TRUE)</f>
        <v>QSObject:ContextInput:w1~input.qs_context_add_curve.2359132437744.9172.3.0:31668</v>
      </c>
      <c r="E9173" s="6" t="str">
        <f>_xll.QS.INSTRUMENT.SWAP("swap.9171",H9173,B9173,"USD","SOFR",I9173,J9173,0,"Actual360","Simple","Annual","Annual","Annual")</f>
        <v>QSObject:Swap:w1~swap.9171:860</v>
      </c>
      <c r="F9173" s="6" t="str">
        <f>_xll.QS.TRADE.CREATE("trade.9171",E9173,A9173,"Receive")</f>
        <v>QSObject:SwapTrade:w1~trade.9171:22608</v>
      </c>
      <c r="G9173" s="3">
        <f>_xll.QS.EVALUATE(C9173,F9173)</f>
        <v>44799.491497238581</v>
      </c>
      <c r="H9173" s="5" t="s">
        <v>9214</v>
      </c>
      <c r="I9173" s="7">
        <v>1917100</v>
      </c>
      <c r="J9173" s="8">
        <v>3.7100000000000001E-2</v>
      </c>
    </row>
    <row r="9174" spans="1:10" x14ac:dyDescent="0.25">
      <c r="A9174" s="5" t="s">
        <v>9208</v>
      </c>
      <c r="B9174" s="5" t="s">
        <v>11041</v>
      </c>
      <c r="C9174" s="6" t="str">
        <f>_xll.QS.CONTEXT.CREATE("market.9172",A9174,"USD","SOFR")</f>
        <v>QSObject:PricingContext:w1~market.9172:859</v>
      </c>
      <c r="D9174" s="6" t="str">
        <f>_xll.QS.CONTEXT.ADD.CURVE(C9174,"SOFR",$K$2:$K$7,$L$2:$L$7,,,"Actual360","LogLinear",TRUE)</f>
        <v>QSObject:ContextInput:w1~input.qs_context_add_curve.2359132437744.9173.3.0:31667</v>
      </c>
      <c r="E9174" s="6" t="str">
        <f>_xll.QS.INSTRUMENT.SWAP("swap.9172",H9174,B9174,"USD","SOFR",I9174,J9174,0,"Actual360","Simple","Annual","Annual","Annual")</f>
        <v>QSObject:Swap:w1~swap.9172:858</v>
      </c>
      <c r="F9174" s="6" t="str">
        <f>_xll.QS.TRADE.CREATE("trade.9172",E9174,A9174,"Receive")</f>
        <v>QSObject:SwapTrade:w1~trade.9172:22607</v>
      </c>
      <c r="G9174" s="3">
        <f>_xll.QS.EVALUATE(C9174,F9174)</f>
        <v>45946.669970521019</v>
      </c>
      <c r="H9174" s="5" t="s">
        <v>9215</v>
      </c>
      <c r="I9174" s="7">
        <v>1917200</v>
      </c>
      <c r="J9174" s="8">
        <v>3.7199999999999997E-2</v>
      </c>
    </row>
    <row r="9175" spans="1:10" x14ac:dyDescent="0.25">
      <c r="A9175" s="5" t="s">
        <v>9209</v>
      </c>
      <c r="B9175" s="5" t="s">
        <v>11042</v>
      </c>
      <c r="C9175" s="6" t="str">
        <f>_xll.QS.CONTEXT.CREATE("market.9173",A9175,"USD","SOFR")</f>
        <v>QSObject:PricingContext:w1~market.9173:857</v>
      </c>
      <c r="D9175" s="6" t="str">
        <f>_xll.QS.CONTEXT.ADD.CURVE(C9175,"SOFR",$K$2:$K$7,$L$2:$L$7,,,"Actual360","LogLinear",TRUE)</f>
        <v>QSObject:ContextInput:w1~input.qs_context_add_curve.2359132437744.9174.3.0:31666</v>
      </c>
      <c r="E9175" s="6" t="str">
        <f>_xll.QS.INSTRUMENT.SWAP("swap.9173",H9175,B9175,"USD","SOFR",I9175,J9175,0,"Actual360","Simple","Annual","Annual","Annual")</f>
        <v>QSObject:Swap:w1~swap.9173:856</v>
      </c>
      <c r="F9175" s="6" t="str">
        <f>_xll.QS.TRADE.CREATE("trade.9173",E9175,A9175,"Receive")</f>
        <v>QSObject:SwapTrade:w1~trade.9173:22606</v>
      </c>
      <c r="G9175" s="3">
        <f>_xll.QS.EVALUATE(C9175,F9175)</f>
        <v>46851.385753841292</v>
      </c>
      <c r="H9175" s="5" t="s">
        <v>9216</v>
      </c>
      <c r="I9175" s="7">
        <v>1917300</v>
      </c>
      <c r="J9175" s="8">
        <v>3.73E-2</v>
      </c>
    </row>
    <row r="9176" spans="1:10" x14ac:dyDescent="0.25">
      <c r="A9176" s="5" t="s">
        <v>9210</v>
      </c>
      <c r="B9176" s="5" t="s">
        <v>11043</v>
      </c>
      <c r="C9176" s="6" t="str">
        <f>_xll.QS.CONTEXT.CREATE("market.9174",A9176,"USD","SOFR")</f>
        <v>QSObject:PricingContext:w1~market.9174:855</v>
      </c>
      <c r="D9176" s="6" t="str">
        <f>_xll.QS.CONTEXT.ADD.CURVE(C9176,"SOFR",$K$2:$K$7,$L$2:$L$7,,,"Actual360","LogLinear",TRUE)</f>
        <v>QSObject:ContextInput:w1~input.qs_context_add_curve.2359132437744.9175.3.0:31665</v>
      </c>
      <c r="E9176" s="6" t="str">
        <f>_xll.QS.INSTRUMENT.SWAP("swap.9174",H9176,B9176,"USD","SOFR",I9176,J9176,0,"Actual360","Simple","Annual","Annual","Annual")</f>
        <v>QSObject:Swap:w1~swap.9174:854</v>
      </c>
      <c r="F9176" s="6" t="str">
        <f>_xll.QS.TRADE.CREATE("trade.9174",E9176,A9176,"Receive")</f>
        <v>QSObject:SwapTrade:w1~trade.9174:22605</v>
      </c>
      <c r="G9176" s="3">
        <f>_xll.QS.EVALUATE(C9176,F9176)</f>
        <v>47738.350438237212</v>
      </c>
      <c r="H9176" s="5" t="s">
        <v>9217</v>
      </c>
      <c r="I9176" s="7">
        <v>1917400</v>
      </c>
      <c r="J9176" s="8">
        <v>3.7400000000000003E-2</v>
      </c>
    </row>
    <row r="9177" spans="1:10" x14ac:dyDescent="0.25">
      <c r="A9177" s="5" t="s">
        <v>9211</v>
      </c>
      <c r="B9177" s="5" t="s">
        <v>11044</v>
      </c>
      <c r="C9177" s="6" t="str">
        <f>_xll.QS.CONTEXT.CREATE("market.9175",A9177,"USD","SOFR")</f>
        <v>QSObject:PricingContext:w1~market.9175:853</v>
      </c>
      <c r="D9177" s="6" t="str">
        <f>_xll.QS.CONTEXT.ADD.CURVE(C9177,"SOFR",$K$2:$K$7,$L$2:$L$7,,,"Actual360","LogLinear",TRUE)</f>
        <v>QSObject:ContextInput:w1~input.qs_context_add_curve.2359132437744.9176.3.0:31664</v>
      </c>
      <c r="E9177" s="6" t="str">
        <f>_xll.QS.INSTRUMENT.SWAP("swap.9175",H9177,B9177,"USD","SOFR",I9177,J9177,0,"Actual360","Simple","Annual","Annual","Annual")</f>
        <v>QSObject:Swap:w1~swap.9175:852</v>
      </c>
      <c r="F9177" s="6" t="str">
        <f>_xll.QS.TRADE.CREATE("trade.9175",E9177,A9177,"Receive")</f>
        <v>QSObject:SwapTrade:w1~trade.9175:22604</v>
      </c>
      <c r="G9177" s="3">
        <f>_xll.QS.EVALUATE(C9177,F9177)</f>
        <v>48487.095271616767</v>
      </c>
      <c r="H9177" s="5" t="s">
        <v>9218</v>
      </c>
      <c r="I9177" s="7">
        <v>1917500</v>
      </c>
      <c r="J9177" s="8">
        <v>3.7500000000000012E-2</v>
      </c>
    </row>
    <row r="9178" spans="1:10" x14ac:dyDescent="0.25">
      <c r="A9178" s="5" t="s">
        <v>9212</v>
      </c>
      <c r="B9178" s="5" t="s">
        <v>11045</v>
      </c>
      <c r="C9178" s="6" t="str">
        <f>_xll.QS.CONTEXT.CREATE("market.9176",A9178,"USD","SOFR")</f>
        <v>QSObject:PricingContext:w1~market.9176:851</v>
      </c>
      <c r="D9178" s="6" t="str">
        <f>_xll.QS.CONTEXT.ADD.CURVE(C9178,"SOFR",$K$2:$K$7,$L$2:$L$7,,,"Actual360","LogLinear",TRUE)</f>
        <v>QSObject:ContextInput:w1~input.qs_context_add_curve.2359132437744.9177.3.0:31663</v>
      </c>
      <c r="E9178" s="6" t="str">
        <f>_xll.QS.INSTRUMENT.SWAP("swap.9176",H9178,B9178,"USD","SOFR",I9178,J9178,0,"Actual360","Simple","Annual","Annual","Annual")</f>
        <v>QSObject:Swap:w1~swap.9176:850</v>
      </c>
      <c r="F9178" s="6" t="str">
        <f>_xll.QS.TRADE.CREATE("trade.9176",E9178,A9178,"Receive")</f>
        <v>QSObject:SwapTrade:w1~trade.9176:22603</v>
      </c>
      <c r="G9178" s="3">
        <f>_xll.QS.EVALUATE(C9178,F9178)</f>
        <v>49231.460353129682</v>
      </c>
      <c r="H9178" s="5" t="s">
        <v>9219</v>
      </c>
      <c r="I9178" s="7">
        <v>1917600</v>
      </c>
      <c r="J9178" s="8">
        <v>3.7600000000000001E-2</v>
      </c>
    </row>
    <row r="9179" spans="1:10" x14ac:dyDescent="0.25">
      <c r="A9179" s="5" t="s">
        <v>9213</v>
      </c>
      <c r="B9179" s="5" t="s">
        <v>11046</v>
      </c>
      <c r="C9179" s="6" t="str">
        <f>_xll.QS.CONTEXT.CREATE("market.9177",A9179,"USD","SOFR")</f>
        <v>QSObject:PricingContext:w1~market.9177:849</v>
      </c>
      <c r="D9179" s="6" t="str">
        <f>_xll.QS.CONTEXT.ADD.CURVE(C9179,"SOFR",$K$2:$K$7,$L$2:$L$7,,,"Actual360","LogLinear",TRUE)</f>
        <v>QSObject:ContextInput:w1~input.qs_context_add_curve.2359132437744.9178.3.0:31662</v>
      </c>
      <c r="E9179" s="6" t="str">
        <f>_xll.QS.INSTRUMENT.SWAP("swap.9177",H9179,B9179,"USD","SOFR",I9179,J9179,0,"Actual360","Simple","Annual","Annual","Annual")</f>
        <v>QSObject:Swap:w1~swap.9177:848</v>
      </c>
      <c r="F9179" s="6" t="str">
        <f>_xll.QS.TRADE.CREATE("trade.9177",E9179,A9179,"Receive")</f>
        <v>QSObject:SwapTrade:w1~trade.9177:22602</v>
      </c>
      <c r="G9179" s="3">
        <f>_xll.QS.EVALUATE(C9179,F9179)</f>
        <v>50122.285029110913</v>
      </c>
      <c r="H9179" s="5" t="s">
        <v>9220</v>
      </c>
      <c r="I9179" s="7">
        <v>1917700</v>
      </c>
      <c r="J9179" s="8">
        <v>3.7699999999999997E-2</v>
      </c>
    </row>
    <row r="9180" spans="1:10" x14ac:dyDescent="0.25">
      <c r="A9180" s="5" t="s">
        <v>9214</v>
      </c>
      <c r="B9180" s="5" t="s">
        <v>11047</v>
      </c>
      <c r="C9180" s="6" t="str">
        <f>_xll.QS.CONTEXT.CREATE("market.9178",A9180,"USD","SOFR")</f>
        <v>QSObject:PricingContext:w1~market.9178:847</v>
      </c>
      <c r="D9180" s="6" t="str">
        <f>_xll.QS.CONTEXT.ADD.CURVE(C9180,"SOFR",$K$2:$K$7,$L$2:$L$7,,,"Actual360","LogLinear",TRUE)</f>
        <v>QSObject:ContextInput:w1~input.qs_context_add_curve.2359132437744.9179.3.0:31661</v>
      </c>
      <c r="E9180" s="6" t="str">
        <f>_xll.QS.INSTRUMENT.SWAP("swap.9178",H9180,B9180,"USD","SOFR",I9180,J9180,0,"Actual360","Simple","Annual","Annual","Annual")</f>
        <v>QSObject:Swap:w1~swap.9178:846</v>
      </c>
      <c r="F9180" s="6" t="str">
        <f>_xll.QS.TRADE.CREATE("trade.9178",E9180,A9180,"Receive")</f>
        <v>QSObject:SwapTrade:w1~trade.9178:22601</v>
      </c>
      <c r="G9180" s="3">
        <f>_xll.QS.EVALUATE(C9180,F9180)</f>
        <v>51056.751900784198</v>
      </c>
      <c r="H9180" s="5" t="s">
        <v>9221</v>
      </c>
      <c r="I9180" s="7">
        <v>1917800</v>
      </c>
      <c r="J9180" s="8">
        <v>3.78E-2</v>
      </c>
    </row>
    <row r="9181" spans="1:10" x14ac:dyDescent="0.25">
      <c r="A9181" s="5" t="s">
        <v>9215</v>
      </c>
      <c r="B9181" s="5" t="s">
        <v>11048</v>
      </c>
      <c r="C9181" s="6" t="str">
        <f>_xll.QS.CONTEXT.CREATE("market.9179",A9181,"USD","SOFR")</f>
        <v>QSObject:PricingContext:w1~market.9179:845</v>
      </c>
      <c r="D9181" s="6" t="str">
        <f>_xll.QS.CONTEXT.ADD.CURVE(C9181,"SOFR",$K$2:$K$7,$L$2:$L$7,,,"Actual360","LogLinear",TRUE)</f>
        <v>QSObject:ContextInput:w1~input.qs_context_add_curve.2359132437744.9180.3.0:31660</v>
      </c>
      <c r="E9181" s="6" t="str">
        <f>_xll.QS.INSTRUMENT.SWAP("swap.9179",H9181,B9181,"USD","SOFR",I9181,J9181,0,"Actual360","Simple","Annual","Annual","Annual")</f>
        <v>QSObject:Swap:w1~swap.9179:844</v>
      </c>
      <c r="F9181" s="6" t="str">
        <f>_xll.QS.TRADE.CREATE("trade.9179",E9181,A9181,"Receive")</f>
        <v>QSObject:SwapTrade:w1~trade.9179:22600</v>
      </c>
      <c r="G9181" s="3">
        <f>_xll.QS.EVALUATE(C9181,F9181)</f>
        <v>52083.920439428264</v>
      </c>
      <c r="H9181" s="5" t="s">
        <v>9222</v>
      </c>
      <c r="I9181" s="7">
        <v>1917900</v>
      </c>
      <c r="J9181" s="8">
        <v>3.7900000000000003E-2</v>
      </c>
    </row>
    <row r="9182" spans="1:10" x14ac:dyDescent="0.25">
      <c r="A9182" s="5" t="s">
        <v>9216</v>
      </c>
      <c r="B9182" s="5" t="s">
        <v>11049</v>
      </c>
      <c r="C9182" s="6" t="str">
        <f>_xll.QS.CONTEXT.CREATE("market.9180",A9182,"USD","SOFR")</f>
        <v>QSObject:PricingContext:w1~market.9180:843</v>
      </c>
      <c r="D9182" s="6" t="str">
        <f>_xll.QS.CONTEXT.ADD.CURVE(C9182,"SOFR",$K$2:$K$7,$L$2:$L$7,,,"Actual360","LogLinear",TRUE)</f>
        <v>QSObject:ContextInput:w1~input.qs_context_add_curve.2359132437744.9181.3.0:31659</v>
      </c>
      <c r="E9182" s="6" t="str">
        <f>_xll.QS.INSTRUMENT.SWAP("swap.9180",H9182,B9182,"USD","SOFR",I9182,J9182,0,"Actual360","Simple","Annual","Annual","Annual")</f>
        <v>QSObject:Swap:w1~swap.9180:842</v>
      </c>
      <c r="F9182" s="6" t="str">
        <f>_xll.QS.TRADE.CREATE("trade.9180",E9182,A9182,"Receive")</f>
        <v>QSObject:SwapTrade:w1~trade.9180:22599</v>
      </c>
      <c r="G9182" s="3">
        <f>_xll.QS.EVALUATE(C9182,F9182)</f>
        <v>53054.486647357473</v>
      </c>
      <c r="H9182" s="5" t="s">
        <v>9223</v>
      </c>
      <c r="I9182" s="7">
        <v>1918000</v>
      </c>
      <c r="J9182" s="8">
        <v>3.8000000000000013E-2</v>
      </c>
    </row>
    <row r="9183" spans="1:10" x14ac:dyDescent="0.25">
      <c r="A9183" s="5" t="s">
        <v>9217</v>
      </c>
      <c r="B9183" s="5" t="s">
        <v>11050</v>
      </c>
      <c r="C9183" s="6" t="str">
        <f>_xll.QS.CONTEXT.CREATE("market.9181",A9183,"USD","SOFR")</f>
        <v>QSObject:PricingContext:w1~market.9181:841</v>
      </c>
      <c r="D9183" s="6" t="str">
        <f>_xll.QS.CONTEXT.ADD.CURVE(C9183,"SOFR",$K$2:$K$7,$L$2:$L$7,,,"Actual360","LogLinear",TRUE)</f>
        <v>QSObject:ContextInput:w1~input.qs_context_add_curve.2359132437744.9182.3.0:31658</v>
      </c>
      <c r="E9183" s="6" t="str">
        <f>_xll.QS.INSTRUMENT.SWAP("swap.9181",H9183,B9183,"USD","SOFR",I9183,J9183,0,"Actual360","Simple","Annual","Annual","Annual")</f>
        <v>QSObject:Swap:w1~swap.9181:840</v>
      </c>
      <c r="F9183" s="6" t="str">
        <f>_xll.QS.TRADE.CREATE("trade.9181",E9183,A9183,"Receive")</f>
        <v>QSObject:SwapTrade:w1~trade.9181:22598</v>
      </c>
      <c r="G9183" s="3">
        <f>_xll.QS.EVALUATE(C9183,F9183)</f>
        <v>53868.886653323156</v>
      </c>
      <c r="H9183" s="5" t="s">
        <v>9224</v>
      </c>
      <c r="I9183" s="7">
        <v>1918100</v>
      </c>
      <c r="J9183" s="8">
        <v>3.8100000000000002E-2</v>
      </c>
    </row>
    <row r="9184" spans="1:10" x14ac:dyDescent="0.25">
      <c r="A9184" s="5" t="s">
        <v>9218</v>
      </c>
      <c r="B9184" s="5" t="s">
        <v>11051</v>
      </c>
      <c r="C9184" s="6" t="str">
        <f>_xll.QS.CONTEXT.CREATE("market.9182",A9184,"USD","SOFR")</f>
        <v>QSObject:PricingContext:w1~market.9182:839</v>
      </c>
      <c r="D9184" s="6" t="str">
        <f>_xll.QS.CONTEXT.ADD.CURVE(C9184,"SOFR",$K$2:$K$7,$L$2:$L$7,,,"Actual360","LogLinear",TRUE)</f>
        <v>QSObject:ContextInput:w1~input.qs_context_add_curve.2359132437744.9183.3.0:31657</v>
      </c>
      <c r="E9184" s="6" t="str">
        <f>_xll.QS.INSTRUMENT.SWAP("swap.9182",H9184,B9184,"USD","SOFR",I9184,J9184,0,"Actual360","Simple","Annual","Annual","Annual")</f>
        <v>QSObject:Swap:w1~swap.9182:838</v>
      </c>
      <c r="F9184" s="6" t="str">
        <f>_xll.QS.TRADE.CREATE("trade.9182",E9184,A9184,"Receive")</f>
        <v>QSObject:SwapTrade:w1~trade.9182:22597</v>
      </c>
      <c r="G9184" s="3">
        <f>_xll.QS.EVALUATE(C9184,F9184)</f>
        <v>54714.648865711701</v>
      </c>
      <c r="H9184" s="5" t="s">
        <v>9225</v>
      </c>
      <c r="I9184" s="7">
        <v>1918200</v>
      </c>
      <c r="J9184" s="8">
        <v>3.8199999999999998E-2</v>
      </c>
    </row>
    <row r="9185" spans="1:10" x14ac:dyDescent="0.25">
      <c r="A9185" s="5" t="s">
        <v>9219</v>
      </c>
      <c r="B9185" s="5" t="s">
        <v>11052</v>
      </c>
      <c r="C9185" s="6" t="str">
        <f>_xll.QS.CONTEXT.CREATE("market.9183",A9185,"USD","SOFR")</f>
        <v>QSObject:PricingContext:w1~market.9183:837</v>
      </c>
      <c r="D9185" s="6" t="str">
        <f>_xll.QS.CONTEXT.ADD.CURVE(C9185,"SOFR",$K$2:$K$7,$L$2:$L$7,,,"Actual360","LogLinear",TRUE)</f>
        <v>QSObject:ContextInput:w1~input.qs_context_add_curve.2359132437744.9184.3.0:31656</v>
      </c>
      <c r="E9185" s="6" t="str">
        <f>_xll.QS.INSTRUMENT.SWAP("swap.9183",H9185,B9185,"USD","SOFR",I9185,J9185,0,"Actual360","Simple","Annual","Annual","Annual")</f>
        <v>QSObject:Swap:w1~swap.9183:836</v>
      </c>
      <c r="F9185" s="6" t="str">
        <f>_xll.QS.TRADE.CREATE("trade.9183",E9185,A9185,"Receive")</f>
        <v>QSObject:SwapTrade:w1~trade.9183:22596</v>
      </c>
      <c r="G9185" s="3">
        <f>_xll.QS.EVALUATE(C9185,F9185)</f>
        <v>55365.286503903786</v>
      </c>
      <c r="H9185" s="5" t="s">
        <v>9226</v>
      </c>
      <c r="I9185" s="7">
        <v>1918300</v>
      </c>
      <c r="J9185" s="8">
        <v>3.8300000000000001E-2</v>
      </c>
    </row>
    <row r="9186" spans="1:10" x14ac:dyDescent="0.25">
      <c r="A9186" s="5" t="s">
        <v>9220</v>
      </c>
      <c r="B9186" s="5" t="s">
        <v>11053</v>
      </c>
      <c r="C9186" s="6" t="str">
        <f>_xll.QS.CONTEXT.CREATE("market.9184",A9186,"USD","SOFR")</f>
        <v>QSObject:PricingContext:w1~market.9184:835</v>
      </c>
      <c r="D9186" s="6" t="str">
        <f>_xll.QS.CONTEXT.ADD.CURVE(C9186,"SOFR",$K$2:$K$7,$L$2:$L$7,,,"Actual360","LogLinear",TRUE)</f>
        <v>QSObject:ContextInput:w1~input.qs_context_add_curve.2359132437744.9185.3.0:31655</v>
      </c>
      <c r="E9186" s="6" t="str">
        <f>_xll.QS.INSTRUMENT.SWAP("swap.9184",H9186,B9186,"USD","SOFR",I9186,J9186,0,"Actual360","Simple","Annual","Annual","Annual")</f>
        <v>QSObject:Swap:w1~swap.9184:834</v>
      </c>
      <c r="F9186" s="6" t="str">
        <f>_xll.QS.TRADE.CREATE("trade.9184",E9186,A9186,"Receive")</f>
        <v>QSObject:SwapTrade:w1~trade.9184:22595</v>
      </c>
      <c r="G9186" s="3">
        <f>_xll.QS.EVALUATE(C9186,F9186)</f>
        <v>56335.636527815994</v>
      </c>
      <c r="H9186" s="5" t="s">
        <v>9227</v>
      </c>
      <c r="I9186" s="7">
        <v>1918400</v>
      </c>
      <c r="J9186" s="8">
        <v>3.8399999999999997E-2</v>
      </c>
    </row>
    <row r="9187" spans="1:10" x14ac:dyDescent="0.25">
      <c r="A9187" s="5" t="s">
        <v>9221</v>
      </c>
      <c r="B9187" s="5" t="s">
        <v>11054</v>
      </c>
      <c r="C9187" s="6" t="str">
        <f>_xll.QS.CONTEXT.CREATE("market.9185",A9187,"USD","SOFR")</f>
        <v>QSObject:PricingContext:w1~market.9185:833</v>
      </c>
      <c r="D9187" s="6" t="str">
        <f>_xll.QS.CONTEXT.ADD.CURVE(C9187,"SOFR",$K$2:$K$7,$L$2:$L$7,,,"Actual360","LogLinear",TRUE)</f>
        <v>QSObject:ContextInput:w1~input.qs_context_add_curve.2359132437744.9186.3.0:31654</v>
      </c>
      <c r="E9187" s="6" t="str">
        <f>_xll.QS.INSTRUMENT.SWAP("swap.9185",H9187,B9187,"USD","SOFR",I9187,J9187,0,"Actual360","Simple","Annual","Annual","Annual")</f>
        <v>QSObject:Swap:w1~swap.9185:832</v>
      </c>
      <c r="F9187" s="6" t="str">
        <f>_xll.QS.TRADE.CREATE("trade.9185",E9187,A9187,"Receive")</f>
        <v>QSObject:SwapTrade:w1~trade.9185:22594</v>
      </c>
      <c r="G9187" s="3">
        <f>_xll.QS.EVALUATE(C9187,F9187)</f>
        <v>57223.338126816729</v>
      </c>
      <c r="H9187" s="5" t="s">
        <v>9228</v>
      </c>
      <c r="I9187" s="7">
        <v>1918500</v>
      </c>
      <c r="J9187" s="8">
        <v>3.8500000000000013E-2</v>
      </c>
    </row>
    <row r="9188" spans="1:10" x14ac:dyDescent="0.25">
      <c r="A9188" s="5" t="s">
        <v>9222</v>
      </c>
      <c r="B9188" s="5" t="s">
        <v>11055</v>
      </c>
      <c r="C9188" s="6" t="str">
        <f>_xll.QS.CONTEXT.CREATE("market.9186",A9188,"USD","SOFR")</f>
        <v>QSObject:PricingContext:w1~market.9186:831</v>
      </c>
      <c r="D9188" s="6" t="str">
        <f>_xll.QS.CONTEXT.ADD.CURVE(C9188,"SOFR",$K$2:$K$7,$L$2:$L$7,,,"Actual360","LogLinear",TRUE)</f>
        <v>QSObject:ContextInput:w1~input.qs_context_add_curve.2359132437744.9187.3.0:31653</v>
      </c>
      <c r="E9188" s="6" t="str">
        <f>_xll.QS.INSTRUMENT.SWAP("swap.9186",H9188,B9188,"USD","SOFR",I9188,J9188,0,"Actual360","Simple","Annual","Annual","Annual")</f>
        <v>QSObject:Swap:w1~swap.9186:830</v>
      </c>
      <c r="F9188" s="6" t="str">
        <f>_xll.QS.TRADE.CREATE("trade.9186",E9188,A9188,"Receive")</f>
        <v>QSObject:SwapTrade:w1~trade.9186:22593</v>
      </c>
      <c r="G9188" s="3">
        <f>_xll.QS.EVALUATE(C9188,F9188)</f>
        <v>58325.198536435375</v>
      </c>
      <c r="H9188" s="5" t="s">
        <v>9229</v>
      </c>
      <c r="I9188" s="7">
        <v>1918600</v>
      </c>
      <c r="J9188" s="8">
        <v>3.8600000000000002E-2</v>
      </c>
    </row>
    <row r="9189" spans="1:10" x14ac:dyDescent="0.25">
      <c r="A9189" s="5" t="s">
        <v>9223</v>
      </c>
      <c r="B9189" s="5" t="s">
        <v>11056</v>
      </c>
      <c r="C9189" s="6" t="str">
        <f>_xll.QS.CONTEXT.CREATE("market.9187",A9189,"USD","SOFR")</f>
        <v>QSObject:PricingContext:w1~market.9187:829</v>
      </c>
      <c r="D9189" s="6" t="str">
        <f>_xll.QS.CONTEXT.ADD.CURVE(C9189,"SOFR",$K$2:$K$7,$L$2:$L$7,,,"Actual360","LogLinear",TRUE)</f>
        <v>QSObject:ContextInput:w1~input.qs_context_add_curve.2359132437744.9188.3.0:31652</v>
      </c>
      <c r="E9189" s="6" t="str">
        <f>_xll.QS.INSTRUMENT.SWAP("swap.9187",H9189,B9189,"USD","SOFR",I9189,J9189,0,"Actual360","Simple","Annual","Annual","Annual")</f>
        <v>QSObject:Swap:w1~swap.9187:828</v>
      </c>
      <c r="F9189" s="6" t="str">
        <f>_xll.QS.TRADE.CREATE("trade.9187",E9189,A9189,"Receive")</f>
        <v>QSObject:SwapTrade:w1~trade.9187:22592</v>
      </c>
      <c r="G9189" s="3">
        <f>_xll.QS.EVALUATE(C9189,F9189)</f>
        <v>59223.513962290999</v>
      </c>
      <c r="H9189" s="5" t="s">
        <v>9230</v>
      </c>
      <c r="I9189" s="7">
        <v>1918700</v>
      </c>
      <c r="J9189" s="8">
        <v>3.8700000000000012E-2</v>
      </c>
    </row>
    <row r="9190" spans="1:10" x14ac:dyDescent="0.25">
      <c r="A9190" s="5" t="s">
        <v>9224</v>
      </c>
      <c r="B9190" s="5" t="s">
        <v>11057</v>
      </c>
      <c r="C9190" s="6" t="str">
        <f>_xll.QS.CONTEXT.CREATE("market.9188",A9190,"USD","SOFR")</f>
        <v>QSObject:PricingContext:w1~market.9188:827</v>
      </c>
      <c r="D9190" s="6" t="str">
        <f>_xll.QS.CONTEXT.ADD.CURVE(C9190,"SOFR",$K$2:$K$7,$L$2:$L$7,,,"Actual360","LogLinear",TRUE)</f>
        <v>QSObject:ContextInput:w1~input.qs_context_add_curve.2359132437744.9189.3.0:31651</v>
      </c>
      <c r="E9190" s="6" t="str">
        <f>_xll.QS.INSTRUMENT.SWAP("swap.9188",H9190,B9190,"USD","SOFR",I9190,J9190,0,"Actual360","Simple","Annual","Annual","Annual")</f>
        <v>QSObject:Swap:w1~swap.9188:826</v>
      </c>
      <c r="F9190" s="6" t="str">
        <f>_xll.QS.TRADE.CREATE("trade.9188",E9190,A9190,"Receive")</f>
        <v>QSObject:SwapTrade:w1~trade.9188:22591</v>
      </c>
      <c r="G9190" s="3">
        <f>_xll.QS.EVALUATE(C9190,F9190)</f>
        <v>60113.527227056118</v>
      </c>
      <c r="H9190" s="5" t="s">
        <v>9231</v>
      </c>
      <c r="I9190" s="7">
        <v>1918800</v>
      </c>
      <c r="J9190" s="8">
        <v>3.8800000000000001E-2</v>
      </c>
    </row>
    <row r="9191" spans="1:10" x14ac:dyDescent="0.25">
      <c r="A9191" s="5" t="s">
        <v>9225</v>
      </c>
      <c r="B9191" s="5" t="s">
        <v>11058</v>
      </c>
      <c r="C9191" s="6" t="str">
        <f>_xll.QS.CONTEXT.CREATE("market.9189",A9191,"USD","SOFR")</f>
        <v>QSObject:PricingContext:w1~market.9189:825</v>
      </c>
      <c r="D9191" s="6" t="str">
        <f>_xll.QS.CONTEXT.ADD.CURVE(C9191,"SOFR",$K$2:$K$7,$L$2:$L$7,,,"Actual360","LogLinear",TRUE)</f>
        <v>QSObject:ContextInput:w1~input.qs_context_add_curve.2359132437744.9190.3.0:31650</v>
      </c>
      <c r="E9191" s="6" t="str">
        <f>_xll.QS.INSTRUMENT.SWAP("swap.9189",H9191,B9191,"USD","SOFR",I9191,J9191,0,"Actual360","Simple","Annual","Annual","Annual")</f>
        <v>QSObject:Swap:w1~swap.9189:824</v>
      </c>
      <c r="F9191" s="6" t="str">
        <f>_xll.QS.TRADE.CREATE("trade.9189",E9191,A9191,"Receive")</f>
        <v>QSObject:SwapTrade:w1~trade.9189:22590</v>
      </c>
      <c r="G9191" s="3">
        <f>_xll.QS.EVALUATE(C9191,F9191)</f>
        <v>60763.222186268496</v>
      </c>
      <c r="H9191" s="5" t="s">
        <v>9232</v>
      </c>
      <c r="I9191" s="7">
        <v>1918900</v>
      </c>
      <c r="J9191" s="8">
        <v>3.8899999999999997E-2</v>
      </c>
    </row>
    <row r="9192" spans="1:10" x14ac:dyDescent="0.25">
      <c r="A9192" s="5" t="s">
        <v>9226</v>
      </c>
      <c r="B9192" s="5" t="s">
        <v>11059</v>
      </c>
      <c r="C9192" s="6" t="str">
        <f>_xll.QS.CONTEXT.CREATE("market.9190",A9192,"USD","SOFR")</f>
        <v>QSObject:PricingContext:w1~market.9190:823</v>
      </c>
      <c r="D9192" s="6" t="str">
        <f>_xll.QS.CONTEXT.ADD.CURVE(C9192,"SOFR",$K$2:$K$7,$L$2:$L$7,,,"Actual360","LogLinear",TRUE)</f>
        <v>QSObject:ContextInput:w1~input.qs_context_add_curve.2359132437744.9191.3.0:31649</v>
      </c>
      <c r="E9192" s="6" t="str">
        <f>_xll.QS.INSTRUMENT.SWAP("swap.9190",H9192,B9192,"USD","SOFR",I9192,J9192,0,"Actual360","Simple","Annual","Annual","Annual")</f>
        <v>QSObject:Swap:w1~swap.9190:822</v>
      </c>
      <c r="F9192" s="6" t="str">
        <f>_xll.QS.TRADE.CREATE("trade.9190",E9192,A9192,"Receive")</f>
        <v>QSObject:SwapTrade:w1~trade.9190:22589</v>
      </c>
      <c r="G9192" s="3">
        <f>_xll.QS.EVALUATE(C9192,F9192)</f>
        <v>61656.491253019478</v>
      </c>
      <c r="H9192" s="5" t="s">
        <v>9233</v>
      </c>
      <c r="I9192" s="7">
        <v>1919000</v>
      </c>
      <c r="J9192" s="8">
        <v>3.9000000000000007E-2</v>
      </c>
    </row>
    <row r="9193" spans="1:10" x14ac:dyDescent="0.25">
      <c r="A9193" s="5" t="s">
        <v>9227</v>
      </c>
      <c r="B9193" s="5" t="s">
        <v>11060</v>
      </c>
      <c r="C9193" s="6" t="str">
        <f>_xll.QS.CONTEXT.CREATE("market.9191",A9193,"USD","SOFR")</f>
        <v>QSObject:PricingContext:w1~market.9191:821</v>
      </c>
      <c r="D9193" s="6" t="str">
        <f>_xll.QS.CONTEXT.ADD.CURVE(C9193,"SOFR",$K$2:$K$7,$L$2:$L$7,,,"Actual360","LogLinear",TRUE)</f>
        <v>QSObject:ContextInput:w1~input.qs_context_add_curve.2359132437744.9192.3.0:31648</v>
      </c>
      <c r="E9193" s="6" t="str">
        <f>_xll.QS.INSTRUMENT.SWAP("swap.9191",H9193,B9193,"USD","SOFR",I9193,J9193,0,"Actual360","Simple","Annual","Annual","Annual")</f>
        <v>QSObject:Swap:w1~swap.9191:820</v>
      </c>
      <c r="F9193" s="6" t="str">
        <f>_xll.QS.TRADE.CREATE("trade.9191",E9193,A9193,"Receive")</f>
        <v>QSObject:SwapTrade:w1~trade.9191:22588</v>
      </c>
      <c r="G9193" s="3">
        <f>_xll.QS.EVALUATE(C9193,F9193)</f>
        <v>62627.051909011563</v>
      </c>
      <c r="H9193" s="5" t="s">
        <v>9234</v>
      </c>
      <c r="I9193" s="7">
        <v>1919100</v>
      </c>
      <c r="J9193" s="8">
        <v>3.9100000000000003E-2</v>
      </c>
    </row>
    <row r="9194" spans="1:10" x14ac:dyDescent="0.25">
      <c r="A9194" s="5" t="s">
        <v>9228</v>
      </c>
      <c r="B9194" s="5" t="s">
        <v>11061</v>
      </c>
      <c r="C9194" s="6" t="str">
        <f>_xll.QS.CONTEXT.CREATE("market.9192",A9194,"USD","SOFR")</f>
        <v>QSObject:PricingContext:w1~market.9192:819</v>
      </c>
      <c r="D9194" s="6" t="str">
        <f>_xll.QS.CONTEXT.ADD.CURVE(C9194,"SOFR",$K$2:$K$7,$L$2:$L$7,,,"Actual360","LogLinear",TRUE)</f>
        <v>QSObject:ContextInput:w1~input.qs_context_add_curve.2359132437744.9193.3.0:31647</v>
      </c>
      <c r="E9194" s="6" t="str">
        <f>_xll.QS.INSTRUMENT.SWAP("swap.9192",H9194,B9194,"USD","SOFR",I9194,J9194,0,"Actual360","Simple","Annual","Annual","Annual")</f>
        <v>QSObject:Swap:w1~swap.9192:818</v>
      </c>
      <c r="F9194" s="6" t="str">
        <f>_xll.QS.TRADE.CREATE("trade.9192",E9194,A9194,"Receive")</f>
        <v>QSObject:SwapTrade:w1~trade.9192:22587</v>
      </c>
      <c r="G9194" s="3">
        <f>_xll.QS.EVALUATE(C9194,F9194)</f>
        <v>63656.232838215408</v>
      </c>
      <c r="H9194" s="5" t="s">
        <v>9235</v>
      </c>
      <c r="I9194" s="7">
        <v>1919200</v>
      </c>
      <c r="J9194" s="8">
        <v>3.9200000000000013E-2</v>
      </c>
    </row>
    <row r="9195" spans="1:10" x14ac:dyDescent="0.25">
      <c r="A9195" s="5" t="s">
        <v>9229</v>
      </c>
      <c r="B9195" s="5" t="s">
        <v>11062</v>
      </c>
      <c r="C9195" s="6" t="str">
        <f>_xll.QS.CONTEXT.CREATE("market.9193",A9195,"USD","SOFR")</f>
        <v>QSObject:PricingContext:w1~market.9193:817</v>
      </c>
      <c r="D9195" s="6" t="str">
        <f>_xll.QS.CONTEXT.ADD.CURVE(C9195,"SOFR",$K$2:$K$7,$L$2:$L$7,,,"Actual360","LogLinear",TRUE)</f>
        <v>QSObject:ContextInput:w1~input.qs_context_add_curve.2359132437744.9194.3.0:31646</v>
      </c>
      <c r="E9195" s="6" t="str">
        <f>_xll.QS.INSTRUMENT.SWAP("swap.9193",H9195,B9195,"USD","SOFR",I9195,J9195,0,"Actual360","Simple","Annual","Annual","Annual")</f>
        <v>QSObject:Swap:w1~swap.9193:816</v>
      </c>
      <c r="F9195" s="6" t="str">
        <f>_xll.QS.TRADE.CREATE("trade.9193",E9195,A9195,"Receive")</f>
        <v>QSObject:SwapTrade:w1~trade.9193:22586</v>
      </c>
      <c r="G9195" s="3">
        <f>_xll.QS.EVALUATE(C9195,F9195)</f>
        <v>64544.7312158442</v>
      </c>
      <c r="H9195" s="5" t="s">
        <v>9236</v>
      </c>
      <c r="I9195" s="7">
        <v>1919300</v>
      </c>
      <c r="J9195" s="8">
        <v>3.9300000000000002E-2</v>
      </c>
    </row>
    <row r="9196" spans="1:10" x14ac:dyDescent="0.25">
      <c r="A9196" s="5" t="s">
        <v>9230</v>
      </c>
      <c r="B9196" s="5" t="s">
        <v>11063</v>
      </c>
      <c r="C9196" s="6" t="str">
        <f>_xll.QS.CONTEXT.CREATE("market.9194",A9196,"USD","SOFR")</f>
        <v>QSObject:PricingContext:w1~market.9194:815</v>
      </c>
      <c r="D9196" s="6" t="str">
        <f>_xll.QS.CONTEXT.ADD.CURVE(C9196,"SOFR",$K$2:$K$7,$L$2:$L$7,,,"Actual360","LogLinear",TRUE)</f>
        <v>QSObject:ContextInput:w1~input.qs_context_add_curve.2359132437744.9195.3.0:31645</v>
      </c>
      <c r="E9196" s="6" t="str">
        <f>_xll.QS.INSTRUMENT.SWAP("swap.9194",H9196,B9196,"USD","SOFR",I9196,J9196,0,"Actual360","Simple","Annual","Annual","Annual")</f>
        <v>QSObject:Swap:w1~swap.9194:814</v>
      </c>
      <c r="F9196" s="6" t="str">
        <f>_xll.QS.TRADE.CREATE("trade.9194",E9196,A9196,"Receive")</f>
        <v>QSObject:SwapTrade:w1~trade.9194:22585</v>
      </c>
      <c r="G9196" s="3">
        <f>_xll.QS.EVALUATE(C9196,F9196)</f>
        <v>65443.980629575562</v>
      </c>
      <c r="H9196" s="5" t="s">
        <v>9237</v>
      </c>
      <c r="I9196" s="7">
        <v>1919400</v>
      </c>
      <c r="J9196" s="8">
        <v>3.9399999999999998E-2</v>
      </c>
    </row>
    <row r="9197" spans="1:10" x14ac:dyDescent="0.25">
      <c r="A9197" s="5" t="s">
        <v>9231</v>
      </c>
      <c r="B9197" s="5" t="s">
        <v>11064</v>
      </c>
      <c r="C9197" s="6" t="str">
        <f>_xll.QS.CONTEXT.CREATE("market.9195",A9197,"USD","SOFR")</f>
        <v>QSObject:PricingContext:w1~market.9195:813</v>
      </c>
      <c r="D9197" s="6" t="str">
        <f>_xll.QS.CONTEXT.ADD.CURVE(C9197,"SOFR",$K$2:$K$7,$L$2:$L$7,,,"Actual360","LogLinear",TRUE)</f>
        <v>QSObject:ContextInput:w1~input.qs_context_add_curve.2359132437744.9196.3.0:31644</v>
      </c>
      <c r="E9197" s="6" t="str">
        <f>_xll.QS.INSTRUMENT.SWAP("swap.9195",H9197,B9197,"USD","SOFR",I9197,J9197,0,"Actual360","Simple","Annual","Annual","Annual")</f>
        <v>QSObject:Swap:w1~swap.9195:812</v>
      </c>
      <c r="F9197" s="6" t="str">
        <f>_xll.QS.TRADE.CREATE("trade.9195",E9197,A9197,"Receive")</f>
        <v>QSObject:SwapTrade:w1~trade.9195:22584</v>
      </c>
      <c r="G9197" s="3">
        <f>_xll.QS.EVALUATE(C9197,F9197)</f>
        <v>66334.664010279535</v>
      </c>
      <c r="H9197" s="5" t="s">
        <v>9238</v>
      </c>
      <c r="I9197" s="7">
        <v>1919500</v>
      </c>
      <c r="J9197" s="8">
        <v>3.9500000000000007E-2</v>
      </c>
    </row>
    <row r="9198" spans="1:10" x14ac:dyDescent="0.25">
      <c r="A9198" s="5" t="s">
        <v>9232</v>
      </c>
      <c r="B9198" s="5" t="s">
        <v>11065</v>
      </c>
      <c r="C9198" s="6" t="str">
        <f>_xll.QS.CONTEXT.CREATE("market.9196",A9198,"USD","SOFR")</f>
        <v>QSObject:PricingContext:w1~market.9196:811</v>
      </c>
      <c r="D9198" s="6" t="str">
        <f>_xll.QS.CONTEXT.ADD.CURVE(C9198,"SOFR",$K$2:$K$7,$L$2:$L$7,,,"Actual360","LogLinear",TRUE)</f>
        <v>QSObject:ContextInput:w1~input.qs_context_add_curve.2359132437744.9197.3.0:31643</v>
      </c>
      <c r="E9198" s="6" t="str">
        <f>_xll.QS.INSTRUMENT.SWAP("swap.9196",H9198,B9198,"USD","SOFR",I9198,J9198,0,"Actual360","Simple","Annual","Annual","Annual")</f>
        <v>QSObject:Swap:w1~swap.9196:810</v>
      </c>
      <c r="F9198" s="6" t="str">
        <f>_xll.QS.TRADE.CREATE("trade.9196",E9198,A9198,"Receive")</f>
        <v>QSObject:SwapTrade:w1~trade.9196:22583</v>
      </c>
      <c r="G9198" s="3">
        <f>_xll.QS.EVALUATE(C9198,F9198)</f>
        <v>66983.670835040306</v>
      </c>
      <c r="H9198" s="5" t="s">
        <v>9239</v>
      </c>
      <c r="I9198" s="7">
        <v>1919600</v>
      </c>
      <c r="J9198" s="8">
        <v>3.9600000000000003E-2</v>
      </c>
    </row>
    <row r="9199" spans="1:10" x14ac:dyDescent="0.25">
      <c r="A9199" s="5" t="s">
        <v>9233</v>
      </c>
      <c r="B9199" s="5" t="s">
        <v>11066</v>
      </c>
      <c r="C9199" s="6" t="str">
        <f>_xll.QS.CONTEXT.CREATE("market.9197",A9199,"USD","SOFR")</f>
        <v>QSObject:PricingContext:w1~market.9197:809</v>
      </c>
      <c r="D9199" s="6" t="str">
        <f>_xll.QS.CONTEXT.ADD.CURVE(C9199,"SOFR",$K$2:$K$7,$L$2:$L$7,,,"Actual360","LogLinear",TRUE)</f>
        <v>QSObject:ContextInput:w1~input.qs_context_add_curve.2359132437744.9198.3.0:31642</v>
      </c>
      <c r="E9199" s="6" t="str">
        <f>_xll.QS.INSTRUMENT.SWAP("swap.9197",H9199,B9199,"USD","SOFR",I9199,J9199,0,"Actual360","Simple","Annual","Annual","Annual")</f>
        <v>QSObject:Swap:w1~swap.9197:808</v>
      </c>
      <c r="F9199" s="6" t="str">
        <f>_xll.QS.TRADE.CREATE("trade.9197",E9199,A9199,"Receive")</f>
        <v>QSObject:SwapTrade:w1~trade.9197:22582</v>
      </c>
      <c r="G9199" s="3">
        <f>_xll.QS.EVALUATE(C9199,F9199)</f>
        <v>67878.107345180804</v>
      </c>
      <c r="H9199" s="5" t="s">
        <v>9240</v>
      </c>
      <c r="I9199" s="7">
        <v>1919700</v>
      </c>
      <c r="J9199" s="8">
        <v>3.9700000000000013E-2</v>
      </c>
    </row>
    <row r="9200" spans="1:10" x14ac:dyDescent="0.25">
      <c r="A9200" s="5" t="s">
        <v>9234</v>
      </c>
      <c r="B9200" s="5" t="s">
        <v>11067</v>
      </c>
      <c r="C9200" s="6" t="str">
        <f>_xll.QS.CONTEXT.CREATE("market.9198",A9200,"USD","SOFR")</f>
        <v>QSObject:PricingContext:w1~market.9198:807</v>
      </c>
      <c r="D9200" s="6" t="str">
        <f>_xll.QS.CONTEXT.ADD.CURVE(C9200,"SOFR",$K$2:$K$7,$L$2:$L$7,,,"Actual360","LogLinear",TRUE)</f>
        <v>QSObject:ContextInput:w1~input.qs_context_add_curve.2359132437744.9199.3.0:31641</v>
      </c>
      <c r="E9200" s="6" t="str">
        <f>_xll.QS.INSTRUMENT.SWAP("swap.9198",H9200,B9200,"USD","SOFR",I9200,J9200,0,"Actual360","Simple","Annual","Annual","Annual")</f>
        <v>QSObject:Swap:w1~swap.9198:806</v>
      </c>
      <c r="F9200" s="6" t="str">
        <f>_xll.QS.TRADE.CREATE("trade.9198",E9200,A9200,"Receive")</f>
        <v>QSObject:SwapTrade:w1~trade.9198:22581</v>
      </c>
      <c r="G9200" s="3">
        <f>_xll.QS.EVALUATE(C9200,F9200)</f>
        <v>68849.950248920781</v>
      </c>
      <c r="H9200" s="5" t="s">
        <v>9241</v>
      </c>
      <c r="I9200" s="7">
        <v>1919800</v>
      </c>
      <c r="J9200" s="8">
        <v>3.9800000000000002E-2</v>
      </c>
    </row>
    <row r="9201" spans="1:10" x14ac:dyDescent="0.25">
      <c r="A9201" s="5" t="s">
        <v>9235</v>
      </c>
      <c r="B9201" s="5" t="s">
        <v>11068</v>
      </c>
      <c r="C9201" s="6" t="str">
        <f>_xll.QS.CONTEXT.CREATE("market.9199",A9201,"USD","SOFR")</f>
        <v>QSObject:PricingContext:w1~market.9199:805</v>
      </c>
      <c r="D9201" s="6" t="str">
        <f>_xll.QS.CONTEXT.ADD.CURVE(C9201,"SOFR",$K$2:$K$7,$L$2:$L$7,,,"Actual360","LogLinear",TRUE)</f>
        <v>QSObject:ContextInput:w1~input.qs_context_add_curve.2359132437744.9200.3.0:31640</v>
      </c>
      <c r="E9201" s="6" t="str">
        <f>_xll.QS.INSTRUMENT.SWAP("swap.9199",H9201,B9201,"USD","SOFR",I9201,J9201,0,"Actual360","Simple","Annual","Annual","Annual")</f>
        <v>QSObject:Swap:w1~swap.9199:804</v>
      </c>
      <c r="F9201" s="6" t="str">
        <f>_xll.QS.TRADE.CREATE("trade.9199",E9201,A9201,"Receive")</f>
        <v>QSObject:SwapTrade:w1~trade.9199:22580</v>
      </c>
      <c r="G9201" s="3">
        <f>_xll.QS.EVALUATE(C9201,F9201)</f>
        <v>69879.92036454918</v>
      </c>
      <c r="H9201" s="5" t="s">
        <v>9242</v>
      </c>
      <c r="I9201" s="7">
        <v>1919900</v>
      </c>
      <c r="J9201" s="8">
        <v>3.9899999999999998E-2</v>
      </c>
    </row>
    <row r="9202" spans="1:10" x14ac:dyDescent="0.25">
      <c r="A9202" s="5" t="s">
        <v>9236</v>
      </c>
      <c r="B9202" s="5" t="s">
        <v>11069</v>
      </c>
      <c r="C9202" s="6" t="str">
        <f>_xll.QS.CONTEXT.CREATE("market.9200",A9202,"USD","SOFR")</f>
        <v>QSObject:PricingContext:w1~market.9200:803</v>
      </c>
      <c r="D9202" s="6" t="str">
        <f>_xll.QS.CONTEXT.ADD.CURVE(C9202,"SOFR",$K$2:$K$7,$L$2:$L$7,,,"Actual360","LogLinear",TRUE)</f>
        <v>QSObject:ContextInput:w1~input.qs_context_add_curve.2359132437744.9201.3.0:31639</v>
      </c>
      <c r="E9202" s="6" t="str">
        <f>_xll.QS.INSTRUMENT.SWAP("swap.9200",H9202,B9202,"USD","SOFR",I9202,J9202,0,"Actual360","Simple","Annual","Annual","Annual")</f>
        <v>QSObject:Swap:w1~swap.9200:802</v>
      </c>
      <c r="F9202" s="6" t="str">
        <f>_xll.QS.TRADE.CREATE("trade.9200",E9202,A9202,"Receive")</f>
        <v>QSObject:SwapTrade:w1~trade.9200:22579</v>
      </c>
      <c r="G9202" s="3">
        <f>_xll.QS.EVALUATE(C9202,F9202)</f>
        <v>26477.762390446282</v>
      </c>
      <c r="H9202" s="5" t="s">
        <v>9243</v>
      </c>
      <c r="I9202" s="7">
        <v>1920000</v>
      </c>
      <c r="J9202" s="8">
        <v>3.5000000000000003E-2</v>
      </c>
    </row>
    <row r="9203" spans="1:10" x14ac:dyDescent="0.25">
      <c r="A9203" s="5" t="s">
        <v>9237</v>
      </c>
      <c r="B9203" s="5" t="s">
        <v>11070</v>
      </c>
      <c r="C9203" s="6" t="str">
        <f>_xll.QS.CONTEXT.CREATE("market.9201",A9203,"USD","SOFR")</f>
        <v>QSObject:PricingContext:w1~market.9201:801</v>
      </c>
      <c r="D9203" s="6" t="str">
        <f>_xll.QS.CONTEXT.ADD.CURVE(C9203,"SOFR",$K$2:$K$7,$L$2:$L$7,,,"Actual360","LogLinear",TRUE)</f>
        <v>QSObject:ContextInput:w1~input.qs_context_add_curve.2359132437744.9202.3.0:31638</v>
      </c>
      <c r="E9203" s="6" t="str">
        <f>_xll.QS.INSTRUMENT.SWAP("swap.9201",H9203,B9203,"USD","SOFR",I9203,J9203,0,"Actual360","Simple","Annual","Annual","Annual")</f>
        <v>QSObject:Swap:w1~swap.9201:800</v>
      </c>
      <c r="F9203" s="6" t="str">
        <f>_xll.QS.TRADE.CREATE("trade.9201",E9203,A9203,"Receive")</f>
        <v>QSObject:SwapTrade:w1~trade.9201:22578</v>
      </c>
      <c r="G9203" s="3">
        <f>_xll.QS.EVALUATE(C9203,F9203)</f>
        <v>27375.248431350141</v>
      </c>
      <c r="H9203" s="5" t="s">
        <v>9244</v>
      </c>
      <c r="I9203" s="7">
        <v>1920100</v>
      </c>
      <c r="J9203" s="8">
        <v>3.5100000000000013E-2</v>
      </c>
    </row>
    <row r="9204" spans="1:10" x14ac:dyDescent="0.25">
      <c r="A9204" s="5" t="s">
        <v>9238</v>
      </c>
      <c r="B9204" s="5" t="s">
        <v>11071</v>
      </c>
      <c r="C9204" s="6" t="str">
        <f>_xll.QS.CONTEXT.CREATE("market.9202",A9204,"USD","SOFR")</f>
        <v>QSObject:PricingContext:w1~market.9202:799</v>
      </c>
      <c r="D9204" s="6" t="str">
        <f>_xll.QS.CONTEXT.ADD.CURVE(C9204,"SOFR",$K$2:$K$7,$L$2:$L$7,,,"Actual360","LogLinear",TRUE)</f>
        <v>QSObject:ContextInput:w1~input.qs_context_add_curve.2359132437744.9203.3.0:31637</v>
      </c>
      <c r="E9204" s="6" t="str">
        <f>_xll.QS.INSTRUMENT.SWAP("swap.9202",H9204,B9204,"USD","SOFR",I9204,J9204,0,"Actual360","Simple","Annual","Annual","Annual")</f>
        <v>QSObject:Swap:w1~swap.9202:798</v>
      </c>
      <c r="F9204" s="6" t="str">
        <f>_xll.QS.TRADE.CREATE("trade.9202",E9204,A9204,"Receive")</f>
        <v>QSObject:SwapTrade:w1~trade.9202:22577</v>
      </c>
      <c r="G9204" s="3">
        <f>_xll.QS.EVALUATE(C9204,F9204)</f>
        <v>28264.126490518931</v>
      </c>
      <c r="H9204" s="5" t="s">
        <v>9245</v>
      </c>
      <c r="I9204" s="7">
        <v>1920200</v>
      </c>
      <c r="J9204" s="8">
        <v>3.5200000000000002E-2</v>
      </c>
    </row>
    <row r="9205" spans="1:10" x14ac:dyDescent="0.25">
      <c r="A9205" s="5" t="s">
        <v>9239</v>
      </c>
      <c r="B9205" s="5" t="s">
        <v>11072</v>
      </c>
      <c r="C9205" s="6" t="str">
        <f>_xll.QS.CONTEXT.CREATE("market.9203",A9205,"USD","SOFR")</f>
        <v>QSObject:PricingContext:w1~market.9203:797</v>
      </c>
      <c r="D9205" s="6" t="str">
        <f>_xll.QS.CONTEXT.ADD.CURVE(C9205,"SOFR",$K$2:$K$7,$L$2:$L$7,,,"Actual360","LogLinear",TRUE)</f>
        <v>QSObject:ContextInput:w1~input.qs_context_add_curve.2359132437744.9204.3.0:31636</v>
      </c>
      <c r="E9205" s="6" t="str">
        <f>_xll.QS.INSTRUMENT.SWAP("swap.9203",H9205,B9205,"USD","SOFR",I9205,J9205,0,"Actual360","Simple","Annual","Annual","Annual")</f>
        <v>QSObject:Swap:w1~swap.9203:796</v>
      </c>
      <c r="F9205" s="6" t="str">
        <f>_xll.QS.TRADE.CREATE("trade.9203",E9205,A9205,"Receive")</f>
        <v>QSObject:SwapTrade:w1~trade.9203:22576</v>
      </c>
      <c r="G9205" s="3">
        <f>_xll.QS.EVALUATE(C9205,F9205)</f>
        <v>28919.047486081414</v>
      </c>
      <c r="H9205" s="5" t="s">
        <v>9246</v>
      </c>
      <c r="I9205" s="7">
        <v>1920300</v>
      </c>
      <c r="J9205" s="8">
        <v>3.5299999999999998E-2</v>
      </c>
    </row>
    <row r="9206" spans="1:10" x14ac:dyDescent="0.25">
      <c r="A9206" s="5" t="s">
        <v>9240</v>
      </c>
      <c r="B9206" s="5" t="s">
        <v>11073</v>
      </c>
      <c r="C9206" s="6" t="str">
        <f>_xll.QS.CONTEXT.CREATE("market.9204",A9206,"USD","SOFR")</f>
        <v>QSObject:PricingContext:w1~market.9204:795</v>
      </c>
      <c r="D9206" s="6" t="str">
        <f>_xll.QS.CONTEXT.ADD.CURVE(C9206,"SOFR",$K$2:$K$7,$L$2:$L$7,,,"Actual360","LogLinear",TRUE)</f>
        <v>QSObject:ContextInput:w1~input.qs_context_add_curve.2359132437744.9205.3.0:31635</v>
      </c>
      <c r="E9206" s="6" t="str">
        <f>_xll.QS.INSTRUMENT.SWAP("swap.9204",H9206,B9206,"USD","SOFR",I9206,J9206,0,"Actual360","Simple","Annual","Annual","Annual")</f>
        <v>QSObject:Swap:w1~swap.9204:794</v>
      </c>
      <c r="F9206" s="6" t="str">
        <f>_xll.QS.TRADE.CREATE("trade.9204",E9206,A9206,"Receive")</f>
        <v>QSObject:SwapTrade:w1~trade.9204:22575</v>
      </c>
      <c r="G9206" s="3">
        <f>_xll.QS.EVALUATE(C9206,F9206)</f>
        <v>29808.630766533664</v>
      </c>
      <c r="H9206" s="5" t="s">
        <v>9247</v>
      </c>
      <c r="I9206" s="7">
        <v>1920400</v>
      </c>
      <c r="J9206" s="8">
        <v>3.5400000000000001E-2</v>
      </c>
    </row>
    <row r="9207" spans="1:10" x14ac:dyDescent="0.25">
      <c r="A9207" s="5" t="s">
        <v>9241</v>
      </c>
      <c r="B9207" s="5" t="s">
        <v>11074</v>
      </c>
      <c r="C9207" s="6" t="str">
        <f>_xll.QS.CONTEXT.CREATE("market.9205",A9207,"USD","SOFR")</f>
        <v>QSObject:PricingContext:w1~market.9205:793</v>
      </c>
      <c r="D9207" s="6" t="str">
        <f>_xll.QS.CONTEXT.ADD.CURVE(C9207,"SOFR",$K$2:$K$7,$L$2:$L$7,,,"Actual360","LogLinear",TRUE)</f>
        <v>QSObject:ContextInput:w1~input.qs_context_add_curve.2359132437744.9206.3.0:31634</v>
      </c>
      <c r="E9207" s="6" t="str">
        <f>_xll.QS.INSTRUMENT.SWAP("swap.9205",H9207,B9207,"USD","SOFR",I9207,J9207,0,"Actual360","Simple","Annual","Annual","Annual")</f>
        <v>QSObject:Swap:w1~swap.9205:792</v>
      </c>
      <c r="F9207" s="6" t="str">
        <f>_xll.QS.TRADE.CREATE("trade.9205",E9207,A9207,"Receive")</f>
        <v>QSObject:SwapTrade:w1~trade.9205:22574</v>
      </c>
      <c r="G9207" s="3">
        <f>_xll.QS.EVALUATE(C9207,F9207)</f>
        <v>30775.116184316015</v>
      </c>
      <c r="H9207" s="5" t="s">
        <v>9248</v>
      </c>
      <c r="I9207" s="7">
        <v>1920500</v>
      </c>
      <c r="J9207" s="8">
        <v>3.5499999999999997E-2</v>
      </c>
    </row>
    <row r="9208" spans="1:10" x14ac:dyDescent="0.25">
      <c r="A9208" s="5" t="s">
        <v>9242</v>
      </c>
      <c r="B9208" s="5" t="s">
        <v>11075</v>
      </c>
      <c r="C9208" s="6" t="str">
        <f>_xll.QS.CONTEXT.CREATE("market.9206",A9208,"USD","SOFR")</f>
        <v>QSObject:PricingContext:w1~market.9206:791</v>
      </c>
      <c r="D9208" s="6" t="str">
        <f>_xll.QS.CONTEXT.ADD.CURVE(C9208,"SOFR",$K$2:$K$7,$L$2:$L$7,,,"Actual360","LogLinear",TRUE)</f>
        <v>QSObject:ContextInput:w1~input.qs_context_add_curve.2359132437744.9207.3.0:31633</v>
      </c>
      <c r="E9208" s="6" t="str">
        <f>_xll.QS.INSTRUMENT.SWAP("swap.9206",H9208,B9208,"USD","SOFR",I9208,J9208,0,"Actual360","Simple","Annual","Annual","Annual")</f>
        <v>QSObject:Swap:w1~swap.9206:790</v>
      </c>
      <c r="F9208" s="6" t="str">
        <f>_xll.QS.TRADE.CREATE("trade.9206",E9208,A9208,"Receive")</f>
        <v>QSObject:SwapTrade:w1~trade.9206:22573</v>
      </c>
      <c r="G9208" s="3">
        <f>_xll.QS.EVALUATE(C9208,F9208)</f>
        <v>31802.9110418895</v>
      </c>
      <c r="H9208" s="5" t="s">
        <v>9249</v>
      </c>
      <c r="I9208" s="7">
        <v>1920600</v>
      </c>
      <c r="J9208" s="8">
        <v>3.5600000000000007E-2</v>
      </c>
    </row>
    <row r="9209" spans="1:10" x14ac:dyDescent="0.25">
      <c r="A9209" s="5" t="s">
        <v>9243</v>
      </c>
      <c r="B9209" s="5" t="s">
        <v>11076</v>
      </c>
      <c r="C9209" s="6" t="str">
        <f>_xll.QS.CONTEXT.CREATE("market.9207",A9209,"USD","SOFR")</f>
        <v>QSObject:PricingContext:w1~market.9207:789</v>
      </c>
      <c r="D9209" s="6" t="str">
        <f>_xll.QS.CONTEXT.ADD.CURVE(C9209,"SOFR",$K$2:$K$7,$L$2:$L$7,,,"Actual360","LogLinear",TRUE)</f>
        <v>QSObject:ContextInput:w1~input.qs_context_add_curve.2359132437744.9208.3.0:31632</v>
      </c>
      <c r="E9209" s="6" t="str">
        <f>_xll.QS.INSTRUMENT.SWAP("swap.9207",H9209,B9209,"USD","SOFR",I9209,J9209,0,"Actual360","Simple","Annual","Annual","Annual")</f>
        <v>QSObject:Swap:w1~swap.9207:788</v>
      </c>
      <c r="F9209" s="6" t="str">
        <f>_xll.QS.TRADE.CREATE("trade.9207",E9209,A9209,"Receive")</f>
        <v>QSObject:SwapTrade:w1~trade.9207:22572</v>
      </c>
      <c r="G9209" s="3">
        <f>_xll.QS.EVALUATE(C9209,F9209)</f>
        <v>32690.051152423541</v>
      </c>
      <c r="H9209" s="5" t="s">
        <v>9250</v>
      </c>
      <c r="I9209" s="7">
        <v>1920700</v>
      </c>
      <c r="J9209" s="8">
        <v>3.5700000000000003E-2</v>
      </c>
    </row>
    <row r="9210" spans="1:10" x14ac:dyDescent="0.25">
      <c r="A9210" s="5" t="s">
        <v>9244</v>
      </c>
      <c r="B9210" s="5" t="s">
        <v>11077</v>
      </c>
      <c r="C9210" s="6" t="str">
        <f>_xll.QS.CONTEXT.CREATE("market.9208",A9210,"USD","SOFR")</f>
        <v>QSObject:PricingContext:w1~market.9208:787</v>
      </c>
      <c r="D9210" s="6" t="str">
        <f>_xll.QS.CONTEXT.ADD.CURVE(C9210,"SOFR",$K$2:$K$7,$L$2:$L$7,,,"Actual360","LogLinear",TRUE)</f>
        <v>QSObject:ContextInput:w1~input.qs_context_add_curve.2359132437744.9209.3.0:31631</v>
      </c>
      <c r="E9210" s="6" t="str">
        <f>_xll.QS.INSTRUMENT.SWAP("swap.9208",H9210,B9210,"USD","SOFR",I9210,J9210,0,"Actual360","Simple","Annual","Annual","Annual")</f>
        <v>QSObject:Swap:w1~swap.9208:786</v>
      </c>
      <c r="F9210" s="6" t="str">
        <f>_xll.QS.TRADE.CREATE("trade.9208",E9210,A9210,"Receive")</f>
        <v>QSObject:SwapTrade:w1~trade.9208:22571</v>
      </c>
      <c r="G9210" s="3">
        <f>_xll.QS.EVALUATE(C9210,F9210)</f>
        <v>33590.213693495767</v>
      </c>
      <c r="H9210" s="5" t="s">
        <v>9251</v>
      </c>
      <c r="I9210" s="7">
        <v>1920800</v>
      </c>
      <c r="J9210" s="8">
        <v>3.5800000000000012E-2</v>
      </c>
    </row>
    <row r="9211" spans="1:10" x14ac:dyDescent="0.25">
      <c r="A9211" s="5" t="s">
        <v>9245</v>
      </c>
      <c r="B9211" s="5" t="s">
        <v>11078</v>
      </c>
      <c r="C9211" s="6" t="str">
        <f>_xll.QS.CONTEXT.CREATE("market.9209",A9211,"USD","SOFR")</f>
        <v>QSObject:PricingContext:w1~market.9209:785</v>
      </c>
      <c r="D9211" s="6" t="str">
        <f>_xll.QS.CONTEXT.ADD.CURVE(C9211,"SOFR",$K$2:$K$7,$L$2:$L$7,,,"Actual360","LogLinear",TRUE)</f>
        <v>QSObject:ContextInput:w1~input.qs_context_add_curve.2359132437744.9210.3.0:31630</v>
      </c>
      <c r="E9211" s="6" t="str">
        <f>_xll.QS.INSTRUMENT.SWAP("swap.9209",H9211,B9211,"USD","SOFR",I9211,J9211,0,"Actual360","Simple","Annual","Annual","Annual")</f>
        <v>QSObject:Swap:w1~swap.9209:784</v>
      </c>
      <c r="F9211" s="6" t="str">
        <f>_xll.QS.TRADE.CREATE("trade.9209",E9211,A9211,"Receive")</f>
        <v>QSObject:SwapTrade:w1~trade.9209:22570</v>
      </c>
      <c r="G9211" s="3">
        <f>_xll.QS.EVALUATE(C9211,F9211)</f>
        <v>34478.318358623052</v>
      </c>
      <c r="H9211" s="5" t="s">
        <v>9252</v>
      </c>
      <c r="I9211" s="7">
        <v>1920900</v>
      </c>
      <c r="J9211" s="8">
        <v>3.5900000000000001E-2</v>
      </c>
    </row>
    <row r="9212" spans="1:10" x14ac:dyDescent="0.25">
      <c r="A9212" s="5" t="s">
        <v>9246</v>
      </c>
      <c r="B9212" s="5" t="s">
        <v>11079</v>
      </c>
      <c r="C9212" s="6" t="str">
        <f>_xll.QS.CONTEXT.CREATE("market.9210",A9212,"USD","SOFR")</f>
        <v>QSObject:PricingContext:w1~market.9210:783</v>
      </c>
      <c r="D9212" s="6" t="str">
        <f>_xll.QS.CONTEXT.ADD.CURVE(C9212,"SOFR",$K$2:$K$7,$L$2:$L$7,,,"Actual360","LogLinear",TRUE)</f>
        <v>QSObject:ContextInput:w1~input.qs_context_add_curve.2359132437744.9211.3.0:31629</v>
      </c>
      <c r="E9212" s="6" t="str">
        <f>_xll.QS.INSTRUMENT.SWAP("swap.9210",H9212,B9212,"USD","SOFR",I9212,J9212,0,"Actual360","Simple","Annual","Annual","Annual")</f>
        <v>QSObject:Swap:w1~swap.9210:782</v>
      </c>
      <c r="F9212" s="6" t="str">
        <f>_xll.QS.TRADE.CREATE("trade.9210",E9212,A9212,"Receive")</f>
        <v>QSObject:SwapTrade:w1~trade.9210:22569</v>
      </c>
      <c r="G9212" s="3">
        <f>_xll.QS.EVALUATE(C9212,F9212)</f>
        <v>35132.553856871193</v>
      </c>
      <c r="H9212" s="5" t="s">
        <v>9253</v>
      </c>
      <c r="I9212" s="7">
        <v>1921000</v>
      </c>
      <c r="J9212" s="8">
        <v>3.5999999999999997E-2</v>
      </c>
    </row>
    <row r="9213" spans="1:10" x14ac:dyDescent="0.25">
      <c r="A9213" s="5" t="s">
        <v>9247</v>
      </c>
      <c r="B9213" s="5" t="s">
        <v>11080</v>
      </c>
      <c r="C9213" s="6" t="str">
        <f>_xll.QS.CONTEXT.CREATE("market.9211",A9213,"USD","SOFR")</f>
        <v>QSObject:PricingContext:w1~market.9211:781</v>
      </c>
      <c r="D9213" s="6" t="str">
        <f>_xll.QS.CONTEXT.ADD.CURVE(C9213,"SOFR",$K$2:$K$7,$L$2:$L$7,,,"Actual360","LogLinear",TRUE)</f>
        <v>QSObject:ContextInput:w1~input.qs_context_add_curve.2359132437744.9212.3.0:31628</v>
      </c>
      <c r="E9213" s="6" t="str">
        <f>_xll.QS.INSTRUMENT.SWAP("swap.9211",H9213,B9213,"USD","SOFR",I9213,J9213,0,"Actual360","Simple","Annual","Annual","Annual")</f>
        <v>QSObject:Swap:w1~swap.9211:780</v>
      </c>
      <c r="F9213" s="6" t="str">
        <f>_xll.QS.TRADE.CREATE("trade.9211",E9213,A9213,"Receive")</f>
        <v>QSObject:SwapTrade:w1~trade.9211:22568</v>
      </c>
      <c r="G9213" s="3">
        <f>_xll.QS.EVALUATE(C9213,F9213)</f>
        <v>36023.681662404611</v>
      </c>
      <c r="H9213" s="5" t="s">
        <v>9254</v>
      </c>
      <c r="I9213" s="7">
        <v>1921100</v>
      </c>
      <c r="J9213" s="8">
        <v>3.61E-2</v>
      </c>
    </row>
    <row r="9214" spans="1:10" x14ac:dyDescent="0.25">
      <c r="A9214" s="5" t="s">
        <v>9248</v>
      </c>
      <c r="B9214" s="5" t="s">
        <v>11081</v>
      </c>
      <c r="C9214" s="6" t="str">
        <f>_xll.QS.CONTEXT.CREATE("market.9212",A9214,"USD","SOFR")</f>
        <v>QSObject:PricingContext:w1~market.9212:779</v>
      </c>
      <c r="D9214" s="6" t="str">
        <f>_xll.QS.CONTEXT.ADD.CURVE(C9214,"SOFR",$K$2:$K$7,$L$2:$L$7,,,"Actual360","LogLinear",TRUE)</f>
        <v>QSObject:ContextInput:w1~input.qs_context_add_curve.2359132437744.9213.3.0:31627</v>
      </c>
      <c r="E9214" s="6" t="str">
        <f>_xll.QS.INSTRUMENT.SWAP("swap.9212",H9214,B9214,"USD","SOFR",I9214,J9214,0,"Actual360","Simple","Annual","Annual","Annual")</f>
        <v>QSObject:Swap:w1~swap.9212:778</v>
      </c>
      <c r="F9214" s="6" t="str">
        <f>_xll.QS.TRADE.CREATE("trade.9212",E9214,A9214,"Receive")</f>
        <v>QSObject:SwapTrade:w1~trade.9212:22567</v>
      </c>
      <c r="G9214" s="3">
        <f>_xll.QS.EVALUATE(C9214,F9214)</f>
        <v>36990.508794774098</v>
      </c>
      <c r="H9214" s="5" t="s">
        <v>9255</v>
      </c>
      <c r="I9214" s="7">
        <v>1921200</v>
      </c>
      <c r="J9214" s="8">
        <v>3.6200000000000003E-2</v>
      </c>
    </row>
    <row r="9215" spans="1:10" x14ac:dyDescent="0.25">
      <c r="A9215" s="5" t="s">
        <v>9249</v>
      </c>
      <c r="B9215" s="5" t="s">
        <v>11082</v>
      </c>
      <c r="C9215" s="6" t="str">
        <f>_xll.QS.CONTEXT.CREATE("market.9213",A9215,"USD","SOFR")</f>
        <v>QSObject:PricingContext:w1~market.9213:777</v>
      </c>
      <c r="D9215" s="6" t="str">
        <f>_xll.QS.CONTEXT.ADD.CURVE(C9215,"SOFR",$K$2:$K$7,$L$2:$L$7,,,"Actual360","LogLinear",TRUE)</f>
        <v>QSObject:ContextInput:w1~input.qs_context_add_curve.2359132437744.9214.3.0:31626</v>
      </c>
      <c r="E9215" s="6" t="str">
        <f>_xll.QS.INSTRUMENT.SWAP("swap.9213",H9215,B9215,"USD","SOFR",I9215,J9215,0,"Actual360","Simple","Annual","Annual","Annual")</f>
        <v>QSObject:Swap:w1~swap.9213:776</v>
      </c>
      <c r="F9215" s="6" t="str">
        <f>_xll.QS.TRADE.CREATE("trade.9213",E9215,A9215,"Receive")</f>
        <v>QSObject:SwapTrade:w1~trade.9213:22566</v>
      </c>
      <c r="G9215" s="3">
        <f>_xll.QS.EVALUATE(C9215,F9215)</f>
        <v>38020.027929899297</v>
      </c>
      <c r="H9215" s="5" t="s">
        <v>9256</v>
      </c>
      <c r="I9215" s="7">
        <v>1921300</v>
      </c>
      <c r="J9215" s="8">
        <v>3.6300000000000013E-2</v>
      </c>
    </row>
    <row r="9216" spans="1:10" x14ac:dyDescent="0.25">
      <c r="A9216" s="5" t="s">
        <v>9250</v>
      </c>
      <c r="B9216" s="5" t="s">
        <v>11083</v>
      </c>
      <c r="C9216" s="6" t="str">
        <f>_xll.QS.CONTEXT.CREATE("market.9214",A9216,"USD","SOFR")</f>
        <v>QSObject:PricingContext:w1~market.9214:775</v>
      </c>
      <c r="D9216" s="6" t="str">
        <f>_xll.QS.CONTEXT.ADD.CURVE(C9216,"SOFR",$K$2:$K$7,$L$2:$L$7,,,"Actual360","LogLinear",TRUE)</f>
        <v>QSObject:ContextInput:w1~input.qs_context_add_curve.2359132437744.9215.3.0:31625</v>
      </c>
      <c r="E9216" s="6" t="str">
        <f>_xll.QS.INSTRUMENT.SWAP("swap.9214",H9216,B9216,"USD","SOFR",I9216,J9216,0,"Actual360","Simple","Annual","Annual","Annual")</f>
        <v>QSObject:Swap:w1~swap.9214:774</v>
      </c>
      <c r="F9216" s="6" t="str">
        <f>_xll.QS.TRADE.CREATE("trade.9214",E9216,A9216,"Receive")</f>
        <v>QSObject:SwapTrade:w1~trade.9214:22565</v>
      </c>
      <c r="G9216" s="3">
        <f>_xll.QS.EVALUATE(C9216,F9216)</f>
        <v>38907.670129084778</v>
      </c>
      <c r="H9216" s="5" t="s">
        <v>9257</v>
      </c>
      <c r="I9216" s="7">
        <v>1921400</v>
      </c>
      <c r="J9216" s="8">
        <v>3.6400000000000002E-2</v>
      </c>
    </row>
    <row r="9217" spans="1:10" x14ac:dyDescent="0.25">
      <c r="A9217" s="5" t="s">
        <v>9251</v>
      </c>
      <c r="B9217" s="5" t="s">
        <v>11084</v>
      </c>
      <c r="C9217" s="6" t="str">
        <f>_xll.QS.CONTEXT.CREATE("market.9215",A9217,"USD","SOFR")</f>
        <v>QSObject:PricingContext:w1~market.9215:773</v>
      </c>
      <c r="D9217" s="6" t="str">
        <f>_xll.QS.CONTEXT.ADD.CURVE(C9217,"SOFR",$K$2:$K$7,$L$2:$L$7,,,"Actual360","LogLinear",TRUE)</f>
        <v>QSObject:ContextInput:w1~input.qs_context_add_curve.2359132437744.9216.3.0:31624</v>
      </c>
      <c r="E9217" s="6" t="str">
        <f>_xll.QS.INSTRUMENT.SWAP("swap.9215",H9217,B9217,"USD","SOFR",I9217,J9217,0,"Actual360","Simple","Annual","Annual","Annual")</f>
        <v>QSObject:Swap:w1~swap.9215:772</v>
      </c>
      <c r="F9217" s="6" t="str">
        <f>_xll.QS.TRADE.CREATE("trade.9215",E9217,A9217,"Receive")</f>
        <v>QSObject:SwapTrade:w1~trade.9215:22564</v>
      </c>
      <c r="G9217" s="3">
        <f>_xll.QS.EVALUATE(C9217,F9217)</f>
        <v>39806.183448638432</v>
      </c>
      <c r="H9217" s="5" t="s">
        <v>9258</v>
      </c>
      <c r="I9217" s="7">
        <v>1921500</v>
      </c>
      <c r="J9217" s="8">
        <v>3.6499999999999998E-2</v>
      </c>
    </row>
    <row r="9218" spans="1:10" x14ac:dyDescent="0.25">
      <c r="A9218" s="5" t="s">
        <v>9252</v>
      </c>
      <c r="B9218" s="5" t="s">
        <v>11085</v>
      </c>
      <c r="C9218" s="6" t="str">
        <f>_xll.QS.CONTEXT.CREATE("market.9216",A9218,"USD","SOFR")</f>
        <v>QSObject:PricingContext:w1~market.9216:771</v>
      </c>
      <c r="D9218" s="6" t="str">
        <f>_xll.QS.CONTEXT.ADD.CURVE(C9218,"SOFR",$K$2:$K$7,$L$2:$L$7,,,"Actual360","LogLinear",TRUE)</f>
        <v>QSObject:ContextInput:w1~input.qs_context_add_curve.2359132437744.9217.3.0:31623</v>
      </c>
      <c r="E9218" s="6" t="str">
        <f>_xll.QS.INSTRUMENT.SWAP("swap.9216",H9218,B9218,"USD","SOFR",I9218,J9218,0,"Actual360","Simple","Annual","Annual","Annual")</f>
        <v>QSObject:Swap:w1~swap.9216:770</v>
      </c>
      <c r="F9218" s="6" t="str">
        <f>_xll.QS.TRADE.CREATE("trade.9216",E9218,A9218,"Receive")</f>
        <v>QSObject:SwapTrade:w1~trade.9216:22563</v>
      </c>
      <c r="G9218" s="3">
        <f>_xll.QS.EVALUATE(C9218,F9218)</f>
        <v>40616.816142819509</v>
      </c>
      <c r="H9218" s="5" t="s">
        <v>9259</v>
      </c>
      <c r="I9218" s="7">
        <v>1921600</v>
      </c>
      <c r="J9218" s="8">
        <v>3.6600000000000001E-2</v>
      </c>
    </row>
    <row r="9219" spans="1:10" x14ac:dyDescent="0.25">
      <c r="A9219" s="5" t="s">
        <v>9253</v>
      </c>
      <c r="B9219" s="5" t="s">
        <v>11086</v>
      </c>
      <c r="C9219" s="6" t="str">
        <f>_xll.QS.CONTEXT.CREATE("market.9217",A9219,"USD","SOFR")</f>
        <v>QSObject:PricingContext:w1~market.9217:769</v>
      </c>
      <c r="D9219" s="6" t="str">
        <f>_xll.QS.CONTEXT.ADD.CURVE(C9219,"SOFR",$K$2:$K$7,$L$2:$L$7,,,"Actual360","LogLinear",TRUE)</f>
        <v>QSObject:ContextInput:w1~input.qs_context_add_curve.2359132437744.9218.3.0:31622</v>
      </c>
      <c r="E9219" s="6" t="str">
        <f>_xll.QS.INSTRUMENT.SWAP("swap.9217",H9219,B9219,"USD","SOFR",I9219,J9219,0,"Actual360","Simple","Annual","Annual","Annual")</f>
        <v>QSObject:Swap:w1~swap.9217:768</v>
      </c>
      <c r="F9219" s="6" t="str">
        <f>_xll.QS.TRADE.CREATE("trade.9217",E9219,A9219,"Receive")</f>
        <v>QSObject:SwapTrade:w1~trade.9217:22562</v>
      </c>
      <c r="G9219" s="3">
        <f>_xll.QS.EVALUATE(C9219,F9219)</f>
        <v>41349.749278925308</v>
      </c>
      <c r="H9219" s="5" t="s">
        <v>9260</v>
      </c>
      <c r="I9219" s="7">
        <v>1921700</v>
      </c>
      <c r="J9219" s="8">
        <v>3.6700000000000003E-2</v>
      </c>
    </row>
    <row r="9220" spans="1:10" x14ac:dyDescent="0.25">
      <c r="A9220" s="5" t="s">
        <v>9254</v>
      </c>
      <c r="B9220" s="5" t="s">
        <v>11087</v>
      </c>
      <c r="C9220" s="6" t="str">
        <f>_xll.QS.CONTEXT.CREATE("market.9218",A9220,"USD","SOFR")</f>
        <v>QSObject:PricingContext:w1~market.9218:767</v>
      </c>
      <c r="D9220" s="6" t="str">
        <f>_xll.QS.CONTEXT.ADD.CURVE(C9220,"SOFR",$K$2:$K$7,$L$2:$L$7,,,"Actual360","LogLinear",TRUE)</f>
        <v>QSObject:ContextInput:w1~input.qs_context_add_curve.2359132437744.9219.3.0:31621</v>
      </c>
      <c r="E9220" s="6" t="str">
        <f>_xll.QS.INSTRUMENT.SWAP("swap.9218",H9220,B9220,"USD","SOFR",I9220,J9220,0,"Actual360","Simple","Annual","Annual","Annual")</f>
        <v>QSObject:Swap:w1~swap.9218:766</v>
      </c>
      <c r="F9220" s="6" t="str">
        <f>_xll.QS.TRADE.CREATE("trade.9218",E9220,A9220,"Receive")</f>
        <v>QSObject:SwapTrade:w1~trade.9218:22561</v>
      </c>
      <c r="G9220" s="3">
        <f>_xll.QS.EVALUATE(C9220,F9220)</f>
        <v>42241.66646668483</v>
      </c>
      <c r="H9220" s="5" t="s">
        <v>9261</v>
      </c>
      <c r="I9220" s="7">
        <v>1921800</v>
      </c>
      <c r="J9220" s="8">
        <v>3.6800000000000013E-2</v>
      </c>
    </row>
    <row r="9221" spans="1:10" x14ac:dyDescent="0.25">
      <c r="A9221" s="5" t="s">
        <v>9255</v>
      </c>
      <c r="B9221" s="5" t="s">
        <v>11088</v>
      </c>
      <c r="C9221" s="6" t="str">
        <f>_xll.QS.CONTEXT.CREATE("market.9219",A9221,"USD","SOFR")</f>
        <v>QSObject:PricingContext:w1~market.9219:765</v>
      </c>
      <c r="D9221" s="6" t="str">
        <f>_xll.QS.CONTEXT.ADD.CURVE(C9221,"SOFR",$K$2:$K$7,$L$2:$L$7,,,"Actual360","LogLinear",TRUE)</f>
        <v>QSObject:ContextInput:w1~input.qs_context_add_curve.2359132437744.9220.3.0:31620</v>
      </c>
      <c r="E9221" s="6" t="str">
        <f>_xll.QS.INSTRUMENT.SWAP("swap.9219",H9221,B9221,"USD","SOFR",I9221,J9221,0,"Actual360","Simple","Annual","Annual","Annual")</f>
        <v>QSObject:Swap:w1~swap.9219:764</v>
      </c>
      <c r="F9221" s="6" t="str">
        <f>_xll.QS.TRADE.CREATE("trade.9219",E9221,A9221,"Receive")</f>
        <v>QSObject:SwapTrade:w1~trade.9219:22560</v>
      </c>
      <c r="G9221" s="3">
        <f>_xll.QS.EVALUATE(C9221,F9221)</f>
        <v>43211.220927263923</v>
      </c>
      <c r="H9221" s="5" t="s">
        <v>9262</v>
      </c>
      <c r="I9221" s="7">
        <v>1921900</v>
      </c>
      <c r="J9221" s="8">
        <v>3.6900000000000002E-2</v>
      </c>
    </row>
    <row r="9222" spans="1:10" x14ac:dyDescent="0.25">
      <c r="A9222" s="5" t="s">
        <v>9256</v>
      </c>
      <c r="B9222" s="5" t="s">
        <v>11089</v>
      </c>
      <c r="C9222" s="6" t="str">
        <f>_xll.QS.CONTEXT.CREATE("market.9220",A9222,"USD","SOFR")</f>
        <v>QSObject:PricingContext:w1~market.9220:763</v>
      </c>
      <c r="D9222" s="6" t="str">
        <f>_xll.QS.CONTEXT.ADD.CURVE(C9222,"SOFR",$K$2:$K$7,$L$2:$L$7,,,"Actual360","LogLinear",TRUE)</f>
        <v>QSObject:ContextInput:w1~input.qs_context_add_curve.2359132437744.9221.3.0:31619</v>
      </c>
      <c r="E9222" s="6" t="str">
        <f>_xll.QS.INSTRUMENT.SWAP("swap.9220",H9222,B9222,"USD","SOFR",I9222,J9222,0,"Actual360","Simple","Annual","Annual","Annual")</f>
        <v>QSObject:Swap:w1~swap.9220:762</v>
      </c>
      <c r="F9222" s="6" t="str">
        <f>_xll.QS.TRADE.CREATE("trade.9220",E9222,A9222,"Receive")</f>
        <v>QSObject:SwapTrade:w1~trade.9220:22559</v>
      </c>
      <c r="G9222" s="3">
        <f>_xll.QS.EVALUATE(C9222,F9222)</f>
        <v>44240.599968822462</v>
      </c>
      <c r="H9222" s="5" t="s">
        <v>9263</v>
      </c>
      <c r="I9222" s="7">
        <v>1922000</v>
      </c>
      <c r="J9222" s="8">
        <v>3.7000000000000012E-2</v>
      </c>
    </row>
    <row r="9223" spans="1:10" x14ac:dyDescent="0.25">
      <c r="A9223" s="5" t="s">
        <v>9257</v>
      </c>
      <c r="B9223" s="5" t="s">
        <v>11090</v>
      </c>
      <c r="C9223" s="6" t="str">
        <f>_xll.QS.CONTEXT.CREATE("market.9221",A9223,"USD","SOFR")</f>
        <v>QSObject:PricingContext:w1~market.9221:761</v>
      </c>
      <c r="D9223" s="6" t="str">
        <f>_xll.QS.CONTEXT.ADD.CURVE(C9223,"SOFR",$K$2:$K$7,$L$2:$L$7,,,"Actual360","LogLinear",TRUE)</f>
        <v>QSObject:ContextInput:w1~input.qs_context_add_curve.2359132437744.9222.3.0:31618</v>
      </c>
      <c r="E9223" s="6" t="str">
        <f>_xll.QS.INSTRUMENT.SWAP("swap.9221",H9223,B9223,"USD","SOFR",I9223,J9223,0,"Actual360","Simple","Annual","Annual","Annual")</f>
        <v>QSObject:Swap:w1~swap.9221:760</v>
      </c>
      <c r="F9223" s="6" t="str">
        <f>_xll.QS.TRADE.CREATE("trade.9221",E9223,A9223,"Receive")</f>
        <v>QSObject:SwapTrade:w1~trade.9221:22558</v>
      </c>
      <c r="G9223" s="3">
        <f>_xll.QS.EVALUATE(C9223,F9223)</f>
        <v>45216.050772210583</v>
      </c>
      <c r="H9223" s="5" t="s">
        <v>9264</v>
      </c>
      <c r="I9223" s="7">
        <v>1922100</v>
      </c>
      <c r="J9223" s="8">
        <v>3.7100000000000001E-2</v>
      </c>
    </row>
    <row r="9224" spans="1:10" x14ac:dyDescent="0.25">
      <c r="A9224" s="5" t="s">
        <v>9258</v>
      </c>
      <c r="B9224" s="5" t="s">
        <v>11091</v>
      </c>
      <c r="C9224" s="6" t="str">
        <f>_xll.QS.CONTEXT.CREATE("market.9222",A9224,"USD","SOFR")</f>
        <v>QSObject:PricingContext:w1~market.9222:759</v>
      </c>
      <c r="D9224" s="6" t="str">
        <f>_xll.QS.CONTEXT.ADD.CURVE(C9224,"SOFR",$K$2:$K$7,$L$2:$L$7,,,"Actual360","LogLinear",TRUE)</f>
        <v>QSObject:ContextInput:w1~input.qs_context_add_curve.2359132437744.9223.3.0:31617</v>
      </c>
      <c r="E9224" s="6" t="str">
        <f>_xll.QS.INSTRUMENT.SWAP("swap.9222",H9224,B9224,"USD","SOFR",I9224,J9224,0,"Actual360","Simple","Annual","Annual","Annual")</f>
        <v>QSObject:Swap:w1~swap.9222:758</v>
      </c>
      <c r="F9224" s="6" t="str">
        <f>_xll.QS.TRADE.CREATE("trade.9222",E9224,A9224,"Receive")</f>
        <v>QSObject:SwapTrade:w1~trade.9222:22557</v>
      </c>
      <c r="G9224" s="3">
        <f>_xll.QS.EVALUATE(C9224,F9224)</f>
        <v>46106.575923953569</v>
      </c>
      <c r="H9224" s="5" t="s">
        <v>9265</v>
      </c>
      <c r="I9224" s="7">
        <v>1922200</v>
      </c>
      <c r="J9224" s="8">
        <v>3.7199999999999997E-2</v>
      </c>
    </row>
    <row r="9225" spans="1:10" x14ac:dyDescent="0.25">
      <c r="A9225" s="5" t="s">
        <v>9259</v>
      </c>
      <c r="B9225" s="5" t="s">
        <v>11092</v>
      </c>
      <c r="C9225" s="6" t="str">
        <f>_xll.QS.CONTEXT.CREATE("market.9223",A9225,"USD","SOFR")</f>
        <v>QSObject:PricingContext:w1~market.9223:757</v>
      </c>
      <c r="D9225" s="6" t="str">
        <f>_xll.QS.CONTEXT.ADD.CURVE(C9225,"SOFR",$K$2:$K$7,$L$2:$L$7,,,"Actual360","LogLinear",TRUE)</f>
        <v>QSObject:ContextInput:w1~input.qs_context_add_curve.2359132437744.9224.3.0:31616</v>
      </c>
      <c r="E9225" s="6" t="str">
        <f>_xll.QS.INSTRUMENT.SWAP("swap.9223",H9225,B9225,"USD","SOFR",I9225,J9225,0,"Actual360","Simple","Annual","Annual","Annual")</f>
        <v>QSObject:Swap:w1~swap.9223:756</v>
      </c>
      <c r="F9225" s="6" t="str">
        <f>_xll.QS.TRADE.CREATE("trade.9223",E9225,A9225,"Receive")</f>
        <v>QSObject:SwapTrade:w1~trade.9223:22556</v>
      </c>
      <c r="G9225" s="3">
        <f>_xll.QS.EVALUATE(C9225,F9225)</f>
        <v>46770.17521534839</v>
      </c>
      <c r="H9225" s="5" t="s">
        <v>9266</v>
      </c>
      <c r="I9225" s="7">
        <v>1922300</v>
      </c>
      <c r="J9225" s="8">
        <v>3.73E-2</v>
      </c>
    </row>
    <row r="9226" spans="1:10" x14ac:dyDescent="0.25">
      <c r="A9226" s="5" t="s">
        <v>9260</v>
      </c>
      <c r="B9226" s="5" t="s">
        <v>11093</v>
      </c>
      <c r="C9226" s="6" t="str">
        <f>_xll.QS.CONTEXT.CREATE("market.9224",A9226,"USD","SOFR")</f>
        <v>QSObject:PricingContext:w1~market.9224:755</v>
      </c>
      <c r="D9226" s="6" t="str">
        <f>_xll.QS.CONTEXT.ADD.CURVE(C9226,"SOFR",$K$2:$K$7,$L$2:$L$7,,,"Actual360","LogLinear",TRUE)</f>
        <v>QSObject:ContextInput:w1~input.qs_context_add_curve.2359132437744.9225.3.0:31615</v>
      </c>
      <c r="E9226" s="6" t="str">
        <f>_xll.QS.INSTRUMENT.SWAP("swap.9224",H9226,B9226,"USD","SOFR",I9226,J9226,0,"Actual360","Simple","Annual","Annual","Annual")</f>
        <v>QSObject:Swap:w1~swap.9224:754</v>
      </c>
      <c r="F9226" s="6" t="str">
        <f>_xll.QS.TRADE.CREATE("trade.9224",E9226,A9226,"Receive")</f>
        <v>QSObject:SwapTrade:w1~trade.9224:22555</v>
      </c>
      <c r="G9226" s="3">
        <f>_xll.QS.EVALUATE(C9226,F9226)</f>
        <v>47572.653613199866</v>
      </c>
      <c r="H9226" s="5" t="s">
        <v>9267</v>
      </c>
      <c r="I9226" s="7">
        <v>1922400</v>
      </c>
      <c r="J9226" s="8">
        <v>3.7400000000000003E-2</v>
      </c>
    </row>
    <row r="9227" spans="1:10" x14ac:dyDescent="0.25">
      <c r="A9227" s="5" t="s">
        <v>9261</v>
      </c>
      <c r="B9227" s="5" t="s">
        <v>11094</v>
      </c>
      <c r="C9227" s="6" t="str">
        <f>_xll.QS.CONTEXT.CREATE("market.9225",A9227,"USD","SOFR")</f>
        <v>QSObject:PricingContext:w1~market.9225:753</v>
      </c>
      <c r="D9227" s="6" t="str">
        <f>_xll.QS.CONTEXT.ADD.CURVE(C9227,"SOFR",$K$2:$K$7,$L$2:$L$7,,,"Actual360","LogLinear",TRUE)</f>
        <v>QSObject:ContextInput:w1~input.qs_context_add_curve.2359132437744.9226.3.0:31614</v>
      </c>
      <c r="E9227" s="6" t="str">
        <f>_xll.QS.INSTRUMENT.SWAP("swap.9225",H9227,B9227,"USD","SOFR",I9227,J9227,0,"Actual360","Simple","Annual","Annual","Annual")</f>
        <v>QSObject:Swap:w1~swap.9225:752</v>
      </c>
      <c r="F9227" s="6" t="str">
        <f>_xll.QS.TRADE.CREATE("trade.9225",E9227,A9227,"Receive")</f>
        <v>QSObject:SwapTrade:w1~trade.9225:22554</v>
      </c>
      <c r="G9227" s="3">
        <f>_xll.QS.EVALUATE(C9227,F9227)</f>
        <v>48465.738575192423</v>
      </c>
      <c r="H9227" s="5" t="s">
        <v>9268</v>
      </c>
      <c r="I9227" s="7">
        <v>1922500</v>
      </c>
      <c r="J9227" s="8">
        <v>3.7500000000000012E-2</v>
      </c>
    </row>
    <row r="9228" spans="1:10" x14ac:dyDescent="0.25">
      <c r="A9228" s="5" t="s">
        <v>9262</v>
      </c>
      <c r="B9228" s="5" t="s">
        <v>11095</v>
      </c>
      <c r="C9228" s="6" t="str">
        <f>_xll.QS.CONTEXT.CREATE("market.9226",A9228,"USD","SOFR")</f>
        <v>QSObject:PricingContext:w1~market.9226:751</v>
      </c>
      <c r="D9228" s="6" t="str">
        <f>_xll.QS.CONTEXT.ADD.CURVE(C9228,"SOFR",$K$2:$K$7,$L$2:$L$7,,,"Actual360","LogLinear",TRUE)</f>
        <v>QSObject:ContextInput:w1~input.qs_context_add_curve.2359132437744.9227.3.0:31613</v>
      </c>
      <c r="E9228" s="6" t="str">
        <f>_xll.QS.INSTRUMENT.SWAP("swap.9226",H9228,B9228,"USD","SOFR",I9228,J9228,0,"Actual360","Simple","Annual","Annual","Annual")</f>
        <v>QSObject:Swap:w1~swap.9226:750</v>
      </c>
      <c r="F9228" s="6" t="str">
        <f>_xll.QS.TRADE.CREATE("trade.9226",E9228,A9228,"Receive")</f>
        <v>QSObject:SwapTrade:w1~trade.9226:22553</v>
      </c>
      <c r="G9228" s="3">
        <f>_xll.QS.EVALUATE(C9228,F9228)</f>
        <v>49648.635467487293</v>
      </c>
      <c r="H9228" s="5" t="s">
        <v>9269</v>
      </c>
      <c r="I9228" s="7">
        <v>1922600</v>
      </c>
      <c r="J9228" s="8">
        <v>3.7600000000000001E-2</v>
      </c>
    </row>
    <row r="9229" spans="1:10" x14ac:dyDescent="0.25">
      <c r="A9229" s="5" t="s">
        <v>9263</v>
      </c>
      <c r="B9229" s="5" t="s">
        <v>11096</v>
      </c>
      <c r="C9229" s="6" t="str">
        <f>_xll.QS.CONTEXT.CREATE("market.9227",A9229,"USD","SOFR")</f>
        <v>QSObject:PricingContext:w1~market.9227:749</v>
      </c>
      <c r="D9229" s="6" t="str">
        <f>_xll.QS.CONTEXT.ADD.CURVE(C9229,"SOFR",$K$2:$K$7,$L$2:$L$7,,,"Actual360","LogLinear",TRUE)</f>
        <v>QSObject:ContextInput:w1~input.qs_context_add_curve.2359132437744.9228.3.0:31612</v>
      </c>
      <c r="E9229" s="6" t="str">
        <f>_xll.QS.INSTRUMENT.SWAP("swap.9227",H9229,B9229,"USD","SOFR",I9229,J9229,0,"Actual360","Simple","Annual","Annual","Annual")</f>
        <v>QSObject:Swap:w1~swap.9227:748</v>
      </c>
      <c r="F9229" s="6" t="str">
        <f>_xll.QS.TRADE.CREATE("trade.9227",E9229,A9229,"Receive")</f>
        <v>QSObject:SwapTrade:w1~trade.9227:22552</v>
      </c>
      <c r="G9229" s="3">
        <f>_xll.QS.EVALUATE(C9229,F9229)</f>
        <v>50536.850175518222</v>
      </c>
      <c r="H9229" s="5" t="s">
        <v>9270</v>
      </c>
      <c r="I9229" s="7">
        <v>1922700</v>
      </c>
      <c r="J9229" s="8">
        <v>3.7699999999999997E-2</v>
      </c>
    </row>
    <row r="9230" spans="1:10" x14ac:dyDescent="0.25">
      <c r="A9230" s="5" t="s">
        <v>9264</v>
      </c>
      <c r="B9230" s="5" t="s">
        <v>11097</v>
      </c>
      <c r="C9230" s="6" t="str">
        <f>_xll.QS.CONTEXT.CREATE("market.9228",A9230,"USD","SOFR")</f>
        <v>QSObject:PricingContext:w1~market.9228:747</v>
      </c>
      <c r="D9230" s="6" t="str">
        <f>_xll.QS.CONTEXT.ADD.CURVE(C9230,"SOFR",$K$2:$K$7,$L$2:$L$7,,,"Actual360","LogLinear",TRUE)</f>
        <v>QSObject:ContextInput:w1~input.qs_context_add_curve.2359132437744.9229.3.0:31611</v>
      </c>
      <c r="E9230" s="6" t="str">
        <f>_xll.QS.INSTRUMENT.SWAP("swap.9228",H9230,B9230,"USD","SOFR",I9230,J9230,0,"Actual360","Simple","Annual","Annual","Annual")</f>
        <v>QSObject:Swap:w1~swap.9228:746</v>
      </c>
      <c r="F9230" s="6" t="str">
        <f>_xll.QS.TRADE.CREATE("trade.9228",E9230,A9230,"Receive")</f>
        <v>QSObject:SwapTrade:w1~trade.9228:22551</v>
      </c>
      <c r="G9230" s="3">
        <f>_xll.QS.EVALUATE(C9230,F9230)</f>
        <v>51433.817915062129</v>
      </c>
      <c r="H9230" s="5" t="s">
        <v>9271</v>
      </c>
      <c r="I9230" s="7">
        <v>1922800</v>
      </c>
      <c r="J9230" s="8">
        <v>3.78E-2</v>
      </c>
    </row>
    <row r="9231" spans="1:10" x14ac:dyDescent="0.25">
      <c r="A9231" s="5" t="s">
        <v>9265</v>
      </c>
      <c r="B9231" s="5" t="s">
        <v>11098</v>
      </c>
      <c r="C9231" s="6" t="str">
        <f>_xll.QS.CONTEXT.CREATE("market.9229",A9231,"USD","SOFR")</f>
        <v>QSObject:PricingContext:w1~market.9229:745</v>
      </c>
      <c r="D9231" s="6" t="str">
        <f>_xll.QS.CONTEXT.ADD.CURVE(C9231,"SOFR",$K$2:$K$7,$L$2:$L$7,,,"Actual360","LogLinear",TRUE)</f>
        <v>QSObject:ContextInput:w1~input.qs_context_add_curve.2359132437744.9230.3.0:31610</v>
      </c>
      <c r="E9231" s="6" t="str">
        <f>_xll.QS.INSTRUMENT.SWAP("swap.9229",H9231,B9231,"USD","SOFR",I9231,J9231,0,"Actual360","Simple","Annual","Annual","Annual")</f>
        <v>QSObject:Swap:w1~swap.9229:744</v>
      </c>
      <c r="F9231" s="6" t="str">
        <f>_xll.QS.TRADE.CREATE("trade.9229",E9231,A9231,"Receive")</f>
        <v>QSObject:SwapTrade:w1~trade.9229:22550</v>
      </c>
      <c r="G9231" s="3">
        <f>_xll.QS.EVALUATE(C9231,F9231)</f>
        <v>52255.628177340564</v>
      </c>
      <c r="H9231" s="5" t="s">
        <v>9272</v>
      </c>
      <c r="I9231" s="7">
        <v>1922900</v>
      </c>
      <c r="J9231" s="8">
        <v>3.7900000000000003E-2</v>
      </c>
    </row>
    <row r="9232" spans="1:10" x14ac:dyDescent="0.25">
      <c r="A9232" s="5" t="s">
        <v>9266</v>
      </c>
      <c r="B9232" s="5" t="s">
        <v>11099</v>
      </c>
      <c r="C9232" s="6" t="str">
        <f>_xll.QS.CONTEXT.CREATE("market.9230",A9232,"USD","SOFR")</f>
        <v>QSObject:PricingContext:w1~market.9230:743</v>
      </c>
      <c r="D9232" s="6" t="str">
        <f>_xll.QS.CONTEXT.ADD.CURVE(C9232,"SOFR",$K$2:$K$7,$L$2:$L$7,,,"Actual360","LogLinear",TRUE)</f>
        <v>QSObject:ContextInput:w1~input.qs_context_add_curve.2359132437744.9231.3.0:31609</v>
      </c>
      <c r="E9232" s="6" t="str">
        <f>_xll.QS.INSTRUMENT.SWAP("swap.9230",H9232,B9232,"USD","SOFR",I9232,J9232,0,"Actual360","Simple","Annual","Annual","Annual")</f>
        <v>QSObject:Swap:w1~swap.9230:742</v>
      </c>
      <c r="F9232" s="6" t="str">
        <f>_xll.QS.TRADE.CREATE("trade.9230",E9232,A9232,"Receive")</f>
        <v>QSObject:SwapTrade:w1~trade.9230:22549</v>
      </c>
      <c r="G9232" s="3">
        <f>_xll.QS.EVALUATE(C9232,F9232)</f>
        <v>53148.712196221422</v>
      </c>
      <c r="H9232" s="5" t="s">
        <v>9273</v>
      </c>
      <c r="I9232" s="7">
        <v>1923000</v>
      </c>
      <c r="J9232" s="8">
        <v>3.8000000000000013E-2</v>
      </c>
    </row>
    <row r="9233" spans="1:10" x14ac:dyDescent="0.25">
      <c r="A9233" s="5" t="s">
        <v>9267</v>
      </c>
      <c r="B9233" s="5" t="s">
        <v>11100</v>
      </c>
      <c r="C9233" s="6" t="str">
        <f>_xll.QS.CONTEXT.CREATE("market.9231",A9233,"USD","SOFR")</f>
        <v>QSObject:PricingContext:w1~market.9231:741</v>
      </c>
      <c r="D9233" s="6" t="str">
        <f>_xll.QS.CONTEXT.ADD.CURVE(C9233,"SOFR",$K$2:$K$7,$L$2:$L$7,,,"Actual360","LogLinear",TRUE)</f>
        <v>QSObject:ContextInput:w1~input.qs_context_add_curve.2359132437744.9232.3.0:31608</v>
      </c>
      <c r="E9233" s="6" t="str">
        <f>_xll.QS.INSTRUMENT.SWAP("swap.9231",H9233,B9233,"USD","SOFR",I9233,J9233,0,"Actual360","Simple","Annual","Annual","Annual")</f>
        <v>QSObject:Swap:w1~swap.9231:740</v>
      </c>
      <c r="F9233" s="6" t="str">
        <f>_xll.QS.TRADE.CREATE("trade.9231",E9233,A9233,"Receive")</f>
        <v>QSObject:SwapTrade:w1~trade.9231:22548</v>
      </c>
      <c r="G9233" s="3">
        <f>_xll.QS.EVALUATE(C9233,F9233)</f>
        <v>53800.880924634075</v>
      </c>
      <c r="H9233" s="5" t="s">
        <v>9274</v>
      </c>
      <c r="I9233" s="7">
        <v>1923100</v>
      </c>
      <c r="J9233" s="8">
        <v>3.8100000000000002E-2</v>
      </c>
    </row>
    <row r="9234" spans="1:10" x14ac:dyDescent="0.25">
      <c r="A9234" s="5" t="s">
        <v>9268</v>
      </c>
      <c r="B9234" s="5" t="s">
        <v>11101</v>
      </c>
      <c r="C9234" s="6" t="str">
        <f>_xll.QS.CONTEXT.CREATE("market.9232",A9234,"USD","SOFR")</f>
        <v>QSObject:PricingContext:w1~market.9232:739</v>
      </c>
      <c r="D9234" s="6" t="str">
        <f>_xll.QS.CONTEXT.ADD.CURVE(C9234,"SOFR",$K$2:$K$7,$L$2:$L$7,,,"Actual360","LogLinear",TRUE)</f>
        <v>QSObject:ContextInput:w1~input.qs_context_add_curve.2359132437744.9233.3.0:31607</v>
      </c>
      <c r="E9234" s="6" t="str">
        <f>_xll.QS.INSTRUMENT.SWAP("swap.9232",H9234,B9234,"USD","SOFR",I9234,J9234,0,"Actual360","Simple","Annual","Annual","Annual")</f>
        <v>QSObject:Swap:w1~swap.9232:738</v>
      </c>
      <c r="F9234" s="6" t="str">
        <f>_xll.QS.TRADE.CREATE("trade.9232",E9234,A9234,"Receive")</f>
        <v>QSObject:SwapTrade:w1~trade.9232:22547</v>
      </c>
      <c r="G9234" s="3">
        <f>_xll.QS.EVALUATE(C9234,F9234)</f>
        <v>54694.709731063311</v>
      </c>
      <c r="H9234" s="5" t="s">
        <v>9275</v>
      </c>
      <c r="I9234" s="7">
        <v>1923200</v>
      </c>
      <c r="J9234" s="8">
        <v>3.8199999999999998E-2</v>
      </c>
    </row>
    <row r="9235" spans="1:10" x14ac:dyDescent="0.25">
      <c r="A9235" s="5" t="s">
        <v>9269</v>
      </c>
      <c r="B9235" s="5" t="s">
        <v>11102</v>
      </c>
      <c r="C9235" s="6" t="str">
        <f>_xll.QS.CONTEXT.CREATE("market.9233",A9235,"USD","SOFR")</f>
        <v>QSObject:PricingContext:w1~market.9233:737</v>
      </c>
      <c r="D9235" s="6" t="str">
        <f>_xll.QS.CONTEXT.ADD.CURVE(C9235,"SOFR",$K$2:$K$7,$L$2:$L$7,,,"Actual360","LogLinear",TRUE)</f>
        <v>QSObject:ContextInput:w1~input.qs_context_add_curve.2359132437744.9234.3.0:31606</v>
      </c>
      <c r="E9235" s="6" t="str">
        <f>_xll.QS.INSTRUMENT.SWAP("swap.9233",H9235,B9235,"USD","SOFR",I9235,J9235,0,"Actual360","Simple","Annual","Annual","Annual")</f>
        <v>QSObject:Swap:w1~swap.9233:736</v>
      </c>
      <c r="F9235" s="6" t="str">
        <f>_xll.QS.TRADE.CREATE("trade.9233",E9235,A9235,"Receive")</f>
        <v>QSObject:SwapTrade:w1~trade.9233:22546</v>
      </c>
      <c r="G9235" s="3">
        <f>_xll.QS.EVALUATE(C9235,F9235)</f>
        <v>55665.425326241406</v>
      </c>
      <c r="H9235" s="5" t="s">
        <v>9276</v>
      </c>
      <c r="I9235" s="7">
        <v>1923300</v>
      </c>
      <c r="J9235" s="8">
        <v>3.8300000000000001E-2</v>
      </c>
    </row>
    <row r="9236" spans="1:10" x14ac:dyDescent="0.25">
      <c r="A9236" s="5" t="s">
        <v>9270</v>
      </c>
      <c r="B9236" s="5" t="s">
        <v>11103</v>
      </c>
      <c r="C9236" s="6" t="str">
        <f>_xll.QS.CONTEXT.CREATE("market.9234",A9236,"USD","SOFR")</f>
        <v>QSObject:PricingContext:w1~market.9234:735</v>
      </c>
      <c r="D9236" s="6" t="str">
        <f>_xll.QS.CONTEXT.ADD.CURVE(C9236,"SOFR",$K$2:$K$7,$L$2:$L$7,,,"Actual360","LogLinear",TRUE)</f>
        <v>QSObject:ContextInput:w1~input.qs_context_add_curve.2359132437744.9235.3.0:31605</v>
      </c>
      <c r="E9236" s="6" t="str">
        <f>_xll.QS.INSTRUMENT.SWAP("swap.9234",H9236,B9236,"USD","SOFR",I9236,J9236,0,"Actual360","Simple","Annual","Annual","Annual")</f>
        <v>QSObject:Swap:w1~swap.9234:734</v>
      </c>
      <c r="F9236" s="6" t="str">
        <f>_xll.QS.TRADE.CREATE("trade.9234",E9236,A9236,"Receive")</f>
        <v>QSObject:SwapTrade:w1~trade.9234:22545</v>
      </c>
      <c r="G9236" s="3">
        <f>_xll.QS.EVALUATE(C9236,F9236)</f>
        <v>56696.366502774574</v>
      </c>
      <c r="H9236" s="5" t="s">
        <v>9277</v>
      </c>
      <c r="I9236" s="7">
        <v>1923400</v>
      </c>
      <c r="J9236" s="8">
        <v>3.8399999999999997E-2</v>
      </c>
    </row>
    <row r="9237" spans="1:10" x14ac:dyDescent="0.25">
      <c r="A9237" s="5" t="s">
        <v>9271</v>
      </c>
      <c r="B9237" s="5" t="s">
        <v>11104</v>
      </c>
      <c r="C9237" s="6" t="str">
        <f>_xll.QS.CONTEXT.CREATE("market.9235",A9237,"USD","SOFR")</f>
        <v>QSObject:PricingContext:w1~market.9235:733</v>
      </c>
      <c r="D9237" s="6" t="str">
        <f>_xll.QS.CONTEXT.ADD.CURVE(C9237,"SOFR",$K$2:$K$7,$L$2:$L$7,,,"Actual360","LogLinear",TRUE)</f>
        <v>QSObject:ContextInput:w1~input.qs_context_add_curve.2359132437744.9236.3.0:31604</v>
      </c>
      <c r="E9237" s="6" t="str">
        <f>_xll.QS.INSTRUMENT.SWAP("swap.9235",H9237,B9237,"USD","SOFR",I9237,J9237,0,"Actual360","Simple","Annual","Annual","Annual")</f>
        <v>QSObject:Swap:w1~swap.9235:732</v>
      </c>
      <c r="F9237" s="6" t="str">
        <f>_xll.QS.TRADE.CREATE("trade.9235",E9237,A9237,"Receive")</f>
        <v>QSObject:SwapTrade:w1~trade.9235:22544</v>
      </c>
      <c r="G9237" s="3">
        <f>_xll.QS.EVALUATE(C9237,F9237)</f>
        <v>57586.451828929959</v>
      </c>
      <c r="H9237" s="5" t="s">
        <v>9278</v>
      </c>
      <c r="I9237" s="7">
        <v>1923500</v>
      </c>
      <c r="J9237" s="8">
        <v>3.8500000000000013E-2</v>
      </c>
    </row>
    <row r="9238" spans="1:10" x14ac:dyDescent="0.25">
      <c r="A9238" s="5" t="s">
        <v>9272</v>
      </c>
      <c r="B9238" s="5" t="s">
        <v>11105</v>
      </c>
      <c r="C9238" s="6" t="str">
        <f>_xll.QS.CONTEXT.CREATE("market.9236",A9238,"USD","SOFR")</f>
        <v>QSObject:PricingContext:w1~market.9236:731</v>
      </c>
      <c r="D9238" s="6" t="str">
        <f>_xll.QS.CONTEXT.ADD.CURVE(C9238,"SOFR",$K$2:$K$7,$L$2:$L$7,,,"Actual360","LogLinear",TRUE)</f>
        <v>QSObject:ContextInput:w1~input.qs_context_add_curve.2359132437744.9237.3.0:31603</v>
      </c>
      <c r="E9238" s="6" t="str">
        <f>_xll.QS.INSTRUMENT.SWAP("swap.9236",H9238,B9238,"USD","SOFR",I9238,J9238,0,"Actual360","Simple","Annual","Annual","Annual")</f>
        <v>QSObject:Swap:w1~swap.9236:730</v>
      </c>
      <c r="F9238" s="6" t="str">
        <f>_xll.QS.TRADE.CREATE("trade.9236",E9238,A9238,"Receive")</f>
        <v>QSObject:SwapTrade:w1~trade.9236:22543</v>
      </c>
      <c r="G9238" s="3">
        <f>_xll.QS.EVALUATE(C9238,F9238)</f>
        <v>58487.270514463838</v>
      </c>
      <c r="H9238" s="5" t="s">
        <v>9279</v>
      </c>
      <c r="I9238" s="7">
        <v>1923600</v>
      </c>
      <c r="J9238" s="8">
        <v>3.8600000000000002E-2</v>
      </c>
    </row>
    <row r="9239" spans="1:10" x14ac:dyDescent="0.25">
      <c r="A9239" s="5" t="s">
        <v>9273</v>
      </c>
      <c r="B9239" s="5" t="s">
        <v>11106</v>
      </c>
      <c r="C9239" s="6" t="str">
        <f>_xll.QS.CONTEXT.CREATE("market.9237",A9239,"USD","SOFR")</f>
        <v>QSObject:PricingContext:w1~market.9237:729</v>
      </c>
      <c r="D9239" s="6" t="str">
        <f>_xll.QS.CONTEXT.ADD.CURVE(C9239,"SOFR",$K$2:$K$7,$L$2:$L$7,,,"Actual360","LogLinear",TRUE)</f>
        <v>QSObject:ContextInput:w1~input.qs_context_add_curve.2359132437744.9238.3.0:31602</v>
      </c>
      <c r="E9239" s="6" t="str">
        <f>_xll.QS.INSTRUMENT.SWAP("swap.9237",H9239,B9239,"USD","SOFR",I9239,J9239,0,"Actual360","Simple","Annual","Annual","Annual")</f>
        <v>QSObject:Swap:w1~swap.9237:728</v>
      </c>
      <c r="F9239" s="6" t="str">
        <f>_xll.QS.TRADE.CREATE("trade.9237",E9239,A9239,"Receive")</f>
        <v>QSObject:SwapTrade:w1~trade.9237:22542</v>
      </c>
      <c r="G9239" s="3">
        <f>_xll.QS.EVALUATE(C9239,F9239)</f>
        <v>59379.499190204537</v>
      </c>
      <c r="H9239" s="5" t="s">
        <v>9280</v>
      </c>
      <c r="I9239" s="7">
        <v>1923700</v>
      </c>
      <c r="J9239" s="8">
        <v>3.8700000000000012E-2</v>
      </c>
    </row>
    <row r="9240" spans="1:10" x14ac:dyDescent="0.25">
      <c r="A9240" s="5" t="s">
        <v>9274</v>
      </c>
      <c r="B9240" s="5" t="s">
        <v>11107</v>
      </c>
      <c r="C9240" s="6" t="str">
        <f>_xll.QS.CONTEXT.CREATE("market.9238",A9240,"USD","SOFR")</f>
        <v>QSObject:PricingContext:w1~market.9238:727</v>
      </c>
      <c r="D9240" s="6" t="str">
        <f>_xll.QS.CONTEXT.ADD.CURVE(C9240,"SOFR",$K$2:$K$7,$L$2:$L$7,,,"Actual360","LogLinear",TRUE)</f>
        <v>QSObject:ContextInput:w1~input.qs_context_add_curve.2359132437744.9239.3.0:31601</v>
      </c>
      <c r="E9240" s="6" t="str">
        <f>_xll.QS.INSTRUMENT.SWAP("swap.9238",H9240,B9240,"USD","SOFR",I9240,J9240,0,"Actual360","Simple","Annual","Annual","Annual")</f>
        <v>QSObject:Swap:w1~swap.9238:726</v>
      </c>
      <c r="F9240" s="6" t="str">
        <f>_xll.QS.TRADE.CREATE("trade.9238",E9240,A9240,"Receive")</f>
        <v>QSObject:SwapTrade:w1~trade.9238:22541</v>
      </c>
      <c r="G9240" s="3">
        <f>_xll.QS.EVALUATE(C9240,F9240)</f>
        <v>60030.97756473584</v>
      </c>
      <c r="H9240" s="5" t="s">
        <v>9281</v>
      </c>
      <c r="I9240" s="7">
        <v>1923800</v>
      </c>
      <c r="J9240" s="8">
        <v>3.8800000000000001E-2</v>
      </c>
    </row>
    <row r="9241" spans="1:10" x14ac:dyDescent="0.25">
      <c r="A9241" s="5" t="s">
        <v>9275</v>
      </c>
      <c r="B9241" s="5" t="s">
        <v>11108</v>
      </c>
      <c r="C9241" s="6" t="str">
        <f>_xll.QS.CONTEXT.CREATE("market.9239",A9241,"USD","SOFR")</f>
        <v>QSObject:PricingContext:w1~market.9239:725</v>
      </c>
      <c r="D9241" s="6" t="str">
        <f>_xll.QS.CONTEXT.ADD.CURVE(C9241,"SOFR",$K$2:$K$7,$L$2:$L$7,,,"Actual360","LogLinear",TRUE)</f>
        <v>QSObject:ContextInput:w1~input.qs_context_add_curve.2359132437744.9240.3.0:31600</v>
      </c>
      <c r="E9241" s="6" t="str">
        <f>_xll.QS.INSTRUMENT.SWAP("swap.9239",H9241,B9241,"USD","SOFR",I9241,J9241,0,"Actual360","Simple","Annual","Annual","Annual")</f>
        <v>QSObject:Swap:w1~swap.9239:724</v>
      </c>
      <c r="F9241" s="6" t="str">
        <f>_xll.QS.TRADE.CREATE("trade.9239",E9241,A9241,"Receive")</f>
        <v>QSObject:SwapTrade:w1~trade.9239:22540</v>
      </c>
      <c r="G9241" s="3">
        <f>_xll.QS.EVALUATE(C9241,F9241)</f>
        <v>60926.398874548999</v>
      </c>
      <c r="H9241" s="5" t="s">
        <v>9282</v>
      </c>
      <c r="I9241" s="7">
        <v>1923900</v>
      </c>
      <c r="J9241" s="8">
        <v>3.8899999999999997E-2</v>
      </c>
    </row>
    <row r="9242" spans="1:10" x14ac:dyDescent="0.25">
      <c r="A9242" s="5" t="s">
        <v>9276</v>
      </c>
      <c r="B9242" s="5" t="s">
        <v>11109</v>
      </c>
      <c r="C9242" s="6" t="str">
        <f>_xll.QS.CONTEXT.CREATE("market.9240",A9242,"USD","SOFR")</f>
        <v>QSObject:PricingContext:w1~market.9240:723</v>
      </c>
      <c r="D9242" s="6" t="str">
        <f>_xll.QS.CONTEXT.ADD.CURVE(C9242,"SOFR",$K$2:$K$7,$L$2:$L$7,,,"Actual360","LogLinear",TRUE)</f>
        <v>QSObject:ContextInput:w1~input.qs_context_add_curve.2359132437744.9241.3.0:31599</v>
      </c>
      <c r="E9242" s="6" t="str">
        <f>_xll.QS.INSTRUMENT.SWAP("swap.9240",H9242,B9242,"USD","SOFR",I9242,J9242,0,"Actual360","Simple","Annual","Annual","Annual")</f>
        <v>QSObject:Swap:w1~swap.9240:722</v>
      </c>
      <c r="F9242" s="6" t="str">
        <f>_xll.QS.TRADE.CREATE("trade.9240",E9242,A9242,"Receive")</f>
        <v>QSObject:SwapTrade:w1~trade.9240:22539</v>
      </c>
      <c r="G9242" s="3">
        <f>_xll.QS.EVALUATE(C9242,F9242)</f>
        <v>61899.296478797878</v>
      </c>
      <c r="H9242" s="5" t="s">
        <v>9283</v>
      </c>
      <c r="I9242" s="7">
        <v>1924000</v>
      </c>
      <c r="J9242" s="8">
        <v>3.9000000000000007E-2</v>
      </c>
    </row>
    <row r="9243" spans="1:10" x14ac:dyDescent="0.25">
      <c r="A9243" s="5" t="s">
        <v>9277</v>
      </c>
      <c r="B9243" s="5" t="s">
        <v>11110</v>
      </c>
      <c r="C9243" s="6" t="str">
        <f>_xll.QS.CONTEXT.CREATE("market.9241",A9243,"USD","SOFR")</f>
        <v>QSObject:PricingContext:w1~market.9241:721</v>
      </c>
      <c r="D9243" s="6" t="str">
        <f>_xll.QS.CONTEXT.ADD.CURVE(C9243,"SOFR",$K$2:$K$7,$L$2:$L$7,,,"Actual360","LogLinear",TRUE)</f>
        <v>QSObject:ContextInput:w1~input.qs_context_add_curve.2359132437744.9242.3.0:31598</v>
      </c>
      <c r="E9243" s="6" t="str">
        <f>_xll.QS.INSTRUMENT.SWAP("swap.9241",H9243,B9243,"USD","SOFR",I9243,J9243,0,"Actual360","Simple","Annual","Annual","Annual")</f>
        <v>QSObject:Swap:w1~swap.9241:720</v>
      </c>
      <c r="F9243" s="6" t="str">
        <f>_xll.QS.TRADE.CREATE("trade.9241",E9243,A9243,"Receive")</f>
        <v>QSObject:SwapTrade:w1~trade.9241:22538</v>
      </c>
      <c r="G9243" s="3">
        <f>_xll.QS.EVALUATE(C9243,F9243)</f>
        <v>62931.037412322839</v>
      </c>
      <c r="H9243" s="5" t="s">
        <v>9284</v>
      </c>
      <c r="I9243" s="7">
        <v>1924100</v>
      </c>
      <c r="J9243" s="8">
        <v>3.9100000000000003E-2</v>
      </c>
    </row>
    <row r="9244" spans="1:10" x14ac:dyDescent="0.25">
      <c r="A9244" s="5" t="s">
        <v>9278</v>
      </c>
      <c r="B9244" s="5" t="s">
        <v>11111</v>
      </c>
      <c r="C9244" s="6" t="str">
        <f>_xll.QS.CONTEXT.CREATE("market.9242",A9244,"USD","SOFR")</f>
        <v>QSObject:PricingContext:w1~market.9242:719</v>
      </c>
      <c r="D9244" s="6" t="str">
        <f>_xll.QS.CONTEXT.ADD.CURVE(C9244,"SOFR",$K$2:$K$7,$L$2:$L$7,,,"Actual360","LogLinear",TRUE)</f>
        <v>QSObject:ContextInput:w1~input.qs_context_add_curve.2359132437744.9243.3.0:31597</v>
      </c>
      <c r="E9244" s="6" t="str">
        <f>_xll.QS.INSTRUMENT.SWAP("swap.9242",H9244,B9244,"USD","SOFR",I9244,J9244,0,"Actual360","Simple","Annual","Annual","Annual")</f>
        <v>QSObject:Swap:w1~swap.9242:718</v>
      </c>
      <c r="F9244" s="6" t="str">
        <f>_xll.QS.TRADE.CREATE("trade.9242",E9244,A9244,"Receive")</f>
        <v>QSObject:SwapTrade:w1~trade.9242:22537</v>
      </c>
      <c r="G9244" s="3">
        <f>_xll.QS.EVALUATE(C9244,F9244)</f>
        <v>63822.049226189018</v>
      </c>
      <c r="H9244" s="5" t="s">
        <v>9285</v>
      </c>
      <c r="I9244" s="7">
        <v>1924200</v>
      </c>
      <c r="J9244" s="8">
        <v>3.9200000000000013E-2</v>
      </c>
    </row>
    <row r="9245" spans="1:10" x14ac:dyDescent="0.25">
      <c r="A9245" s="5" t="s">
        <v>9279</v>
      </c>
      <c r="B9245" s="5" t="s">
        <v>11112</v>
      </c>
      <c r="C9245" s="6" t="str">
        <f>_xll.QS.CONTEXT.CREATE("market.9243",A9245,"USD","SOFR")</f>
        <v>QSObject:PricingContext:w1~market.9243:717</v>
      </c>
      <c r="D9245" s="6" t="str">
        <f>_xll.QS.CONTEXT.ADD.CURVE(C9245,"SOFR",$K$2:$K$7,$L$2:$L$7,,,"Actual360","LogLinear",TRUE)</f>
        <v>QSObject:ContextInput:w1~input.qs_context_add_curve.2359132437744.9244.3.0:31596</v>
      </c>
      <c r="E9245" s="6" t="str">
        <f>_xll.QS.INSTRUMENT.SWAP("swap.9243",H9245,B9245,"USD","SOFR",I9245,J9245,0,"Actual360","Simple","Annual","Annual","Annual")</f>
        <v>QSObject:Swap:w1~swap.9243:716</v>
      </c>
      <c r="F9245" s="6" t="str">
        <f>_xll.QS.TRADE.CREATE("trade.9243",E9245,A9245,"Receive")</f>
        <v>QSObject:SwapTrade:w1~trade.9243:22536</v>
      </c>
      <c r="G9245" s="3">
        <f>_xll.QS.EVALUATE(C9245,F9245)</f>
        <v>64724.530477883549</v>
      </c>
      <c r="H9245" s="5" t="s">
        <v>9286</v>
      </c>
      <c r="I9245" s="7">
        <v>1924300</v>
      </c>
      <c r="J9245" s="8">
        <v>3.9300000000000002E-2</v>
      </c>
    </row>
    <row r="9246" spans="1:10" x14ac:dyDescent="0.25">
      <c r="A9246" s="5" t="s">
        <v>9280</v>
      </c>
      <c r="B9246" s="5" t="s">
        <v>11113</v>
      </c>
      <c r="C9246" s="6" t="str">
        <f>_xll.QS.CONTEXT.CREATE("market.9244",A9246,"USD","SOFR")</f>
        <v>QSObject:PricingContext:w1~market.9244:715</v>
      </c>
      <c r="D9246" s="6" t="str">
        <f>_xll.QS.CONTEXT.ADD.CURVE(C9246,"SOFR",$K$2:$K$7,$L$2:$L$7,,,"Actual360","LogLinear",TRUE)</f>
        <v>QSObject:ContextInput:w1~input.qs_context_add_curve.2359132437744.9245.3.0:31595</v>
      </c>
      <c r="E9246" s="6" t="str">
        <f>_xll.QS.INSTRUMENT.SWAP("swap.9244",H9246,B9246,"USD","SOFR",I9246,J9246,0,"Actual360","Simple","Annual","Annual","Annual")</f>
        <v>QSObject:Swap:w1~swap.9244:714</v>
      </c>
      <c r="F9246" s="6" t="str">
        <f>_xll.QS.TRADE.CREATE("trade.9244",E9246,A9246,"Receive")</f>
        <v>QSObject:SwapTrade:w1~trade.9244:22535</v>
      </c>
      <c r="G9246" s="3">
        <f>_xll.QS.EVALUATE(C9246,F9246)</f>
        <v>65616.138027137669</v>
      </c>
      <c r="H9246" s="5" t="s">
        <v>9287</v>
      </c>
      <c r="I9246" s="7">
        <v>1924400</v>
      </c>
      <c r="J9246" s="8">
        <v>3.9399999999999998E-2</v>
      </c>
    </row>
    <row r="9247" spans="1:10" x14ac:dyDescent="0.25">
      <c r="A9247" s="5" t="s">
        <v>9281</v>
      </c>
      <c r="B9247" s="5" t="s">
        <v>11114</v>
      </c>
      <c r="C9247" s="6" t="str">
        <f>_xll.QS.CONTEXT.CREATE("market.9245",A9247,"USD","SOFR")</f>
        <v>QSObject:PricingContext:w1~market.9245:713</v>
      </c>
      <c r="D9247" s="6" t="str">
        <f>_xll.QS.CONTEXT.ADD.CURVE(C9247,"SOFR",$K$2:$K$7,$L$2:$L$7,,,"Actual360","LogLinear",TRUE)</f>
        <v>QSObject:ContextInput:w1~input.qs_context_add_curve.2359132437744.9246.3.0:31594</v>
      </c>
      <c r="E9247" s="6" t="str">
        <f>_xll.QS.INSTRUMENT.SWAP("swap.9245",H9247,B9247,"USD","SOFR",I9247,J9247,0,"Actual360","Simple","Annual","Annual","Annual")</f>
        <v>QSObject:Swap:w1~swap.9245:712</v>
      </c>
      <c r="F9247" s="6" t="str">
        <f>_xll.QS.TRADE.CREATE("trade.9245",E9247,A9247,"Receive")</f>
        <v>QSObject:SwapTrade:w1~trade.9245:22534</v>
      </c>
      <c r="G9247" s="3">
        <f>_xll.QS.EVALUATE(C9247,F9247)</f>
        <v>66266.925149181086</v>
      </c>
      <c r="H9247" s="5" t="s">
        <v>9288</v>
      </c>
      <c r="I9247" s="7">
        <v>1924500</v>
      </c>
      <c r="J9247" s="8">
        <v>3.9500000000000007E-2</v>
      </c>
    </row>
    <row r="9248" spans="1:10" x14ac:dyDescent="0.25">
      <c r="A9248" s="5" t="s">
        <v>9282</v>
      </c>
      <c r="B9248" s="5" t="s">
        <v>11115</v>
      </c>
      <c r="C9248" s="6" t="str">
        <f>_xll.QS.CONTEXT.CREATE("market.9246",A9248,"USD","SOFR")</f>
        <v>QSObject:PricingContext:w1~market.9246:711</v>
      </c>
      <c r="D9248" s="6" t="str">
        <f>_xll.QS.CONTEXT.ADD.CURVE(C9248,"SOFR",$K$2:$K$7,$L$2:$L$7,,,"Actual360","LogLinear",TRUE)</f>
        <v>QSObject:ContextInput:w1~input.qs_context_add_curve.2359132437744.9247.3.0:31593</v>
      </c>
      <c r="E9248" s="6" t="str">
        <f>_xll.QS.INSTRUMENT.SWAP("swap.9246",H9248,B9248,"USD","SOFR",I9248,J9248,0,"Actual360","Simple","Annual","Annual","Annual")</f>
        <v>QSObject:Swap:w1~swap.9246:710</v>
      </c>
      <c r="F9248" s="6" t="str">
        <f>_xll.QS.TRADE.CREATE("trade.9246",E9248,A9248,"Receive")</f>
        <v>QSObject:SwapTrade:w1~trade.9246:22533</v>
      </c>
      <c r="G9248" s="3">
        <f>_xll.QS.EVALUATE(C9248,F9248)</f>
        <v>67163.515202244831</v>
      </c>
      <c r="H9248" s="5" t="s">
        <v>9289</v>
      </c>
      <c r="I9248" s="7">
        <v>1924600</v>
      </c>
      <c r="J9248" s="8">
        <v>3.9600000000000003E-2</v>
      </c>
    </row>
    <row r="9249" spans="1:10" x14ac:dyDescent="0.25">
      <c r="A9249" s="5" t="s">
        <v>9283</v>
      </c>
      <c r="B9249" s="5" t="s">
        <v>11116</v>
      </c>
      <c r="C9249" s="6" t="str">
        <f>_xll.QS.CONTEXT.CREATE("market.9247",A9249,"USD","SOFR")</f>
        <v>QSObject:PricingContext:w1~market.9247:709</v>
      </c>
      <c r="D9249" s="6" t="str">
        <f>_xll.QS.CONTEXT.ADD.CURVE(C9249,"SOFR",$K$2:$K$7,$L$2:$L$7,,,"Actual360","LogLinear",TRUE)</f>
        <v>QSObject:ContextInput:w1~input.qs_context_add_curve.2359132437744.9248.3.0:31592</v>
      </c>
      <c r="E9249" s="6" t="str">
        <f>_xll.QS.INSTRUMENT.SWAP("swap.9247",H9249,B9249,"USD","SOFR",I9249,J9249,0,"Actual360","Simple","Annual","Annual","Annual")</f>
        <v>QSObject:Swap:w1~swap.9247:708</v>
      </c>
      <c r="F9249" s="6" t="str">
        <f>_xll.QS.TRADE.CREATE("trade.9247",E9249,A9249,"Receive")</f>
        <v>QSObject:SwapTrade:w1~trade.9247:22532</v>
      </c>
      <c r="G9249" s="3">
        <f>_xll.QS.EVALUATE(C9249,F9249)</f>
        <v>68136.532710444444</v>
      </c>
      <c r="H9249" s="5" t="s">
        <v>9290</v>
      </c>
      <c r="I9249" s="7">
        <v>1924700</v>
      </c>
      <c r="J9249" s="8">
        <v>3.9700000000000013E-2</v>
      </c>
    </row>
    <row r="9250" spans="1:10" x14ac:dyDescent="0.25">
      <c r="A9250" s="5" t="s">
        <v>9284</v>
      </c>
      <c r="B9250" s="5" t="s">
        <v>11117</v>
      </c>
      <c r="C9250" s="6" t="str">
        <f>_xll.QS.CONTEXT.CREATE("market.9248",A9250,"USD","SOFR")</f>
        <v>QSObject:PricingContext:w1~market.9248:707</v>
      </c>
      <c r="D9250" s="6" t="str">
        <f>_xll.QS.CONTEXT.ADD.CURVE(C9250,"SOFR",$K$2:$K$7,$L$2:$L$7,,,"Actual360","LogLinear",TRUE)</f>
        <v>QSObject:ContextInput:w1~input.qs_context_add_curve.2359132437744.9249.3.0:31591</v>
      </c>
      <c r="E9250" s="6" t="str">
        <f>_xll.QS.INSTRUMENT.SWAP("swap.9248",H9250,B9250,"USD","SOFR",I9250,J9250,0,"Actual360","Simple","Annual","Annual","Annual")</f>
        <v>QSObject:Swap:w1~swap.9248:706</v>
      </c>
      <c r="F9250" s="6" t="str">
        <f>_xll.QS.TRADE.CREATE("trade.9248",E9250,A9250,"Receive")</f>
        <v>QSObject:SwapTrade:w1~trade.9248:22531</v>
      </c>
      <c r="G9250" s="3">
        <f>_xll.QS.EVALUATE(C9250,F9250)</f>
        <v>69169.770806987974</v>
      </c>
      <c r="H9250" s="5" t="s">
        <v>9291</v>
      </c>
      <c r="I9250" s="7">
        <v>1924800</v>
      </c>
      <c r="J9250" s="8">
        <v>3.9800000000000002E-2</v>
      </c>
    </row>
    <row r="9251" spans="1:10" x14ac:dyDescent="0.25">
      <c r="A9251" s="5" t="s">
        <v>9285</v>
      </c>
      <c r="B9251" s="5" t="s">
        <v>11118</v>
      </c>
      <c r="C9251" s="6" t="str">
        <f>_xll.QS.CONTEXT.CREATE("market.9249",A9251,"USD","SOFR")</f>
        <v>QSObject:PricingContext:w1~market.9249:705</v>
      </c>
      <c r="D9251" s="6" t="str">
        <f>_xll.QS.CONTEXT.ADD.CURVE(C9251,"SOFR",$K$2:$K$7,$L$2:$L$7,,,"Actual360","LogLinear",TRUE)</f>
        <v>QSObject:ContextInput:w1~input.qs_context_add_curve.2359132437744.9250.3.0:31590</v>
      </c>
      <c r="E9251" s="6" t="str">
        <f>_xll.QS.INSTRUMENT.SWAP("swap.9249",H9251,B9251,"USD","SOFR",I9251,J9251,0,"Actual360","Simple","Annual","Annual","Annual")</f>
        <v>QSObject:Swap:w1~swap.9249:704</v>
      </c>
      <c r="F9251" s="6" t="str">
        <f>_xll.QS.TRADE.CREATE("trade.9249",E9251,A9251,"Receive")</f>
        <v>QSObject:SwapTrade:w1~trade.9249:22530</v>
      </c>
      <c r="G9251" s="3">
        <f>_xll.QS.EVALUATE(C9251,F9251)</f>
        <v>70061.574341055282</v>
      </c>
      <c r="H9251" s="5" t="s">
        <v>9292</v>
      </c>
      <c r="I9251" s="7">
        <v>1924900</v>
      </c>
      <c r="J9251" s="8">
        <v>3.9899999999999998E-2</v>
      </c>
    </row>
    <row r="9252" spans="1:10" x14ac:dyDescent="0.25">
      <c r="A9252" s="5" t="s">
        <v>9286</v>
      </c>
      <c r="B9252" s="5" t="s">
        <v>11119</v>
      </c>
      <c r="C9252" s="6" t="str">
        <f>_xll.QS.CONTEXT.CREATE("market.9250",A9252,"USD","SOFR")</f>
        <v>QSObject:PricingContext:w1~market.9250:703</v>
      </c>
      <c r="D9252" s="6" t="str">
        <f>_xll.QS.CONTEXT.ADD.CURVE(C9252,"SOFR",$K$2:$K$7,$L$2:$L$7,,,"Actual360","LogLinear",TRUE)</f>
        <v>QSObject:ContextInput:w1~input.qs_context_add_curve.2359132437744.9251.3.0:31589</v>
      </c>
      <c r="E9252" s="6" t="str">
        <f>_xll.QS.INSTRUMENT.SWAP("swap.9250",H9252,B9252,"USD","SOFR",I9252,J9252,0,"Actual360","Simple","Annual","Annual","Annual")</f>
        <v>QSObject:Swap:w1~swap.9250:702</v>
      </c>
      <c r="F9252" s="6" t="str">
        <f>_xll.QS.TRADE.CREATE("trade.9250",E9252,A9252,"Receive")</f>
        <v>QSObject:SwapTrade:w1~trade.9250:22529</v>
      </c>
      <c r="G9252" s="3">
        <f>_xll.QS.EVALUATE(C9252,F9252)</f>
        <v>26556.97359488799</v>
      </c>
      <c r="H9252" s="5" t="s">
        <v>9293</v>
      </c>
      <c r="I9252" s="7">
        <v>1925000</v>
      </c>
      <c r="J9252" s="8">
        <v>3.5000000000000003E-2</v>
      </c>
    </row>
    <row r="9253" spans="1:10" x14ac:dyDescent="0.25">
      <c r="A9253" s="5" t="s">
        <v>9287</v>
      </c>
      <c r="B9253" s="5" t="s">
        <v>11120</v>
      </c>
      <c r="C9253" s="6" t="str">
        <f>_xll.QS.CONTEXT.CREATE("market.9251",A9253,"USD","SOFR")</f>
        <v>QSObject:PricingContext:w1~market.9251:701</v>
      </c>
      <c r="D9253" s="6" t="str">
        <f>_xll.QS.CONTEXT.ADD.CURVE(C9253,"SOFR",$K$2:$K$7,$L$2:$L$7,,,"Actual360","LogLinear",TRUE)</f>
        <v>QSObject:ContextInput:w1~input.qs_context_add_curve.2359132437744.9252.3.0:31588</v>
      </c>
      <c r="E9253" s="6" t="str">
        <f>_xll.QS.INSTRUMENT.SWAP("swap.9251",H9253,B9253,"USD","SOFR",I9253,J9253,0,"Actual360","Simple","Annual","Annual","Annual")</f>
        <v>QSObject:Swap:w1~swap.9251:700</v>
      </c>
      <c r="F9253" s="6" t="str">
        <f>_xll.QS.TRADE.CREATE("trade.9251",E9253,A9253,"Receive")</f>
        <v>QSObject:SwapTrade:w1~trade.9251:22528</v>
      </c>
      <c r="G9253" s="3">
        <f>_xll.QS.EVALUATE(C9253,F9253)</f>
        <v>27448.066752784696</v>
      </c>
      <c r="H9253" s="5" t="s">
        <v>9294</v>
      </c>
      <c r="I9253" s="7">
        <v>1925100</v>
      </c>
      <c r="J9253" s="8">
        <v>3.5100000000000013E-2</v>
      </c>
    </row>
    <row r="9254" spans="1:10" x14ac:dyDescent="0.25">
      <c r="A9254" s="5" t="s">
        <v>9288</v>
      </c>
      <c r="B9254" s="5" t="s">
        <v>11121</v>
      </c>
      <c r="C9254" s="6" t="str">
        <f>_xll.QS.CONTEXT.CREATE("market.9252",A9254,"USD","SOFR")</f>
        <v>QSObject:PricingContext:w1~market.9252:699</v>
      </c>
      <c r="D9254" s="6" t="str">
        <f>_xll.QS.CONTEXT.ADD.CURVE(C9254,"SOFR",$K$2:$K$7,$L$2:$L$7,,,"Actual360","LogLinear",TRUE)</f>
        <v>QSObject:ContextInput:w1~input.qs_context_add_curve.2359132437744.9253.3.0:31587</v>
      </c>
      <c r="E9254" s="6" t="str">
        <f>_xll.QS.INSTRUMENT.SWAP("swap.9252",H9254,B9254,"USD","SOFR",I9254,J9254,0,"Actual360","Simple","Annual","Annual","Annual")</f>
        <v>QSObject:Swap:w1~swap.9252:698</v>
      </c>
      <c r="F9254" s="6" t="str">
        <f>_xll.QS.TRADE.CREATE("trade.9252",E9254,A9254,"Receive")</f>
        <v>QSObject:SwapTrade:w1~trade.9252:22527</v>
      </c>
      <c r="G9254" s="3">
        <f>_xll.QS.EVALUATE(C9254,F9254)</f>
        <v>28104.787663276358</v>
      </c>
      <c r="H9254" s="5" t="s">
        <v>9295</v>
      </c>
      <c r="I9254" s="7">
        <v>1925200</v>
      </c>
      <c r="J9254" s="8">
        <v>3.5200000000000002E-2</v>
      </c>
    </row>
    <row r="9255" spans="1:10" x14ac:dyDescent="0.25">
      <c r="A9255" s="5" t="s">
        <v>9289</v>
      </c>
      <c r="B9255" s="5" t="s">
        <v>11122</v>
      </c>
      <c r="C9255" s="6" t="str">
        <f>_xll.QS.CONTEXT.CREATE("market.9253",A9255,"USD","SOFR")</f>
        <v>QSObject:PricingContext:w1~market.9253:697</v>
      </c>
      <c r="D9255" s="6" t="str">
        <f>_xll.QS.CONTEXT.ADD.CURVE(C9255,"SOFR",$K$2:$K$7,$L$2:$L$7,,,"Actual360","LogLinear",TRUE)</f>
        <v>QSObject:ContextInput:w1~input.qs_context_add_curve.2359132437744.9254.3.0:31586</v>
      </c>
      <c r="E9255" s="6" t="str">
        <f>_xll.QS.INSTRUMENT.SWAP("swap.9253",H9255,B9255,"USD","SOFR",I9255,J9255,0,"Actual360","Simple","Annual","Annual","Annual")</f>
        <v>QSObject:Swap:w1~swap.9253:696</v>
      </c>
      <c r="F9255" s="6" t="str">
        <f>_xll.QS.TRADE.CREATE("trade.9253",E9255,A9255,"Receive")</f>
        <v>QSObject:SwapTrade:w1~trade.9253:22526</v>
      </c>
      <c r="G9255" s="3">
        <f>_xll.QS.EVALUATE(C9255,F9255)</f>
        <v>28996.516308358383</v>
      </c>
      <c r="H9255" s="5" t="s">
        <v>9296</v>
      </c>
      <c r="I9255" s="7">
        <v>1925300</v>
      </c>
      <c r="J9255" s="8">
        <v>3.5299999999999998E-2</v>
      </c>
    </row>
    <row r="9256" spans="1:10" x14ac:dyDescent="0.25">
      <c r="A9256" s="5" t="s">
        <v>9290</v>
      </c>
      <c r="B9256" s="5" t="s">
        <v>11123</v>
      </c>
      <c r="C9256" s="6" t="str">
        <f>_xll.QS.CONTEXT.CREATE("market.9254",A9256,"USD","SOFR")</f>
        <v>QSObject:PricingContext:w1~market.9254:695</v>
      </c>
      <c r="D9256" s="6" t="str">
        <f>_xll.QS.CONTEXT.ADD.CURVE(C9256,"SOFR",$K$2:$K$7,$L$2:$L$7,,,"Actual360","LogLinear",TRUE)</f>
        <v>QSObject:ContextInput:w1~input.qs_context_add_curve.2359132437744.9255.3.0:31585</v>
      </c>
      <c r="E9256" s="6" t="str">
        <f>_xll.QS.INSTRUMENT.SWAP("swap.9254",H9256,B9256,"USD","SOFR",I9256,J9256,0,"Actual360","Simple","Annual","Annual","Annual")</f>
        <v>QSObject:Swap:w1~swap.9254:694</v>
      </c>
      <c r="F9256" s="6" t="str">
        <f>_xll.QS.TRADE.CREATE("trade.9254",E9256,A9256,"Receive")</f>
        <v>QSObject:SwapTrade:w1~trade.9254:22525</v>
      </c>
      <c r="G9256" s="3">
        <f>_xll.QS.EVALUATE(C9256,F9256)</f>
        <v>29965.330650311385</v>
      </c>
      <c r="H9256" s="5" t="s">
        <v>9297</v>
      </c>
      <c r="I9256" s="7">
        <v>1925400</v>
      </c>
      <c r="J9256" s="8">
        <v>3.5400000000000001E-2</v>
      </c>
    </row>
    <row r="9257" spans="1:10" x14ac:dyDescent="0.25">
      <c r="A9257" s="5" t="s">
        <v>9291</v>
      </c>
      <c r="B9257" s="5" t="s">
        <v>11124</v>
      </c>
      <c r="C9257" s="6" t="str">
        <f>_xll.QS.CONTEXT.CREATE("market.9255",A9257,"USD","SOFR")</f>
        <v>QSObject:PricingContext:w1~market.9255:693</v>
      </c>
      <c r="D9257" s="6" t="str">
        <f>_xll.QS.CONTEXT.ADD.CURVE(C9257,"SOFR",$K$2:$K$7,$L$2:$L$7,,,"Actual360","LogLinear",TRUE)</f>
        <v>QSObject:ContextInput:w1~input.qs_context_add_curve.2359132437744.9256.3.0:31584</v>
      </c>
      <c r="E9257" s="6" t="str">
        <f>_xll.QS.INSTRUMENT.SWAP("swap.9255",H9257,B9257,"USD","SOFR",I9257,J9257,0,"Actual360","Simple","Annual","Annual","Annual")</f>
        <v>QSObject:Swap:w1~swap.9255:692</v>
      </c>
      <c r="F9257" s="6" t="str">
        <f>_xll.QS.TRADE.CREATE("trade.9255",E9257,A9257,"Receive")</f>
        <v>QSObject:SwapTrade:w1~trade.9255:22524</v>
      </c>
      <c r="G9257" s="3">
        <f>_xll.QS.EVALUATE(C9257,F9257)</f>
        <v>30995.684294465129</v>
      </c>
      <c r="H9257" s="5" t="s">
        <v>9298</v>
      </c>
      <c r="I9257" s="7">
        <v>1925500</v>
      </c>
      <c r="J9257" s="8">
        <v>3.5499999999999997E-2</v>
      </c>
    </row>
    <row r="9258" spans="1:10" x14ac:dyDescent="0.25">
      <c r="A9258" s="5" t="s">
        <v>9292</v>
      </c>
      <c r="B9258" s="5" t="s">
        <v>11125</v>
      </c>
      <c r="C9258" s="6" t="str">
        <f>_xll.QS.CONTEXT.CREATE("market.9256",A9258,"USD","SOFR")</f>
        <v>QSObject:PricingContext:w1~market.9256:691</v>
      </c>
      <c r="D9258" s="6" t="str">
        <f>_xll.QS.CONTEXT.ADD.CURVE(C9258,"SOFR",$K$2:$K$7,$L$2:$L$7,,,"Actual360","LogLinear",TRUE)</f>
        <v>QSObject:ContextInput:w1~input.qs_context_add_curve.2359132437744.9257.3.0:31583</v>
      </c>
      <c r="E9258" s="6" t="str">
        <f>_xll.QS.INSTRUMENT.SWAP("swap.9256",H9258,B9258,"USD","SOFR",I9258,J9258,0,"Actual360","Simple","Annual","Annual","Annual")</f>
        <v>QSObject:Swap:w1~swap.9256:690</v>
      </c>
      <c r="F9258" s="6" t="str">
        <f>_xll.QS.TRADE.CREATE("trade.9256",E9258,A9258,"Receive")</f>
        <v>QSObject:SwapTrade:w1~trade.9256:22523</v>
      </c>
      <c r="G9258" s="3">
        <f>_xll.QS.EVALUATE(C9258,F9258)</f>
        <v>31885.44594068046</v>
      </c>
      <c r="H9258" s="5" t="s">
        <v>9299</v>
      </c>
      <c r="I9258" s="7">
        <v>1925600</v>
      </c>
      <c r="J9258" s="8">
        <v>3.5600000000000007E-2</v>
      </c>
    </row>
    <row r="9259" spans="1:10" x14ac:dyDescent="0.25">
      <c r="A9259" s="5" t="s">
        <v>9293</v>
      </c>
      <c r="B9259" s="5" t="s">
        <v>11126</v>
      </c>
      <c r="C9259" s="6" t="str">
        <f>_xll.QS.CONTEXT.CREATE("market.9257",A9259,"USD","SOFR")</f>
        <v>QSObject:PricingContext:w1~market.9257:689</v>
      </c>
      <c r="D9259" s="6" t="str">
        <f>_xll.QS.CONTEXT.ADD.CURVE(C9259,"SOFR",$K$2:$K$7,$L$2:$L$7,,,"Actual360","LogLinear",TRUE)</f>
        <v>QSObject:ContextInput:w1~input.qs_context_add_curve.2359132437744.9258.3.0:31582</v>
      </c>
      <c r="E9259" s="6" t="str">
        <f>_xll.QS.INSTRUMENT.SWAP("swap.9257",H9259,B9259,"USD","SOFR",I9259,J9259,0,"Actual360","Simple","Annual","Annual","Annual")</f>
        <v>QSObject:Swap:w1~swap.9257:688</v>
      </c>
      <c r="F9259" s="6" t="str">
        <f>_xll.QS.TRADE.CREATE("trade.9257",E9259,A9259,"Receive")</f>
        <v>QSObject:SwapTrade:w1~trade.9257:22522</v>
      </c>
      <c r="G9259" s="3">
        <f>_xll.QS.EVALUATE(C9259,F9259)</f>
        <v>32785.837175970155</v>
      </c>
      <c r="H9259" s="5" t="s">
        <v>9300</v>
      </c>
      <c r="I9259" s="7">
        <v>1925700</v>
      </c>
      <c r="J9259" s="8">
        <v>3.5700000000000003E-2</v>
      </c>
    </row>
    <row r="9260" spans="1:10" x14ac:dyDescent="0.25">
      <c r="A9260" s="5" t="s">
        <v>9294</v>
      </c>
      <c r="B9260" s="5" t="s">
        <v>11127</v>
      </c>
      <c r="C9260" s="6" t="str">
        <f>_xll.QS.CONTEXT.CREATE("market.9258",A9260,"USD","SOFR")</f>
        <v>QSObject:PricingContext:w1~market.9258:687</v>
      </c>
      <c r="D9260" s="6" t="str">
        <f>_xll.QS.CONTEXT.ADD.CURVE(C9260,"SOFR",$K$2:$K$7,$L$2:$L$7,,,"Actual360","LogLinear",TRUE)</f>
        <v>QSObject:ContextInput:w1~input.qs_context_add_curve.2359132437744.9259.3.0:31581</v>
      </c>
      <c r="E9260" s="6" t="str">
        <f>_xll.QS.INSTRUMENT.SWAP("swap.9258",H9260,B9260,"USD","SOFR",I9260,J9260,0,"Actual360","Simple","Annual","Annual","Annual")</f>
        <v>QSObject:Swap:w1~swap.9258:686</v>
      </c>
      <c r="F9260" s="6" t="str">
        <f>_xll.QS.TRADE.CREATE("trade.9258",E9260,A9260,"Receive")</f>
        <v>QSObject:SwapTrade:w1~trade.9258:22521</v>
      </c>
      <c r="G9260" s="3">
        <f>_xll.QS.EVALUATE(C9260,F9260)</f>
        <v>33677.600481767513</v>
      </c>
      <c r="H9260" s="5" t="s">
        <v>9301</v>
      </c>
      <c r="I9260" s="7">
        <v>1925800</v>
      </c>
      <c r="J9260" s="8">
        <v>3.5800000000000012E-2</v>
      </c>
    </row>
    <row r="9261" spans="1:10" x14ac:dyDescent="0.25">
      <c r="A9261" s="5" t="s">
        <v>9295</v>
      </c>
      <c r="B9261" s="5" t="s">
        <v>11128</v>
      </c>
      <c r="C9261" s="6" t="str">
        <f>_xll.QS.CONTEXT.CREATE("market.9259",A9261,"USD","SOFR")</f>
        <v>QSObject:PricingContext:w1~market.9259:685</v>
      </c>
      <c r="D9261" s="6" t="str">
        <f>_xll.QS.CONTEXT.ADD.CURVE(C9261,"SOFR",$K$2:$K$7,$L$2:$L$7,,,"Actual360","LogLinear",TRUE)</f>
        <v>QSObject:ContextInput:w1~input.qs_context_add_curve.2359132437744.9260.3.0:31580</v>
      </c>
      <c r="E9261" s="6" t="str">
        <f>_xll.QS.INSTRUMENT.SWAP("swap.9259",H9261,B9261,"USD","SOFR",I9261,J9261,0,"Actual360","Simple","Annual","Annual","Annual")</f>
        <v>QSObject:Swap:w1~swap.9259:684</v>
      </c>
      <c r="F9261" s="6" t="str">
        <f>_xll.QS.TRADE.CREATE("trade.9259",E9261,A9261,"Receive")</f>
        <v>QSObject:SwapTrade:w1~trade.9259:22520</v>
      </c>
      <c r="G9261" s="3">
        <f>_xll.QS.EVALUATE(C9261,F9261)</f>
        <v>34333.631568871089</v>
      </c>
      <c r="H9261" s="5" t="s">
        <v>9302</v>
      </c>
      <c r="I9261" s="7">
        <v>1925900</v>
      </c>
      <c r="J9261" s="8">
        <v>3.5900000000000001E-2</v>
      </c>
    </row>
    <row r="9262" spans="1:10" x14ac:dyDescent="0.25">
      <c r="A9262" s="5" t="s">
        <v>9296</v>
      </c>
      <c r="B9262" s="5" t="s">
        <v>11129</v>
      </c>
      <c r="C9262" s="6" t="str">
        <f>_xll.QS.CONTEXT.CREATE("market.9260",A9262,"USD","SOFR")</f>
        <v>QSObject:PricingContext:w1~market.9260:683</v>
      </c>
      <c r="D9262" s="6" t="str">
        <f>_xll.QS.CONTEXT.ADD.CURVE(C9262,"SOFR",$K$2:$K$7,$L$2:$L$7,,,"Actual360","LogLinear",TRUE)</f>
        <v>QSObject:ContextInput:w1~input.qs_context_add_curve.2359132437744.9261.3.0:31579</v>
      </c>
      <c r="E9262" s="6" t="str">
        <f>_xll.QS.INSTRUMENT.SWAP("swap.9260",H9262,B9262,"USD","SOFR",I9262,J9262,0,"Actual360","Simple","Annual","Annual","Annual")</f>
        <v>QSObject:Swap:w1~swap.9260:682</v>
      </c>
      <c r="F9262" s="6" t="str">
        <f>_xll.QS.TRADE.CREATE("trade.9260",E9262,A9262,"Receive")</f>
        <v>QSObject:SwapTrade:w1~trade.9260:22519</v>
      </c>
      <c r="G9262" s="3">
        <f>_xll.QS.EVALUATE(C9262,F9262)</f>
        <v>35226.528361434401</v>
      </c>
      <c r="H9262" s="5" t="s">
        <v>9303</v>
      </c>
      <c r="I9262" s="7">
        <v>1926000</v>
      </c>
      <c r="J9262" s="8">
        <v>3.5999999999999997E-2</v>
      </c>
    </row>
    <row r="9263" spans="1:10" x14ac:dyDescent="0.25">
      <c r="A9263" s="5" t="s">
        <v>9297</v>
      </c>
      <c r="B9263" s="5" t="s">
        <v>11130</v>
      </c>
      <c r="C9263" s="6" t="str">
        <f>_xll.QS.CONTEXT.CREATE("market.9261",A9263,"USD","SOFR")</f>
        <v>QSObject:PricingContext:w1~market.9261:681</v>
      </c>
      <c r="D9263" s="6" t="str">
        <f>_xll.QS.CONTEXT.ADD.CURVE(C9263,"SOFR",$K$2:$K$7,$L$2:$L$7,,,"Actual360","LogLinear",TRUE)</f>
        <v>QSObject:ContextInput:w1~input.qs_context_add_curve.2359132437744.9262.3.0:31578</v>
      </c>
      <c r="E9263" s="6" t="str">
        <f>_xll.QS.INSTRUMENT.SWAP("swap.9261",H9263,B9263,"USD","SOFR",I9263,J9263,0,"Actual360","Simple","Annual","Annual","Annual")</f>
        <v>QSObject:Swap:w1~swap.9261:680</v>
      </c>
      <c r="F9263" s="6" t="str">
        <f>_xll.QS.TRADE.CREATE("trade.9261",E9263,A9263,"Receive")</f>
        <v>QSObject:SwapTrade:w1~trade.9261:22518</v>
      </c>
      <c r="G9263" s="3">
        <f>_xll.QS.EVALUATE(C9263,F9263)</f>
        <v>36196.625772498221</v>
      </c>
      <c r="H9263" s="5" t="s">
        <v>9304</v>
      </c>
      <c r="I9263" s="7">
        <v>1926100</v>
      </c>
      <c r="J9263" s="8">
        <v>3.61E-2</v>
      </c>
    </row>
    <row r="9264" spans="1:10" x14ac:dyDescent="0.25">
      <c r="A9264" s="5" t="s">
        <v>9298</v>
      </c>
      <c r="B9264" s="5" t="s">
        <v>11131</v>
      </c>
      <c r="C9264" s="6" t="str">
        <f>_xll.QS.CONTEXT.CREATE("market.9262",A9264,"USD","SOFR")</f>
        <v>QSObject:PricingContext:w1~market.9262:679</v>
      </c>
      <c r="D9264" s="6" t="str">
        <f>_xll.QS.CONTEXT.ADD.CURVE(C9264,"SOFR",$K$2:$K$7,$L$2:$L$7,,,"Actual360","LogLinear",TRUE)</f>
        <v>QSObject:ContextInput:w1~input.qs_context_add_curve.2359132437744.9263.3.0:31577</v>
      </c>
      <c r="E9264" s="6" t="str">
        <f>_xll.QS.INSTRUMENT.SWAP("swap.9262",H9264,B9264,"USD","SOFR",I9264,J9264,0,"Actual360","Simple","Annual","Annual","Annual")</f>
        <v>QSObject:Swap:w1~swap.9262:678</v>
      </c>
      <c r="F9264" s="6" t="str">
        <f>_xll.QS.TRADE.CREATE("trade.9262",E9264,A9264,"Receive")</f>
        <v>QSObject:SwapTrade:w1~trade.9262:22517</v>
      </c>
      <c r="G9264" s="3">
        <f>_xll.QS.EVALUATE(C9264,F9264)</f>
        <v>37227.768727727496</v>
      </c>
      <c r="H9264" s="5" t="s">
        <v>9305</v>
      </c>
      <c r="I9264" s="7">
        <v>1926200</v>
      </c>
      <c r="J9264" s="8">
        <v>3.6200000000000003E-2</v>
      </c>
    </row>
    <row r="9265" spans="1:10" x14ac:dyDescent="0.25">
      <c r="A9265" s="5" t="s">
        <v>9299</v>
      </c>
      <c r="B9265" s="5" t="s">
        <v>11132</v>
      </c>
      <c r="C9265" s="6" t="str">
        <f>_xll.QS.CONTEXT.CREATE("market.9263",A9265,"USD","SOFR")</f>
        <v>QSObject:PricingContext:w1~market.9263:677</v>
      </c>
      <c r="D9265" s="6" t="str">
        <f>_xll.QS.CONTEXT.ADD.CURVE(C9265,"SOFR",$K$2:$K$7,$L$2:$L$7,,,"Actual360","LogLinear",TRUE)</f>
        <v>QSObject:ContextInput:w1~input.qs_context_add_curve.2359132437744.9264.3.0:31576</v>
      </c>
      <c r="E9265" s="6" t="str">
        <f>_xll.QS.INSTRUMENT.SWAP("swap.9263",H9265,B9265,"USD","SOFR",I9265,J9265,0,"Actual360","Simple","Annual","Annual","Annual")</f>
        <v>QSObject:Swap:w1~swap.9263:676</v>
      </c>
      <c r="F9265" s="6" t="str">
        <f>_xll.QS.TRADE.CREATE("trade.9263",E9265,A9265,"Receive")</f>
        <v>QSObject:SwapTrade:w1~trade.9263:22516</v>
      </c>
      <c r="G9265" s="3">
        <f>_xll.QS.EVALUATE(C9265,F9265)</f>
        <v>38118.163937215926</v>
      </c>
      <c r="H9265" s="5" t="s">
        <v>9306</v>
      </c>
      <c r="I9265" s="7">
        <v>1926300</v>
      </c>
      <c r="J9265" s="8">
        <v>3.6300000000000013E-2</v>
      </c>
    </row>
    <row r="9266" spans="1:10" x14ac:dyDescent="0.25">
      <c r="A9266" s="5" t="s">
        <v>9300</v>
      </c>
      <c r="B9266" s="5" t="s">
        <v>11133</v>
      </c>
      <c r="C9266" s="6" t="str">
        <f>_xll.QS.CONTEXT.CREATE("market.9264",A9266,"USD","SOFR")</f>
        <v>QSObject:PricingContext:w1~market.9264:675</v>
      </c>
      <c r="D9266" s="6" t="str">
        <f>_xll.QS.CONTEXT.ADD.CURVE(C9266,"SOFR",$K$2:$K$7,$L$2:$L$7,,,"Actual360","LogLinear",TRUE)</f>
        <v>QSObject:ContextInput:w1~input.qs_context_add_curve.2359132437744.9265.3.0:31575</v>
      </c>
      <c r="E9266" s="6" t="str">
        <f>_xll.QS.INSTRUMENT.SWAP("swap.9264",H9266,B9266,"USD","SOFR",I9266,J9266,0,"Actual360","Simple","Annual","Annual","Annual")</f>
        <v>QSObject:Swap:w1~swap.9264:674</v>
      </c>
      <c r="F9266" s="6" t="str">
        <f>_xll.QS.TRADE.CREATE("trade.9264",E9266,A9266,"Receive")</f>
        <v>QSObject:SwapTrade:w1~trade.9264:22515</v>
      </c>
      <c r="G9266" s="3">
        <f>_xll.QS.EVALUATE(C9266,F9266)</f>
        <v>39019.22217217405</v>
      </c>
      <c r="H9266" s="5" t="s">
        <v>9307</v>
      </c>
      <c r="I9266" s="7">
        <v>1926400</v>
      </c>
      <c r="J9266" s="8">
        <v>3.6400000000000002E-2</v>
      </c>
    </row>
    <row r="9267" spans="1:10" x14ac:dyDescent="0.25">
      <c r="A9267" s="5" t="s">
        <v>9301</v>
      </c>
      <c r="B9267" s="5" t="s">
        <v>11134</v>
      </c>
      <c r="C9267" s="6" t="str">
        <f>_xll.QS.CONTEXT.CREATE("market.9265",A9267,"USD","SOFR")</f>
        <v>QSObject:PricingContext:w1~market.9265:673</v>
      </c>
      <c r="D9267" s="6" t="str">
        <f>_xll.QS.CONTEXT.ADD.CURVE(C9267,"SOFR",$K$2:$K$7,$L$2:$L$7,,,"Actual360","LogLinear",TRUE)</f>
        <v>QSObject:ContextInput:w1~input.qs_context_add_curve.2359132437744.9266.3.0:31574</v>
      </c>
      <c r="E9267" s="6" t="str">
        <f>_xll.QS.INSTRUMENT.SWAP("swap.9265",H9267,B9267,"USD","SOFR",I9267,J9267,0,"Actual360","Simple","Annual","Annual","Annual")</f>
        <v>QSObject:Swap:w1~swap.9265:672</v>
      </c>
      <c r="F9267" s="6" t="str">
        <f>_xll.QS.TRADE.CREATE("trade.9265",E9267,A9267,"Receive")</f>
        <v>QSObject:SwapTrade:w1~trade.9265:22514</v>
      </c>
      <c r="G9267" s="3">
        <f>_xll.QS.EVALUATE(C9267,F9267)</f>
        <v>39911.65564308258</v>
      </c>
      <c r="H9267" s="5" t="s">
        <v>9308</v>
      </c>
      <c r="I9267" s="7">
        <v>1926500</v>
      </c>
      <c r="J9267" s="8">
        <v>3.6499999999999998E-2</v>
      </c>
    </row>
    <row r="9268" spans="1:10" x14ac:dyDescent="0.25">
      <c r="A9268" s="5" t="s">
        <v>9302</v>
      </c>
      <c r="B9268" s="5" t="s">
        <v>11135</v>
      </c>
      <c r="C9268" s="6" t="str">
        <f>_xll.QS.CONTEXT.CREATE("market.9266",A9268,"USD","SOFR")</f>
        <v>QSObject:PricingContext:w1~market.9266:671</v>
      </c>
      <c r="D9268" s="6" t="str">
        <f>_xll.QS.CONTEXT.ADD.CURVE(C9268,"SOFR",$K$2:$K$7,$L$2:$L$7,,,"Actual360","LogLinear",TRUE)</f>
        <v>QSObject:ContextInput:w1~input.qs_context_add_curve.2359132437744.9267.3.0:31573</v>
      </c>
      <c r="E9268" s="6" t="str">
        <f>_xll.QS.INSTRUMENT.SWAP("swap.9266",H9268,B9268,"USD","SOFR",I9268,J9268,0,"Actual360","Simple","Annual","Annual","Annual")</f>
        <v>QSObject:Swap:w1~swap.9266:670</v>
      </c>
      <c r="F9268" s="6" t="str">
        <f>_xll.QS.TRADE.CREATE("trade.9266",E9268,A9268,"Receive")</f>
        <v>QSObject:SwapTrade:w1~trade.9266:22513</v>
      </c>
      <c r="G9268" s="3">
        <f>_xll.QS.EVALUATE(C9268,F9268)</f>
        <v>40487.395755055571</v>
      </c>
      <c r="H9268" s="5" t="s">
        <v>9309</v>
      </c>
      <c r="I9268" s="7">
        <v>1926600</v>
      </c>
      <c r="J9268" s="8">
        <v>3.6600000000000001E-2</v>
      </c>
    </row>
    <row r="9269" spans="1:10" x14ac:dyDescent="0.25">
      <c r="A9269" s="5" t="s">
        <v>9303</v>
      </c>
      <c r="B9269" s="5" t="s">
        <v>11136</v>
      </c>
      <c r="C9269" s="6" t="str">
        <f>_xll.QS.CONTEXT.CREATE("market.9267",A9269,"USD","SOFR")</f>
        <v>QSObject:PricingContext:w1~market.9267:669</v>
      </c>
      <c r="D9269" s="6" t="str">
        <f>_xll.QS.CONTEXT.ADD.CURVE(C9269,"SOFR",$K$2:$K$7,$L$2:$L$7,,,"Actual360","LogLinear",TRUE)</f>
        <v>QSObject:ContextInput:w1~input.qs_context_add_curve.2359132437744.9268.3.0:31572</v>
      </c>
      <c r="E9269" s="6" t="str">
        <f>_xll.QS.INSTRUMENT.SWAP("swap.9267",H9269,B9269,"USD","SOFR",I9269,J9269,0,"Actual360","Simple","Annual","Annual","Annual")</f>
        <v>QSObject:Swap:w1~swap.9267:668</v>
      </c>
      <c r="F9269" s="6" t="str">
        <f>_xll.QS.TRADE.CREATE("trade.9267",E9269,A9269,"Receive")</f>
        <v>QSObject:SwapTrade:w1~trade.9267:22512</v>
      </c>
      <c r="G9269" s="3">
        <f>_xll.QS.EVALUATE(C9269,F9269)</f>
        <v>41381.404425292043</v>
      </c>
      <c r="H9269" s="5" t="s">
        <v>9310</v>
      </c>
      <c r="I9269" s="7">
        <v>1926700</v>
      </c>
      <c r="J9269" s="8">
        <v>3.6700000000000003E-2</v>
      </c>
    </row>
    <row r="9270" spans="1:10" x14ac:dyDescent="0.25">
      <c r="A9270" s="5" t="s">
        <v>9304</v>
      </c>
      <c r="B9270" s="5" t="s">
        <v>11137</v>
      </c>
      <c r="C9270" s="6" t="str">
        <f>_xll.QS.CONTEXT.CREATE("market.9268",A9270,"USD","SOFR")</f>
        <v>QSObject:PricingContext:w1~market.9268:667</v>
      </c>
      <c r="D9270" s="6" t="str">
        <f>_xll.QS.CONTEXT.ADD.CURVE(C9270,"SOFR",$K$2:$K$7,$L$2:$L$7,,,"Actual360","LogLinear",TRUE)</f>
        <v>QSObject:ContextInput:w1~input.qs_context_add_curve.2359132437744.9269.3.0:31571</v>
      </c>
      <c r="E9270" s="6" t="str">
        <f>_xll.QS.INSTRUMENT.SWAP("swap.9268",H9270,B9270,"USD","SOFR",I9270,J9270,0,"Actual360","Simple","Annual","Annual","Annual")</f>
        <v>QSObject:Swap:w1~swap.9268:666</v>
      </c>
      <c r="F9270" s="6" t="str">
        <f>_xll.QS.TRADE.CREATE("trade.9268",E9270,A9270,"Receive")</f>
        <v>QSObject:SwapTrade:w1~trade.9268:22511</v>
      </c>
      <c r="G9270" s="3">
        <f>_xll.QS.EVALUATE(C9270,F9270)</f>
        <v>42352.662656820939</v>
      </c>
      <c r="H9270" s="5" t="s">
        <v>9311</v>
      </c>
      <c r="I9270" s="7">
        <v>1926800</v>
      </c>
      <c r="J9270" s="8">
        <v>3.6800000000000013E-2</v>
      </c>
    </row>
    <row r="9271" spans="1:10" x14ac:dyDescent="0.25">
      <c r="A9271" s="5" t="s">
        <v>9305</v>
      </c>
      <c r="B9271" s="5" t="s">
        <v>11138</v>
      </c>
      <c r="C9271" s="6" t="str">
        <f>_xll.QS.CONTEXT.CREATE("market.9269",A9271,"USD","SOFR")</f>
        <v>QSObject:PricingContext:w1~market.9269:665</v>
      </c>
      <c r="D9271" s="6" t="str">
        <f>_xll.QS.CONTEXT.ADD.CURVE(C9271,"SOFR",$K$2:$K$7,$L$2:$L$7,,,"Actual360","LogLinear",TRUE)</f>
        <v>QSObject:ContextInput:w1~input.qs_context_add_curve.2359132437744.9270.3.0:31570</v>
      </c>
      <c r="E9271" s="6" t="str">
        <f>_xll.QS.INSTRUMENT.SWAP("swap.9269",H9271,B9271,"USD","SOFR",I9271,J9271,0,"Actual360","Simple","Annual","Annual","Annual")</f>
        <v>QSObject:Swap:w1~swap.9269:664</v>
      </c>
      <c r="F9271" s="6" t="str">
        <f>_xll.QS.TRADE.CREATE("trade.9269",E9271,A9271,"Receive")</f>
        <v>QSObject:SwapTrade:w1~trade.9269:22510</v>
      </c>
      <c r="G9271" s="3">
        <f>_xll.QS.EVALUATE(C9271,F9271)</f>
        <v>43535.212830991069</v>
      </c>
      <c r="H9271" s="5" t="s">
        <v>9312</v>
      </c>
      <c r="I9271" s="7">
        <v>1926900</v>
      </c>
      <c r="J9271" s="8">
        <v>3.6900000000000002E-2</v>
      </c>
    </row>
    <row r="9272" spans="1:10" x14ac:dyDescent="0.25">
      <c r="A9272" s="5" t="s">
        <v>9306</v>
      </c>
      <c r="B9272" s="5" t="s">
        <v>11139</v>
      </c>
      <c r="C9272" s="6" t="str">
        <f>_xll.QS.CONTEXT.CREATE("market.9270",A9272,"USD","SOFR")</f>
        <v>QSObject:PricingContext:w1~market.9270:663</v>
      </c>
      <c r="D9272" s="6" t="str">
        <f>_xll.QS.CONTEXT.ADD.CURVE(C9272,"SOFR",$K$2:$K$7,$L$2:$L$7,,,"Actual360","LogLinear",TRUE)</f>
        <v>QSObject:ContextInput:w1~input.qs_context_add_curve.2359132437744.9271.3.0:31569</v>
      </c>
      <c r="E9272" s="6" t="str">
        <f>_xll.QS.INSTRUMENT.SWAP("swap.9270",H9272,B9272,"USD","SOFR",I9272,J9272,0,"Actual360","Simple","Annual","Annual","Annual")</f>
        <v>QSObject:Swap:w1~swap.9270:662</v>
      </c>
      <c r="F9272" s="6" t="str">
        <f>_xll.QS.TRADE.CREATE("trade.9270",E9272,A9272,"Receive")</f>
        <v>QSObject:SwapTrade:w1~trade.9270:22509</v>
      </c>
      <c r="G9272" s="3">
        <f>_xll.QS.EVALUATE(C9272,F9272)</f>
        <v>44426.180357052945</v>
      </c>
      <c r="H9272" s="5" t="s">
        <v>9313</v>
      </c>
      <c r="I9272" s="7">
        <v>1927000</v>
      </c>
      <c r="J9272" s="8">
        <v>3.7000000000000012E-2</v>
      </c>
    </row>
    <row r="9273" spans="1:10" x14ac:dyDescent="0.25">
      <c r="A9273" s="5" t="s">
        <v>9307</v>
      </c>
      <c r="B9273" s="5" t="s">
        <v>11140</v>
      </c>
      <c r="C9273" s="6" t="str">
        <f>_xll.QS.CONTEXT.CREATE("market.9271",A9273,"USD","SOFR")</f>
        <v>QSObject:PricingContext:w1~market.9271:661</v>
      </c>
      <c r="D9273" s="6" t="str">
        <f>_xll.QS.CONTEXT.ADD.CURVE(C9273,"SOFR",$K$2:$K$7,$L$2:$L$7,,,"Actual360","LogLinear",TRUE)</f>
        <v>QSObject:ContextInput:w1~input.qs_context_add_curve.2359132437744.9272.3.0:31568</v>
      </c>
      <c r="E9273" s="6" t="str">
        <f>_xll.QS.INSTRUMENT.SWAP("swap.9271",H9273,B9273,"USD","SOFR",I9273,J9273,0,"Actual360","Simple","Annual","Annual","Annual")</f>
        <v>QSObject:Swap:w1~swap.9271:660</v>
      </c>
      <c r="F9273" s="6" t="str">
        <f>_xll.QS.TRADE.CREATE("trade.9271",E9273,A9273,"Receive")</f>
        <v>QSObject:SwapTrade:w1~trade.9271:22508</v>
      </c>
      <c r="G9273" s="3">
        <f>_xll.QS.EVALUATE(C9273,F9273)</f>
        <v>45335.003295306793</v>
      </c>
      <c r="H9273" s="5" t="s">
        <v>9314</v>
      </c>
      <c r="I9273" s="7">
        <v>1927100</v>
      </c>
      <c r="J9273" s="8">
        <v>3.7100000000000001E-2</v>
      </c>
    </row>
    <row r="9274" spans="1:10" x14ac:dyDescent="0.25">
      <c r="A9274" s="5" t="s">
        <v>9308</v>
      </c>
      <c r="B9274" s="5" t="s">
        <v>11141</v>
      </c>
      <c r="C9274" s="6" t="str">
        <f>_xll.QS.CONTEXT.CREATE("market.9272",A9274,"USD","SOFR")</f>
        <v>QSObject:PricingContext:w1~market.9272:659</v>
      </c>
      <c r="D9274" s="6" t="str">
        <f>_xll.QS.CONTEXT.ADD.CURVE(C9274,"SOFR",$K$2:$K$7,$L$2:$L$7,,,"Actual360","LogLinear",TRUE)</f>
        <v>QSObject:ContextInput:w1~input.qs_context_add_curve.2359132437744.9273.3.0:31567</v>
      </c>
      <c r="E9274" s="6" t="str">
        <f>_xll.QS.INSTRUMENT.SWAP("swap.9272",H9274,B9274,"USD","SOFR",I9274,J9274,0,"Actual360","Simple","Annual","Annual","Annual")</f>
        <v>QSObject:Swap:w1~swap.9272:658</v>
      </c>
      <c r="F9274" s="6" t="str">
        <f>_xll.QS.TRADE.CREATE("trade.9272",E9274,A9274,"Receive")</f>
        <v>QSObject:SwapTrade:w1~trade.9272:22507</v>
      </c>
      <c r="G9274" s="3">
        <f>_xll.QS.EVALUATE(C9274,F9274)</f>
        <v>46227.974633482547</v>
      </c>
      <c r="H9274" s="5" t="s">
        <v>9315</v>
      </c>
      <c r="I9274" s="7">
        <v>1927200</v>
      </c>
      <c r="J9274" s="8">
        <v>3.7199999999999997E-2</v>
      </c>
    </row>
    <row r="9275" spans="1:10" x14ac:dyDescent="0.25">
      <c r="A9275" s="5" t="s">
        <v>9309</v>
      </c>
      <c r="B9275" s="5" t="s">
        <v>11142</v>
      </c>
      <c r="C9275" s="6" t="str">
        <f>_xll.QS.CONTEXT.CREATE("market.9273",A9275,"USD","SOFR")</f>
        <v>QSObject:PricingContext:w1~market.9273:657</v>
      </c>
      <c r="D9275" s="6" t="str">
        <f>_xll.QS.CONTEXT.ADD.CURVE(C9275,"SOFR",$K$2:$K$7,$L$2:$L$7,,,"Actual360","LogLinear",TRUE)</f>
        <v>QSObject:ContextInput:w1~input.qs_context_add_curve.2359132437744.9274.3.0:31566</v>
      </c>
      <c r="E9275" s="6" t="str">
        <f>_xll.QS.INSTRUMENT.SWAP("swap.9273",H9275,B9275,"USD","SOFR",I9275,J9275,0,"Actual360","Simple","Annual","Annual","Annual")</f>
        <v>QSObject:Swap:w1~swap.9273:656</v>
      </c>
      <c r="F9275" s="6" t="str">
        <f>_xll.QS.TRADE.CREATE("trade.9273",E9275,A9275,"Receive")</f>
        <v>QSObject:SwapTrade:w1~trade.9273:22506</v>
      </c>
      <c r="G9275" s="3">
        <f>_xll.QS.EVALUATE(C9275,F9275)</f>
        <v>47123.416769428608</v>
      </c>
      <c r="H9275" s="5" t="s">
        <v>9316</v>
      </c>
      <c r="I9275" s="7">
        <v>1927300</v>
      </c>
      <c r="J9275" s="8">
        <v>3.73E-2</v>
      </c>
    </row>
    <row r="9276" spans="1:10" x14ac:dyDescent="0.25">
      <c r="A9276" s="5" t="s">
        <v>9310</v>
      </c>
      <c r="B9276" s="5" t="s">
        <v>11143</v>
      </c>
      <c r="C9276" s="6" t="str">
        <f>_xll.QS.CONTEXT.CREATE("market.9274",A9276,"USD","SOFR")</f>
        <v>QSObject:PricingContext:w1~market.9274:655</v>
      </c>
      <c r="D9276" s="6" t="str">
        <f>_xll.QS.CONTEXT.ADD.CURVE(C9276,"SOFR",$K$2:$K$7,$L$2:$L$7,,,"Actual360","LogLinear",TRUE)</f>
        <v>QSObject:ContextInput:w1~input.qs_context_add_curve.2359132437744.9275.3.0:31565</v>
      </c>
      <c r="E9276" s="6" t="str">
        <f>_xll.QS.INSTRUMENT.SWAP("swap.9274",H9276,B9276,"USD","SOFR",I9276,J9276,0,"Actual360","Simple","Annual","Annual","Annual")</f>
        <v>QSObject:Swap:w1~swap.9274:654</v>
      </c>
      <c r="F9276" s="6" t="str">
        <f>_xll.QS.TRADE.CREATE("trade.9274",E9276,A9276,"Receive")</f>
        <v>QSObject:SwapTrade:w1~trade.9274:22505</v>
      </c>
      <c r="G9276" s="3">
        <f>_xll.QS.EVALUATE(C9276,F9276)</f>
        <v>48018.799623482948</v>
      </c>
      <c r="H9276" s="5" t="s">
        <v>9317</v>
      </c>
      <c r="I9276" s="7">
        <v>1927400</v>
      </c>
      <c r="J9276" s="8">
        <v>3.7400000000000003E-2</v>
      </c>
    </row>
    <row r="9277" spans="1:10" x14ac:dyDescent="0.25">
      <c r="A9277" s="5" t="s">
        <v>9311</v>
      </c>
      <c r="B9277" s="5" t="s">
        <v>11144</v>
      </c>
      <c r="C9277" s="6" t="str">
        <f>_xll.QS.CONTEXT.CREATE("market.9275",A9277,"USD","SOFR")</f>
        <v>QSObject:PricingContext:w1~market.9275:653</v>
      </c>
      <c r="D9277" s="6" t="str">
        <f>_xll.QS.CONTEXT.ADD.CURVE(C9277,"SOFR",$K$2:$K$7,$L$2:$L$7,,,"Actual360","LogLinear",TRUE)</f>
        <v>QSObject:ContextInput:w1~input.qs_context_add_curve.2359132437744.9276.3.0:31564</v>
      </c>
      <c r="E9277" s="6" t="str">
        <f>_xll.QS.INSTRUMENT.SWAP("swap.9275",H9277,B9277,"USD","SOFR",I9277,J9277,0,"Actual360","Simple","Annual","Annual","Annual")</f>
        <v>QSObject:Swap:w1~swap.9275:652</v>
      </c>
      <c r="F9277" s="6" t="str">
        <f>_xll.QS.TRADE.CREATE("trade.9275",E9277,A9277,"Receive")</f>
        <v>QSObject:SwapTrade:w1~trade.9275:22504</v>
      </c>
      <c r="G9277" s="3">
        <f>_xll.QS.EVALUATE(C9277,F9277)</f>
        <v>48673.619896488191</v>
      </c>
      <c r="H9277" s="5" t="s">
        <v>9318</v>
      </c>
      <c r="I9277" s="7">
        <v>1927500</v>
      </c>
      <c r="J9277" s="8">
        <v>3.7500000000000012E-2</v>
      </c>
    </row>
    <row r="9278" spans="1:10" x14ac:dyDescent="0.25">
      <c r="A9278" s="5" t="s">
        <v>9312</v>
      </c>
      <c r="B9278" s="5" t="s">
        <v>11145</v>
      </c>
      <c r="C9278" s="6" t="str">
        <f>_xll.QS.CONTEXT.CREATE("market.9276",A9278,"USD","SOFR")</f>
        <v>QSObject:PricingContext:w1~market.9276:651</v>
      </c>
      <c r="D9278" s="6" t="str">
        <f>_xll.QS.CONTEXT.ADD.CURVE(C9278,"SOFR",$K$2:$K$7,$L$2:$L$7,,,"Actual360","LogLinear",TRUE)</f>
        <v>QSObject:ContextInput:w1~input.qs_context_add_curve.2359132437744.9277.3.0:31563</v>
      </c>
      <c r="E9278" s="6" t="str">
        <f>_xll.QS.INSTRUMENT.SWAP("swap.9276",H9278,B9278,"USD","SOFR",I9278,J9278,0,"Actual360","Simple","Annual","Annual","Annual")</f>
        <v>QSObject:Swap:w1~swap.9276:650</v>
      </c>
      <c r="F9278" s="6" t="str">
        <f>_xll.QS.TRADE.CREATE("trade.9276",E9278,A9278,"Receive")</f>
        <v>QSObject:SwapTrade:w1~trade.9276:22503</v>
      </c>
      <c r="G9278" s="3">
        <f>_xll.QS.EVALUATE(C9278,F9278)</f>
        <v>49705.857940682457</v>
      </c>
      <c r="H9278" s="5" t="s">
        <v>9319</v>
      </c>
      <c r="I9278" s="7">
        <v>1927600</v>
      </c>
      <c r="J9278" s="8">
        <v>3.7600000000000001E-2</v>
      </c>
    </row>
    <row r="9279" spans="1:10" x14ac:dyDescent="0.25">
      <c r="A9279" s="5" t="s">
        <v>9313</v>
      </c>
      <c r="B9279" s="5" t="s">
        <v>11146</v>
      </c>
      <c r="C9279" s="6" t="str">
        <f>_xll.QS.CONTEXT.CREATE("market.9277",A9279,"USD","SOFR")</f>
        <v>QSObject:PricingContext:w1~market.9277:649</v>
      </c>
      <c r="D9279" s="6" t="str">
        <f>_xll.QS.CONTEXT.ADD.CURVE(C9279,"SOFR",$K$2:$K$7,$L$2:$L$7,,,"Actual360","LogLinear",TRUE)</f>
        <v>QSObject:ContextInput:w1~input.qs_context_add_curve.2359132437744.9278.3.0:31562</v>
      </c>
      <c r="E9279" s="6" t="str">
        <f>_xll.QS.INSTRUMENT.SWAP("swap.9277",H9279,B9279,"USD","SOFR",I9279,J9279,0,"Actual360","Simple","Annual","Annual","Annual")</f>
        <v>QSObject:Swap:w1~swap.9277:648</v>
      </c>
      <c r="F9279" s="6" t="str">
        <f>_xll.QS.TRADE.CREATE("trade.9277",E9279,A9279,"Receive")</f>
        <v>QSObject:SwapTrade:w1~trade.9277:22502</v>
      </c>
      <c r="G9279" s="3">
        <f>_xll.QS.EVALUATE(C9279,F9279)</f>
        <v>50597.847286183984</v>
      </c>
      <c r="H9279" s="5" t="s">
        <v>9320</v>
      </c>
      <c r="I9279" s="7">
        <v>1927700</v>
      </c>
      <c r="J9279" s="8">
        <v>3.7699999999999997E-2</v>
      </c>
    </row>
    <row r="9280" spans="1:10" x14ac:dyDescent="0.25">
      <c r="A9280" s="5" t="s">
        <v>9314</v>
      </c>
      <c r="B9280" s="5" t="s">
        <v>11147</v>
      </c>
      <c r="C9280" s="6" t="str">
        <f>_xll.QS.CONTEXT.CREATE("market.9278",A9280,"USD","SOFR")</f>
        <v>QSObject:PricingContext:w1~market.9278:647</v>
      </c>
      <c r="D9280" s="6" t="str">
        <f>_xll.QS.CONTEXT.ADD.CURVE(C9280,"SOFR",$K$2:$K$7,$L$2:$L$7,,,"Actual360","LogLinear",TRUE)</f>
        <v>QSObject:ContextInput:w1~input.qs_context_add_curve.2359132437744.9279.3.0:31561</v>
      </c>
      <c r="E9280" s="6" t="str">
        <f>_xll.QS.INSTRUMENT.SWAP("swap.9278",H9280,B9280,"USD","SOFR",I9280,J9280,0,"Actual360","Simple","Annual","Annual","Annual")</f>
        <v>QSObject:Swap:w1~swap.9278:646</v>
      </c>
      <c r="F9280" s="6" t="str">
        <f>_xll.QS.TRADE.CREATE("trade.9278",E9280,A9280,"Receive")</f>
        <v>QSObject:SwapTrade:w1~trade.9278:22501</v>
      </c>
      <c r="G9280" s="3">
        <f>_xll.QS.EVALUATE(C9280,F9280)</f>
        <v>51499.55640994649</v>
      </c>
      <c r="H9280" s="5" t="s">
        <v>9321</v>
      </c>
      <c r="I9280" s="7">
        <v>1927800</v>
      </c>
      <c r="J9280" s="8">
        <v>3.78E-2</v>
      </c>
    </row>
    <row r="9281" spans="1:10" x14ac:dyDescent="0.25">
      <c r="A9281" s="5" t="s">
        <v>9315</v>
      </c>
      <c r="B9281" s="5" t="s">
        <v>11148</v>
      </c>
      <c r="C9281" s="6" t="str">
        <f>_xll.QS.CONTEXT.CREATE("market.9279",A9281,"USD","SOFR")</f>
        <v>QSObject:PricingContext:w1~market.9279:645</v>
      </c>
      <c r="D9281" s="6" t="str">
        <f>_xll.QS.CONTEXT.ADD.CURVE(C9281,"SOFR",$K$2:$K$7,$L$2:$L$7,,,"Actual360","LogLinear",TRUE)</f>
        <v>QSObject:ContextInput:w1~input.qs_context_add_curve.2359132437744.9280.3.0:31560</v>
      </c>
      <c r="E9281" s="6" t="str">
        <f>_xll.QS.INSTRUMENT.SWAP("swap.9279",H9281,B9281,"USD","SOFR",I9281,J9281,0,"Actual360","Simple","Annual","Annual","Annual")</f>
        <v>QSObject:Swap:w1~swap.9279:644</v>
      </c>
      <c r="F9281" s="6" t="str">
        <f>_xll.QS.TRADE.CREATE("trade.9279",E9281,A9281,"Receive")</f>
        <v>QSObject:SwapTrade:w1~trade.9279:22500</v>
      </c>
      <c r="G9281" s="3">
        <f>_xll.QS.EVALUATE(C9281,F9281)</f>
        <v>52393.330262708972</v>
      </c>
      <c r="H9281" s="5" t="s">
        <v>9322</v>
      </c>
      <c r="I9281" s="7">
        <v>1927900</v>
      </c>
      <c r="J9281" s="8">
        <v>3.7900000000000003E-2</v>
      </c>
    </row>
    <row r="9282" spans="1:10" x14ac:dyDescent="0.25">
      <c r="A9282" s="5" t="s">
        <v>9316</v>
      </c>
      <c r="B9282" s="5" t="s">
        <v>11149</v>
      </c>
      <c r="C9282" s="6" t="str">
        <f>_xll.QS.CONTEXT.CREATE("market.9280",A9282,"USD","SOFR")</f>
        <v>QSObject:PricingContext:w1~market.9280:643</v>
      </c>
      <c r="D9282" s="6" t="str">
        <f>_xll.QS.CONTEXT.ADD.CURVE(C9282,"SOFR",$K$2:$K$7,$L$2:$L$7,,,"Actual360","LogLinear",TRUE)</f>
        <v>QSObject:ContextInput:w1~input.qs_context_add_curve.2359132437744.9281.3.0:31559</v>
      </c>
      <c r="E9282" s="6" t="str">
        <f>_xll.QS.INSTRUMENT.SWAP("swap.9280",H9282,B9282,"USD","SOFR",I9282,J9282,0,"Actual360","Simple","Annual","Annual","Annual")</f>
        <v>QSObject:Swap:w1~swap.9280:642</v>
      </c>
      <c r="F9282" s="6" t="str">
        <f>_xll.QS.TRADE.CREATE("trade.9280",E9282,A9282,"Receive")</f>
        <v>QSObject:SwapTrade:w1~trade.9280:22499</v>
      </c>
      <c r="G9282" s="3">
        <f>_xll.QS.EVALUATE(C9282,F9282)</f>
        <v>53047.286423084341</v>
      </c>
      <c r="H9282" s="5" t="s">
        <v>9323</v>
      </c>
      <c r="I9282" s="7">
        <v>1928000</v>
      </c>
      <c r="J9282" s="8">
        <v>3.8000000000000013E-2</v>
      </c>
    </row>
    <row r="9283" spans="1:10" x14ac:dyDescent="0.25">
      <c r="A9283" s="5" t="s">
        <v>9317</v>
      </c>
      <c r="B9283" s="5" t="s">
        <v>11150</v>
      </c>
      <c r="C9283" s="6" t="str">
        <f>_xll.QS.CONTEXT.CREATE("market.9281",A9283,"USD","SOFR")</f>
        <v>QSObject:PricingContext:w1~market.9281:641</v>
      </c>
      <c r="D9283" s="6" t="str">
        <f>_xll.QS.CONTEXT.ADD.CURVE(C9283,"SOFR",$K$2:$K$7,$L$2:$L$7,,,"Actual360","LogLinear",TRUE)</f>
        <v>QSObject:ContextInput:w1~input.qs_context_add_curve.2359132437744.9282.3.0:31558</v>
      </c>
      <c r="E9283" s="6" t="str">
        <f>_xll.QS.INSTRUMENT.SWAP("swap.9281",H9283,B9283,"USD","SOFR",I9283,J9283,0,"Actual360","Simple","Annual","Annual","Annual")</f>
        <v>QSObject:Swap:w1~swap.9281:640</v>
      </c>
      <c r="F9283" s="6" t="str">
        <f>_xll.QS.TRADE.CREATE("trade.9281",E9283,A9283,"Receive")</f>
        <v>QSObject:SwapTrade:w1~trade.9281:22498</v>
      </c>
      <c r="G9283" s="3">
        <f>_xll.QS.EVALUATE(C9283,F9283)</f>
        <v>53943.689932847679</v>
      </c>
      <c r="H9283" s="5" t="s">
        <v>9324</v>
      </c>
      <c r="I9283" s="7">
        <v>1928100</v>
      </c>
      <c r="J9283" s="8">
        <v>3.8100000000000002E-2</v>
      </c>
    </row>
    <row r="9284" spans="1:10" x14ac:dyDescent="0.25">
      <c r="A9284" s="5" t="s">
        <v>9318</v>
      </c>
      <c r="B9284" s="5" t="s">
        <v>11151</v>
      </c>
      <c r="C9284" s="6" t="str">
        <f>_xll.QS.CONTEXT.CREATE("market.9282",A9284,"USD","SOFR")</f>
        <v>QSObject:PricingContext:w1~market.9282:639</v>
      </c>
      <c r="D9284" s="6" t="str">
        <f>_xll.QS.CONTEXT.ADD.CURVE(C9284,"SOFR",$K$2:$K$7,$L$2:$L$7,,,"Actual360","LogLinear",TRUE)</f>
        <v>QSObject:ContextInput:w1~input.qs_context_add_curve.2359132437744.9283.3.0:31557</v>
      </c>
      <c r="E9284" s="6" t="str">
        <f>_xll.QS.INSTRUMENT.SWAP("swap.9282",H9284,B9284,"USD","SOFR",I9284,J9284,0,"Actual360","Simple","Annual","Annual","Annual")</f>
        <v>QSObject:Swap:w1~swap.9282:638</v>
      </c>
      <c r="F9284" s="6" t="str">
        <f>_xll.QS.TRADE.CREATE("trade.9282",E9284,A9284,"Receive")</f>
        <v>QSObject:SwapTrade:w1~trade.9282:22497</v>
      </c>
      <c r="G9284" s="3">
        <f>_xll.QS.EVALUATE(C9284,F9284)</f>
        <v>54917.63920487983</v>
      </c>
      <c r="H9284" s="5" t="s">
        <v>9325</v>
      </c>
      <c r="I9284" s="7">
        <v>1928200</v>
      </c>
      <c r="J9284" s="8">
        <v>3.8199999999999998E-2</v>
      </c>
    </row>
    <row r="9285" spans="1:10" x14ac:dyDescent="0.25">
      <c r="A9285" s="5" t="s">
        <v>9319</v>
      </c>
      <c r="B9285" s="5" t="s">
        <v>11152</v>
      </c>
      <c r="C9285" s="6" t="str">
        <f>_xll.QS.CONTEXT.CREATE("market.9283",A9285,"USD","SOFR")</f>
        <v>QSObject:PricingContext:w1~market.9283:637</v>
      </c>
      <c r="D9285" s="6" t="str">
        <f>_xll.QS.CONTEXT.ADD.CURVE(C9285,"SOFR",$K$2:$K$7,$L$2:$L$7,,,"Actual360","LogLinear",TRUE)</f>
        <v>QSObject:ContextInput:w1~input.qs_context_add_curve.2359132437744.9284.3.0:31556</v>
      </c>
      <c r="E9285" s="6" t="str">
        <f>_xll.QS.INSTRUMENT.SWAP("swap.9283",H9285,B9285,"USD","SOFR",I9285,J9285,0,"Actual360","Simple","Annual","Annual","Annual")</f>
        <v>QSObject:Swap:w1~swap.9283:636</v>
      </c>
      <c r="F9285" s="6" t="str">
        <f>_xll.QS.TRADE.CREATE("trade.9283",E9285,A9285,"Receive")</f>
        <v>QSObject:SwapTrade:w1~trade.9283:22496</v>
      </c>
      <c r="G9285" s="3">
        <f>_xll.QS.EVALUATE(C9285,F9285)</f>
        <v>55951.1504960526</v>
      </c>
      <c r="H9285" s="5" t="s">
        <v>9326</v>
      </c>
      <c r="I9285" s="7">
        <v>1928300</v>
      </c>
      <c r="J9285" s="8">
        <v>3.8300000000000001E-2</v>
      </c>
    </row>
    <row r="9286" spans="1:10" x14ac:dyDescent="0.25">
      <c r="A9286" s="5" t="s">
        <v>9320</v>
      </c>
      <c r="B9286" s="5" t="s">
        <v>11153</v>
      </c>
      <c r="C9286" s="6" t="str">
        <f>_xll.QS.CONTEXT.CREATE("market.9284",A9286,"USD","SOFR")</f>
        <v>QSObject:PricingContext:w1~market.9284:635</v>
      </c>
      <c r="D9286" s="6" t="str">
        <f>_xll.QS.CONTEXT.ADD.CURVE(C9286,"SOFR",$K$2:$K$7,$L$2:$L$7,,,"Actual360","LogLinear",TRUE)</f>
        <v>QSObject:ContextInput:w1~input.qs_context_add_curve.2359132437744.9285.3.0:31555</v>
      </c>
      <c r="E9286" s="6" t="str">
        <f>_xll.QS.INSTRUMENT.SWAP("swap.9284",H9286,B9286,"USD","SOFR",I9286,J9286,0,"Actual360","Simple","Annual","Annual","Annual")</f>
        <v>QSObject:Swap:w1~swap.9284:634</v>
      </c>
      <c r="F9286" s="6" t="str">
        <f>_xll.QS.TRADE.CREATE("trade.9284",E9286,A9286,"Receive")</f>
        <v>QSObject:SwapTrade:w1~trade.9284:22495</v>
      </c>
      <c r="G9286" s="3">
        <f>_xll.QS.EVALUATE(C9286,F9286)</f>
        <v>56843.446341904943</v>
      </c>
      <c r="H9286" s="5" t="s">
        <v>9327</v>
      </c>
      <c r="I9286" s="7">
        <v>1928400</v>
      </c>
      <c r="J9286" s="8">
        <v>3.8399999999999997E-2</v>
      </c>
    </row>
    <row r="9287" spans="1:10" x14ac:dyDescent="0.25">
      <c r="A9287" s="5" t="s">
        <v>9321</v>
      </c>
      <c r="B9287" s="5" t="s">
        <v>11154</v>
      </c>
      <c r="C9287" s="6" t="str">
        <f>_xll.QS.CONTEXT.CREATE("market.9285",A9287,"USD","SOFR")</f>
        <v>QSObject:PricingContext:w1~market.9285:633</v>
      </c>
      <c r="D9287" s="6" t="str">
        <f>_xll.QS.CONTEXT.ADD.CURVE(C9287,"SOFR",$K$2:$K$7,$L$2:$L$7,,,"Actual360","LogLinear",TRUE)</f>
        <v>QSObject:ContextInput:w1~input.qs_context_add_curve.2359132437744.9286.3.0:31554</v>
      </c>
      <c r="E9287" s="6" t="str">
        <f>_xll.QS.INSTRUMENT.SWAP("swap.9285",H9287,B9287,"USD","SOFR",I9287,J9287,0,"Actual360","Simple","Annual","Annual","Annual")</f>
        <v>QSObject:Swap:w1~swap.9285:632</v>
      </c>
      <c r="F9287" s="6" t="str">
        <f>_xll.QS.TRADE.CREATE("trade.9285",E9287,A9287,"Receive")</f>
        <v>QSObject:SwapTrade:w1~trade.9285:22494</v>
      </c>
      <c r="G9287" s="3">
        <f>_xll.QS.EVALUATE(C9287,F9287)</f>
        <v>57746.505651515174</v>
      </c>
      <c r="H9287" s="5" t="s">
        <v>9328</v>
      </c>
      <c r="I9287" s="7">
        <v>1928500</v>
      </c>
      <c r="J9287" s="8">
        <v>3.8500000000000013E-2</v>
      </c>
    </row>
    <row r="9288" spans="1:10" x14ac:dyDescent="0.25">
      <c r="A9288" s="5" t="s">
        <v>9322</v>
      </c>
      <c r="B9288" s="5" t="s">
        <v>11155</v>
      </c>
      <c r="C9288" s="6" t="str">
        <f>_xll.QS.CONTEXT.CREATE("market.9286",A9288,"USD","SOFR")</f>
        <v>QSObject:PricingContext:w1~market.9286:631</v>
      </c>
      <c r="D9288" s="6" t="str">
        <f>_xll.QS.CONTEXT.ADD.CURVE(C9288,"SOFR",$K$2:$K$7,$L$2:$L$7,,,"Actual360","LogLinear",TRUE)</f>
        <v>QSObject:ContextInput:w1~input.qs_context_add_curve.2359132437744.9287.3.0:31553</v>
      </c>
      <c r="E9288" s="6" t="str">
        <f>_xll.QS.INSTRUMENT.SWAP("swap.9286",H9288,B9288,"USD","SOFR",I9288,J9288,0,"Actual360","Simple","Annual","Annual","Annual")</f>
        <v>QSObject:Swap:w1~swap.9286:630</v>
      </c>
      <c r="F9288" s="6" t="str">
        <f>_xll.QS.TRADE.CREATE("trade.9286",E9288,A9288,"Receive")</f>
        <v>QSObject:SwapTrade:w1~trade.9286:22493</v>
      </c>
      <c r="G9288" s="3">
        <f>_xll.QS.EVALUATE(C9288,F9288)</f>
        <v>58640.949721020421</v>
      </c>
      <c r="H9288" s="5" t="s">
        <v>9329</v>
      </c>
      <c r="I9288" s="7">
        <v>1928600</v>
      </c>
      <c r="J9288" s="8">
        <v>3.8600000000000002E-2</v>
      </c>
    </row>
    <row r="9289" spans="1:10" x14ac:dyDescent="0.25">
      <c r="A9289" s="5" t="s">
        <v>9323</v>
      </c>
      <c r="B9289" s="5" t="s">
        <v>11156</v>
      </c>
      <c r="C9289" s="6" t="str">
        <f>_xll.QS.CONTEXT.CREATE("market.9287",A9289,"USD","SOFR")</f>
        <v>QSObject:PricingContext:w1~market.9287:629</v>
      </c>
      <c r="D9289" s="6" t="str">
        <f>_xll.QS.CONTEXT.ADD.CURVE(C9289,"SOFR",$K$2:$K$7,$L$2:$L$7,,,"Actual360","LogLinear",TRUE)</f>
        <v>QSObject:ContextInput:w1~input.qs_context_add_curve.2359132437744.9288.3.0:31552</v>
      </c>
      <c r="E9289" s="6" t="str">
        <f>_xll.QS.INSTRUMENT.SWAP("swap.9287",H9289,B9289,"USD","SOFR",I9289,J9289,0,"Actual360","Simple","Annual","Annual","Annual")</f>
        <v>QSObject:Swap:w1~swap.9287:628</v>
      </c>
      <c r="F9289" s="6" t="str">
        <f>_xll.QS.TRADE.CREATE("trade.9287",E9289,A9289,"Receive")</f>
        <v>QSObject:SwapTrade:w1~trade.9287:22492</v>
      </c>
      <c r="G9289" s="3">
        <f>_xll.QS.EVALUATE(C9289,F9289)</f>
        <v>59294.212420298361</v>
      </c>
      <c r="H9289" s="5" t="s">
        <v>9330</v>
      </c>
      <c r="I9289" s="7">
        <v>1928700</v>
      </c>
      <c r="J9289" s="8">
        <v>3.8700000000000012E-2</v>
      </c>
    </row>
    <row r="9290" spans="1:10" x14ac:dyDescent="0.25">
      <c r="A9290" s="5" t="s">
        <v>9324</v>
      </c>
      <c r="B9290" s="5" t="s">
        <v>11157</v>
      </c>
      <c r="C9290" s="6" t="str">
        <f>_xll.QS.CONTEXT.CREATE("market.9288",A9290,"USD","SOFR")</f>
        <v>QSObject:PricingContext:w1~market.9288:627</v>
      </c>
      <c r="D9290" s="6" t="str">
        <f>_xll.QS.CONTEXT.ADD.CURVE(C9290,"SOFR",$K$2:$K$7,$L$2:$L$7,,,"Actual360","LogLinear",TRUE)</f>
        <v>QSObject:ContextInput:w1~input.qs_context_add_curve.2359132437744.9289.3.0:31551</v>
      </c>
      <c r="E9290" s="6" t="str">
        <f>_xll.QS.INSTRUMENT.SWAP("swap.9288",H9290,B9290,"USD","SOFR",I9290,J9290,0,"Actual360","Simple","Annual","Annual","Annual")</f>
        <v>QSObject:Swap:w1~swap.9288:626</v>
      </c>
      <c r="F9290" s="6" t="str">
        <f>_xll.QS.TRADE.CREATE("trade.9288",E9290,A9290,"Receive")</f>
        <v>QSObject:SwapTrade:w1~trade.9288:22491</v>
      </c>
      <c r="G9290" s="3">
        <f>_xll.QS.EVALUATE(C9290,F9290)</f>
        <v>60191.785594047418</v>
      </c>
      <c r="H9290" s="5" t="s">
        <v>9331</v>
      </c>
      <c r="I9290" s="7">
        <v>1928800</v>
      </c>
      <c r="J9290" s="8">
        <v>3.8800000000000001E-2</v>
      </c>
    </row>
    <row r="9291" spans="1:10" x14ac:dyDescent="0.25">
      <c r="A9291" s="5" t="s">
        <v>9325</v>
      </c>
      <c r="B9291" s="5" t="s">
        <v>11158</v>
      </c>
      <c r="C9291" s="6" t="str">
        <f>_xll.QS.CONTEXT.CREATE("market.9289",A9291,"USD","SOFR")</f>
        <v>QSObject:PricingContext:w1~market.9289:625</v>
      </c>
      <c r="D9291" s="6" t="str">
        <f>_xll.QS.CONTEXT.ADD.CURVE(C9291,"SOFR",$K$2:$K$7,$L$2:$L$7,,,"Actual360","LogLinear",TRUE)</f>
        <v>QSObject:ContextInput:w1~input.qs_context_add_curve.2359132437744.9290.3.0:31550</v>
      </c>
      <c r="E9291" s="6" t="str">
        <f>_xll.QS.INSTRUMENT.SWAP("swap.9289",H9291,B9291,"USD","SOFR",I9291,J9291,0,"Actual360","Simple","Annual","Annual","Annual")</f>
        <v>QSObject:Swap:w1~swap.9289:624</v>
      </c>
      <c r="F9291" s="6" t="str">
        <f>_xll.QS.TRADE.CREATE("trade.9289",E9291,A9291,"Receive")</f>
        <v>QSObject:SwapTrade:w1~trade.9289:22490</v>
      </c>
      <c r="G9291" s="3">
        <f>_xll.QS.EVALUATE(C9291,F9291)</f>
        <v>61167.01970428069</v>
      </c>
      <c r="H9291" s="5" t="s">
        <v>9332</v>
      </c>
      <c r="I9291" s="7">
        <v>1928900</v>
      </c>
      <c r="J9291" s="8">
        <v>3.8899999999999997E-2</v>
      </c>
    </row>
    <row r="9292" spans="1:10" x14ac:dyDescent="0.25">
      <c r="A9292" s="5" t="s">
        <v>9326</v>
      </c>
      <c r="B9292" s="5" t="s">
        <v>11159</v>
      </c>
      <c r="C9292" s="6" t="str">
        <f>_xll.QS.CONTEXT.CREATE("market.9290",A9292,"USD","SOFR")</f>
        <v>QSObject:PricingContext:w1~market.9290:623</v>
      </c>
      <c r="D9292" s="6" t="str">
        <f>_xll.QS.CONTEXT.ADD.CURVE(C9292,"SOFR",$K$2:$K$7,$L$2:$L$7,,,"Actual360","LogLinear",TRUE)</f>
        <v>QSObject:ContextInput:w1~input.qs_context_add_curve.2359132437744.9291.3.0:31549</v>
      </c>
      <c r="E9292" s="6" t="str">
        <f>_xll.QS.INSTRUMENT.SWAP("swap.9290",H9292,B9292,"USD","SOFR",I9292,J9292,0,"Actual360","Simple","Annual","Annual","Annual")</f>
        <v>QSObject:Swap:w1~swap.9290:622</v>
      </c>
      <c r="F9292" s="6" t="str">
        <f>_xll.QS.TRADE.CREATE("trade.9290",E9292,A9292,"Receive")</f>
        <v>QSObject:SwapTrade:w1~trade.9290:22489</v>
      </c>
      <c r="G9292" s="3">
        <f>_xll.QS.EVALUATE(C9292,F9292)</f>
        <v>62201.320575007208</v>
      </c>
      <c r="H9292" s="5" t="s">
        <v>9333</v>
      </c>
      <c r="I9292" s="7">
        <v>1929000</v>
      </c>
      <c r="J9292" s="8">
        <v>3.9000000000000007E-2</v>
      </c>
    </row>
    <row r="9293" spans="1:10" x14ac:dyDescent="0.25">
      <c r="A9293" s="5" t="s">
        <v>9327</v>
      </c>
      <c r="B9293" s="5" t="s">
        <v>11160</v>
      </c>
      <c r="C9293" s="6" t="str">
        <f>_xll.QS.CONTEXT.CREATE("market.9291",A9293,"USD","SOFR")</f>
        <v>QSObject:PricingContext:w1~market.9291:621</v>
      </c>
      <c r="D9293" s="6" t="str">
        <f>_xll.QS.CONTEXT.ADD.CURVE(C9293,"SOFR",$K$2:$K$7,$L$2:$L$7,,,"Actual360","LogLinear",TRUE)</f>
        <v>QSObject:ContextInput:w1~input.qs_context_add_curve.2359132437744.9292.3.0:31548</v>
      </c>
      <c r="E9293" s="6" t="str">
        <f>_xll.QS.INSTRUMENT.SWAP("swap.9291",H9293,B9293,"USD","SOFR",I9293,J9293,0,"Actual360","Simple","Annual","Annual","Annual")</f>
        <v>QSObject:Swap:w1~swap.9291:620</v>
      </c>
      <c r="F9293" s="6" t="str">
        <f>_xll.QS.TRADE.CREATE("trade.9291",E9293,A9293,"Receive")</f>
        <v>QSObject:SwapTrade:w1~trade.9291:22488</v>
      </c>
      <c r="G9293" s="3">
        <f>_xll.QS.EVALUATE(C9293,F9293)</f>
        <v>63094.249948495773</v>
      </c>
      <c r="H9293" s="5" t="s">
        <v>9334</v>
      </c>
      <c r="I9293" s="7">
        <v>1929100</v>
      </c>
      <c r="J9293" s="8">
        <v>3.9100000000000003E-2</v>
      </c>
    </row>
    <row r="9294" spans="1:10" x14ac:dyDescent="0.25">
      <c r="A9294" s="5" t="s">
        <v>9328</v>
      </c>
      <c r="B9294" s="5" t="s">
        <v>11161</v>
      </c>
      <c r="C9294" s="6" t="str">
        <f>_xll.QS.CONTEXT.CREATE("market.9292",A9294,"USD","SOFR")</f>
        <v>QSObject:PricingContext:w1~market.9292:619</v>
      </c>
      <c r="D9294" s="6" t="str">
        <f>_xll.QS.CONTEXT.ADD.CURVE(C9294,"SOFR",$K$2:$K$7,$L$2:$L$7,,,"Actual360","LogLinear",TRUE)</f>
        <v>QSObject:ContextInput:w1~input.qs_context_add_curve.2359132437744.9293.3.0:31547</v>
      </c>
      <c r="E9294" s="6" t="str">
        <f>_xll.QS.INSTRUMENT.SWAP("swap.9292",H9294,B9294,"USD","SOFR",I9294,J9294,0,"Actual360","Simple","Annual","Annual","Annual")</f>
        <v>QSObject:Swap:w1~swap.9292:618</v>
      </c>
      <c r="F9294" s="6" t="str">
        <f>_xll.QS.TRADE.CREATE("trade.9292",E9294,A9294,"Receive")</f>
        <v>QSObject:SwapTrade:w1~trade.9292:22487</v>
      </c>
      <c r="G9294" s="3">
        <f>_xll.QS.EVALUATE(C9294,F9294)</f>
        <v>63997.97428827978</v>
      </c>
      <c r="H9294" s="5" t="s">
        <v>9335</v>
      </c>
      <c r="I9294" s="7">
        <v>1929200</v>
      </c>
      <c r="J9294" s="8">
        <v>3.9200000000000013E-2</v>
      </c>
    </row>
    <row r="9295" spans="1:10" x14ac:dyDescent="0.25">
      <c r="A9295" s="5" t="s">
        <v>9329</v>
      </c>
      <c r="B9295" s="5" t="s">
        <v>11162</v>
      </c>
      <c r="C9295" s="6" t="str">
        <f>_xll.QS.CONTEXT.CREATE("market.9293",A9295,"USD","SOFR")</f>
        <v>QSObject:PricingContext:w1~market.9293:617</v>
      </c>
      <c r="D9295" s="6" t="str">
        <f>_xll.QS.CONTEXT.ADD.CURVE(C9295,"SOFR",$K$2:$K$7,$L$2:$L$7,,,"Actual360","LogLinear",TRUE)</f>
        <v>QSObject:ContextInput:w1~input.qs_context_add_curve.2359132437744.9294.3.0:31546</v>
      </c>
      <c r="E9295" s="6" t="str">
        <f>_xll.QS.INSTRUMENT.SWAP("swap.9293",H9295,B9295,"USD","SOFR",I9295,J9295,0,"Actual360","Simple","Annual","Annual","Annual")</f>
        <v>QSObject:Swap:w1~swap.9293:616</v>
      </c>
      <c r="F9295" s="6" t="str">
        <f>_xll.QS.TRADE.CREATE("trade.9293",E9295,A9295,"Receive")</f>
        <v>QSObject:SwapTrade:w1~trade.9293:22486</v>
      </c>
      <c r="G9295" s="3">
        <f>_xll.QS.EVALUATE(C9295,F9295)</f>
        <v>64893.087511316189</v>
      </c>
      <c r="H9295" s="5" t="s">
        <v>9336</v>
      </c>
      <c r="I9295" s="7">
        <v>1929300</v>
      </c>
      <c r="J9295" s="8">
        <v>3.9300000000000002E-2</v>
      </c>
    </row>
    <row r="9296" spans="1:10" x14ac:dyDescent="0.25">
      <c r="A9296" s="5" t="s">
        <v>9330</v>
      </c>
      <c r="B9296" s="5" t="s">
        <v>11163</v>
      </c>
      <c r="C9296" s="6" t="str">
        <f>_xll.QS.CONTEXT.CREATE("market.9294",A9296,"USD","SOFR")</f>
        <v>QSObject:PricingContext:w1~market.9294:615</v>
      </c>
      <c r="D9296" s="6" t="str">
        <f>_xll.QS.CONTEXT.ADD.CURVE(C9296,"SOFR",$K$2:$K$7,$L$2:$L$7,,,"Actual360","LogLinear",TRUE)</f>
        <v>QSObject:ContextInput:w1~input.qs_context_add_curve.2359132437744.9295.3.0:31545</v>
      </c>
      <c r="E9296" s="6" t="str">
        <f>_xll.QS.INSTRUMENT.SWAP("swap.9294",H9296,B9296,"USD","SOFR",I9296,J9296,0,"Actual360","Simple","Annual","Annual","Annual")</f>
        <v>QSObject:Swap:w1~swap.9294:614</v>
      </c>
      <c r="F9296" s="6" t="str">
        <f>_xll.QS.TRADE.CREATE("trade.9294",E9296,A9296,"Receive")</f>
        <v>QSObject:SwapTrade:w1~trade.9294:22485</v>
      </c>
      <c r="G9296" s="3">
        <f>_xll.QS.EVALUATE(C9296,F9296)</f>
        <v>65545.646538316229</v>
      </c>
      <c r="H9296" s="5" t="s">
        <v>9337</v>
      </c>
      <c r="I9296" s="7">
        <v>1929400</v>
      </c>
      <c r="J9296" s="8">
        <v>3.9399999999999998E-2</v>
      </c>
    </row>
    <row r="9297" spans="1:10" x14ac:dyDescent="0.25">
      <c r="A9297" s="5" t="s">
        <v>9331</v>
      </c>
      <c r="B9297" s="5" t="s">
        <v>11164</v>
      </c>
      <c r="C9297" s="6" t="str">
        <f>_xll.QS.CONTEXT.CREATE("market.9295",A9297,"USD","SOFR")</f>
        <v>QSObject:PricingContext:w1~market.9295:613</v>
      </c>
      <c r="D9297" s="6" t="str">
        <f>_xll.QS.CONTEXT.ADD.CURVE(C9297,"SOFR",$K$2:$K$7,$L$2:$L$7,,,"Actual360","LogLinear",TRUE)</f>
        <v>QSObject:ContextInput:w1~input.qs_context_add_curve.2359132437744.9296.3.0:31544</v>
      </c>
      <c r="E9297" s="6" t="str">
        <f>_xll.QS.INSTRUMENT.SWAP("swap.9295",H9297,B9297,"USD","SOFR",I9297,J9297,0,"Actual360","Simple","Annual","Annual","Annual")</f>
        <v>QSObject:Swap:w1~swap.9295:612</v>
      </c>
      <c r="F9297" s="6" t="str">
        <f>_xll.QS.TRADE.CREATE("trade.9295",E9297,A9297,"Receive")</f>
        <v>QSObject:SwapTrade:w1~trade.9295:22484</v>
      </c>
      <c r="G9297" s="3">
        <f>_xll.QS.EVALUATE(C9297,F9297)</f>
        <v>66444.389753572672</v>
      </c>
      <c r="H9297" s="5" t="s">
        <v>9338</v>
      </c>
      <c r="I9297" s="7">
        <v>1929500</v>
      </c>
      <c r="J9297" s="8">
        <v>3.9500000000000007E-2</v>
      </c>
    </row>
    <row r="9298" spans="1:10" x14ac:dyDescent="0.25">
      <c r="A9298" s="5" t="s">
        <v>9332</v>
      </c>
      <c r="B9298" s="5" t="s">
        <v>11165</v>
      </c>
      <c r="C9298" s="6" t="str">
        <f>_xll.QS.CONTEXT.CREATE("market.9296",A9298,"USD","SOFR")</f>
        <v>QSObject:PricingContext:w1~market.9296:611</v>
      </c>
      <c r="D9298" s="6" t="str">
        <f>_xll.QS.CONTEXT.ADD.CURVE(C9298,"SOFR",$K$2:$K$7,$L$2:$L$7,,,"Actual360","LogLinear",TRUE)</f>
        <v>QSObject:ContextInput:w1~input.qs_context_add_curve.2359132437744.9297.3.0:31543</v>
      </c>
      <c r="E9298" s="6" t="str">
        <f>_xll.QS.INSTRUMENT.SWAP("swap.9296",H9298,B9298,"USD","SOFR",I9298,J9298,0,"Actual360","Simple","Annual","Annual","Annual")</f>
        <v>QSObject:Swap:w1~swap.9296:610</v>
      </c>
      <c r="F9298" s="6" t="str">
        <f>_xll.QS.TRADE.CREATE("trade.9296",E9298,A9298,"Receive")</f>
        <v>QSObject:SwapTrade:w1~trade.9296:22483</v>
      </c>
      <c r="G9298" s="3">
        <f>_xll.QS.EVALUATE(C9298,F9298)</f>
        <v>67420.913035047342</v>
      </c>
      <c r="H9298" s="5" t="s">
        <v>9339</v>
      </c>
      <c r="I9298" s="7">
        <v>1929600</v>
      </c>
      <c r="J9298" s="8">
        <v>3.9600000000000003E-2</v>
      </c>
    </row>
    <row r="9299" spans="1:10" x14ac:dyDescent="0.25">
      <c r="A9299" s="5" t="s">
        <v>9333</v>
      </c>
      <c r="B9299" s="5" t="s">
        <v>11166</v>
      </c>
      <c r="C9299" s="6" t="str">
        <f>_xll.QS.CONTEXT.CREATE("market.9297",A9299,"USD","SOFR")</f>
        <v>QSObject:PricingContext:w1~market.9297:609</v>
      </c>
      <c r="D9299" s="6" t="str">
        <f>_xll.QS.CONTEXT.ADD.CURVE(C9299,"SOFR",$K$2:$K$7,$L$2:$L$7,,,"Actual360","LogLinear",TRUE)</f>
        <v>QSObject:ContextInput:w1~input.qs_context_add_curve.2359132437744.9298.3.0:31542</v>
      </c>
      <c r="E9299" s="6" t="str">
        <f>_xll.QS.INSTRUMENT.SWAP("swap.9297",H9299,B9299,"USD","SOFR",I9299,J9299,0,"Actual360","Simple","Annual","Annual","Annual")</f>
        <v>QSObject:Swap:w1~swap.9297:608</v>
      </c>
      <c r="F9299" s="6" t="str">
        <f>_xll.QS.TRADE.CREATE("trade.9297",E9299,A9299,"Receive")</f>
        <v>QSObject:SwapTrade:w1~trade.9297:22482</v>
      </c>
      <c r="G9299" s="3">
        <f>_xll.QS.EVALUATE(C9299,F9299)</f>
        <v>68456.0085176391</v>
      </c>
      <c r="H9299" s="5" t="s">
        <v>9340</v>
      </c>
      <c r="I9299" s="7">
        <v>1929700</v>
      </c>
      <c r="J9299" s="8">
        <v>3.9700000000000013E-2</v>
      </c>
    </row>
    <row r="9300" spans="1:10" x14ac:dyDescent="0.25">
      <c r="A9300" s="5" t="s">
        <v>9334</v>
      </c>
      <c r="B9300" s="5" t="s">
        <v>11167</v>
      </c>
      <c r="C9300" s="6" t="str">
        <f>_xll.QS.CONTEXT.CREATE("market.9298",A9300,"USD","SOFR")</f>
        <v>QSObject:PricingContext:w1~market.9298:607</v>
      </c>
      <c r="D9300" s="6" t="str">
        <f>_xll.QS.CONTEXT.ADD.CURVE(C9300,"SOFR",$K$2:$K$7,$L$2:$L$7,,,"Actual360","LogLinear",TRUE)</f>
        <v>QSObject:ContextInput:w1~input.qs_context_add_curve.2359132437744.9299.3.0:31541</v>
      </c>
      <c r="E9300" s="6" t="str">
        <f>_xll.QS.INSTRUMENT.SWAP("swap.9298",H9300,B9300,"USD","SOFR",I9300,J9300,0,"Actual360","Simple","Annual","Annual","Annual")</f>
        <v>QSObject:Swap:w1~swap.9298:606</v>
      </c>
      <c r="F9300" s="6" t="str">
        <f>_xll.QS.TRADE.CREATE("trade.9298",E9300,A9300,"Receive")</f>
        <v>QSObject:SwapTrade:w1~trade.9298:22481</v>
      </c>
      <c r="G9300" s="3">
        <f>_xll.QS.EVALUATE(C9300,F9300)</f>
        <v>69349.594941021205</v>
      </c>
      <c r="H9300" s="5" t="s">
        <v>9341</v>
      </c>
      <c r="I9300" s="7">
        <v>1929800</v>
      </c>
      <c r="J9300" s="8">
        <v>3.9800000000000002E-2</v>
      </c>
    </row>
    <row r="9301" spans="1:10" x14ac:dyDescent="0.25">
      <c r="A9301" s="5" t="s">
        <v>9335</v>
      </c>
      <c r="B9301" s="5" t="s">
        <v>11168</v>
      </c>
      <c r="C9301" s="6" t="str">
        <f>_xll.QS.CONTEXT.CREATE("market.9299",A9301,"USD","SOFR")</f>
        <v>QSObject:PricingContext:w1~market.9299:605</v>
      </c>
      <c r="D9301" s="6" t="str">
        <f>_xll.QS.CONTEXT.ADD.CURVE(C9301,"SOFR",$K$2:$K$7,$L$2:$L$7,,,"Actual360","LogLinear",TRUE)</f>
        <v>QSObject:ContextInput:w1~input.qs_context_add_curve.2359132437744.9300.3.0:31540</v>
      </c>
      <c r="E9301" s="6" t="str">
        <f>_xll.QS.INSTRUMENT.SWAP("swap.9299",H9301,B9301,"USD","SOFR",I9301,J9301,0,"Actual360","Simple","Annual","Annual","Annual")</f>
        <v>QSObject:Swap:w1~swap.9299:604</v>
      </c>
      <c r="F9301" s="6" t="str">
        <f>_xll.QS.TRADE.CREATE("trade.9299",E9301,A9301,"Receive")</f>
        <v>QSObject:SwapTrade:w1~trade.9299:22480</v>
      </c>
      <c r="G9301" s="3">
        <f>_xll.QS.EVALUATE(C9301,F9301)</f>
        <v>70253.968380017119</v>
      </c>
      <c r="H9301" s="5" t="s">
        <v>9342</v>
      </c>
      <c r="I9301" s="7">
        <v>1929900</v>
      </c>
      <c r="J9301" s="8">
        <v>3.9899999999999998E-2</v>
      </c>
    </row>
    <row r="9302" spans="1:10" x14ac:dyDescent="0.25">
      <c r="A9302" s="5" t="s">
        <v>9336</v>
      </c>
      <c r="B9302" s="5" t="s">
        <v>11169</v>
      </c>
      <c r="C9302" s="6" t="str">
        <f>_xll.QS.CONTEXT.CREATE("market.9300",A9302,"USD","SOFR")</f>
        <v>QSObject:PricingContext:w1~market.9300:603</v>
      </c>
      <c r="D9302" s="6" t="str">
        <f>_xll.QS.CONTEXT.ADD.CURVE(C9302,"SOFR",$K$2:$K$7,$L$2:$L$7,,,"Actual360","LogLinear",TRUE)</f>
        <v>QSObject:ContextInput:w1~input.qs_context_add_curve.2359132437744.9301.3.0:31539</v>
      </c>
      <c r="E9302" s="6" t="str">
        <f>_xll.QS.INSTRUMENT.SWAP("swap.9300",H9302,B9302,"USD","SOFR",I9302,J9302,0,"Actual360","Simple","Annual","Annual","Annual")</f>
        <v>QSObject:Swap:w1~swap.9300:602</v>
      </c>
      <c r="F9302" s="6" t="str">
        <f>_xll.QS.TRADE.CREATE("trade.9300",E9302,A9302,"Receive")</f>
        <v>QSObject:SwapTrade:w1~trade.9300:22479</v>
      </c>
      <c r="G9302" s="3">
        <f>_xll.QS.EVALUATE(C9302,F9302)</f>
        <v>26627.485582718029</v>
      </c>
      <c r="H9302" s="5" t="s">
        <v>9343</v>
      </c>
      <c r="I9302" s="7">
        <v>1930000</v>
      </c>
      <c r="J9302" s="8">
        <v>3.5000000000000003E-2</v>
      </c>
    </row>
    <row r="9303" spans="1:10" x14ac:dyDescent="0.25">
      <c r="A9303" s="5" t="s">
        <v>9337</v>
      </c>
      <c r="B9303" s="5" t="s">
        <v>11170</v>
      </c>
      <c r="C9303" s="6" t="str">
        <f>_xll.QS.CONTEXT.CREATE("market.9301",A9303,"USD","SOFR")</f>
        <v>QSObject:PricingContext:w1~market.9301:601</v>
      </c>
      <c r="D9303" s="6" t="str">
        <f>_xll.QS.CONTEXT.ADD.CURVE(C9303,"SOFR",$K$2:$K$7,$L$2:$L$7,,,"Actual360","LogLinear",TRUE)</f>
        <v>QSObject:ContextInput:w1~input.qs_context_add_curve.2359132437744.9302.3.0:31538</v>
      </c>
      <c r="E9303" s="6" t="str">
        <f>_xll.QS.INSTRUMENT.SWAP("swap.9301",H9303,B9303,"USD","SOFR",I9303,J9303,0,"Actual360","Simple","Annual","Annual","Annual")</f>
        <v>QSObject:Swap:w1~swap.9301:600</v>
      </c>
      <c r="F9303" s="6" t="str">
        <f>_xll.QS.TRADE.CREATE("trade.9301",E9303,A9303,"Receive")</f>
        <v>QSObject:SwapTrade:w1~trade.9301:22478</v>
      </c>
      <c r="G9303" s="3">
        <f>_xll.QS.EVALUATE(C9303,F9303)</f>
        <v>27286.007317566422</v>
      </c>
      <c r="H9303" s="5" t="s">
        <v>9344</v>
      </c>
      <c r="I9303" s="7">
        <v>1930100</v>
      </c>
      <c r="J9303" s="8">
        <v>3.5100000000000013E-2</v>
      </c>
    </row>
    <row r="9304" spans="1:10" x14ac:dyDescent="0.25">
      <c r="A9304" s="5" t="s">
        <v>9338</v>
      </c>
      <c r="B9304" s="5" t="s">
        <v>11171</v>
      </c>
      <c r="C9304" s="6" t="str">
        <f>_xll.QS.CONTEXT.CREATE("market.9302",A9304,"USD","SOFR")</f>
        <v>QSObject:PricingContext:w1~market.9302:599</v>
      </c>
      <c r="D9304" s="6" t="str">
        <f>_xll.QS.CONTEXT.ADD.CURVE(C9304,"SOFR",$K$2:$K$7,$L$2:$L$7,,,"Actual360","LogLinear",TRUE)</f>
        <v>QSObject:ContextInput:w1~input.qs_context_add_curve.2359132437744.9303.3.0:31537</v>
      </c>
      <c r="E9304" s="6" t="str">
        <f>_xll.QS.INSTRUMENT.SWAP("swap.9302",H9304,B9304,"USD","SOFR",I9304,J9304,0,"Actual360","Simple","Annual","Annual","Annual")</f>
        <v>QSObject:Swap:w1~swap.9302:598</v>
      </c>
      <c r="F9304" s="6" t="str">
        <f>_xll.QS.TRADE.CREATE("trade.9302",E9304,A9304,"Receive")</f>
        <v>QSObject:SwapTrade:w1~trade.9302:22477</v>
      </c>
      <c r="G9304" s="3">
        <f>_xll.QS.EVALUATE(C9304,F9304)</f>
        <v>28179.880948152255</v>
      </c>
      <c r="H9304" s="5" t="s">
        <v>9345</v>
      </c>
      <c r="I9304" s="7">
        <v>1930200</v>
      </c>
      <c r="J9304" s="8">
        <v>3.5200000000000002E-2</v>
      </c>
    </row>
    <row r="9305" spans="1:10" x14ac:dyDescent="0.25">
      <c r="A9305" s="5" t="s">
        <v>9339</v>
      </c>
      <c r="B9305" s="5" t="s">
        <v>11172</v>
      </c>
      <c r="C9305" s="6" t="str">
        <f>_xll.QS.CONTEXT.CREATE("market.9303",A9305,"USD","SOFR")</f>
        <v>QSObject:PricingContext:w1~market.9303:597</v>
      </c>
      <c r="D9305" s="6" t="str">
        <f>_xll.QS.CONTEXT.ADD.CURVE(C9305,"SOFR",$K$2:$K$7,$L$2:$L$7,,,"Actual360","LogLinear",TRUE)</f>
        <v>QSObject:ContextInput:w1~input.qs_context_add_curve.2359132437744.9304.3.0:31536</v>
      </c>
      <c r="E9305" s="6" t="str">
        <f>_xll.QS.INSTRUMENT.SWAP("swap.9303",H9305,B9305,"USD","SOFR",I9305,J9305,0,"Actual360","Simple","Annual","Annual","Annual")</f>
        <v>QSObject:Swap:w1~swap.9303:596</v>
      </c>
      <c r="F9305" s="6" t="str">
        <f>_xll.QS.TRADE.CREATE("trade.9303",E9305,A9305,"Receive")</f>
        <v>QSObject:SwapTrade:w1~trade.9303:22476</v>
      </c>
      <c r="G9305" s="3">
        <f>_xll.QS.EVALUATE(C9305,F9305)</f>
        <v>29151.215805581414</v>
      </c>
      <c r="H9305" s="5" t="s">
        <v>9346</v>
      </c>
      <c r="I9305" s="7">
        <v>1930300</v>
      </c>
      <c r="J9305" s="8">
        <v>3.5299999999999998E-2</v>
      </c>
    </row>
    <row r="9306" spans="1:10" x14ac:dyDescent="0.25">
      <c r="A9306" s="5" t="s">
        <v>9340</v>
      </c>
      <c r="B9306" s="5" t="s">
        <v>11173</v>
      </c>
      <c r="C9306" s="6" t="str">
        <f>_xll.QS.CONTEXT.CREATE("market.9304",A9306,"USD","SOFR")</f>
        <v>QSObject:PricingContext:w1~market.9304:595</v>
      </c>
      <c r="D9306" s="6" t="str">
        <f>_xll.QS.CONTEXT.ADD.CURVE(C9306,"SOFR",$K$2:$K$7,$L$2:$L$7,,,"Actual360","LogLinear",TRUE)</f>
        <v>QSObject:ContextInput:w1~input.qs_context_add_curve.2359132437744.9305.3.0:31535</v>
      </c>
      <c r="E9306" s="6" t="str">
        <f>_xll.QS.INSTRUMENT.SWAP("swap.9304",H9306,B9306,"USD","SOFR",I9306,J9306,0,"Actual360","Simple","Annual","Annual","Annual")</f>
        <v>QSObject:Swap:w1~swap.9304:594</v>
      </c>
      <c r="F9306" s="6" t="str">
        <f>_xll.QS.TRADE.CREATE("trade.9304",E9306,A9306,"Receive")</f>
        <v>QSObject:SwapTrade:w1~trade.9304:22475</v>
      </c>
      <c r="G9306" s="3">
        <f>_xll.QS.EVALUATE(C9306,F9306)</f>
        <v>30184.388175021792</v>
      </c>
      <c r="H9306" s="5" t="s">
        <v>9347</v>
      </c>
      <c r="I9306" s="7">
        <v>1930400</v>
      </c>
      <c r="J9306" s="8">
        <v>3.5400000000000001E-2</v>
      </c>
    </row>
    <row r="9307" spans="1:10" x14ac:dyDescent="0.25">
      <c r="A9307" s="5" t="s">
        <v>9341</v>
      </c>
      <c r="B9307" s="5" t="s">
        <v>11174</v>
      </c>
      <c r="C9307" s="6" t="str">
        <f>_xll.QS.CONTEXT.CREATE("market.9305",A9307,"USD","SOFR")</f>
        <v>QSObject:PricingContext:w1~market.9305:593</v>
      </c>
      <c r="D9307" s="6" t="str">
        <f>_xll.QS.CONTEXT.ADD.CURVE(C9307,"SOFR",$K$2:$K$7,$L$2:$L$7,,,"Actual360","LogLinear",TRUE)</f>
        <v>QSObject:ContextInput:w1~input.qs_context_add_curve.2359132437744.9306.3.0:31534</v>
      </c>
      <c r="E9307" s="6" t="str">
        <f>_xll.QS.INSTRUMENT.SWAP("swap.9305",H9307,B9307,"USD","SOFR",I9307,J9307,0,"Actual360","Simple","Annual","Annual","Annual")</f>
        <v>QSObject:Swap:w1~swap.9305:592</v>
      </c>
      <c r="F9307" s="6" t="str">
        <f>_xll.QS.TRADE.CREATE("trade.9305",E9307,A9307,"Receive")</f>
        <v>QSObject:SwapTrade:w1~trade.9305:22474</v>
      </c>
      <c r="G9307" s="3">
        <f>_xll.QS.EVALUATE(C9307,F9307)</f>
        <v>31075.913445855229</v>
      </c>
      <c r="H9307" s="5" t="s">
        <v>9348</v>
      </c>
      <c r="I9307" s="7">
        <v>1930500</v>
      </c>
      <c r="J9307" s="8">
        <v>3.5499999999999997E-2</v>
      </c>
    </row>
    <row r="9308" spans="1:10" x14ac:dyDescent="0.25">
      <c r="A9308" s="5" t="s">
        <v>9342</v>
      </c>
      <c r="B9308" s="5" t="s">
        <v>11175</v>
      </c>
      <c r="C9308" s="6" t="str">
        <f>_xll.QS.CONTEXT.CREATE("market.9306",A9308,"USD","SOFR")</f>
        <v>QSObject:PricingContext:w1~market.9306:591</v>
      </c>
      <c r="D9308" s="6" t="str">
        <f>_xll.QS.CONTEXT.ADD.CURVE(C9308,"SOFR",$K$2:$K$7,$L$2:$L$7,,,"Actual360","LogLinear",TRUE)</f>
        <v>QSObject:ContextInput:w1~input.qs_context_add_curve.2359132437744.9307.3.0:31533</v>
      </c>
      <c r="E9308" s="6" t="str">
        <f>_xll.QS.INSTRUMENT.SWAP("swap.9306",H9308,B9308,"USD","SOFR",I9308,J9308,0,"Actual360","Simple","Annual","Annual","Annual")</f>
        <v>QSObject:Swap:w1~swap.9306:590</v>
      </c>
      <c r="F9308" s="6" t="str">
        <f>_xll.QS.TRADE.CREATE("trade.9306",E9308,A9308,"Receive")</f>
        <v>QSObject:SwapTrade:w1~trade.9306:22473</v>
      </c>
      <c r="G9308" s="3">
        <f>_xll.QS.EVALUATE(C9308,F9308)</f>
        <v>31978.130706764969</v>
      </c>
      <c r="H9308" s="5" t="s">
        <v>9349</v>
      </c>
      <c r="I9308" s="7">
        <v>1930600</v>
      </c>
      <c r="J9308" s="8">
        <v>3.5600000000000007E-2</v>
      </c>
    </row>
    <row r="9309" spans="1:10" x14ac:dyDescent="0.25">
      <c r="A9309" s="5" t="s">
        <v>9343</v>
      </c>
      <c r="B9309" s="5" t="s">
        <v>11176</v>
      </c>
      <c r="C9309" s="6" t="str">
        <f>_xll.QS.CONTEXT.CREATE("market.9307",A9309,"USD","SOFR")</f>
        <v>QSObject:PricingContext:w1~market.9307:589</v>
      </c>
      <c r="D9309" s="6" t="str">
        <f>_xll.QS.CONTEXT.ADD.CURVE(C9309,"SOFR",$K$2:$K$7,$L$2:$L$7,,,"Actual360","LogLinear",TRUE)</f>
        <v>QSObject:ContextInput:w1~input.qs_context_add_curve.2359132437744.9308.3.0:31532</v>
      </c>
      <c r="E9309" s="6" t="str">
        <f>_xll.QS.INSTRUMENT.SWAP("swap.9307",H9309,B9309,"USD","SOFR",I9309,J9309,0,"Actual360","Simple","Annual","Annual","Annual")</f>
        <v>QSObject:Swap:w1~swap.9307:588</v>
      </c>
      <c r="F9309" s="6" t="str">
        <f>_xll.QS.TRADE.CREATE("trade.9307",E9309,A9309,"Receive")</f>
        <v>QSObject:SwapTrade:w1~trade.9307:22472</v>
      </c>
      <c r="G9309" s="3">
        <f>_xll.QS.EVALUATE(C9309,F9309)</f>
        <v>32635.428529673329</v>
      </c>
      <c r="H9309" s="5" t="s">
        <v>9350</v>
      </c>
      <c r="I9309" s="7">
        <v>1930700</v>
      </c>
      <c r="J9309" s="8">
        <v>3.5700000000000003E-2</v>
      </c>
    </row>
    <row r="9310" spans="1:10" x14ac:dyDescent="0.25">
      <c r="A9310" s="5" t="s">
        <v>9344</v>
      </c>
      <c r="B9310" s="5" t="s">
        <v>11177</v>
      </c>
      <c r="C9310" s="6" t="str">
        <f>_xll.QS.CONTEXT.CREATE("market.9308",A9310,"USD","SOFR")</f>
        <v>QSObject:PricingContext:w1~market.9308:587</v>
      </c>
      <c r="D9310" s="6" t="str">
        <f>_xll.QS.CONTEXT.ADD.CURVE(C9310,"SOFR",$K$2:$K$7,$L$2:$L$7,,,"Actual360","LogLinear",TRUE)</f>
        <v>QSObject:ContextInput:w1~input.qs_context_add_curve.2359132437744.9309.3.0:31531</v>
      </c>
      <c r="E9310" s="6" t="str">
        <f>_xll.QS.INSTRUMENT.SWAP("swap.9308",H9310,B9310,"USD","SOFR",I9310,J9310,0,"Actual360","Simple","Annual","Annual","Annual")</f>
        <v>QSObject:Swap:w1~swap.9308:586</v>
      </c>
      <c r="F9310" s="6" t="str">
        <f>_xll.QS.TRADE.CREATE("trade.9308",E9310,A9310,"Receive")</f>
        <v>QSObject:SwapTrade:w1~trade.9308:22471</v>
      </c>
      <c r="G9310" s="3">
        <f>_xll.QS.EVALUATE(C9310,F9310)</f>
        <v>33529.790645759356</v>
      </c>
      <c r="H9310" s="5" t="s">
        <v>9351</v>
      </c>
      <c r="I9310" s="7">
        <v>1930800</v>
      </c>
      <c r="J9310" s="8">
        <v>3.5800000000000012E-2</v>
      </c>
    </row>
    <row r="9311" spans="1:10" x14ac:dyDescent="0.25">
      <c r="A9311" s="5" t="s">
        <v>9345</v>
      </c>
      <c r="B9311" s="5" t="s">
        <v>11178</v>
      </c>
      <c r="C9311" s="6" t="str">
        <f>_xll.QS.CONTEXT.CREATE("market.9309",A9311,"USD","SOFR")</f>
        <v>QSObject:PricingContext:w1~market.9309:585</v>
      </c>
      <c r="D9311" s="6" t="str">
        <f>_xll.QS.CONTEXT.ADD.CURVE(C9311,"SOFR",$K$2:$K$7,$L$2:$L$7,,,"Actual360","LogLinear",TRUE)</f>
        <v>QSObject:ContextInput:w1~input.qs_context_add_curve.2359132437744.9310.3.0:31530</v>
      </c>
      <c r="E9311" s="6" t="str">
        <f>_xll.QS.INSTRUMENT.SWAP("swap.9309",H9311,B9311,"USD","SOFR",I9311,J9311,0,"Actual360","Simple","Annual","Annual","Annual")</f>
        <v>QSObject:Swap:w1~swap.9309:584</v>
      </c>
      <c r="F9311" s="6" t="str">
        <f>_xll.QS.TRADE.CREATE("trade.9309",E9311,A9311,"Receive")</f>
        <v>QSObject:SwapTrade:w1~trade.9309:22470</v>
      </c>
      <c r="G9311" s="3">
        <f>_xll.QS.EVALUATE(C9311,F9311)</f>
        <v>34425.12624970702</v>
      </c>
      <c r="H9311" s="5" t="s">
        <v>9352</v>
      </c>
      <c r="I9311" s="7">
        <v>1930900</v>
      </c>
      <c r="J9311" s="8">
        <v>3.5900000000000001E-2</v>
      </c>
    </row>
    <row r="9312" spans="1:10" x14ac:dyDescent="0.25">
      <c r="A9312" s="5" t="s">
        <v>9346</v>
      </c>
      <c r="B9312" s="5" t="s">
        <v>11179</v>
      </c>
      <c r="C9312" s="6" t="str">
        <f>_xll.QS.CONTEXT.CREATE("market.9310",A9312,"USD","SOFR")</f>
        <v>QSObject:PricingContext:w1~market.9310:583</v>
      </c>
      <c r="D9312" s="6" t="str">
        <f>_xll.QS.CONTEXT.ADD.CURVE(C9312,"SOFR",$K$2:$K$7,$L$2:$L$7,,,"Actual360","LogLinear",TRUE)</f>
        <v>QSObject:ContextInput:w1~input.qs_context_add_curve.2359132437744.9311.3.0:31529</v>
      </c>
      <c r="E9312" s="6" t="str">
        <f>_xll.QS.INSTRUMENT.SWAP("swap.9310",H9312,B9312,"USD","SOFR",I9312,J9312,0,"Actual360","Simple","Annual","Annual","Annual")</f>
        <v>QSObject:Swap:w1~swap.9310:582</v>
      </c>
      <c r="F9312" s="6" t="str">
        <f>_xll.QS.TRADE.CREATE("trade.9310",E9312,A9312,"Receive")</f>
        <v>QSObject:SwapTrade:w1~trade.9310:22469</v>
      </c>
      <c r="G9312" s="3">
        <f>_xll.QS.EVALUATE(C9312,F9312)</f>
        <v>35611.17403017429</v>
      </c>
      <c r="H9312" s="5" t="s">
        <v>9353</v>
      </c>
      <c r="I9312" s="7">
        <v>1931000</v>
      </c>
      <c r="J9312" s="8">
        <v>3.5999999999999997E-2</v>
      </c>
    </row>
    <row r="9313" spans="1:10" x14ac:dyDescent="0.25">
      <c r="A9313" s="5" t="s">
        <v>9347</v>
      </c>
      <c r="B9313" s="5" t="s">
        <v>11180</v>
      </c>
      <c r="C9313" s="6" t="str">
        <f>_xll.QS.CONTEXT.CREATE("market.9311",A9313,"USD","SOFR")</f>
        <v>QSObject:PricingContext:w1~market.9311:581</v>
      </c>
      <c r="D9313" s="6" t="str">
        <f>_xll.QS.CONTEXT.ADD.CURVE(C9313,"SOFR",$K$2:$K$7,$L$2:$L$7,,,"Actual360","LogLinear",TRUE)</f>
        <v>QSObject:ContextInput:w1~input.qs_context_add_curve.2359132437744.9312.3.0:31528</v>
      </c>
      <c r="E9313" s="6" t="str">
        <f>_xll.QS.INSTRUMENT.SWAP("swap.9311",H9313,B9313,"USD","SOFR",I9313,J9313,0,"Actual360","Simple","Annual","Annual","Annual")</f>
        <v>QSObject:Swap:w1~swap.9311:580</v>
      </c>
      <c r="F9313" s="6" t="str">
        <f>_xll.QS.TRADE.CREATE("trade.9311",E9313,A9313,"Receive")</f>
        <v>QSObject:SwapTrade:w1~trade.9311:22468</v>
      </c>
      <c r="G9313" s="3">
        <f>_xll.QS.EVALUATE(C9313,F9313)</f>
        <v>36502.499352984349</v>
      </c>
      <c r="H9313" s="5" t="s">
        <v>9354</v>
      </c>
      <c r="I9313" s="7">
        <v>1931100</v>
      </c>
      <c r="J9313" s="8">
        <v>3.61E-2</v>
      </c>
    </row>
    <row r="9314" spans="1:10" x14ac:dyDescent="0.25">
      <c r="A9314" s="5" t="s">
        <v>9348</v>
      </c>
      <c r="B9314" s="5" t="s">
        <v>11181</v>
      </c>
      <c r="C9314" s="6" t="str">
        <f>_xll.QS.CONTEXT.CREATE("market.9312",A9314,"USD","SOFR")</f>
        <v>QSObject:PricingContext:w1~market.9312:579</v>
      </c>
      <c r="D9314" s="6" t="str">
        <f>_xll.QS.CONTEXT.ADD.CURVE(C9314,"SOFR",$K$2:$K$7,$L$2:$L$7,,,"Actual360","LogLinear",TRUE)</f>
        <v>QSObject:ContextInput:w1~input.qs_context_add_curve.2359132437744.9313.3.0:31527</v>
      </c>
      <c r="E9314" s="6" t="str">
        <f>_xll.QS.INSTRUMENT.SWAP("swap.9312",H9314,B9314,"USD","SOFR",I9314,J9314,0,"Actual360","Simple","Annual","Annual","Annual")</f>
        <v>QSObject:Swap:w1~swap.9312:578</v>
      </c>
      <c r="F9314" s="6" t="str">
        <f>_xll.QS.TRADE.CREATE("trade.9312",E9314,A9314,"Receive")</f>
        <v>QSObject:SwapTrade:w1~trade.9312:22467</v>
      </c>
      <c r="G9314" s="3">
        <f>_xll.QS.EVALUATE(C9314,F9314)</f>
        <v>37411.070931844086</v>
      </c>
      <c r="H9314" s="5" t="s">
        <v>9355</v>
      </c>
      <c r="I9314" s="7">
        <v>1931200</v>
      </c>
      <c r="J9314" s="8">
        <v>3.6200000000000003E-2</v>
      </c>
    </row>
    <row r="9315" spans="1:10" x14ac:dyDescent="0.25">
      <c r="A9315" s="5" t="s">
        <v>9349</v>
      </c>
      <c r="B9315" s="5" t="s">
        <v>11182</v>
      </c>
      <c r="C9315" s="6" t="str">
        <f>_xll.QS.CONTEXT.CREATE("market.9313",A9315,"USD","SOFR")</f>
        <v>QSObject:PricingContext:w1~market.9313:577</v>
      </c>
      <c r="D9315" s="6" t="str">
        <f>_xll.QS.CONTEXT.ADD.CURVE(C9315,"SOFR",$K$2:$K$7,$L$2:$L$7,,,"Actual360","LogLinear",TRUE)</f>
        <v>QSObject:ContextInput:w1~input.qs_context_add_curve.2359132437744.9314.3.0:31526</v>
      </c>
      <c r="E9315" s="6" t="str">
        <f>_xll.QS.INSTRUMENT.SWAP("swap.9313",H9315,B9315,"USD","SOFR",I9315,J9315,0,"Actual360","Simple","Annual","Annual","Annual")</f>
        <v>QSObject:Swap:w1~swap.9313:576</v>
      </c>
      <c r="F9315" s="6" t="str">
        <f>_xll.QS.TRADE.CREATE("trade.9313",E9315,A9315,"Receive")</f>
        <v>QSObject:SwapTrade:w1~trade.9313:22466</v>
      </c>
      <c r="G9315" s="3">
        <f>_xll.QS.EVALUATE(C9315,F9315)</f>
        <v>38305.362468787025</v>
      </c>
      <c r="H9315" s="5" t="s">
        <v>9356</v>
      </c>
      <c r="I9315" s="7">
        <v>1931300</v>
      </c>
      <c r="J9315" s="8">
        <v>3.6300000000000013E-2</v>
      </c>
    </row>
    <row r="9316" spans="1:10" x14ac:dyDescent="0.25">
      <c r="A9316" s="5" t="s">
        <v>9350</v>
      </c>
      <c r="B9316" s="5" t="s">
        <v>11183</v>
      </c>
      <c r="C9316" s="6" t="str">
        <f>_xll.QS.CONTEXT.CREATE("market.9314",A9316,"USD","SOFR")</f>
        <v>QSObject:PricingContext:w1~market.9314:575</v>
      </c>
      <c r="D9316" s="6" t="str">
        <f>_xll.QS.CONTEXT.ADD.CURVE(C9316,"SOFR",$K$2:$K$7,$L$2:$L$7,,,"Actual360","LogLinear",TRUE)</f>
        <v>QSObject:ContextInput:w1~input.qs_context_add_curve.2359132437744.9315.3.0:31525</v>
      </c>
      <c r="E9316" s="6" t="str">
        <f>_xll.QS.INSTRUMENT.SWAP("swap.9314",H9316,B9316,"USD","SOFR",I9316,J9316,0,"Actual360","Simple","Annual","Annual","Annual")</f>
        <v>QSObject:Swap:w1~swap.9314:574</v>
      </c>
      <c r="F9316" s="6" t="str">
        <f>_xll.QS.TRADE.CREATE("trade.9314",E9316,A9316,"Receive")</f>
        <v>QSObject:SwapTrade:w1~trade.9314:22465</v>
      </c>
      <c r="G9316" s="3">
        <f>_xll.QS.EVALUATE(C9316,F9316)</f>
        <v>39122.078580436275</v>
      </c>
      <c r="H9316" s="5" t="s">
        <v>9357</v>
      </c>
      <c r="I9316" s="7">
        <v>1931400</v>
      </c>
      <c r="J9316" s="8">
        <v>3.6400000000000002E-2</v>
      </c>
    </row>
    <row r="9317" spans="1:10" x14ac:dyDescent="0.25">
      <c r="A9317" s="5" t="s">
        <v>9351</v>
      </c>
      <c r="B9317" s="5" t="s">
        <v>11184</v>
      </c>
      <c r="C9317" s="6" t="str">
        <f>_xll.QS.CONTEXT.CREATE("market.9315",A9317,"USD","SOFR")</f>
        <v>QSObject:PricingContext:w1~market.9315:573</v>
      </c>
      <c r="D9317" s="6" t="str">
        <f>_xll.QS.CONTEXT.ADD.CURVE(C9317,"SOFR",$K$2:$K$7,$L$2:$L$7,,,"Actual360","LogLinear",TRUE)</f>
        <v>QSObject:ContextInput:w1~input.qs_context_add_curve.2359132437744.9316.3.0:31524</v>
      </c>
      <c r="E9317" s="6" t="str">
        <f>_xll.QS.INSTRUMENT.SWAP("swap.9315",H9317,B9317,"USD","SOFR",I9317,J9317,0,"Actual360","Simple","Annual","Annual","Annual")</f>
        <v>QSObject:Swap:w1~swap.9315:572</v>
      </c>
      <c r="F9317" s="6" t="str">
        <f>_xll.QS.TRADE.CREATE("trade.9315",E9317,A9317,"Receive")</f>
        <v>QSObject:SwapTrade:w1~trade.9315:22464</v>
      </c>
      <c r="G9317" s="3">
        <f>_xll.QS.EVALUATE(C9317,F9317)</f>
        <v>39779.213523007798</v>
      </c>
      <c r="H9317" s="5" t="s">
        <v>9358</v>
      </c>
      <c r="I9317" s="7">
        <v>1931500</v>
      </c>
      <c r="J9317" s="8">
        <v>3.6499999999999998E-2</v>
      </c>
    </row>
    <row r="9318" spans="1:10" x14ac:dyDescent="0.25">
      <c r="A9318" s="5" t="s">
        <v>9352</v>
      </c>
      <c r="B9318" s="5" t="s">
        <v>11185</v>
      </c>
      <c r="C9318" s="6" t="str">
        <f>_xll.QS.CONTEXT.CREATE("market.9316",A9318,"USD","SOFR")</f>
        <v>QSObject:PricingContext:w1~market.9316:571</v>
      </c>
      <c r="D9318" s="6" t="str">
        <f>_xll.QS.CONTEXT.ADD.CURVE(C9318,"SOFR",$K$2:$K$7,$L$2:$L$7,,,"Actual360","LogLinear",TRUE)</f>
        <v>QSObject:ContextInput:w1~input.qs_context_add_curve.2359132437744.9317.3.0:31523</v>
      </c>
      <c r="E9318" s="6" t="str">
        <f>_xll.QS.INSTRUMENT.SWAP("swap.9316",H9318,B9318,"USD","SOFR",I9318,J9318,0,"Actual360","Simple","Annual","Annual","Annual")</f>
        <v>QSObject:Swap:w1~swap.9316:570</v>
      </c>
      <c r="F9318" s="6" t="str">
        <f>_xll.QS.TRADE.CREATE("trade.9316",E9318,A9318,"Receive")</f>
        <v>QSObject:SwapTrade:w1~trade.9316:22463</v>
      </c>
      <c r="G9318" s="3">
        <f>_xll.QS.EVALUATE(C9318,F9318)</f>
        <v>40675.426427404658</v>
      </c>
      <c r="H9318" s="5" t="s">
        <v>9359</v>
      </c>
      <c r="I9318" s="7">
        <v>1931600</v>
      </c>
      <c r="J9318" s="8">
        <v>3.6600000000000001E-2</v>
      </c>
    </row>
    <row r="9319" spans="1:10" x14ac:dyDescent="0.25">
      <c r="A9319" s="5" t="s">
        <v>9353</v>
      </c>
      <c r="B9319" s="5" t="s">
        <v>11186</v>
      </c>
      <c r="C9319" s="6" t="str">
        <f>_xll.QS.CONTEXT.CREATE("market.9317",A9319,"USD","SOFR")</f>
        <v>QSObject:PricingContext:w1~market.9317:569</v>
      </c>
      <c r="D9319" s="6" t="str">
        <f>_xll.QS.CONTEXT.ADD.CURVE(C9319,"SOFR",$K$2:$K$7,$L$2:$L$7,,,"Actual360","LogLinear",TRUE)</f>
        <v>QSObject:ContextInput:w1~input.qs_context_add_curve.2359132437744.9318.3.0:31522</v>
      </c>
      <c r="E9319" s="6" t="str">
        <f>_xll.QS.INSTRUMENT.SWAP("swap.9317",H9319,B9319,"USD","SOFR",I9319,J9319,0,"Actual360","Simple","Annual","Annual","Annual")</f>
        <v>QSObject:Swap:w1~swap.9317:568</v>
      </c>
      <c r="F9319" s="6" t="str">
        <f>_xll.QS.TRADE.CREATE("trade.9317",E9319,A9319,"Receive")</f>
        <v>QSObject:SwapTrade:w1~trade.9317:22462</v>
      </c>
      <c r="G9319" s="3">
        <f>_xll.QS.EVALUATE(C9319,F9319)</f>
        <v>41649.138864475455</v>
      </c>
      <c r="H9319" s="5" t="s">
        <v>9360</v>
      </c>
      <c r="I9319" s="7">
        <v>1931700</v>
      </c>
      <c r="J9319" s="8">
        <v>3.6700000000000003E-2</v>
      </c>
    </row>
    <row r="9320" spans="1:10" x14ac:dyDescent="0.25">
      <c r="A9320" s="5" t="s">
        <v>9354</v>
      </c>
      <c r="B9320" s="5" t="s">
        <v>11187</v>
      </c>
      <c r="C9320" s="6" t="str">
        <f>_xll.QS.CONTEXT.CREATE("market.9318",A9320,"USD","SOFR")</f>
        <v>QSObject:PricingContext:w1~market.9318:567</v>
      </c>
      <c r="D9320" s="6" t="str">
        <f>_xll.QS.CONTEXT.ADD.CURVE(C9320,"SOFR",$K$2:$K$7,$L$2:$L$7,,,"Actual360","LogLinear",TRUE)</f>
        <v>QSObject:ContextInput:w1~input.qs_context_add_curve.2359132437744.9319.3.0:31521</v>
      </c>
      <c r="E9320" s="6" t="str">
        <f>_xll.QS.INSTRUMENT.SWAP("swap.9318",H9320,B9320,"USD","SOFR",I9320,J9320,0,"Actual360","Simple","Annual","Annual","Annual")</f>
        <v>QSObject:Swap:w1~swap.9318:566</v>
      </c>
      <c r="F9320" s="6" t="str">
        <f>_xll.QS.TRADE.CREATE("trade.9318",E9320,A9320,"Receive")</f>
        <v>QSObject:SwapTrade:w1~trade.9318:22461</v>
      </c>
      <c r="G9320" s="3">
        <f>_xll.QS.EVALUATE(C9320,F9320)</f>
        <v>42683.630377608919</v>
      </c>
      <c r="H9320" s="5" t="s">
        <v>9361</v>
      </c>
      <c r="I9320" s="7">
        <v>1931800</v>
      </c>
      <c r="J9320" s="8">
        <v>3.6800000000000013E-2</v>
      </c>
    </row>
    <row r="9321" spans="1:10" x14ac:dyDescent="0.25">
      <c r="A9321" s="5" t="s">
        <v>9355</v>
      </c>
      <c r="B9321" s="5" t="s">
        <v>11188</v>
      </c>
      <c r="C9321" s="6" t="str">
        <f>_xll.QS.CONTEXT.CREATE("market.9319",A9321,"USD","SOFR")</f>
        <v>QSObject:PricingContext:w1~market.9319:565</v>
      </c>
      <c r="D9321" s="6" t="str">
        <f>_xll.QS.CONTEXT.ADD.CURVE(C9321,"SOFR",$K$2:$K$7,$L$2:$L$7,,,"Actual360","LogLinear",TRUE)</f>
        <v>QSObject:ContextInput:w1~input.qs_context_add_curve.2359132437744.9320.3.0:31520</v>
      </c>
      <c r="E9321" s="6" t="str">
        <f>_xll.QS.INSTRUMENT.SWAP("swap.9319",H9321,B9321,"USD","SOFR",I9321,J9321,0,"Actual360","Simple","Annual","Annual","Annual")</f>
        <v>QSObject:Swap:w1~swap.9319:564</v>
      </c>
      <c r="F9321" s="6" t="str">
        <f>_xll.QS.TRADE.CREATE("trade.9319",E9321,A9321,"Receive")</f>
        <v>QSObject:SwapTrade:w1~trade.9319:22460</v>
      </c>
      <c r="G9321" s="3">
        <f>_xll.QS.EVALUATE(C9321,F9321)</f>
        <v>43576.874744391993</v>
      </c>
      <c r="H9321" s="5" t="s">
        <v>9362</v>
      </c>
      <c r="I9321" s="7">
        <v>1931900</v>
      </c>
      <c r="J9321" s="8">
        <v>3.6900000000000002E-2</v>
      </c>
    </row>
    <row r="9322" spans="1:10" x14ac:dyDescent="0.25">
      <c r="A9322" s="5" t="s">
        <v>9356</v>
      </c>
      <c r="B9322" s="5" t="s">
        <v>11189</v>
      </c>
      <c r="C9322" s="6" t="str">
        <f>_xll.QS.CONTEXT.CREATE("market.9320",A9322,"USD","SOFR")</f>
        <v>QSObject:PricingContext:w1~market.9320:563</v>
      </c>
      <c r="D9322" s="6" t="str">
        <f>_xll.QS.CONTEXT.ADD.CURVE(C9322,"SOFR",$K$2:$K$7,$L$2:$L$7,,,"Actual360","LogLinear",TRUE)</f>
        <v>QSObject:ContextInput:w1~input.qs_context_add_curve.2359132437744.9321.3.0:31519</v>
      </c>
      <c r="E9322" s="6" t="str">
        <f>_xll.QS.INSTRUMENT.SWAP("swap.9320",H9322,B9322,"USD","SOFR",I9322,J9322,0,"Actual360","Simple","Annual","Annual","Annual")</f>
        <v>QSObject:Swap:w1~swap.9320:562</v>
      </c>
      <c r="F9322" s="6" t="str">
        <f>_xll.QS.TRADE.CREATE("trade.9320",E9322,A9322,"Receive")</f>
        <v>QSObject:SwapTrade:w1~trade.9320:22459</v>
      </c>
      <c r="G9322" s="3">
        <f>_xll.QS.EVALUATE(C9322,F9322)</f>
        <v>44480.838316023823</v>
      </c>
      <c r="H9322" s="5" t="s">
        <v>9363</v>
      </c>
      <c r="I9322" s="7">
        <v>1932000</v>
      </c>
      <c r="J9322" s="8">
        <v>3.7000000000000012E-2</v>
      </c>
    </row>
    <row r="9323" spans="1:10" x14ac:dyDescent="0.25">
      <c r="A9323" s="5" t="s">
        <v>9357</v>
      </c>
      <c r="B9323" s="5" t="s">
        <v>11190</v>
      </c>
      <c r="C9323" s="6" t="str">
        <f>_xll.QS.CONTEXT.CREATE("market.9321",A9323,"USD","SOFR")</f>
        <v>QSObject:PricingContext:w1~market.9321:561</v>
      </c>
      <c r="D9323" s="6" t="str">
        <f>_xll.QS.CONTEXT.ADD.CURVE(C9323,"SOFR",$K$2:$K$7,$L$2:$L$7,,,"Actual360","LogLinear",TRUE)</f>
        <v>QSObject:ContextInput:w1~input.qs_context_add_curve.2359132437744.9322.3.0:31518</v>
      </c>
      <c r="E9323" s="6" t="str">
        <f>_xll.QS.INSTRUMENT.SWAP("swap.9321",H9323,B9323,"USD","SOFR",I9323,J9323,0,"Actual360","Simple","Annual","Annual","Annual")</f>
        <v>QSObject:Swap:w1~swap.9321:560</v>
      </c>
      <c r="F9323" s="6" t="str">
        <f>_xll.QS.TRADE.CREATE("trade.9321",E9323,A9323,"Receive")</f>
        <v>QSObject:SwapTrade:w1~trade.9321:22458</v>
      </c>
      <c r="G9323" s="3">
        <f>_xll.QS.EVALUATE(C9323,F9323)</f>
        <v>45376.157227793483</v>
      </c>
      <c r="H9323" s="5" t="s">
        <v>9364</v>
      </c>
      <c r="I9323" s="7">
        <v>1932100</v>
      </c>
      <c r="J9323" s="8">
        <v>3.7100000000000001E-2</v>
      </c>
    </row>
    <row r="9324" spans="1:10" x14ac:dyDescent="0.25">
      <c r="A9324" s="5" t="s">
        <v>9358</v>
      </c>
      <c r="B9324" s="5" t="s">
        <v>11191</v>
      </c>
      <c r="C9324" s="6" t="str">
        <f>_xll.QS.CONTEXT.CREATE("market.9322",A9324,"USD","SOFR")</f>
        <v>QSObject:PricingContext:w1~market.9322:559</v>
      </c>
      <c r="D9324" s="6" t="str">
        <f>_xll.QS.CONTEXT.ADD.CURVE(C9324,"SOFR",$K$2:$K$7,$L$2:$L$7,,,"Actual360","LogLinear",TRUE)</f>
        <v>QSObject:ContextInput:w1~input.qs_context_add_curve.2359132437744.9323.3.0:31517</v>
      </c>
      <c r="E9324" s="6" t="str">
        <f>_xll.QS.INSTRUMENT.SWAP("swap.9322",H9324,B9324,"USD","SOFR",I9324,J9324,0,"Actual360","Simple","Annual","Annual","Annual")</f>
        <v>QSObject:Swap:w1~swap.9322:558</v>
      </c>
      <c r="F9324" s="6" t="str">
        <f>_xll.QS.TRADE.CREATE("trade.9322",E9324,A9324,"Receive")</f>
        <v>QSObject:SwapTrade:w1~trade.9322:22457</v>
      </c>
      <c r="G9324" s="3">
        <f>_xll.QS.EVALUATE(C9324,F9324)</f>
        <v>46032.5974100858</v>
      </c>
      <c r="H9324" s="5" t="s">
        <v>9365</v>
      </c>
      <c r="I9324" s="7">
        <v>1932200</v>
      </c>
      <c r="J9324" s="8">
        <v>3.7199999999999997E-2</v>
      </c>
    </row>
    <row r="9325" spans="1:10" x14ac:dyDescent="0.25">
      <c r="A9325" s="5" t="s">
        <v>9359</v>
      </c>
      <c r="B9325" s="5" t="s">
        <v>11192</v>
      </c>
      <c r="C9325" s="6" t="str">
        <f>_xll.QS.CONTEXT.CREATE("market.9323",A9325,"USD","SOFR")</f>
        <v>QSObject:PricingContext:w1~market.9323:557</v>
      </c>
      <c r="D9325" s="6" t="str">
        <f>_xll.QS.CONTEXT.ADD.CURVE(C9325,"SOFR",$K$2:$K$7,$L$2:$L$7,,,"Actual360","LogLinear",TRUE)</f>
        <v>QSObject:ContextInput:w1~input.qs_context_add_curve.2359132437744.9324.3.0:31516</v>
      </c>
      <c r="E9325" s="6" t="str">
        <f>_xll.QS.INSTRUMENT.SWAP("swap.9323",H9325,B9325,"USD","SOFR",I9325,J9325,0,"Actual360","Simple","Annual","Annual","Annual")</f>
        <v>QSObject:Swap:w1~swap.9323:556</v>
      </c>
      <c r="F9325" s="6" t="str">
        <f>_xll.QS.TRADE.CREATE("trade.9323",E9325,A9325,"Receive")</f>
        <v>QSObject:SwapTrade:w1~trade.9323:22456</v>
      </c>
      <c r="G9325" s="3">
        <f>_xll.QS.EVALUATE(C9325,F9325)</f>
        <v>46929.980520077159</v>
      </c>
      <c r="H9325" s="5" t="s">
        <v>9366</v>
      </c>
      <c r="I9325" s="7">
        <v>1932300</v>
      </c>
      <c r="J9325" s="8">
        <v>3.73E-2</v>
      </c>
    </row>
    <row r="9326" spans="1:10" x14ac:dyDescent="0.25">
      <c r="A9326" s="5" t="s">
        <v>9360</v>
      </c>
      <c r="B9326" s="5" t="s">
        <v>11193</v>
      </c>
      <c r="C9326" s="6" t="str">
        <f>_xll.QS.CONTEXT.CREATE("market.9324",A9326,"USD","SOFR")</f>
        <v>QSObject:PricingContext:w1~market.9324:555</v>
      </c>
      <c r="D9326" s="6" t="str">
        <f>_xll.QS.CONTEXT.ADD.CURVE(C9326,"SOFR",$K$2:$K$7,$L$2:$L$7,,,"Actual360","LogLinear",TRUE)</f>
        <v>QSObject:ContextInput:w1~input.qs_context_add_curve.2359132437744.9325.3.0:31515</v>
      </c>
      <c r="E9326" s="6" t="str">
        <f>_xll.QS.INSTRUMENT.SWAP("swap.9324",H9326,B9326,"USD","SOFR",I9326,J9326,0,"Actual360","Simple","Annual","Annual","Annual")</f>
        <v>QSObject:Swap:w1~swap.9324:554</v>
      </c>
      <c r="F9326" s="6" t="str">
        <f>_xll.QS.TRADE.CREATE("trade.9324",E9326,A9326,"Receive")</f>
        <v>QSObject:SwapTrade:w1~trade.9324:22455</v>
      </c>
      <c r="G9326" s="3">
        <f>_xll.QS.EVALUATE(C9326,F9326)</f>
        <v>47904.978427166941</v>
      </c>
      <c r="H9326" s="5" t="s">
        <v>9367</v>
      </c>
      <c r="I9326" s="7">
        <v>1932400</v>
      </c>
      <c r="J9326" s="8">
        <v>3.7400000000000003E-2</v>
      </c>
    </row>
    <row r="9327" spans="1:10" x14ac:dyDescent="0.25">
      <c r="A9327" s="5" t="s">
        <v>9361</v>
      </c>
      <c r="B9327" s="5" t="s">
        <v>11194</v>
      </c>
      <c r="C9327" s="6" t="str">
        <f>_xll.QS.CONTEXT.CREATE("market.9325",A9327,"USD","SOFR")</f>
        <v>QSObject:PricingContext:w1~market.9325:553</v>
      </c>
      <c r="D9327" s="6" t="str">
        <f>_xll.QS.CONTEXT.ADD.CURVE(C9327,"SOFR",$K$2:$K$7,$L$2:$L$7,,,"Actual360","LogLinear",TRUE)</f>
        <v>QSObject:ContextInput:w1~input.qs_context_add_curve.2359132437744.9326.3.0:31514</v>
      </c>
      <c r="E9327" s="6" t="str">
        <f>_xll.QS.INSTRUMENT.SWAP("swap.9325",H9327,B9327,"USD","SOFR",I9327,J9327,0,"Actual360","Simple","Annual","Annual","Annual")</f>
        <v>QSObject:Swap:w1~swap.9325:552</v>
      </c>
      <c r="F9327" s="6" t="str">
        <f>_xll.QS.TRADE.CREATE("trade.9325",E9327,A9327,"Receive")</f>
        <v>QSObject:SwapTrade:w1~trade.9325:22454</v>
      </c>
      <c r="G9327" s="3">
        <f>_xll.QS.EVALUATE(C9327,F9327)</f>
        <v>48940.259615739109</v>
      </c>
      <c r="H9327" s="5" t="s">
        <v>9368</v>
      </c>
      <c r="I9327" s="7">
        <v>1932500</v>
      </c>
      <c r="J9327" s="8">
        <v>3.7500000000000012E-2</v>
      </c>
    </row>
    <row r="9328" spans="1:10" x14ac:dyDescent="0.25">
      <c r="A9328" s="5" t="s">
        <v>9362</v>
      </c>
      <c r="B9328" s="5" t="s">
        <v>11195</v>
      </c>
      <c r="C9328" s="6" t="str">
        <f>_xll.QS.CONTEXT.CREATE("market.9326",A9328,"USD","SOFR")</f>
        <v>QSObject:PricingContext:w1~market.9326:551</v>
      </c>
      <c r="D9328" s="6" t="str">
        <f>_xll.QS.CONTEXT.ADD.CURVE(C9328,"SOFR",$K$2:$K$7,$L$2:$L$7,,,"Actual360","LogLinear",TRUE)</f>
        <v>QSObject:ContextInput:w1~input.qs_context_add_curve.2359132437744.9327.3.0:31513</v>
      </c>
      <c r="E9328" s="6" t="str">
        <f>_xll.QS.INSTRUMENT.SWAP("swap.9326",H9328,B9328,"USD","SOFR",I9328,J9328,0,"Actual360","Simple","Annual","Annual","Annual")</f>
        <v>QSObject:Swap:w1~swap.9326:550</v>
      </c>
      <c r="F9328" s="6" t="str">
        <f>_xll.QS.TRADE.CREATE("trade.9326",E9328,A9328,"Receive")</f>
        <v>QSObject:SwapTrade:w1~trade.9326:22453</v>
      </c>
      <c r="G9328" s="3">
        <f>_xll.QS.EVALUATE(C9328,F9328)</f>
        <v>49834.137497431293</v>
      </c>
      <c r="H9328" s="5" t="s">
        <v>9369</v>
      </c>
      <c r="I9328" s="7">
        <v>1932600</v>
      </c>
      <c r="J9328" s="8">
        <v>3.7600000000000001E-2</v>
      </c>
    </row>
    <row r="9329" spans="1:10" x14ac:dyDescent="0.25">
      <c r="A9329" s="5" t="s">
        <v>9363</v>
      </c>
      <c r="B9329" s="5" t="s">
        <v>11196</v>
      </c>
      <c r="C9329" s="6" t="str">
        <f>_xll.QS.CONTEXT.CREATE("market.9327",A9329,"USD","SOFR")</f>
        <v>QSObject:PricingContext:w1~market.9327:549</v>
      </c>
      <c r="D9329" s="6" t="str">
        <f>_xll.QS.CONTEXT.ADD.CURVE(C9329,"SOFR",$K$2:$K$7,$L$2:$L$7,,,"Actual360","LogLinear",TRUE)</f>
        <v>QSObject:ContextInput:w1~input.qs_context_add_curve.2359132437744.9328.3.0:31512</v>
      </c>
      <c r="E9329" s="6" t="str">
        <f>_xll.QS.INSTRUMENT.SWAP("swap.9327",H9329,B9329,"USD","SOFR",I9329,J9329,0,"Actual360","Simple","Annual","Annual","Annual")</f>
        <v>QSObject:Swap:w1~swap.9327:548</v>
      </c>
      <c r="F9329" s="6" t="str">
        <f>_xll.QS.TRADE.CREATE("trade.9327",E9329,A9329,"Receive")</f>
        <v>QSObject:SwapTrade:w1~trade.9327:22452</v>
      </c>
      <c r="G9329" s="3">
        <f>_xll.QS.EVALUATE(C9329,F9329)</f>
        <v>50738.768137173363</v>
      </c>
      <c r="H9329" s="5" t="s">
        <v>9370</v>
      </c>
      <c r="I9329" s="7">
        <v>1932700</v>
      </c>
      <c r="J9329" s="8">
        <v>3.7699999999999997E-2</v>
      </c>
    </row>
    <row r="9330" spans="1:10" x14ac:dyDescent="0.25">
      <c r="A9330" s="5" t="s">
        <v>9364</v>
      </c>
      <c r="B9330" s="5" t="s">
        <v>11197</v>
      </c>
      <c r="C9330" s="6" t="str">
        <f>_xll.QS.CONTEXT.CREATE("market.9328",A9330,"USD","SOFR")</f>
        <v>QSObject:PricingContext:w1~market.9328:547</v>
      </c>
      <c r="D9330" s="6" t="str">
        <f>_xll.QS.CONTEXT.ADD.CURVE(C9330,"SOFR",$K$2:$K$7,$L$2:$L$7,,,"Actual360","LogLinear",TRUE)</f>
        <v>QSObject:ContextInput:w1~input.qs_context_add_curve.2359132437744.9329.3.0:31511</v>
      </c>
      <c r="E9330" s="6" t="str">
        <f>_xll.QS.INSTRUMENT.SWAP("swap.9328",H9330,B9330,"USD","SOFR",I9330,J9330,0,"Actual360","Simple","Annual","Annual","Annual")</f>
        <v>QSObject:Swap:w1~swap.9328:546</v>
      </c>
      <c r="F9330" s="6" t="str">
        <f>_xll.QS.TRADE.CREATE("trade.9328",E9330,A9330,"Receive")</f>
        <v>QSObject:SwapTrade:w1~trade.9328:22451</v>
      </c>
      <c r="G9330" s="3">
        <f>_xll.QS.EVALUATE(C9330,F9330)</f>
        <v>51634.757307482942</v>
      </c>
      <c r="H9330" s="5" t="s">
        <v>9371</v>
      </c>
      <c r="I9330" s="7">
        <v>1932800</v>
      </c>
      <c r="J9330" s="8">
        <v>3.78E-2</v>
      </c>
    </row>
    <row r="9331" spans="1:10" x14ac:dyDescent="0.25">
      <c r="A9331" s="5" t="s">
        <v>9365</v>
      </c>
      <c r="B9331" s="5" t="s">
        <v>11198</v>
      </c>
      <c r="C9331" s="6" t="str">
        <f>_xll.QS.CONTEXT.CREATE("market.9329",A9331,"USD","SOFR")</f>
        <v>QSObject:PricingContext:w1~market.9329:545</v>
      </c>
      <c r="D9331" s="6" t="str">
        <f>_xll.QS.CONTEXT.ADD.CURVE(C9331,"SOFR",$K$2:$K$7,$L$2:$L$7,,,"Actual360","LogLinear",TRUE)</f>
        <v>QSObject:ContextInput:w1~input.qs_context_add_curve.2359132437744.9330.3.0:31510</v>
      </c>
      <c r="E9331" s="6" t="str">
        <f>_xll.QS.INSTRUMENT.SWAP("swap.9329",H9331,B9331,"USD","SOFR",I9331,J9331,0,"Actual360","Simple","Annual","Annual","Annual")</f>
        <v>QSObject:Swap:w1~swap.9329:544</v>
      </c>
      <c r="F9331" s="6" t="str">
        <f>_xll.QS.TRADE.CREATE("trade.9329",E9331,A9331,"Receive")</f>
        <v>QSObject:SwapTrade:w1~trade.9329:22450</v>
      </c>
      <c r="G9331" s="3">
        <f>_xll.QS.EVALUATE(C9331,F9331)</f>
        <v>52290.501820068399</v>
      </c>
      <c r="H9331" s="5" t="s">
        <v>9372</v>
      </c>
      <c r="I9331" s="7">
        <v>1932900</v>
      </c>
      <c r="J9331" s="8">
        <v>3.7900000000000003E-2</v>
      </c>
    </row>
    <row r="9332" spans="1:10" x14ac:dyDescent="0.25">
      <c r="A9332" s="5" t="s">
        <v>9366</v>
      </c>
      <c r="B9332" s="5" t="s">
        <v>11199</v>
      </c>
      <c r="C9332" s="6" t="str">
        <f>_xll.QS.CONTEXT.CREATE("market.9330",A9332,"USD","SOFR")</f>
        <v>QSObject:PricingContext:w1~market.9330:543</v>
      </c>
      <c r="D9332" s="6" t="str">
        <f>_xll.QS.CONTEXT.ADD.CURVE(C9332,"SOFR",$K$2:$K$7,$L$2:$L$7,,,"Actual360","LogLinear",TRUE)</f>
        <v>QSObject:ContextInput:w1~input.qs_context_add_curve.2359132437744.9331.3.0:31509</v>
      </c>
      <c r="E9332" s="6" t="str">
        <f>_xll.QS.INSTRUMENT.SWAP("swap.9330",H9332,B9332,"USD","SOFR",I9332,J9332,0,"Actual360","Simple","Annual","Annual","Annual")</f>
        <v>QSObject:Swap:w1~swap.9330:542</v>
      </c>
      <c r="F9332" s="6" t="str">
        <f>_xll.QS.TRADE.CREATE("trade.9330",E9332,A9332,"Receive")</f>
        <v>QSObject:SwapTrade:w1~trade.9330:22449</v>
      </c>
      <c r="G9332" s="3">
        <f>_xll.QS.EVALUATE(C9332,F9332)</f>
        <v>53189.055514780739</v>
      </c>
      <c r="H9332" s="5" t="s">
        <v>9373</v>
      </c>
      <c r="I9332" s="7">
        <v>1933000</v>
      </c>
      <c r="J9332" s="8">
        <v>3.8000000000000013E-2</v>
      </c>
    </row>
    <row r="9333" spans="1:10" x14ac:dyDescent="0.25">
      <c r="A9333" s="5" t="s">
        <v>9367</v>
      </c>
      <c r="B9333" s="5" t="s">
        <v>11200</v>
      </c>
      <c r="C9333" s="6" t="str">
        <f>_xll.QS.CONTEXT.CREATE("market.9331",A9333,"USD","SOFR")</f>
        <v>QSObject:PricingContext:w1~market.9331:541</v>
      </c>
      <c r="D9333" s="6" t="str">
        <f>_xll.QS.CONTEXT.ADD.CURVE(C9333,"SOFR",$K$2:$K$7,$L$2:$L$7,,,"Actual360","LogLinear",TRUE)</f>
        <v>QSObject:ContextInput:w1~input.qs_context_add_curve.2359132437744.9332.3.0:31508</v>
      </c>
      <c r="E9333" s="6" t="str">
        <f>_xll.QS.INSTRUMENT.SWAP("swap.9331",H9333,B9333,"USD","SOFR",I9333,J9333,0,"Actual360","Simple","Annual","Annual","Annual")</f>
        <v>QSObject:Swap:w1~swap.9331:540</v>
      </c>
      <c r="F9333" s="6" t="str">
        <f>_xll.QS.TRADE.CREATE("trade.9331",E9333,A9333,"Receive")</f>
        <v>QSObject:SwapTrade:w1~trade.9331:22448</v>
      </c>
      <c r="G9333" s="3">
        <f>_xll.QS.EVALUATE(C9333,F9333)</f>
        <v>54165.339334161792</v>
      </c>
      <c r="H9333" s="5" t="s">
        <v>9374</v>
      </c>
      <c r="I9333" s="7">
        <v>1933100</v>
      </c>
      <c r="J9333" s="8">
        <v>3.8100000000000002E-2</v>
      </c>
    </row>
    <row r="9334" spans="1:10" x14ac:dyDescent="0.25">
      <c r="A9334" s="5" t="s">
        <v>9368</v>
      </c>
      <c r="B9334" s="5" t="s">
        <v>11201</v>
      </c>
      <c r="C9334" s="6" t="str">
        <f>_xll.QS.CONTEXT.CREATE("market.9332",A9334,"USD","SOFR")</f>
        <v>QSObject:PricingContext:w1~market.9332:539</v>
      </c>
      <c r="D9334" s="6" t="str">
        <f>_xll.QS.CONTEXT.ADD.CURVE(C9334,"SOFR",$K$2:$K$7,$L$2:$L$7,,,"Actual360","LogLinear",TRUE)</f>
        <v>QSObject:ContextInput:w1~input.qs_context_add_curve.2359132437744.9333.3.0:31507</v>
      </c>
      <c r="E9334" s="6" t="str">
        <f>_xll.QS.INSTRUMENT.SWAP("swap.9332",H9334,B9334,"USD","SOFR",I9334,J9334,0,"Actual360","Simple","Annual","Annual","Annual")</f>
        <v>QSObject:Swap:w1~swap.9332:538</v>
      </c>
      <c r="F9334" s="6" t="str">
        <f>_xll.QS.TRADE.CREATE("trade.9332",E9334,A9334,"Receive")</f>
        <v>QSObject:SwapTrade:w1~trade.9332:22447</v>
      </c>
      <c r="G9334" s="3">
        <f>_xll.QS.EVALUATE(C9334,F9334)</f>
        <v>55201.410265292237</v>
      </c>
      <c r="H9334" s="5" t="s">
        <v>9375</v>
      </c>
      <c r="I9334" s="7">
        <v>1933200</v>
      </c>
      <c r="J9334" s="8">
        <v>3.8199999999999998E-2</v>
      </c>
    </row>
    <row r="9335" spans="1:10" x14ac:dyDescent="0.25">
      <c r="A9335" s="5" t="s">
        <v>9369</v>
      </c>
      <c r="B9335" s="5" t="s">
        <v>11202</v>
      </c>
      <c r="C9335" s="6" t="str">
        <f>_xll.QS.CONTEXT.CREATE("market.9333",A9335,"USD","SOFR")</f>
        <v>QSObject:PricingContext:w1~market.9333:537</v>
      </c>
      <c r="D9335" s="6" t="str">
        <f>_xll.QS.CONTEXT.ADD.CURVE(C9335,"SOFR",$K$2:$K$7,$L$2:$L$7,,,"Actual360","LogLinear",TRUE)</f>
        <v>QSObject:ContextInput:w1~input.qs_context_add_curve.2359132437744.9334.3.0:31506</v>
      </c>
      <c r="E9335" s="6" t="str">
        <f>_xll.QS.INSTRUMENT.SWAP("swap.9333",H9335,B9335,"USD","SOFR",I9335,J9335,0,"Actual360","Simple","Annual","Annual","Annual")</f>
        <v>QSObject:Swap:w1~swap.9333:536</v>
      </c>
      <c r="F9335" s="6" t="str">
        <f>_xll.QS.TRADE.CREATE("trade.9333",E9335,A9335,"Receive")</f>
        <v>QSObject:SwapTrade:w1~trade.9333:22446</v>
      </c>
      <c r="G9335" s="3">
        <f>_xll.QS.EVALUATE(C9335,F9335)</f>
        <v>56095.921652984121</v>
      </c>
      <c r="H9335" s="5" t="s">
        <v>9376</v>
      </c>
      <c r="I9335" s="7">
        <v>1933300</v>
      </c>
      <c r="J9335" s="8">
        <v>3.8300000000000001E-2</v>
      </c>
    </row>
    <row r="9336" spans="1:10" x14ac:dyDescent="0.25">
      <c r="A9336" s="5" t="s">
        <v>9370</v>
      </c>
      <c r="B9336" s="5" t="s">
        <v>11203</v>
      </c>
      <c r="C9336" s="6" t="str">
        <f>_xll.QS.CONTEXT.CREATE("market.9334",A9336,"USD","SOFR")</f>
        <v>QSObject:PricingContext:w1~market.9334:535</v>
      </c>
      <c r="D9336" s="6" t="str">
        <f>_xll.QS.CONTEXT.ADD.CURVE(C9336,"SOFR",$K$2:$K$7,$L$2:$L$7,,,"Actual360","LogLinear",TRUE)</f>
        <v>QSObject:ContextInput:w1~input.qs_context_add_curve.2359132437744.9335.3.0:31505</v>
      </c>
      <c r="E9336" s="6" t="str">
        <f>_xll.QS.INSTRUMENT.SWAP("swap.9334",H9336,B9336,"USD","SOFR",I9336,J9336,0,"Actual360","Simple","Annual","Annual","Annual")</f>
        <v>QSObject:Swap:w1~swap.9334:534</v>
      </c>
      <c r="F9336" s="6" t="str">
        <f>_xll.QS.TRADE.CREATE("trade.9334",E9336,A9336,"Receive")</f>
        <v>QSObject:SwapTrade:w1~trade.9334:22445</v>
      </c>
      <c r="G9336" s="3">
        <f>_xll.QS.EVALUATE(C9336,F9336)</f>
        <v>57001.596356798516</v>
      </c>
      <c r="H9336" s="5" t="s">
        <v>9377</v>
      </c>
      <c r="I9336" s="7">
        <v>1933400</v>
      </c>
      <c r="J9336" s="8">
        <v>3.8399999999999997E-2</v>
      </c>
    </row>
    <row r="9337" spans="1:10" x14ac:dyDescent="0.25">
      <c r="A9337" s="5" t="s">
        <v>9371</v>
      </c>
      <c r="B9337" s="5" t="s">
        <v>11204</v>
      </c>
      <c r="C9337" s="6" t="str">
        <f>_xll.QS.CONTEXT.CREATE("market.9335",A9337,"USD","SOFR")</f>
        <v>QSObject:PricingContext:w1~market.9335:533</v>
      </c>
      <c r="D9337" s="6" t="str">
        <f>_xll.QS.CONTEXT.ADD.CURVE(C9337,"SOFR",$K$2:$K$7,$L$2:$L$7,,,"Actual360","LogLinear",TRUE)</f>
        <v>QSObject:ContextInput:w1~input.qs_context_add_curve.2359132437744.9336.3.0:31504</v>
      </c>
      <c r="E9337" s="6" t="str">
        <f>_xll.QS.INSTRUMENT.SWAP("swap.9335",H9337,B9337,"USD","SOFR",I9337,J9337,0,"Actual360","Simple","Annual","Annual","Annual")</f>
        <v>QSObject:Swap:w1~swap.9335:532</v>
      </c>
      <c r="F9337" s="6" t="str">
        <f>_xll.QS.TRADE.CREATE("trade.9335",E9337,A9337,"Receive")</f>
        <v>QSObject:SwapTrade:w1~trade.9335:22444</v>
      </c>
      <c r="G9337" s="3">
        <f>_xll.QS.EVALUATE(C9337,F9337)</f>
        <v>57896.989922857196</v>
      </c>
      <c r="H9337" s="5" t="s">
        <v>9378</v>
      </c>
      <c r="I9337" s="7">
        <v>1933500</v>
      </c>
      <c r="J9337" s="8">
        <v>3.8500000000000013E-2</v>
      </c>
    </row>
    <row r="9338" spans="1:10" x14ac:dyDescent="0.25">
      <c r="A9338" s="5" t="s">
        <v>9372</v>
      </c>
      <c r="B9338" s="5" t="s">
        <v>11205</v>
      </c>
      <c r="C9338" s="6" t="str">
        <f>_xll.QS.CONTEXT.CREATE("market.9336",A9338,"USD","SOFR")</f>
        <v>QSObject:PricingContext:w1~market.9336:531</v>
      </c>
      <c r="D9338" s="6" t="str">
        <f>_xll.QS.CONTEXT.ADD.CURVE(C9338,"SOFR",$K$2:$K$7,$L$2:$L$7,,,"Actual360","LogLinear",TRUE)</f>
        <v>QSObject:ContextInput:w1~input.qs_context_add_curve.2359132437744.9337.3.0:31503</v>
      </c>
      <c r="E9338" s="6" t="str">
        <f>_xll.QS.INSTRUMENT.SWAP("swap.9336",H9338,B9338,"USD","SOFR",I9338,J9338,0,"Actual360","Simple","Annual","Annual","Annual")</f>
        <v>QSObject:Swap:w1~swap.9336:530</v>
      </c>
      <c r="F9338" s="6" t="str">
        <f>_xll.QS.TRADE.CREATE("trade.9336",E9338,A9338,"Receive")</f>
        <v>QSObject:SwapTrade:w1~trade.9336:22443</v>
      </c>
      <c r="G9338" s="3">
        <f>_xll.QS.EVALUATE(C9338,F9338)</f>
        <v>58552.926752956053</v>
      </c>
      <c r="H9338" s="5" t="s">
        <v>9379</v>
      </c>
      <c r="I9338" s="7">
        <v>1933600</v>
      </c>
      <c r="J9338" s="8">
        <v>3.8600000000000002E-2</v>
      </c>
    </row>
    <row r="9339" spans="1:10" x14ac:dyDescent="0.25">
      <c r="A9339" s="5" t="s">
        <v>9373</v>
      </c>
      <c r="B9339" s="5" t="s">
        <v>11206</v>
      </c>
      <c r="C9339" s="6" t="str">
        <f>_xll.QS.CONTEXT.CREATE("market.9337",A9339,"USD","SOFR")</f>
        <v>QSObject:PricingContext:w1~market.9337:529</v>
      </c>
      <c r="D9339" s="6" t="str">
        <f>_xll.QS.CONTEXT.ADD.CURVE(C9339,"SOFR",$K$2:$K$7,$L$2:$L$7,,,"Actual360","LogLinear",TRUE)</f>
        <v>QSObject:ContextInput:w1~input.qs_context_add_curve.2359132437744.9338.3.0:31502</v>
      </c>
      <c r="E9339" s="6" t="str">
        <f>_xll.QS.INSTRUMENT.SWAP("swap.9337",H9339,B9339,"USD","SOFR",I9339,J9339,0,"Actual360","Simple","Annual","Annual","Annual")</f>
        <v>QSObject:Swap:w1~swap.9337:528</v>
      </c>
      <c r="F9339" s="6" t="str">
        <f>_xll.QS.TRADE.CREATE("trade.9337",E9339,A9339,"Receive")</f>
        <v>QSObject:SwapTrade:w1~trade.9337:22442</v>
      </c>
      <c r="G9339" s="3">
        <f>_xll.QS.EVALUATE(C9339,F9339)</f>
        <v>59452.65141151518</v>
      </c>
      <c r="H9339" s="5" t="s">
        <v>9380</v>
      </c>
      <c r="I9339" s="7">
        <v>1933700</v>
      </c>
      <c r="J9339" s="8">
        <v>3.8700000000000012E-2</v>
      </c>
    </row>
    <row r="9340" spans="1:10" x14ac:dyDescent="0.25">
      <c r="A9340" s="5" t="s">
        <v>9374</v>
      </c>
      <c r="B9340" s="5" t="s">
        <v>11207</v>
      </c>
      <c r="C9340" s="6" t="str">
        <f>_xll.QS.CONTEXT.CREATE("market.9338",A9340,"USD","SOFR")</f>
        <v>QSObject:PricingContext:w1~market.9338:527</v>
      </c>
      <c r="D9340" s="6" t="str">
        <f>_xll.QS.CONTEXT.ADD.CURVE(C9340,"SOFR",$K$2:$K$7,$L$2:$L$7,,,"Actual360","LogLinear",TRUE)</f>
        <v>QSObject:ContextInput:w1~input.qs_context_add_curve.2359132437744.9339.3.0:31501</v>
      </c>
      <c r="E9340" s="6" t="str">
        <f>_xll.QS.INSTRUMENT.SWAP("swap.9338",H9340,B9340,"USD","SOFR",I9340,J9340,0,"Actual360","Simple","Annual","Annual","Annual")</f>
        <v>QSObject:Swap:w1~swap.9338:526</v>
      </c>
      <c r="F9340" s="6" t="str">
        <f>_xll.QS.TRADE.CREATE("trade.9338",E9340,A9340,"Receive")</f>
        <v>QSObject:SwapTrade:w1~trade.9338:22441</v>
      </c>
      <c r="G9340" s="3">
        <f>_xll.QS.EVALUATE(C9340,F9340)</f>
        <v>60430.221585460095</v>
      </c>
      <c r="H9340" s="5" t="s">
        <v>9381</v>
      </c>
      <c r="I9340" s="7">
        <v>1933800</v>
      </c>
      <c r="J9340" s="8">
        <v>3.8800000000000001E-2</v>
      </c>
    </row>
    <row r="9341" spans="1:10" x14ac:dyDescent="0.25">
      <c r="A9341" s="5" t="s">
        <v>9375</v>
      </c>
      <c r="B9341" s="5" t="s">
        <v>11208</v>
      </c>
      <c r="C9341" s="6" t="str">
        <f>_xll.QS.CONTEXT.CREATE("market.9339",A9341,"USD","SOFR")</f>
        <v>QSObject:PricingContext:w1~market.9339:525</v>
      </c>
      <c r="D9341" s="6" t="str">
        <f>_xll.QS.CONTEXT.ADD.CURVE(C9341,"SOFR",$K$2:$K$7,$L$2:$L$7,,,"Actual360","LogLinear",TRUE)</f>
        <v>QSObject:ContextInput:w1~input.qs_context_add_curve.2359132437744.9340.3.0:31500</v>
      </c>
      <c r="E9341" s="6" t="str">
        <f>_xll.QS.INSTRUMENT.SWAP("swap.9339",H9341,B9341,"USD","SOFR",I9341,J9341,0,"Actual360","Simple","Annual","Annual","Annual")</f>
        <v>QSObject:Swap:w1~swap.9339:524</v>
      </c>
      <c r="F9341" s="6" t="str">
        <f>_xll.QS.TRADE.CREATE("trade.9339",E9341,A9341,"Receive")</f>
        <v>QSObject:SwapTrade:w1~trade.9339:22440</v>
      </c>
      <c r="G9341" s="3">
        <f>_xll.QS.EVALUATE(C9341,F9341)</f>
        <v>61467.772761265209</v>
      </c>
      <c r="H9341" s="5" t="s">
        <v>9382</v>
      </c>
      <c r="I9341" s="7">
        <v>1933900</v>
      </c>
      <c r="J9341" s="8">
        <v>3.8899999999999997E-2</v>
      </c>
    </row>
    <row r="9342" spans="1:10" x14ac:dyDescent="0.25">
      <c r="A9342" s="5" t="s">
        <v>9376</v>
      </c>
      <c r="B9342" s="5" t="s">
        <v>11209</v>
      </c>
      <c r="C9342" s="6" t="str">
        <f>_xll.QS.CONTEXT.CREATE("market.9340",A9342,"USD","SOFR")</f>
        <v>QSObject:PricingContext:w1~market.9340:523</v>
      </c>
      <c r="D9342" s="6" t="str">
        <f>_xll.QS.CONTEXT.ADD.CURVE(C9342,"SOFR",$K$2:$K$7,$L$2:$L$7,,,"Actual360","LogLinear",TRUE)</f>
        <v>QSObject:ContextInput:w1~input.qs_context_add_curve.2359132437744.9341.3.0:31499</v>
      </c>
      <c r="E9342" s="6" t="str">
        <f>_xll.QS.INSTRUMENT.SWAP("swap.9340",H9342,B9342,"USD","SOFR",I9342,J9342,0,"Actual360","Simple","Annual","Annual","Annual")</f>
        <v>QSObject:Swap:w1~swap.9340:522</v>
      </c>
      <c r="F9342" s="6" t="str">
        <f>_xll.QS.TRADE.CREATE("trade.9340",E9342,A9342,"Receive")</f>
        <v>QSObject:SwapTrade:w1~trade.9340:22439</v>
      </c>
      <c r="G9342" s="3">
        <f>_xll.QS.EVALUATE(C9342,F9342)</f>
        <v>62362.956681719334</v>
      </c>
      <c r="H9342" s="5" t="s">
        <v>9383</v>
      </c>
      <c r="I9342" s="7">
        <v>1934000</v>
      </c>
      <c r="J9342" s="8">
        <v>3.9000000000000007E-2</v>
      </c>
    </row>
    <row r="9343" spans="1:10" x14ac:dyDescent="0.25">
      <c r="A9343" s="5" t="s">
        <v>9377</v>
      </c>
      <c r="B9343" s="5" t="s">
        <v>11210</v>
      </c>
      <c r="C9343" s="6" t="str">
        <f>_xll.QS.CONTEXT.CREATE("market.9341",A9343,"USD","SOFR")</f>
        <v>QSObject:PricingContext:w1~market.9341:521</v>
      </c>
      <c r="D9343" s="6" t="str">
        <f>_xll.QS.CONTEXT.ADD.CURVE(C9343,"SOFR",$K$2:$K$7,$L$2:$L$7,,,"Actual360","LogLinear",TRUE)</f>
        <v>QSObject:ContextInput:w1~input.qs_context_add_curve.2359132437744.9342.3.0:31498</v>
      </c>
      <c r="E9343" s="6" t="str">
        <f>_xll.QS.INSTRUMENT.SWAP("swap.9341",H9343,B9343,"USD","SOFR",I9343,J9343,0,"Actual360","Simple","Annual","Annual","Annual")</f>
        <v>QSObject:Swap:w1~swap.9341:520</v>
      </c>
      <c r="F9343" s="6" t="str">
        <f>_xll.QS.TRADE.CREATE("trade.9341",E9343,A9343,"Receive")</f>
        <v>QSObject:SwapTrade:w1~trade.9341:22438</v>
      </c>
      <c r="G9343" s="3">
        <f>_xll.QS.EVALUATE(C9343,F9343)</f>
        <v>63268.192024837626</v>
      </c>
      <c r="H9343" s="5" t="s">
        <v>9384</v>
      </c>
      <c r="I9343" s="7">
        <v>1934100</v>
      </c>
      <c r="J9343" s="8">
        <v>3.9100000000000003E-2</v>
      </c>
    </row>
    <row r="9344" spans="1:10" x14ac:dyDescent="0.25">
      <c r="A9344" s="5" t="s">
        <v>9378</v>
      </c>
      <c r="B9344" s="5" t="s">
        <v>11211</v>
      </c>
      <c r="C9344" s="6" t="str">
        <f>_xll.QS.CONTEXT.CREATE("market.9342",A9344,"USD","SOFR")</f>
        <v>QSObject:PricingContext:w1~market.9342:519</v>
      </c>
      <c r="D9344" s="6" t="str">
        <f>_xll.QS.CONTEXT.ADD.CURVE(C9344,"SOFR",$K$2:$K$7,$L$2:$L$7,,,"Actual360","LogLinear",TRUE)</f>
        <v>QSObject:ContextInput:w1~input.qs_context_add_curve.2359132437744.9343.3.0:31497</v>
      </c>
      <c r="E9344" s="6" t="str">
        <f>_xll.QS.INSTRUMENT.SWAP("swap.9342",H9344,B9344,"USD","SOFR",I9344,J9344,0,"Actual360","Simple","Annual","Annual","Annual")</f>
        <v>QSObject:Swap:w1~swap.9342:518</v>
      </c>
      <c r="F9344" s="6" t="str">
        <f>_xll.QS.TRADE.CREATE("trade.9342",E9344,A9344,"Receive")</f>
        <v>QSObject:SwapTrade:w1~trade.9342:22437</v>
      </c>
      <c r="G9344" s="3">
        <f>_xll.QS.EVALUATE(C9344,F9344)</f>
        <v>64165.521763858058</v>
      </c>
      <c r="H9344" s="5" t="s">
        <v>9385</v>
      </c>
      <c r="I9344" s="7">
        <v>1934200</v>
      </c>
      <c r="J9344" s="8">
        <v>3.9200000000000013E-2</v>
      </c>
    </row>
    <row r="9345" spans="1:10" x14ac:dyDescent="0.25">
      <c r="A9345" s="5" t="s">
        <v>9379</v>
      </c>
      <c r="B9345" s="5" t="s">
        <v>11212</v>
      </c>
      <c r="C9345" s="6" t="str">
        <f>_xll.QS.CONTEXT.CREATE("market.9343",A9345,"USD","SOFR")</f>
        <v>QSObject:PricingContext:w1~market.9343:517</v>
      </c>
      <c r="D9345" s="6" t="str">
        <f>_xll.QS.CONTEXT.ADD.CURVE(C9345,"SOFR",$K$2:$K$7,$L$2:$L$7,,,"Actual360","LogLinear",TRUE)</f>
        <v>QSObject:ContextInput:w1~input.qs_context_add_curve.2359132437744.9344.3.0:31496</v>
      </c>
      <c r="E9345" s="6" t="str">
        <f>_xll.QS.INSTRUMENT.SWAP("swap.9343",H9345,B9345,"USD","SOFR",I9345,J9345,0,"Actual360","Simple","Annual","Annual","Annual")</f>
        <v>QSObject:Swap:w1~swap.9343:516</v>
      </c>
      <c r="F9345" s="6" t="str">
        <f>_xll.QS.TRADE.CREATE("trade.9343",E9345,A9345,"Receive")</f>
        <v>QSObject:SwapTrade:w1~trade.9343:22436</v>
      </c>
      <c r="G9345" s="3">
        <f>_xll.QS.EVALUATE(C9345,F9345)</f>
        <v>64819.872208748282</v>
      </c>
      <c r="H9345" s="5" t="s">
        <v>9386</v>
      </c>
      <c r="I9345" s="7">
        <v>1934300</v>
      </c>
      <c r="J9345" s="8">
        <v>3.9300000000000002E-2</v>
      </c>
    </row>
    <row r="9346" spans="1:10" x14ac:dyDescent="0.25">
      <c r="A9346" s="5" t="s">
        <v>9380</v>
      </c>
      <c r="B9346" s="5" t="s">
        <v>11213</v>
      </c>
      <c r="C9346" s="6" t="str">
        <f>_xll.QS.CONTEXT.CREATE("market.9344",A9346,"USD","SOFR")</f>
        <v>QSObject:PricingContext:w1~market.9344:515</v>
      </c>
      <c r="D9346" s="6" t="str">
        <f>_xll.QS.CONTEXT.ADD.CURVE(C9346,"SOFR",$K$2:$K$7,$L$2:$L$7,,,"Actual360","LogLinear",TRUE)</f>
        <v>QSObject:ContextInput:w1~input.qs_context_add_curve.2359132437744.9345.3.0:31495</v>
      </c>
      <c r="E9346" s="6" t="str">
        <f>_xll.QS.INSTRUMENT.SWAP("swap.9344",H9346,B9346,"USD","SOFR",I9346,J9346,0,"Actual360","Simple","Annual","Annual","Annual")</f>
        <v>QSObject:Swap:w1~swap.9344:514</v>
      </c>
      <c r="F9346" s="6" t="str">
        <f>_xll.QS.TRADE.CREATE("trade.9344",E9346,A9346,"Receive")</f>
        <v>QSObject:SwapTrade:w1~trade.9344:22435</v>
      </c>
      <c r="G9346" s="3">
        <f>_xll.QS.EVALUATE(C9346,F9346)</f>
        <v>65720.768210280541</v>
      </c>
      <c r="H9346" s="5" t="s">
        <v>9387</v>
      </c>
      <c r="I9346" s="7">
        <v>1934400</v>
      </c>
      <c r="J9346" s="8">
        <v>3.9399999999999998E-2</v>
      </c>
    </row>
    <row r="9347" spans="1:10" x14ac:dyDescent="0.25">
      <c r="A9347" s="5" t="s">
        <v>9381</v>
      </c>
      <c r="B9347" s="5" t="s">
        <v>11214</v>
      </c>
      <c r="C9347" s="6" t="str">
        <f>_xll.QS.CONTEXT.CREATE("market.9345",A9347,"USD","SOFR")</f>
        <v>QSObject:PricingContext:w1~market.9345:513</v>
      </c>
      <c r="D9347" s="6" t="str">
        <f>_xll.QS.CONTEXT.ADD.CURVE(C9347,"SOFR",$K$2:$K$7,$L$2:$L$7,,,"Actual360","LogLinear",TRUE)</f>
        <v>QSObject:ContextInput:w1~input.qs_context_add_curve.2359132437744.9346.3.0:31494</v>
      </c>
      <c r="E9347" s="6" t="str">
        <f>_xll.QS.INSTRUMENT.SWAP("swap.9345",H9347,B9347,"USD","SOFR",I9347,J9347,0,"Actual360","Simple","Annual","Annual","Annual")</f>
        <v>QSObject:Swap:w1~swap.9345:512</v>
      </c>
      <c r="F9347" s="6" t="str">
        <f>_xll.QS.TRADE.CREATE("trade.9345",E9347,A9347,"Receive")</f>
        <v>QSObject:SwapTrade:w1~trade.9345:22434</v>
      </c>
      <c r="G9347" s="3">
        <f>_xll.QS.EVALUATE(C9347,F9347)</f>
        <v>66699.62518106171</v>
      </c>
      <c r="H9347" s="5" t="s">
        <v>9388</v>
      </c>
      <c r="I9347" s="7">
        <v>1934500</v>
      </c>
      <c r="J9347" s="8">
        <v>3.9500000000000007E-2</v>
      </c>
    </row>
    <row r="9348" spans="1:10" x14ac:dyDescent="0.25">
      <c r="A9348" s="5" t="s">
        <v>9382</v>
      </c>
      <c r="B9348" s="5" t="s">
        <v>11215</v>
      </c>
      <c r="C9348" s="6" t="str">
        <f>_xll.QS.CONTEXT.CREATE("market.9346",A9348,"USD","SOFR")</f>
        <v>QSObject:PricingContext:w1~market.9346:511</v>
      </c>
      <c r="D9348" s="6" t="str">
        <f>_xll.QS.CONTEXT.ADD.CURVE(C9348,"SOFR",$K$2:$K$7,$L$2:$L$7,,,"Actual360","LogLinear",TRUE)</f>
        <v>QSObject:ContextInput:w1~input.qs_context_add_curve.2359132437744.9347.3.0:31493</v>
      </c>
      <c r="E9348" s="6" t="str">
        <f>_xll.QS.INSTRUMENT.SWAP("swap.9346",H9348,B9348,"USD","SOFR",I9348,J9348,0,"Actual360","Simple","Annual","Annual","Annual")</f>
        <v>QSObject:Swap:w1~swap.9346:510</v>
      </c>
      <c r="F9348" s="6" t="str">
        <f>_xll.QS.TRADE.CREATE("trade.9346",E9348,A9348,"Receive")</f>
        <v>QSObject:SwapTrade:w1~trade.9346:22433</v>
      </c>
      <c r="G9348" s="3">
        <f>_xll.QS.EVALUATE(C9348,F9348)</f>
        <v>67737.275798667717</v>
      </c>
      <c r="H9348" s="5" t="s">
        <v>9389</v>
      </c>
      <c r="I9348" s="7">
        <v>1934600</v>
      </c>
      <c r="J9348" s="8">
        <v>3.9600000000000003E-2</v>
      </c>
    </row>
    <row r="9349" spans="1:10" x14ac:dyDescent="0.25">
      <c r="A9349" s="5" t="s">
        <v>9383</v>
      </c>
      <c r="B9349" s="5" t="s">
        <v>11216</v>
      </c>
      <c r="C9349" s="6" t="str">
        <f>_xll.QS.CONTEXT.CREATE("market.9347",A9349,"USD","SOFR")</f>
        <v>QSObject:PricingContext:w1~market.9347:509</v>
      </c>
      <c r="D9349" s="6" t="str">
        <f>_xll.QS.CONTEXT.ADD.CURVE(C9349,"SOFR",$K$2:$K$7,$L$2:$L$7,,,"Actual360","LogLinear",TRUE)</f>
        <v>QSObject:ContextInput:w1~input.qs_context_add_curve.2359132437744.9348.3.0:31492</v>
      </c>
      <c r="E9349" s="6" t="str">
        <f>_xll.QS.INSTRUMENT.SWAP("swap.9347",H9349,B9349,"USD","SOFR",I9349,J9349,0,"Actual360","Simple","Annual","Annual","Annual")</f>
        <v>QSObject:Swap:w1~swap.9347:508</v>
      </c>
      <c r="F9349" s="6" t="str">
        <f>_xll.QS.TRADE.CREATE("trade.9347",E9349,A9349,"Receive")</f>
        <v>QSObject:SwapTrade:w1~trade.9347:22432</v>
      </c>
      <c r="G9349" s="3">
        <f>_xll.QS.EVALUATE(C9349,F9349)</f>
        <v>68633.054171631549</v>
      </c>
      <c r="H9349" s="5" t="s">
        <v>9390</v>
      </c>
      <c r="I9349" s="7">
        <v>1934700</v>
      </c>
      <c r="J9349" s="8">
        <v>3.9700000000000013E-2</v>
      </c>
    </row>
    <row r="9350" spans="1:10" x14ac:dyDescent="0.25">
      <c r="A9350" s="5" t="s">
        <v>9384</v>
      </c>
      <c r="B9350" s="5" t="s">
        <v>11217</v>
      </c>
      <c r="C9350" s="6" t="str">
        <f>_xll.QS.CONTEXT.CREATE("market.9348",A9350,"USD","SOFR")</f>
        <v>QSObject:PricingContext:w1~market.9348:507</v>
      </c>
      <c r="D9350" s="6" t="str">
        <f>_xll.QS.CONTEXT.ADD.CURVE(C9350,"SOFR",$K$2:$K$7,$L$2:$L$7,,,"Actual360","LogLinear",TRUE)</f>
        <v>QSObject:ContextInput:w1~input.qs_context_add_curve.2359132437744.9349.3.0:31491</v>
      </c>
      <c r="E9350" s="6" t="str">
        <f>_xll.QS.INSTRUMENT.SWAP("swap.9348",H9350,B9350,"USD","SOFR",I9350,J9350,0,"Actual360","Simple","Annual","Annual","Annual")</f>
        <v>QSObject:Swap:w1~swap.9348:506</v>
      </c>
      <c r="F9350" s="6" t="str">
        <f>_xll.QS.TRADE.CREATE("trade.9348",E9350,A9350,"Receive")</f>
        <v>QSObject:SwapTrade:w1~trade.9348:22431</v>
      </c>
      <c r="G9350" s="3">
        <f>_xll.QS.EVALUATE(C9350,F9350)</f>
        <v>69539.68609135224</v>
      </c>
      <c r="H9350" s="5" t="s">
        <v>9391</v>
      </c>
      <c r="I9350" s="7">
        <v>1934800</v>
      </c>
      <c r="J9350" s="8">
        <v>3.9800000000000002E-2</v>
      </c>
    </row>
    <row r="9351" spans="1:10" x14ac:dyDescent="0.25">
      <c r="A9351" s="5" t="s">
        <v>9385</v>
      </c>
      <c r="B9351" s="5" t="s">
        <v>11218</v>
      </c>
      <c r="C9351" s="6" t="str">
        <f>_xll.QS.CONTEXT.CREATE("market.9349",A9351,"USD","SOFR")</f>
        <v>QSObject:PricingContext:w1~market.9349:505</v>
      </c>
      <c r="D9351" s="6" t="str">
        <f>_xll.QS.CONTEXT.ADD.CURVE(C9351,"SOFR",$K$2:$K$7,$L$2:$L$7,,,"Actual360","LogLinear",TRUE)</f>
        <v>QSObject:ContextInput:w1~input.qs_context_add_curve.2359132437744.9350.3.0:31490</v>
      </c>
      <c r="E9351" s="6" t="str">
        <f>_xll.QS.INSTRUMENT.SWAP("swap.9349",H9351,B9351,"USD","SOFR",I9351,J9351,0,"Actual360","Simple","Annual","Annual","Annual")</f>
        <v>QSObject:Swap:w1~swap.9349:504</v>
      </c>
      <c r="F9351" s="6" t="str">
        <f>_xll.QS.TRADE.CREATE("trade.9349",E9351,A9351,"Receive")</f>
        <v>QSObject:SwapTrade:w1~trade.9349:22430</v>
      </c>
      <c r="G9351" s="3">
        <f>_xll.QS.EVALUATE(C9351,F9351)</f>
        <v>70437.686140543752</v>
      </c>
      <c r="H9351" s="5" t="s">
        <v>9392</v>
      </c>
      <c r="I9351" s="7">
        <v>1934900</v>
      </c>
      <c r="J9351" s="8">
        <v>3.9899999999999998E-2</v>
      </c>
    </row>
    <row r="9352" spans="1:10" x14ac:dyDescent="0.25">
      <c r="A9352" s="5" t="s">
        <v>9386</v>
      </c>
      <c r="B9352" s="5" t="s">
        <v>11219</v>
      </c>
      <c r="C9352" s="6" t="str">
        <f>_xll.QS.CONTEXT.CREATE("market.9350",A9352,"USD","SOFR")</f>
        <v>QSObject:PricingContext:w1~market.9350:503</v>
      </c>
      <c r="D9352" s="6" t="str">
        <f>_xll.QS.CONTEXT.ADD.CURVE(C9352,"SOFR",$K$2:$K$7,$L$2:$L$7,,,"Actual360","LogLinear",TRUE)</f>
        <v>QSObject:ContextInput:w1~input.qs_context_add_curve.2359132437744.9351.3.0:31489</v>
      </c>
      <c r="E9352" s="6" t="str">
        <f>_xll.QS.INSTRUMENT.SWAP("swap.9350",H9352,B9352,"USD","SOFR",I9352,J9352,0,"Actual360","Simple","Annual","Annual","Annual")</f>
        <v>QSObject:Swap:w1~swap.9350:502</v>
      </c>
      <c r="F9352" s="6" t="str">
        <f>_xll.QS.TRADE.CREATE("trade.9350",E9352,A9352,"Receive")</f>
        <v>QSObject:SwapTrade:w1~trade.9350:22429</v>
      </c>
      <c r="G9352" s="3">
        <f>_xll.QS.EVALUATE(C9352,F9352)</f>
        <v>26462.706448951678</v>
      </c>
      <c r="H9352" s="5" t="s">
        <v>9393</v>
      </c>
      <c r="I9352" s="7">
        <v>1935000</v>
      </c>
      <c r="J9352" s="8">
        <v>3.5000000000000003E-2</v>
      </c>
    </row>
    <row r="9353" spans="1:10" x14ac:dyDescent="0.25">
      <c r="A9353" s="5" t="s">
        <v>9387</v>
      </c>
      <c r="B9353" s="5" t="s">
        <v>11220</v>
      </c>
      <c r="C9353" s="6" t="str">
        <f>_xll.QS.CONTEXT.CREATE("market.9351",A9353,"USD","SOFR")</f>
        <v>QSObject:PricingContext:w1~market.9351:501</v>
      </c>
      <c r="D9353" s="6" t="str">
        <f>_xll.QS.CONTEXT.ADD.CURVE(C9353,"SOFR",$K$2:$K$7,$L$2:$L$7,,,"Actual360","LogLinear",TRUE)</f>
        <v>QSObject:ContextInput:w1~input.qs_context_add_curve.2359132437744.9352.3.0:31488</v>
      </c>
      <c r="E9353" s="6" t="str">
        <f>_xll.QS.INSTRUMENT.SWAP("swap.9351",H9353,B9353,"USD","SOFR",I9353,J9353,0,"Actual360","Simple","Annual","Annual","Annual")</f>
        <v>QSObject:Swap:w1~swap.9351:500</v>
      </c>
      <c r="F9353" s="6" t="str">
        <f>_xll.QS.TRADE.CREATE("trade.9351",E9353,A9353,"Receive")</f>
        <v>QSObject:SwapTrade:w1~trade.9351:22428</v>
      </c>
      <c r="G9353" s="3">
        <f>_xll.QS.EVALUATE(C9353,F9353)</f>
        <v>27358.7246859152</v>
      </c>
      <c r="H9353" s="5" t="s">
        <v>9394</v>
      </c>
      <c r="I9353" s="7">
        <v>1935100</v>
      </c>
      <c r="J9353" s="8">
        <v>3.5100000000000013E-2</v>
      </c>
    </row>
    <row r="9354" spans="1:10" x14ac:dyDescent="0.25">
      <c r="A9354" s="5" t="s">
        <v>9388</v>
      </c>
      <c r="B9354" s="5" t="s">
        <v>11221</v>
      </c>
      <c r="C9354" s="6" t="str">
        <f>_xll.QS.CONTEXT.CREATE("market.9352",A9354,"USD","SOFR")</f>
        <v>QSObject:PricingContext:w1~market.9352:499</v>
      </c>
      <c r="D9354" s="6" t="str">
        <f>_xll.QS.CONTEXT.ADD.CURVE(C9354,"SOFR",$K$2:$K$7,$L$2:$L$7,,,"Actual360","LogLinear",TRUE)</f>
        <v>QSObject:ContextInput:w1~input.qs_context_add_curve.2359132437744.9353.3.0:31487</v>
      </c>
      <c r="E9354" s="6" t="str">
        <f>_xll.QS.INSTRUMENT.SWAP("swap.9352",H9354,B9354,"USD","SOFR",I9354,J9354,0,"Actual360","Simple","Annual","Annual","Annual")</f>
        <v>QSObject:Swap:w1~swap.9352:498</v>
      </c>
      <c r="F9354" s="6" t="str">
        <f>_xll.QS.TRADE.CREATE("trade.9352",E9354,A9354,"Receive")</f>
        <v>QSObject:SwapTrade:w1~trade.9352:22427</v>
      </c>
      <c r="G9354" s="3">
        <f>_xll.QS.EVALUATE(C9354,F9354)</f>
        <v>28332.195549391196</v>
      </c>
      <c r="H9354" s="5" t="s">
        <v>9395</v>
      </c>
      <c r="I9354" s="7">
        <v>1935200</v>
      </c>
      <c r="J9354" s="8">
        <v>3.5200000000000002E-2</v>
      </c>
    </row>
    <row r="9355" spans="1:10" x14ac:dyDescent="0.25">
      <c r="A9355" s="5" t="s">
        <v>9389</v>
      </c>
      <c r="B9355" s="5" t="s">
        <v>11222</v>
      </c>
      <c r="C9355" s="6" t="str">
        <f>_xll.QS.CONTEXT.CREATE("market.9353",A9355,"USD","SOFR")</f>
        <v>QSObject:PricingContext:w1~market.9353:497</v>
      </c>
      <c r="D9355" s="6" t="str">
        <f>_xll.QS.CONTEXT.ADD.CURVE(C9355,"SOFR",$K$2:$K$7,$L$2:$L$7,,,"Actual360","LogLinear",TRUE)</f>
        <v>QSObject:ContextInput:w1~input.qs_context_add_curve.2359132437744.9354.3.0:31486</v>
      </c>
      <c r="E9355" s="6" t="str">
        <f>_xll.QS.INSTRUMENT.SWAP("swap.9353",H9355,B9355,"USD","SOFR",I9355,J9355,0,"Actual360","Simple","Annual","Annual","Annual")</f>
        <v>QSObject:Swap:w1~swap.9353:496</v>
      </c>
      <c r="F9355" s="6" t="str">
        <f>_xll.QS.TRADE.CREATE("trade.9353",E9355,A9355,"Receive")</f>
        <v>QSObject:SwapTrade:w1~trade.9353:22426</v>
      </c>
      <c r="G9355" s="3">
        <f>_xll.QS.EVALUATE(C9355,F9355)</f>
        <v>29367.66656534723</v>
      </c>
      <c r="H9355" s="5" t="s">
        <v>9396</v>
      </c>
      <c r="I9355" s="7">
        <v>1935300</v>
      </c>
      <c r="J9355" s="8">
        <v>3.5299999999999998E-2</v>
      </c>
    </row>
    <row r="9356" spans="1:10" x14ac:dyDescent="0.25">
      <c r="A9356" s="5" t="s">
        <v>9390</v>
      </c>
      <c r="B9356" s="5" t="s">
        <v>11223</v>
      </c>
      <c r="C9356" s="6" t="str">
        <f>_xll.QS.CONTEXT.CREATE("market.9354",A9356,"USD","SOFR")</f>
        <v>QSObject:PricingContext:w1~market.9354:495</v>
      </c>
      <c r="D9356" s="6" t="str">
        <f>_xll.QS.CONTEXT.ADD.CURVE(C9356,"SOFR",$K$2:$K$7,$L$2:$L$7,,,"Actual360","LogLinear",TRUE)</f>
        <v>QSObject:ContextInput:w1~input.qs_context_add_curve.2359132437744.9355.3.0:31485</v>
      </c>
      <c r="E9356" s="6" t="str">
        <f>_xll.QS.INSTRUMENT.SWAP("swap.9354",H9356,B9356,"USD","SOFR",I9356,J9356,0,"Actual360","Simple","Annual","Annual","Annual")</f>
        <v>QSObject:Swap:w1~swap.9354:494</v>
      </c>
      <c r="F9356" s="6" t="str">
        <f>_xll.QS.TRADE.CREATE("trade.9354",E9356,A9356,"Receive")</f>
        <v>QSObject:SwapTrade:w1~trade.9354:22425</v>
      </c>
      <c r="G9356" s="3">
        <f>_xll.QS.EVALUATE(C9356,F9356)</f>
        <v>30261.859548516411</v>
      </c>
      <c r="H9356" s="5" t="s">
        <v>9397</v>
      </c>
      <c r="I9356" s="7">
        <v>1935400</v>
      </c>
      <c r="J9356" s="8">
        <v>3.5400000000000001E-2</v>
      </c>
    </row>
    <row r="9357" spans="1:10" x14ac:dyDescent="0.25">
      <c r="A9357" s="5" t="s">
        <v>9391</v>
      </c>
      <c r="B9357" s="5" t="s">
        <v>11224</v>
      </c>
      <c r="C9357" s="6" t="str">
        <f>_xll.QS.CONTEXT.CREATE("market.9355",A9357,"USD","SOFR")</f>
        <v>QSObject:PricingContext:w1~market.9355:493</v>
      </c>
      <c r="D9357" s="6" t="str">
        <f>_xll.QS.CONTEXT.ADD.CURVE(C9357,"SOFR",$K$2:$K$7,$L$2:$L$7,,,"Actual360","LogLinear",TRUE)</f>
        <v>QSObject:ContextInput:w1~input.qs_context_add_curve.2359132437744.9356.3.0:31484</v>
      </c>
      <c r="E9357" s="6" t="str">
        <f>_xll.QS.INSTRUMENT.SWAP("swap.9355",H9357,B9357,"USD","SOFR",I9357,J9357,0,"Actual360","Simple","Annual","Annual","Annual")</f>
        <v>QSObject:Swap:w1~swap.9355:492</v>
      </c>
      <c r="F9357" s="6" t="str">
        <f>_xll.QS.TRADE.CREATE("trade.9355",E9357,A9357,"Receive")</f>
        <v>QSObject:SwapTrade:w1~trade.9355:22424</v>
      </c>
      <c r="G9357" s="3">
        <f>_xll.QS.EVALUATE(C9357,F9357)</f>
        <v>31166.727247086717</v>
      </c>
      <c r="H9357" s="5" t="s">
        <v>9398</v>
      </c>
      <c r="I9357" s="7">
        <v>1935500</v>
      </c>
      <c r="J9357" s="8">
        <v>3.5499999999999997E-2</v>
      </c>
    </row>
    <row r="9358" spans="1:10" x14ac:dyDescent="0.25">
      <c r="A9358" s="5" t="s">
        <v>9392</v>
      </c>
      <c r="B9358" s="5" t="s">
        <v>11225</v>
      </c>
      <c r="C9358" s="6" t="str">
        <f>_xll.QS.CONTEXT.CREATE("market.9356",A9358,"USD","SOFR")</f>
        <v>QSObject:PricingContext:w1~market.9356:491</v>
      </c>
      <c r="D9358" s="6" t="str">
        <f>_xll.QS.CONTEXT.ADD.CURVE(C9358,"SOFR",$K$2:$K$7,$L$2:$L$7,,,"Actual360","LogLinear",TRUE)</f>
        <v>QSObject:ContextInput:w1~input.qs_context_add_curve.2359132437744.9357.3.0:31483</v>
      </c>
      <c r="E9358" s="6" t="str">
        <f>_xll.QS.INSTRUMENT.SWAP("swap.9356",H9358,B9358,"USD","SOFR",I9358,J9358,0,"Actual360","Simple","Annual","Annual","Annual")</f>
        <v>QSObject:Swap:w1~swap.9356:490</v>
      </c>
      <c r="F9358" s="6" t="str">
        <f>_xll.QS.TRADE.CREATE("trade.9356",E9358,A9358,"Receive")</f>
        <v>QSObject:SwapTrade:w1~trade.9356:22423</v>
      </c>
      <c r="G9358" s="3">
        <f>_xll.QS.EVALUATE(C9358,F9358)</f>
        <v>32062.92081672277</v>
      </c>
      <c r="H9358" s="5" t="s">
        <v>9399</v>
      </c>
      <c r="I9358" s="7">
        <v>1935600</v>
      </c>
      <c r="J9358" s="8">
        <v>3.5600000000000007E-2</v>
      </c>
    </row>
    <row r="9359" spans="1:10" x14ac:dyDescent="0.25">
      <c r="A9359" s="5" t="s">
        <v>9393</v>
      </c>
      <c r="B9359" s="5" t="s">
        <v>11226</v>
      </c>
      <c r="C9359" s="6" t="str">
        <f>_xll.QS.CONTEXT.CREATE("market.9357",A9359,"USD","SOFR")</f>
        <v>QSObject:PricingContext:w1~market.9357:489</v>
      </c>
      <c r="D9359" s="6" t="str">
        <f>_xll.QS.CONTEXT.ADD.CURVE(C9359,"SOFR",$K$2:$K$7,$L$2:$L$7,,,"Actual360","LogLinear",TRUE)</f>
        <v>QSObject:ContextInput:w1~input.qs_context_add_curve.2359132437744.9358.3.0:31482</v>
      </c>
      <c r="E9359" s="6" t="str">
        <f>_xll.QS.INSTRUMENT.SWAP("swap.9357",H9359,B9359,"USD","SOFR",I9359,J9359,0,"Actual360","Simple","Annual","Annual","Annual")</f>
        <v>QSObject:Swap:w1~swap.9357:488</v>
      </c>
      <c r="F9359" s="6" t="str">
        <f>_xll.QS.TRADE.CREATE("trade.9357",E9359,A9359,"Receive")</f>
        <v>QSObject:SwapTrade:w1~trade.9357:22422</v>
      </c>
      <c r="G9359" s="3">
        <f>_xll.QS.EVALUATE(C9359,F9359)</f>
        <v>32722.548225893486</v>
      </c>
      <c r="H9359" s="5" t="s">
        <v>9400</v>
      </c>
      <c r="I9359" s="7">
        <v>1935700</v>
      </c>
      <c r="J9359" s="8">
        <v>3.5700000000000003E-2</v>
      </c>
    </row>
    <row r="9360" spans="1:10" x14ac:dyDescent="0.25">
      <c r="A9360" s="5" t="s">
        <v>9394</v>
      </c>
      <c r="B9360" s="5" t="s">
        <v>11227</v>
      </c>
      <c r="C9360" s="6" t="str">
        <f>_xll.QS.CONTEXT.CREATE("market.9358",A9360,"USD","SOFR")</f>
        <v>QSObject:PricingContext:w1~market.9358:487</v>
      </c>
      <c r="D9360" s="6" t="str">
        <f>_xll.QS.CONTEXT.ADD.CURVE(C9360,"SOFR",$K$2:$K$7,$L$2:$L$7,,,"Actual360","LogLinear",TRUE)</f>
        <v>QSObject:ContextInput:w1~input.qs_context_add_curve.2359132437744.9359.3.0:31481</v>
      </c>
      <c r="E9360" s="6" t="str">
        <f>_xll.QS.INSTRUMENT.SWAP("swap.9358",H9360,B9360,"USD","SOFR",I9360,J9360,0,"Actual360","Simple","Annual","Annual","Annual")</f>
        <v>QSObject:Swap:w1~swap.9358:486</v>
      </c>
      <c r="F9360" s="6" t="str">
        <f>_xll.QS.TRADE.CREATE("trade.9358",E9360,A9360,"Receive")</f>
        <v>QSObject:SwapTrade:w1~trade.9358:22421</v>
      </c>
      <c r="G9360" s="3">
        <f>_xll.QS.EVALUATE(C9360,F9360)</f>
        <v>33619.73721006071</v>
      </c>
      <c r="H9360" s="5" t="s">
        <v>9401</v>
      </c>
      <c r="I9360" s="7">
        <v>1935800</v>
      </c>
      <c r="J9360" s="8">
        <v>3.5800000000000012E-2</v>
      </c>
    </row>
    <row r="9361" spans="1:10" x14ac:dyDescent="0.25">
      <c r="A9361" s="5" t="s">
        <v>9395</v>
      </c>
      <c r="B9361" s="5" t="s">
        <v>11228</v>
      </c>
      <c r="C9361" s="6" t="str">
        <f>_xll.QS.CONTEXT.CREATE("market.9359",A9361,"USD","SOFR")</f>
        <v>QSObject:PricingContext:w1~market.9359:485</v>
      </c>
      <c r="D9361" s="6" t="str">
        <f>_xll.QS.CONTEXT.ADD.CURVE(C9361,"SOFR",$K$2:$K$7,$L$2:$L$7,,,"Actual360","LogLinear",TRUE)</f>
        <v>QSObject:ContextInput:w1~input.qs_context_add_curve.2359132437744.9360.3.0:31480</v>
      </c>
      <c r="E9361" s="6" t="str">
        <f>_xll.QS.INSTRUMENT.SWAP("swap.9359",H9361,B9361,"USD","SOFR",I9361,J9361,0,"Actual360","Simple","Annual","Annual","Annual")</f>
        <v>QSObject:Swap:w1~swap.9359:484</v>
      </c>
      <c r="F9361" s="6" t="str">
        <f>_xll.QS.TRADE.CREATE("trade.9359",E9361,A9361,"Receive")</f>
        <v>QSObject:SwapTrade:w1~trade.9359:22420</v>
      </c>
      <c r="G9361" s="3">
        <f>_xll.QS.EVALUATE(C9361,F9361)</f>
        <v>34594.4941753733</v>
      </c>
      <c r="H9361" s="5" t="s">
        <v>9402</v>
      </c>
      <c r="I9361" s="7">
        <v>1935900</v>
      </c>
      <c r="J9361" s="8">
        <v>3.5900000000000001E-2</v>
      </c>
    </row>
    <row r="9362" spans="1:10" x14ac:dyDescent="0.25">
      <c r="A9362" s="5" t="s">
        <v>9396</v>
      </c>
      <c r="B9362" s="5" t="s">
        <v>11229</v>
      </c>
      <c r="C9362" s="6" t="str">
        <f>_xll.QS.CONTEXT.CREATE("market.9360",A9362,"USD","SOFR")</f>
        <v>QSObject:PricingContext:w1~market.9360:483</v>
      </c>
      <c r="D9362" s="6" t="str">
        <f>_xll.QS.CONTEXT.ADD.CURVE(C9362,"SOFR",$K$2:$K$7,$L$2:$L$7,,,"Actual360","LogLinear",TRUE)</f>
        <v>QSObject:ContextInput:w1~input.qs_context_add_curve.2359132437744.9361.3.0:31479</v>
      </c>
      <c r="E9362" s="6" t="str">
        <f>_xll.QS.INSTRUMENT.SWAP("swap.9360",H9362,B9362,"USD","SOFR",I9362,J9362,0,"Actual360","Simple","Annual","Annual","Annual")</f>
        <v>QSObject:Swap:w1~swap.9360:482</v>
      </c>
      <c r="F9362" s="6" t="str">
        <f>_xll.QS.TRADE.CREATE("trade.9360",E9362,A9362,"Receive")</f>
        <v>QSObject:SwapTrade:w1~trade.9360:22419</v>
      </c>
      <c r="G9362" s="3">
        <f>_xll.QS.EVALUATE(C9362,F9362)</f>
        <v>35630.754962653031</v>
      </c>
      <c r="H9362" s="5" t="s">
        <v>9403</v>
      </c>
      <c r="I9362" s="7">
        <v>1936000</v>
      </c>
      <c r="J9362" s="8">
        <v>3.5999999999999997E-2</v>
      </c>
    </row>
    <row r="9363" spans="1:10" x14ac:dyDescent="0.25">
      <c r="A9363" s="5" t="s">
        <v>9397</v>
      </c>
      <c r="B9363" s="5" t="s">
        <v>11230</v>
      </c>
      <c r="C9363" s="6" t="str">
        <f>_xll.QS.CONTEXT.CREATE("market.9361",A9363,"USD","SOFR")</f>
        <v>QSObject:PricingContext:w1~market.9361:481</v>
      </c>
      <c r="D9363" s="6" t="str">
        <f>_xll.QS.CONTEXT.ADD.CURVE(C9363,"SOFR",$K$2:$K$7,$L$2:$L$7,,,"Actual360","LogLinear",TRUE)</f>
        <v>QSObject:ContextInput:w1~input.qs_context_add_curve.2359132437744.9362.3.0:31478</v>
      </c>
      <c r="E9363" s="6" t="str">
        <f>_xll.QS.INSTRUMENT.SWAP("swap.9361",H9363,B9363,"USD","SOFR",I9363,J9363,0,"Actual360","Simple","Annual","Annual","Annual")</f>
        <v>QSObject:Swap:w1~swap.9361:480</v>
      </c>
      <c r="F9363" s="6" t="str">
        <f>_xll.QS.TRADE.CREATE("trade.9361",E9363,A9363,"Receive")</f>
        <v>QSObject:SwapTrade:w1~trade.9361:22418</v>
      </c>
      <c r="G9363" s="3">
        <f>_xll.QS.EVALUATE(C9363,F9363)</f>
        <v>36525.581448003875</v>
      </c>
      <c r="H9363" s="5" t="s">
        <v>9404</v>
      </c>
      <c r="I9363" s="7">
        <v>1936100</v>
      </c>
      <c r="J9363" s="8">
        <v>3.61E-2</v>
      </c>
    </row>
    <row r="9364" spans="1:10" x14ac:dyDescent="0.25">
      <c r="A9364" s="5" t="s">
        <v>9398</v>
      </c>
      <c r="B9364" s="5" t="s">
        <v>11231</v>
      </c>
      <c r="C9364" s="6" t="str">
        <f>_xll.QS.CONTEXT.CREATE("market.9362",A9364,"USD","SOFR")</f>
        <v>QSObject:PricingContext:w1~market.9362:479</v>
      </c>
      <c r="D9364" s="6" t="str">
        <f>_xll.QS.CONTEXT.ADD.CURVE(C9364,"SOFR",$K$2:$K$7,$L$2:$L$7,,,"Actual360","LogLinear",TRUE)</f>
        <v>QSObject:ContextInput:w1~input.qs_context_add_curve.2359132437744.9363.3.0:31477</v>
      </c>
      <c r="E9364" s="6" t="str">
        <f>_xll.QS.INSTRUMENT.SWAP("swap.9362",H9364,B9364,"USD","SOFR",I9364,J9364,0,"Actual360","Simple","Annual","Annual","Annual")</f>
        <v>QSObject:Swap:w1~swap.9362:478</v>
      </c>
      <c r="F9364" s="6" t="str">
        <f>_xll.QS.TRADE.CREATE("trade.9362",E9364,A9364,"Receive")</f>
        <v>QSObject:SwapTrade:w1~trade.9362:22417</v>
      </c>
      <c r="G9364" s="3">
        <f>_xll.QS.EVALUATE(C9364,F9364)</f>
        <v>37431.116232695735</v>
      </c>
      <c r="H9364" s="5" t="s">
        <v>9405</v>
      </c>
      <c r="I9364" s="7">
        <v>1936200</v>
      </c>
      <c r="J9364" s="8">
        <v>3.6200000000000003E-2</v>
      </c>
    </row>
    <row r="9365" spans="1:10" x14ac:dyDescent="0.25">
      <c r="A9365" s="5" t="s">
        <v>9399</v>
      </c>
      <c r="B9365" s="5" t="s">
        <v>11232</v>
      </c>
      <c r="C9365" s="6" t="str">
        <f>_xll.QS.CONTEXT.CREATE("market.9363",A9365,"USD","SOFR")</f>
        <v>QSObject:PricingContext:w1~market.9363:477</v>
      </c>
      <c r="D9365" s="6" t="str">
        <f>_xll.QS.CONTEXT.ADD.CURVE(C9365,"SOFR",$K$2:$K$7,$L$2:$L$7,,,"Actual360","LogLinear",TRUE)</f>
        <v>QSObject:ContextInput:w1~input.qs_context_add_curve.2359132437744.9364.3.0:31476</v>
      </c>
      <c r="E9365" s="6" t="str">
        <f>_xll.QS.INSTRUMENT.SWAP("swap.9363",H9365,B9365,"USD","SOFR",I9365,J9365,0,"Actual360","Simple","Annual","Annual","Annual")</f>
        <v>QSObject:Swap:w1~swap.9363:476</v>
      </c>
      <c r="F9365" s="6" t="str">
        <f>_xll.QS.TRADE.CREATE("trade.9363",E9365,A9365,"Receive")</f>
        <v>QSObject:SwapTrade:w1~trade.9363:22416</v>
      </c>
      <c r="G9365" s="3">
        <f>_xll.QS.EVALUATE(C9365,F9365)</f>
        <v>38327.980085457923</v>
      </c>
      <c r="H9365" s="5" t="s">
        <v>9406</v>
      </c>
      <c r="I9365" s="7">
        <v>1936300</v>
      </c>
      <c r="J9365" s="8">
        <v>3.6300000000000013E-2</v>
      </c>
    </row>
    <row r="9366" spans="1:10" x14ac:dyDescent="0.25">
      <c r="A9366" s="5" t="s">
        <v>9400</v>
      </c>
      <c r="B9366" s="5" t="s">
        <v>11233</v>
      </c>
      <c r="C9366" s="6" t="str">
        <f>_xll.QS.CONTEXT.CREATE("market.9364",A9366,"USD","SOFR")</f>
        <v>QSObject:PricingContext:w1~market.9364:475</v>
      </c>
      <c r="D9366" s="6" t="str">
        <f>_xll.QS.CONTEXT.ADD.CURVE(C9366,"SOFR",$K$2:$K$7,$L$2:$L$7,,,"Actual360","LogLinear",TRUE)</f>
        <v>QSObject:ContextInput:w1~input.qs_context_add_curve.2359132437744.9365.3.0:31475</v>
      </c>
      <c r="E9366" s="6" t="str">
        <f>_xll.QS.INSTRUMENT.SWAP("swap.9364",H9366,B9366,"USD","SOFR",I9366,J9366,0,"Actual360","Simple","Annual","Annual","Annual")</f>
        <v>QSObject:Swap:w1~swap.9364:474</v>
      </c>
      <c r="F9366" s="6" t="str">
        <f>_xll.QS.TRADE.CREATE("trade.9364",E9366,A9366,"Receive")</f>
        <v>QSObject:SwapTrade:w1~trade.9364:22415</v>
      </c>
      <c r="G9366" s="3">
        <f>_xll.QS.EVALUATE(C9366,F9366)</f>
        <v>38986.910525740284</v>
      </c>
      <c r="H9366" s="5" t="s">
        <v>9407</v>
      </c>
      <c r="I9366" s="7">
        <v>1936400</v>
      </c>
      <c r="J9366" s="8">
        <v>3.6400000000000002E-2</v>
      </c>
    </row>
    <row r="9367" spans="1:10" x14ac:dyDescent="0.25">
      <c r="A9367" s="5" t="s">
        <v>9401</v>
      </c>
      <c r="B9367" s="5" t="s">
        <v>11234</v>
      </c>
      <c r="C9367" s="6" t="str">
        <f>_xll.QS.CONTEXT.CREATE("market.9365",A9367,"USD","SOFR")</f>
        <v>QSObject:PricingContext:w1~market.9365:473</v>
      </c>
      <c r="D9367" s="6" t="str">
        <f>_xll.QS.CONTEXT.ADD.CURVE(C9367,"SOFR",$K$2:$K$7,$L$2:$L$7,,,"Actual360","LogLinear",TRUE)</f>
        <v>QSObject:ContextInput:w1~input.qs_context_add_curve.2359132437744.9366.3.0:31474</v>
      </c>
      <c r="E9367" s="6" t="str">
        <f>_xll.QS.INSTRUMENT.SWAP("swap.9365",H9367,B9367,"USD","SOFR",I9367,J9367,0,"Actual360","Simple","Annual","Annual","Annual")</f>
        <v>QSObject:Swap:w1~swap.9365:472</v>
      </c>
      <c r="F9367" s="6" t="str">
        <f>_xll.QS.TRADE.CREATE("trade.9365",E9367,A9367,"Receive")</f>
        <v>QSObject:SwapTrade:w1~trade.9365:22414</v>
      </c>
      <c r="G9367" s="3">
        <f>_xll.QS.EVALUATE(C9367,F9367)</f>
        <v>39885.270636236884</v>
      </c>
      <c r="H9367" s="5" t="s">
        <v>9408</v>
      </c>
      <c r="I9367" s="7">
        <v>1936500</v>
      </c>
      <c r="J9367" s="8">
        <v>3.6499999999999998E-2</v>
      </c>
    </row>
    <row r="9368" spans="1:10" x14ac:dyDescent="0.25">
      <c r="A9368" s="5" t="s">
        <v>9402</v>
      </c>
      <c r="B9368" s="5" t="s">
        <v>11235</v>
      </c>
      <c r="C9368" s="6" t="str">
        <f>_xll.QS.CONTEXT.CREATE("market.9366",A9368,"USD","SOFR")</f>
        <v>QSObject:PricingContext:w1~market.9366:471</v>
      </c>
      <c r="D9368" s="6" t="str">
        <f>_xll.QS.CONTEXT.ADD.CURVE(C9368,"SOFR",$K$2:$K$7,$L$2:$L$7,,,"Actual360","LogLinear",TRUE)</f>
        <v>QSObject:ContextInput:w1~input.qs_context_add_curve.2359132437744.9367.3.0:31473</v>
      </c>
      <c r="E9368" s="6" t="str">
        <f>_xll.QS.INSTRUMENT.SWAP("swap.9366",H9368,B9368,"USD","SOFR",I9368,J9368,0,"Actual360","Simple","Annual","Annual","Annual")</f>
        <v>QSObject:Swap:w1~swap.9366:470</v>
      </c>
      <c r="F9368" s="6" t="str">
        <f>_xll.QS.TRADE.CREATE("trade.9366",E9368,A9368,"Receive")</f>
        <v>QSObject:SwapTrade:w1~trade.9366:22413</v>
      </c>
      <c r="G9368" s="3">
        <f>_xll.QS.EVALUATE(C9368,F9368)</f>
        <v>40861.513901124781</v>
      </c>
      <c r="H9368" s="5" t="s">
        <v>9409</v>
      </c>
      <c r="I9368" s="7">
        <v>1936600</v>
      </c>
      <c r="J9368" s="8">
        <v>3.6600000000000001E-2</v>
      </c>
    </row>
    <row r="9369" spans="1:10" x14ac:dyDescent="0.25">
      <c r="A9369" s="5" t="s">
        <v>9403</v>
      </c>
      <c r="B9369" s="5" t="s">
        <v>11236</v>
      </c>
      <c r="C9369" s="6" t="str">
        <f>_xll.QS.CONTEXT.CREATE("market.9367",A9369,"USD","SOFR")</f>
        <v>QSObject:PricingContext:w1~market.9367:469</v>
      </c>
      <c r="D9369" s="6" t="str">
        <f>_xll.QS.CONTEXT.ADD.CURVE(C9369,"SOFR",$K$2:$K$7,$L$2:$L$7,,,"Actual360","LogLinear",TRUE)</f>
        <v>QSObject:ContextInput:w1~input.qs_context_add_curve.2359132437744.9368.3.0:31472</v>
      </c>
      <c r="E9369" s="6" t="str">
        <f>_xll.QS.INSTRUMENT.SWAP("swap.9367",H9369,B9369,"USD","SOFR",I9369,J9369,0,"Actual360","Simple","Annual","Annual","Annual")</f>
        <v>QSObject:Swap:w1~swap.9367:468</v>
      </c>
      <c r="F9369" s="6" t="str">
        <f>_xll.QS.TRADE.CREATE("trade.9367",E9369,A9369,"Receive")</f>
        <v>QSObject:SwapTrade:w1~trade.9367:22412</v>
      </c>
      <c r="G9369" s="3">
        <f>_xll.QS.EVALUATE(C9369,F9369)</f>
        <v>41898.147302883772</v>
      </c>
      <c r="H9369" s="5" t="s">
        <v>9410</v>
      </c>
      <c r="I9369" s="7">
        <v>1936700</v>
      </c>
      <c r="J9369" s="8">
        <v>3.6700000000000003E-2</v>
      </c>
    </row>
    <row r="9370" spans="1:10" x14ac:dyDescent="0.25">
      <c r="A9370" s="5" t="s">
        <v>9404</v>
      </c>
      <c r="B9370" s="5" t="s">
        <v>11237</v>
      </c>
      <c r="C9370" s="6" t="str">
        <f>_xll.QS.CONTEXT.CREATE("market.9368",A9370,"USD","SOFR")</f>
        <v>QSObject:PricingContext:w1~market.9368:467</v>
      </c>
      <c r="D9370" s="6" t="str">
        <f>_xll.QS.CONTEXT.ADD.CURVE(C9370,"SOFR",$K$2:$K$7,$L$2:$L$7,,,"Actual360","LogLinear",TRUE)</f>
        <v>QSObject:ContextInput:w1~input.qs_context_add_curve.2359132437744.9369.3.0:31471</v>
      </c>
      <c r="E9370" s="6" t="str">
        <f>_xll.QS.INSTRUMENT.SWAP("swap.9368",H9370,B9370,"USD","SOFR",I9370,J9370,0,"Actual360","Simple","Annual","Annual","Annual")</f>
        <v>QSObject:Swap:w1~swap.9368:466</v>
      </c>
      <c r="F9370" s="6" t="str">
        <f>_xll.QS.TRADE.CREATE("trade.9368",E9370,A9370,"Receive")</f>
        <v>QSObject:SwapTrade:w1~trade.9368:22411</v>
      </c>
      <c r="G9370" s="3">
        <f>_xll.QS.EVALUATE(C9370,F9370)</f>
        <v>42793.525627736039</v>
      </c>
      <c r="H9370" s="5" t="s">
        <v>9411</v>
      </c>
      <c r="I9370" s="7">
        <v>1936800</v>
      </c>
      <c r="J9370" s="8">
        <v>3.6800000000000013E-2</v>
      </c>
    </row>
    <row r="9371" spans="1:10" x14ac:dyDescent="0.25">
      <c r="A9371" s="5" t="s">
        <v>9405</v>
      </c>
      <c r="B9371" s="5" t="s">
        <v>11238</v>
      </c>
      <c r="C9371" s="6" t="str">
        <f>_xll.QS.CONTEXT.CREATE("market.9369",A9371,"USD","SOFR")</f>
        <v>QSObject:PricingContext:w1~market.9369:465</v>
      </c>
      <c r="D9371" s="6" t="str">
        <f>_xll.QS.CONTEXT.ADD.CURVE(C9371,"SOFR",$K$2:$K$7,$L$2:$L$7,,,"Actual360","LogLinear",TRUE)</f>
        <v>QSObject:ContextInput:w1~input.qs_context_add_curve.2359132437744.9370.3.0:31470</v>
      </c>
      <c r="E9371" s="6" t="str">
        <f>_xll.QS.INSTRUMENT.SWAP("swap.9369",H9371,B9371,"USD","SOFR",I9371,J9371,0,"Actual360","Simple","Annual","Annual","Annual")</f>
        <v>QSObject:Swap:w1~swap.9369:464</v>
      </c>
      <c r="F9371" s="6" t="str">
        <f>_xll.QS.TRADE.CREATE("trade.9369",E9371,A9371,"Receive")</f>
        <v>QSObject:SwapTrade:w1~trade.9369:22410</v>
      </c>
      <c r="G9371" s="3">
        <f>_xll.QS.EVALUATE(C9371,F9371)</f>
        <v>43698.990210874334</v>
      </c>
      <c r="H9371" s="5" t="s">
        <v>9412</v>
      </c>
      <c r="I9371" s="7">
        <v>1936900</v>
      </c>
      <c r="J9371" s="8">
        <v>3.6900000000000002E-2</v>
      </c>
    </row>
    <row r="9372" spans="1:10" x14ac:dyDescent="0.25">
      <c r="A9372" s="5" t="s">
        <v>9406</v>
      </c>
      <c r="B9372" s="5" t="s">
        <v>11239</v>
      </c>
      <c r="C9372" s="6" t="str">
        <f>_xll.QS.CONTEXT.CREATE("market.9370",A9372,"USD","SOFR")</f>
        <v>QSObject:PricingContext:w1~market.9370:463</v>
      </c>
      <c r="D9372" s="6" t="str">
        <f>_xll.QS.CONTEXT.ADD.CURVE(C9372,"SOFR",$K$2:$K$7,$L$2:$L$7,,,"Actual360","LogLinear",TRUE)</f>
        <v>QSObject:ContextInput:w1~input.qs_context_add_curve.2359132437744.9371.3.0:31469</v>
      </c>
      <c r="E9372" s="6" t="str">
        <f>_xll.QS.INSTRUMENT.SWAP("swap.9370",H9372,B9372,"USD","SOFR",I9372,J9372,0,"Actual360","Simple","Annual","Annual","Annual")</f>
        <v>QSObject:Swap:w1~swap.9370:462</v>
      </c>
      <c r="F9372" s="6" t="str">
        <f>_xll.QS.TRADE.CREATE("trade.9370",E9372,A9372,"Receive")</f>
        <v>QSObject:SwapTrade:w1~trade.9370:22409</v>
      </c>
      <c r="G9372" s="3">
        <f>_xll.QS.EVALUATE(C9372,F9372)</f>
        <v>44597.700924518904</v>
      </c>
      <c r="H9372" s="5" t="s">
        <v>9413</v>
      </c>
      <c r="I9372" s="7">
        <v>1937000</v>
      </c>
      <c r="J9372" s="8">
        <v>3.7000000000000012E-2</v>
      </c>
    </row>
    <row r="9373" spans="1:10" x14ac:dyDescent="0.25">
      <c r="A9373" s="5" t="s">
        <v>9407</v>
      </c>
      <c r="B9373" s="5" t="s">
        <v>11240</v>
      </c>
      <c r="C9373" s="6" t="str">
        <f>_xll.QS.CONTEXT.CREATE("market.9371",A9373,"USD","SOFR")</f>
        <v>QSObject:PricingContext:w1~market.9371:461</v>
      </c>
      <c r="D9373" s="6" t="str">
        <f>_xll.QS.CONTEXT.ADD.CURVE(C9373,"SOFR",$K$2:$K$7,$L$2:$L$7,,,"Actual360","LogLinear",TRUE)</f>
        <v>QSObject:ContextInput:w1~input.qs_context_add_curve.2359132437744.9372.3.0:31468</v>
      </c>
      <c r="E9373" s="6" t="str">
        <f>_xll.QS.INSTRUMENT.SWAP("swap.9371",H9373,B9373,"USD","SOFR",I9373,J9373,0,"Actual360","Simple","Annual","Annual","Annual")</f>
        <v>QSObject:Swap:w1~swap.9371:460</v>
      </c>
      <c r="F9373" s="6" t="str">
        <f>_xll.QS.TRADE.CREATE("trade.9371",E9373,A9373,"Receive")</f>
        <v>QSObject:SwapTrade:w1~trade.9371:22408</v>
      </c>
      <c r="G9373" s="3">
        <f>_xll.QS.EVALUATE(C9373,F9373)</f>
        <v>45175.912837583957</v>
      </c>
      <c r="H9373" s="5" t="s">
        <v>9414</v>
      </c>
      <c r="I9373" s="7">
        <v>1937100</v>
      </c>
      <c r="J9373" s="8">
        <v>3.7100000000000001E-2</v>
      </c>
    </row>
    <row r="9374" spans="1:10" x14ac:dyDescent="0.25">
      <c r="A9374" s="5" t="s">
        <v>9408</v>
      </c>
      <c r="B9374" s="5" t="s">
        <v>11241</v>
      </c>
      <c r="C9374" s="6" t="str">
        <f>_xll.QS.CONTEXT.CREATE("market.9372",A9374,"USD","SOFR")</f>
        <v>QSObject:PricingContext:w1~market.9372:459</v>
      </c>
      <c r="D9374" s="6" t="str">
        <f>_xll.QS.CONTEXT.ADD.CURVE(C9374,"SOFR",$K$2:$K$7,$L$2:$L$7,,,"Actual360","LogLinear",TRUE)</f>
        <v>QSObject:ContextInput:w1~input.qs_context_add_curve.2359132437744.9373.3.0:31467</v>
      </c>
      <c r="E9374" s="6" t="str">
        <f>_xll.QS.INSTRUMENT.SWAP("swap.9372",H9374,B9374,"USD","SOFR",I9374,J9374,0,"Actual360","Simple","Annual","Annual","Annual")</f>
        <v>QSObject:Swap:w1~swap.9372:458</v>
      </c>
      <c r="F9374" s="6" t="str">
        <f>_xll.QS.TRADE.CREATE("trade.9372",E9374,A9374,"Receive")</f>
        <v>QSObject:SwapTrade:w1~trade.9372:22407</v>
      </c>
      <c r="G9374" s="3">
        <f>_xll.QS.EVALUATE(C9374,F9374)</f>
        <v>46075.278297437108</v>
      </c>
      <c r="H9374" s="5" t="s">
        <v>9415</v>
      </c>
      <c r="I9374" s="7">
        <v>1937200</v>
      </c>
      <c r="J9374" s="8">
        <v>3.7199999999999997E-2</v>
      </c>
    </row>
    <row r="9375" spans="1:10" x14ac:dyDescent="0.25">
      <c r="A9375" s="5" t="s">
        <v>9409</v>
      </c>
      <c r="B9375" s="5" t="s">
        <v>11242</v>
      </c>
      <c r="C9375" s="6" t="str">
        <f>_xll.QS.CONTEXT.CREATE("market.9373",A9375,"USD","SOFR")</f>
        <v>QSObject:PricingContext:w1~market.9373:457</v>
      </c>
      <c r="D9375" s="6" t="str">
        <f>_xll.QS.CONTEXT.ADD.CURVE(C9375,"SOFR",$K$2:$K$7,$L$2:$L$7,,,"Actual360","LogLinear",TRUE)</f>
        <v>QSObject:ContextInput:w1~input.qs_context_add_curve.2359132437744.9374.3.0:31466</v>
      </c>
      <c r="E9375" s="6" t="str">
        <f>_xll.QS.INSTRUMENT.SWAP("swap.9373",H9375,B9375,"USD","SOFR",I9375,J9375,0,"Actual360","Simple","Annual","Annual","Annual")</f>
        <v>QSObject:Swap:w1~swap.9373:456</v>
      </c>
      <c r="F9375" s="6" t="str">
        <f>_xll.QS.TRADE.CREATE("trade.9373",E9375,A9375,"Receive")</f>
        <v>QSObject:SwapTrade:w1~trade.9373:22406</v>
      </c>
      <c r="G9375" s="3">
        <f>_xll.QS.EVALUATE(C9375,F9375)</f>
        <v>47052.961404806236</v>
      </c>
      <c r="H9375" s="5" t="s">
        <v>9416</v>
      </c>
      <c r="I9375" s="7">
        <v>1937300</v>
      </c>
      <c r="J9375" s="8">
        <v>3.73E-2</v>
      </c>
    </row>
    <row r="9376" spans="1:10" x14ac:dyDescent="0.25">
      <c r="A9376" s="5" t="s">
        <v>9410</v>
      </c>
      <c r="B9376" s="5" t="s">
        <v>11243</v>
      </c>
      <c r="C9376" s="6" t="str">
        <f>_xll.QS.CONTEXT.CREATE("market.9374",A9376,"USD","SOFR")</f>
        <v>QSObject:PricingContext:w1~market.9374:455</v>
      </c>
      <c r="D9376" s="6" t="str">
        <f>_xll.QS.CONTEXT.ADD.CURVE(C9376,"SOFR",$K$2:$K$7,$L$2:$L$7,,,"Actual360","LogLinear",TRUE)</f>
        <v>QSObject:ContextInput:w1~input.qs_context_add_curve.2359132437744.9375.3.0:31465</v>
      </c>
      <c r="E9376" s="6" t="str">
        <f>_xll.QS.INSTRUMENT.SWAP("swap.9374",H9376,B9376,"USD","SOFR",I9376,J9376,0,"Actual360","Simple","Annual","Annual","Annual")</f>
        <v>QSObject:Swap:w1~swap.9374:454</v>
      </c>
      <c r="F9376" s="6" t="str">
        <f>_xll.QS.TRADE.CREATE("trade.9374",E9376,A9376,"Receive")</f>
        <v>QSObject:SwapTrade:w1~trade.9374:22405</v>
      </c>
      <c r="G9376" s="3">
        <f>_xll.QS.EVALUATE(C9376,F9376)</f>
        <v>48242.334170726332</v>
      </c>
      <c r="H9376" s="5" t="s">
        <v>9417</v>
      </c>
      <c r="I9376" s="7">
        <v>1937400</v>
      </c>
      <c r="J9376" s="8">
        <v>3.7400000000000003E-2</v>
      </c>
    </row>
    <row r="9377" spans="1:10" x14ac:dyDescent="0.25">
      <c r="A9377" s="5" t="s">
        <v>9411</v>
      </c>
      <c r="B9377" s="5" t="s">
        <v>11244</v>
      </c>
      <c r="C9377" s="6" t="str">
        <f>_xll.QS.CONTEXT.CREATE("market.9375",A9377,"USD","SOFR")</f>
        <v>QSObject:PricingContext:w1~market.9375:17469</v>
      </c>
      <c r="D9377" s="6" t="str">
        <f>_xll.QS.CONTEXT.ADD.CURVE(C9377,"SOFR",$K$2:$K$7,$L$2:$L$7,,,"Actual360","LogLinear",TRUE)</f>
        <v>QSObject:ContextInput:w1~input.qs_context_add_curve.2359132437744.9376.3.0:21885</v>
      </c>
      <c r="E9377" s="6" t="str">
        <f>_xll.QS.INSTRUMENT.SWAP("swap.9375",H9377,B9377,"USD","SOFR",I9377,J9377,0,"Actual360","Simple","Annual","Annual","Annual")</f>
        <v>QSObject:Swap:w1~swap.9375:1964</v>
      </c>
      <c r="F9377" s="6" t="str">
        <f>_xll.QS.TRADE.CREATE("trade.9375",E9377,A9377,"Receive")</f>
        <v>QSObject:SwapTrade:w1~trade.9375:6693</v>
      </c>
      <c r="G9377" s="3">
        <f>_xll.QS.EVALUATE(C9377,F9377)</f>
        <v>49138.354007710732</v>
      </c>
      <c r="H9377" s="5" t="s">
        <v>9418</v>
      </c>
      <c r="I9377" s="7">
        <v>1937500</v>
      </c>
      <c r="J9377" s="8">
        <v>3.7500000000000012E-2</v>
      </c>
    </row>
    <row r="9378" spans="1:10" x14ac:dyDescent="0.25">
      <c r="A9378" s="5" t="s">
        <v>9412</v>
      </c>
      <c r="B9378" s="5" t="s">
        <v>11245</v>
      </c>
      <c r="C9378" s="6" t="str">
        <f>_xll.QS.CONTEXT.CREATE("market.9376",A9378,"USD","SOFR")</f>
        <v>QSObject:PricingContext:w1~market.9376:16435</v>
      </c>
      <c r="D9378" s="6" t="str">
        <f>_xll.QS.CONTEXT.ADD.CURVE(C9378,"SOFR",$K$2:$K$7,$L$2:$L$7,,,"Actual360","LogLinear",TRUE)</f>
        <v>QSObject:ContextInput:w1~input.qs_context_add_curve.2359132437744.9377.3.0:31464</v>
      </c>
      <c r="E9378" s="6" t="str">
        <f>_xll.QS.INSTRUMENT.SWAP("swap.9376",H9378,B9378,"USD","SOFR",I9378,J9378,0,"Actual360","Simple","Annual","Annual","Annual")</f>
        <v>QSObject:Swap:w1~swap.9376:5079</v>
      </c>
      <c r="F9378" s="6" t="str">
        <f>_xll.QS.TRADE.CREATE("trade.9376",E9378,A9378,"Receive")</f>
        <v>QSObject:SwapTrade:w1~trade.9376:8293</v>
      </c>
      <c r="G9378" s="3">
        <f>_xll.QS.EVALUATE(C9378,F9378)</f>
        <v>50051.809956010213</v>
      </c>
      <c r="H9378" s="5" t="s">
        <v>9419</v>
      </c>
      <c r="I9378" s="7">
        <v>1937600</v>
      </c>
      <c r="J9378" s="8">
        <v>3.7600000000000001E-2</v>
      </c>
    </row>
    <row r="9379" spans="1:10" x14ac:dyDescent="0.25">
      <c r="A9379" s="5" t="s">
        <v>9413</v>
      </c>
      <c r="B9379" s="5" t="s">
        <v>11246</v>
      </c>
      <c r="C9379" s="6" t="str">
        <f>_xll.QS.CONTEXT.CREATE("market.9377",A9379,"USD","SOFR")</f>
        <v>QSObject:PricingContext:w1~market.9377:20130</v>
      </c>
      <c r="D9379" s="6" t="str">
        <f>_xll.QS.CONTEXT.ADD.CURVE(C9379,"SOFR",$K$2:$K$7,$L$2:$L$7,,,"Actual360","LogLinear",TRUE)</f>
        <v>QSObject:ContextInput:w1~input.qs_context_add_curve.2359132437744.9378.3.0:31463</v>
      </c>
      <c r="E9379" s="6" t="str">
        <f>_xll.QS.INSTRUMENT.SWAP("swap.9377",H9379,B9379,"USD","SOFR",I9379,J9379,0,"Actual360","Simple","Annual","Annual","Annual")</f>
        <v>QSObject:Swap:w1~swap.9377:18429</v>
      </c>
      <c r="F9379" s="6" t="str">
        <f>_xll.QS.TRADE.CREATE("trade.9377",E9379,A9379,"Receive")</f>
        <v>QSObject:SwapTrade:w1~trade.9377:22404</v>
      </c>
      <c r="G9379" s="3">
        <f>_xll.QS.EVALUATE(C9379,F9379)</f>
        <v>50949.297060384612</v>
      </c>
      <c r="H9379" s="5" t="s">
        <v>9420</v>
      </c>
      <c r="I9379" s="7">
        <v>1937700</v>
      </c>
      <c r="J9379" s="8">
        <v>3.7699999999999997E-2</v>
      </c>
    </row>
    <row r="9380" spans="1:10" x14ac:dyDescent="0.25">
      <c r="A9380" s="5" t="s">
        <v>9414</v>
      </c>
      <c r="B9380" s="5" t="s">
        <v>11247</v>
      </c>
      <c r="C9380" s="6" t="str">
        <f>_xll.QS.CONTEXT.CREATE("market.9378",A9380,"USD","SOFR")</f>
        <v>QSObject:PricingContext:w1~market.9378:16434</v>
      </c>
      <c r="D9380" s="6" t="str">
        <f>_xll.QS.CONTEXT.ADD.CURVE(C9380,"SOFR",$K$2:$K$7,$L$2:$L$7,,,"Actual360","LogLinear",TRUE)</f>
        <v>QSObject:ContextInput:w1~input.qs_context_add_curve.2359132437744.9379.3.0:31462</v>
      </c>
      <c r="E9380" s="6" t="str">
        <f>_xll.QS.INSTRUMENT.SWAP("swap.9378",H9380,B9380,"USD","SOFR",I9380,J9380,0,"Actual360","Simple","Annual","Annual","Annual")</f>
        <v>QSObject:Swap:w1~swap.9378:21884</v>
      </c>
      <c r="F9380" s="6" t="str">
        <f>_xll.QS.TRADE.CREATE("trade.9378",E9380,A9380,"Receive")</f>
        <v>QSObject:SwapTrade:w1~trade.9378:22403</v>
      </c>
      <c r="G9380" s="3">
        <f>_xll.QS.EVALUATE(C9380,F9380)</f>
        <v>51606.838081535825</v>
      </c>
      <c r="H9380" s="5" t="s">
        <v>9421</v>
      </c>
      <c r="I9380" s="7">
        <v>1937800</v>
      </c>
      <c r="J9380" s="8">
        <v>3.78E-2</v>
      </c>
    </row>
    <row r="9381" spans="1:10" x14ac:dyDescent="0.25">
      <c r="A9381" s="5" t="s">
        <v>9415</v>
      </c>
      <c r="B9381" s="5" t="s">
        <v>11248</v>
      </c>
      <c r="C9381" s="6" t="str">
        <f>_xll.QS.CONTEXT.CREATE("market.9379",A9381,"USD","SOFR")</f>
        <v>QSObject:PricingContext:w1~market.9379:13105</v>
      </c>
      <c r="D9381" s="6" t="str">
        <f>_xll.QS.CONTEXT.ADD.CURVE(C9381,"SOFR",$K$2:$K$7,$L$2:$L$7,,,"Actual360","LogLinear",TRUE)</f>
        <v>QSObject:ContextInput:w1~input.qs_context_add_curve.2359132437744.9380.3.0:31461</v>
      </c>
      <c r="E9381" s="6" t="str">
        <f>_xll.QS.INSTRUMENT.SWAP("swap.9379",H9381,B9381,"USD","SOFR",I9381,J9381,0,"Actual360","Simple","Annual","Annual","Annual")</f>
        <v>QSObject:Swap:w1~swap.9379:11569</v>
      </c>
      <c r="F9381" s="6" t="str">
        <f>_xll.QS.TRADE.CREATE("trade.9379",E9381,A9381,"Receive")</f>
        <v>QSObject:SwapTrade:w1~trade.9379:22402</v>
      </c>
      <c r="G9381" s="3">
        <f>_xll.QS.EVALUATE(C9381,F9381)</f>
        <v>52507.757711490405</v>
      </c>
      <c r="H9381" s="5" t="s">
        <v>9422</v>
      </c>
      <c r="I9381" s="7">
        <v>1937900</v>
      </c>
      <c r="J9381" s="8">
        <v>3.7900000000000003E-2</v>
      </c>
    </row>
    <row r="9382" spans="1:10" x14ac:dyDescent="0.25">
      <c r="A9382" s="5" t="s">
        <v>9416</v>
      </c>
      <c r="B9382" s="5" t="s">
        <v>11249</v>
      </c>
      <c r="C9382" s="6" t="str">
        <f>_xll.QS.CONTEXT.CREATE("market.9380",A9382,"USD","SOFR")</f>
        <v>QSObject:PricingContext:w1~market.9380:18428</v>
      </c>
      <c r="D9382" s="6" t="str">
        <f>_xll.QS.CONTEXT.ADD.CURVE(C9382,"SOFR",$K$2:$K$7,$L$2:$L$7,,,"Actual360","LogLinear",TRUE)</f>
        <v>QSObject:ContextInput:w1~input.qs_context_add_curve.2359132437744.9381.3.0:22401</v>
      </c>
      <c r="E9382" s="6" t="str">
        <f>_xll.QS.INSTRUMENT.SWAP("swap.9380",H9382,B9382,"USD","SOFR",I9382,J9382,0,"Actual360","Simple","Annual","Annual","Annual")</f>
        <v>QSObject:Swap:w1~swap.9380:17468</v>
      </c>
      <c r="F9382" s="6" t="str">
        <f>_xll.QS.TRADE.CREATE("trade.9380",E9382,A9382,"Receive")</f>
        <v>QSObject:SwapTrade:w1~trade.9380:21883</v>
      </c>
      <c r="G9382" s="3">
        <f>_xll.QS.EVALUATE(C9382,F9382)</f>
        <v>53408.518119140186</v>
      </c>
      <c r="H9382" s="5" t="s">
        <v>9423</v>
      </c>
      <c r="I9382" s="7">
        <v>1938000</v>
      </c>
      <c r="J9382" s="8">
        <v>3.8000000000000013E-2</v>
      </c>
    </row>
    <row r="9383" spans="1:10" x14ac:dyDescent="0.25">
      <c r="A9383" s="5" t="s">
        <v>9417</v>
      </c>
      <c r="B9383" s="5" t="s">
        <v>11250</v>
      </c>
      <c r="C9383" s="6" t="str">
        <f>_xll.QS.CONTEXT.CREATE("market.9381",A9383,"USD","SOFR")</f>
        <v>QSObject:PricingContext:w1~market.9381:16433</v>
      </c>
      <c r="D9383" s="6" t="str">
        <f>_xll.QS.CONTEXT.ADD.CURVE(C9383,"SOFR",$K$2:$K$7,$L$2:$L$7,,,"Actual360","LogLinear",TRUE)</f>
        <v>QSObject:ContextInput:w1~input.qs_context_add_curve.2359132437744.9382.3.0:22400</v>
      </c>
      <c r="E9383" s="6" t="str">
        <f>_xll.QS.INSTRUMENT.SWAP("swap.9381",H9383,B9383,"USD","SOFR",I9383,J9383,0,"Actual360","Simple","Annual","Annual","Annual")</f>
        <v>QSObject:Swap:w1~swap.9381:20129</v>
      </c>
      <c r="F9383" s="6" t="str">
        <f>_xll.QS.TRADE.CREATE("trade.9381",E9383,A9383,"Receive")</f>
        <v>QSObject:SwapTrade:w1~trade.9381:22399</v>
      </c>
      <c r="G9383" s="3">
        <f>_xll.QS.EVALUATE(C9383,F9383)</f>
        <v>54447.148623108747</v>
      </c>
      <c r="H9383" s="5" t="s">
        <v>9424</v>
      </c>
      <c r="I9383" s="7">
        <v>1938100</v>
      </c>
      <c r="J9383" s="8">
        <v>3.8100000000000002E-2</v>
      </c>
    </row>
    <row r="9384" spans="1:10" x14ac:dyDescent="0.25">
      <c r="A9384" s="5" t="s">
        <v>9418</v>
      </c>
      <c r="B9384" s="5" t="s">
        <v>11251</v>
      </c>
      <c r="C9384" s="6" t="str">
        <f>_xll.QS.CONTEXT.CREATE("market.9382",A9384,"USD","SOFR")</f>
        <v>QSObject:PricingContext:w1~market.9382:6692</v>
      </c>
      <c r="D9384" s="6" t="str">
        <f>_xll.QS.CONTEXT.ADD.CURVE(C9384,"SOFR",$K$2:$K$7,$L$2:$L$7,,,"Actual360","LogLinear",TRUE)</f>
        <v>QSObject:ContextInput:w1~input.qs_context_add_curve.2359132437744.9383.3.0:22398</v>
      </c>
      <c r="E9384" s="6" t="str">
        <f>_xll.QS.INSTRUMENT.SWAP("swap.9382",H9384,B9384,"USD","SOFR",I9384,J9384,0,"Actual360","Simple","Annual","Annual","Annual")</f>
        <v>QSObject:Swap:w1~swap.9382:3514</v>
      </c>
      <c r="F9384" s="6" t="str">
        <f>_xll.QS.TRADE.CREATE("trade.9382",E9384,A9384,"Receive")</f>
        <v>QSObject:SwapTrade:w1~trade.9382:11568</v>
      </c>
      <c r="G9384" s="3">
        <f>_xll.QS.EVALUATE(C9384,F9384)</f>
        <v>55343.875561549161</v>
      </c>
      <c r="H9384" s="5" t="s">
        <v>9425</v>
      </c>
      <c r="I9384" s="7">
        <v>1938200</v>
      </c>
      <c r="J9384" s="8">
        <v>3.8199999999999998E-2</v>
      </c>
    </row>
    <row r="9385" spans="1:10" x14ac:dyDescent="0.25">
      <c r="A9385" s="5" t="s">
        <v>9419</v>
      </c>
      <c r="B9385" s="5" t="s">
        <v>11252</v>
      </c>
      <c r="C9385" s="6" t="str">
        <f>_xll.QS.CONTEXT.CREATE("market.9383",A9385,"USD","SOFR")</f>
        <v>QSObject:PricingContext:w1~market.9383:17467</v>
      </c>
      <c r="D9385" s="6" t="str">
        <f>_xll.QS.CONTEXT.ADD.CURVE(C9385,"SOFR",$K$2:$K$7,$L$2:$L$7,,,"Actual360","LogLinear",TRUE)</f>
        <v>QSObject:ContextInput:w1~input.qs_context_add_curve.2359132437744.9384.3.0:31460</v>
      </c>
      <c r="E9385" s="6" t="str">
        <f>_xll.QS.INSTRUMENT.SWAP("swap.9383",H9385,B9385,"USD","SOFR",I9385,J9385,0,"Actual360","Simple","Annual","Annual","Annual")</f>
        <v>QSObject:Swap:w1~swap.9383:1963</v>
      </c>
      <c r="F9385" s="6" t="str">
        <f>_xll.QS.TRADE.CREATE("trade.9383",E9385,A9385,"Receive")</f>
        <v>QSObject:SwapTrade:w1~trade.9383:9906</v>
      </c>
      <c r="G9385" s="3">
        <f>_xll.QS.EVALUATE(C9385,F9385)</f>
        <v>56251.41168025283</v>
      </c>
      <c r="H9385" s="5" t="s">
        <v>9426</v>
      </c>
      <c r="I9385" s="7">
        <v>1938300</v>
      </c>
      <c r="J9385" s="8">
        <v>3.8300000000000001E-2</v>
      </c>
    </row>
    <row r="9386" spans="1:10" x14ac:dyDescent="0.25">
      <c r="A9386" s="5" t="s">
        <v>9420</v>
      </c>
      <c r="B9386" s="5" t="s">
        <v>11253</v>
      </c>
      <c r="C9386" s="6" t="str">
        <f>_xll.QS.CONTEXT.CREATE("market.9384",A9386,"USD","SOFR")</f>
        <v>QSObject:PricingContext:w1~market.9384:18427</v>
      </c>
      <c r="D9386" s="6" t="str">
        <f>_xll.QS.CONTEXT.ADD.CURVE(C9386,"SOFR",$K$2:$K$7,$L$2:$L$7,,,"Actual360","LogLinear",TRUE)</f>
        <v>QSObject:ContextInput:w1~input.qs_context_add_curve.2359132437744.9385.3.0:31459</v>
      </c>
      <c r="E9386" s="6" t="str">
        <f>_xll.QS.INSTRUMENT.SWAP("swap.9384",H9386,B9386,"USD","SOFR",I9386,J9386,0,"Actual360","Simple","Annual","Annual","Annual")</f>
        <v>QSObject:Swap:w1~swap.9384:21882</v>
      </c>
      <c r="F9386" s="6" t="str">
        <f>_xll.QS.TRADE.CREATE("trade.9384",E9386,A9386,"Receive")</f>
        <v>QSObject:SwapTrade:w1~trade.9384:22397</v>
      </c>
      <c r="G9386" s="3">
        <f>_xll.QS.EVALUATE(C9386,F9386)</f>
        <v>57150.286485656339</v>
      </c>
      <c r="H9386" s="5" t="s">
        <v>9427</v>
      </c>
      <c r="I9386" s="7">
        <v>1938400</v>
      </c>
      <c r="J9386" s="8">
        <v>3.8399999999999997E-2</v>
      </c>
    </row>
    <row r="9387" spans="1:10" x14ac:dyDescent="0.25">
      <c r="A9387" s="5" t="s">
        <v>9421</v>
      </c>
      <c r="B9387" s="5" t="s">
        <v>11254</v>
      </c>
      <c r="C9387" s="6" t="str">
        <f>_xll.QS.CONTEXT.CREATE("market.9385",A9387,"USD","SOFR")</f>
        <v>QSObject:PricingContext:w1~market.9385:8292</v>
      </c>
      <c r="D9387" s="6" t="str">
        <f>_xll.QS.CONTEXT.ADD.CURVE(C9387,"SOFR",$K$2:$K$7,$L$2:$L$7,,,"Actual360","LogLinear",TRUE)</f>
        <v>QSObject:ContextInput:w1~input.qs_context_add_curve.2359132437744.9386.3.0:16432</v>
      </c>
      <c r="E9387" s="6" t="str">
        <f>_xll.QS.INSTRUMENT.SWAP("swap.9385",H9387,B9387,"USD","SOFR",I9387,J9387,0,"Actual360","Simple","Annual","Annual","Annual")</f>
        <v>QSObject:Swap:w1~swap.9385:20128</v>
      </c>
      <c r="F9387" s="6" t="str">
        <f>_xll.QS.TRADE.CREATE("trade.9385",E9387,A9387,"Receive")</f>
        <v>QSObject:SwapTrade:w1~trade.9385:22396</v>
      </c>
      <c r="G9387" s="3">
        <f>_xll.QS.EVALUATE(C9387,F9387)</f>
        <v>57807.120562709017</v>
      </c>
      <c r="H9387" s="5" t="s">
        <v>9428</v>
      </c>
      <c r="I9387" s="7">
        <v>1938500</v>
      </c>
      <c r="J9387" s="8">
        <v>3.8500000000000013E-2</v>
      </c>
    </row>
    <row r="9388" spans="1:10" x14ac:dyDescent="0.25">
      <c r="A9388" s="5" t="s">
        <v>9422</v>
      </c>
      <c r="B9388" s="5" t="s">
        <v>11255</v>
      </c>
      <c r="C9388" s="6" t="str">
        <f>_xll.QS.CONTEXT.CREATE("market.9386",A9388,"USD","SOFR")</f>
        <v>QSObject:PricingContext:w1~market.9386:9905</v>
      </c>
      <c r="D9388" s="6" t="str">
        <f>_xll.QS.CONTEXT.ADD.CURVE(C9388,"SOFR",$K$2:$K$7,$L$2:$L$7,,,"Actual360","LogLinear",TRUE)</f>
        <v>QSObject:ContextInput:w1~input.qs_context_add_curve.2359132437744.9387.3.0:22395</v>
      </c>
      <c r="E9388" s="6" t="str">
        <f>_xll.QS.INSTRUMENT.SWAP("swap.9386",H9388,B9388,"USD","SOFR",I9388,J9388,0,"Actual360","Simple","Annual","Annual","Annual")</f>
        <v>QSObject:Swap:w1~swap.9386:17466</v>
      </c>
      <c r="F9388" s="6" t="str">
        <f>_xll.QS.TRADE.CREATE("trade.9386",E9388,A9388,"Receive")</f>
        <v>QSObject:SwapTrade:w1~trade.9386:22394</v>
      </c>
      <c r="G9388" s="3">
        <f>_xll.QS.EVALUATE(C9388,F9388)</f>
        <v>58708.996326951667</v>
      </c>
      <c r="H9388" s="5" t="s">
        <v>9429</v>
      </c>
      <c r="I9388" s="7">
        <v>1938600</v>
      </c>
      <c r="J9388" s="8">
        <v>3.8600000000000002E-2</v>
      </c>
    </row>
    <row r="9389" spans="1:10" x14ac:dyDescent="0.25">
      <c r="A9389" s="5" t="s">
        <v>9423</v>
      </c>
      <c r="B9389" s="5" t="s">
        <v>11256</v>
      </c>
      <c r="C9389" s="6" t="str">
        <f>_xll.QS.CONTEXT.CREATE("market.9387",A9389,"USD","SOFR")</f>
        <v>QSObject:PricingContext:w1~market.9387:18426</v>
      </c>
      <c r="D9389" s="6" t="str">
        <f>_xll.QS.CONTEXT.ADD.CURVE(C9389,"SOFR",$K$2:$K$7,$L$2:$L$7,,,"Actual360","LogLinear",TRUE)</f>
        <v>QSObject:ContextInput:w1~input.qs_context_add_curve.2359132437744.9388.3.0:31458</v>
      </c>
      <c r="E9389" s="6" t="str">
        <f>_xll.QS.INSTRUMENT.SWAP("swap.9387",H9389,B9389,"USD","SOFR",I9389,J9389,0,"Actual360","Simple","Annual","Annual","Annual")</f>
        <v>QSObject:Swap:w1~swap.9387:5078</v>
      </c>
      <c r="F9389" s="6" t="str">
        <f>_xll.QS.TRADE.CREATE("trade.9387",E9389,A9389,"Receive")</f>
        <v>QSObject:SwapTrade:w1~trade.9387:16431</v>
      </c>
      <c r="G9389" s="3">
        <f>_xll.QS.EVALUATE(C9389,F9389)</f>
        <v>59688.902122336047</v>
      </c>
      <c r="H9389" s="5" t="s">
        <v>9430</v>
      </c>
      <c r="I9389" s="7">
        <v>1938700</v>
      </c>
      <c r="J9389" s="8">
        <v>3.8700000000000012E-2</v>
      </c>
    </row>
    <row r="9390" spans="1:10" x14ac:dyDescent="0.25">
      <c r="A9390" s="5" t="s">
        <v>9424</v>
      </c>
      <c r="B9390" s="5" t="s">
        <v>11257</v>
      </c>
      <c r="C9390" s="6" t="str">
        <f>_xll.QS.CONTEXT.CREATE("market.9388",A9390,"USD","SOFR")</f>
        <v>QSObject:PricingContext:w1~market.9388:9904</v>
      </c>
      <c r="D9390" s="6" t="str">
        <f>_xll.QS.CONTEXT.ADD.CURVE(C9390,"SOFR",$K$2:$K$7,$L$2:$L$7,,,"Actual360","LogLinear",TRUE)</f>
        <v>QSObject:ContextInput:w1~input.qs_context_add_curve.2359132437744.9389.3.0:21881</v>
      </c>
      <c r="E9390" s="6" t="str">
        <f>_xll.QS.INSTRUMENT.SWAP("swap.9388",H9390,B9390,"USD","SOFR",I9390,J9390,0,"Actual360","Simple","Annual","Annual","Annual")</f>
        <v>QSObject:Swap:w1~swap.9388:6691</v>
      </c>
      <c r="F9390" s="6" t="str">
        <f>_xll.QS.TRADE.CREATE("trade.9388",E9390,A9390,"Receive")</f>
        <v>QSObject:SwapTrade:w1~trade.9388:20127</v>
      </c>
      <c r="G9390" s="3">
        <f>_xll.QS.EVALUATE(C9390,F9390)</f>
        <v>60728.322666106775</v>
      </c>
      <c r="H9390" s="5" t="s">
        <v>9431</v>
      </c>
      <c r="I9390" s="7">
        <v>1938800</v>
      </c>
      <c r="J9390" s="8">
        <v>3.8800000000000001E-2</v>
      </c>
    </row>
    <row r="9391" spans="1:10" x14ac:dyDescent="0.25">
      <c r="A9391" s="5" t="s">
        <v>9425</v>
      </c>
      <c r="B9391" s="5" t="s">
        <v>11258</v>
      </c>
      <c r="C9391" s="6" t="str">
        <f>_xll.QS.CONTEXT.CREATE("market.9389",A9391,"USD","SOFR")</f>
        <v>QSObject:PricingContext:w1~market.9389:3513</v>
      </c>
      <c r="D9391" s="6" t="str">
        <f>_xll.QS.CONTEXT.ADD.CURVE(C9391,"SOFR",$K$2:$K$7,$L$2:$L$7,,,"Actual360","LogLinear",TRUE)</f>
        <v>QSObject:ContextInput:w1~input.qs_context_add_curve.2359132437744.9390.3.0:13104</v>
      </c>
      <c r="E9391" s="6" t="str">
        <f>_xll.QS.INSTRUMENT.SWAP("swap.9389",H9391,B9391,"USD","SOFR",I9391,J9391,0,"Actual360","Simple","Annual","Annual","Annual")</f>
        <v>QSObject:Swap:w1~swap.9389:11567</v>
      </c>
      <c r="F9391" s="6" t="str">
        <f>_xll.QS.TRADE.CREATE("trade.9389",E9391,A9391,"Receive")</f>
        <v>QSObject:SwapTrade:w1~trade.9389:22393</v>
      </c>
      <c r="G9391" s="3">
        <f>_xll.QS.EVALUATE(C9391,F9391)</f>
        <v>61625.683071092193</v>
      </c>
      <c r="H9391" s="5" t="s">
        <v>9432</v>
      </c>
      <c r="I9391" s="7">
        <v>1938900</v>
      </c>
      <c r="J9391" s="8">
        <v>3.8899999999999997E-2</v>
      </c>
    </row>
    <row r="9392" spans="1:10" x14ac:dyDescent="0.25">
      <c r="A9392" s="5" t="s">
        <v>9426</v>
      </c>
      <c r="B9392" s="5" t="s">
        <v>11259</v>
      </c>
      <c r="C9392" s="6" t="str">
        <f>_xll.QS.CONTEXT.CREATE("market.9390",A9392,"USD","SOFR")</f>
        <v>QSObject:PricingContext:w1~market.9390:17465</v>
      </c>
      <c r="D9392" s="6" t="str">
        <f>_xll.QS.CONTEXT.ADD.CURVE(C9392,"SOFR",$K$2:$K$7,$L$2:$L$7,,,"Actual360","LogLinear",TRUE)</f>
        <v>QSObject:ContextInput:w1~input.qs_context_add_curve.2359132437744.9391.3.0:31457</v>
      </c>
      <c r="E9392" s="6" t="str">
        <f>_xll.QS.INSTRUMENT.SWAP("swap.9390",H9392,B9392,"USD","SOFR",I9392,J9392,0,"Actual360","Simple","Annual","Annual","Annual")</f>
        <v>QSObject:Swap:w1~swap.9390:18425</v>
      </c>
      <c r="F9392" s="6" t="str">
        <f>_xll.QS.TRADE.CREATE("trade.9390",E9392,A9392,"Receive")</f>
        <v>QSObject:SwapTrade:w1~trade.9390:20126</v>
      </c>
      <c r="G9392" s="3">
        <f>_xll.QS.EVALUATE(C9392,F9392)</f>
        <v>62533.886326348395</v>
      </c>
      <c r="H9392" s="5" t="s">
        <v>9433</v>
      </c>
      <c r="I9392" s="7">
        <v>1939000</v>
      </c>
      <c r="J9392" s="8">
        <v>3.9000000000000007E-2</v>
      </c>
    </row>
    <row r="9393" spans="1:10" x14ac:dyDescent="0.25">
      <c r="A9393" s="5" t="s">
        <v>9427</v>
      </c>
      <c r="B9393" s="5" t="s">
        <v>11260</v>
      </c>
      <c r="C9393" s="6" t="str">
        <f>_xll.QS.CONTEXT.CREATE("market.9391",A9393,"USD","SOFR")</f>
        <v>QSObject:PricingContext:w1~market.9391:9903</v>
      </c>
      <c r="D9393" s="6" t="str">
        <f>_xll.QS.CONTEXT.ADD.CURVE(C9393,"SOFR",$K$2:$K$7,$L$2:$L$7,,,"Actual360","LogLinear",TRUE)</f>
        <v>QSObject:ContextInput:w1~input.qs_context_add_curve.2359132437744.9392.3.0:11566</v>
      </c>
      <c r="E9393" s="6" t="str">
        <f>_xll.QS.INSTRUMENT.SWAP("swap.9391",H9393,B9393,"USD","SOFR",I9393,J9393,0,"Actual360","Simple","Annual","Annual","Annual")</f>
        <v>QSObject:Swap:w1~swap.9391:453</v>
      </c>
      <c r="F9393" s="6" t="str">
        <f>_xll.QS.TRADE.CREATE("trade.9391",E9393,A9393,"Receive")</f>
        <v>QSObject:SwapTrade:w1~trade.9391:6690</v>
      </c>
      <c r="G9393" s="3">
        <f>_xll.QS.EVALUATE(C9393,F9393)</f>
        <v>63433.431483719956</v>
      </c>
      <c r="H9393" s="5" t="s">
        <v>9434</v>
      </c>
      <c r="I9393" s="7">
        <v>1939100</v>
      </c>
      <c r="J9393" s="8">
        <v>3.9100000000000003E-2</v>
      </c>
    </row>
    <row r="9394" spans="1:10" x14ac:dyDescent="0.25">
      <c r="A9394" s="5" t="s">
        <v>9428</v>
      </c>
      <c r="B9394" s="5" t="s">
        <v>11261</v>
      </c>
      <c r="C9394" s="6" t="str">
        <f>_xll.QS.CONTEXT.CREATE("market.9392",A9394,"USD","SOFR")</f>
        <v>QSObject:PricingContext:w1~market.9392:8291</v>
      </c>
      <c r="D9394" s="6" t="str">
        <f>_xll.QS.CONTEXT.ADD.CURVE(C9394,"SOFR",$K$2:$K$7,$L$2:$L$7,,,"Actual360","LogLinear",TRUE)</f>
        <v>QSObject:ContextInput:w1~input.qs_context_add_curve.2359132437744.9393.3.0:31456</v>
      </c>
      <c r="E9394" s="6" t="str">
        <f>_xll.QS.INSTRUMENT.SWAP("swap.9392",H9394,B9394,"USD","SOFR",I9394,J9394,0,"Actual360","Simple","Annual","Annual","Annual")</f>
        <v>QSObject:Swap:w1~swap.9392:1962</v>
      </c>
      <c r="F9394" s="6" t="str">
        <f>_xll.QS.TRADE.CREATE("trade.9392",E9394,A9394,"Receive")</f>
        <v>QSObject:SwapTrade:w1~trade.9392:5077</v>
      </c>
      <c r="G9394" s="3">
        <f>_xll.QS.EVALUATE(C9394,F9394)</f>
        <v>64089.564954174835</v>
      </c>
      <c r="H9394" s="5" t="s">
        <v>9435</v>
      </c>
      <c r="I9394" s="7">
        <v>1939200</v>
      </c>
      <c r="J9394" s="8">
        <v>3.9200000000000013E-2</v>
      </c>
    </row>
    <row r="9395" spans="1:10" x14ac:dyDescent="0.25">
      <c r="A9395" s="5" t="s">
        <v>9429</v>
      </c>
      <c r="B9395" s="5" t="s">
        <v>11262</v>
      </c>
      <c r="C9395" s="6" t="str">
        <f>_xll.QS.CONTEXT.CREATE("market.9393",A9395,"USD","SOFR")</f>
        <v>QSObject:PricingContext:w1~market.9393:14752</v>
      </c>
      <c r="D9395" s="6" t="str">
        <f>_xll.QS.CONTEXT.ADD.CURVE(C9395,"SOFR",$K$2:$K$7,$L$2:$L$7,,,"Actual360","LogLinear",TRUE)</f>
        <v>QSObject:ContextInput:w1~input.qs_context_add_curve.2359132437744.9394.3.0:16430</v>
      </c>
      <c r="E9395" s="6" t="str">
        <f>_xll.QS.INSTRUMENT.SWAP("swap.9393",H9395,B9395,"USD","SOFR",I9395,J9395,0,"Actual360","Simple","Annual","Annual","Annual")</f>
        <v>QSObject:Swap:w1~swap.9393:18424</v>
      </c>
      <c r="F9395" s="6" t="str">
        <f>_xll.QS.TRADE.CREATE("trade.9393",E9395,A9395,"Receive")</f>
        <v>QSObject:SwapTrade:w1~trade.9393:22392</v>
      </c>
      <c r="G9395" s="3">
        <f>_xll.QS.EVALUATE(C9395,F9395)</f>
        <v>64992.61336125197</v>
      </c>
      <c r="H9395" s="5" t="s">
        <v>9436</v>
      </c>
      <c r="I9395" s="7">
        <v>1939300</v>
      </c>
      <c r="J9395" s="8">
        <v>3.9300000000000002E-2</v>
      </c>
    </row>
    <row r="9396" spans="1:10" x14ac:dyDescent="0.25">
      <c r="A9396" s="5" t="s">
        <v>9430</v>
      </c>
      <c r="B9396" s="5" t="s">
        <v>11263</v>
      </c>
      <c r="C9396" s="6" t="str">
        <f>_xll.QS.CONTEXT.CREATE("market.9394",A9396,"USD","SOFR")</f>
        <v>QSObject:PricingContext:w1~market.9394:21880</v>
      </c>
      <c r="D9396" s="6" t="str">
        <f>_xll.QS.CONTEXT.ADD.CURVE(C9396,"SOFR",$K$2:$K$7,$L$2:$L$7,,,"Actual360","LogLinear",TRUE)</f>
        <v>QSObject:ContextInput:w1~input.qs_context_add_curve.2359132437744.9395.3.0:31455</v>
      </c>
      <c r="E9396" s="6" t="str">
        <f>_xll.QS.INSTRUMENT.SWAP("swap.9394",H9396,B9396,"USD","SOFR",I9396,J9396,0,"Actual360","Simple","Annual","Annual","Annual")</f>
        <v>QSObject:Swap:w1~swap.9394:20125</v>
      </c>
      <c r="F9396" s="6" t="str">
        <f>_xll.QS.TRADE.CREATE("trade.9394",E9396,A9396,"Receive")</f>
        <v>QSObject:SwapTrade:w1~trade.9394:22391</v>
      </c>
      <c r="G9396" s="3">
        <f>_xll.QS.EVALUATE(C9396,F9396)</f>
        <v>65973.807469835068</v>
      </c>
      <c r="H9396" s="5" t="s">
        <v>9437</v>
      </c>
      <c r="I9396" s="7">
        <v>1939400</v>
      </c>
      <c r="J9396" s="8">
        <v>3.9399999999999998E-2</v>
      </c>
    </row>
    <row r="9397" spans="1:10" x14ac:dyDescent="0.25">
      <c r="A9397" s="5" t="s">
        <v>9431</v>
      </c>
      <c r="B9397" s="5" t="s">
        <v>11264</v>
      </c>
      <c r="C9397" s="6" t="str">
        <f>_xll.QS.CONTEXT.CREATE("market.9395",A9397,"USD","SOFR")</f>
        <v>QSObject:PricingContext:w1~market.9395:1961</v>
      </c>
      <c r="D9397" s="6" t="str">
        <f>_xll.QS.CONTEXT.ADD.CURVE(C9397,"SOFR",$K$2:$K$7,$L$2:$L$7,,,"Actual360","LogLinear",TRUE)</f>
        <v>QSObject:ContextInput:w1~input.qs_context_add_curve.2359132437744.9396.3.0:8290</v>
      </c>
      <c r="E9397" s="6" t="str">
        <f>_xll.QS.INSTRUMENT.SWAP("swap.9395",H9397,B9397,"USD","SOFR",I9397,J9397,0,"Actual360","Simple","Annual","Annual","Annual")</f>
        <v>QSObject:Swap:w1~swap.9395:13103</v>
      </c>
      <c r="F9397" s="6" t="str">
        <f>_xll.QS.TRADE.CREATE("trade.9395",E9397,A9397,"Receive")</f>
        <v>QSObject:SwapTrade:w1~trade.9395:22390</v>
      </c>
      <c r="G9397" s="3">
        <f>_xll.QS.EVALUATE(C9397,F9397)</f>
        <v>67014.311230615684</v>
      </c>
      <c r="H9397" s="5" t="s">
        <v>9438</v>
      </c>
      <c r="I9397" s="7">
        <v>1939500</v>
      </c>
      <c r="J9397" s="8">
        <v>3.9500000000000007E-2</v>
      </c>
    </row>
    <row r="9398" spans="1:10" x14ac:dyDescent="0.25">
      <c r="A9398" s="5" t="s">
        <v>9432</v>
      </c>
      <c r="B9398" s="5" t="s">
        <v>11265</v>
      </c>
      <c r="C9398" s="6" t="str">
        <f>_xll.QS.CONTEXT.CREATE("market.9396",A9398,"USD","SOFR")</f>
        <v>QSObject:PricingContext:w1~market.9396:14751</v>
      </c>
      <c r="D9398" s="6" t="str">
        <f>_xll.QS.CONTEXT.ADD.CURVE(C9398,"SOFR",$K$2:$K$7,$L$2:$L$7,,,"Actual360","LogLinear",TRUE)</f>
        <v>QSObject:ContextInput:w1~input.qs_context_add_curve.2359132437744.9397.3.0:18423</v>
      </c>
      <c r="E9398" s="6" t="str">
        <f>_xll.QS.INSTRUMENT.SWAP("swap.9396",H9398,B9398,"USD","SOFR",I9398,J9398,0,"Actual360","Simple","Annual","Annual","Annual")</f>
        <v>QSObject:Swap:w1~swap.9396:11565</v>
      </c>
      <c r="F9398" s="6" t="str">
        <f>_xll.QS.TRADE.CREATE("trade.9396",E9398,A9398,"Receive")</f>
        <v>QSObject:SwapTrade:w1~trade.9396:22389</v>
      </c>
      <c r="G9398" s="3">
        <f>_xll.QS.EVALUATE(C9398,F9398)</f>
        <v>67912.609259224468</v>
      </c>
      <c r="H9398" s="5" t="s">
        <v>9439</v>
      </c>
      <c r="I9398" s="7">
        <v>1939600</v>
      </c>
      <c r="J9398" s="8">
        <v>3.9600000000000003E-2</v>
      </c>
    </row>
    <row r="9399" spans="1:10" x14ac:dyDescent="0.25">
      <c r="A9399" s="5" t="s">
        <v>9433</v>
      </c>
      <c r="B9399" s="5" t="s">
        <v>11266</v>
      </c>
      <c r="C9399" s="6" t="str">
        <f>_xll.QS.CONTEXT.CREATE("market.9397",A9399,"USD","SOFR")</f>
        <v>QSObject:PricingContext:w1~market.9397:452</v>
      </c>
      <c r="D9399" s="6" t="str">
        <f>_xll.QS.CONTEXT.ADD.CURVE(C9399,"SOFR",$K$2:$K$7,$L$2:$L$7,,,"Actual360","LogLinear",TRUE)</f>
        <v>QSObject:ContextInput:w1~input.qs_context_add_curve.2359132437744.9398.3.0:17464</v>
      </c>
      <c r="E9399" s="6" t="str">
        <f>_xll.QS.INSTRUMENT.SWAP("swap.9397",H9399,B9399,"USD","SOFR",I9399,J9399,0,"Actual360","Simple","Annual","Annual","Annual")</f>
        <v>QSObject:Swap:w1~swap.9397:16429</v>
      </c>
      <c r="F9399" s="6" t="str">
        <f>_xll.QS.TRADE.CREATE("trade.9397",E9399,A9399,"Receive")</f>
        <v>QSObject:SwapTrade:w1~trade.9397:22388</v>
      </c>
      <c r="G9399" s="3">
        <f>_xll.QS.EVALUATE(C9399,F9399)</f>
        <v>68820.882387565711</v>
      </c>
      <c r="H9399" s="5" t="s">
        <v>9440</v>
      </c>
      <c r="I9399" s="7">
        <v>1939700</v>
      </c>
      <c r="J9399" s="8">
        <v>3.9700000000000013E-2</v>
      </c>
    </row>
    <row r="9400" spans="1:10" x14ac:dyDescent="0.25">
      <c r="A9400" s="5" t="s">
        <v>9434</v>
      </c>
      <c r="B9400" s="5" t="s">
        <v>11267</v>
      </c>
      <c r="C9400" s="6" t="str">
        <f>_xll.QS.CONTEXT.CREATE("market.9398",A9400,"USD","SOFR")</f>
        <v>QSObject:PricingContext:w1~market.9398:21879</v>
      </c>
      <c r="D9400" s="6" t="str">
        <f>_xll.QS.CONTEXT.ADD.CURVE(C9400,"SOFR",$K$2:$K$7,$L$2:$L$7,,,"Actual360","LogLinear",TRUE)</f>
        <v>QSObject:ContextInput:w1~input.qs_context_add_curve.2359132437744.9399.3.0:31454</v>
      </c>
      <c r="E9400" s="6" t="str">
        <f>_xll.QS.INSTRUMENT.SWAP("swap.9398",H9400,B9400,"USD","SOFR",I9400,J9400,0,"Actual360","Simple","Annual","Annual","Annual")</f>
        <v>QSObject:Swap:w1~swap.9398:1960</v>
      </c>
      <c r="F9400" s="6" t="str">
        <f>_xll.QS.TRADE.CREATE("trade.9398",E9400,A9400,"Receive")</f>
        <v>QSObject:SwapTrade:w1~trade.9398:14750</v>
      </c>
      <c r="G9400" s="3">
        <f>_xll.QS.EVALUATE(C9400,F9400)</f>
        <v>69720.855916547473</v>
      </c>
      <c r="H9400" s="5" t="s">
        <v>9441</v>
      </c>
      <c r="I9400" s="7">
        <v>1939800</v>
      </c>
      <c r="J9400" s="8">
        <v>3.9800000000000002E-2</v>
      </c>
    </row>
    <row r="9401" spans="1:10" x14ac:dyDescent="0.25">
      <c r="A9401" s="5" t="s">
        <v>9435</v>
      </c>
      <c r="B9401" s="5" t="s">
        <v>11268</v>
      </c>
      <c r="C9401" s="6" t="str">
        <f>_xll.QS.CONTEXT.CREATE("market.9399",A9401,"USD","SOFR")</f>
        <v>QSObject:PricingContext:w1~market.9399:8289</v>
      </c>
      <c r="D9401" s="6" t="str">
        <f>_xll.QS.CONTEXT.ADD.CURVE(C9401,"SOFR",$K$2:$K$7,$L$2:$L$7,,,"Actual360","LogLinear",TRUE)</f>
        <v>QSObject:ContextInput:w1~input.qs_context_add_curve.2359132437744.9400.3.0:20124</v>
      </c>
      <c r="E9401" s="6" t="str">
        <f>_xll.QS.INSTRUMENT.SWAP("swap.9399",H9401,B9401,"USD","SOFR",I9401,J9401,0,"Actual360","Simple","Annual","Annual","Annual")</f>
        <v>QSObject:Swap:w1~swap.9399:3512</v>
      </c>
      <c r="F9401" s="6" t="str">
        <f>_xll.QS.TRADE.CREATE("trade.9399",E9401,A9401,"Receive")</f>
        <v>QSObject:SwapTrade:w1~trade.9399:6689</v>
      </c>
      <c r="G9401" s="3">
        <f>_xll.QS.EVALUATE(C9401,F9401)</f>
        <v>70376.291900885088</v>
      </c>
      <c r="H9401" s="5" t="s">
        <v>9442</v>
      </c>
      <c r="I9401" s="7">
        <v>1939900</v>
      </c>
      <c r="J9401" s="8">
        <v>3.9899999999999998E-2</v>
      </c>
    </row>
    <row r="9402" spans="1:10" x14ac:dyDescent="0.25">
      <c r="A9402" s="5" t="s">
        <v>9436</v>
      </c>
      <c r="B9402" s="5" t="s">
        <v>11269</v>
      </c>
      <c r="C9402" s="6" t="str">
        <f>_xll.QS.CONTEXT.CREATE("market.9400",A9402,"USD","SOFR")</f>
        <v>QSObject:PricingContext:w1~market.9400:17463</v>
      </c>
      <c r="D9402" s="6" t="str">
        <f>_xll.QS.CONTEXT.ADD.CURVE(C9402,"SOFR",$K$2:$K$7,$L$2:$L$7,,,"Actual360","LogLinear",TRUE)</f>
        <v>QSObject:ContextInput:w1~input.qs_context_add_curve.2359132437744.9401.3.0:31453</v>
      </c>
      <c r="E9402" s="6" t="str">
        <f>_xll.QS.INSTRUMENT.SWAP("swap.9400",H9402,B9402,"USD","SOFR",I9402,J9402,0,"Actual360","Simple","Annual","Annual","Annual")</f>
        <v>QSObject:Swap:w1~swap.9400:13102</v>
      </c>
      <c r="F9402" s="6" t="str">
        <f>_xll.QS.TRADE.CREATE("trade.9400",E9402,A9402,"Receive")</f>
        <v>QSObject:SwapTrade:w1~trade.9400:22387</v>
      </c>
      <c r="G9402" s="3">
        <f>_xll.QS.EVALUATE(C9402,F9402)</f>
        <v>26532.811786920858</v>
      </c>
      <c r="H9402" s="5" t="s">
        <v>9443</v>
      </c>
      <c r="I9402" s="7">
        <v>1940000</v>
      </c>
      <c r="J9402" s="8">
        <v>3.5000000000000003E-2</v>
      </c>
    </row>
    <row r="9403" spans="1:10" x14ac:dyDescent="0.25">
      <c r="A9403" s="5" t="s">
        <v>9437</v>
      </c>
      <c r="B9403" s="5" t="s">
        <v>11270</v>
      </c>
      <c r="C9403" s="6" t="str">
        <f>_xll.QS.CONTEXT.CREATE("market.9401",A9403,"USD","SOFR")</f>
        <v>QSObject:PricingContext:w1~market.9401:9902</v>
      </c>
      <c r="D9403" s="6" t="str">
        <f>_xll.QS.CONTEXT.ADD.CURVE(C9403,"SOFR",$K$2:$K$7,$L$2:$L$7,,,"Actual360","LogLinear",TRUE)</f>
        <v>QSObject:ContextInput:w1~input.qs_context_add_curve.2359132437744.9402.3.0:16428</v>
      </c>
      <c r="E9403" s="6" t="str">
        <f>_xll.QS.INSTRUMENT.SWAP("swap.9401",H9403,B9403,"USD","SOFR",I9403,J9403,0,"Actual360","Simple","Annual","Annual","Annual")</f>
        <v>QSObject:Swap:w1~swap.9401:11564</v>
      </c>
      <c r="F9403" s="6" t="str">
        <f>_xll.QS.TRADE.CREATE("trade.9401",E9403,A9403,"Receive")</f>
        <v>QSObject:SwapTrade:w1~trade.9401:21878</v>
      </c>
      <c r="G9403" s="3">
        <f>_xll.QS.EVALUATE(C9403,F9403)</f>
        <v>27507.601375914186</v>
      </c>
      <c r="H9403" s="5" t="s">
        <v>9444</v>
      </c>
      <c r="I9403" s="7">
        <v>1940100</v>
      </c>
      <c r="J9403" s="8">
        <v>3.5100000000000013E-2</v>
      </c>
    </row>
    <row r="9404" spans="1:10" x14ac:dyDescent="0.25">
      <c r="A9404" s="5" t="s">
        <v>9438</v>
      </c>
      <c r="B9404" s="5" t="s">
        <v>11271</v>
      </c>
      <c r="C9404" s="6" t="str">
        <f>_xll.QS.CONTEXT.CREATE("market.9402",A9404,"USD","SOFR")</f>
        <v>QSObject:PricingContext:w1~market.9402:8288</v>
      </c>
      <c r="D9404" s="6" t="str">
        <f>_xll.QS.CONTEXT.ADD.CURVE(C9404,"SOFR",$K$2:$K$7,$L$2:$L$7,,,"Actual360","LogLinear",TRUE)</f>
        <v>QSObject:ContextInput:w1~input.qs_context_add_curve.2359132437744.9403.3.0:18422</v>
      </c>
      <c r="E9404" s="6" t="str">
        <f>_xll.QS.INSTRUMENT.SWAP("swap.9402",H9404,B9404,"USD","SOFR",I9404,J9404,0,"Actual360","Simple","Annual","Annual","Annual")</f>
        <v>QSObject:Swap:w1~swap.9402:20123</v>
      </c>
      <c r="F9404" s="6" t="str">
        <f>_xll.QS.TRADE.CREATE("trade.9402",E9404,A9404,"Receive")</f>
        <v>QSObject:SwapTrade:w1~trade.9402:22386</v>
      </c>
      <c r="G9404" s="3">
        <f>_xll.QS.EVALUATE(C9404,F9404)</f>
        <v>28546.729187663041</v>
      </c>
      <c r="H9404" s="5" t="s">
        <v>9445</v>
      </c>
      <c r="I9404" s="7">
        <v>1940200</v>
      </c>
      <c r="J9404" s="8">
        <v>3.5200000000000002E-2</v>
      </c>
    </row>
    <row r="9405" spans="1:10" x14ac:dyDescent="0.25">
      <c r="A9405" s="5" t="s">
        <v>9439</v>
      </c>
      <c r="B9405" s="5" t="s">
        <v>11272</v>
      </c>
      <c r="C9405" s="6" t="str">
        <f>_xll.QS.CONTEXT.CREATE("market.9403",A9405,"USD","SOFR")</f>
        <v>QSObject:PricingContext:w1~market.9403:5076</v>
      </c>
      <c r="D9405" s="6" t="str">
        <f>_xll.QS.CONTEXT.ADD.CURVE(C9405,"SOFR",$K$2:$K$7,$L$2:$L$7,,,"Actual360","LogLinear",TRUE)</f>
        <v>QSObject:ContextInput:w1~input.qs_context_add_curve.2359132437744.9404.3.0:22385</v>
      </c>
      <c r="E9405" s="6" t="str">
        <f>_xll.QS.INSTRUMENT.SWAP("swap.9403",H9405,B9405,"USD","SOFR",I9405,J9405,0,"Actual360","Simple","Annual","Annual","Annual")</f>
        <v>QSObject:Swap:w1~swap.9403:13101</v>
      </c>
      <c r="F9405" s="6" t="str">
        <f>_xll.QS.TRADE.CREATE("trade.9403",E9405,A9405,"Receive")</f>
        <v>QSObject:SwapTrade:w1~trade.9403:17462</v>
      </c>
      <c r="G9405" s="3">
        <f>_xll.QS.EVALUATE(C9405,F9405)</f>
        <v>29443.046276231755</v>
      </c>
      <c r="H9405" s="5" t="s">
        <v>9446</v>
      </c>
      <c r="I9405" s="7">
        <v>1940300</v>
      </c>
      <c r="J9405" s="8">
        <v>3.5299999999999998E-2</v>
      </c>
    </row>
    <row r="9406" spans="1:10" x14ac:dyDescent="0.25">
      <c r="A9406" s="5" t="s">
        <v>9440</v>
      </c>
      <c r="B9406" s="5" t="s">
        <v>11273</v>
      </c>
      <c r="C9406" s="6" t="str">
        <f>_xll.QS.CONTEXT.CREATE("market.9404",A9406,"USD","SOFR")</f>
        <v>QSObject:PricingContext:w1~market.9404:6688</v>
      </c>
      <c r="D9406" s="6" t="str">
        <f>_xll.QS.CONTEXT.ADD.CURVE(C9406,"SOFR",$K$2:$K$7,$L$2:$L$7,,,"Actual360","LogLinear",TRUE)</f>
        <v>QSObject:ContextInput:w1~input.qs_context_add_curve.2359132437744.9405.3.0:31452</v>
      </c>
      <c r="E9406" s="6" t="str">
        <f>_xll.QS.INSTRUMENT.SWAP("swap.9404",H9406,B9406,"USD","SOFR",I9406,J9406,0,"Actual360","Simple","Annual","Annual","Annual")</f>
        <v>QSObject:Swap:w1~swap.9404:16427</v>
      </c>
      <c r="F9406" s="6" t="str">
        <f>_xll.QS.TRADE.CREATE("trade.9404",E9406,A9406,"Receive")</f>
        <v>QSObject:SwapTrade:w1~trade.9404:22384</v>
      </c>
      <c r="G9406" s="3">
        <f>_xll.QS.EVALUATE(C9406,F9406)</f>
        <v>30349.680896617385</v>
      </c>
      <c r="H9406" s="5" t="s">
        <v>9447</v>
      </c>
      <c r="I9406" s="7">
        <v>1940400</v>
      </c>
      <c r="J9406" s="8">
        <v>3.5400000000000001E-2</v>
      </c>
    </row>
    <row r="9407" spans="1:10" x14ac:dyDescent="0.25">
      <c r="A9407" s="5" t="s">
        <v>9441</v>
      </c>
      <c r="B9407" s="5" t="s">
        <v>11274</v>
      </c>
      <c r="C9407" s="6" t="str">
        <f>_xll.QS.CONTEXT.CREATE("market.9405",A9407,"USD","SOFR")</f>
        <v>QSObject:PricingContext:w1~market.9405:1959</v>
      </c>
      <c r="D9407" s="6" t="str">
        <f>_xll.QS.CONTEXT.ADD.CURVE(C9407,"SOFR",$K$2:$K$7,$L$2:$L$7,,,"Actual360","LogLinear",TRUE)</f>
        <v>QSObject:ContextInput:w1~input.qs_context_add_curve.2359132437744.9406.3.0:21877</v>
      </c>
      <c r="E9407" s="6" t="str">
        <f>_xll.QS.INSTRUMENT.SWAP("swap.9405",H9407,B9407,"USD","SOFR",I9407,J9407,0,"Actual360","Simple","Annual","Annual","Annual")</f>
        <v>QSObject:Swap:w1~swap.9405:14749</v>
      </c>
      <c r="F9407" s="6" t="str">
        <f>_xll.QS.TRADE.CREATE("trade.9405",E9407,A9407,"Receive")</f>
        <v>QSObject:SwapTrade:w1~trade.9405:18421</v>
      </c>
      <c r="G9407" s="3">
        <f>_xll.QS.EVALUATE(C9407,F9407)</f>
        <v>31248.862874461862</v>
      </c>
      <c r="H9407" s="5" t="s">
        <v>9448</v>
      </c>
      <c r="I9407" s="7">
        <v>1940500</v>
      </c>
      <c r="J9407" s="8">
        <v>3.5499999999999997E-2</v>
      </c>
    </row>
    <row r="9408" spans="1:10" x14ac:dyDescent="0.25">
      <c r="A9408" s="5" t="s">
        <v>9442</v>
      </c>
      <c r="B9408" s="5" t="s">
        <v>11275</v>
      </c>
      <c r="C9408" s="6" t="str">
        <f>_xll.QS.CONTEXT.CREATE("market.9406",A9408,"USD","SOFR")</f>
        <v>QSObject:PricingContext:w1~market.9406:20122</v>
      </c>
      <c r="D9408" s="6" t="str">
        <f>_xll.QS.CONTEXT.ADD.CURVE(C9408,"SOFR",$K$2:$K$7,$L$2:$L$7,,,"Actual360","LogLinear",TRUE)</f>
        <v>QSObject:ContextInput:w1~input.qs_context_add_curve.2359132437744.9407.3.0:31451</v>
      </c>
      <c r="E9408" s="6" t="str">
        <f>_xll.QS.INSTRUMENT.SWAP("swap.9406",H9408,B9408,"USD","SOFR",I9408,J9408,0,"Actual360","Simple","Annual","Annual","Annual")</f>
        <v>QSObject:Swap:w1~swap.9406:5075</v>
      </c>
      <c r="F9408" s="6" t="str">
        <f>_xll.QS.TRADE.CREATE("trade.9406",E9408,A9408,"Receive")</f>
        <v>QSObject:SwapTrade:w1~trade.9406:8287</v>
      </c>
      <c r="G9408" s="3">
        <f>_xll.QS.EVALUATE(C9408,F9408)</f>
        <v>31831.300502096805</v>
      </c>
      <c r="H9408" s="5" t="s">
        <v>9449</v>
      </c>
      <c r="I9408" s="7">
        <v>1940600</v>
      </c>
      <c r="J9408" s="8">
        <v>3.5600000000000007E-2</v>
      </c>
    </row>
    <row r="9409" spans="1:10" x14ac:dyDescent="0.25">
      <c r="A9409" s="5" t="s">
        <v>9443</v>
      </c>
      <c r="B9409" s="5" t="s">
        <v>11276</v>
      </c>
      <c r="C9409" s="6" t="str">
        <f>_xll.QS.CONTEXT.CREATE("market.9407",A9409,"USD","SOFR")</f>
        <v>QSObject:PricingContext:w1~market.9407:3511</v>
      </c>
      <c r="D9409" s="6" t="str">
        <f>_xll.QS.CONTEXT.ADD.CURVE(C9409,"SOFR",$K$2:$K$7,$L$2:$L$7,,,"Actual360","LogLinear",TRUE)</f>
        <v>QSObject:ContextInput:w1~input.qs_context_add_curve.2359132437744.9408.3.0:17461</v>
      </c>
      <c r="E9409" s="6" t="str">
        <f>_xll.QS.INSTRUMENT.SWAP("swap.9407",H9409,B9409,"USD","SOFR",I9409,J9409,0,"Actual360","Simple","Annual","Annual","Annual")</f>
        <v>QSObject:Swap:w1~swap.9407:11563</v>
      </c>
      <c r="F9409" s="6" t="str">
        <f>_xll.QS.TRADE.CREATE("trade.9407",E9409,A9409,"Receive")</f>
        <v>QSObject:SwapTrade:w1~trade.9407:13100</v>
      </c>
      <c r="G9409" s="3">
        <f>_xll.QS.EVALUATE(C9409,F9409)</f>
        <v>32730.47155594908</v>
      </c>
      <c r="H9409" s="5" t="s">
        <v>9450</v>
      </c>
      <c r="I9409" s="7">
        <v>1940700</v>
      </c>
      <c r="J9409" s="8">
        <v>3.5700000000000003E-2</v>
      </c>
    </row>
    <row r="9410" spans="1:10" x14ac:dyDescent="0.25">
      <c r="A9410" s="5" t="s">
        <v>9444</v>
      </c>
      <c r="B9410" s="5" t="s">
        <v>11277</v>
      </c>
      <c r="C9410" s="6" t="str">
        <f>_xll.QS.CONTEXT.CREATE("market.9408",A9410,"USD","SOFR")</f>
        <v>QSObject:PricingContext:w1~market.9408:21876</v>
      </c>
      <c r="D9410" s="6" t="str">
        <f>_xll.QS.CONTEXT.ADD.CURVE(C9410,"SOFR",$K$2:$K$7,$L$2:$L$7,,,"Actual360","LogLinear",TRUE)</f>
        <v>QSObject:ContextInput:w1~input.qs_context_add_curve.2359132437744.9409.3.0:31450</v>
      </c>
      <c r="E9410" s="6" t="str">
        <f>_xll.QS.INSTRUMENT.SWAP("swap.9408",H9410,B9410,"USD","SOFR",I9410,J9410,0,"Actual360","Simple","Annual","Annual","Annual")</f>
        <v>QSObject:Swap:w1~swap.9408:1958</v>
      </c>
      <c r="F9410" s="6" t="str">
        <f>_xll.QS.TRADE.CREATE("trade.9408",E9410,A9410,"Receive")</f>
        <v>QSObject:SwapTrade:w1~trade.9408:18420</v>
      </c>
      <c r="G9410" s="3">
        <f>_xll.QS.EVALUATE(C9410,F9410)</f>
        <v>33707.902861175498</v>
      </c>
      <c r="H9410" s="5" t="s">
        <v>9451</v>
      </c>
      <c r="I9410" s="7">
        <v>1940800</v>
      </c>
      <c r="J9410" s="8">
        <v>3.5800000000000012E-2</v>
      </c>
    </row>
    <row r="9411" spans="1:10" x14ac:dyDescent="0.25">
      <c r="A9411" s="5" t="s">
        <v>9445</v>
      </c>
      <c r="B9411" s="5" t="s">
        <v>11278</v>
      </c>
      <c r="C9411" s="6" t="str">
        <f>_xll.QS.CONTEXT.CREATE("market.9409",A9411,"USD","SOFR")</f>
        <v>QSObject:PricingContext:w1~market.9409:16426</v>
      </c>
      <c r="D9411" s="6" t="str">
        <f>_xll.QS.CONTEXT.ADD.CURVE(C9411,"SOFR",$K$2:$K$7,$L$2:$L$7,,,"Actual360","LogLinear",TRUE)</f>
        <v>QSObject:ContextInput:w1~input.qs_context_add_curve.2359132437744.9410.3.0:31449</v>
      </c>
      <c r="E9411" s="6" t="str">
        <f>_xll.QS.INSTRUMENT.SWAP("swap.9409",H9411,B9411,"USD","SOFR",I9411,J9411,0,"Actual360","Simple","Annual","Annual","Annual")</f>
        <v>QSObject:Swap:w1~swap.9409:5074</v>
      </c>
      <c r="F9411" s="6" t="str">
        <f>_xll.QS.TRADE.CREATE("trade.9409",E9411,A9411,"Receive")</f>
        <v>QSObject:SwapTrade:w1~trade.9409:13099</v>
      </c>
      <c r="G9411" s="3">
        <f>_xll.QS.EVALUATE(C9411,F9411)</f>
        <v>34897.217849347042</v>
      </c>
      <c r="H9411" s="5" t="s">
        <v>9452</v>
      </c>
      <c r="I9411" s="7">
        <v>1940900</v>
      </c>
      <c r="J9411" s="8">
        <v>3.5900000000000001E-2</v>
      </c>
    </row>
    <row r="9412" spans="1:10" x14ac:dyDescent="0.25">
      <c r="A9412" s="5" t="s">
        <v>9446</v>
      </c>
      <c r="B9412" s="5" t="s">
        <v>11279</v>
      </c>
      <c r="C9412" s="6" t="str">
        <f>_xll.QS.CONTEXT.CREATE("market.9410",A9412,"USD","SOFR")</f>
        <v>QSObject:PricingContext:w1~market.9410:21875</v>
      </c>
      <c r="D9412" s="6" t="str">
        <f>_xll.QS.CONTEXT.ADD.CURVE(C9412,"SOFR",$K$2:$K$7,$L$2:$L$7,,,"Actual360","LogLinear",TRUE)</f>
        <v>QSObject:ContextInput:w1~input.qs_context_add_curve.2359132437744.9411.3.0:31448</v>
      </c>
      <c r="E9412" s="6" t="str">
        <f>_xll.QS.INSTRUMENT.SWAP("swap.9410",H9412,B9412,"USD","SOFR",I9412,J9412,0,"Actual360","Simple","Annual","Annual","Annual")</f>
        <v>QSObject:Swap:w1~swap.9410:11562</v>
      </c>
      <c r="F9412" s="6" t="str">
        <f>_xll.QS.TRADE.CREATE("trade.9410",E9412,A9412,"Receive")</f>
        <v>QSObject:SwapTrade:w1~trade.9410:17460</v>
      </c>
      <c r="G9412" s="3">
        <f>_xll.QS.EVALUATE(C9412,F9412)</f>
        <v>35794.200519898674</v>
      </c>
      <c r="H9412" s="5" t="s">
        <v>9453</v>
      </c>
      <c r="I9412" s="7">
        <v>1941000</v>
      </c>
      <c r="J9412" s="8">
        <v>3.5999999999999997E-2</v>
      </c>
    </row>
    <row r="9413" spans="1:10" x14ac:dyDescent="0.25">
      <c r="A9413" s="5" t="s">
        <v>9447</v>
      </c>
      <c r="B9413" s="5" t="s">
        <v>11280</v>
      </c>
      <c r="C9413" s="6" t="str">
        <f>_xll.QS.CONTEXT.CREATE("market.9411",A9413,"USD","SOFR")</f>
        <v>QSObject:PricingContext:w1~market.9411:9901</v>
      </c>
      <c r="D9413" s="6" t="str">
        <f>_xll.QS.CONTEXT.ADD.CURVE(C9413,"SOFR",$K$2:$K$7,$L$2:$L$7,,,"Actual360","LogLinear",TRUE)</f>
        <v>QSObject:ContextInput:w1~input.qs_context_add_curve.2359132437744.9412.3.0:14748</v>
      </c>
      <c r="E9413" s="6" t="str">
        <f>_xll.QS.INSTRUMENT.SWAP("swap.9411",H9413,B9413,"USD","SOFR",I9413,J9413,0,"Actual360","Simple","Annual","Annual","Annual")</f>
        <v>QSObject:Swap:w1~swap.9411:1957</v>
      </c>
      <c r="F9413" s="6" t="str">
        <f>_xll.QS.TRADE.CREATE("trade.9411",E9413,A9413,"Receive")</f>
        <v>QSObject:SwapTrade:w1~trade.9411:8286</v>
      </c>
      <c r="G9413" s="3">
        <f>_xll.QS.EVALUATE(C9413,F9413)</f>
        <v>36708.660808420289</v>
      </c>
      <c r="H9413" s="5" t="s">
        <v>9454</v>
      </c>
      <c r="I9413" s="7">
        <v>1941100</v>
      </c>
      <c r="J9413" s="8">
        <v>3.61E-2</v>
      </c>
    </row>
    <row r="9414" spans="1:10" x14ac:dyDescent="0.25">
      <c r="A9414" s="5" t="s">
        <v>9448</v>
      </c>
      <c r="B9414" s="5" t="s">
        <v>11281</v>
      </c>
      <c r="C9414" s="6" t="str">
        <f>_xll.QS.CONTEXT.CREATE("market.9412",A9414,"USD","SOFR")</f>
        <v>QSObject:PricingContext:w1~market.9412:21874</v>
      </c>
      <c r="D9414" s="6" t="str">
        <f>_xll.QS.CONTEXT.ADD.CURVE(C9414,"SOFR",$K$2:$K$7,$L$2:$L$7,,,"Actual360","LogLinear",TRUE)</f>
        <v>QSObject:ContextInput:w1~input.qs_context_add_curve.2359132437744.9413.3.0:31447</v>
      </c>
      <c r="E9414" s="6" t="str">
        <f>_xll.QS.INSTRUMENT.SWAP("swap.9412",H9414,B9414,"USD","SOFR",I9414,J9414,0,"Actual360","Simple","Annual","Annual","Annual")</f>
        <v>QSObject:Swap:w1~swap.9412:5073</v>
      </c>
      <c r="F9414" s="6" t="str">
        <f>_xll.QS.TRADE.CREATE("trade.9412",E9414,A9414,"Receive")</f>
        <v>QSObject:SwapTrade:w1~trade.9412:22383</v>
      </c>
      <c r="G9414" s="3">
        <f>_xll.QS.EVALUATE(C9414,F9414)</f>
        <v>37607.011195434992</v>
      </c>
      <c r="H9414" s="5" t="s">
        <v>9455</v>
      </c>
      <c r="I9414" s="7">
        <v>1941200</v>
      </c>
      <c r="J9414" s="8">
        <v>3.6200000000000003E-2</v>
      </c>
    </row>
    <row r="9415" spans="1:10" x14ac:dyDescent="0.25">
      <c r="A9415" s="5" t="s">
        <v>9449</v>
      </c>
      <c r="B9415" s="5" t="s">
        <v>11282</v>
      </c>
      <c r="C9415" s="6" t="str">
        <f>_xll.QS.CONTEXT.CREATE("market.9413",A9415,"USD","SOFR")</f>
        <v>QSObject:PricingContext:w1~market.9413:16425</v>
      </c>
      <c r="D9415" s="6" t="str">
        <f>_xll.QS.CONTEXT.ADD.CURVE(C9415,"SOFR",$K$2:$K$7,$L$2:$L$7,,,"Actual360","LogLinear",TRUE)</f>
        <v>QSObject:ContextInput:w1~input.qs_context_add_curve.2359132437744.9414.3.0:20121</v>
      </c>
      <c r="E9415" s="6" t="str">
        <f>_xll.QS.INSTRUMENT.SWAP("swap.9413",H9415,B9415,"USD","SOFR",I9415,J9415,0,"Actual360","Simple","Annual","Annual","Annual")</f>
        <v>QSObject:Swap:w1~swap.9413:18419</v>
      </c>
      <c r="F9415" s="6" t="str">
        <f>_xll.QS.TRADE.CREATE("trade.9413",E9415,A9415,"Receive")</f>
        <v>QSObject:SwapTrade:w1~trade.9413:22382</v>
      </c>
      <c r="G9415" s="3">
        <f>_xll.QS.EVALUATE(C9415,F9415)</f>
        <v>38267.744940186865</v>
      </c>
      <c r="H9415" s="5" t="s">
        <v>9456</v>
      </c>
      <c r="I9415" s="7">
        <v>1941300</v>
      </c>
      <c r="J9415" s="8">
        <v>3.6300000000000013E-2</v>
      </c>
    </row>
    <row r="9416" spans="1:10" x14ac:dyDescent="0.25">
      <c r="A9416" s="5" t="s">
        <v>9450</v>
      </c>
      <c r="B9416" s="5" t="s">
        <v>11283</v>
      </c>
      <c r="C9416" s="6" t="str">
        <f>_xll.QS.CONTEXT.CREATE("market.9414",A9416,"USD","SOFR")</f>
        <v>QSObject:PricingContext:w1~market.9414:6687</v>
      </c>
      <c r="D9416" s="6" t="str">
        <f>_xll.QS.CONTEXT.ADD.CURVE(C9416,"SOFR",$K$2:$K$7,$L$2:$L$7,,,"Actual360","LogLinear",TRUE)</f>
        <v>QSObject:ContextInput:w1~input.qs_context_add_curve.2359132437744.9415.3.0:22381</v>
      </c>
      <c r="E9416" s="6" t="str">
        <f>_xll.QS.INSTRUMENT.SWAP("swap.9414",H9416,B9416,"USD","SOFR",I9416,J9416,0,"Actual360","Simple","Annual","Annual","Annual")</f>
        <v>QSObject:Swap:w1~swap.9414:13098</v>
      </c>
      <c r="F9416" s="6" t="str">
        <f>_xll.QS.TRADE.CREATE("trade.9414",E9416,A9416,"Receive")</f>
        <v>QSObject:SwapTrade:w1~trade.9414:14747</v>
      </c>
      <c r="G9416" s="3">
        <f>_xll.QS.EVALUATE(C9416,F9416)</f>
        <v>39168.460730709128</v>
      </c>
      <c r="H9416" s="5" t="s">
        <v>9457</v>
      </c>
      <c r="I9416" s="7">
        <v>1941400</v>
      </c>
      <c r="J9416" s="8">
        <v>3.6400000000000002E-2</v>
      </c>
    </row>
    <row r="9417" spans="1:10" x14ac:dyDescent="0.25">
      <c r="A9417" s="5" t="s">
        <v>9451</v>
      </c>
      <c r="B9417" s="5" t="s">
        <v>11284</v>
      </c>
      <c r="C9417" s="6" t="str">
        <f>_xll.QS.CONTEXT.CREATE("market.9415",A9417,"USD","SOFR")</f>
        <v>QSObject:PricingContext:w1~market.9415:1956</v>
      </c>
      <c r="D9417" s="6" t="str">
        <f>_xll.QS.CONTEXT.ADD.CURVE(C9417,"SOFR",$K$2:$K$7,$L$2:$L$7,,,"Actual360","LogLinear",TRUE)</f>
        <v>QSObject:ContextInput:w1~input.qs_context_add_curve.2359132437744.9416.3.0:9900</v>
      </c>
      <c r="E9417" s="6" t="str">
        <f>_xll.QS.INSTRUMENT.SWAP("swap.9415",H9417,B9417,"USD","SOFR",I9417,J9417,0,"Actual360","Simple","Annual","Annual","Annual")</f>
        <v>QSObject:Swap:w1~swap.9415:451</v>
      </c>
      <c r="F9417" s="6" t="str">
        <f>_xll.QS.TRADE.CREATE("trade.9415",E9417,A9417,"Receive")</f>
        <v>QSObject:SwapTrade:w1~trade.9415:16424</v>
      </c>
      <c r="G9417" s="3">
        <f>_xll.QS.EVALUATE(C9417,F9417)</f>
        <v>40069.03258052039</v>
      </c>
      <c r="H9417" s="5" t="s">
        <v>9458</v>
      </c>
      <c r="I9417" s="7">
        <v>1941500</v>
      </c>
      <c r="J9417" s="8">
        <v>3.6499999999999998E-2</v>
      </c>
    </row>
    <row r="9418" spans="1:10" x14ac:dyDescent="0.25">
      <c r="A9418" s="5" t="s">
        <v>9452</v>
      </c>
      <c r="B9418" s="5" t="s">
        <v>11285</v>
      </c>
      <c r="C9418" s="6" t="str">
        <f>_xll.QS.CONTEXT.CREATE("market.9416",A9418,"USD","SOFR")</f>
        <v>QSObject:PricingContext:w1~market.9416:5072</v>
      </c>
      <c r="D9418" s="6" t="str">
        <f>_xll.QS.CONTEXT.ADD.CURVE(C9418,"SOFR",$K$2:$K$7,$L$2:$L$7,,,"Actual360","LogLinear",TRUE)</f>
        <v>QSObject:ContextInput:w1~input.qs_context_add_curve.2359132437744.9417.3.0:18418</v>
      </c>
      <c r="E9418" s="6" t="str">
        <f>_xll.QS.INSTRUMENT.SWAP("swap.9416",H9418,B9418,"USD","SOFR",I9418,J9418,0,"Actual360","Simple","Annual","Annual","Annual")</f>
        <v>QSObject:Swap:w1~swap.9416:8285</v>
      </c>
      <c r="F9418" s="6" t="str">
        <f>_xll.QS.TRADE.CREATE("trade.9416",E9418,A9418,"Receive")</f>
        <v>QSObject:SwapTrade:w1~trade.9416:14746</v>
      </c>
      <c r="G9418" s="3">
        <f>_xll.QS.EVALUATE(C9418,F9418)</f>
        <v>41108.577753731995</v>
      </c>
      <c r="H9418" s="5" t="s">
        <v>9459</v>
      </c>
      <c r="I9418" s="7">
        <v>1941600</v>
      </c>
      <c r="J9418" s="8">
        <v>3.6600000000000001E-2</v>
      </c>
    </row>
    <row r="9419" spans="1:10" x14ac:dyDescent="0.25">
      <c r="A9419" s="5" t="s">
        <v>9453</v>
      </c>
      <c r="B9419" s="5" t="s">
        <v>11286</v>
      </c>
      <c r="C9419" s="6" t="str">
        <f>_xll.QS.CONTEXT.CREATE("market.9417",A9419,"USD","SOFR")</f>
        <v>QSObject:PricingContext:w1~market.9417:13097</v>
      </c>
      <c r="D9419" s="6" t="str">
        <f>_xll.QS.CONTEXT.ADD.CURVE(C9419,"SOFR",$K$2:$K$7,$L$2:$L$7,,,"Actual360","LogLinear",TRUE)</f>
        <v>QSObject:ContextInput:w1~input.qs_context_add_curve.2359132437744.9418.3.0:22380</v>
      </c>
      <c r="E9419" s="6" t="str">
        <f>_xll.QS.INSTRUMENT.SWAP("swap.9417",H9419,B9419,"USD","SOFR",I9419,J9419,0,"Actual360","Simple","Annual","Annual","Annual")</f>
        <v>QSObject:Swap:w1~swap.9417:3510</v>
      </c>
      <c r="F9419" s="6" t="str">
        <f>_xll.QS.TRADE.CREATE("trade.9417",E9419,A9419,"Receive")</f>
        <v>QSObject:SwapTrade:w1~trade.9417:20120</v>
      </c>
      <c r="G9419" s="3">
        <f>_xll.QS.EVALUATE(C9419,F9419)</f>
        <v>42006.253353104417</v>
      </c>
      <c r="H9419" s="5" t="s">
        <v>9460</v>
      </c>
      <c r="I9419" s="7">
        <v>1941700</v>
      </c>
      <c r="J9419" s="8">
        <v>3.6700000000000003E-2</v>
      </c>
    </row>
    <row r="9420" spans="1:10" x14ac:dyDescent="0.25">
      <c r="A9420" s="5" t="s">
        <v>9454</v>
      </c>
      <c r="B9420" s="5" t="s">
        <v>11287</v>
      </c>
      <c r="C9420" s="6" t="str">
        <f>_xll.QS.CONTEXT.CREATE("market.9418",A9420,"USD","SOFR")</f>
        <v>QSObject:PricingContext:w1~market.9418:16423</v>
      </c>
      <c r="D9420" s="6" t="str">
        <f>_xll.QS.CONTEXT.ADD.CURVE(C9420,"SOFR",$K$2:$K$7,$L$2:$L$7,,,"Actual360","LogLinear",TRUE)</f>
        <v>QSObject:ContextInput:w1~input.qs_context_add_curve.2359132437744.9419.3.0:21873</v>
      </c>
      <c r="E9420" s="6" t="str">
        <f>_xll.QS.INSTRUMENT.SWAP("swap.9418",H9420,B9420,"USD","SOFR",I9420,J9420,0,"Actual360","Simple","Annual","Annual","Annual")</f>
        <v>QSObject:Swap:w1~swap.9418:1955</v>
      </c>
      <c r="F9420" s="6" t="str">
        <f>_xll.QS.TRADE.CREATE("trade.9418",E9420,A9420,"Receive")</f>
        <v>QSObject:SwapTrade:w1~trade.9418:22379</v>
      </c>
      <c r="G9420" s="3">
        <f>_xll.QS.EVALUATE(C9420,F9420)</f>
        <v>42914.693535707869</v>
      </c>
      <c r="H9420" s="5" t="s">
        <v>9461</v>
      </c>
      <c r="I9420" s="7">
        <v>1941800</v>
      </c>
      <c r="J9420" s="8">
        <v>3.6800000000000013E-2</v>
      </c>
    </row>
    <row r="9421" spans="1:10" x14ac:dyDescent="0.25">
      <c r="A9421" s="5" t="s">
        <v>9455</v>
      </c>
      <c r="B9421" s="5" t="s">
        <v>11288</v>
      </c>
      <c r="C9421" s="6" t="str">
        <f>_xll.QS.CONTEXT.CREATE("market.9419",A9421,"USD","SOFR")</f>
        <v>QSObject:PricingContext:w1~market.9419:8284</v>
      </c>
      <c r="D9421" s="6" t="str">
        <f>_xll.QS.CONTEXT.ADD.CURVE(C9421,"SOFR",$K$2:$K$7,$L$2:$L$7,,,"Actual360","LogLinear",TRUE)</f>
        <v>QSObject:ContextInput:w1~input.qs_context_add_curve.2359132437744.9420.3.0:9899</v>
      </c>
      <c r="E9421" s="6" t="str">
        <f>_xll.QS.INSTRUMENT.SWAP("swap.9419",H9421,B9421,"USD","SOFR",I9421,J9421,0,"Actual360","Simple","Annual","Annual","Annual")</f>
        <v>QSObject:Swap:w1~swap.9419:14745</v>
      </c>
      <c r="F9421" s="6" t="str">
        <f>_xll.QS.TRADE.CREATE("trade.9419",E9421,A9421,"Receive")</f>
        <v>QSObject:SwapTrade:w1~trade.9419:22378</v>
      </c>
      <c r="G9421" s="3">
        <f>_xll.QS.EVALUATE(C9421,F9421)</f>
        <v>43814.442912924671</v>
      </c>
      <c r="H9421" s="5" t="s">
        <v>9462</v>
      </c>
      <c r="I9421" s="7">
        <v>1941900</v>
      </c>
      <c r="J9421" s="8">
        <v>3.6900000000000002E-2</v>
      </c>
    </row>
    <row r="9422" spans="1:10" x14ac:dyDescent="0.25">
      <c r="A9422" s="5" t="s">
        <v>9456</v>
      </c>
      <c r="B9422" s="5" t="s">
        <v>11289</v>
      </c>
      <c r="C9422" s="6" t="str">
        <f>_xll.QS.CONTEXT.CREATE("market.9420",A9422,"USD","SOFR")</f>
        <v>QSObject:PricingContext:w1~market.9420:6686</v>
      </c>
      <c r="D9422" s="6" t="str">
        <f>_xll.QS.CONTEXT.ADD.CURVE(C9422,"SOFR",$K$2:$K$7,$L$2:$L$7,,,"Actual360","LogLinear",TRUE)</f>
        <v>QSObject:ContextInput:w1~input.qs_context_add_curve.2359132437744.9421.3.0:31446</v>
      </c>
      <c r="E9422" s="6" t="str">
        <f>_xll.QS.INSTRUMENT.SWAP("swap.9420",H9422,B9422,"USD","SOFR",I9422,J9422,0,"Actual360","Simple","Annual","Annual","Annual")</f>
        <v>QSObject:Swap:w1~swap.9420:20119</v>
      </c>
      <c r="F9422" s="6" t="str">
        <f>_xll.QS.TRADE.CREATE("trade.9420",E9422,A9422,"Receive")</f>
        <v>QSObject:SwapTrade:w1~trade.9420:22377</v>
      </c>
      <c r="G9422" s="3">
        <f>_xll.QS.EVALUATE(C9422,F9422)</f>
        <v>44474.468763992772</v>
      </c>
      <c r="H9422" s="5" t="s">
        <v>9463</v>
      </c>
      <c r="I9422" s="7">
        <v>1942000</v>
      </c>
      <c r="J9422" s="8">
        <v>3.7000000000000012E-2</v>
      </c>
    </row>
    <row r="9423" spans="1:10" x14ac:dyDescent="0.25">
      <c r="A9423" s="5" t="s">
        <v>9457</v>
      </c>
      <c r="B9423" s="5" t="s">
        <v>11290</v>
      </c>
      <c r="C9423" s="6" t="str">
        <f>_xll.QS.CONTEXT.CREATE("market.9421",A9423,"USD","SOFR")</f>
        <v>QSObject:PricingContext:w1~market.9421:21872</v>
      </c>
      <c r="D9423" s="6" t="str">
        <f>_xll.QS.CONTEXT.ADD.CURVE(C9423,"SOFR",$K$2:$K$7,$L$2:$L$7,,,"Actual360","LogLinear",TRUE)</f>
        <v>QSObject:ContextInput:w1~input.qs_context_add_curve.2359132437744.9422.3.0:31445</v>
      </c>
      <c r="E9423" s="6" t="str">
        <f>_xll.QS.INSTRUMENT.SWAP("swap.9421",H9423,B9423,"USD","SOFR",I9423,J9423,0,"Actual360","Simple","Annual","Annual","Annual")</f>
        <v>QSObject:Swap:w1~swap.9421:17459</v>
      </c>
      <c r="F9423" s="6" t="str">
        <f>_xll.QS.TRADE.CREATE("trade.9421",E9423,A9423,"Receive")</f>
        <v>QSObject:SwapTrade:w1~trade.9421:22376</v>
      </c>
      <c r="G9423" s="3">
        <f>_xll.QS.EVALUATE(C9423,F9423)</f>
        <v>45376.148506780148</v>
      </c>
      <c r="H9423" s="5" t="s">
        <v>9464</v>
      </c>
      <c r="I9423" s="7">
        <v>1942100</v>
      </c>
      <c r="J9423" s="8">
        <v>3.7100000000000001E-2</v>
      </c>
    </row>
    <row r="9424" spans="1:10" x14ac:dyDescent="0.25">
      <c r="A9424" s="5" t="s">
        <v>9458</v>
      </c>
      <c r="B9424" s="5" t="s">
        <v>11291</v>
      </c>
      <c r="C9424" s="6" t="str">
        <f>_xll.QS.CONTEXT.CREATE("market.9422",A9424,"USD","SOFR")</f>
        <v>QSObject:PricingContext:w1~market.9422:14744</v>
      </c>
      <c r="D9424" s="6" t="str">
        <f>_xll.QS.CONTEXT.ADD.CURVE(C9424,"SOFR",$K$2:$K$7,$L$2:$L$7,,,"Actual360","LogLinear",TRUE)</f>
        <v>QSObject:ContextInput:w1~input.qs_context_add_curve.2359132437744.9423.3.0:31444</v>
      </c>
      <c r="E9424" s="6" t="str">
        <f>_xll.QS.INSTRUMENT.SWAP("swap.9422",H9424,B9424,"USD","SOFR",I9424,J9424,0,"Actual360","Simple","Annual","Annual","Annual")</f>
        <v>QSObject:Swap:w1~swap.9422:9898</v>
      </c>
      <c r="F9424" s="6" t="str">
        <f>_xll.QS.TRADE.CREATE("trade.9422",E9424,A9424,"Receive")</f>
        <v>QSObject:SwapTrade:w1~trade.9422:20118</v>
      </c>
      <c r="G9424" s="3">
        <f>_xll.QS.EVALUATE(C9424,F9424)</f>
        <v>46355.811149025023</v>
      </c>
      <c r="H9424" s="5" t="s">
        <v>9465</v>
      </c>
      <c r="I9424" s="7">
        <v>1942200</v>
      </c>
      <c r="J9424" s="8">
        <v>3.7199999999999997E-2</v>
      </c>
    </row>
    <row r="9425" spans="1:10" x14ac:dyDescent="0.25">
      <c r="A9425" s="5" t="s">
        <v>9459</v>
      </c>
      <c r="B9425" s="5" t="s">
        <v>11292</v>
      </c>
      <c r="C9425" s="6" t="str">
        <f>_xll.QS.CONTEXT.CREATE("market.9423",A9425,"USD","SOFR")</f>
        <v>QSObject:PricingContext:w1~market.9423:13096</v>
      </c>
      <c r="D9425" s="6" t="str">
        <f>_xll.QS.CONTEXT.ADD.CURVE(C9425,"SOFR",$K$2:$K$7,$L$2:$L$7,,,"Actual360","LogLinear",TRUE)</f>
        <v>QSObject:ContextInput:w1~input.qs_context_add_curve.2359132437744.9424.3.0:31443</v>
      </c>
      <c r="E9425" s="6" t="str">
        <f>_xll.QS.INSTRUMENT.SWAP("swap.9423",H9425,B9425,"USD","SOFR",I9425,J9425,0,"Actual360","Simple","Annual","Annual","Annual")</f>
        <v>QSObject:Swap:w1~swap.9423:1954</v>
      </c>
      <c r="F9425" s="6" t="str">
        <f>_xll.QS.TRADE.CREATE("trade.9423",E9425,A9425,"Receive")</f>
        <v>QSObject:SwapTrade:w1~trade.9423:21871</v>
      </c>
      <c r="G9425" s="3">
        <f>_xll.QS.EVALUATE(C9425,F9425)</f>
        <v>47396.210955905692</v>
      </c>
      <c r="H9425" s="5" t="s">
        <v>9466</v>
      </c>
      <c r="I9425" s="7">
        <v>1942300</v>
      </c>
      <c r="J9425" s="8">
        <v>3.73E-2</v>
      </c>
    </row>
    <row r="9426" spans="1:10" x14ac:dyDescent="0.25">
      <c r="A9426" s="5" t="s">
        <v>9460</v>
      </c>
      <c r="B9426" s="5" t="s">
        <v>11293</v>
      </c>
      <c r="C9426" s="6" t="str">
        <f>_xll.QS.CONTEXT.CREATE("market.9424",A9426,"USD","SOFR")</f>
        <v>QSObject:PricingContext:w1~market.9424:3509</v>
      </c>
      <c r="D9426" s="6" t="str">
        <f>_xll.QS.CONTEXT.ADD.CURVE(C9426,"SOFR",$K$2:$K$7,$L$2:$L$7,,,"Actual360","LogLinear",TRUE)</f>
        <v>QSObject:ContextInput:w1~input.qs_context_add_curve.2359132437744.9425.3.0:6685</v>
      </c>
      <c r="E9426" s="6" t="str">
        <f>_xll.QS.INSTRUMENT.SWAP("swap.9424",H9426,B9426,"USD","SOFR",I9426,J9426,0,"Actual360","Simple","Annual","Annual","Annual")</f>
        <v>QSObject:Swap:w1~swap.9424:11561</v>
      </c>
      <c r="F9426" s="6" t="str">
        <f>_xll.QS.TRADE.CREATE("trade.9424",E9426,A9426,"Receive")</f>
        <v>QSObject:SwapTrade:w1~trade.9424:18417</v>
      </c>
      <c r="G9426" s="3">
        <f>_xll.QS.EVALUATE(C9426,F9426)</f>
        <v>48294.520009095599</v>
      </c>
      <c r="H9426" s="5" t="s">
        <v>9467</v>
      </c>
      <c r="I9426" s="7">
        <v>1942400</v>
      </c>
      <c r="J9426" s="8">
        <v>3.7400000000000003E-2</v>
      </c>
    </row>
    <row r="9427" spans="1:10" x14ac:dyDescent="0.25">
      <c r="A9427" s="5" t="s">
        <v>9461</v>
      </c>
      <c r="B9427" s="5" t="s">
        <v>11294</v>
      </c>
      <c r="C9427" s="6" t="str">
        <f>_xll.QS.CONTEXT.CREATE("market.9425",A9427,"USD","SOFR")</f>
        <v>QSObject:PricingContext:w1~market.9425:9897</v>
      </c>
      <c r="D9427" s="6" t="str">
        <f>_xll.QS.CONTEXT.ADD.CURVE(C9427,"SOFR",$K$2:$K$7,$L$2:$L$7,,,"Actual360","LogLinear",TRUE)</f>
        <v>QSObject:ContextInput:w1~input.qs_context_add_curve.2359132437744.9426.3.0:17458</v>
      </c>
      <c r="E9427" s="6" t="str">
        <f>_xll.QS.INSTRUMENT.SWAP("swap.9425",H9427,B9427,"USD","SOFR",I9427,J9427,0,"Actual360","Simple","Annual","Annual","Annual")</f>
        <v>QSObject:Swap:w1~swap.9425:16422</v>
      </c>
      <c r="F9427" s="6" t="str">
        <f>_xll.QS.TRADE.CREATE("trade.9425",E9427,A9427,"Receive")</f>
        <v>QSObject:SwapTrade:w1~trade.9425:22375</v>
      </c>
      <c r="G9427" s="3">
        <f>_xll.QS.EVALUATE(C9427,F9427)</f>
        <v>49203.627346262889</v>
      </c>
      <c r="H9427" s="5" t="s">
        <v>9468</v>
      </c>
      <c r="I9427" s="7">
        <v>1942500</v>
      </c>
      <c r="J9427" s="8">
        <v>3.7500000000000012E-2</v>
      </c>
    </row>
    <row r="9428" spans="1:10" x14ac:dyDescent="0.25">
      <c r="A9428" s="5" t="s">
        <v>9462</v>
      </c>
      <c r="B9428" s="5" t="s">
        <v>11295</v>
      </c>
      <c r="C9428" s="6" t="str">
        <f>_xll.QS.CONTEXT.CREATE("market.9426",A9428,"USD","SOFR")</f>
        <v>QSObject:PricingContext:w1~market.9426:14743</v>
      </c>
      <c r="D9428" s="6" t="str">
        <f>_xll.QS.CONTEXT.ADD.CURVE(C9428,"SOFR",$K$2:$K$7,$L$2:$L$7,,,"Actual360","LogLinear",TRUE)</f>
        <v>QSObject:ContextInput:w1~input.qs_context_add_curve.2359132437744.9427.3.0:22374</v>
      </c>
      <c r="E9428" s="6" t="str">
        <f>_xll.QS.INSTRUMENT.SWAP("swap.9426",H9428,B9428,"USD","SOFR",I9428,J9428,0,"Actual360","Simple","Annual","Annual","Annual")</f>
        <v>QSObject:Swap:w1~swap.9426:8283</v>
      </c>
      <c r="F9428" s="6" t="str">
        <f>_xll.QS.TRADE.CREATE("trade.9426",E9428,A9428,"Receive")</f>
        <v>QSObject:SwapTrade:w1~trade.9426:21870</v>
      </c>
      <c r="G9428" s="3">
        <f>_xll.QS.EVALUATE(C9428,F9428)</f>
        <v>50104.047100034288</v>
      </c>
      <c r="H9428" s="5" t="s">
        <v>9469</v>
      </c>
      <c r="I9428" s="7">
        <v>1942600</v>
      </c>
      <c r="J9428" s="8">
        <v>3.7600000000000001E-2</v>
      </c>
    </row>
    <row r="9429" spans="1:10" x14ac:dyDescent="0.25">
      <c r="A9429" s="5" t="s">
        <v>9463</v>
      </c>
      <c r="B9429" s="5" t="s">
        <v>11296</v>
      </c>
      <c r="C9429" s="6" t="str">
        <f>_xll.QS.CONTEXT.CREATE("market.9427",A9429,"USD","SOFR")</f>
        <v>QSObject:PricingContext:w1~market.9427:20117</v>
      </c>
      <c r="D9429" s="6" t="str">
        <f>_xll.QS.CONTEXT.ADD.CURVE(C9429,"SOFR",$K$2:$K$7,$L$2:$L$7,,,"Actual360","LogLinear",TRUE)</f>
        <v>QSObject:ContextInput:w1~input.qs_context_add_curve.2359132437744.9428.3.0:31442</v>
      </c>
      <c r="E9429" s="6" t="str">
        <f>_xll.QS.INSTRUMENT.SWAP("swap.9427",H9429,B9429,"USD","SOFR",I9429,J9429,0,"Actual360","Simple","Annual","Annual","Annual")</f>
        <v>QSObject:Swap:w1~swap.9427:450</v>
      </c>
      <c r="F9429" s="6" t="str">
        <f>_xll.QS.TRADE.CREATE("trade.9427",E9429,A9429,"Receive")</f>
        <v>QSObject:SwapTrade:w1~trade.9427:9896</v>
      </c>
      <c r="G9429" s="3">
        <f>_xll.QS.EVALUATE(C9429,F9429)</f>
        <v>51006.800461714891</v>
      </c>
      <c r="H9429" s="5" t="s">
        <v>9470</v>
      </c>
      <c r="I9429" s="7">
        <v>1942700</v>
      </c>
      <c r="J9429" s="8">
        <v>3.7699999999999997E-2</v>
      </c>
    </row>
    <row r="9430" spans="1:10" x14ac:dyDescent="0.25">
      <c r="A9430" s="5" t="s">
        <v>9464</v>
      </c>
      <c r="B9430" s="5" t="s">
        <v>11297</v>
      </c>
      <c r="C9430" s="6" t="str">
        <f>_xll.QS.CONTEXT.CREATE("market.9428",A9430,"USD","SOFR")</f>
        <v>QSObject:PricingContext:w1~market.9428:11560</v>
      </c>
      <c r="D9430" s="6" t="str">
        <f>_xll.QS.CONTEXT.ADD.CURVE(C9430,"SOFR",$K$2:$K$7,$L$2:$L$7,,,"Actual360","LogLinear",TRUE)</f>
        <v>QSObject:ContextInput:w1~input.qs_context_add_curve.2359132437744.9429.3.0:22373</v>
      </c>
      <c r="E9430" s="6" t="str">
        <f>_xll.QS.INSTRUMENT.SWAP("swap.9428",H9430,B9430,"USD","SOFR",I9430,J9430,0,"Actual360","Simple","Annual","Annual","Annual")</f>
        <v>QSObject:Swap:w1~swap.9428:3508</v>
      </c>
      <c r="F9430" s="6" t="str">
        <f>_xll.QS.TRADE.CREATE("trade.9428",E9430,A9430,"Receive")</f>
        <v>QSObject:SwapTrade:w1~trade.9428:8282</v>
      </c>
      <c r="G9430" s="3">
        <f>_xll.QS.EVALUATE(C9430,F9430)</f>
        <v>51666.223972553285</v>
      </c>
      <c r="H9430" s="5" t="s">
        <v>9471</v>
      </c>
      <c r="I9430" s="7">
        <v>1942800</v>
      </c>
      <c r="J9430" s="8">
        <v>3.78E-2</v>
      </c>
    </row>
    <row r="9431" spans="1:10" x14ac:dyDescent="0.25">
      <c r="A9431" s="5" t="s">
        <v>9465</v>
      </c>
      <c r="B9431" s="5" t="s">
        <v>11298</v>
      </c>
      <c r="C9431" s="6" t="str">
        <f>_xll.QS.CONTEXT.CREATE("market.9429",A9431,"USD","SOFR")</f>
        <v>QSObject:PricingContext:w1~market.9429:449</v>
      </c>
      <c r="D9431" s="6" t="str">
        <f>_xll.QS.CONTEXT.ADD.CURVE(C9431,"SOFR",$K$2:$K$7,$L$2:$L$7,,,"Actual360","LogLinear",TRUE)</f>
        <v>QSObject:ContextInput:w1~input.qs_context_add_curve.2359132437744.9430.3.0:13095</v>
      </c>
      <c r="E9431" s="6" t="str">
        <f>_xll.QS.INSTRUMENT.SWAP("swap.9429",H9431,B9431,"USD","SOFR",I9431,J9431,0,"Actual360","Simple","Annual","Annual","Annual")</f>
        <v>QSObject:Swap:w1~swap.9429:1953</v>
      </c>
      <c r="F9431" s="6" t="str">
        <f>_xll.QS.TRADE.CREATE("trade.9429",E9431,A9431,"Receive")</f>
        <v>QSObject:SwapTrade:w1~trade.9429:20116</v>
      </c>
      <c r="G9431" s="3">
        <f>_xll.QS.EVALUATE(C9431,F9431)</f>
        <v>52647.175559814947</v>
      </c>
      <c r="H9431" s="5" t="s">
        <v>9472</v>
      </c>
      <c r="I9431" s="7">
        <v>1942900</v>
      </c>
      <c r="J9431" s="8">
        <v>3.7900000000000003E-2</v>
      </c>
    </row>
    <row r="9432" spans="1:10" x14ac:dyDescent="0.25">
      <c r="A9432" s="5" t="s">
        <v>9466</v>
      </c>
      <c r="B9432" s="5" t="s">
        <v>11299</v>
      </c>
      <c r="C9432" s="6" t="str">
        <f>_xll.QS.CONTEXT.CREATE("market.9430",A9432,"USD","SOFR")</f>
        <v>QSObject:PricingContext:w1~market.9430:18416</v>
      </c>
      <c r="D9432" s="6" t="str">
        <f>_xll.QS.CONTEXT.ADD.CURVE(C9432,"SOFR",$K$2:$K$7,$L$2:$L$7,,,"Actual360","LogLinear",TRUE)</f>
        <v>QSObject:ContextInput:w1~input.qs_context_add_curve.2359132437744.9431.3.0:31441</v>
      </c>
      <c r="E9432" s="6" t="str">
        <f>_xll.QS.INSTRUMENT.SWAP("swap.9430",H9432,B9432,"USD","SOFR",I9432,J9432,0,"Actual360","Simple","Annual","Annual","Annual")</f>
        <v>QSObject:Swap:w1~swap.9430:9895</v>
      </c>
      <c r="F9432" s="6" t="str">
        <f>_xll.QS.TRADE.CREATE("trade.9430",E9432,A9432,"Receive")</f>
        <v>QSObject:SwapTrade:w1~trade.9430:11559</v>
      </c>
      <c r="G9432" s="3">
        <f>_xll.QS.EVALUATE(C9432,F9432)</f>
        <v>53688.36556950245</v>
      </c>
      <c r="H9432" s="5" t="s">
        <v>9473</v>
      </c>
      <c r="I9432" s="7">
        <v>1943000</v>
      </c>
      <c r="J9432" s="8">
        <v>3.8000000000000013E-2</v>
      </c>
    </row>
    <row r="9433" spans="1:10" x14ac:dyDescent="0.25">
      <c r="A9433" s="5" t="s">
        <v>9467</v>
      </c>
      <c r="B9433" s="5" t="s">
        <v>11300</v>
      </c>
      <c r="C9433" s="6" t="str">
        <f>_xll.QS.CONTEXT.CREATE("market.9431",A9433,"USD","SOFR")</f>
        <v>QSObject:PricingContext:w1~market.9431:16421</v>
      </c>
      <c r="D9433" s="6" t="str">
        <f>_xll.QS.CONTEXT.ADD.CURVE(C9433,"SOFR",$K$2:$K$7,$L$2:$L$7,,,"Actual360","LogLinear",TRUE)</f>
        <v>QSObject:ContextInput:w1~input.qs_context_add_curve.2359132437744.9432.3.0:22372</v>
      </c>
      <c r="E9433" s="6" t="str">
        <f>_xll.QS.INSTRUMENT.SWAP("swap.9431",H9433,B9433,"USD","SOFR",I9433,J9433,0,"Actual360","Simple","Annual","Annual","Annual")</f>
        <v>QSObject:Swap:w1~swap.9431:17457</v>
      </c>
      <c r="F9433" s="6" t="str">
        <f>_xll.QS.TRADE.CREATE("trade.9431",E9433,A9433,"Receive")</f>
        <v>QSObject:SwapTrade:w1~trade.9431:22371</v>
      </c>
      <c r="G9433" s="3">
        <f>_xll.QS.EVALUATE(C9433,F9433)</f>
        <v>54587.575899098221</v>
      </c>
      <c r="H9433" s="5" t="s">
        <v>9474</v>
      </c>
      <c r="I9433" s="7">
        <v>1943100</v>
      </c>
      <c r="J9433" s="8">
        <v>3.8100000000000002E-2</v>
      </c>
    </row>
    <row r="9434" spans="1:10" x14ac:dyDescent="0.25">
      <c r="A9434" s="5" t="s">
        <v>9468</v>
      </c>
      <c r="B9434" s="5" t="s">
        <v>11301</v>
      </c>
      <c r="C9434" s="6" t="str">
        <f>_xll.QS.CONTEXT.CREATE("market.9432",A9434,"USD","SOFR")</f>
        <v>QSObject:PricingContext:w1~market.9432:21869</v>
      </c>
      <c r="D9434" s="6" t="str">
        <f>_xll.QS.CONTEXT.ADD.CURVE(C9434,"SOFR",$K$2:$K$7,$L$2:$L$7,,,"Actual360","LogLinear",TRUE)</f>
        <v>QSObject:ContextInput:w1~input.qs_context_add_curve.2359132437744.9433.3.0:31440</v>
      </c>
      <c r="E9434" s="6" t="str">
        <f>_xll.QS.INSTRUMENT.SWAP("swap.9432",H9434,B9434,"USD","SOFR",I9434,J9434,0,"Actual360","Simple","Annual","Annual","Annual")</f>
        <v>QSObject:Swap:w1~swap.9432:8281</v>
      </c>
      <c r="F9434" s="6" t="str">
        <f>_xll.QS.TRADE.CREATE("trade.9432",E9434,A9434,"Receive")</f>
        <v>QSObject:SwapTrade:w1~trade.9432:22370</v>
      </c>
      <c r="G9434" s="3">
        <f>_xll.QS.EVALUATE(C9434,F9434)</f>
        <v>55497.082571939281</v>
      </c>
      <c r="H9434" s="5" t="s">
        <v>9475</v>
      </c>
      <c r="I9434" s="7">
        <v>1943200</v>
      </c>
      <c r="J9434" s="8">
        <v>3.8199999999999998E-2</v>
      </c>
    </row>
    <row r="9435" spans="1:10" x14ac:dyDescent="0.25">
      <c r="A9435" s="5" t="s">
        <v>9469</v>
      </c>
      <c r="B9435" s="5" t="s">
        <v>11302</v>
      </c>
      <c r="C9435" s="6" t="str">
        <f>_xll.QS.CONTEXT.CREATE("market.9433",A9435,"USD","SOFR")</f>
        <v>QSObject:PricingContext:w1~market.9433:14742</v>
      </c>
      <c r="D9435" s="6" t="str">
        <f>_xll.QS.CONTEXT.ADD.CURVE(C9435,"SOFR",$K$2:$K$7,$L$2:$L$7,,,"Actual360","LogLinear",TRUE)</f>
        <v>QSObject:ContextInput:w1~input.qs_context_add_curve.2359132437744.9434.3.0:31439</v>
      </c>
      <c r="E9435" s="6" t="str">
        <f>_xll.QS.INSTRUMENT.SWAP("swap.9433",H9435,B9435,"USD","SOFR",I9435,J9435,0,"Actual360","Simple","Annual","Annual","Annual")</f>
        <v>QSObject:Swap:w1~swap.9433:20115</v>
      </c>
      <c r="F9435" s="6" t="str">
        <f>_xll.QS.TRADE.CREATE("trade.9433",E9435,A9435,"Receive")</f>
        <v>QSObject:SwapTrade:w1~trade.9433:22369</v>
      </c>
      <c r="G9435" s="3">
        <f>_xll.QS.EVALUATE(C9435,F9435)</f>
        <v>56398.172719476017</v>
      </c>
      <c r="H9435" s="5" t="s">
        <v>9476</v>
      </c>
      <c r="I9435" s="7">
        <v>1943300</v>
      </c>
      <c r="J9435" s="8">
        <v>3.8300000000000001E-2</v>
      </c>
    </row>
    <row r="9436" spans="1:10" x14ac:dyDescent="0.25">
      <c r="A9436" s="5" t="s">
        <v>9470</v>
      </c>
      <c r="B9436" s="5" t="s">
        <v>11303</v>
      </c>
      <c r="C9436" s="6" t="str">
        <f>_xll.QS.CONTEXT.CREATE("market.9434",A9436,"USD","SOFR")</f>
        <v>QSObject:PricingContext:w1~market.9434:6684</v>
      </c>
      <c r="D9436" s="6" t="str">
        <f>_xll.QS.CONTEXT.ADD.CURVE(C9436,"SOFR",$K$2:$K$7,$L$2:$L$7,,,"Actual360","LogLinear",TRUE)</f>
        <v>QSObject:ContextInput:w1~input.qs_context_add_curve.2359132437744.9435.3.0:22368</v>
      </c>
      <c r="E9436" s="6" t="str">
        <f>_xll.QS.INSTRUMENT.SWAP("swap.9434",H9436,B9436,"USD","SOFR",I9436,J9436,0,"Actual360","Simple","Annual","Annual","Annual")</f>
        <v>QSObject:Swap:w1~swap.9434:11558</v>
      </c>
      <c r="F9436" s="6" t="str">
        <f>_xll.QS.TRADE.CREATE("trade.9434",E9436,A9436,"Receive")</f>
        <v>QSObject:SwapTrade:w1~trade.9434:22367</v>
      </c>
      <c r="G9436" s="3">
        <f>_xll.QS.EVALUATE(C9436,F9436)</f>
        <v>57056.7938495571</v>
      </c>
      <c r="H9436" s="5" t="s">
        <v>9477</v>
      </c>
      <c r="I9436" s="7">
        <v>1943400</v>
      </c>
      <c r="J9436" s="8">
        <v>3.8399999999999997E-2</v>
      </c>
    </row>
    <row r="9437" spans="1:10" x14ac:dyDescent="0.25">
      <c r="A9437" s="5" t="s">
        <v>9471</v>
      </c>
      <c r="B9437" s="5" t="s">
        <v>11304</v>
      </c>
      <c r="C9437" s="6" t="str">
        <f>_xll.QS.CONTEXT.CREATE("market.9435",A9437,"USD","SOFR")</f>
        <v>QSObject:PricingContext:w1~market.9435:5071</v>
      </c>
      <c r="D9437" s="6" t="str">
        <f>_xll.QS.CONTEXT.ADD.CURVE(C9437,"SOFR",$K$2:$K$7,$L$2:$L$7,,,"Actual360","LogLinear",TRUE)</f>
        <v>QSObject:ContextInput:w1~input.qs_context_add_curve.2359132437744.9436.3.0:16420</v>
      </c>
      <c r="E9437" s="6" t="str">
        <f>_xll.QS.INSTRUMENT.SWAP("swap.9435",H9437,B9437,"USD","SOFR",I9437,J9437,0,"Actual360","Simple","Annual","Annual","Annual")</f>
        <v>QSObject:Swap:w1~swap.9435:3507</v>
      </c>
      <c r="F9437" s="6" t="str">
        <f>_xll.QS.TRADE.CREATE("trade.9435",E9437,A9437,"Receive")</f>
        <v>QSObject:SwapTrade:w1~trade.9435:13094</v>
      </c>
      <c r="G9437" s="3">
        <f>_xll.QS.EVALUATE(C9437,F9437)</f>
        <v>57960.820340357444</v>
      </c>
      <c r="H9437" s="5" t="s">
        <v>9478</v>
      </c>
      <c r="I9437" s="7">
        <v>1943500</v>
      </c>
      <c r="J9437" s="8">
        <v>3.8500000000000013E-2</v>
      </c>
    </row>
    <row r="9438" spans="1:10" x14ac:dyDescent="0.25">
      <c r="A9438" s="5" t="s">
        <v>9472</v>
      </c>
      <c r="B9438" s="5" t="s">
        <v>11305</v>
      </c>
      <c r="C9438" s="6" t="str">
        <f>_xll.QS.CONTEXT.CREATE("market.9436",A9438,"USD","SOFR")</f>
        <v>QSObject:PricingContext:w1~market.9436:18415</v>
      </c>
      <c r="D9438" s="6" t="str">
        <f>_xll.QS.CONTEXT.ADD.CURVE(C9438,"SOFR",$K$2:$K$7,$L$2:$L$7,,,"Actual360","LogLinear",TRUE)</f>
        <v>QSObject:ContextInput:w1~input.qs_context_add_curve.2359132437744.9437.3.0:31438</v>
      </c>
      <c r="E9438" s="6" t="str">
        <f>_xll.QS.INSTRUMENT.SWAP("swap.9436",H9438,B9438,"USD","SOFR",I9438,J9438,0,"Actual360","Simple","Annual","Annual","Annual")</f>
        <v>QSObject:Swap:w1~swap.9436:21868</v>
      </c>
      <c r="F9438" s="6" t="str">
        <f>_xll.QS.TRADE.CREATE("trade.9436",E9438,A9438,"Receive")</f>
        <v>QSObject:SwapTrade:w1~trade.9436:22366</v>
      </c>
      <c r="G9438" s="3">
        <f>_xll.QS.EVALUATE(C9438,F9438)</f>
        <v>58942.927744475463</v>
      </c>
      <c r="H9438" s="5" t="s">
        <v>9479</v>
      </c>
      <c r="I9438" s="7">
        <v>1943600</v>
      </c>
      <c r="J9438" s="8">
        <v>3.8600000000000002E-2</v>
      </c>
    </row>
    <row r="9439" spans="1:10" x14ac:dyDescent="0.25">
      <c r="A9439" s="5" t="s">
        <v>9473</v>
      </c>
      <c r="B9439" s="5" t="s">
        <v>11306</v>
      </c>
      <c r="C9439" s="6" t="str">
        <f>_xll.QS.CONTEXT.CREATE("market.9437",A9439,"USD","SOFR")</f>
        <v>QSObject:PricingContext:w1~market.9437:6683</v>
      </c>
      <c r="D9439" s="6" t="str">
        <f>_xll.QS.CONTEXT.ADD.CURVE(C9439,"SOFR",$K$2:$K$7,$L$2:$L$7,,,"Actual360","LogLinear",TRUE)</f>
        <v>QSObject:ContextInput:w1~input.qs_context_add_curve.2359132437744.9438.3.0:17456</v>
      </c>
      <c r="E9439" s="6" t="str">
        <f>_xll.QS.INSTRUMENT.SWAP("swap.9437",H9439,B9439,"USD","SOFR",I9439,J9439,0,"Actual360","Simple","Annual","Annual","Annual")</f>
        <v>QSObject:Swap:w1~swap.9437:9894</v>
      </c>
      <c r="F9439" s="6" t="str">
        <f>_xll.QS.TRADE.CREATE("trade.9437",E9439,A9439,"Receive")</f>
        <v>QSObject:SwapTrade:w1~trade.9437:20114</v>
      </c>
      <c r="G9439" s="3">
        <f>_xll.QS.EVALUATE(C9439,F9439)</f>
        <v>59984.811446027932</v>
      </c>
      <c r="H9439" s="5" t="s">
        <v>9480</v>
      </c>
      <c r="I9439" s="7">
        <v>1943700</v>
      </c>
      <c r="J9439" s="8">
        <v>3.8700000000000012E-2</v>
      </c>
    </row>
    <row r="9440" spans="1:10" x14ac:dyDescent="0.25">
      <c r="A9440" s="5" t="s">
        <v>9474</v>
      </c>
      <c r="B9440" s="5" t="s">
        <v>11307</v>
      </c>
      <c r="C9440" s="6" t="str">
        <f>_xll.QS.CONTEXT.CREATE("market.9438",A9440,"USD","SOFR")</f>
        <v>QSObject:PricingContext:w1~market.9438:3506</v>
      </c>
      <c r="D9440" s="6" t="str">
        <f>_xll.QS.CONTEXT.ADD.CURVE(C9440,"SOFR",$K$2:$K$7,$L$2:$L$7,,,"Actual360","LogLinear",TRUE)</f>
        <v>QSObject:ContextInput:w1~input.qs_context_add_curve.2359132437744.9439.3.0:16419</v>
      </c>
      <c r="E9440" s="6" t="str">
        <f>_xll.QS.INSTRUMENT.SWAP("swap.9438",H9440,B9440,"USD","SOFR",I9440,J9440,0,"Actual360","Simple","Annual","Annual","Annual")</f>
        <v>QSObject:Swap:w1~swap.9438:13093</v>
      </c>
      <c r="F9440" s="6" t="str">
        <f>_xll.QS.TRADE.CREATE("trade.9438",E9440,A9440,"Receive")</f>
        <v>QSObject:SwapTrade:w1~trade.9438:22365</v>
      </c>
      <c r="G9440" s="3">
        <f>_xll.QS.EVALUATE(C9440,F9440)</f>
        <v>60801.868139169143</v>
      </c>
      <c r="H9440" s="5" t="s">
        <v>9481</v>
      </c>
      <c r="I9440" s="7">
        <v>1943800</v>
      </c>
      <c r="J9440" s="8">
        <v>3.8800000000000001E-2</v>
      </c>
    </row>
    <row r="9441" spans="1:10" x14ac:dyDescent="0.25">
      <c r="A9441" s="5" t="s">
        <v>9475</v>
      </c>
      <c r="B9441" s="5" t="s">
        <v>11308</v>
      </c>
      <c r="C9441" s="6" t="str">
        <f>_xll.QS.CONTEXT.CREATE("market.9439",A9441,"USD","SOFR")</f>
        <v>QSObject:PricingContext:w1~market.9439:8280</v>
      </c>
      <c r="D9441" s="6" t="str">
        <f>_xll.QS.CONTEXT.ADD.CURVE(C9441,"SOFR",$K$2:$K$7,$L$2:$L$7,,,"Actual360","LogLinear",TRUE)</f>
        <v>QSObject:ContextInput:w1~input.qs_context_add_curve.2359132437744.9440.3.0:22364</v>
      </c>
      <c r="E9441" s="6" t="str">
        <f>_xll.QS.INSTRUMENT.SWAP("swap.9439",H9441,B9441,"USD","SOFR",I9441,J9441,0,"Actual360","Simple","Annual","Annual","Annual")</f>
        <v>QSObject:Swap:w1~swap.9439:5070</v>
      </c>
      <c r="F9441" s="6" t="str">
        <f>_xll.QS.TRADE.CREATE("trade.9439",E9441,A9441,"Receive")</f>
        <v>QSObject:SwapTrade:w1~trade.9439:22363</v>
      </c>
      <c r="G9441" s="3">
        <f>_xll.QS.EVALUATE(C9441,F9441)</f>
        <v>61868.55850466562</v>
      </c>
      <c r="H9441" s="5" t="s">
        <v>9482</v>
      </c>
      <c r="I9441" s="7">
        <v>1943900</v>
      </c>
      <c r="J9441" s="8">
        <v>3.8899999999999997E-2</v>
      </c>
    </row>
    <row r="9442" spans="1:10" x14ac:dyDescent="0.25">
      <c r="A9442" s="5" t="s">
        <v>9476</v>
      </c>
      <c r="B9442" s="5" t="s">
        <v>11309</v>
      </c>
      <c r="C9442" s="6" t="str">
        <f>_xll.QS.CONTEXT.CREATE("market.9440",A9442,"USD","SOFR")</f>
        <v>QSObject:PricingContext:w1~market.9440:6682</v>
      </c>
      <c r="D9442" s="6" t="str">
        <f>_xll.QS.CONTEXT.ADD.CURVE(C9442,"SOFR",$K$2:$K$7,$L$2:$L$7,,,"Actual360","LogLinear",TRUE)</f>
        <v>QSObject:ContextInput:w1~input.qs_context_add_curve.2359132437744.9441.3.0:16418</v>
      </c>
      <c r="E9442" s="6" t="str">
        <f>_xll.QS.INSTRUMENT.SWAP("swap.9440",H9442,B9442,"USD","SOFR",I9442,J9442,0,"Actual360","Simple","Annual","Annual","Annual")</f>
        <v>QSObject:Swap:w1~swap.9440:14741</v>
      </c>
      <c r="F9442" s="6" t="str">
        <f>_xll.QS.TRADE.CREATE("trade.9440",E9442,A9442,"Receive")</f>
        <v>QSObject:SwapTrade:w1~trade.9440:22362</v>
      </c>
      <c r="G9442" s="3">
        <f>_xll.QS.EVALUATE(C9442,F9442)</f>
        <v>62768.958636736279</v>
      </c>
      <c r="H9442" s="5" t="s">
        <v>9483</v>
      </c>
      <c r="I9442" s="7">
        <v>1944000</v>
      </c>
      <c r="J9442" s="8">
        <v>3.9000000000000007E-2</v>
      </c>
    </row>
    <row r="9443" spans="1:10" x14ac:dyDescent="0.25">
      <c r="A9443" s="5" t="s">
        <v>9477</v>
      </c>
      <c r="B9443" s="5" t="s">
        <v>11310</v>
      </c>
      <c r="C9443" s="6" t="str">
        <f>_xll.QS.CONTEXT.CREATE("market.9441",A9443,"USD","SOFR")</f>
        <v>QSObject:PricingContext:w1~market.9441:18414</v>
      </c>
      <c r="D9443" s="6" t="str">
        <f>_xll.QS.CONTEXT.ADD.CURVE(C9443,"SOFR",$K$2:$K$7,$L$2:$L$7,,,"Actual360","LogLinear",TRUE)</f>
        <v>QSObject:ContextInput:w1~input.qs_context_add_curve.2359132437744.9442.3.0:31437</v>
      </c>
      <c r="E9443" s="6" t="str">
        <f>_xll.QS.INSTRUMENT.SWAP("swap.9441",H9443,B9443,"USD","SOFR",I9443,J9443,0,"Actual360","Simple","Annual","Annual","Annual")</f>
        <v>QSObject:Swap:w1~swap.9441:17455</v>
      </c>
      <c r="F9443" s="6" t="str">
        <f>_xll.QS.TRADE.CREATE("trade.9441",E9443,A9443,"Receive")</f>
        <v>QSObject:SwapTrade:w1~trade.9441:22361</v>
      </c>
      <c r="G9443" s="3">
        <f>_xll.QS.EVALUATE(C9443,F9443)</f>
        <v>63426.739768116582</v>
      </c>
      <c r="H9443" s="5" t="s">
        <v>9484</v>
      </c>
      <c r="I9443" s="7">
        <v>1944100</v>
      </c>
      <c r="J9443" s="8">
        <v>3.9100000000000003E-2</v>
      </c>
    </row>
    <row r="9444" spans="1:10" x14ac:dyDescent="0.25">
      <c r="A9444" s="5" t="s">
        <v>9478</v>
      </c>
      <c r="B9444" s="5" t="s">
        <v>11311</v>
      </c>
      <c r="C9444" s="6" t="str">
        <f>_xll.QS.CONTEXT.CREATE("market.9442",A9444,"USD","SOFR")</f>
        <v>QSObject:PricingContext:w1~market.9442:21867</v>
      </c>
      <c r="D9444" s="6" t="str">
        <f>_xll.QS.CONTEXT.ADD.CURVE(C9444,"SOFR",$K$2:$K$7,$L$2:$L$7,,,"Actual360","LogLinear",TRUE)</f>
        <v>QSObject:ContextInput:w1~input.qs_context_add_curve.2359132437744.9443.3.0:31436</v>
      </c>
      <c r="E9444" s="6" t="str">
        <f>_xll.QS.INSTRUMENT.SWAP("swap.9442",H9444,B9444,"USD","SOFR",I9444,J9444,0,"Actual360","Simple","Annual","Annual","Annual")</f>
        <v>QSObject:Swap:w1~swap.9442:20113</v>
      </c>
      <c r="F9444" s="6" t="str">
        <f>_xll.QS.TRADE.CREATE("trade.9442",E9444,A9444,"Receive")</f>
        <v>QSObject:SwapTrade:w1~trade.9442:22360</v>
      </c>
      <c r="G9444" s="3">
        <f>_xll.QS.EVALUATE(C9444,F9444)</f>
        <v>64332.364603544804</v>
      </c>
      <c r="H9444" s="5" t="s">
        <v>9485</v>
      </c>
      <c r="I9444" s="7">
        <v>1944200</v>
      </c>
      <c r="J9444" s="8">
        <v>3.9200000000000013E-2</v>
      </c>
    </row>
    <row r="9445" spans="1:10" x14ac:dyDescent="0.25">
      <c r="A9445" s="5" t="s">
        <v>9479</v>
      </c>
      <c r="B9445" s="5" t="s">
        <v>11312</v>
      </c>
      <c r="C9445" s="6" t="str">
        <f>_xll.QS.CONTEXT.CREATE("market.9443",A9445,"USD","SOFR")</f>
        <v>QSObject:PricingContext:w1~market.9443:16417</v>
      </c>
      <c r="D9445" s="6" t="str">
        <f>_xll.QS.CONTEXT.ADD.CURVE(C9445,"SOFR",$K$2:$K$7,$L$2:$L$7,,,"Actual360","LogLinear",TRUE)</f>
        <v>QSObject:ContextInput:w1~input.qs_context_add_curve.2359132437744.9444.3.0:31435</v>
      </c>
      <c r="E9445" s="6" t="str">
        <f>_xll.QS.INSTRUMENT.SWAP("swap.9443",H9445,B9445,"USD","SOFR",I9445,J9445,0,"Actual360","Simple","Annual","Annual","Annual")</f>
        <v>QSObject:Swap:w1~swap.9443:448</v>
      </c>
      <c r="F9445" s="6" t="str">
        <f>_xll.QS.TRADE.CREATE("trade.9443",E9445,A9445,"Receive")</f>
        <v>QSObject:SwapTrade:w1~trade.9443:5069</v>
      </c>
      <c r="G9445" s="3">
        <f>_xll.QS.EVALUATE(C9445,F9445)</f>
        <v>65463.477722925672</v>
      </c>
      <c r="H9445" s="5" t="s">
        <v>9486</v>
      </c>
      <c r="I9445" s="7">
        <v>1944300</v>
      </c>
      <c r="J9445" s="8">
        <v>3.9300000000000002E-2</v>
      </c>
    </row>
    <row r="9446" spans="1:10" x14ac:dyDescent="0.25">
      <c r="A9446" s="5" t="s">
        <v>9480</v>
      </c>
      <c r="B9446" s="5" t="s">
        <v>11313</v>
      </c>
      <c r="C9446" s="6" t="str">
        <f>_xll.QS.CONTEXT.CREATE("market.9444",A9446,"USD","SOFR")</f>
        <v>QSObject:PricingContext:w1~market.9444:13092</v>
      </c>
      <c r="D9446" s="6" t="str">
        <f>_xll.QS.CONTEXT.ADD.CURVE(C9446,"SOFR",$K$2:$K$7,$L$2:$L$7,,,"Actual360","LogLinear",TRUE)</f>
        <v>QSObject:ContextInput:w1~input.qs_context_add_curve.2359132437744.9445.3.0:31434</v>
      </c>
      <c r="E9446" s="6" t="str">
        <f>_xll.QS.INSTRUMENT.SWAP("swap.9444",H9446,B9446,"USD","SOFR",I9446,J9446,0,"Actual360","Simple","Annual","Annual","Annual")</f>
        <v>QSObject:Swap:w1~swap.9444:11557</v>
      </c>
      <c r="F9446" s="6" t="str">
        <f>_xll.QS.TRADE.CREATE("trade.9444",E9446,A9446,"Receive")</f>
        <v>QSObject:SwapTrade:w1~trade.9444:22359</v>
      </c>
      <c r="G9446" s="3">
        <f>_xll.QS.EVALUATE(C9446,F9446)</f>
        <v>66363.454656326678</v>
      </c>
      <c r="H9446" s="5" t="s">
        <v>9487</v>
      </c>
      <c r="I9446" s="7">
        <v>1944400</v>
      </c>
      <c r="J9446" s="8">
        <v>3.9399999999999998E-2</v>
      </c>
    </row>
    <row r="9447" spans="1:10" x14ac:dyDescent="0.25">
      <c r="A9447" s="5" t="s">
        <v>9481</v>
      </c>
      <c r="B9447" s="5" t="s">
        <v>11314</v>
      </c>
      <c r="C9447" s="6" t="str">
        <f>_xll.QS.CONTEXT.CREATE("market.9445",A9447,"USD","SOFR")</f>
        <v>QSObject:PricingContext:w1~market.9445:17454</v>
      </c>
      <c r="D9447" s="6" t="str">
        <f>_xll.QS.CONTEXT.ADD.CURVE(C9447,"SOFR",$K$2:$K$7,$L$2:$L$7,,,"Actual360","LogLinear",TRUE)</f>
        <v>QSObject:ContextInput:w1~input.qs_context_add_curve.2359132437744.9446.3.0:18413</v>
      </c>
      <c r="E9447" s="6" t="str">
        <f>_xll.QS.INSTRUMENT.SWAP("swap.9445",H9447,B9447,"USD","SOFR",I9447,J9447,0,"Actual360","Simple","Annual","Annual","Annual")</f>
        <v>QSObject:Swap:w1~swap.9445:3505</v>
      </c>
      <c r="F9447" s="6" t="str">
        <f>_xll.QS.TRADE.CREATE("trade.9445",E9447,A9447,"Receive")</f>
        <v>QSObject:SwapTrade:w1~trade.9445:20112</v>
      </c>
      <c r="G9447" s="3">
        <f>_xll.QS.EVALUATE(C9447,F9447)</f>
        <v>67186.448392152291</v>
      </c>
      <c r="H9447" s="5" t="s">
        <v>9488</v>
      </c>
      <c r="I9447" s="7">
        <v>1944500</v>
      </c>
      <c r="J9447" s="8">
        <v>3.9500000000000007E-2</v>
      </c>
    </row>
    <row r="9448" spans="1:10" x14ac:dyDescent="0.25">
      <c r="A9448" s="5" t="s">
        <v>9482</v>
      </c>
      <c r="B9448" s="5" t="s">
        <v>11315</v>
      </c>
      <c r="C9448" s="6" t="str">
        <f>_xll.QS.CONTEXT.CREATE("market.9446",A9448,"USD","SOFR")</f>
        <v>QSObject:PricingContext:w1~market.9446:16416</v>
      </c>
      <c r="D9448" s="6" t="str">
        <f>_xll.QS.CONTEXT.ADD.CURVE(C9448,"SOFR",$K$2:$K$7,$L$2:$L$7,,,"Actual360","LogLinear",TRUE)</f>
        <v>QSObject:ContextInput:w1~input.qs_context_add_curve.2359132437744.9447.3.0:31433</v>
      </c>
      <c r="E9448" s="6" t="str">
        <f>_xll.QS.INSTRUMENT.SWAP("swap.9446",H9448,B9448,"USD","SOFR",I9448,J9448,0,"Actual360","Simple","Annual","Annual","Annual")</f>
        <v>QSObject:Swap:w1~swap.9446:21866</v>
      </c>
      <c r="F9448" s="6" t="str">
        <f>_xll.QS.TRADE.CREATE("trade.9446",E9448,A9448,"Receive")</f>
        <v>QSObject:SwapTrade:w1~trade.9446:22358</v>
      </c>
      <c r="G9448" s="3">
        <f>_xll.QS.EVALUATE(C9448,F9448)</f>
        <v>68097.557268657431</v>
      </c>
      <c r="H9448" s="5" t="s">
        <v>9489</v>
      </c>
      <c r="I9448" s="7">
        <v>1944600</v>
      </c>
      <c r="J9448" s="8">
        <v>3.9600000000000003E-2</v>
      </c>
    </row>
    <row r="9449" spans="1:10" x14ac:dyDescent="0.25">
      <c r="A9449" s="5" t="s">
        <v>9483</v>
      </c>
      <c r="B9449" s="5" t="s">
        <v>11316</v>
      </c>
      <c r="C9449" s="6" t="str">
        <f>_xll.QS.CONTEXT.CREATE("market.9447",A9449,"USD","SOFR")</f>
        <v>QSObject:PricingContext:w1~market.9447:13091</v>
      </c>
      <c r="D9449" s="6" t="str">
        <f>_xll.QS.CONTEXT.ADD.CURVE(C9449,"SOFR",$K$2:$K$7,$L$2:$L$7,,,"Actual360","LogLinear",TRUE)</f>
        <v>QSObject:ContextInput:w1~input.qs_context_add_curve.2359132437744.9448.3.0:31432</v>
      </c>
      <c r="E9449" s="6" t="str">
        <f>_xll.QS.INSTRUMENT.SWAP("swap.9447",H9449,B9449,"USD","SOFR",I9449,J9449,0,"Actual360","Simple","Annual","Annual","Annual")</f>
        <v>QSObject:Swap:w1~swap.9447:9893</v>
      </c>
      <c r="F9449" s="6" t="str">
        <f>_xll.QS.TRADE.CREATE("trade.9447",E9449,A9449,"Receive")</f>
        <v>QSObject:SwapTrade:w1~trade.9447:22357</v>
      </c>
      <c r="G9449" s="3">
        <f>_xll.QS.EVALUATE(C9449,F9449)</f>
        <v>68999.988255355856</v>
      </c>
      <c r="H9449" s="5" t="s">
        <v>9490</v>
      </c>
      <c r="I9449" s="7">
        <v>1944700</v>
      </c>
      <c r="J9449" s="8">
        <v>3.9700000000000013E-2</v>
      </c>
    </row>
    <row r="9450" spans="1:10" x14ac:dyDescent="0.25">
      <c r="A9450" s="5" t="s">
        <v>9484</v>
      </c>
      <c r="B9450" s="5" t="s">
        <v>11317</v>
      </c>
      <c r="C9450" s="6" t="str">
        <f>_xll.QS.CONTEXT.CREATE("market.9448",A9450,"USD","SOFR")</f>
        <v>QSObject:PricingContext:w1~market.9448:17453</v>
      </c>
      <c r="D9450" s="6" t="str">
        <f>_xll.QS.CONTEXT.ADD.CURVE(C9450,"SOFR",$K$2:$K$7,$L$2:$L$7,,,"Actual360","LogLinear",TRUE)</f>
        <v>QSObject:ContextInput:w1~input.qs_context_add_curve.2359132437744.9449.3.0:31431</v>
      </c>
      <c r="E9450" s="6" t="str">
        <f>_xll.QS.INSTRUMENT.SWAP("swap.9448",H9450,B9450,"USD","SOFR",I9450,J9450,0,"Actual360","Simple","Annual","Annual","Annual")</f>
        <v>QSObject:Swap:w1~swap.9448:5068</v>
      </c>
      <c r="F9450" s="6" t="str">
        <f>_xll.QS.TRADE.CREATE("trade.9448",E9450,A9450,"Receive")</f>
        <v>QSObject:SwapTrade:w1~trade.9448:11556</v>
      </c>
      <c r="G9450" s="3">
        <f>_xll.QS.EVALUATE(C9450,F9450)</f>
        <v>69657.201026740338</v>
      </c>
      <c r="H9450" s="5" t="s">
        <v>9491</v>
      </c>
      <c r="I9450" s="7">
        <v>1944800</v>
      </c>
      <c r="J9450" s="8">
        <v>3.9800000000000002E-2</v>
      </c>
    </row>
    <row r="9451" spans="1:10" x14ac:dyDescent="0.25">
      <c r="A9451" s="5" t="s">
        <v>9485</v>
      </c>
      <c r="B9451" s="5" t="s">
        <v>11318</v>
      </c>
      <c r="C9451" s="6" t="str">
        <f>_xll.QS.CONTEXT.CREATE("market.9449",A9451,"USD","SOFR")</f>
        <v>QSObject:PricingContext:w1~market.9449:20111</v>
      </c>
      <c r="D9451" s="6" t="str">
        <f>_xll.QS.CONTEXT.ADD.CURVE(C9451,"SOFR",$K$2:$K$7,$L$2:$L$7,,,"Actual360","LogLinear",TRUE)</f>
        <v>QSObject:ContextInput:w1~input.qs_context_add_curve.2359132437744.9450.3.0:31430</v>
      </c>
      <c r="E9451" s="6" t="str">
        <f>_xll.QS.INSTRUMENT.SWAP("swap.9449",H9451,B9451,"USD","SOFR",I9451,J9451,0,"Actual360","Simple","Annual","Annual","Annual")</f>
        <v>QSObject:Swap:w1~swap.9449:18412</v>
      </c>
      <c r="F9451" s="6" t="str">
        <f>_xll.QS.TRADE.CREATE("trade.9449",E9451,A9451,"Receive")</f>
        <v>QSObject:SwapTrade:w1~trade.9449:21865</v>
      </c>
      <c r="G9451" s="3">
        <f>_xll.QS.EVALUATE(C9451,F9451)</f>
        <v>70563.460248194344</v>
      </c>
      <c r="H9451" s="5" t="s">
        <v>9492</v>
      </c>
      <c r="I9451" s="7">
        <v>1944900</v>
      </c>
      <c r="J9451" s="8">
        <v>3.9899999999999998E-2</v>
      </c>
    </row>
    <row r="9452" spans="1:10" x14ac:dyDescent="0.25">
      <c r="A9452" s="5" t="s">
        <v>9486</v>
      </c>
      <c r="B9452" s="5" t="s">
        <v>11319</v>
      </c>
      <c r="C9452" s="6" t="str">
        <f>_xll.QS.CONTEXT.CREATE("market.9450",A9452,"USD","SOFR")</f>
        <v>QSObject:PricingContext:w1~market.9450:13090</v>
      </c>
      <c r="D9452" s="6" t="str">
        <f>_xll.QS.CONTEXT.ADD.CURVE(C9452,"SOFR",$K$2:$K$7,$L$2:$L$7,,,"Actual360","LogLinear",TRUE)</f>
        <v>QSObject:ContextInput:w1~input.qs_context_add_curve.2359132437744.9451.3.0:22356</v>
      </c>
      <c r="E9452" s="6" t="str">
        <f>_xll.QS.INSTRUMENT.SWAP("swap.9450",H9452,B9452,"USD","SOFR",I9452,J9452,0,"Actual360","Simple","Annual","Annual","Annual")</f>
        <v>QSObject:Swap:w1~swap.9450:16415</v>
      </c>
      <c r="F9452" s="6" t="str">
        <f>_xll.QS.TRADE.CREATE("trade.9450",E9452,A9452,"Receive")</f>
        <v>QSObject:SwapTrade:w1~trade.9450:22355</v>
      </c>
      <c r="G9452" s="3">
        <f>_xll.QS.EVALUATE(C9452,F9452)</f>
        <v>26680.870413914228</v>
      </c>
      <c r="H9452" s="5" t="s">
        <v>9493</v>
      </c>
      <c r="I9452" s="7">
        <v>1945000</v>
      </c>
      <c r="J9452" s="8">
        <v>3.5000000000000003E-2</v>
      </c>
    </row>
    <row r="9453" spans="1:10" x14ac:dyDescent="0.25">
      <c r="A9453" s="5" t="s">
        <v>9487</v>
      </c>
      <c r="B9453" s="5" t="s">
        <v>11320</v>
      </c>
      <c r="C9453" s="6" t="str">
        <f>_xll.QS.CONTEXT.CREATE("market.9451",A9453,"USD","SOFR")</f>
        <v>QSObject:PricingContext:w1~market.9451:14740</v>
      </c>
      <c r="D9453" s="6" t="str">
        <f>_xll.QS.CONTEXT.ADD.CURVE(C9453,"SOFR",$K$2:$K$7,$L$2:$L$7,,,"Actual360","LogLinear",TRUE)</f>
        <v>QSObject:ContextInput:w1~input.qs_context_add_curve.2359132437744.9452.3.0:22354</v>
      </c>
      <c r="E9453" s="6" t="str">
        <f>_xll.QS.INSTRUMENT.SWAP("swap.9451",H9453,B9453,"USD","SOFR",I9453,J9453,0,"Actual360","Simple","Annual","Annual","Annual")</f>
        <v>QSObject:Swap:w1~swap.9451:447</v>
      </c>
      <c r="F9453" s="6" t="str">
        <f>_xll.QS.TRADE.CREATE("trade.9451",E9453,A9453,"Receive")</f>
        <v>QSObject:SwapTrade:w1~trade.9451:17452</v>
      </c>
      <c r="G9453" s="3">
        <f>_xll.QS.EVALUATE(C9453,F9453)</f>
        <v>27721.430498784524</v>
      </c>
      <c r="H9453" s="5" t="s">
        <v>9494</v>
      </c>
      <c r="I9453" s="7">
        <v>1945100</v>
      </c>
      <c r="J9453" s="8">
        <v>3.5100000000000013E-2</v>
      </c>
    </row>
    <row r="9454" spans="1:10" x14ac:dyDescent="0.25">
      <c r="A9454" s="5" t="s">
        <v>9488</v>
      </c>
      <c r="B9454" s="5" t="s">
        <v>11321</v>
      </c>
      <c r="C9454" s="6" t="str">
        <f>_xll.QS.CONTEXT.CREATE("market.9452",A9454,"USD","SOFR")</f>
        <v>QSObject:PricingContext:w1~market.9452:5067</v>
      </c>
      <c r="D9454" s="6" t="str">
        <f>_xll.QS.CONTEXT.ADD.CURVE(C9454,"SOFR",$K$2:$K$7,$L$2:$L$7,,,"Actual360","LogLinear",TRUE)</f>
        <v>QSObject:ContextInput:w1~input.qs_context_add_curve.2359132437744.9453.3.0:20110</v>
      </c>
      <c r="E9454" s="6" t="str">
        <f>_xll.QS.INSTRUMENT.SWAP("swap.9452",H9454,B9454,"USD","SOFR",I9454,J9454,0,"Actual360","Simple","Annual","Annual","Annual")</f>
        <v>QSObject:Swap:w1~swap.9452:11555</v>
      </c>
      <c r="F9454" s="6" t="str">
        <f>_xll.QS.TRADE.CREATE("trade.9452",E9454,A9454,"Receive")</f>
        <v>QSObject:SwapTrade:w1~trade.9452:22353</v>
      </c>
      <c r="G9454" s="3">
        <f>_xll.QS.EVALUATE(C9454,F9454)</f>
        <v>28620.18771760846</v>
      </c>
      <c r="H9454" s="5" t="s">
        <v>9495</v>
      </c>
      <c r="I9454" s="7">
        <v>1945200</v>
      </c>
      <c r="J9454" s="8">
        <v>3.5200000000000002E-2</v>
      </c>
    </row>
    <row r="9455" spans="1:10" x14ac:dyDescent="0.25">
      <c r="A9455" s="5" t="s">
        <v>9489</v>
      </c>
      <c r="B9455" s="5" t="s">
        <v>11322</v>
      </c>
      <c r="C9455" s="6" t="str">
        <f>_xll.QS.CONTEXT.CREATE("market.9453",A9455,"USD","SOFR")</f>
        <v>QSObject:PricingContext:w1~market.9453:8279</v>
      </c>
      <c r="D9455" s="6" t="str">
        <f>_xll.QS.CONTEXT.ADD.CURVE(C9455,"SOFR",$K$2:$K$7,$L$2:$L$7,,,"Actual360","LogLinear",TRUE)</f>
        <v>QSObject:ContextInput:w1~input.qs_context_add_curve.2359132437744.9454.3.0:13089</v>
      </c>
      <c r="E9455" s="6" t="str">
        <f>_xll.QS.INSTRUMENT.SWAP("swap.9453",H9455,B9455,"USD","SOFR",I9455,J9455,0,"Actual360","Simple","Annual","Annual","Annual")</f>
        <v>QSObject:Swap:w1~swap.9453:21864</v>
      </c>
      <c r="F9455" s="6" t="str">
        <f>_xll.QS.TRADE.CREATE("trade.9453",E9455,A9455,"Receive")</f>
        <v>QSObject:SwapTrade:w1~trade.9453:22352</v>
      </c>
      <c r="G9455" s="3">
        <f>_xll.QS.EVALUATE(C9455,F9455)</f>
        <v>29452.271361056337</v>
      </c>
      <c r="H9455" s="5" t="s">
        <v>9496</v>
      </c>
      <c r="I9455" s="7">
        <v>1945300</v>
      </c>
      <c r="J9455" s="8">
        <v>3.5299999999999998E-2</v>
      </c>
    </row>
    <row r="9456" spans="1:10" x14ac:dyDescent="0.25">
      <c r="A9456" s="5" t="s">
        <v>9490</v>
      </c>
      <c r="B9456" s="5" t="s">
        <v>11323</v>
      </c>
      <c r="C9456" s="6" t="str">
        <f>_xll.QS.CONTEXT.CREATE("market.9454",A9456,"USD","SOFR")</f>
        <v>QSObject:PricingContext:w1~market.9454:1952</v>
      </c>
      <c r="D9456" s="6" t="str">
        <f>_xll.QS.CONTEXT.ADD.CURVE(C9456,"SOFR",$K$2:$K$7,$L$2:$L$7,,,"Actual360","LogLinear",TRUE)</f>
        <v>QSObject:ContextInput:w1~input.qs_context_add_curve.2359132437744.9455.3.0:6681</v>
      </c>
      <c r="E9456" s="6" t="str">
        <f>_xll.QS.INSTRUMENT.SWAP("swap.9454",H9456,B9456,"USD","SOFR",I9456,J9456,0,"Actual360","Simple","Annual","Annual","Annual")</f>
        <v>QSObject:Swap:w1~swap.9454:14739</v>
      </c>
      <c r="F9456" s="6" t="str">
        <f>_xll.QS.TRADE.CREATE("trade.9454",E9456,A9456,"Receive")</f>
        <v>QSObject:SwapTrade:w1~trade.9454:22351</v>
      </c>
      <c r="G9456" s="3">
        <f>_xll.QS.EVALUATE(C9456,F9456)</f>
        <v>30501.494177076929</v>
      </c>
      <c r="H9456" s="5" t="s">
        <v>9497</v>
      </c>
      <c r="I9456" s="7">
        <v>1945400</v>
      </c>
      <c r="J9456" s="8">
        <v>3.5400000000000001E-2</v>
      </c>
    </row>
    <row r="9457" spans="1:10" x14ac:dyDescent="0.25">
      <c r="A9457" s="5" t="s">
        <v>9491</v>
      </c>
      <c r="B9457" s="5" t="s">
        <v>11324</v>
      </c>
      <c r="C9457" s="6" t="str">
        <f>_xll.QS.CONTEXT.CREATE("market.9455",A9457,"USD","SOFR")</f>
        <v>QSObject:PricingContext:w1~market.9455:446</v>
      </c>
      <c r="D9457" s="6" t="str">
        <f>_xll.QS.CONTEXT.ADD.CURVE(C9457,"SOFR",$K$2:$K$7,$L$2:$L$7,,,"Actual360","LogLinear",TRUE)</f>
        <v>QSObject:ContextInput:w1~input.qs_context_add_curve.2359132437744.9456.3.0:18411</v>
      </c>
      <c r="E9457" s="6" t="str">
        <f>_xll.QS.INSTRUMENT.SWAP("swap.9455",H9457,B9457,"USD","SOFR",I9457,J9457,0,"Actual360","Simple","Annual","Annual","Annual")</f>
        <v>QSObject:Swap:w1~swap.9455:17451</v>
      </c>
      <c r="F9457" s="6" t="str">
        <f>_xll.QS.TRADE.CREATE("trade.9455",E9457,A9457,"Receive")</f>
        <v>QSObject:SwapTrade:w1~trade.9455:22350</v>
      </c>
      <c r="G9457" s="3">
        <f>_xll.QS.EVALUATE(C9457,F9457)</f>
        <v>31164.529937370309</v>
      </c>
      <c r="H9457" s="5" t="s">
        <v>9498</v>
      </c>
      <c r="I9457" s="7">
        <v>1945500</v>
      </c>
      <c r="J9457" s="8">
        <v>3.5499999999999997E-2</v>
      </c>
    </row>
    <row r="9458" spans="1:10" x14ac:dyDescent="0.25">
      <c r="A9458" s="5" t="s">
        <v>9492</v>
      </c>
      <c r="B9458" s="5" t="s">
        <v>11325</v>
      </c>
      <c r="C9458" s="6" t="str">
        <f>_xll.QS.CONTEXT.CREATE("market.9456",A9458,"USD","SOFR")</f>
        <v>QSObject:PricingContext:w1~market.9456:3504</v>
      </c>
      <c r="D9458" s="6" t="str">
        <f>_xll.QS.CONTEXT.ADD.CURVE(C9458,"SOFR",$K$2:$K$7,$L$2:$L$7,,,"Actual360","LogLinear",TRUE)</f>
        <v>QSObject:ContextInput:w1~input.qs_context_add_curve.2359132437744.9457.3.0:16414</v>
      </c>
      <c r="E9458" s="6" t="str">
        <f>_xll.QS.INSTRUMENT.SWAP("swap.9456",H9458,B9458,"USD","SOFR",I9458,J9458,0,"Actual360","Simple","Annual","Annual","Annual")</f>
        <v>QSObject:Swap:w1~swap.9456:20109</v>
      </c>
      <c r="F9458" s="6" t="str">
        <f>_xll.QS.TRADE.CREATE("trade.9456",E9458,A9458,"Receive")</f>
        <v>QSObject:SwapTrade:w1~trade.9456:22349</v>
      </c>
      <c r="G9458" s="3">
        <f>_xll.QS.EVALUATE(C9458,F9458)</f>
        <v>32066.433458157466</v>
      </c>
      <c r="H9458" s="5" t="s">
        <v>9499</v>
      </c>
      <c r="I9458" s="7">
        <v>1945600</v>
      </c>
      <c r="J9458" s="8">
        <v>3.5600000000000007E-2</v>
      </c>
    </row>
    <row r="9459" spans="1:10" x14ac:dyDescent="0.25">
      <c r="A9459" s="5" t="s">
        <v>9493</v>
      </c>
      <c r="B9459" s="5" t="s">
        <v>11326</v>
      </c>
      <c r="C9459" s="6" t="str">
        <f>_xll.QS.CONTEXT.CREATE("market.9457",A9459,"USD","SOFR")</f>
        <v>QSObject:PricingContext:w1~market.9457:1951</v>
      </c>
      <c r="D9459" s="6" t="str">
        <f>_xll.QS.CONTEXT.ADD.CURVE(C9459,"SOFR",$K$2:$K$7,$L$2:$L$7,,,"Actual360","LogLinear",TRUE)</f>
        <v>QSObject:ContextInput:w1~input.qs_context_add_curve.2359132437744.9458.3.0:8278</v>
      </c>
      <c r="E9459" s="6" t="str">
        <f>_xll.QS.INSTRUMENT.SWAP("swap.9457",H9459,B9459,"USD","SOFR",I9459,J9459,0,"Actual360","Simple","Annual","Annual","Annual")</f>
        <v>QSObject:Swap:w1~swap.9457:13088</v>
      </c>
      <c r="F9459" s="6" t="str">
        <f>_xll.QS.TRADE.CREATE("trade.9457",E9459,A9459,"Receive")</f>
        <v>QSObject:SwapTrade:w1~trade.9457:18410</v>
      </c>
      <c r="G9459" s="3">
        <f>_xll.QS.EVALUATE(C9459,F9459)</f>
        <v>33189.2656918789</v>
      </c>
      <c r="H9459" s="5" t="s">
        <v>9500</v>
      </c>
      <c r="I9459" s="7">
        <v>1945700</v>
      </c>
      <c r="J9459" s="8">
        <v>3.5700000000000003E-2</v>
      </c>
    </row>
    <row r="9460" spans="1:10" x14ac:dyDescent="0.25">
      <c r="A9460" s="5" t="s">
        <v>9494</v>
      </c>
      <c r="B9460" s="5" t="s">
        <v>11327</v>
      </c>
      <c r="C9460" s="6" t="str">
        <f>_xll.QS.CONTEXT.CREATE("market.9458",A9460,"USD","SOFR")</f>
        <v>QSObject:PricingContext:w1~market.9458:6680</v>
      </c>
      <c r="D9460" s="6" t="str">
        <f>_xll.QS.CONTEXT.ADD.CURVE(C9460,"SOFR",$K$2:$K$7,$L$2:$L$7,,,"Actual360","LogLinear",TRUE)</f>
        <v>QSObject:ContextInput:w1~input.qs_context_add_curve.2359132437744.9459.3.0:31429</v>
      </c>
      <c r="E9460" s="6" t="str">
        <f>_xll.QS.INSTRUMENT.SWAP("swap.9458",H9460,B9460,"USD","SOFR",I9460,J9460,0,"Actual360","Simple","Annual","Annual","Annual")</f>
        <v>QSObject:Swap:w1~swap.9458:17450</v>
      </c>
      <c r="F9460" s="6" t="str">
        <f>_xll.QS.TRADE.CREATE("trade.9458",E9460,A9460,"Receive")</f>
        <v>QSObject:SwapTrade:w1~trade.9458:22348</v>
      </c>
      <c r="G9460" s="3">
        <f>_xll.QS.EVALUATE(C9460,F9460)</f>
        <v>34092.629321287772</v>
      </c>
      <c r="H9460" s="5" t="s">
        <v>9501</v>
      </c>
      <c r="I9460" s="7">
        <v>1945800</v>
      </c>
      <c r="J9460" s="8">
        <v>3.5800000000000012E-2</v>
      </c>
    </row>
    <row r="9461" spans="1:10" x14ac:dyDescent="0.25">
      <c r="A9461" s="5" t="s">
        <v>9495</v>
      </c>
      <c r="B9461" s="5" t="s">
        <v>11328</v>
      </c>
      <c r="C9461" s="6" t="str">
        <f>_xll.QS.CONTEXT.CREATE("market.9459",A9461,"USD","SOFR")</f>
        <v>QSObject:PricingContext:w1~market.9459:3503</v>
      </c>
      <c r="D9461" s="6" t="str">
        <f>_xll.QS.CONTEXT.ADD.CURVE(C9461,"SOFR",$K$2:$K$7,$L$2:$L$7,,,"Actual360","LogLinear",TRUE)</f>
        <v>QSObject:ContextInput:w1~input.qs_context_add_curve.2359132437744.9460.3.0:16413</v>
      </c>
      <c r="E9461" s="6" t="str">
        <f>_xll.QS.INSTRUMENT.SWAP("swap.9459",H9461,B9461,"USD","SOFR",I9461,J9461,0,"Actual360","Simple","Annual","Annual","Annual")</f>
        <v>QSObject:Swap:w1~swap.9459:21863</v>
      </c>
      <c r="F9461" s="6" t="str">
        <f>_xll.QS.TRADE.CREATE("trade.9459",E9461,A9461,"Receive")</f>
        <v>QSObject:SwapTrade:w1~trade.9459:22347</v>
      </c>
      <c r="G9461" s="3">
        <f>_xll.QS.EVALUATE(C9461,F9461)</f>
        <v>35002.243592056548</v>
      </c>
      <c r="H9461" s="5" t="s">
        <v>9502</v>
      </c>
      <c r="I9461" s="7">
        <v>1945900</v>
      </c>
      <c r="J9461" s="8">
        <v>3.5900000000000001E-2</v>
      </c>
    </row>
    <row r="9462" spans="1:10" x14ac:dyDescent="0.25">
      <c r="A9462" s="5" t="s">
        <v>9496</v>
      </c>
      <c r="B9462" s="5" t="s">
        <v>11329</v>
      </c>
      <c r="C9462" s="6" t="str">
        <f>_xll.QS.CONTEXT.CREATE("market.9460",A9462,"USD","SOFR")</f>
        <v>QSObject:PricingContext:w1~market.9460:20108</v>
      </c>
      <c r="D9462" s="6" t="str">
        <f>_xll.QS.CONTEXT.ADD.CURVE(C9462,"SOFR",$K$2:$K$7,$L$2:$L$7,,,"Actual360","LogLinear",TRUE)</f>
        <v>QSObject:ContextInput:w1~input.qs_context_add_curve.2359132437744.9461.3.0:31428</v>
      </c>
      <c r="E9462" s="6" t="str">
        <f>_xll.QS.INSTRUMENT.SWAP("swap.9460",H9462,B9462,"USD","SOFR",I9462,J9462,0,"Actual360","Simple","Annual","Annual","Annual")</f>
        <v>QSObject:Swap:w1~swap.9460:8277</v>
      </c>
      <c r="F9462" s="6" t="str">
        <f>_xll.QS.TRADE.CREATE("trade.9460",E9462,A9462,"Receive")</f>
        <v>QSObject:SwapTrade:w1~trade.9460:9892</v>
      </c>
      <c r="G9462" s="3">
        <f>_xll.QS.EVALUATE(C9462,F9462)</f>
        <v>35824.62542348908</v>
      </c>
      <c r="H9462" s="5" t="s">
        <v>9503</v>
      </c>
      <c r="I9462" s="7">
        <v>1946000</v>
      </c>
      <c r="J9462" s="8">
        <v>3.5999999999999997E-2</v>
      </c>
    </row>
    <row r="9463" spans="1:10" x14ac:dyDescent="0.25">
      <c r="A9463" s="5" t="s">
        <v>9497</v>
      </c>
      <c r="B9463" s="5" t="s">
        <v>11330</v>
      </c>
      <c r="C9463" s="6" t="str">
        <f>_xll.QS.CONTEXT.CREATE("market.9461",A9463,"USD","SOFR")</f>
        <v>QSObject:PricingContext:w1~market.9461:11554</v>
      </c>
      <c r="D9463" s="6" t="str">
        <f>_xll.QS.CONTEXT.ADD.CURVE(C9463,"SOFR",$K$2:$K$7,$L$2:$L$7,,,"Actual360","LogLinear",TRUE)</f>
        <v>QSObject:ContextInput:w1~input.qs_context_add_curve.2359132437744.9462.3.0:22346</v>
      </c>
      <c r="E9463" s="6" t="str">
        <f>_xll.QS.INSTRUMENT.SWAP("swap.9461",H9463,B9463,"USD","SOFR",I9463,J9463,0,"Actual360","Simple","Annual","Annual","Annual")</f>
        <v>QSObject:Swap:w1~swap.9461:13087</v>
      </c>
      <c r="F9463" s="6" t="str">
        <f>_xll.QS.TRADE.CREATE("trade.9461",E9463,A9463,"Receive")</f>
        <v>QSObject:SwapTrade:w1~trade.9461:22345</v>
      </c>
      <c r="G9463" s="3">
        <f>_xll.QS.EVALUATE(C9463,F9463)</f>
        <v>36726.217929300314</v>
      </c>
      <c r="H9463" s="5" t="s">
        <v>9504</v>
      </c>
      <c r="I9463" s="7">
        <v>1946100</v>
      </c>
      <c r="J9463" s="8">
        <v>3.61E-2</v>
      </c>
    </row>
    <row r="9464" spans="1:10" x14ac:dyDescent="0.25">
      <c r="A9464" s="5" t="s">
        <v>9498</v>
      </c>
      <c r="B9464" s="5" t="s">
        <v>11331</v>
      </c>
      <c r="C9464" s="6" t="str">
        <f>_xll.QS.CONTEXT.CREATE("market.9462",A9464,"USD","SOFR")</f>
        <v>QSObject:PricingContext:w1~market.9462:3502</v>
      </c>
      <c r="D9464" s="6" t="str">
        <f>_xll.QS.CONTEXT.ADD.CURVE(C9464,"SOFR",$K$2:$K$7,$L$2:$L$7,,,"Actual360","LogLinear",TRUE)</f>
        <v>QSObject:ContextInput:w1~input.qs_context_add_curve.2359132437744.9463.3.0:5066</v>
      </c>
      <c r="E9464" s="6" t="str">
        <f>_xll.QS.INSTRUMENT.SWAP("swap.9462",H9464,B9464,"USD","SOFR",I9464,J9464,0,"Actual360","Simple","Annual","Annual","Annual")</f>
        <v>QSObject:Swap:w1~swap.9462:16412</v>
      </c>
      <c r="F9464" s="6" t="str">
        <f>_xll.QS.TRADE.CREATE("trade.9462",E9464,A9464,"Receive")</f>
        <v>QSObject:SwapTrade:w1~trade.9462:22344</v>
      </c>
      <c r="G9464" s="3">
        <f>_xll.QS.EVALUATE(C9464,F9464)</f>
        <v>37388.639315709064</v>
      </c>
      <c r="H9464" s="5" t="s">
        <v>9505</v>
      </c>
      <c r="I9464" s="7">
        <v>1946200</v>
      </c>
      <c r="J9464" s="8">
        <v>3.6200000000000003E-2</v>
      </c>
    </row>
    <row r="9465" spans="1:10" x14ac:dyDescent="0.25">
      <c r="A9465" s="5" t="s">
        <v>9499</v>
      </c>
      <c r="B9465" s="5" t="s">
        <v>11332</v>
      </c>
      <c r="C9465" s="6" t="str">
        <f>_xll.QS.CONTEXT.CREATE("market.9463",A9465,"USD","SOFR")</f>
        <v>QSObject:PricingContext:w1~market.9463:8276</v>
      </c>
      <c r="D9465" s="6" t="str">
        <f>_xll.QS.CONTEXT.ADD.CURVE(C9465,"SOFR",$K$2:$K$7,$L$2:$L$7,,,"Actual360","LogLinear",TRUE)</f>
        <v>QSObject:ContextInput:w1~input.qs_context_add_curve.2359132437744.9464.3.0:17449</v>
      </c>
      <c r="E9465" s="6" t="str">
        <f>_xll.QS.INSTRUMENT.SWAP("swap.9463",H9465,B9465,"USD","SOFR",I9465,J9465,0,"Actual360","Simple","Annual","Annual","Annual")</f>
        <v>QSObject:Swap:w1~swap.9463:21862</v>
      </c>
      <c r="F9465" s="6" t="str">
        <f>_xll.QS.TRADE.CREATE("trade.9463",E9465,A9465,"Receive")</f>
        <v>QSObject:SwapTrade:w1~trade.9463:22343</v>
      </c>
      <c r="G9465" s="3">
        <f>_xll.QS.EVALUATE(C9465,F9465)</f>
        <v>38291.397591435001</v>
      </c>
      <c r="H9465" s="5" t="s">
        <v>9506</v>
      </c>
      <c r="I9465" s="7">
        <v>1946300</v>
      </c>
      <c r="J9465" s="8">
        <v>3.6300000000000013E-2</v>
      </c>
    </row>
    <row r="9466" spans="1:10" x14ac:dyDescent="0.25">
      <c r="A9466" s="5" t="s">
        <v>9500</v>
      </c>
      <c r="B9466" s="5" t="s">
        <v>11333</v>
      </c>
      <c r="C9466" s="6" t="str">
        <f>_xll.QS.CONTEXT.CREATE("market.9464",A9466,"USD","SOFR")</f>
        <v>QSObject:PricingContext:w1~market.9464:20107</v>
      </c>
      <c r="D9466" s="6" t="str">
        <f>_xll.QS.CONTEXT.ADD.CURVE(C9466,"SOFR",$K$2:$K$7,$L$2:$L$7,,,"Actual360","LogLinear",TRUE)</f>
        <v>QSObject:ContextInput:w1~input.qs_context_add_curve.2359132437744.9465.3.0:31427</v>
      </c>
      <c r="E9466" s="6" t="str">
        <f>_xll.QS.INSTRUMENT.SWAP("swap.9464",H9466,B9466,"USD","SOFR",I9466,J9466,0,"Actual360","Simple","Annual","Annual","Annual")</f>
        <v>QSObject:Swap:w1~swap.9464:11553</v>
      </c>
      <c r="F9466" s="6" t="str">
        <f>_xll.QS.TRADE.CREATE("trade.9464",E9466,A9466,"Receive")</f>
        <v>QSObject:SwapTrade:w1~trade.9464:22342</v>
      </c>
      <c r="G9466" s="3">
        <f>_xll.QS.EVALUATE(C9466,F9466)</f>
        <v>39272.102316916833</v>
      </c>
      <c r="H9466" s="5" t="s">
        <v>9507</v>
      </c>
      <c r="I9466" s="7">
        <v>1946400</v>
      </c>
      <c r="J9466" s="8">
        <v>3.6400000000000002E-2</v>
      </c>
    </row>
    <row r="9467" spans="1:10" x14ac:dyDescent="0.25">
      <c r="A9467" s="5" t="s">
        <v>9501</v>
      </c>
      <c r="B9467" s="5" t="s">
        <v>11334</v>
      </c>
      <c r="C9467" s="6" t="str">
        <f>_xll.QS.CONTEXT.CREATE("market.9465",A9467,"USD","SOFR")</f>
        <v>QSObject:PricingContext:w1~market.9465:1950</v>
      </c>
      <c r="D9467" s="6" t="str">
        <f>_xll.QS.CONTEXT.ADD.CURVE(C9467,"SOFR",$K$2:$K$7,$L$2:$L$7,,,"Actual360","LogLinear",TRUE)</f>
        <v>QSObject:ContextInput:w1~input.qs_context_add_curve.2359132437744.9466.3.0:3501</v>
      </c>
      <c r="E9467" s="6" t="str">
        <f>_xll.QS.INSTRUMENT.SWAP("swap.9465",H9467,B9467,"USD","SOFR",I9467,J9467,0,"Actual360","Simple","Annual","Annual","Annual")</f>
        <v>QSObject:Swap:w1~swap.9465:13086</v>
      </c>
      <c r="F9467" s="6" t="str">
        <f>_xll.QS.TRADE.CREATE("trade.9465",E9467,A9467,"Receive")</f>
        <v>QSObject:SwapTrade:w1~trade.9465:14738</v>
      </c>
      <c r="G9467" s="3">
        <f>_xll.QS.EVALUATE(C9467,F9467)</f>
        <v>40314.269637959398</v>
      </c>
      <c r="H9467" s="5" t="s">
        <v>9508</v>
      </c>
      <c r="I9467" s="7">
        <v>1946500</v>
      </c>
      <c r="J9467" s="8">
        <v>3.6499999999999998E-2</v>
      </c>
    </row>
    <row r="9468" spans="1:10" x14ac:dyDescent="0.25">
      <c r="A9468" s="5" t="s">
        <v>9502</v>
      </c>
      <c r="B9468" s="5" t="s">
        <v>11335</v>
      </c>
      <c r="C9468" s="6" t="str">
        <f>_xll.QS.CONTEXT.CREATE("market.9466",A9468,"USD","SOFR")</f>
        <v>QSObject:PricingContext:w1~market.9466:18409</v>
      </c>
      <c r="D9468" s="6" t="str">
        <f>_xll.QS.CONTEXT.ADD.CURVE(C9468,"SOFR",$K$2:$K$7,$L$2:$L$7,,,"Actual360","LogLinear",TRUE)</f>
        <v>QSObject:ContextInput:w1~input.qs_context_add_curve.2359132437744.9467.3.0:31426</v>
      </c>
      <c r="E9468" s="6" t="str">
        <f>_xll.QS.INSTRUMENT.SWAP("swap.9466",H9468,B9468,"USD","SOFR",I9468,J9468,0,"Actual360","Simple","Annual","Annual","Annual")</f>
        <v>QSObject:Swap:w1~swap.9466:5065</v>
      </c>
      <c r="F9468" s="6" t="str">
        <f>_xll.QS.TRADE.CREATE("trade.9466",E9468,A9468,"Receive")</f>
        <v>QSObject:SwapTrade:w1~trade.9466:21861</v>
      </c>
      <c r="G9468" s="3">
        <f>_xll.QS.EVALUATE(C9468,F9468)</f>
        <v>41214.160724650224</v>
      </c>
      <c r="H9468" s="5" t="s">
        <v>9509</v>
      </c>
      <c r="I9468" s="7">
        <v>1946600</v>
      </c>
      <c r="J9468" s="8">
        <v>3.6600000000000001E-2</v>
      </c>
    </row>
    <row r="9469" spans="1:10" x14ac:dyDescent="0.25">
      <c r="A9469" s="5" t="s">
        <v>9503</v>
      </c>
      <c r="B9469" s="5" t="s">
        <v>11336</v>
      </c>
      <c r="C9469" s="6" t="str">
        <f>_xll.QS.CONTEXT.CREATE("market.9467",A9469,"USD","SOFR")</f>
        <v>QSObject:PricingContext:w1~market.9467:17448</v>
      </c>
      <c r="D9469" s="6" t="str">
        <f>_xll.QS.CONTEXT.ADD.CURVE(C9469,"SOFR",$K$2:$K$7,$L$2:$L$7,,,"Actual360","LogLinear",TRUE)</f>
        <v>QSObject:ContextInput:w1~input.qs_context_add_curve.2359132437744.9468.3.0:20106</v>
      </c>
      <c r="E9469" s="6" t="str">
        <f>_xll.QS.INSTRUMENT.SWAP("swap.9467",H9469,B9469,"USD","SOFR",I9469,J9469,0,"Actual360","Simple","Annual","Annual","Annual")</f>
        <v>QSObject:Swap:w1~swap.9467:6679</v>
      </c>
      <c r="F9469" s="6" t="str">
        <f>_xll.QS.TRADE.CREATE("trade.9467",E9469,A9469,"Receive")</f>
        <v>QSObject:SwapTrade:w1~trade.9467:11552</v>
      </c>
      <c r="G9469" s="3">
        <f>_xll.QS.EVALUATE(C9469,F9469)</f>
        <v>42124.839022867149</v>
      </c>
      <c r="H9469" s="5" t="s">
        <v>9510</v>
      </c>
      <c r="I9469" s="7">
        <v>1946700</v>
      </c>
      <c r="J9469" s="8">
        <v>3.6700000000000003E-2</v>
      </c>
    </row>
    <row r="9470" spans="1:10" x14ac:dyDescent="0.25">
      <c r="A9470" s="5" t="s">
        <v>9504</v>
      </c>
      <c r="B9470" s="5" t="s">
        <v>11337</v>
      </c>
      <c r="C9470" s="6" t="str">
        <f>_xll.QS.CONTEXT.CREATE("market.9468",A9470,"USD","SOFR")</f>
        <v>QSObject:PricingContext:w1~market.9468:1949</v>
      </c>
      <c r="D9470" s="6" t="str">
        <f>_xll.QS.CONTEXT.ADD.CURVE(C9470,"SOFR",$K$2:$K$7,$L$2:$L$7,,,"Actual360","LogLinear",TRUE)</f>
        <v>QSObject:ContextInput:w1~input.qs_context_add_curve.2359132437744.9469.3.0:8275</v>
      </c>
      <c r="E9470" s="6" t="str">
        <f>_xll.QS.INSTRUMENT.SWAP("swap.9468",H9470,B9470,"USD","SOFR",I9470,J9470,0,"Actual360","Simple","Annual","Annual","Annual")</f>
        <v>QSObject:Swap:w1~swap.9468:445</v>
      </c>
      <c r="F9470" s="6" t="str">
        <f>_xll.QS.TRADE.CREATE("trade.9468",E9470,A9470,"Receive")</f>
        <v>QSObject:SwapTrade:w1~trade.9468:9891</v>
      </c>
      <c r="G9470" s="3">
        <f>_xll.QS.EVALUATE(C9470,F9470)</f>
        <v>43026.803606992311</v>
      </c>
      <c r="H9470" s="5" t="s">
        <v>9511</v>
      </c>
      <c r="I9470" s="7">
        <v>1946800</v>
      </c>
      <c r="J9470" s="8">
        <v>3.6800000000000013E-2</v>
      </c>
    </row>
    <row r="9471" spans="1:10" x14ac:dyDescent="0.25">
      <c r="A9471" s="5" t="s">
        <v>9505</v>
      </c>
      <c r="B9471" s="5" t="s">
        <v>11338</v>
      </c>
      <c r="C9471" s="6" t="str">
        <f>_xll.QS.CONTEXT.CREATE("market.9469",A9471,"USD","SOFR")</f>
        <v>QSObject:PricingContext:w1~market.9469:18408</v>
      </c>
      <c r="D9471" s="6" t="str">
        <f>_xll.QS.CONTEXT.ADD.CURVE(C9471,"SOFR",$K$2:$K$7,$L$2:$L$7,,,"Actual360","LogLinear",TRUE)</f>
        <v>QSObject:ContextInput:w1~input.qs_context_add_curve.2359132437744.9470.3.0:31425</v>
      </c>
      <c r="E9471" s="6" t="str">
        <f>_xll.QS.INSTRUMENT.SWAP("swap.9469",H9471,B9471,"USD","SOFR",I9471,J9471,0,"Actual360","Simple","Annual","Annual","Annual")</f>
        <v>QSObject:Swap:w1~swap.9469:3500</v>
      </c>
      <c r="F9471" s="6" t="str">
        <f>_xll.QS.TRADE.CREATE("trade.9469",E9471,A9471,"Receive")</f>
        <v>QSObject:SwapTrade:w1~trade.9469:13085</v>
      </c>
      <c r="G9471" s="3">
        <f>_xll.QS.EVALUATE(C9471,F9471)</f>
        <v>43688.623656589014</v>
      </c>
      <c r="H9471" s="5" t="s">
        <v>9512</v>
      </c>
      <c r="I9471" s="7">
        <v>1946900</v>
      </c>
      <c r="J9471" s="8">
        <v>3.6900000000000002E-2</v>
      </c>
    </row>
    <row r="9472" spans="1:10" x14ac:dyDescent="0.25">
      <c r="A9472" s="5" t="s">
        <v>9506</v>
      </c>
      <c r="B9472" s="5" t="s">
        <v>11339</v>
      </c>
      <c r="C9472" s="6" t="str">
        <f>_xll.QS.CONTEXT.CREATE("market.9470",A9472,"USD","SOFR")</f>
        <v>QSObject:PricingContext:w1~market.9470:21860</v>
      </c>
      <c r="D9472" s="6" t="str">
        <f>_xll.QS.CONTEXT.ADD.CURVE(C9472,"SOFR",$K$2:$K$7,$L$2:$L$7,,,"Actual360","LogLinear",TRUE)</f>
        <v>QSObject:ContextInput:w1~input.qs_context_add_curve.2359132437744.9471.3.0:31424</v>
      </c>
      <c r="E9472" s="6" t="str">
        <f>_xll.QS.INSTRUMENT.SWAP("swap.9470",H9472,B9472,"USD","SOFR",I9472,J9472,0,"Actual360","Simple","Annual","Annual","Annual")</f>
        <v>QSObject:Swap:w1~swap.9470:20105</v>
      </c>
      <c r="F9472" s="6" t="str">
        <f>_xll.QS.TRADE.CREATE("trade.9470",E9472,A9472,"Receive")</f>
        <v>QSObject:SwapTrade:w1~trade.9470:22341</v>
      </c>
      <c r="G9472" s="3">
        <f>_xll.QS.EVALUATE(C9472,F9472)</f>
        <v>44592.45114708566</v>
      </c>
      <c r="H9472" s="5" t="s">
        <v>9513</v>
      </c>
      <c r="I9472" s="7">
        <v>1947000</v>
      </c>
      <c r="J9472" s="8">
        <v>3.7000000000000012E-2</v>
      </c>
    </row>
    <row r="9473" spans="1:10" x14ac:dyDescent="0.25">
      <c r="A9473" s="5" t="s">
        <v>9507</v>
      </c>
      <c r="B9473" s="5" t="s">
        <v>11340</v>
      </c>
      <c r="C9473" s="6" t="str">
        <f>_xll.QS.CONTEXT.CREATE("market.9471",A9473,"USD","SOFR")</f>
        <v>QSObject:PricingContext:w1~market.9471:444</v>
      </c>
      <c r="D9473" s="6" t="str">
        <f>_xll.QS.CONTEXT.ADD.CURVE(C9473,"SOFR",$K$2:$K$7,$L$2:$L$7,,,"Actual360","LogLinear",TRUE)</f>
        <v>QSObject:ContextInput:w1~input.qs_context_add_curve.2359132437744.9472.3.0:5064</v>
      </c>
      <c r="E9473" s="6" t="str">
        <f>_xll.QS.INSTRUMENT.SWAP("swap.9471",H9473,B9473,"USD","SOFR",I9473,J9473,0,"Actual360","Simple","Annual","Annual","Annual")</f>
        <v>QSObject:Swap:w1~swap.9471:8274</v>
      </c>
      <c r="F9473" s="6" t="str">
        <f>_xll.QS.TRADE.CREATE("trade.9471",E9473,A9473,"Receive")</f>
        <v>QSObject:SwapTrade:w1~trade.9471:22340</v>
      </c>
      <c r="G9473" s="3">
        <f>_xll.QS.EVALUATE(C9473,F9473)</f>
        <v>45574.445493499006</v>
      </c>
      <c r="H9473" s="5" t="s">
        <v>9514</v>
      </c>
      <c r="I9473" s="7">
        <v>1947100</v>
      </c>
      <c r="J9473" s="8">
        <v>3.7100000000000001E-2</v>
      </c>
    </row>
    <row r="9474" spans="1:10" x14ac:dyDescent="0.25">
      <c r="A9474" s="5" t="s">
        <v>9508</v>
      </c>
      <c r="B9474" s="5" t="s">
        <v>11341</v>
      </c>
      <c r="C9474" s="6" t="str">
        <f>_xll.QS.CONTEXT.CREATE("market.9472",A9474,"USD","SOFR")</f>
        <v>QSObject:PricingContext:w1~market.9472:3499</v>
      </c>
      <c r="D9474" s="6" t="str">
        <f>_xll.QS.CONTEXT.ADD.CURVE(C9474,"SOFR",$K$2:$K$7,$L$2:$L$7,,,"Actual360","LogLinear",TRUE)</f>
        <v>QSObject:ContextInput:w1~input.qs_context_add_curve.2359132437744.9473.3.0:18407</v>
      </c>
      <c r="E9474" s="6" t="str">
        <f>_xll.QS.INSTRUMENT.SWAP("swap.9472",H9474,B9474,"USD","SOFR",I9474,J9474,0,"Actual360","Simple","Annual","Annual","Annual")</f>
        <v>QSObject:Swap:w1~swap.9472:11551</v>
      </c>
      <c r="F9474" s="6" t="str">
        <f>_xll.QS.TRADE.CREATE("trade.9472",E9474,A9474,"Receive")</f>
        <v>QSObject:SwapTrade:w1~trade.9472:22339</v>
      </c>
      <c r="G9474" s="3">
        <f>_xll.QS.EVALUATE(C9474,F9474)</f>
        <v>46617.404508854379</v>
      </c>
      <c r="H9474" s="5" t="s">
        <v>9515</v>
      </c>
      <c r="I9474" s="7">
        <v>1947200</v>
      </c>
      <c r="J9474" s="8">
        <v>3.7199999999999997E-2</v>
      </c>
    </row>
    <row r="9475" spans="1:10" x14ac:dyDescent="0.25">
      <c r="A9475" s="5" t="s">
        <v>9509</v>
      </c>
      <c r="B9475" s="5" t="s">
        <v>11342</v>
      </c>
      <c r="C9475" s="6" t="str">
        <f>_xll.QS.CONTEXT.CREATE("market.9473",A9475,"USD","SOFR")</f>
        <v>QSObject:PricingContext:w1~market.9473:21859</v>
      </c>
      <c r="D9475" s="6" t="str">
        <f>_xll.QS.CONTEXT.ADD.CURVE(C9475,"SOFR",$K$2:$K$7,$L$2:$L$7,,,"Actual360","LogLinear",TRUE)</f>
        <v>QSObject:ContextInput:w1~input.qs_context_add_curve.2359132437744.9474.3.0:31423</v>
      </c>
      <c r="E9475" s="6" t="str">
        <f>_xll.QS.INSTRUMENT.SWAP("swap.9473",H9475,B9475,"USD","SOFR",I9475,J9475,0,"Actual360","Simple","Annual","Annual","Annual")</f>
        <v>QSObject:Swap:w1~swap.9473:13084</v>
      </c>
      <c r="F9475" s="6" t="str">
        <f>_xll.QS.TRADE.CREATE("trade.9473",E9475,A9475,"Receive")</f>
        <v>QSObject:SwapTrade:w1~trade.9473:16411</v>
      </c>
      <c r="G9475" s="3">
        <f>_xll.QS.EVALUATE(C9475,F9475)</f>
        <v>47517.929161157153</v>
      </c>
      <c r="H9475" s="5" t="s">
        <v>9516</v>
      </c>
      <c r="I9475" s="7">
        <v>1947300</v>
      </c>
      <c r="J9475" s="8">
        <v>3.73E-2</v>
      </c>
    </row>
    <row r="9476" spans="1:10" x14ac:dyDescent="0.25">
      <c r="A9476" s="5" t="s">
        <v>9510</v>
      </c>
      <c r="B9476" s="5" t="s">
        <v>11343</v>
      </c>
      <c r="C9476" s="6" t="str">
        <f>_xll.QS.CONTEXT.CREATE("market.9474",A9476,"USD","SOFR")</f>
        <v>QSObject:PricingContext:w1~market.9474:443</v>
      </c>
      <c r="D9476" s="6" t="str">
        <f>_xll.QS.CONTEXT.ADD.CURVE(C9476,"SOFR",$K$2:$K$7,$L$2:$L$7,,,"Actual360","LogLinear",TRUE)</f>
        <v>QSObject:ContextInput:w1~input.qs_context_add_curve.2359132437744.9475.3.0:14737</v>
      </c>
      <c r="E9476" s="6" t="str">
        <f>_xll.QS.INSTRUMENT.SWAP("swap.9474",H9476,B9476,"USD","SOFR",I9476,J9476,0,"Actual360","Simple","Annual","Annual","Annual")</f>
        <v>QSObject:Swap:w1~swap.9474:17447</v>
      </c>
      <c r="F9476" s="6" t="str">
        <f>_xll.QS.TRADE.CREATE("trade.9474",E9476,A9476,"Receive")</f>
        <v>QSObject:SwapTrade:w1~trade.9474:22338</v>
      </c>
      <c r="G9476" s="3">
        <f>_xll.QS.EVALUATE(C9476,F9476)</f>
        <v>48429.274828124893</v>
      </c>
      <c r="H9476" s="5" t="s">
        <v>9517</v>
      </c>
      <c r="I9476" s="7">
        <v>1947400</v>
      </c>
      <c r="J9476" s="8">
        <v>3.7400000000000003E-2</v>
      </c>
    </row>
    <row r="9477" spans="1:10" x14ac:dyDescent="0.25">
      <c r="A9477" s="5" t="s">
        <v>9511</v>
      </c>
      <c r="B9477" s="5" t="s">
        <v>11344</v>
      </c>
      <c r="C9477" s="6" t="str">
        <f>_xll.QS.CONTEXT.CREATE("market.9475",A9477,"USD","SOFR")</f>
        <v>QSObject:PricingContext:w1~market.9475:8273</v>
      </c>
      <c r="D9477" s="6" t="str">
        <f>_xll.QS.CONTEXT.ADD.CURVE(C9477,"SOFR",$K$2:$K$7,$L$2:$L$7,,,"Actual360","LogLinear",TRUE)</f>
        <v>QSObject:ContextInput:w1~input.qs_context_add_curve.2359132437744.9476.3.0:20104</v>
      </c>
      <c r="E9477" s="6" t="str">
        <f>_xll.QS.INSTRUMENT.SWAP("swap.9475",H9477,B9477,"USD","SOFR",I9477,J9477,0,"Actual360","Simple","Annual","Annual","Annual")</f>
        <v>QSObject:Swap:w1~swap.9475:6678</v>
      </c>
      <c r="F9477" s="6" t="str">
        <f>_xll.QS.TRADE.CREATE("trade.9475",E9477,A9477,"Receive")</f>
        <v>QSObject:SwapTrade:w1~trade.9475:22337</v>
      </c>
      <c r="G9477" s="3">
        <f>_xll.QS.EVALUATE(C9477,F9477)</f>
        <v>49331.909847812065</v>
      </c>
      <c r="H9477" s="5" t="s">
        <v>9518</v>
      </c>
      <c r="I9477" s="7">
        <v>1947500</v>
      </c>
      <c r="J9477" s="8">
        <v>3.7500000000000012E-2</v>
      </c>
    </row>
    <row r="9478" spans="1:10" x14ac:dyDescent="0.25">
      <c r="A9478" s="5" t="s">
        <v>9512</v>
      </c>
      <c r="B9478" s="5" t="s">
        <v>11345</v>
      </c>
      <c r="C9478" s="6" t="str">
        <f>_xll.QS.CONTEXT.CREATE("market.9476",A9478,"USD","SOFR")</f>
        <v>QSObject:PricingContext:w1~market.9476:18406</v>
      </c>
      <c r="D9478" s="6" t="str">
        <f>_xll.QS.CONTEXT.ADD.CURVE(C9478,"SOFR",$K$2:$K$7,$L$2:$L$7,,,"Actual360","LogLinear",TRUE)</f>
        <v>QSObject:ContextInput:w1~input.qs_context_add_curve.2359132437744.9477.3.0:31422</v>
      </c>
      <c r="E9478" s="6" t="str">
        <f>_xll.QS.INSTRUMENT.SWAP("swap.9476",H9478,B9478,"USD","SOFR",I9478,J9478,0,"Actual360","Simple","Annual","Annual","Annual")</f>
        <v>QSObject:Swap:w1~swap.9476:11550</v>
      </c>
      <c r="F9478" s="6" t="str">
        <f>_xll.QS.TRADE.CREATE("trade.9476",E9478,A9478,"Receive")</f>
        <v>QSObject:SwapTrade:w1~trade.9476:22336</v>
      </c>
      <c r="G9478" s="3">
        <f>_xll.QS.EVALUATE(C9478,F9478)</f>
        <v>49993.024873592265</v>
      </c>
      <c r="H9478" s="5" t="s">
        <v>9519</v>
      </c>
      <c r="I9478" s="7">
        <v>1947600</v>
      </c>
      <c r="J9478" s="8">
        <v>3.7600000000000001E-2</v>
      </c>
    </row>
    <row r="9479" spans="1:10" x14ac:dyDescent="0.25">
      <c r="A9479" s="5" t="s">
        <v>9513</v>
      </c>
      <c r="B9479" s="5" t="s">
        <v>11346</v>
      </c>
      <c r="C9479" s="6" t="str">
        <f>_xll.QS.CONTEXT.CREATE("market.9477",A9479,"USD","SOFR")</f>
        <v>QSObject:PricingContext:w1~market.9477:14736</v>
      </c>
      <c r="D9479" s="6" t="str">
        <f>_xll.QS.CONTEXT.ADD.CURVE(C9479,"SOFR",$K$2:$K$7,$L$2:$L$7,,,"Actual360","LogLinear",TRUE)</f>
        <v>QSObject:ContextInput:w1~input.qs_context_add_curve.2359132437744.9478.3.0:16410</v>
      </c>
      <c r="E9479" s="6" t="str">
        <f>_xll.QS.INSTRUMENT.SWAP("swap.9477",H9479,B9479,"USD","SOFR",I9479,J9479,0,"Actual360","Simple","Annual","Annual","Annual")</f>
        <v>QSObject:Swap:w1~swap.9477:13083</v>
      </c>
      <c r="F9479" s="6" t="str">
        <f>_xll.QS.TRADE.CREATE("trade.9477",E9479,A9479,"Receive")</f>
        <v>QSObject:SwapTrade:w1~trade.9477:22335</v>
      </c>
      <c r="G9479" s="3">
        <f>_xll.QS.EVALUATE(C9479,F9479)</f>
        <v>50898.026848393311</v>
      </c>
      <c r="H9479" s="5" t="s">
        <v>9520</v>
      </c>
      <c r="I9479" s="7">
        <v>1947700</v>
      </c>
      <c r="J9479" s="8">
        <v>3.7699999999999997E-2</v>
      </c>
    </row>
    <row r="9480" spans="1:10" x14ac:dyDescent="0.25">
      <c r="A9480" s="5" t="s">
        <v>9514</v>
      </c>
      <c r="B9480" s="5" t="s">
        <v>11347</v>
      </c>
      <c r="C9480" s="6" t="str">
        <f>_xll.QS.CONTEXT.CREATE("market.9478",A9480,"USD","SOFR")</f>
        <v>QSObject:PricingContext:w1~market.9478:21858</v>
      </c>
      <c r="D9480" s="6" t="str">
        <f>_xll.QS.CONTEXT.ADD.CURVE(C9480,"SOFR",$K$2:$K$7,$L$2:$L$7,,,"Actual360","LogLinear",TRUE)</f>
        <v>QSObject:ContextInput:w1~input.qs_context_add_curve.2359132437744.9479.3.0:31421</v>
      </c>
      <c r="E9480" s="6" t="str">
        <f>_xll.QS.INSTRUMENT.SWAP("swap.9478",H9480,B9480,"USD","SOFR",I9480,J9480,0,"Actual360","Simple","Annual","Annual","Annual")</f>
        <v>QSObject:Swap:w1~swap.9478:20103</v>
      </c>
      <c r="F9480" s="6" t="str">
        <f>_xll.QS.TRADE.CREATE("trade.9478",E9480,A9480,"Receive")</f>
        <v>QSObject:SwapTrade:w1~trade.9478:22334</v>
      </c>
      <c r="G9480" s="3">
        <f>_xll.QS.EVALUATE(C9480,F9480)</f>
        <v>51881.311656186503</v>
      </c>
      <c r="H9480" s="5" t="s">
        <v>9521</v>
      </c>
      <c r="I9480" s="7">
        <v>1947800</v>
      </c>
      <c r="J9480" s="8">
        <v>3.78E-2</v>
      </c>
    </row>
    <row r="9481" spans="1:10" x14ac:dyDescent="0.25">
      <c r="A9481" s="5" t="s">
        <v>9515</v>
      </c>
      <c r="B9481" s="5" t="s">
        <v>11348</v>
      </c>
      <c r="C9481" s="6" t="str">
        <f>_xll.QS.CONTEXT.CREATE("market.9479",A9481,"USD","SOFR")</f>
        <v>QSObject:PricingContext:w1~market.9479:17446</v>
      </c>
      <c r="D9481" s="6" t="str">
        <f>_xll.QS.CONTEXT.ADD.CURVE(C9481,"SOFR",$K$2:$K$7,$L$2:$L$7,,,"Actual360","LogLinear",TRUE)</f>
        <v>QSObject:ContextInput:w1~input.qs_context_add_curve.2359132437744.9480.3.0:31420</v>
      </c>
      <c r="E9481" s="6" t="str">
        <f>_xll.QS.INSTRUMENT.SWAP("swap.9479",H9481,B9481,"USD","SOFR",I9481,J9481,0,"Actual360","Simple","Annual","Annual","Annual")</f>
        <v>QSObject:Swap:w1~swap.9479:18405</v>
      </c>
      <c r="F9481" s="6" t="str">
        <f>_xll.QS.TRADE.CREATE("trade.9479",E9481,A9481,"Receive")</f>
        <v>QSObject:SwapTrade:w1~trade.9479:22333</v>
      </c>
      <c r="G9481" s="3">
        <f>_xll.QS.EVALUATE(C9481,F9481)</f>
        <v>52925.061104472974</v>
      </c>
      <c r="H9481" s="5" t="s">
        <v>9522</v>
      </c>
      <c r="I9481" s="7">
        <v>1947900</v>
      </c>
      <c r="J9481" s="8">
        <v>3.7900000000000003E-2</v>
      </c>
    </row>
    <row r="9482" spans="1:10" x14ac:dyDescent="0.25">
      <c r="A9482" s="5" t="s">
        <v>9516</v>
      </c>
      <c r="B9482" s="5" t="s">
        <v>11349</v>
      </c>
      <c r="C9482" s="6" t="str">
        <f>_xll.QS.CONTEXT.CREATE("market.9480",A9482,"USD","SOFR")</f>
        <v>QSObject:PricingContext:w1~market.9480:13082</v>
      </c>
      <c r="D9482" s="6" t="str">
        <f>_xll.QS.CONTEXT.ADD.CURVE(C9482,"SOFR",$K$2:$K$7,$L$2:$L$7,,,"Actual360","LogLinear",TRUE)</f>
        <v>QSObject:ContextInput:w1~input.qs_context_add_curve.2359132437744.9481.3.0:31419</v>
      </c>
      <c r="E9482" s="6" t="str">
        <f>_xll.QS.INSTRUMENT.SWAP("swap.9480",H9482,B9482,"USD","SOFR",I9482,J9482,0,"Actual360","Simple","Annual","Annual","Annual")</f>
        <v>QSObject:Swap:w1~swap.9480:16409</v>
      </c>
      <c r="F9482" s="6" t="str">
        <f>_xll.QS.TRADE.CREATE("trade.9480",E9482,A9482,"Receive")</f>
        <v>QSObject:SwapTrade:w1~trade.9480:22332</v>
      </c>
      <c r="G9482" s="3">
        <f>_xll.QS.EVALUATE(C9482,F9482)</f>
        <v>53826.05535079402</v>
      </c>
      <c r="H9482" s="5" t="s">
        <v>9523</v>
      </c>
      <c r="I9482" s="7">
        <v>1948000</v>
      </c>
      <c r="J9482" s="8">
        <v>3.8000000000000013E-2</v>
      </c>
    </row>
    <row r="9483" spans="1:10" x14ac:dyDescent="0.25">
      <c r="A9483" s="5" t="s">
        <v>9517</v>
      </c>
      <c r="B9483" s="5" t="s">
        <v>11350</v>
      </c>
      <c r="C9483" s="6" t="str">
        <f>_xll.QS.CONTEXT.CREATE("market.9481",A9483,"USD","SOFR")</f>
        <v>QSObject:PricingContext:w1~market.9481:21857</v>
      </c>
      <c r="D9483" s="6" t="str">
        <f>_xll.QS.CONTEXT.ADD.CURVE(C9483,"SOFR",$K$2:$K$7,$L$2:$L$7,,,"Actual360","LogLinear",TRUE)</f>
        <v>QSObject:ContextInput:w1~input.qs_context_add_curve.2359132437744.9482.3.0:31418</v>
      </c>
      <c r="E9483" s="6" t="str">
        <f>_xll.QS.INSTRUMENT.SWAP("swap.9481",H9483,B9483,"USD","SOFR",I9483,J9483,0,"Actual360","Simple","Annual","Annual","Annual")</f>
        <v>QSObject:Swap:w1~swap.9481:8272</v>
      </c>
      <c r="F9483" s="6" t="str">
        <f>_xll.QS.TRADE.CREATE("trade.9481",E9483,A9483,"Receive")</f>
        <v>QSObject:SwapTrade:w1~trade.9481:22331</v>
      </c>
      <c r="G9483" s="3">
        <f>_xll.QS.EVALUATE(C9483,F9483)</f>
        <v>54737.543008703091</v>
      </c>
      <c r="H9483" s="5" t="s">
        <v>9524</v>
      </c>
      <c r="I9483" s="7">
        <v>1948100</v>
      </c>
      <c r="J9483" s="8">
        <v>3.8100000000000002E-2</v>
      </c>
    </row>
    <row r="9484" spans="1:10" x14ac:dyDescent="0.25">
      <c r="A9484" s="5" t="s">
        <v>9518</v>
      </c>
      <c r="B9484" s="5" t="s">
        <v>11351</v>
      </c>
      <c r="C9484" s="6" t="str">
        <f>_xll.QS.CONTEXT.CREATE("market.9482",A9484,"USD","SOFR")</f>
        <v>QSObject:PricingContext:w1~market.9482:442</v>
      </c>
      <c r="D9484" s="6" t="str">
        <f>_xll.QS.CONTEXT.ADD.CURVE(C9484,"SOFR",$K$2:$K$7,$L$2:$L$7,,,"Actual360","LogLinear",TRUE)</f>
        <v>QSObject:ContextInput:w1~input.qs_context_add_curve.2359132437744.9483.3.0:20102</v>
      </c>
      <c r="E9484" s="6" t="str">
        <f>_xll.QS.INSTRUMENT.SWAP("swap.9482",H9484,B9484,"USD","SOFR",I9484,J9484,0,"Actual360","Simple","Annual","Annual","Annual")</f>
        <v>QSObject:Swap:w1~swap.9482:18404</v>
      </c>
      <c r="F9484" s="6" t="str">
        <f>_xll.QS.TRADE.CREATE("trade.9482",E9484,A9484,"Receive")</f>
        <v>QSObject:SwapTrade:w1~trade.9482:22330</v>
      </c>
      <c r="G9484" s="3">
        <f>_xll.QS.EVALUATE(C9484,F9484)</f>
        <v>55395.946168208233</v>
      </c>
      <c r="H9484" s="5" t="s">
        <v>9525</v>
      </c>
      <c r="I9484" s="7">
        <v>1948200</v>
      </c>
      <c r="J9484" s="8">
        <v>3.8199999999999998E-2</v>
      </c>
    </row>
    <row r="9485" spans="1:10" x14ac:dyDescent="0.25">
      <c r="A9485" s="5" t="s">
        <v>9519</v>
      </c>
      <c r="B9485" s="5" t="s">
        <v>11352</v>
      </c>
      <c r="C9485" s="6" t="str">
        <f>_xll.QS.CONTEXT.CREATE("market.9483",A9485,"USD","SOFR")</f>
        <v>QSObject:PricingContext:w1~market.9483:11549</v>
      </c>
      <c r="D9485" s="6" t="str">
        <f>_xll.QS.CONTEXT.ADD.CURVE(C9485,"SOFR",$K$2:$K$7,$L$2:$L$7,,,"Actual360","LogLinear",TRUE)</f>
        <v>QSObject:ContextInput:w1~input.qs_context_add_curve.2359132437744.9484.3.0:14735</v>
      </c>
      <c r="E9485" s="6" t="str">
        <f>_xll.QS.INSTRUMENT.SWAP("swap.9483",H9485,B9485,"USD","SOFR",I9485,J9485,0,"Actual360","Simple","Annual","Annual","Annual")</f>
        <v>QSObject:Swap:w1~swap.9483:17445</v>
      </c>
      <c r="F9485" s="6" t="str">
        <f>_xll.QS.TRADE.CREATE("trade.9483",E9485,A9485,"Receive")</f>
        <v>QSObject:SwapTrade:w1~trade.9483:22329</v>
      </c>
      <c r="G9485" s="3">
        <f>_xll.QS.EVALUATE(C9485,F9485)</f>
        <v>56302.194536026844</v>
      </c>
      <c r="H9485" s="5" t="s">
        <v>9526</v>
      </c>
      <c r="I9485" s="7">
        <v>1948300</v>
      </c>
      <c r="J9485" s="8">
        <v>3.8300000000000001E-2</v>
      </c>
    </row>
    <row r="9486" spans="1:10" x14ac:dyDescent="0.25">
      <c r="A9486" s="5" t="s">
        <v>9520</v>
      </c>
      <c r="B9486" s="5" t="s">
        <v>11353</v>
      </c>
      <c r="C9486" s="6" t="str">
        <f>_xll.QS.CONTEXT.CREATE("market.9484",A9486,"USD","SOFR")</f>
        <v>QSObject:PricingContext:w1~market.9484:9890</v>
      </c>
      <c r="D9486" s="6" t="str">
        <f>_xll.QS.CONTEXT.ADD.CURVE(C9486,"SOFR",$K$2:$K$7,$L$2:$L$7,,,"Actual360","LogLinear",TRUE)</f>
        <v>QSObject:ContextInput:w1~input.qs_context_add_curve.2359132437744.9485.3.0:21856</v>
      </c>
      <c r="E9486" s="6" t="str">
        <f>_xll.QS.INSTRUMENT.SWAP("swap.9484",H9486,B9486,"USD","SOFR",I9486,J9486,0,"Actual360","Simple","Annual","Annual","Annual")</f>
        <v>QSObject:Swap:w1~swap.9484:3498</v>
      </c>
      <c r="F9486" s="6" t="str">
        <f>_xll.QS.TRADE.CREATE("trade.9484",E9486,A9486,"Receive")</f>
        <v>QSObject:SwapTrade:w1~trade.9484:6677</v>
      </c>
      <c r="G9486" s="3">
        <f>_xll.QS.EVALUATE(C9486,F9486)</f>
        <v>57208.275538968141</v>
      </c>
      <c r="H9486" s="5" t="s">
        <v>9527</v>
      </c>
      <c r="I9486" s="7">
        <v>1948400</v>
      </c>
      <c r="J9486" s="8">
        <v>3.8399999999999997E-2</v>
      </c>
    </row>
    <row r="9487" spans="1:10" x14ac:dyDescent="0.25">
      <c r="A9487" s="5" t="s">
        <v>9521</v>
      </c>
      <c r="B9487" s="5" t="s">
        <v>11354</v>
      </c>
      <c r="C9487" s="6" t="str">
        <f>_xll.QS.CONTEXT.CREATE("market.9485",A9487,"USD","SOFR")</f>
        <v>QSObject:PricingContext:w1~market.9485:441</v>
      </c>
      <c r="D9487" s="6" t="str">
        <f>_xll.QS.CONTEXT.ADD.CURVE(C9487,"SOFR",$K$2:$K$7,$L$2:$L$7,,,"Actual360","LogLinear",TRUE)</f>
        <v>QSObject:ContextInput:w1~input.qs_context_add_curve.2359132437744.9486.3.0:8271</v>
      </c>
      <c r="E9487" s="6" t="str">
        <f>_xll.QS.INSTRUMENT.SWAP("swap.9485",H9487,B9487,"USD","SOFR",I9487,J9487,0,"Actual360","Simple","Annual","Annual","Annual")</f>
        <v>QSObject:Swap:w1~swap.9485:1948</v>
      </c>
      <c r="F9487" s="6" t="str">
        <f>_xll.QS.TRADE.CREATE("trade.9485",E9487,A9487,"Receive")</f>
        <v>QSObject:SwapTrade:w1~trade.9485:13081</v>
      </c>
      <c r="G9487" s="3">
        <f>_xll.QS.EVALUATE(C9487,F9487)</f>
        <v>58409.058201789732</v>
      </c>
      <c r="H9487" s="5" t="s">
        <v>9528</v>
      </c>
      <c r="I9487" s="7">
        <v>1948500</v>
      </c>
      <c r="J9487" s="8">
        <v>3.8500000000000013E-2</v>
      </c>
    </row>
    <row r="9488" spans="1:10" x14ac:dyDescent="0.25">
      <c r="A9488" s="5" t="s">
        <v>9522</v>
      </c>
      <c r="B9488" s="5" t="s">
        <v>11355</v>
      </c>
      <c r="C9488" s="6" t="str">
        <f>_xll.QS.CONTEXT.CREATE("market.9486",A9488,"USD","SOFR")</f>
        <v>QSObject:PricingContext:w1~market.9486:20101</v>
      </c>
      <c r="D9488" s="6" t="str">
        <f>_xll.QS.CONTEXT.ADD.CURVE(C9488,"SOFR",$K$2:$K$7,$L$2:$L$7,,,"Actual360","LogLinear",TRUE)</f>
        <v>QSObject:ContextInput:w1~input.qs_context_add_curve.2359132437744.9487.3.0:31417</v>
      </c>
      <c r="E9488" s="6" t="str">
        <f>_xll.QS.INSTRUMENT.SWAP("swap.9486",H9488,B9488,"USD","SOFR",I9488,J9488,0,"Actual360","Simple","Annual","Annual","Annual")</f>
        <v>QSObject:Swap:w1~swap.9486:18403</v>
      </c>
      <c r="F9488" s="6" t="str">
        <f>_xll.QS.TRADE.CREATE("trade.9486",E9488,A9488,"Receive")</f>
        <v>QSObject:SwapTrade:w1~trade.9486:22328</v>
      </c>
      <c r="G9488" s="3">
        <f>_xll.QS.EVALUATE(C9488,F9488)</f>
        <v>59309.530860212966</v>
      </c>
      <c r="H9488" s="5" t="s">
        <v>9529</v>
      </c>
      <c r="I9488" s="7">
        <v>1948600</v>
      </c>
      <c r="J9488" s="8">
        <v>3.8600000000000002E-2</v>
      </c>
    </row>
    <row r="9489" spans="1:10" x14ac:dyDescent="0.25">
      <c r="A9489" s="5" t="s">
        <v>9523</v>
      </c>
      <c r="B9489" s="5" t="s">
        <v>11356</v>
      </c>
      <c r="C9489" s="6" t="str">
        <f>_xll.QS.CONTEXT.CREATE("market.9487",A9489,"USD","SOFR")</f>
        <v>QSObject:PricingContext:w1~market.9487:3497</v>
      </c>
      <c r="D9489" s="6" t="str">
        <f>_xll.QS.CONTEXT.ADD.CURVE(C9489,"SOFR",$K$2:$K$7,$L$2:$L$7,,,"Actual360","LogLinear",TRUE)</f>
        <v>QSObject:ContextInput:w1~input.qs_context_add_curve.2359132437744.9488.3.0:16408</v>
      </c>
      <c r="E9489" s="6" t="str">
        <f>_xll.QS.INSTRUMENT.SWAP("swap.9487",H9489,B9489,"USD","SOFR",I9489,J9489,0,"Actual360","Simple","Annual","Annual","Annual")</f>
        <v>QSObject:Swap:w1~swap.9487:17444</v>
      </c>
      <c r="F9489" s="6" t="str">
        <f>_xll.QS.TRADE.CREATE("trade.9487",E9489,A9489,"Receive")</f>
        <v>QSObject:SwapTrade:w1~trade.9487:21855</v>
      </c>
      <c r="G9489" s="3">
        <f>_xll.QS.EVALUATE(C9489,F9489)</f>
        <v>60227.775574322826</v>
      </c>
      <c r="H9489" s="5" t="s">
        <v>9530</v>
      </c>
      <c r="I9489" s="7">
        <v>1948700</v>
      </c>
      <c r="J9489" s="8">
        <v>3.8700000000000012E-2</v>
      </c>
    </row>
    <row r="9490" spans="1:10" x14ac:dyDescent="0.25">
      <c r="A9490" s="5" t="s">
        <v>9524</v>
      </c>
      <c r="B9490" s="5" t="s">
        <v>11357</v>
      </c>
      <c r="C9490" s="6" t="str">
        <f>_xll.QS.CONTEXT.CREATE("market.9488",A9490,"USD","SOFR")</f>
        <v>QSObject:PricingContext:w1~market.9488:11548</v>
      </c>
      <c r="D9490" s="6" t="str">
        <f>_xll.QS.CONTEXT.ADD.CURVE(C9490,"SOFR",$K$2:$K$7,$L$2:$L$7,,,"Actual360","LogLinear",TRUE)</f>
        <v>QSObject:ContextInput:w1~input.qs_context_add_curve.2359132437744.9489.3.0:31416</v>
      </c>
      <c r="E9490" s="6" t="str">
        <f>_xll.QS.INSTRUMENT.SWAP("swap.9488",H9490,B9490,"USD","SOFR",I9490,J9490,0,"Actual360","Simple","Annual","Annual","Annual")</f>
        <v>QSObject:Swap:w1~swap.9488:6676</v>
      </c>
      <c r="F9490" s="6" t="str">
        <f>_xll.QS.TRADE.CREATE("trade.9488",E9490,A9490,"Receive")</f>
        <v>QSObject:SwapTrade:w1~trade.9488:9889</v>
      </c>
      <c r="G9490" s="3">
        <f>_xll.QS.EVALUATE(C9490,F9490)</f>
        <v>61130.693244415343</v>
      </c>
      <c r="H9490" s="5" t="s">
        <v>9531</v>
      </c>
      <c r="I9490" s="7">
        <v>1948800</v>
      </c>
      <c r="J9490" s="8">
        <v>3.8800000000000001E-2</v>
      </c>
    </row>
    <row r="9491" spans="1:10" x14ac:dyDescent="0.25">
      <c r="A9491" s="5" t="s">
        <v>9525</v>
      </c>
      <c r="B9491" s="5" t="s">
        <v>11358</v>
      </c>
      <c r="C9491" s="6" t="str">
        <f>_xll.QS.CONTEXT.CREATE("market.9489",A9491,"USD","SOFR")</f>
        <v>QSObject:PricingContext:w1~market.9489:20100</v>
      </c>
      <c r="D9491" s="6" t="str">
        <f>_xll.QS.CONTEXT.ADD.CURVE(C9491,"SOFR",$K$2:$K$7,$L$2:$L$7,,,"Actual360","LogLinear",TRUE)</f>
        <v>QSObject:ContextInput:w1~input.qs_context_add_curve.2359132437744.9490.3.0:31415</v>
      </c>
      <c r="E9491" s="6" t="str">
        <f>_xll.QS.INSTRUMENT.SWAP("swap.9489",H9491,B9491,"USD","SOFR",I9491,J9491,0,"Actual360","Simple","Annual","Annual","Annual")</f>
        <v>QSObject:Swap:w1~swap.9489:13080</v>
      </c>
      <c r="F9491" s="6" t="str">
        <f>_xll.QS.TRADE.CREATE("trade.9489",E9491,A9491,"Receive")</f>
        <v>QSObject:SwapTrade:w1~trade.9489:22327</v>
      </c>
      <c r="G9491" s="3">
        <f>_xll.QS.EVALUATE(C9491,F9491)</f>
        <v>61708.223061809957</v>
      </c>
      <c r="H9491" s="5" t="s">
        <v>9532</v>
      </c>
      <c r="I9491" s="7">
        <v>1948900</v>
      </c>
      <c r="J9491" s="8">
        <v>3.8899999999999997E-2</v>
      </c>
    </row>
    <row r="9492" spans="1:10" x14ac:dyDescent="0.25">
      <c r="A9492" s="5" t="s">
        <v>9526</v>
      </c>
      <c r="B9492" s="5" t="s">
        <v>11359</v>
      </c>
      <c r="C9492" s="6" t="str">
        <f>_xll.QS.CONTEXT.CREATE("market.9490",A9492,"USD","SOFR")</f>
        <v>QSObject:PricingContext:w1~market.9490:18402</v>
      </c>
      <c r="D9492" s="6" t="str">
        <f>_xll.QS.CONTEXT.ADD.CURVE(C9492,"SOFR",$K$2:$K$7,$L$2:$L$7,,,"Actual360","LogLinear",TRUE)</f>
        <v>QSObject:ContextInput:w1~input.qs_context_add_curve.2359132437744.9491.3.0:31414</v>
      </c>
      <c r="E9492" s="6" t="str">
        <f>_xll.QS.INSTRUMENT.SWAP("swap.9490",H9492,B9492,"USD","SOFR",I9492,J9492,0,"Actual360","Simple","Annual","Annual","Annual")</f>
        <v>QSObject:Swap:w1~swap.9490:14734</v>
      </c>
      <c r="F9492" s="6" t="str">
        <f>_xll.QS.TRADE.CREATE("trade.9490",E9492,A9492,"Receive")</f>
        <v>QSObject:SwapTrade:w1~trade.9490:22326</v>
      </c>
      <c r="G9492" s="3">
        <f>_xll.QS.EVALUATE(C9492,F9492)</f>
        <v>62615.652410977229</v>
      </c>
      <c r="H9492" s="5" t="s">
        <v>9533</v>
      </c>
      <c r="I9492" s="7">
        <v>1949000</v>
      </c>
      <c r="J9492" s="8">
        <v>3.9000000000000007E-2</v>
      </c>
    </row>
    <row r="9493" spans="1:10" x14ac:dyDescent="0.25">
      <c r="A9493" s="5" t="s">
        <v>9527</v>
      </c>
      <c r="B9493" s="5" t="s">
        <v>11360</v>
      </c>
      <c r="C9493" s="6" t="str">
        <f>_xll.QS.CONTEXT.CREATE("market.9491",A9493,"USD","SOFR")</f>
        <v>QSObject:PricingContext:w1~market.9491:6675</v>
      </c>
      <c r="D9493" s="6" t="str">
        <f>_xll.QS.CONTEXT.ADD.CURVE(C9493,"SOFR",$K$2:$K$7,$L$2:$L$7,,,"Actual360","LogLinear",TRUE)</f>
        <v>QSObject:ContextInput:w1~input.qs_context_add_curve.2359132437744.9492.3.0:11547</v>
      </c>
      <c r="E9493" s="6" t="str">
        <f>_xll.QS.INSTRUMENT.SWAP("swap.9491",H9493,B9493,"USD","SOFR",I9493,J9493,0,"Actual360","Simple","Annual","Annual","Annual")</f>
        <v>QSObject:Swap:w1~swap.9491:16407</v>
      </c>
      <c r="F9493" s="6" t="str">
        <f>_xll.QS.TRADE.CREATE("trade.9491",E9493,A9493,"Receive")</f>
        <v>QSObject:SwapTrade:w1~trade.9491:21854</v>
      </c>
      <c r="G9493" s="3">
        <f>_xll.QS.EVALUATE(C9493,F9493)</f>
        <v>63522.906870793639</v>
      </c>
      <c r="H9493" s="5" t="s">
        <v>9534</v>
      </c>
      <c r="I9493" s="7">
        <v>1949100</v>
      </c>
      <c r="J9493" s="8">
        <v>3.9100000000000003E-2</v>
      </c>
    </row>
    <row r="9494" spans="1:10" x14ac:dyDescent="0.25">
      <c r="A9494" s="5" t="s">
        <v>9528</v>
      </c>
      <c r="B9494" s="5" t="s">
        <v>11361</v>
      </c>
      <c r="C9494" s="6" t="str">
        <f>_xll.QS.CONTEXT.CREATE("market.9492",A9494,"USD","SOFR")</f>
        <v>QSObject:PricingContext:w1~market.9492:8270</v>
      </c>
      <c r="D9494" s="6" t="str">
        <f>_xll.QS.CONTEXT.ADD.CURVE(C9494,"SOFR",$K$2:$K$7,$L$2:$L$7,,,"Actual360","LogLinear",TRUE)</f>
        <v>QSObject:ContextInput:w1~input.qs_context_add_curve.2359132437744.9493.3.0:22325</v>
      </c>
      <c r="E9494" s="6" t="str">
        <f>_xll.QS.INSTRUMENT.SWAP("swap.9492",H9494,B9494,"USD","SOFR",I9494,J9494,0,"Actual360","Simple","Annual","Annual","Annual")</f>
        <v>QSObject:Swap:w1~swap.9492:20099</v>
      </c>
      <c r="F9494" s="6" t="str">
        <f>_xll.QS.TRADE.CREATE("trade.9492",E9494,A9494,"Receive")</f>
        <v>QSObject:SwapTrade:w1~trade.9492:22324</v>
      </c>
      <c r="G9494" s="3">
        <f>_xll.QS.EVALUATE(C9494,F9494)</f>
        <v>64723.535752799413</v>
      </c>
      <c r="H9494" s="5" t="s">
        <v>9535</v>
      </c>
      <c r="I9494" s="7">
        <v>1949200</v>
      </c>
      <c r="J9494" s="8">
        <v>3.9200000000000013E-2</v>
      </c>
    </row>
    <row r="9495" spans="1:10" x14ac:dyDescent="0.25">
      <c r="A9495" s="5" t="s">
        <v>9529</v>
      </c>
      <c r="B9495" s="5" t="s">
        <v>11362</v>
      </c>
      <c r="C9495" s="6" t="str">
        <f>_xll.QS.CONTEXT.CREATE("market.9493",A9495,"USD","SOFR")</f>
        <v>QSObject:PricingContext:w1~market.9493:5063</v>
      </c>
      <c r="D9495" s="6" t="str">
        <f>_xll.QS.CONTEXT.ADD.CURVE(C9495,"SOFR",$K$2:$K$7,$L$2:$L$7,,,"Actual360","LogLinear",TRUE)</f>
        <v>QSObject:ContextInput:w1~input.qs_context_add_curve.2359132437744.9494.3.0:17443</v>
      </c>
      <c r="E9495" s="6" t="str">
        <f>_xll.QS.INSTRUMENT.SWAP("swap.9493",H9495,B9495,"USD","SOFR",I9495,J9495,0,"Actual360","Simple","Annual","Annual","Annual")</f>
        <v>QSObject:Swap:w1~swap.9493:9888</v>
      </c>
      <c r="F9495" s="6" t="str">
        <f>_xll.QS.TRADE.CREATE("trade.9493",E9495,A9495,"Receive")</f>
        <v>QSObject:SwapTrade:w1~trade.9493:11546</v>
      </c>
      <c r="G9495" s="3">
        <f>_xll.QS.EVALUATE(C9495,F9495)</f>
        <v>65625.759793866033</v>
      </c>
      <c r="H9495" s="5" t="s">
        <v>9536</v>
      </c>
      <c r="I9495" s="7">
        <v>1949300</v>
      </c>
      <c r="J9495" s="8">
        <v>3.9300000000000002E-2</v>
      </c>
    </row>
    <row r="9496" spans="1:10" x14ac:dyDescent="0.25">
      <c r="A9496" s="5" t="s">
        <v>9530</v>
      </c>
      <c r="B9496" s="5" t="s">
        <v>11363</v>
      </c>
      <c r="C9496" s="6" t="str">
        <f>_xll.QS.CONTEXT.CREATE("market.9494",A9496,"USD","SOFR")</f>
        <v>QSObject:PricingContext:w1~market.9494:6674</v>
      </c>
      <c r="D9496" s="6" t="str">
        <f>_xll.QS.CONTEXT.ADD.CURVE(C9496,"SOFR",$K$2:$K$7,$L$2:$L$7,,,"Actual360","LogLinear",TRUE)</f>
        <v>QSObject:ContextInput:w1~input.qs_context_add_curve.2359132437744.9495.3.0:18401</v>
      </c>
      <c r="E9496" s="6" t="str">
        <f>_xll.QS.INSTRUMENT.SWAP("swap.9494",H9496,B9496,"USD","SOFR",I9496,J9496,0,"Actual360","Simple","Annual","Annual","Annual")</f>
        <v>QSObject:Swap:w1~swap.9494:14733</v>
      </c>
      <c r="F9496" s="6" t="str">
        <f>_xll.QS.TRADE.CREATE("trade.9494",E9496,A9496,"Receive")</f>
        <v>QSObject:SwapTrade:w1~trade.9494:22323</v>
      </c>
      <c r="G9496" s="3">
        <f>_xll.QS.EVALUATE(C9496,F9496)</f>
        <v>66544.525453081151</v>
      </c>
      <c r="H9496" s="5" t="s">
        <v>9537</v>
      </c>
      <c r="I9496" s="7">
        <v>1949400</v>
      </c>
      <c r="J9496" s="8">
        <v>3.9399999999999998E-2</v>
      </c>
    </row>
    <row r="9497" spans="1:10" x14ac:dyDescent="0.25">
      <c r="A9497" s="5" t="s">
        <v>9531</v>
      </c>
      <c r="B9497" s="5" t="s">
        <v>11364</v>
      </c>
      <c r="C9497" s="6" t="str">
        <f>_xll.QS.CONTEXT.CREATE("market.9495",A9497,"USD","SOFR")</f>
        <v>QSObject:PricingContext:w1~market.9495:1947</v>
      </c>
      <c r="D9497" s="6" t="str">
        <f>_xll.QS.CONTEXT.ADD.CURVE(C9497,"SOFR",$K$2:$K$7,$L$2:$L$7,,,"Actual360","LogLinear",TRUE)</f>
        <v>QSObject:ContextInput:w1~input.qs_context_add_curve.2359132437744.9496.3.0:21853</v>
      </c>
      <c r="E9497" s="6" t="str">
        <f>_xll.QS.INSTRUMENT.SWAP("swap.9495",H9497,B9497,"USD","SOFR",I9497,J9497,0,"Actual360","Simple","Annual","Annual","Annual")</f>
        <v>QSObject:Swap:w1~swap.9495:8269</v>
      </c>
      <c r="F9497" s="6" t="str">
        <f>_xll.QS.TRADE.CREATE("trade.9495",E9497,A9497,"Receive")</f>
        <v>QSObject:SwapTrade:w1~trade.9495:13079</v>
      </c>
      <c r="G9497" s="3">
        <f>_xll.QS.EVALUATE(C9497,F9497)</f>
        <v>67448.785681248657</v>
      </c>
      <c r="H9497" s="5" t="s">
        <v>9538</v>
      </c>
      <c r="I9497" s="7">
        <v>1949500</v>
      </c>
      <c r="J9497" s="8">
        <v>3.9500000000000007E-2</v>
      </c>
    </row>
    <row r="9498" spans="1:10" x14ac:dyDescent="0.25">
      <c r="A9498" s="5" t="s">
        <v>9532</v>
      </c>
      <c r="B9498" s="5" t="s">
        <v>11365</v>
      </c>
      <c r="C9498" s="6" t="str">
        <f>_xll.QS.CONTEXT.CREATE("market.9496",A9498,"USD","SOFR")</f>
        <v>QSObject:PricingContext:w1~market.9496:16406</v>
      </c>
      <c r="D9498" s="6" t="str">
        <f>_xll.QS.CONTEXT.ADD.CURVE(C9498,"SOFR",$K$2:$K$7,$L$2:$L$7,,,"Actual360","LogLinear",TRUE)</f>
        <v>QSObject:ContextInput:w1~input.qs_context_add_curve.2359132437744.9497.3.0:20098</v>
      </c>
      <c r="E9498" s="6" t="str">
        <f>_xll.QS.INSTRUMENT.SWAP("swap.9496",H9498,B9498,"USD","SOFR",I9498,J9498,0,"Actual360","Simple","Annual","Annual","Annual")</f>
        <v>QSObject:Swap:w1~swap.9496:3496</v>
      </c>
      <c r="F9498" s="6" t="str">
        <f>_xll.QS.TRADE.CREATE("trade.9496",E9498,A9498,"Receive")</f>
        <v>QSObject:SwapTrade:w1~trade.9496:17442</v>
      </c>
      <c r="G9498" s="3">
        <f>_xll.QS.EVALUATE(C9498,F9498)</f>
        <v>68274.357164263638</v>
      </c>
      <c r="H9498" s="5" t="s">
        <v>9539</v>
      </c>
      <c r="I9498" s="7">
        <v>1949600</v>
      </c>
      <c r="J9498" s="8">
        <v>3.9600000000000003E-2</v>
      </c>
    </row>
    <row r="9499" spans="1:10" x14ac:dyDescent="0.25">
      <c r="A9499" s="5" t="s">
        <v>9533</v>
      </c>
      <c r="B9499" s="5" t="s">
        <v>11366</v>
      </c>
      <c r="C9499" s="6" t="str">
        <f>_xll.QS.CONTEXT.CREATE("market.9497",A9499,"USD","SOFR")</f>
        <v>QSObject:PricingContext:w1~market.9497:6673</v>
      </c>
      <c r="D9499" s="6" t="str">
        <f>_xll.QS.CONTEXT.ADD.CURVE(C9499,"SOFR",$K$2:$K$7,$L$2:$L$7,,,"Actual360","LogLinear",TRUE)</f>
        <v>QSObject:ContextInput:w1~input.qs_context_add_curve.2359132437744.9498.3.0:9887</v>
      </c>
      <c r="E9499" s="6" t="str">
        <f>_xll.QS.INSTRUMENT.SWAP("swap.9497",H9499,B9499,"USD","SOFR",I9499,J9499,0,"Actual360","Simple","Annual","Annual","Annual")</f>
        <v>QSObject:Swap:w1~swap.9497:5062</v>
      </c>
      <c r="F9499" s="6" t="str">
        <f>_xll.QS.TRADE.CREATE("trade.9497",E9499,A9499,"Receive")</f>
        <v>QSObject:SwapTrade:w1~trade.9497:18400</v>
      </c>
      <c r="G9499" s="3">
        <f>_xll.QS.EVALUATE(C9499,F9499)</f>
        <v>68933.351662030851</v>
      </c>
      <c r="H9499" s="5" t="s">
        <v>9540</v>
      </c>
      <c r="I9499" s="7">
        <v>1949700</v>
      </c>
      <c r="J9499" s="8">
        <v>3.9700000000000013E-2</v>
      </c>
    </row>
    <row r="9500" spans="1:10" x14ac:dyDescent="0.25">
      <c r="A9500" s="5" t="s">
        <v>9534</v>
      </c>
      <c r="B9500" s="5" t="s">
        <v>11367</v>
      </c>
      <c r="C9500" s="6" t="str">
        <f>_xll.QS.CONTEXT.CREATE("market.9498",A9500,"USD","SOFR")</f>
        <v>QSObject:PricingContext:w1~market.9498:14732</v>
      </c>
      <c r="D9500" s="6" t="str">
        <f>_xll.QS.CONTEXT.ADD.CURVE(C9500,"SOFR",$K$2:$K$7,$L$2:$L$7,,,"Actual360","LogLinear",TRUE)</f>
        <v>QSObject:ContextInput:w1~input.qs_context_add_curve.2359132437744.9499.3.0:31413</v>
      </c>
      <c r="E9500" s="6" t="str">
        <f>_xll.QS.INSTRUMENT.SWAP("swap.9498",H9500,B9500,"USD","SOFR",I9500,J9500,0,"Actual360","Simple","Annual","Annual","Annual")</f>
        <v>QSObject:Swap:w1~swap.9498:11545</v>
      </c>
      <c r="F9500" s="6" t="str">
        <f>_xll.QS.TRADE.CREATE("trade.9498",E9500,A9500,"Receive")</f>
        <v>QSObject:SwapTrade:w1~trade.9498:21852</v>
      </c>
      <c r="G9500" s="3">
        <f>_xll.QS.EVALUATE(C9500,F9500)</f>
        <v>69841.879364502383</v>
      </c>
      <c r="H9500" s="5" t="s">
        <v>9541</v>
      </c>
      <c r="I9500" s="7">
        <v>1949800</v>
      </c>
      <c r="J9500" s="8">
        <v>3.9800000000000002E-2</v>
      </c>
    </row>
    <row r="9501" spans="1:10" x14ac:dyDescent="0.25">
      <c r="A9501" s="5" t="s">
        <v>9535</v>
      </c>
      <c r="B9501" s="5" t="s">
        <v>11368</v>
      </c>
      <c r="C9501" s="6" t="str">
        <f>_xll.QS.CONTEXT.CREATE("market.9499",A9501,"USD","SOFR")</f>
        <v>QSObject:PricingContext:w1~market.9499:1946</v>
      </c>
      <c r="D9501" s="6" t="str">
        <f>_xll.QS.CONTEXT.ADD.CURVE(C9501,"SOFR",$K$2:$K$7,$L$2:$L$7,,,"Actual360","LogLinear",TRUE)</f>
        <v>QSObject:ContextInput:w1~input.qs_context_add_curve.2359132437744.9500.3.0:13078</v>
      </c>
      <c r="E9501" s="6" t="str">
        <f>_xll.QS.INSTRUMENT.SWAP("swap.9499",H9501,B9501,"USD","SOFR",I9501,J9501,0,"Actual360","Simple","Annual","Annual","Annual")</f>
        <v>QSObject:Swap:w1~swap.9499:16405</v>
      </c>
      <c r="F9501" s="6" t="str">
        <f>_xll.QS.TRADE.CREATE("trade.9499",E9501,A9501,"Receive")</f>
        <v>QSObject:SwapTrade:w1~trade.9499:20097</v>
      </c>
      <c r="G9501" s="3">
        <f>_xll.QS.EVALUATE(C9501,F9501)</f>
        <v>70829.038210069353</v>
      </c>
      <c r="H9501" s="5" t="s">
        <v>9542</v>
      </c>
      <c r="I9501" s="7">
        <v>1949900</v>
      </c>
      <c r="J9501" s="8">
        <v>3.9899999999999998E-2</v>
      </c>
    </row>
    <row r="9502" spans="1:10" x14ac:dyDescent="0.25">
      <c r="A9502" s="5" t="s">
        <v>9536</v>
      </c>
      <c r="B9502" s="5" t="s">
        <v>11369</v>
      </c>
      <c r="C9502" s="6" t="str">
        <f>_xll.QS.CONTEXT.CREATE("market.9500",A9502,"USD","SOFR")</f>
        <v>QSObject:PricingContext:w1~market.9500:6672</v>
      </c>
      <c r="D9502" s="6" t="str">
        <f>_xll.QS.CONTEXT.ADD.CURVE(C9502,"SOFR",$K$2:$K$7,$L$2:$L$7,,,"Actual360","LogLinear",TRUE)</f>
        <v>QSObject:ContextInput:w1~input.qs_context_add_curve.2359132437744.9501.3.0:22183</v>
      </c>
      <c r="E9502" s="6" t="str">
        <f>_xll.QS.INSTRUMENT.SWAP("swap.9500",H9502,B9502,"USD","SOFR",I9502,J9502,0,"Actual360","Simple","Annual","Annual","Annual")</f>
        <v>QSObject:Swap:w1~swap.9500:8268</v>
      </c>
      <c r="F9502" s="6" t="str">
        <f>_xll.QS.TRADE.CREATE("trade.9500",E9502,A9502,"Receive")</f>
        <v>QSObject:SwapTrade:w1~trade.9500:18399</v>
      </c>
      <c r="G9502" s="3">
        <f>_xll.QS.EVALUATE(C9502,F9502)</f>
        <v>26891.729385997649</v>
      </c>
      <c r="H9502" s="5" t="s">
        <v>9543</v>
      </c>
      <c r="I9502" s="7">
        <v>1950000</v>
      </c>
      <c r="J9502" s="8">
        <v>3.5000000000000003E-2</v>
      </c>
    </row>
    <row r="9503" spans="1:10" x14ac:dyDescent="0.25">
      <c r="A9503" s="5" t="s">
        <v>9537</v>
      </c>
      <c r="B9503" s="5" t="s">
        <v>11370</v>
      </c>
      <c r="C9503" s="6" t="str">
        <f>_xll.QS.CONTEXT.CREATE("market.9501",A9503,"USD","SOFR")</f>
        <v>QSObject:PricingContext:w1~market.9501:17441</v>
      </c>
      <c r="D9503" s="6" t="str">
        <f>_xll.QS.CONTEXT.ADD.CURVE(C9503,"SOFR",$K$2:$K$7,$L$2:$L$7,,,"Actual360","LogLinear",TRUE)</f>
        <v>QSObject:ContextInput:w1~input.qs_context_add_curve.2359132437744.9502.3.0:31412</v>
      </c>
      <c r="E9503" s="6" t="str">
        <f>_xll.QS.INSTRUMENT.SWAP("swap.9501",H9503,B9503,"USD","SOFR",I9503,J9503,0,"Actual360","Simple","Annual","Annual","Annual")</f>
        <v>QSObject:Swap:w1~swap.9501:14731</v>
      </c>
      <c r="F9503" s="6" t="str">
        <f>_xll.QS.TRADE.CREATE("trade.9501",E9503,A9503,"Receive")</f>
        <v>QSObject:SwapTrade:w1~trade.9501:21851</v>
      </c>
      <c r="G9503" s="3">
        <f>_xll.QS.EVALUATE(C9503,F9503)</f>
        <v>27792.417960025734</v>
      </c>
      <c r="H9503" s="5" t="s">
        <v>9544</v>
      </c>
      <c r="I9503" s="7">
        <v>1950100</v>
      </c>
      <c r="J9503" s="8">
        <v>3.5100000000000013E-2</v>
      </c>
    </row>
    <row r="9504" spans="1:10" x14ac:dyDescent="0.25">
      <c r="A9504" s="5" t="s">
        <v>9538</v>
      </c>
      <c r="B9504" s="5" t="s">
        <v>11371</v>
      </c>
      <c r="C9504" s="6" t="str">
        <f>_xll.QS.CONTEXT.CREATE("market.9502",A9504,"USD","SOFR")</f>
        <v>QSObject:PricingContext:w1~market.9502:1945</v>
      </c>
      <c r="D9504" s="6" t="str">
        <f>_xll.QS.CONTEXT.ADD.CURVE(C9504,"SOFR",$K$2:$K$7,$L$2:$L$7,,,"Actual360","LogLinear",TRUE)</f>
        <v>QSObject:ContextInput:w1~input.qs_context_add_curve.2359132437744.9503.3.0:9886</v>
      </c>
      <c r="E9504" s="6" t="str">
        <f>_xll.QS.INSTRUMENT.SWAP("swap.9502",H9504,B9504,"USD","SOFR",I9504,J9504,0,"Actual360","Simple","Annual","Annual","Annual")</f>
        <v>QSObject:Swap:w1~swap.9502:13077</v>
      </c>
      <c r="F9504" s="6" t="str">
        <f>_xll.QS.TRADE.CREATE("trade.9502",E9504,A9504,"Receive")</f>
        <v>QSObject:SwapTrade:w1~trade.9502:22182</v>
      </c>
      <c r="G9504" s="3">
        <f>_xll.QS.EVALUATE(C9504,F9504)</f>
        <v>28703.515590208932</v>
      </c>
      <c r="H9504" s="5" t="s">
        <v>9545</v>
      </c>
      <c r="I9504" s="7">
        <v>1950200</v>
      </c>
      <c r="J9504" s="8">
        <v>3.5200000000000002E-2</v>
      </c>
    </row>
    <row r="9505" spans="1:10" x14ac:dyDescent="0.25">
      <c r="A9505" s="5" t="s">
        <v>9539</v>
      </c>
      <c r="B9505" s="5" t="s">
        <v>11372</v>
      </c>
      <c r="C9505" s="6" t="str">
        <f>_xll.QS.CONTEXT.CREATE("market.9503",A9505,"USD","SOFR")</f>
        <v>QSObject:PricingContext:w1~market.9503:20096</v>
      </c>
      <c r="D9505" s="6" t="str">
        <f>_xll.QS.CONTEXT.ADD.CURVE(C9505,"SOFR",$K$2:$K$7,$L$2:$L$7,,,"Actual360","LogLinear",TRUE)</f>
        <v>QSObject:ContextInput:w1~input.qs_context_add_curve.2359132437744.9504.3.0:31411</v>
      </c>
      <c r="E9505" s="6" t="str">
        <f>_xll.QS.INSTRUMENT.SWAP("swap.9503",H9505,B9505,"USD","SOFR",I9505,J9505,0,"Actual360","Simple","Annual","Annual","Annual")</f>
        <v>QSObject:Swap:w1~swap.9503:16404</v>
      </c>
      <c r="F9505" s="6" t="str">
        <f>_xll.QS.TRADE.CREATE("trade.9503",E9505,A9505,"Receive")</f>
        <v>QSObject:SwapTrade:w1~trade.9503:22181</v>
      </c>
      <c r="G9505" s="3">
        <f>_xll.QS.EVALUATE(C9505,F9505)</f>
        <v>29606.921278962676</v>
      </c>
      <c r="H9505" s="5" t="s">
        <v>9546</v>
      </c>
      <c r="I9505" s="7">
        <v>1950300</v>
      </c>
      <c r="J9505" s="8">
        <v>3.5299999999999998E-2</v>
      </c>
    </row>
    <row r="9506" spans="1:10" x14ac:dyDescent="0.25">
      <c r="A9506" s="5" t="s">
        <v>9540</v>
      </c>
      <c r="B9506" s="5" t="s">
        <v>11373</v>
      </c>
      <c r="C9506" s="6" t="str">
        <f>_xll.QS.CONTEXT.CREATE("market.9504",A9506,"USD","SOFR")</f>
        <v>QSObject:PricingContext:w1~market.9504:14730</v>
      </c>
      <c r="D9506" s="6" t="str">
        <f>_xll.QS.CONTEXT.ADD.CURVE(C9506,"SOFR",$K$2:$K$7,$L$2:$L$7,,,"Actual360","LogLinear",TRUE)</f>
        <v>QSObject:ContextInput:w1~input.qs_context_add_curve.2359132437744.9505.3.0:31410</v>
      </c>
      <c r="E9506" s="6" t="str">
        <f>_xll.QS.INSTRUMENT.SWAP("swap.9504",H9506,B9506,"USD","SOFR",I9506,J9506,0,"Actual360","Simple","Annual","Annual","Annual")</f>
        <v>QSObject:Swap:w1~swap.9504:21850</v>
      </c>
      <c r="F9506" s="6" t="str">
        <f>_xll.QS.TRADE.CREATE("trade.9504",E9506,A9506,"Receive")</f>
        <v>QSObject:SwapTrade:w1~trade.9504:22180</v>
      </c>
      <c r="G9506" s="3">
        <f>_xll.QS.EVALUATE(C9506,F9506)</f>
        <v>30192.73094176544</v>
      </c>
      <c r="H9506" s="5" t="s">
        <v>9547</v>
      </c>
      <c r="I9506" s="7">
        <v>1950400</v>
      </c>
      <c r="J9506" s="8">
        <v>3.5400000000000001E-2</v>
      </c>
    </row>
    <row r="9507" spans="1:10" x14ac:dyDescent="0.25">
      <c r="A9507" s="5" t="s">
        <v>9541</v>
      </c>
      <c r="B9507" s="5" t="s">
        <v>11374</v>
      </c>
      <c r="C9507" s="6" t="str">
        <f>_xll.QS.CONTEXT.CREATE("market.9505",A9507,"USD","SOFR")</f>
        <v>QSObject:PricingContext:w1~market.9505:9885</v>
      </c>
      <c r="D9507" s="6" t="str">
        <f>_xll.QS.CONTEXT.ADD.CURVE(C9507,"SOFR",$K$2:$K$7,$L$2:$L$7,,,"Actual360","LogLinear",TRUE)</f>
        <v>QSObject:ContextInput:w1~input.qs_context_add_curve.2359132437744.9506.3.0:18398</v>
      </c>
      <c r="E9507" s="6" t="str">
        <f>_xll.QS.INSTRUMENT.SWAP("swap.9505",H9507,B9507,"USD","SOFR",I9507,J9507,0,"Actual360","Simple","Annual","Annual","Annual")</f>
        <v>QSObject:Swap:w1~swap.9505:13076</v>
      </c>
      <c r="F9507" s="6" t="str">
        <f>_xll.QS.TRADE.CREATE("trade.9505",E9507,A9507,"Receive")</f>
        <v>QSObject:SwapTrade:w1~trade.9505:22179</v>
      </c>
      <c r="G9507" s="3">
        <f>_xll.QS.EVALUATE(C9507,F9507)</f>
        <v>31096.191472503728</v>
      </c>
      <c r="H9507" s="5" t="s">
        <v>9548</v>
      </c>
      <c r="I9507" s="7">
        <v>1950500</v>
      </c>
      <c r="J9507" s="8">
        <v>3.5499999999999997E-2</v>
      </c>
    </row>
    <row r="9508" spans="1:10" x14ac:dyDescent="0.25">
      <c r="A9508" s="5" t="s">
        <v>9542</v>
      </c>
      <c r="B9508" s="5" t="s">
        <v>11375</v>
      </c>
      <c r="C9508" s="6" t="str">
        <f>_xll.QS.CONTEXT.CREATE("market.9506",A9508,"USD","SOFR")</f>
        <v>QSObject:PricingContext:w1~market.9506:16403</v>
      </c>
      <c r="D9508" s="6" t="str">
        <f>_xll.QS.CONTEXT.ADD.CURVE(C9508,"SOFR",$K$2:$K$7,$L$2:$L$7,,,"Actual360","LogLinear",TRUE)</f>
        <v>QSObject:ContextInput:w1~input.qs_context_add_curve.2359132437744.9507.3.0:22178</v>
      </c>
      <c r="E9508" s="6" t="str">
        <f>_xll.QS.INSTRUMENT.SWAP("swap.9506",H9508,B9508,"USD","SOFR",I9508,J9508,0,"Actual360","Simple","Annual","Annual","Annual")</f>
        <v>QSObject:Swap:w1~swap.9506:20095</v>
      </c>
      <c r="F9508" s="6" t="str">
        <f>_xll.QS.TRADE.CREATE("trade.9506",E9508,A9508,"Receive")</f>
        <v>QSObject:SwapTrade:w1~trade.9506:22177</v>
      </c>
      <c r="G9508" s="3">
        <f>_xll.QS.EVALUATE(C9508,F9508)</f>
        <v>32078.333930084496</v>
      </c>
      <c r="H9508" s="5" t="s">
        <v>9549</v>
      </c>
      <c r="I9508" s="7">
        <v>1950600</v>
      </c>
      <c r="J9508" s="8">
        <v>3.5600000000000007E-2</v>
      </c>
    </row>
    <row r="9509" spans="1:10" x14ac:dyDescent="0.25">
      <c r="A9509" s="5" t="s">
        <v>9543</v>
      </c>
      <c r="B9509" s="5" t="s">
        <v>11376</v>
      </c>
      <c r="C9509" s="6" t="str">
        <f>_xll.QS.CONTEXT.CREATE("market.9507",A9509,"USD","SOFR")</f>
        <v>QSObject:PricingContext:w1~market.9507:14729</v>
      </c>
      <c r="D9509" s="6" t="str">
        <f>_xll.QS.CONTEXT.ADD.CURVE(C9509,"SOFR",$K$2:$K$7,$L$2:$L$7,,,"Actual360","LogLinear",TRUE)</f>
        <v>QSObject:ContextInput:w1~input.qs_context_add_curve.2359132437744.9508.3.0:17440</v>
      </c>
      <c r="E9509" s="6" t="str">
        <f>_xll.QS.INSTRUMENT.SWAP("swap.9507",H9509,B9509,"USD","SOFR",I9509,J9509,0,"Actual360","Simple","Annual","Annual","Annual")</f>
        <v>QSObject:Swap:w1~swap.9507:11544</v>
      </c>
      <c r="F9509" s="6" t="str">
        <f>_xll.QS.TRADE.CREATE("trade.9507",E9509,A9509,"Receive")</f>
        <v>QSObject:SwapTrade:w1~trade.9507:22176</v>
      </c>
      <c r="G9509" s="3">
        <f>_xll.QS.EVALUATE(C9509,F9509)</f>
        <v>33273.220295022387</v>
      </c>
      <c r="H9509" s="5" t="s">
        <v>9550</v>
      </c>
      <c r="I9509" s="7">
        <v>1950700</v>
      </c>
      <c r="J9509" s="8">
        <v>3.5700000000000003E-2</v>
      </c>
    </row>
    <row r="9510" spans="1:10" x14ac:dyDescent="0.25">
      <c r="A9510" s="5" t="s">
        <v>9544</v>
      </c>
      <c r="B9510" s="5" t="s">
        <v>11377</v>
      </c>
      <c r="C9510" s="6" t="str">
        <f>_xll.QS.CONTEXT.CREATE("market.9508",A9510,"USD","SOFR")</f>
        <v>QSObject:PricingContext:w1~market.9508:5061</v>
      </c>
      <c r="D9510" s="6" t="str">
        <f>_xll.QS.CONTEXT.ADD.CURVE(C9510,"SOFR",$K$2:$K$7,$L$2:$L$7,,,"Actual360","LogLinear",TRUE)</f>
        <v>QSObject:ContextInput:w1~input.qs_context_add_curve.2359132437744.9509.3.0:9884</v>
      </c>
      <c r="E9510" s="6" t="str">
        <f>_xll.QS.INSTRUMENT.SWAP("swap.9508",H9510,B9510,"USD","SOFR",I9510,J9510,0,"Actual360","Simple","Annual","Annual","Annual")</f>
        <v>QSObject:Swap:w1~swap.9508:1944</v>
      </c>
      <c r="F9510" s="6" t="str">
        <f>_xll.QS.TRADE.CREATE("trade.9508",E9510,A9510,"Receive")</f>
        <v>QSObject:SwapTrade:w1~trade.9508:13075</v>
      </c>
      <c r="G9510" s="3">
        <f>_xll.QS.EVALUATE(C9510,F9510)</f>
        <v>34174.745935681385</v>
      </c>
      <c r="H9510" s="5" t="s">
        <v>9551</v>
      </c>
      <c r="I9510" s="7">
        <v>1950800</v>
      </c>
      <c r="J9510" s="8">
        <v>3.5800000000000012E-2</v>
      </c>
    </row>
    <row r="9511" spans="1:10" x14ac:dyDescent="0.25">
      <c r="A9511" s="5" t="s">
        <v>9545</v>
      </c>
      <c r="B9511" s="5" t="s">
        <v>11378</v>
      </c>
      <c r="C9511" s="6" t="str">
        <f>_xll.QS.CONTEXT.CREATE("market.9509",A9511,"USD","SOFR")</f>
        <v>QSObject:PricingContext:w1~market.9509:440</v>
      </c>
      <c r="D9511" s="6" t="str">
        <f>_xll.QS.CONTEXT.ADD.CURVE(C9511,"SOFR",$K$2:$K$7,$L$2:$L$7,,,"Actual360","LogLinear",TRUE)</f>
        <v>QSObject:ContextInput:w1~input.qs_context_add_curve.2359132437744.9510.3.0:6671</v>
      </c>
      <c r="E9511" s="6" t="str">
        <f>_xll.QS.INSTRUMENT.SWAP("swap.9509",H9511,B9511,"USD","SOFR",I9511,J9511,0,"Actual360","Simple","Annual","Annual","Annual")</f>
        <v>QSObject:Swap:w1~swap.9509:21849</v>
      </c>
      <c r="F9511" s="6" t="str">
        <f>_xll.QS.TRADE.CREATE("trade.9509",E9511,A9511,"Receive")</f>
        <v>QSObject:SwapTrade:w1~trade.9509:22175</v>
      </c>
      <c r="G9511" s="3">
        <f>_xll.QS.EVALUATE(C9511,F9511)</f>
        <v>35093.829328160849</v>
      </c>
      <c r="H9511" s="5" t="s">
        <v>9552</v>
      </c>
      <c r="I9511" s="7">
        <v>1950900</v>
      </c>
      <c r="J9511" s="8">
        <v>3.5900000000000001E-2</v>
      </c>
    </row>
    <row r="9512" spans="1:10" x14ac:dyDescent="0.25">
      <c r="A9512" s="5" t="s">
        <v>9546</v>
      </c>
      <c r="B9512" s="5" t="s">
        <v>11379</v>
      </c>
      <c r="C9512" s="6" t="str">
        <f>_xll.QS.CONTEXT.CREATE("market.9510",A9512,"USD","SOFR")</f>
        <v>QSObject:PricingContext:w1~market.9510:14728</v>
      </c>
      <c r="D9512" s="6" t="str">
        <f>_xll.QS.CONTEXT.ADD.CURVE(C9512,"SOFR",$K$2:$K$7,$L$2:$L$7,,,"Actual360","LogLinear",TRUE)</f>
        <v>QSObject:ContextInput:w1~input.qs_context_add_curve.2359132437744.9511.3.0:22174</v>
      </c>
      <c r="E9512" s="6" t="str">
        <f>_xll.QS.INSTRUMENT.SWAP("swap.9510",H9512,B9512,"USD","SOFR",I9512,J9512,0,"Actual360","Simple","Annual","Annual","Annual")</f>
        <v>QSObject:Swap:w1~swap.9510:17439</v>
      </c>
      <c r="F9512" s="6" t="str">
        <f>_xll.QS.TRADE.CREATE("trade.9510",E9512,A9512,"Receive")</f>
        <v>QSObject:SwapTrade:w1~trade.9510:22173</v>
      </c>
      <c r="G9512" s="3">
        <f>_xll.QS.EVALUATE(C9512,F9512)</f>
        <v>35996.653873429997</v>
      </c>
      <c r="H9512" s="5" t="s">
        <v>9553</v>
      </c>
      <c r="I9512" s="7">
        <v>1951000</v>
      </c>
      <c r="J9512" s="8">
        <v>3.5999999999999997E-2</v>
      </c>
    </row>
    <row r="9513" spans="1:10" x14ac:dyDescent="0.25">
      <c r="A9513" s="5" t="s">
        <v>9547</v>
      </c>
      <c r="B9513" s="5" t="s">
        <v>11380</v>
      </c>
      <c r="C9513" s="6" t="str">
        <f>_xll.QS.CONTEXT.CREATE("market.9511",A9513,"USD","SOFR")</f>
        <v>QSObject:PricingContext:w1~market.9511:9883</v>
      </c>
      <c r="D9513" s="6" t="str">
        <f>_xll.QS.CONTEXT.ADD.CURVE(C9513,"SOFR",$K$2:$K$7,$L$2:$L$7,,,"Actual360","LogLinear",TRUE)</f>
        <v>QSObject:ContextInput:w1~input.qs_context_add_curve.2359132437744.9512.3.0:18397</v>
      </c>
      <c r="E9513" s="6" t="str">
        <f>_xll.QS.INSTRUMENT.SWAP("swap.9511",H9513,B9513,"USD","SOFR",I9513,J9513,0,"Actual360","Simple","Annual","Annual","Annual")</f>
        <v>QSObject:Swap:w1~swap.9511:3495</v>
      </c>
      <c r="F9513" s="6" t="str">
        <f>_xll.QS.TRADE.CREATE("trade.9511",E9513,A9513,"Receive")</f>
        <v>QSObject:SwapTrade:w1~trade.9511:22172</v>
      </c>
      <c r="G9513" s="3">
        <f>_xll.QS.EVALUATE(C9513,F9513)</f>
        <v>36660.983132938156</v>
      </c>
      <c r="H9513" s="5" t="s">
        <v>9554</v>
      </c>
      <c r="I9513" s="7">
        <v>1951100</v>
      </c>
      <c r="J9513" s="8">
        <v>3.61E-2</v>
      </c>
    </row>
    <row r="9514" spans="1:10" x14ac:dyDescent="0.25">
      <c r="A9514" s="5" t="s">
        <v>9548</v>
      </c>
      <c r="B9514" s="5" t="s">
        <v>11381</v>
      </c>
      <c r="C9514" s="6" t="str">
        <f>_xll.QS.CONTEXT.CREATE("market.9512",A9514,"USD","SOFR")</f>
        <v>QSObject:PricingContext:w1~market.9512:11543</v>
      </c>
      <c r="D9514" s="6" t="str">
        <f>_xll.QS.CONTEXT.ADD.CURVE(C9514,"SOFR",$K$2:$K$7,$L$2:$L$7,,,"Actual360","LogLinear",TRUE)</f>
        <v>QSObject:ContextInput:w1~input.qs_context_add_curve.2359132437744.9513.3.0:13074</v>
      </c>
      <c r="E9514" s="6" t="str">
        <f>_xll.QS.INSTRUMENT.SWAP("swap.9512",H9514,B9514,"USD","SOFR",I9514,J9514,0,"Actual360","Simple","Annual","Annual","Annual")</f>
        <v>QSObject:Swap:w1~swap.9512:1943</v>
      </c>
      <c r="F9514" s="6" t="str">
        <f>_xll.QS.TRADE.CREATE("trade.9512",E9514,A9514,"Receive")</f>
        <v>QSObject:SwapTrade:w1~trade.9512:20094</v>
      </c>
      <c r="G9514" s="3">
        <f>_xll.QS.EVALUATE(C9514,F9514)</f>
        <v>37565.991468998371</v>
      </c>
      <c r="H9514" s="5" t="s">
        <v>9555</v>
      </c>
      <c r="I9514" s="7">
        <v>1951200</v>
      </c>
      <c r="J9514" s="8">
        <v>3.6200000000000003E-2</v>
      </c>
    </row>
    <row r="9515" spans="1:10" x14ac:dyDescent="0.25">
      <c r="A9515" s="5" t="s">
        <v>9549</v>
      </c>
      <c r="B9515" s="5" t="s">
        <v>11382</v>
      </c>
      <c r="C9515" s="6" t="str">
        <f>_xll.QS.CONTEXT.CREATE("market.9513",A9515,"USD","SOFR")</f>
        <v>QSObject:PricingContext:w1~market.9513:8267</v>
      </c>
      <c r="D9515" s="6" t="str">
        <f>_xll.QS.CONTEXT.ADD.CURVE(C9515,"SOFR",$K$2:$K$7,$L$2:$L$7,,,"Actual360","LogLinear",TRUE)</f>
        <v>QSObject:ContextInput:w1~input.qs_context_add_curve.2359132437744.9514.3.0:31409</v>
      </c>
      <c r="E9515" s="6" t="str">
        <f>_xll.QS.INSTRUMENT.SWAP("swap.9513",H9515,B9515,"USD","SOFR",I9515,J9515,0,"Actual360","Simple","Annual","Annual","Annual")</f>
        <v>QSObject:Swap:w1~swap.9513:21848</v>
      </c>
      <c r="F9515" s="6" t="str">
        <f>_xll.QS.TRADE.CREATE("trade.9513",E9515,A9515,"Receive")</f>
        <v>QSObject:SwapTrade:w1~trade.9513:22171</v>
      </c>
      <c r="G9515" s="3">
        <f>_xll.QS.EVALUATE(C9515,F9515)</f>
        <v>38470.856781946095</v>
      </c>
      <c r="H9515" s="5" t="s">
        <v>9556</v>
      </c>
      <c r="I9515" s="7">
        <v>1951300</v>
      </c>
      <c r="J9515" s="8">
        <v>3.6300000000000013E-2</v>
      </c>
    </row>
    <row r="9516" spans="1:10" x14ac:dyDescent="0.25">
      <c r="A9516" s="5" t="s">
        <v>9550</v>
      </c>
      <c r="B9516" s="5" t="s">
        <v>11383</v>
      </c>
      <c r="C9516" s="6" t="str">
        <f>_xll.QS.CONTEXT.CREATE("market.9514",A9516,"USD","SOFR")</f>
        <v>QSObject:PricingContext:w1~market.9514:9882</v>
      </c>
      <c r="D9516" s="6" t="str">
        <f>_xll.QS.CONTEXT.ADD.CURVE(C9516,"SOFR",$K$2:$K$7,$L$2:$L$7,,,"Actual360","LogLinear",TRUE)</f>
        <v>QSObject:ContextInput:w1~input.qs_context_add_curve.2359132437744.9515.3.0:17438</v>
      </c>
      <c r="E9516" s="6" t="str">
        <f>_xll.QS.INSTRUMENT.SWAP("swap.9514",H9516,B9516,"USD","SOFR",I9516,J9516,0,"Actual360","Simple","Annual","Annual","Annual")</f>
        <v>QSObject:Swap:w1~swap.9514:14727</v>
      </c>
      <c r="F9516" s="6" t="str">
        <f>_xll.QS.TRADE.CREATE("trade.9514",E9516,A9516,"Receive")</f>
        <v>QSObject:SwapTrade:w1~trade.9514:18396</v>
      </c>
      <c r="G9516" s="3">
        <f>_xll.QS.EVALUATE(C9516,F9516)</f>
        <v>39515.519696740426</v>
      </c>
      <c r="H9516" s="5" t="s">
        <v>9557</v>
      </c>
      <c r="I9516" s="7">
        <v>1951400</v>
      </c>
      <c r="J9516" s="8">
        <v>3.6400000000000002E-2</v>
      </c>
    </row>
    <row r="9517" spans="1:10" x14ac:dyDescent="0.25">
      <c r="A9517" s="5" t="s">
        <v>9551</v>
      </c>
      <c r="B9517" s="5" t="s">
        <v>11384</v>
      </c>
      <c r="C9517" s="6" t="str">
        <f>_xll.QS.CONTEXT.CREATE("market.9515",A9517,"USD","SOFR")</f>
        <v>QSObject:PricingContext:w1~market.9515:3494</v>
      </c>
      <c r="D9517" s="6" t="str">
        <f>_xll.QS.CONTEXT.ADD.CURVE(C9517,"SOFR",$K$2:$K$7,$L$2:$L$7,,,"Actual360","LogLinear",TRUE)</f>
        <v>QSObject:ContextInput:w1~input.qs_context_add_curve.2359132437744.9516.3.0:22170</v>
      </c>
      <c r="E9517" s="6" t="str">
        <f>_xll.QS.INSTRUMENT.SWAP("swap.9515",H9517,B9517,"USD","SOFR",I9517,J9517,0,"Actual360","Simple","Annual","Annual","Annual")</f>
        <v>QSObject:Swap:w1~swap.9515:16402</v>
      </c>
      <c r="F9517" s="6" t="str">
        <f>_xll.QS.TRADE.CREATE("trade.9515",E9517,A9517,"Receive")</f>
        <v>QSObject:SwapTrade:w1~trade.9515:22169</v>
      </c>
      <c r="G9517" s="3">
        <f>_xll.QS.EVALUATE(C9517,F9517)</f>
        <v>40417.546351761448</v>
      </c>
      <c r="H9517" s="5" t="s">
        <v>9558</v>
      </c>
      <c r="I9517" s="7">
        <v>1951500</v>
      </c>
      <c r="J9517" s="8">
        <v>3.6499999999999998E-2</v>
      </c>
    </row>
    <row r="9518" spans="1:10" x14ac:dyDescent="0.25">
      <c r="A9518" s="5" t="s">
        <v>9552</v>
      </c>
      <c r="B9518" s="5" t="s">
        <v>11385</v>
      </c>
      <c r="C9518" s="6" t="str">
        <f>_xll.QS.CONTEXT.CREATE("market.9516",A9518,"USD","SOFR")</f>
        <v>QSObject:PricingContext:w1~market.9516:6670</v>
      </c>
      <c r="D9518" s="6" t="str">
        <f>_xll.QS.CONTEXT.ADD.CURVE(C9518,"SOFR",$K$2:$K$7,$L$2:$L$7,,,"Actual360","LogLinear",TRUE)</f>
        <v>QSObject:ContextInput:w1~input.qs_context_add_curve.2359132437744.9517.3.0:20093</v>
      </c>
      <c r="E9518" s="6" t="str">
        <f>_xll.QS.INSTRUMENT.SWAP("swap.9516",H9518,B9518,"USD","SOFR",I9518,J9518,0,"Actual360","Simple","Annual","Annual","Annual")</f>
        <v>QSObject:Swap:w1~swap.9516:1942</v>
      </c>
      <c r="F9518" s="6" t="str">
        <f>_xll.QS.TRADE.CREATE("trade.9516",E9518,A9518,"Receive")</f>
        <v>QSObject:SwapTrade:w1~trade.9516:21847</v>
      </c>
      <c r="G9518" s="3">
        <f>_xll.QS.EVALUATE(C9518,F9518)</f>
        <v>41330.463094905106</v>
      </c>
      <c r="H9518" s="5" t="s">
        <v>9559</v>
      </c>
      <c r="I9518" s="7">
        <v>1951600</v>
      </c>
      <c r="J9518" s="8">
        <v>3.6600000000000001E-2</v>
      </c>
    </row>
    <row r="9519" spans="1:10" x14ac:dyDescent="0.25">
      <c r="A9519" s="5" t="s">
        <v>9553</v>
      </c>
      <c r="B9519" s="5" t="s">
        <v>11386</v>
      </c>
      <c r="C9519" s="6" t="str">
        <f>_xll.QS.CONTEXT.CREATE("market.9517",A9519,"USD","SOFR")</f>
        <v>QSObject:PricingContext:w1~market.9517:9881</v>
      </c>
      <c r="D9519" s="6" t="str">
        <f>_xll.QS.CONTEXT.ADD.CURVE(C9519,"SOFR",$K$2:$K$7,$L$2:$L$7,,,"Actual360","LogLinear",TRUE)</f>
        <v>QSObject:ContextInput:w1~input.qs_context_add_curve.2359132437744.9518.3.0:17437</v>
      </c>
      <c r="E9519" s="6" t="str">
        <f>_xll.QS.INSTRUMENT.SWAP("swap.9517",H9519,B9519,"USD","SOFR",I9519,J9519,0,"Actual360","Simple","Annual","Annual","Annual")</f>
        <v>QSObject:Swap:w1~swap.9517:11542</v>
      </c>
      <c r="F9519" s="6" t="str">
        <f>_xll.QS.TRADE.CREATE("trade.9517",E9519,A9519,"Receive")</f>
        <v>QSObject:SwapTrade:w1~trade.9517:22168</v>
      </c>
      <c r="G9519" s="3">
        <f>_xll.QS.EVALUATE(C9519,F9519)</f>
        <v>42234.642868727518</v>
      </c>
      <c r="H9519" s="5" t="s">
        <v>9560</v>
      </c>
      <c r="I9519" s="7">
        <v>1951700</v>
      </c>
      <c r="J9519" s="8">
        <v>3.6700000000000003E-2</v>
      </c>
    </row>
    <row r="9520" spans="1:10" x14ac:dyDescent="0.25">
      <c r="A9520" s="5" t="s">
        <v>9554</v>
      </c>
      <c r="B9520" s="5" t="s">
        <v>11387</v>
      </c>
      <c r="C9520" s="6" t="str">
        <f>_xll.QS.CONTEXT.CREATE("market.9518",A9520,"USD","SOFR")</f>
        <v>QSObject:PricingContext:w1~market.9518:16401</v>
      </c>
      <c r="D9520" s="6" t="str">
        <f>_xll.QS.CONTEXT.ADD.CURVE(C9520,"SOFR",$K$2:$K$7,$L$2:$L$7,,,"Actual360","LogLinear",TRUE)</f>
        <v>QSObject:ContextInput:w1~input.qs_context_add_curve.2359132437744.9519.3.0:31408</v>
      </c>
      <c r="E9520" s="6" t="str">
        <f>_xll.QS.INSTRUMENT.SWAP("swap.9518",H9520,B9520,"USD","SOFR",I9520,J9520,0,"Actual360","Simple","Annual","Annual","Annual")</f>
        <v>QSObject:Swap:w1~swap.9518:8266</v>
      </c>
      <c r="F9520" s="6" t="str">
        <f>_xll.QS.TRADE.CREATE("trade.9518",E9520,A9520,"Receive")</f>
        <v>QSObject:SwapTrade:w1~trade.9518:22167</v>
      </c>
      <c r="G9520" s="3">
        <f>_xll.QS.EVALUATE(C9520,F9520)</f>
        <v>43140.521358709397</v>
      </c>
      <c r="H9520" s="5" t="s">
        <v>9561</v>
      </c>
      <c r="I9520" s="7">
        <v>1951800</v>
      </c>
      <c r="J9520" s="8">
        <v>3.6800000000000013E-2</v>
      </c>
    </row>
    <row r="9521" spans="1:10" x14ac:dyDescent="0.25">
      <c r="A9521" s="5" t="s">
        <v>9555</v>
      </c>
      <c r="B9521" s="5" t="s">
        <v>11388</v>
      </c>
      <c r="C9521" s="6" t="str">
        <f>_xll.QS.CONTEXT.CREATE("market.9519",A9521,"USD","SOFR")</f>
        <v>QSObject:PricingContext:w1~market.9519:20092</v>
      </c>
      <c r="D9521" s="6" t="str">
        <f>_xll.QS.CONTEXT.ADD.CURVE(C9521,"SOFR",$K$2:$K$7,$L$2:$L$7,,,"Actual360","LogLinear",TRUE)</f>
        <v>QSObject:ContextInput:w1~input.qs_context_add_curve.2359132437744.9520.3.0:22166</v>
      </c>
      <c r="E9521" s="6" t="str">
        <f>_xll.QS.INSTRUMENT.SWAP("swap.9519",H9521,B9521,"USD","SOFR",I9521,J9521,0,"Actual360","Simple","Annual","Annual","Annual")</f>
        <v>QSObject:Swap:w1~swap.9519:13073</v>
      </c>
      <c r="F9521" s="6" t="str">
        <f>_xll.QS.TRADE.CREATE("trade.9519",E9521,A9521,"Receive")</f>
        <v>QSObject:SwapTrade:w1~trade.9519:21846</v>
      </c>
      <c r="G9521" s="3">
        <f>_xll.QS.EVALUATE(C9521,F9521)</f>
        <v>44046.666913171182</v>
      </c>
      <c r="H9521" s="5" t="s">
        <v>9562</v>
      </c>
      <c r="I9521" s="7">
        <v>1951900</v>
      </c>
      <c r="J9521" s="8">
        <v>3.6900000000000002E-2</v>
      </c>
    </row>
    <row r="9522" spans="1:10" x14ac:dyDescent="0.25">
      <c r="A9522" s="5" t="s">
        <v>9556</v>
      </c>
      <c r="B9522" s="5" t="s">
        <v>11389</v>
      </c>
      <c r="C9522" s="6" t="str">
        <f>_xll.QS.CONTEXT.CREATE("market.9520",A9522,"USD","SOFR")</f>
        <v>QSObject:PricingContext:w1~market.9520:11541</v>
      </c>
      <c r="D9522" s="6" t="str">
        <f>_xll.QS.CONTEXT.ADD.CURVE(C9522,"SOFR",$K$2:$K$7,$L$2:$L$7,,,"Actual360","LogLinear",TRUE)</f>
        <v>QSObject:ContextInput:w1~input.qs_context_add_curve.2359132437744.9521.3.0:31407</v>
      </c>
      <c r="E9522" s="6" t="str">
        <f>_xll.QS.INSTRUMENT.SWAP("swap.9520",H9522,B9522,"USD","SOFR",I9522,J9522,0,"Actual360","Simple","Annual","Annual","Annual")</f>
        <v>QSObject:Swap:w1~swap.9520:6669</v>
      </c>
      <c r="F9522" s="6" t="str">
        <f>_xll.QS.TRADE.CREATE("trade.9520",E9522,A9522,"Receive")</f>
        <v>QSObject:SwapTrade:w1~trade.9520:9880</v>
      </c>
      <c r="G9522" s="3">
        <f>_xll.QS.EVALUATE(C9522,F9522)</f>
        <v>44788.558493669625</v>
      </c>
      <c r="H9522" s="5" t="s">
        <v>9563</v>
      </c>
      <c r="I9522" s="7">
        <v>1952000</v>
      </c>
      <c r="J9522" s="8">
        <v>3.7000000000000012E-2</v>
      </c>
    </row>
    <row r="9523" spans="1:10" x14ac:dyDescent="0.25">
      <c r="A9523" s="5" t="s">
        <v>9557</v>
      </c>
      <c r="B9523" s="5" t="s">
        <v>11390</v>
      </c>
      <c r="C9523" s="6" t="str">
        <f>_xll.QS.CONTEXT.CREATE("market.9521",A9523,"USD","SOFR")</f>
        <v>QSObject:PricingContext:w1~market.9521:14726</v>
      </c>
      <c r="D9523" s="6" t="str">
        <f>_xll.QS.CONTEXT.ADD.CURVE(C9523,"SOFR",$K$2:$K$7,$L$2:$L$7,,,"Actual360","LogLinear",TRUE)</f>
        <v>QSObject:ContextInput:w1~input.qs_context_add_curve.2359132437744.9522.3.0:31406</v>
      </c>
      <c r="E9523" s="6" t="str">
        <f>_xll.QS.INSTRUMENT.SWAP("swap.9521",H9523,B9523,"USD","SOFR",I9523,J9523,0,"Actual360","Simple","Annual","Annual","Annual")</f>
        <v>QSObject:Swap:w1~swap.9521:17436</v>
      </c>
      <c r="F9523" s="6" t="str">
        <f>_xll.QS.TRADE.CREATE("trade.9521",E9523,A9523,"Receive")</f>
        <v>QSObject:SwapTrade:w1~trade.9521:22165</v>
      </c>
      <c r="G9523" s="3">
        <f>_xll.QS.EVALUATE(C9523,F9523)</f>
        <v>45834.076650380193</v>
      </c>
      <c r="H9523" s="5" t="s">
        <v>9564</v>
      </c>
      <c r="I9523" s="7">
        <v>1952100</v>
      </c>
      <c r="J9523" s="8">
        <v>3.7100000000000001E-2</v>
      </c>
    </row>
    <row r="9524" spans="1:10" x14ac:dyDescent="0.25">
      <c r="A9524" s="5" t="s">
        <v>9558</v>
      </c>
      <c r="B9524" s="5" t="s">
        <v>11391</v>
      </c>
      <c r="C9524" s="6" t="str">
        <f>_xll.QS.CONTEXT.CREATE("market.9522",A9524,"USD","SOFR")</f>
        <v>QSObject:PricingContext:w1~market.9522:8265</v>
      </c>
      <c r="D9524" s="6" t="str">
        <f>_xll.QS.CONTEXT.ADD.CURVE(C9524,"SOFR",$K$2:$K$7,$L$2:$L$7,,,"Actual360","LogLinear",TRUE)</f>
        <v>QSObject:ContextInput:w1~input.qs_context_add_curve.2359132437744.9523.3.0:31405</v>
      </c>
      <c r="E9524" s="6" t="str">
        <f>_xll.QS.INSTRUMENT.SWAP("swap.9522",H9524,B9524,"USD","SOFR",I9524,J9524,0,"Actual360","Simple","Annual","Annual","Annual")</f>
        <v>QSObject:Swap:w1~swap.9522:3493</v>
      </c>
      <c r="F9524" s="6" t="str">
        <f>_xll.QS.TRADE.CREATE("trade.9522",E9524,A9524,"Receive")</f>
        <v>QSObject:SwapTrade:w1~trade.9522:13072</v>
      </c>
      <c r="G9524" s="3">
        <f>_xll.QS.EVALUATE(C9524,F9524)</f>
        <v>46737.501228877081</v>
      </c>
      <c r="H9524" s="5" t="s">
        <v>9565</v>
      </c>
      <c r="I9524" s="7">
        <v>1952200</v>
      </c>
      <c r="J9524" s="8">
        <v>3.7199999999999997E-2</v>
      </c>
    </row>
    <row r="9525" spans="1:10" x14ac:dyDescent="0.25">
      <c r="A9525" s="5" t="s">
        <v>9559</v>
      </c>
      <c r="B9525" s="5" t="s">
        <v>11392</v>
      </c>
      <c r="C9525" s="6" t="str">
        <f>_xll.QS.CONTEXT.CREATE("market.9523",A9525,"USD","SOFR")</f>
        <v>QSObject:PricingContext:w1~market.9523:11540</v>
      </c>
      <c r="D9525" s="6" t="str">
        <f>_xll.QS.CONTEXT.ADD.CURVE(C9525,"SOFR",$K$2:$K$7,$L$2:$L$7,,,"Actual360","LogLinear",TRUE)</f>
        <v>QSObject:ContextInput:w1~input.qs_context_add_curve.2359132437744.9524.3.0:21845</v>
      </c>
      <c r="E9525" s="6" t="str">
        <f>_xll.QS.INSTRUMENT.SWAP("swap.9523",H9525,B9525,"USD","SOFR",I9525,J9525,0,"Actual360","Simple","Annual","Annual","Annual")</f>
        <v>QSObject:Swap:w1~swap.9523:18395</v>
      </c>
      <c r="F9525" s="6" t="str">
        <f>_xll.QS.TRADE.CREATE("trade.9523",E9525,A9525,"Receive")</f>
        <v>QSObject:SwapTrade:w1~trade.9523:22164</v>
      </c>
      <c r="G9525" s="3">
        <f>_xll.QS.EVALUATE(C9525,F9525)</f>
        <v>47650.40089486535</v>
      </c>
      <c r="H9525" s="5" t="s">
        <v>9566</v>
      </c>
      <c r="I9525" s="7">
        <v>1952300</v>
      </c>
      <c r="J9525" s="8">
        <v>3.73E-2</v>
      </c>
    </row>
    <row r="9526" spans="1:10" x14ac:dyDescent="0.25">
      <c r="A9526" s="5" t="s">
        <v>9560</v>
      </c>
      <c r="B9526" s="5" t="s">
        <v>11393</v>
      </c>
      <c r="C9526" s="6" t="str">
        <f>_xll.QS.CONTEXT.CREATE("market.9524",A9526,"USD","SOFR")</f>
        <v>QSObject:PricingContext:w1~market.9524:17435</v>
      </c>
      <c r="D9526" s="6" t="str">
        <f>_xll.QS.CONTEXT.ADD.CURVE(C9526,"SOFR",$K$2:$K$7,$L$2:$L$7,,,"Actual360","LogLinear",TRUE)</f>
        <v>QSObject:ContextInput:w1~input.qs_context_add_curve.2359132437744.9525.3.0:31404</v>
      </c>
      <c r="E9526" s="6" t="str">
        <f>_xll.QS.INSTRUMENT.SWAP("swap.9524",H9526,B9526,"USD","SOFR",I9526,J9526,0,"Actual360","Simple","Annual","Annual","Annual")</f>
        <v>QSObject:Swap:w1~swap.9524:9879</v>
      </c>
      <c r="F9526" s="6" t="str">
        <f>_xll.QS.TRADE.CREATE("trade.9524",E9526,A9526,"Receive")</f>
        <v>QSObject:SwapTrade:w1~trade.9524:22163</v>
      </c>
      <c r="G9526" s="3">
        <f>_xll.QS.EVALUATE(C9526,F9526)</f>
        <v>48555.251163257373</v>
      </c>
      <c r="H9526" s="5" t="s">
        <v>9567</v>
      </c>
      <c r="I9526" s="7">
        <v>1952400</v>
      </c>
      <c r="J9526" s="8">
        <v>3.7400000000000003E-2</v>
      </c>
    </row>
    <row r="9527" spans="1:10" x14ac:dyDescent="0.25">
      <c r="A9527" s="5" t="s">
        <v>9561</v>
      </c>
      <c r="B9527" s="5" t="s">
        <v>11394</v>
      </c>
      <c r="C9527" s="6" t="str">
        <f>_xll.QS.CONTEXT.CREATE("market.9525",A9527,"USD","SOFR")</f>
        <v>QSObject:PricingContext:w1~market.9525:3492</v>
      </c>
      <c r="D9527" s="6" t="str">
        <f>_xll.QS.CONTEXT.ADD.CURVE(C9527,"SOFR",$K$2:$K$7,$L$2:$L$7,,,"Actual360","LogLinear",TRUE)</f>
        <v>QSObject:ContextInput:w1~input.qs_context_add_curve.2359132437744.9526.3.0:16400</v>
      </c>
      <c r="E9527" s="6" t="str">
        <f>_xll.QS.INSTRUMENT.SWAP("swap.9525",H9527,B9527,"USD","SOFR",I9527,J9527,0,"Actual360","Simple","Annual","Annual","Annual")</f>
        <v>QSObject:Swap:w1~swap.9525:14725</v>
      </c>
      <c r="F9527" s="6" t="str">
        <f>_xll.QS.TRADE.CREATE("trade.9525",E9527,A9527,"Receive")</f>
        <v>QSObject:SwapTrade:w1~trade.9525:22162</v>
      </c>
      <c r="G9527" s="3">
        <f>_xll.QS.EVALUATE(C9527,F9527)</f>
        <v>49218.158178957587</v>
      </c>
      <c r="H9527" s="5" t="s">
        <v>9568</v>
      </c>
      <c r="I9527" s="7">
        <v>1952500</v>
      </c>
      <c r="J9527" s="8">
        <v>3.7500000000000012E-2</v>
      </c>
    </row>
    <row r="9528" spans="1:10" x14ac:dyDescent="0.25">
      <c r="A9528" s="5" t="s">
        <v>9562</v>
      </c>
      <c r="B9528" s="5" t="s">
        <v>11395</v>
      </c>
      <c r="C9528" s="6" t="str">
        <f>_xll.QS.CONTEXT.CREATE("market.9526",A9528,"USD","SOFR")</f>
        <v>QSObject:PricingContext:w1~market.9526:18394</v>
      </c>
      <c r="D9528" s="6" t="str">
        <f>_xll.QS.CONTEXT.ADD.CURVE(C9528,"SOFR",$K$2:$K$7,$L$2:$L$7,,,"Actual360","LogLinear",TRUE)</f>
        <v>QSObject:ContextInput:w1~input.qs_context_add_curve.2359132437744.9527.3.0:31403</v>
      </c>
      <c r="E9528" s="6" t="str">
        <f>_xll.QS.INSTRUMENT.SWAP("swap.9526",H9528,B9528,"USD","SOFR",I9528,J9528,0,"Actual360","Simple","Annual","Annual","Annual")</f>
        <v>QSObject:Swap:w1~swap.9526:11539</v>
      </c>
      <c r="F9528" s="6" t="str">
        <f>_xll.QS.TRADE.CREATE("trade.9526",E9528,A9528,"Receive")</f>
        <v>QSObject:SwapTrade:w1~trade.9526:22161</v>
      </c>
      <c r="G9528" s="3">
        <f>_xll.QS.EVALUATE(C9528,F9528)</f>
        <v>50125.308822202096</v>
      </c>
      <c r="H9528" s="5" t="s">
        <v>9569</v>
      </c>
      <c r="I9528" s="7">
        <v>1952600</v>
      </c>
      <c r="J9528" s="8">
        <v>3.7600000000000001E-2</v>
      </c>
    </row>
    <row r="9529" spans="1:10" x14ac:dyDescent="0.25">
      <c r="A9529" s="5" t="s">
        <v>9563</v>
      </c>
      <c r="B9529" s="5" t="s">
        <v>11396</v>
      </c>
      <c r="C9529" s="6" t="str">
        <f>_xll.QS.CONTEXT.CREATE("market.9527",A9529,"USD","SOFR")</f>
        <v>QSObject:PricingContext:w1~market.9527:5060</v>
      </c>
      <c r="D9529" s="6" t="str">
        <f>_xll.QS.CONTEXT.ADD.CURVE(C9529,"SOFR",$K$2:$K$7,$L$2:$L$7,,,"Actual360","LogLinear",TRUE)</f>
        <v>QSObject:ContextInput:w1~input.qs_context_add_curve.2359132437744.9528.3.0:21844</v>
      </c>
      <c r="E9529" s="6" t="str">
        <f>_xll.QS.INSTRUMENT.SWAP("swap.9527",H9529,B9529,"USD","SOFR",I9529,J9529,0,"Actual360","Simple","Annual","Annual","Annual")</f>
        <v>QSObject:Swap:w1~swap.9527:6668</v>
      </c>
      <c r="F9529" s="6" t="str">
        <f>_xll.QS.TRADE.CREATE("trade.9527",E9529,A9529,"Receive")</f>
        <v>QSObject:SwapTrade:w1~trade.9527:22160</v>
      </c>
      <c r="G9529" s="3">
        <f>_xll.QS.EVALUATE(C9529,F9529)</f>
        <v>51110.926408254512</v>
      </c>
      <c r="H9529" s="5" t="s">
        <v>9570</v>
      </c>
      <c r="I9529" s="7">
        <v>1952700</v>
      </c>
      <c r="J9529" s="8">
        <v>3.7699999999999997E-2</v>
      </c>
    </row>
    <row r="9530" spans="1:10" x14ac:dyDescent="0.25">
      <c r="A9530" s="5" t="s">
        <v>9564</v>
      </c>
      <c r="B9530" s="5" t="s">
        <v>11397</v>
      </c>
      <c r="C9530" s="6" t="str">
        <f>_xll.QS.CONTEXT.CREATE("market.9528",A9530,"USD","SOFR")</f>
        <v>QSObject:PricingContext:w1~market.9528:17434</v>
      </c>
      <c r="D9530" s="6" t="str">
        <f>_xll.QS.CONTEXT.ADD.CURVE(C9530,"SOFR",$K$2:$K$7,$L$2:$L$7,,,"Actual360","LogLinear",TRUE)</f>
        <v>QSObject:ContextInput:w1~input.qs_context_add_curve.2359132437744.9529.3.0:31402</v>
      </c>
      <c r="E9530" s="6" t="str">
        <f>_xll.QS.INSTRUMENT.SWAP("swap.9528",H9530,B9530,"USD","SOFR",I9530,J9530,0,"Actual360","Simple","Annual","Annual","Annual")</f>
        <v>QSObject:Swap:w1~swap.9528:16399</v>
      </c>
      <c r="F9530" s="6" t="str">
        <f>_xll.QS.TRADE.CREATE("trade.9528",E9530,A9530,"Receive")</f>
        <v>QSObject:SwapTrade:w1~trade.9528:18393</v>
      </c>
      <c r="G9530" s="3">
        <f>_xll.QS.EVALUATE(C9530,F9530)</f>
        <v>52157.235228020429</v>
      </c>
      <c r="H9530" s="5" t="s">
        <v>9571</v>
      </c>
      <c r="I9530" s="7">
        <v>1952800</v>
      </c>
      <c r="J9530" s="8">
        <v>3.78E-2</v>
      </c>
    </row>
    <row r="9531" spans="1:10" x14ac:dyDescent="0.25">
      <c r="A9531" s="5" t="s">
        <v>9565</v>
      </c>
      <c r="B9531" s="5" t="s">
        <v>11398</v>
      </c>
      <c r="C9531" s="6" t="str">
        <f>_xll.QS.CONTEXT.CREATE("market.9529",A9531,"USD","SOFR")</f>
        <v>QSObject:PricingContext:w1~market.9529:11538</v>
      </c>
      <c r="D9531" s="6" t="str">
        <f>_xll.QS.CONTEXT.ADD.CURVE(C9531,"SOFR",$K$2:$K$7,$L$2:$L$7,,,"Actual360","LogLinear",TRUE)</f>
        <v>QSObject:ContextInput:w1~input.qs_context_add_curve.2359132437744.9530.3.0:31401</v>
      </c>
      <c r="E9531" s="6" t="str">
        <f>_xll.QS.INSTRUMENT.SWAP("swap.9529",H9531,B9531,"USD","SOFR",I9531,J9531,0,"Actual360","Simple","Annual","Annual","Annual")</f>
        <v>QSObject:Swap:w1~swap.9529:439</v>
      </c>
      <c r="F9531" s="6" t="str">
        <f>_xll.QS.TRADE.CREATE("trade.9529",E9531,A9531,"Receive")</f>
        <v>QSObject:SwapTrade:w1~trade.9529:20091</v>
      </c>
      <c r="G9531" s="3">
        <f>_xll.QS.EVALUATE(C9531,F9531)</f>
        <v>53060.608872161858</v>
      </c>
      <c r="H9531" s="5" t="s">
        <v>9572</v>
      </c>
      <c r="I9531" s="7">
        <v>1952900</v>
      </c>
      <c r="J9531" s="8">
        <v>3.7900000000000003E-2</v>
      </c>
    </row>
    <row r="9532" spans="1:10" x14ac:dyDescent="0.25">
      <c r="A9532" s="5" t="s">
        <v>9566</v>
      </c>
      <c r="B9532" s="5" t="s">
        <v>11399</v>
      </c>
      <c r="C9532" s="6" t="str">
        <f>_xll.QS.CONTEXT.CREATE("market.9530",A9532,"USD","SOFR")</f>
        <v>QSObject:PricingContext:w1~market.9530:13071</v>
      </c>
      <c r="D9532" s="6" t="str">
        <f>_xll.QS.CONTEXT.ADD.CURVE(C9532,"SOFR",$K$2:$K$7,$L$2:$L$7,,,"Actual360","LogLinear",TRUE)</f>
        <v>QSObject:ContextInput:w1~input.qs_context_add_curve.2359132437744.9531.3.0:21843</v>
      </c>
      <c r="E9532" s="6" t="str">
        <f>_xll.QS.INSTRUMENT.SWAP("swap.9530",H9532,B9532,"USD","SOFR",I9532,J9532,0,"Actual360","Simple","Annual","Annual","Annual")</f>
        <v>QSObject:Swap:w1~swap.9530:14724</v>
      </c>
      <c r="F9532" s="6" t="str">
        <f>_xll.QS.TRADE.CREATE("trade.9530",E9532,A9532,"Receive")</f>
        <v>QSObject:SwapTrade:w1~trade.9530:17433</v>
      </c>
      <c r="G9532" s="3">
        <f>_xll.QS.EVALUATE(C9532,F9532)</f>
        <v>53974.860109947454</v>
      </c>
      <c r="H9532" s="5" t="s">
        <v>9573</v>
      </c>
      <c r="I9532" s="7">
        <v>1953000</v>
      </c>
      <c r="J9532" s="8">
        <v>3.8000000000000013E-2</v>
      </c>
    </row>
    <row r="9533" spans="1:10" x14ac:dyDescent="0.25">
      <c r="A9533" s="5" t="s">
        <v>9567</v>
      </c>
      <c r="B9533" s="5" t="s">
        <v>11400</v>
      </c>
      <c r="C9533" s="6" t="str">
        <f>_xll.QS.CONTEXT.CREATE("market.9531",A9533,"USD","SOFR")</f>
        <v>QSObject:PricingContext:w1~market.9531:6667</v>
      </c>
      <c r="D9533" s="6" t="str">
        <f>_xll.QS.CONTEXT.ADD.CURVE(C9533,"SOFR",$K$2:$K$7,$L$2:$L$7,,,"Actual360","LogLinear",TRUE)</f>
        <v>QSObject:ContextInput:w1~input.qs_context_add_curve.2359132437744.9532.3.0:22159</v>
      </c>
      <c r="E9533" s="6" t="str">
        <f>_xll.QS.INSTRUMENT.SWAP("swap.9531",H9533,B9533,"USD","SOFR",I9533,J9533,0,"Actual360","Simple","Annual","Annual","Annual")</f>
        <v>QSObject:Swap:w1~swap.9531:9878</v>
      </c>
      <c r="F9533" s="6" t="str">
        <f>_xll.QS.TRADE.CREATE("trade.9531",E9533,A9533,"Receive")</f>
        <v>QSObject:SwapTrade:w1~trade.9531:18392</v>
      </c>
      <c r="G9533" s="3">
        <f>_xll.QS.EVALUATE(C9533,F9533)</f>
        <v>54880.380890119246</v>
      </c>
      <c r="H9533" s="5" t="s">
        <v>9574</v>
      </c>
      <c r="I9533" s="7">
        <v>1953100</v>
      </c>
      <c r="J9533" s="8">
        <v>3.8100000000000002E-2</v>
      </c>
    </row>
    <row r="9534" spans="1:10" x14ac:dyDescent="0.25">
      <c r="A9534" s="5" t="s">
        <v>9568</v>
      </c>
      <c r="B9534" s="5" t="s">
        <v>11401</v>
      </c>
      <c r="C9534" s="6" t="str">
        <f>_xll.QS.CONTEXT.CREATE("market.9532",A9534,"USD","SOFR")</f>
        <v>QSObject:PricingContext:w1~market.9532:1941</v>
      </c>
      <c r="D9534" s="6" t="str">
        <f>_xll.QS.CONTEXT.ADD.CURVE(C9534,"SOFR",$K$2:$K$7,$L$2:$L$7,,,"Actual360","LogLinear",TRUE)</f>
        <v>QSObject:ContextInput:w1~input.qs_context_add_curve.2359132437744.9533.3.0:3491</v>
      </c>
      <c r="E9534" s="6" t="str">
        <f>_xll.QS.INSTRUMENT.SWAP("swap.9532",H9534,B9534,"USD","SOFR",I9534,J9534,0,"Actual360","Simple","Annual","Annual","Annual")</f>
        <v>QSObject:Swap:w1~swap.9532:16398</v>
      </c>
      <c r="F9534" s="6" t="str">
        <f>_xll.QS.TRADE.CREATE("trade.9532",E9534,A9534,"Receive")</f>
        <v>QSObject:SwapTrade:w1~trade.9532:22158</v>
      </c>
      <c r="G9534" s="3">
        <f>_xll.QS.EVALUATE(C9534,F9534)</f>
        <v>55460.5081564106</v>
      </c>
      <c r="H9534" s="5" t="s">
        <v>9575</v>
      </c>
      <c r="I9534" s="7">
        <v>1953200</v>
      </c>
      <c r="J9534" s="8">
        <v>3.8199999999999998E-2</v>
      </c>
    </row>
    <row r="9535" spans="1:10" x14ac:dyDescent="0.25">
      <c r="A9535" s="5" t="s">
        <v>9569</v>
      </c>
      <c r="B9535" s="5" t="s">
        <v>11402</v>
      </c>
      <c r="C9535" s="6" t="str">
        <f>_xll.QS.CONTEXT.CREATE("market.9533",A9535,"USD","SOFR")</f>
        <v>QSObject:PricingContext:w1~market.9533:11537</v>
      </c>
      <c r="D9535" s="6" t="str">
        <f>_xll.QS.CONTEXT.ADD.CURVE(C9535,"SOFR",$K$2:$K$7,$L$2:$L$7,,,"Actual360","LogLinear",TRUE)</f>
        <v>QSObject:ContextInput:w1~input.qs_context_add_curve.2359132437744.9534.3.0:20090</v>
      </c>
      <c r="E9535" s="6" t="str">
        <f>_xll.QS.INSTRUMENT.SWAP("swap.9533",H9535,B9535,"USD","SOFR",I9535,J9535,0,"Actual360","Simple","Annual","Annual","Annual")</f>
        <v>QSObject:Swap:w1~swap.9533:438</v>
      </c>
      <c r="F9535" s="6" t="str">
        <f>_xll.QS.TRADE.CREATE("trade.9533",E9535,A9535,"Receive")</f>
        <v>QSObject:SwapTrade:w1~trade.9533:14723</v>
      </c>
      <c r="G9535" s="3">
        <f>_xll.QS.EVALUATE(C9535,F9535)</f>
        <v>56368.779116976788</v>
      </c>
      <c r="H9535" s="5" t="s">
        <v>9576</v>
      </c>
      <c r="I9535" s="7">
        <v>1953300</v>
      </c>
      <c r="J9535" s="8">
        <v>3.8300000000000001E-2</v>
      </c>
    </row>
    <row r="9536" spans="1:10" x14ac:dyDescent="0.25">
      <c r="A9536" s="5" t="s">
        <v>9570</v>
      </c>
      <c r="B9536" s="5" t="s">
        <v>11403</v>
      </c>
      <c r="C9536" s="6" t="str">
        <f>_xll.QS.CONTEXT.CREATE("market.9534",A9536,"USD","SOFR")</f>
        <v>QSObject:PricingContext:w1~market.9534:17432</v>
      </c>
      <c r="D9536" s="6" t="str">
        <f>_xll.QS.CONTEXT.ADD.CURVE(C9536,"SOFR",$K$2:$K$7,$L$2:$L$7,,,"Actual360","LogLinear",TRUE)</f>
        <v>QSObject:ContextInput:w1~input.qs_context_add_curve.2359132437744.9535.3.0:21842</v>
      </c>
      <c r="E9536" s="6" t="str">
        <f>_xll.QS.INSTRUMENT.SWAP("swap.9534",H9536,B9536,"USD","SOFR",I9536,J9536,0,"Actual360","Simple","Annual","Annual","Annual")</f>
        <v>QSObject:Swap:w1~swap.9534:13070</v>
      </c>
      <c r="F9536" s="6" t="str">
        <f>_xll.QS.TRADE.CREATE("trade.9534",E9536,A9536,"Receive")</f>
        <v>QSObject:SwapTrade:w1~trade.9534:22157</v>
      </c>
      <c r="G9536" s="3">
        <f>_xll.QS.EVALUATE(C9536,F9536)</f>
        <v>57355.563885901865</v>
      </c>
      <c r="H9536" s="5" t="s">
        <v>9577</v>
      </c>
      <c r="I9536" s="7">
        <v>1953400</v>
      </c>
      <c r="J9536" s="8">
        <v>3.8399999999999997E-2</v>
      </c>
    </row>
    <row r="9537" spans="1:10" x14ac:dyDescent="0.25">
      <c r="A9537" s="5" t="s">
        <v>9571</v>
      </c>
      <c r="B9537" s="5" t="s">
        <v>11404</v>
      </c>
      <c r="C9537" s="6" t="str">
        <f>_xll.QS.CONTEXT.CREATE("market.9535",A9537,"USD","SOFR")</f>
        <v>QSObject:PricingContext:w1~market.9535:16397</v>
      </c>
      <c r="D9537" s="6" t="str">
        <f>_xll.QS.CONTEXT.ADD.CURVE(C9537,"SOFR",$K$2:$K$7,$L$2:$L$7,,,"Actual360","LogLinear",TRUE)</f>
        <v>QSObject:ContextInput:w1~input.qs_context_add_curve.2359132437744.9536.3.0:31400</v>
      </c>
      <c r="E9537" s="6" t="str">
        <f>_xll.QS.INSTRUMENT.SWAP("swap.9535",H9537,B9537,"USD","SOFR",I9537,J9537,0,"Actual360","Simple","Annual","Annual","Annual")</f>
        <v>QSObject:Swap:w1~swap.9535:6666</v>
      </c>
      <c r="F9537" s="6" t="str">
        <f>_xll.QS.TRADE.CREATE("trade.9535",E9537,A9537,"Receive")</f>
        <v>QSObject:SwapTrade:w1~trade.9535:22156</v>
      </c>
      <c r="G9537" s="3">
        <f>_xll.QS.EVALUATE(C9537,F9537)</f>
        <v>58556.834151058792</v>
      </c>
      <c r="H9537" s="5" t="s">
        <v>9578</v>
      </c>
      <c r="I9537" s="7">
        <v>1953500</v>
      </c>
      <c r="J9537" s="8">
        <v>3.8500000000000013E-2</v>
      </c>
    </row>
    <row r="9538" spans="1:10" x14ac:dyDescent="0.25">
      <c r="A9538" s="5" t="s">
        <v>9572</v>
      </c>
      <c r="B9538" s="5" t="s">
        <v>11405</v>
      </c>
      <c r="C9538" s="6" t="str">
        <f>_xll.QS.CONTEXT.CREATE("market.9536",A9538,"USD","SOFR")</f>
        <v>QSObject:PricingContext:w1~market.9536:1940</v>
      </c>
      <c r="D9538" s="6" t="str">
        <f>_xll.QS.CONTEXT.ADD.CURVE(C9538,"SOFR",$K$2:$K$7,$L$2:$L$7,,,"Actual360","LogLinear",TRUE)</f>
        <v>QSObject:ContextInput:w1~input.qs_context_add_curve.2359132437744.9537.3.0:18391</v>
      </c>
      <c r="E9538" s="6" t="str">
        <f>_xll.QS.INSTRUMENT.SWAP("swap.9536",H9538,B9538,"USD","SOFR",I9538,J9538,0,"Actual360","Simple","Annual","Annual","Annual")</f>
        <v>QSObject:Swap:w1~swap.9536:8264</v>
      </c>
      <c r="F9538" s="6" t="str">
        <f>_xll.QS.TRADE.CREATE("trade.9536",E9538,A9538,"Receive")</f>
        <v>QSObject:SwapTrade:w1~trade.9536:20089</v>
      </c>
      <c r="G9538" s="3">
        <f>_xll.QS.EVALUATE(C9538,F9538)</f>
        <v>59460.775840061586</v>
      </c>
      <c r="H9538" s="5" t="s">
        <v>9579</v>
      </c>
      <c r="I9538" s="7">
        <v>1953600</v>
      </c>
      <c r="J9538" s="8">
        <v>3.8600000000000002E-2</v>
      </c>
    </row>
    <row r="9539" spans="1:10" x14ac:dyDescent="0.25">
      <c r="A9539" s="5" t="s">
        <v>9573</v>
      </c>
      <c r="B9539" s="5" t="s">
        <v>11406</v>
      </c>
      <c r="C9539" s="6" t="str">
        <f>_xll.QS.CONTEXT.CREATE("market.9537",A9539,"USD","SOFR")</f>
        <v>QSObject:PricingContext:w1~market.9537:17431</v>
      </c>
      <c r="D9539" s="6" t="str">
        <f>_xll.QS.CONTEXT.ADD.CURVE(C9539,"SOFR",$K$2:$K$7,$L$2:$L$7,,,"Actual360","LogLinear",TRUE)</f>
        <v>QSObject:ContextInput:w1~input.qs_context_add_curve.2359132437744.9538.3.0:31399</v>
      </c>
      <c r="E9539" s="6" t="str">
        <f>_xll.QS.INSTRUMENT.SWAP("swap.9537",H9539,B9539,"USD","SOFR",I9539,J9539,0,"Actual360","Simple","Annual","Annual","Annual")</f>
        <v>QSObject:Swap:w1~swap.9537:11536</v>
      </c>
      <c r="F9539" s="6" t="str">
        <f>_xll.QS.TRADE.CREATE("trade.9537",E9539,A9539,"Receive")</f>
        <v>QSObject:SwapTrade:w1~trade.9537:21841</v>
      </c>
      <c r="G9539" s="3">
        <f>_xll.QS.EVALUATE(C9539,F9539)</f>
        <v>60382.980475528399</v>
      </c>
      <c r="H9539" s="5" t="s">
        <v>9580</v>
      </c>
      <c r="I9539" s="7">
        <v>1953700</v>
      </c>
      <c r="J9539" s="8">
        <v>3.8700000000000012E-2</v>
      </c>
    </row>
    <row r="9540" spans="1:10" x14ac:dyDescent="0.25">
      <c r="A9540" s="5" t="s">
        <v>9574</v>
      </c>
      <c r="B9540" s="5" t="s">
        <v>11407</v>
      </c>
      <c r="C9540" s="6" t="str">
        <f>_xll.QS.CONTEXT.CREATE("market.9538",A9540,"USD","SOFR")</f>
        <v>QSObject:PricingContext:w1~market.9538:5059</v>
      </c>
      <c r="D9540" s="6" t="str">
        <f>_xll.QS.CONTEXT.ADD.CURVE(C9540,"SOFR",$K$2:$K$7,$L$2:$L$7,,,"Actual360","LogLinear",TRUE)</f>
        <v>QSObject:ContextInput:w1~input.qs_context_add_curve.2359132437744.9539.3.0:13069</v>
      </c>
      <c r="E9540" s="6" t="str">
        <f>_xll.QS.INSTRUMENT.SWAP("swap.9538",H9540,B9540,"USD","SOFR",I9540,J9540,0,"Actual360","Simple","Annual","Annual","Annual")</f>
        <v>QSObject:Swap:w1~swap.9538:437</v>
      </c>
      <c r="F9540" s="6" t="str">
        <f>_xll.QS.TRADE.CREATE("trade.9538",E9540,A9540,"Receive")</f>
        <v>QSObject:SwapTrade:w1~trade.9538:9877</v>
      </c>
      <c r="G9540" s="3">
        <f>_xll.QS.EVALUATE(C9540,F9540)</f>
        <v>61289.064277678714</v>
      </c>
      <c r="H9540" s="5" t="s">
        <v>9581</v>
      </c>
      <c r="I9540" s="7">
        <v>1953800</v>
      </c>
      <c r="J9540" s="8">
        <v>3.8800000000000001E-2</v>
      </c>
    </row>
    <row r="9541" spans="1:10" x14ac:dyDescent="0.25">
      <c r="A9541" s="5" t="s">
        <v>9575</v>
      </c>
      <c r="B9541" s="5" t="s">
        <v>11408</v>
      </c>
      <c r="C9541" s="6" t="str">
        <f>_xll.QS.CONTEXT.CREATE("market.9539",A9541,"USD","SOFR")</f>
        <v>QSObject:PricingContext:w1~market.9539:1939</v>
      </c>
      <c r="D9541" s="6" t="str">
        <f>_xll.QS.CONTEXT.ADD.CURVE(C9541,"SOFR",$K$2:$K$7,$L$2:$L$7,,,"Actual360","LogLinear",TRUE)</f>
        <v>QSObject:ContextInput:w1~input.qs_context_add_curve.2359132437744.9540.3.0:6665</v>
      </c>
      <c r="E9541" s="6" t="str">
        <f>_xll.QS.INSTRUMENT.SWAP("swap.9539",H9541,B9541,"USD","SOFR",I9541,J9541,0,"Actual360","Simple","Annual","Annual","Annual")</f>
        <v>QSObject:Swap:w1~swap.9539:3490</v>
      </c>
      <c r="F9541" s="6" t="str">
        <f>_xll.QS.TRADE.CREATE("trade.9539",E9541,A9541,"Receive")</f>
        <v>QSObject:SwapTrade:w1~trade.9539:18390</v>
      </c>
      <c r="G9541" s="3">
        <f>_xll.QS.EVALUATE(C9541,F9541)</f>
        <v>61950.912212579351</v>
      </c>
      <c r="H9541" s="5" t="s">
        <v>9582</v>
      </c>
      <c r="I9541" s="7">
        <v>1953900</v>
      </c>
      <c r="J9541" s="8">
        <v>3.8899999999999997E-2</v>
      </c>
    </row>
    <row r="9542" spans="1:10" x14ac:dyDescent="0.25">
      <c r="A9542" s="5" t="s">
        <v>9576</v>
      </c>
      <c r="B9542" s="5" t="s">
        <v>11409</v>
      </c>
      <c r="C9542" s="6" t="str">
        <f>_xll.QS.CONTEXT.CREATE("market.9540",A9542,"USD","SOFR")</f>
        <v>QSObject:PricingContext:w1~market.9540:14722</v>
      </c>
      <c r="D9542" s="6" t="str">
        <f>_xll.QS.CONTEXT.ADD.CURVE(C9542,"SOFR",$K$2:$K$7,$L$2:$L$7,,,"Actual360","LogLinear",TRUE)</f>
        <v>QSObject:ContextInput:w1~input.qs_context_add_curve.2359132437744.9541.3.0:16396</v>
      </c>
      <c r="E9542" s="6" t="str">
        <f>_xll.QS.INSTRUMENT.SWAP("swap.9540",H9542,B9542,"USD","SOFR",I9542,J9542,0,"Actual360","Simple","Annual","Annual","Annual")</f>
        <v>QSObject:Swap:w1~swap.9540:8263</v>
      </c>
      <c r="F9542" s="6" t="str">
        <f>_xll.QS.TRADE.CREATE("trade.9540",E9542,A9542,"Receive")</f>
        <v>QSObject:SwapTrade:w1~trade.9540:20088</v>
      </c>
      <c r="G9542" s="3">
        <f>_xll.QS.EVALUATE(C9542,F9542)</f>
        <v>62860.339351299313</v>
      </c>
      <c r="H9542" s="5" t="s">
        <v>9583</v>
      </c>
      <c r="I9542" s="7">
        <v>1954000</v>
      </c>
      <c r="J9542" s="8">
        <v>3.9000000000000007E-2</v>
      </c>
    </row>
    <row r="9543" spans="1:10" x14ac:dyDescent="0.25">
      <c r="A9543" s="5" t="s">
        <v>9577</v>
      </c>
      <c r="B9543" s="5" t="s">
        <v>11410</v>
      </c>
      <c r="C9543" s="6" t="str">
        <f>_xll.QS.CONTEXT.CREATE("market.9541",A9543,"USD","SOFR")</f>
        <v>QSObject:PricingContext:w1~market.9541:17430</v>
      </c>
      <c r="D9543" s="6" t="str">
        <f>_xll.QS.CONTEXT.ADD.CURVE(C9543,"SOFR",$K$2:$K$7,$L$2:$L$7,,,"Actual360","LogLinear",TRUE)</f>
        <v>QSObject:ContextInput:w1~input.qs_context_add_curve.2359132437744.9542.3.0:21840</v>
      </c>
      <c r="E9543" s="6" t="str">
        <f>_xll.QS.INSTRUMENT.SWAP("swap.9541",H9543,B9543,"USD","SOFR",I9543,J9543,0,"Actual360","Simple","Annual","Annual","Annual")</f>
        <v>QSObject:Swap:w1~swap.9541:5058</v>
      </c>
      <c r="F9543" s="6" t="str">
        <f>_xll.QS.TRADE.CREATE("trade.9541",E9543,A9543,"Receive")</f>
        <v>QSObject:SwapTrade:w1~trade.9541:22155</v>
      </c>
      <c r="G9543" s="3">
        <f>_xll.QS.EVALUATE(C9543,F9543)</f>
        <v>63770.104068565415</v>
      </c>
      <c r="H9543" s="5" t="s">
        <v>9584</v>
      </c>
      <c r="I9543" s="7">
        <v>1954100</v>
      </c>
      <c r="J9543" s="8">
        <v>3.9100000000000003E-2</v>
      </c>
    </row>
    <row r="9544" spans="1:10" x14ac:dyDescent="0.25">
      <c r="A9544" s="5" t="s">
        <v>9578</v>
      </c>
      <c r="B9544" s="5" t="s">
        <v>11411</v>
      </c>
      <c r="C9544" s="6" t="str">
        <f>_xll.QS.CONTEXT.CREATE("market.9542",A9544,"USD","SOFR")</f>
        <v>QSObject:PricingContext:w1~market.9542:9876</v>
      </c>
      <c r="D9544" s="6" t="str">
        <f>_xll.QS.CONTEXT.ADD.CURVE(C9544,"SOFR",$K$2:$K$7,$L$2:$L$7,,,"Actual360","LogLinear",TRUE)</f>
        <v>QSObject:ContextInput:w1~input.qs_context_add_curve.2359132437744.9543.3.0:11535</v>
      </c>
      <c r="E9544" s="6" t="str">
        <f>_xll.QS.INSTRUMENT.SWAP("swap.9542",H9544,B9544,"USD","SOFR",I9544,J9544,0,"Actual360","Simple","Annual","Annual","Annual")</f>
        <v>QSObject:Swap:w1~swap.9542:13068</v>
      </c>
      <c r="F9544" s="6" t="str">
        <f>_xll.QS.TRADE.CREATE("trade.9542",E9544,A9544,"Receive")</f>
        <v>QSObject:SwapTrade:w1~trade.9542:14721</v>
      </c>
      <c r="G9544" s="3">
        <f>_xll.QS.EVALUATE(C9544,F9544)</f>
        <v>64817.505073950466</v>
      </c>
      <c r="H9544" s="5" t="s">
        <v>9585</v>
      </c>
      <c r="I9544" s="7">
        <v>1954200</v>
      </c>
      <c r="J9544" s="8">
        <v>3.9200000000000013E-2</v>
      </c>
    </row>
    <row r="9545" spans="1:10" x14ac:dyDescent="0.25">
      <c r="A9545" s="5" t="s">
        <v>9579</v>
      </c>
      <c r="B9545" s="5" t="s">
        <v>11412</v>
      </c>
      <c r="C9545" s="6" t="str">
        <f>_xll.QS.CONTEXT.CREATE("market.9543",A9545,"USD","SOFR")</f>
        <v>QSObject:PricingContext:w1~market.9543:16395</v>
      </c>
      <c r="D9545" s="6" t="str">
        <f>_xll.QS.CONTEXT.ADD.CURVE(C9545,"SOFR",$K$2:$K$7,$L$2:$L$7,,,"Actual360","LogLinear",TRUE)</f>
        <v>QSObject:ContextInput:w1~input.qs_context_add_curve.2359132437744.9544.3.0:18389</v>
      </c>
      <c r="E9545" s="6" t="str">
        <f>_xll.QS.INSTRUMENT.SWAP("swap.9543",H9545,B9545,"USD","SOFR",I9545,J9545,0,"Actual360","Simple","Annual","Annual","Annual")</f>
        <v>QSObject:Swap:w1~swap.9543:8262</v>
      </c>
      <c r="F9545" s="6" t="str">
        <f>_xll.QS.TRADE.CREATE("trade.9543",E9545,A9545,"Receive")</f>
        <v>QSObject:SwapTrade:w1~trade.9543:17429</v>
      </c>
      <c r="G9545" s="3">
        <f>_xll.QS.EVALUATE(C9545,F9545)</f>
        <v>65722.052157674276</v>
      </c>
      <c r="H9545" s="5" t="s">
        <v>9586</v>
      </c>
      <c r="I9545" s="7">
        <v>1954300</v>
      </c>
      <c r="J9545" s="8">
        <v>3.9300000000000002E-2</v>
      </c>
    </row>
    <row r="9546" spans="1:10" x14ac:dyDescent="0.25">
      <c r="A9546" s="5" t="s">
        <v>9580</v>
      </c>
      <c r="B9546" s="5" t="s">
        <v>11413</v>
      </c>
      <c r="C9546" s="6" t="str">
        <f>_xll.QS.CONTEXT.CREATE("market.9544",A9546,"USD","SOFR")</f>
        <v>QSObject:PricingContext:w1~market.9544:1938</v>
      </c>
      <c r="D9546" s="6" t="str">
        <f>_xll.QS.CONTEXT.ADD.CURVE(C9546,"SOFR",$K$2:$K$7,$L$2:$L$7,,,"Actual360","LogLinear",TRUE)</f>
        <v>QSObject:ContextInput:w1~input.qs_context_add_curve.2359132437744.9545.3.0:5057</v>
      </c>
      <c r="E9546" s="6" t="str">
        <f>_xll.QS.INSTRUMENT.SWAP("swap.9544",H9546,B9546,"USD","SOFR",I9546,J9546,0,"Actual360","Simple","Annual","Annual","Annual")</f>
        <v>QSObject:Swap:w1~swap.9544:20087</v>
      </c>
      <c r="F9546" s="6" t="str">
        <f>_xll.QS.TRADE.CREATE("trade.9544",E9546,A9546,"Receive")</f>
        <v>QSObject:SwapTrade:w1~trade.9544:21839</v>
      </c>
      <c r="G9546" s="3">
        <f>_xll.QS.EVALUATE(C9546,F9546)</f>
        <v>66637.342785476038</v>
      </c>
      <c r="H9546" s="5" t="s">
        <v>9587</v>
      </c>
      <c r="I9546" s="7">
        <v>1954400</v>
      </c>
      <c r="J9546" s="8">
        <v>3.9399999999999998E-2</v>
      </c>
    </row>
    <row r="9547" spans="1:10" x14ac:dyDescent="0.25">
      <c r="A9547" s="5" t="s">
        <v>9581</v>
      </c>
      <c r="B9547" s="5" t="s">
        <v>11414</v>
      </c>
      <c r="C9547" s="6" t="str">
        <f>_xll.QS.CONTEXT.CREATE("market.9545",A9547,"USD","SOFR")</f>
        <v>QSObject:PricingContext:w1~market.9545:9875</v>
      </c>
      <c r="D9547" s="6" t="str">
        <f>_xll.QS.CONTEXT.ADD.CURVE(C9547,"SOFR",$K$2:$K$7,$L$2:$L$7,,,"Actual360","LogLinear",TRUE)</f>
        <v>QSObject:ContextInput:w1~input.qs_context_add_curve.2359132437744.9546.3.0:31398</v>
      </c>
      <c r="E9547" s="6" t="str">
        <f>_xll.QS.INSTRUMENT.SWAP("swap.9545",H9547,B9547,"USD","SOFR",I9547,J9547,0,"Actual360","Simple","Annual","Annual","Annual")</f>
        <v>QSObject:Swap:w1~swap.9545:11534</v>
      </c>
      <c r="F9547" s="6" t="str">
        <f>_xll.QS.TRADE.CREATE("trade.9545",E9547,A9547,"Receive")</f>
        <v>QSObject:SwapTrade:w1~trade.9545:22154</v>
      </c>
      <c r="G9547" s="3">
        <f>_xll.QS.EVALUATE(C9547,F9547)</f>
        <v>67544.204640839424</v>
      </c>
      <c r="H9547" s="5" t="s">
        <v>9588</v>
      </c>
      <c r="I9547" s="7">
        <v>1954500</v>
      </c>
      <c r="J9547" s="8">
        <v>3.9500000000000007E-2</v>
      </c>
    </row>
    <row r="9548" spans="1:10" x14ac:dyDescent="0.25">
      <c r="A9548" s="5" t="s">
        <v>9582</v>
      </c>
      <c r="B9548" s="5" t="s">
        <v>11415</v>
      </c>
      <c r="C9548" s="6" t="str">
        <f>_xll.QS.CONTEXT.CREATE("market.9546",A9548,"USD","SOFR")</f>
        <v>QSObject:PricingContext:w1~market.9546:18388</v>
      </c>
      <c r="D9548" s="6" t="str">
        <f>_xll.QS.CONTEXT.ADD.CURVE(C9548,"SOFR",$K$2:$K$7,$L$2:$L$7,,,"Actual360","LogLinear",TRUE)</f>
        <v>QSObject:ContextInput:w1~input.qs_context_add_curve.2359132437744.9547.3.0:31397</v>
      </c>
      <c r="E9548" s="6" t="str">
        <f>_xll.QS.INSTRUMENT.SWAP("swap.9546",H9548,B9548,"USD","SOFR",I9548,J9548,0,"Actual360","Simple","Annual","Annual","Annual")</f>
        <v>QSObject:Swap:w1~swap.9546:14720</v>
      </c>
      <c r="F9548" s="6" t="str">
        <f>_xll.QS.TRADE.CREATE("trade.9546",E9548,A9548,"Receive")</f>
        <v>QSObject:SwapTrade:w1~trade.9546:22153</v>
      </c>
      <c r="G9548" s="3">
        <f>_xll.QS.EVALUATE(C9548,F9548)</f>
        <v>68326.667622235269</v>
      </c>
      <c r="H9548" s="5" t="s">
        <v>9589</v>
      </c>
      <c r="I9548" s="7">
        <v>1954600</v>
      </c>
      <c r="J9548" s="8">
        <v>3.9600000000000003E-2</v>
      </c>
    </row>
    <row r="9549" spans="1:10" x14ac:dyDescent="0.25">
      <c r="A9549" s="5" t="s">
        <v>9583</v>
      </c>
      <c r="B9549" s="5" t="s">
        <v>11416</v>
      </c>
      <c r="C9549" s="6" t="str">
        <f>_xll.QS.CONTEXT.CREATE("market.9547",A9549,"USD","SOFR")</f>
        <v>QSObject:PricingContext:w1~market.9547:16394</v>
      </c>
      <c r="D9549" s="6" t="str">
        <f>_xll.QS.CONTEXT.ADD.CURVE(C9549,"SOFR",$K$2:$K$7,$L$2:$L$7,,,"Actual360","LogLinear",TRUE)</f>
        <v>QSObject:ContextInput:w1~input.qs_context_add_curve.2359132437744.9548.3.0:17428</v>
      </c>
      <c r="E9549" s="6" t="str">
        <f>_xll.QS.INSTRUMENT.SWAP("swap.9547",H9549,B9549,"USD","SOFR",I9549,J9549,0,"Actual360","Simple","Annual","Annual","Annual")</f>
        <v>QSObject:Swap:w1~swap.9547:5056</v>
      </c>
      <c r="F9549" s="6" t="str">
        <f>_xll.QS.TRADE.CREATE("trade.9547",E9549,A9549,"Receive")</f>
        <v>QSObject:SwapTrade:w1~trade.9547:20086</v>
      </c>
      <c r="G9549" s="3">
        <f>_xll.QS.EVALUATE(C9549,F9549)</f>
        <v>69235.971617401505</v>
      </c>
      <c r="H9549" s="5" t="s">
        <v>9590</v>
      </c>
      <c r="I9549" s="7">
        <v>1954700</v>
      </c>
      <c r="J9549" s="8">
        <v>3.9700000000000013E-2</v>
      </c>
    </row>
    <row r="9550" spans="1:10" x14ac:dyDescent="0.25">
      <c r="A9550" s="5" t="s">
        <v>9584</v>
      </c>
      <c r="B9550" s="5" t="s">
        <v>11416</v>
      </c>
      <c r="C9550" s="6" t="str">
        <f>_xll.QS.CONTEXT.CREATE("market.9548",A9550,"USD","SOFR")</f>
        <v>QSObject:PricingContext:w1~market.9548:9874</v>
      </c>
      <c r="D9550" s="6" t="str">
        <f>_xll.QS.CONTEXT.ADD.CURVE(C9550,"SOFR",$K$2:$K$7,$L$2:$L$7,,,"Actual360","LogLinear",TRUE)</f>
        <v>QSObject:ContextInput:w1~input.qs_context_add_curve.2359132437744.9549.3.0:22152</v>
      </c>
      <c r="E9550" s="6" t="str">
        <f>_xll.QS.INSTRUMENT.SWAP("swap.9548",H9550,B9550,"USD","SOFR",I9550,J9550,0,"Actual360","Simple","Annual","Annual","Annual")</f>
        <v>QSObject:Swap:w1~swap.9548:21838</v>
      </c>
      <c r="F9550" s="6" t="str">
        <f>_xll.QS.TRADE.CREATE("trade.9548",E9550,A9550,"Receive")</f>
        <v>QSObject:SwapTrade:w1~trade.9548:22151</v>
      </c>
      <c r="G9550" s="3">
        <f>_xll.QS.EVALUATE(C9550,F9550)</f>
        <v>70224.723281068465</v>
      </c>
      <c r="H9550" s="5" t="s">
        <v>11417</v>
      </c>
      <c r="I9550" s="7">
        <v>1954800</v>
      </c>
      <c r="J9550" s="8">
        <v>3.9800000000000002E-2</v>
      </c>
    </row>
    <row r="9551" spans="1:10" x14ac:dyDescent="0.25">
      <c r="A9551" s="5" t="s">
        <v>9585</v>
      </c>
      <c r="B9551" s="5" t="s">
        <v>11418</v>
      </c>
      <c r="C9551" s="6" t="str">
        <f>_xll.QS.CONTEXT.CREATE("market.9549",A9551,"USD","SOFR")</f>
        <v>QSObject:PricingContext:w1~market.9549:13067</v>
      </c>
      <c r="D9551" s="6" t="str">
        <f>_xll.QS.CONTEXT.ADD.CURVE(C9551,"SOFR",$K$2:$K$7,$L$2:$L$7,,,"Actual360","LogLinear",TRUE)</f>
        <v>QSObject:ContextInput:w1~input.qs_context_add_curve.2359132437744.9550.3.0:31396</v>
      </c>
      <c r="E9551" s="6" t="str">
        <f>_xll.QS.INSTRUMENT.SWAP("swap.9549",H9551,B9551,"USD","SOFR",I9551,J9551,0,"Actual360","Simple","Annual","Annual","Annual")</f>
        <v>QSObject:Swap:w1~swap.9549:436</v>
      </c>
      <c r="F9551" s="6" t="str">
        <f>_xll.QS.TRADE.CREATE("trade.9549",E9551,A9551,"Receive")</f>
        <v>QSObject:SwapTrade:w1~trade.9549:14719</v>
      </c>
      <c r="G9551" s="3">
        <f>_xll.QS.EVALUATE(C9551,F9551)</f>
        <v>71193.662728830386</v>
      </c>
      <c r="H9551" s="5" t="s">
        <v>9591</v>
      </c>
      <c r="I9551" s="7">
        <v>1954900</v>
      </c>
      <c r="J9551" s="8">
        <v>3.9899999999999998E-2</v>
      </c>
    </row>
    <row r="9552" spans="1:10" x14ac:dyDescent="0.25">
      <c r="A9552" s="5" t="s">
        <v>9586</v>
      </c>
      <c r="B9552" s="5" t="s">
        <v>11419</v>
      </c>
      <c r="C9552" s="6" t="str">
        <f>_xll.QS.CONTEXT.CREATE("market.9550",A9552,"USD","SOFR")</f>
        <v>QSObject:PricingContext:w1~market.9550:18387</v>
      </c>
      <c r="D9552" s="6" t="str">
        <f>_xll.QS.CONTEXT.ADD.CURVE(C9552,"SOFR",$K$2:$K$7,$L$2:$L$7,,,"Actual360","LogLinear",TRUE)</f>
        <v>QSObject:ContextInput:w1~input.qs_context_add_curve.2359132437744.9551.3.0:31395</v>
      </c>
      <c r="E9552" s="6" t="str">
        <f>_xll.QS.INSTRUMENT.SWAP("swap.9550",H9552,B9552,"USD","SOFR",I9552,J9552,0,"Actual360","Simple","Annual","Annual","Annual")</f>
        <v>QSObject:Swap:w1~swap.9550:3489</v>
      </c>
      <c r="F9552" s="6" t="str">
        <f>_xll.QS.TRADE.CREATE("trade.9550",E9552,A9552,"Receive")</f>
        <v>QSObject:SwapTrade:w1~trade.9550:17427</v>
      </c>
      <c r="G9552" s="3">
        <f>_xll.QS.EVALUATE(C9552,F9552)</f>
        <v>27021.727696536364</v>
      </c>
      <c r="H9552" s="5" t="s">
        <v>9592</v>
      </c>
      <c r="I9552" s="7">
        <v>1955000</v>
      </c>
      <c r="J9552" s="8">
        <v>3.5000000000000003E-2</v>
      </c>
    </row>
    <row r="9553" spans="1:10" x14ac:dyDescent="0.25">
      <c r="A9553" s="5" t="s">
        <v>9587</v>
      </c>
      <c r="B9553" s="5" t="s">
        <v>11420</v>
      </c>
      <c r="C9553" s="6" t="str">
        <f>_xll.QS.CONTEXT.CREATE("market.9551",A9553,"USD","SOFR")</f>
        <v>QSObject:PricingContext:w1~market.9551:20085</v>
      </c>
      <c r="D9553" s="6" t="str">
        <f>_xll.QS.CONTEXT.ADD.CURVE(C9553,"SOFR",$K$2:$K$7,$L$2:$L$7,,,"Actual360","LogLinear",TRUE)</f>
        <v>QSObject:ContextInput:w1~input.qs_context_add_curve.2359132437744.9552.3.0:31394</v>
      </c>
      <c r="E9553" s="6" t="str">
        <f>_xll.QS.INSTRUMENT.SWAP("swap.9551",H9553,B9553,"USD","SOFR",I9553,J9553,0,"Actual360","Simple","Annual","Annual","Annual")</f>
        <v>QSObject:Swap:w1~swap.9551:16393</v>
      </c>
      <c r="F9553" s="6" t="str">
        <f>_xll.QS.TRADE.CREATE("trade.9551",E9553,A9553,"Receive")</f>
        <v>QSObject:SwapTrade:w1~trade.9551:22150</v>
      </c>
      <c r="G9553" s="3">
        <f>_xll.QS.EVALUATE(C9553,F9553)</f>
        <v>27856.098873048351</v>
      </c>
      <c r="H9553" s="5" t="s">
        <v>9593</v>
      </c>
      <c r="I9553" s="7">
        <v>1955100</v>
      </c>
      <c r="J9553" s="8">
        <v>3.5100000000000013E-2</v>
      </c>
    </row>
    <row r="9554" spans="1:10" x14ac:dyDescent="0.25">
      <c r="A9554" s="5" t="s">
        <v>9588</v>
      </c>
      <c r="B9554" s="5" t="s">
        <v>11421</v>
      </c>
      <c r="C9554" s="6" t="str">
        <f>_xll.QS.CONTEXT.CREATE("market.9552",A9554,"USD","SOFR")</f>
        <v>QSObject:PricingContext:w1~market.9552:21837</v>
      </c>
      <c r="D9554" s="6" t="str">
        <f>_xll.QS.CONTEXT.ADD.CURVE(C9554,"SOFR",$K$2:$K$7,$L$2:$L$7,,,"Actual360","LogLinear",TRUE)</f>
        <v>QSObject:ContextInput:w1~input.qs_context_add_curve.2359132437744.9553.3.0:31393</v>
      </c>
      <c r="E9554" s="6" t="str">
        <f>_xll.QS.INSTRUMENT.SWAP("swap.9552",H9554,B9554,"USD","SOFR",I9554,J9554,0,"Actual360","Simple","Annual","Annual","Annual")</f>
        <v>QSObject:Swap:w1~swap.9552:13066</v>
      </c>
      <c r="F9554" s="6" t="str">
        <f>_xll.QS.TRADE.CREATE("trade.9552",E9554,A9554,"Receive")</f>
        <v>QSObject:SwapTrade:w1~trade.9552:14718</v>
      </c>
      <c r="G9554" s="3">
        <f>_xll.QS.EVALUATE(C9554,F9554)</f>
        <v>28763.37371912886</v>
      </c>
      <c r="H9554" s="5" t="s">
        <v>9594</v>
      </c>
      <c r="I9554" s="7">
        <v>1955200</v>
      </c>
      <c r="J9554" s="8">
        <v>3.5200000000000002E-2</v>
      </c>
    </row>
    <row r="9555" spans="1:10" x14ac:dyDescent="0.25">
      <c r="A9555" s="5" t="s">
        <v>9589</v>
      </c>
      <c r="B9555" s="5" t="s">
        <v>11422</v>
      </c>
      <c r="C9555" s="6" t="str">
        <f>_xll.QS.CONTEXT.CREATE("market.9553",A9555,"USD","SOFR")</f>
        <v>QSObject:PricingContext:w1~market.9553:435</v>
      </c>
      <c r="D9555" s="6" t="str">
        <f>_xll.QS.CONTEXT.ADD.CURVE(C9555,"SOFR",$K$2:$K$7,$L$2:$L$7,,,"Actual360","LogLinear",TRUE)</f>
        <v>QSObject:ContextInput:w1~input.qs_context_add_curve.2359132437744.9554.3.0:11533</v>
      </c>
      <c r="E9555" s="6" t="str">
        <f>_xll.QS.INSTRUMENT.SWAP("swap.9553",H9555,B9555,"USD","SOFR",I9555,J9555,0,"Actual360","Simple","Annual","Annual","Annual")</f>
        <v>QSObject:Swap:w1~swap.9553:3488</v>
      </c>
      <c r="F9555" s="6" t="str">
        <f>_xll.QS.TRADE.CREATE("trade.9553",E9555,A9555,"Receive")</f>
        <v>QSObject:SwapTrade:w1~trade.9553:6664</v>
      </c>
      <c r="G9555" s="3">
        <f>_xll.QS.EVALUATE(C9555,F9555)</f>
        <v>29549.170529197196</v>
      </c>
      <c r="H9555" s="5" t="s">
        <v>9595</v>
      </c>
      <c r="I9555" s="7">
        <v>1955300</v>
      </c>
      <c r="J9555" s="8">
        <v>3.5299999999999998E-2</v>
      </c>
    </row>
    <row r="9556" spans="1:10" x14ac:dyDescent="0.25">
      <c r="A9556" s="5" t="s">
        <v>9590</v>
      </c>
      <c r="B9556" s="5" t="s">
        <v>11423</v>
      </c>
      <c r="C9556" s="6" t="str">
        <f>_xll.QS.CONTEXT.CREATE("market.9554",A9556,"USD","SOFR")</f>
        <v>QSObject:PricingContext:w1~market.9554:20084</v>
      </c>
      <c r="D9556" s="6" t="str">
        <f>_xll.QS.CONTEXT.ADD.CURVE(C9556,"SOFR",$K$2:$K$7,$L$2:$L$7,,,"Actual360","LogLinear",TRUE)</f>
        <v>QSObject:ContextInput:w1~input.qs_context_add_curve.2359132437744.9555.3.0:21836</v>
      </c>
      <c r="E9556" s="6" t="str">
        <f>_xll.QS.INSTRUMENT.SWAP("swap.9554",H9556,B9556,"USD","SOFR",I9556,J9556,0,"Actual360","Simple","Annual","Annual","Annual")</f>
        <v>QSObject:Swap:w1~swap.9554:18386</v>
      </c>
      <c r="F9556" s="6" t="str">
        <f>_xll.QS.TRADE.CREATE("trade.9554",E9556,A9556,"Receive")</f>
        <v>QSObject:SwapTrade:w1~trade.9554:22149</v>
      </c>
      <c r="G9556" s="3">
        <f>_xll.QS.EVALUATE(C9556,F9556)</f>
        <v>30276.601119278988</v>
      </c>
      <c r="H9556" s="5" t="s">
        <v>9596</v>
      </c>
      <c r="I9556" s="7">
        <v>1955400</v>
      </c>
      <c r="J9556" s="8">
        <v>3.5400000000000001E-2</v>
      </c>
    </row>
    <row r="9557" spans="1:10" x14ac:dyDescent="0.25">
      <c r="A9557" s="5" t="s">
        <v>11417</v>
      </c>
      <c r="B9557" s="5" t="s">
        <v>11424</v>
      </c>
      <c r="C9557" s="6" t="str">
        <f>_xll.QS.CONTEXT.CREATE("market.9555",A9557,"USD","SOFR")</f>
        <v>QSObject:PricingContext:w1~market.9555:16392</v>
      </c>
      <c r="D9557" s="6" t="str">
        <f>_xll.QS.CONTEXT.ADD.CURVE(C9557,"SOFR",$K$2:$K$7,$L$2:$L$7,,,"Actual360","LogLinear",TRUE)</f>
        <v>QSObject:ContextInput:w1~input.qs_context_add_curve.2359132437744.9556.3.0:22148</v>
      </c>
      <c r="E9557" s="6" t="str">
        <f>_xll.QS.INSTRUMENT.SWAP("swap.9555",H9557,B9557,"USD","SOFR",I9557,J9557,0,"Actual360","Simple","Annual","Annual","Annual")</f>
        <v>QSObject:Swap:w1~swap.9555:17426</v>
      </c>
      <c r="F9557" s="6" t="str">
        <f>_xll.QS.TRADE.CREATE("trade.9555",E9557,A9557,"Receive")</f>
        <v>QSObject:SwapTrade:w1~trade.9555:22147</v>
      </c>
      <c r="G9557" s="3">
        <f>_xll.QS.EVALUATE(C9557,F9557)</f>
        <v>31260.885080321852</v>
      </c>
      <c r="H9557" s="5" t="s">
        <v>9597</v>
      </c>
      <c r="I9557" s="7">
        <v>1955500</v>
      </c>
      <c r="J9557" s="8">
        <v>3.5499999999999997E-2</v>
      </c>
    </row>
    <row r="9558" spans="1:10" x14ac:dyDescent="0.25">
      <c r="A9558" s="5" t="s">
        <v>9591</v>
      </c>
      <c r="B9558" s="5" t="s">
        <v>11425</v>
      </c>
      <c r="C9558" s="6" t="str">
        <f>_xll.QS.CONTEXT.CREATE("market.9556",A9558,"USD","SOFR")</f>
        <v>QSObject:PricingContext:w1~market.9556:434</v>
      </c>
      <c r="D9558" s="6" t="str">
        <f>_xll.QS.CONTEXT.ADD.CURVE(C9558,"SOFR",$K$2:$K$7,$L$2:$L$7,,,"Actual360","LogLinear",TRUE)</f>
        <v>QSObject:ContextInput:w1~input.qs_context_add_curve.2359132437744.9557.3.0:20083</v>
      </c>
      <c r="E9558" s="6" t="str">
        <f>_xll.QS.INSTRUMENT.SWAP("swap.9556",H9558,B9558,"USD","SOFR",I9558,J9558,0,"Actual360","Simple","Annual","Annual","Annual")</f>
        <v>QSObject:Swap:w1~swap.9556:14717</v>
      </c>
      <c r="F9558" s="6" t="str">
        <f>_xll.QS.TRADE.CREATE("trade.9556",E9558,A9558,"Receive")</f>
        <v>QSObject:SwapTrade:w1~trade.9556:22146</v>
      </c>
      <c r="G9558" s="3">
        <f>_xll.QS.EVALUATE(C9558,F9558)</f>
        <v>32223.799988500439</v>
      </c>
      <c r="H9558" s="5" t="s">
        <v>9598</v>
      </c>
      <c r="I9558" s="7">
        <v>1955600</v>
      </c>
      <c r="J9558" s="8">
        <v>3.5600000000000007E-2</v>
      </c>
    </row>
    <row r="9559" spans="1:10" x14ac:dyDescent="0.25">
      <c r="A9559" s="5" t="s">
        <v>9592</v>
      </c>
      <c r="B9559" s="5" t="s">
        <v>11426</v>
      </c>
      <c r="C9559" s="6" t="str">
        <f>_xll.QS.CONTEXT.CREATE("market.9557",A9559,"USD","SOFR")</f>
        <v>QSObject:PricingContext:w1~market.9557:13065</v>
      </c>
      <c r="D9559" s="6" t="str">
        <f>_xll.QS.CONTEXT.ADD.CURVE(C9559,"SOFR",$K$2:$K$7,$L$2:$L$7,,,"Actual360","LogLinear",TRUE)</f>
        <v>QSObject:ContextInput:w1~input.qs_context_add_curve.2359132437744.9558.3.0:31392</v>
      </c>
      <c r="E9559" s="6" t="str">
        <f>_xll.QS.INSTRUMENT.SWAP("swap.9557",H9559,B9559,"USD","SOFR",I9559,J9559,0,"Actual360","Simple","Annual","Annual","Annual")</f>
        <v>QSObject:Swap:w1~swap.9557:6663</v>
      </c>
      <c r="F9559" s="6" t="str">
        <f>_xll.QS.TRADE.CREATE("trade.9557",E9559,A9559,"Receive")</f>
        <v>QSObject:SwapTrade:w1~trade.9557:8261</v>
      </c>
      <c r="G9559" s="3">
        <f>_xll.QS.EVALUATE(C9559,F9559)</f>
        <v>33269.911176059271</v>
      </c>
      <c r="H9559" s="5" t="s">
        <v>9599</v>
      </c>
      <c r="I9559" s="7">
        <v>1955700</v>
      </c>
      <c r="J9559" s="8">
        <v>3.5700000000000003E-2</v>
      </c>
    </row>
    <row r="9560" spans="1:10" x14ac:dyDescent="0.25">
      <c r="A9560" s="5" t="s">
        <v>9593</v>
      </c>
      <c r="B9560" s="5" t="s">
        <v>11427</v>
      </c>
      <c r="C9560" s="6" t="str">
        <f>_xll.QS.CONTEXT.CREATE("market.9558",A9560,"USD","SOFR")</f>
        <v>QSObject:PricingContext:w1~market.9558:18385</v>
      </c>
      <c r="D9560" s="6" t="str">
        <f>_xll.QS.CONTEXT.ADD.CURVE(C9560,"SOFR",$K$2:$K$7,$L$2:$L$7,,,"Actual360","LogLinear",TRUE)</f>
        <v>QSObject:ContextInput:w1~input.qs_context_add_curve.2359132437744.9559.3.0:22145</v>
      </c>
      <c r="E9560" s="6" t="str">
        <f>_xll.QS.INSTRUMENT.SWAP("swap.9558",H9560,B9560,"USD","SOFR",I9560,J9560,0,"Actual360","Simple","Annual","Annual","Annual")</f>
        <v>QSObject:Swap:w1~swap.9558:21835</v>
      </c>
      <c r="F9560" s="6" t="str">
        <f>_xll.QS.TRADE.CREATE("trade.9558",E9560,A9560,"Receive")</f>
        <v>QSObject:SwapTrade:w1~trade.9558:22144</v>
      </c>
      <c r="G9560" s="3">
        <f>_xll.QS.EVALUATE(C9560,F9560)</f>
        <v>34258.786298893217</v>
      </c>
      <c r="H9560" s="5" t="s">
        <v>9600</v>
      </c>
      <c r="I9560" s="7">
        <v>1955800</v>
      </c>
      <c r="J9560" s="8">
        <v>3.5800000000000012E-2</v>
      </c>
    </row>
    <row r="9561" spans="1:10" x14ac:dyDescent="0.25">
      <c r="A9561" s="5" t="s">
        <v>9594</v>
      </c>
      <c r="B9561" s="5" t="s">
        <v>11428</v>
      </c>
      <c r="C9561" s="6" t="str">
        <f>_xll.QS.CONTEXT.CREATE("market.9559",A9561,"USD","SOFR")</f>
        <v>QSObject:PricingContext:w1~market.9559:14716</v>
      </c>
      <c r="D9561" s="6" t="str">
        <f>_xll.QS.CONTEXT.ADD.CURVE(C9561,"SOFR",$K$2:$K$7,$L$2:$L$7,,,"Actual360","LogLinear",TRUE)</f>
        <v>QSObject:ContextInput:w1~input.qs_context_add_curve.2359132437744.9560.3.0:17425</v>
      </c>
      <c r="E9561" s="6" t="str">
        <f>_xll.QS.INSTRUMENT.SWAP("swap.9559",H9561,B9561,"USD","SOFR",I9561,J9561,0,"Actual360","Simple","Annual","Annual","Annual")</f>
        <v>QSObject:Swap:w1~swap.9559:9873</v>
      </c>
      <c r="F9561" s="6" t="str">
        <f>_xll.QS.TRADE.CREATE("trade.9559",E9561,A9561,"Receive")</f>
        <v>QSObject:SwapTrade:w1~trade.9559:13064</v>
      </c>
      <c r="G9561" s="3">
        <f>_xll.QS.EVALUATE(C9561,F9561)</f>
        <v>35087.266735918703</v>
      </c>
      <c r="H9561" s="5" t="s">
        <v>9601</v>
      </c>
      <c r="I9561" s="7">
        <v>1955900</v>
      </c>
      <c r="J9561" s="8">
        <v>3.5900000000000001E-2</v>
      </c>
    </row>
    <row r="9562" spans="1:10" x14ac:dyDescent="0.25">
      <c r="A9562" s="5" t="s">
        <v>9595</v>
      </c>
      <c r="B9562" s="5" t="s">
        <v>11429</v>
      </c>
      <c r="C9562" s="6" t="str">
        <f>_xll.QS.CONTEXT.CREATE("market.9560",A9562,"USD","SOFR")</f>
        <v>QSObject:PricingContext:w1~market.9560:433</v>
      </c>
      <c r="D9562" s="6" t="str">
        <f>_xll.QS.CONTEXT.ADD.CURVE(C9562,"SOFR",$K$2:$K$7,$L$2:$L$7,,,"Actual360","LogLinear",TRUE)</f>
        <v>QSObject:ContextInput:w1~input.qs_context_add_curve.2359132437744.9561.3.0:5055</v>
      </c>
      <c r="E9562" s="6" t="str">
        <f>_xll.QS.INSTRUMENT.SWAP("swap.9560",H9562,B9562,"USD","SOFR",I9562,J9562,0,"Actual360","Simple","Annual","Annual","Annual")</f>
        <v>QSObject:Swap:w1~swap.9560:11532</v>
      </c>
      <c r="F9562" s="6" t="str">
        <f>_xll.QS.TRADE.CREATE("trade.9560",E9562,A9562,"Receive")</f>
        <v>QSObject:SwapTrade:w1~trade.9560:16391</v>
      </c>
      <c r="G9562" s="3">
        <f>_xll.QS.EVALUATE(C9562,F9562)</f>
        <v>35866.231820699082</v>
      </c>
      <c r="H9562" s="5" t="s">
        <v>9602</v>
      </c>
      <c r="I9562" s="7">
        <v>1956000</v>
      </c>
      <c r="J9562" s="8">
        <v>3.5999999999999997E-2</v>
      </c>
    </row>
    <row r="9563" spans="1:10" x14ac:dyDescent="0.25">
      <c r="A9563" s="5" t="s">
        <v>9596</v>
      </c>
      <c r="B9563" s="5" t="s">
        <v>11430</v>
      </c>
      <c r="C9563" s="6" t="str">
        <f>_xll.QS.CONTEXT.CREATE("market.9561",A9563,"USD","SOFR")</f>
        <v>QSObject:PricingContext:w1~market.9561:1937</v>
      </c>
      <c r="D9563" s="6" t="str">
        <f>_xll.QS.CONTEXT.ADD.CURVE(C9563,"SOFR",$K$2:$K$7,$L$2:$L$7,,,"Actual360","LogLinear",TRUE)</f>
        <v>QSObject:ContextInput:w1~input.qs_context_add_curve.2359132437744.9562.3.0:18384</v>
      </c>
      <c r="E9563" s="6" t="str">
        <f>_xll.QS.INSTRUMENT.SWAP("swap.9561",H9563,B9563,"USD","SOFR",I9563,J9563,0,"Actual360","Simple","Annual","Annual","Annual")</f>
        <v>QSObject:Swap:w1~swap.9561:8260</v>
      </c>
      <c r="F9563" s="6" t="str">
        <f>_xll.QS.TRADE.CREATE("trade.9561",E9563,A9563,"Receive")</f>
        <v>QSObject:SwapTrade:w1~trade.9561:14715</v>
      </c>
      <c r="G9563" s="3">
        <f>_xll.QS.EVALUATE(C9563,F9563)</f>
        <v>36604.033841575481</v>
      </c>
      <c r="H9563" s="5" t="s">
        <v>9603</v>
      </c>
      <c r="I9563" s="7">
        <v>1956100</v>
      </c>
      <c r="J9563" s="8">
        <v>3.61E-2</v>
      </c>
    </row>
    <row r="9564" spans="1:10" x14ac:dyDescent="0.25">
      <c r="A9564" s="5" t="s">
        <v>9597</v>
      </c>
      <c r="B9564" s="5" t="s">
        <v>11431</v>
      </c>
      <c r="C9564" s="6" t="str">
        <f>_xll.QS.CONTEXT.CREATE("market.9562",A9564,"USD","SOFR")</f>
        <v>QSObject:PricingContext:w1~market.9562:6662</v>
      </c>
      <c r="D9564" s="6" t="str">
        <f>_xll.QS.CONTEXT.ADD.CURVE(C9564,"SOFR",$K$2:$K$7,$L$2:$L$7,,,"Actual360","LogLinear",TRUE)</f>
        <v>QSObject:ContextInput:w1~input.qs_context_add_curve.2359132437744.9563.3.0:20082</v>
      </c>
      <c r="E9564" s="6" t="str">
        <f>_xll.QS.INSTRUMENT.SWAP("swap.9562",H9564,B9564,"USD","SOFR",I9564,J9564,0,"Actual360","Simple","Annual","Annual","Annual")</f>
        <v>QSObject:Swap:w1~swap.9562:21834</v>
      </c>
      <c r="F9564" s="6" t="str">
        <f>_xll.QS.TRADE.CREATE("trade.9562",E9564,A9564,"Receive")</f>
        <v>QSObject:SwapTrade:w1~trade.9562:22143</v>
      </c>
      <c r="G9564" s="3">
        <f>_xll.QS.EVALUATE(C9564,F9564)</f>
        <v>37589.60419683448</v>
      </c>
      <c r="H9564" s="5" t="s">
        <v>9604</v>
      </c>
      <c r="I9564" s="7">
        <v>1956200</v>
      </c>
      <c r="J9564" s="8">
        <v>3.6200000000000003E-2</v>
      </c>
    </row>
    <row r="9565" spans="1:10" x14ac:dyDescent="0.25">
      <c r="A9565" s="5" t="s">
        <v>9598</v>
      </c>
      <c r="B9565" s="5" t="s">
        <v>11432</v>
      </c>
      <c r="C9565" s="6" t="str">
        <f>_xll.QS.CONTEXT.CREATE("market.9563",A9565,"USD","SOFR")</f>
        <v>QSObject:PricingContext:w1~market.9563:432</v>
      </c>
      <c r="D9565" s="6" t="str">
        <f>_xll.QS.CONTEXT.ADD.CURVE(C9565,"SOFR",$K$2:$K$7,$L$2:$L$7,,,"Actual360","LogLinear",TRUE)</f>
        <v>QSObject:ContextInput:w1~input.qs_context_add_curve.2359132437744.9564.3.0:13063</v>
      </c>
      <c r="E9565" s="6" t="str">
        <f>_xll.QS.INSTRUMENT.SWAP("swap.9563",H9565,B9565,"USD","SOFR",I9565,J9565,0,"Actual360","Simple","Annual","Annual","Annual")</f>
        <v>QSObject:Swap:w1~swap.9563:17424</v>
      </c>
      <c r="F9565" s="6" t="str">
        <f>_xll.QS.TRADE.CREATE("trade.9563",E9565,A9565,"Receive")</f>
        <v>QSObject:SwapTrade:w1~trade.9563:22142</v>
      </c>
      <c r="G9565" s="3">
        <f>_xll.QS.EVALUATE(C9565,F9565)</f>
        <v>38550.122771331975</v>
      </c>
      <c r="H9565" s="5" t="s">
        <v>9605</v>
      </c>
      <c r="I9565" s="7">
        <v>1956300</v>
      </c>
      <c r="J9565" s="8">
        <v>3.6300000000000013E-2</v>
      </c>
    </row>
    <row r="9566" spans="1:10" x14ac:dyDescent="0.25">
      <c r="A9566" s="5" t="s">
        <v>9599</v>
      </c>
      <c r="B9566" s="5" t="s">
        <v>11433</v>
      </c>
      <c r="C9566" s="6" t="str">
        <f>_xll.QS.CONTEXT.CREATE("market.9564",A9566,"USD","SOFR")</f>
        <v>QSObject:PricingContext:w1~market.9564:5054</v>
      </c>
      <c r="D9566" s="6" t="str">
        <f>_xll.QS.CONTEXT.ADD.CURVE(C9566,"SOFR",$K$2:$K$7,$L$2:$L$7,,,"Actual360","LogLinear",TRUE)</f>
        <v>QSObject:ContextInput:w1~input.qs_context_add_curve.2359132437744.9565.3.0:11531</v>
      </c>
      <c r="E9566" s="6" t="str">
        <f>_xll.QS.INSTRUMENT.SWAP("swap.9564",H9566,B9566,"USD","SOFR",I9566,J9566,0,"Actual360","Simple","Annual","Annual","Annual")</f>
        <v>QSObject:Swap:w1~swap.9564:16390</v>
      </c>
      <c r="F9566" s="6" t="str">
        <f>_xll.QS.TRADE.CREATE("trade.9564",E9566,A9566,"Receive")</f>
        <v>QSObject:SwapTrade:w1~trade.9564:18383</v>
      </c>
      <c r="G9566" s="3">
        <f>_xll.QS.EVALUATE(C9566,F9566)</f>
        <v>39597.024298200522</v>
      </c>
      <c r="H9566" s="5" t="s">
        <v>9606</v>
      </c>
      <c r="I9566" s="7">
        <v>1956400</v>
      </c>
      <c r="J9566" s="8">
        <v>3.6400000000000002E-2</v>
      </c>
    </row>
    <row r="9567" spans="1:10" x14ac:dyDescent="0.25">
      <c r="A9567" s="5" t="s">
        <v>9600</v>
      </c>
      <c r="B9567" s="5" t="s">
        <v>11434</v>
      </c>
      <c r="C9567" s="6" t="str">
        <f>_xll.QS.CONTEXT.CREATE("market.9565",A9567,"USD","SOFR")</f>
        <v>QSObject:PricingContext:w1~market.9565:1936</v>
      </c>
      <c r="D9567" s="6" t="str">
        <f>_xll.QS.CONTEXT.ADD.CURVE(C9567,"SOFR",$K$2:$K$7,$L$2:$L$7,,,"Actual360","LogLinear",TRUE)</f>
        <v>QSObject:ContextInput:w1~input.qs_context_add_curve.2359132437744.9566.3.0:14714</v>
      </c>
      <c r="E9567" s="6" t="str">
        <f>_xll.QS.INSTRUMENT.SWAP("swap.9565",H9567,B9567,"USD","SOFR",I9567,J9567,0,"Actual360","Simple","Annual","Annual","Annual")</f>
        <v>QSObject:Swap:w1~swap.9565:8259</v>
      </c>
      <c r="F9567" s="6" t="str">
        <f>_xll.QS.TRADE.CREATE("trade.9565",E9567,A9567,"Receive")</f>
        <v>QSObject:SwapTrade:w1~trade.9565:20081</v>
      </c>
      <c r="G9567" s="3">
        <f>_xll.QS.EVALUATE(C9567,F9567)</f>
        <v>40586.648050995893</v>
      </c>
      <c r="H9567" s="5" t="s">
        <v>9607</v>
      </c>
      <c r="I9567" s="7">
        <v>1956500</v>
      </c>
      <c r="J9567" s="8">
        <v>3.6499999999999998E-2</v>
      </c>
    </row>
    <row r="9568" spans="1:10" x14ac:dyDescent="0.25">
      <c r="A9568" s="5" t="s">
        <v>9601</v>
      </c>
      <c r="B9568" s="5" t="s">
        <v>11435</v>
      </c>
      <c r="C9568" s="6" t="str">
        <f>_xll.QS.CONTEXT.CREATE("market.9566",A9568,"USD","SOFR")</f>
        <v>QSObject:PricingContext:w1~market.9566:17423</v>
      </c>
      <c r="D9568" s="6" t="str">
        <f>_xll.QS.CONTEXT.ADD.CURVE(C9568,"SOFR",$K$2:$K$7,$L$2:$L$7,,,"Actual360","LogLinear",TRUE)</f>
        <v>QSObject:ContextInput:w1~input.qs_context_add_curve.2359132437744.9567.3.0:22141</v>
      </c>
      <c r="E9568" s="6" t="str">
        <f>_xll.QS.INSTRUMENT.SWAP("swap.9566",H9568,B9568,"USD","SOFR",I9568,J9568,0,"Actual360","Simple","Annual","Annual","Annual")</f>
        <v>QSObject:Swap:w1~swap.9566:21833</v>
      </c>
      <c r="F9568" s="6" t="str">
        <f>_xll.QS.TRADE.CREATE("trade.9566",E9568,A9568,"Receive")</f>
        <v>QSObject:SwapTrade:w1~trade.9566:22140</v>
      </c>
      <c r="G9568" s="3">
        <f>_xll.QS.EVALUATE(C9568,F9568)</f>
        <v>41415.678916893652</v>
      </c>
      <c r="H9568" s="5" t="s">
        <v>9608</v>
      </c>
      <c r="I9568" s="7">
        <v>1956600</v>
      </c>
      <c r="J9568" s="8">
        <v>3.6600000000000001E-2</v>
      </c>
    </row>
    <row r="9569" spans="1:10" x14ac:dyDescent="0.25">
      <c r="A9569" s="5" t="s">
        <v>9602</v>
      </c>
      <c r="B9569" s="5" t="s">
        <v>11436</v>
      </c>
      <c r="C9569" s="6" t="str">
        <f>_xll.QS.CONTEXT.CREATE("market.9567",A9569,"USD","SOFR")</f>
        <v>QSObject:PricingContext:w1~market.9567:11530</v>
      </c>
      <c r="D9569" s="6" t="str">
        <f>_xll.QS.CONTEXT.ADD.CURVE(C9569,"SOFR",$K$2:$K$7,$L$2:$L$7,,,"Actual360","LogLinear",TRUE)</f>
        <v>QSObject:ContextInput:w1~input.qs_context_add_curve.2359132437744.9568.3.0:31391</v>
      </c>
      <c r="E9569" s="6" t="str">
        <f>_xll.QS.INSTRUMENT.SWAP("swap.9567",H9569,B9569,"USD","SOFR",I9569,J9569,0,"Actual360","Simple","Annual","Annual","Annual")</f>
        <v>QSObject:Swap:w1~swap.9567:3487</v>
      </c>
      <c r="F9569" s="6" t="str">
        <f>_xll.QS.TRADE.CREATE("trade.9567",E9569,A9569,"Receive")</f>
        <v>QSObject:SwapTrade:w1~trade.9567:6661</v>
      </c>
      <c r="G9569" s="3">
        <f>_xll.QS.EVALUATE(C9569,F9569)</f>
        <v>42187.806954588108</v>
      </c>
      <c r="H9569" s="5" t="s">
        <v>9609</v>
      </c>
      <c r="I9569" s="7">
        <v>1956700</v>
      </c>
      <c r="J9569" s="8">
        <v>3.6700000000000003E-2</v>
      </c>
    </row>
    <row r="9570" spans="1:10" x14ac:dyDescent="0.25">
      <c r="A9570" s="5" t="s">
        <v>9603</v>
      </c>
      <c r="B9570" s="5" t="s">
        <v>11437</v>
      </c>
      <c r="C9570" s="6" t="str">
        <f>_xll.QS.CONTEXT.CREATE("market.9568",A9570,"USD","SOFR")</f>
        <v>QSObject:PricingContext:w1~market.9568:13062</v>
      </c>
      <c r="D9570" s="6" t="str">
        <f>_xll.QS.CONTEXT.ADD.CURVE(C9570,"SOFR",$K$2:$K$7,$L$2:$L$7,,,"Actual360","LogLinear",TRUE)</f>
        <v>QSObject:ContextInput:w1~input.qs_context_add_curve.2359132437744.9569.3.0:18382</v>
      </c>
      <c r="E9570" s="6" t="str">
        <f>_xll.QS.INSTRUMENT.SWAP("swap.9568",H9570,B9570,"USD","SOFR",I9570,J9570,0,"Actual360","Simple","Annual","Annual","Annual")</f>
        <v>QSObject:Swap:w1~swap.9568:16389</v>
      </c>
      <c r="F9570" s="6" t="str">
        <f>_xll.QS.TRADE.CREATE("trade.9568",E9570,A9570,"Receive")</f>
        <v>QSObject:SwapTrade:w1~trade.9568:22139</v>
      </c>
      <c r="G9570" s="3">
        <f>_xll.QS.EVALUATE(C9570,F9570)</f>
        <v>42935.98741244775</v>
      </c>
      <c r="H9570" s="5" t="s">
        <v>9610</v>
      </c>
      <c r="I9570" s="7">
        <v>1956800</v>
      </c>
      <c r="J9570" s="8">
        <v>3.6800000000000013E-2</v>
      </c>
    </row>
    <row r="9571" spans="1:10" x14ac:dyDescent="0.25">
      <c r="A9571" s="5" t="s">
        <v>9604</v>
      </c>
      <c r="B9571" s="5" t="s">
        <v>11438</v>
      </c>
      <c r="C9571" s="6" t="str">
        <f>_xll.QS.CONTEXT.CREATE("market.9569",A9571,"USD","SOFR")</f>
        <v>QSObject:PricingContext:w1~market.9569:1935</v>
      </c>
      <c r="D9571" s="6" t="str">
        <f>_xll.QS.CONTEXT.ADD.CURVE(C9571,"SOFR",$K$2:$K$7,$L$2:$L$7,,,"Actual360","LogLinear",TRUE)</f>
        <v>QSObject:ContextInput:w1~input.qs_context_add_curve.2359132437744.9570.3.0:20080</v>
      </c>
      <c r="E9571" s="6" t="str">
        <f>_xll.QS.INSTRUMENT.SWAP("swap.9569",H9571,B9571,"USD","SOFR",I9571,J9571,0,"Actual360","Simple","Annual","Annual","Annual")</f>
        <v>QSObject:Swap:w1~swap.9569:8258</v>
      </c>
      <c r="F9571" s="6" t="str">
        <f>_xll.QS.TRADE.CREATE("trade.9569",E9571,A9571,"Receive")</f>
        <v>QSObject:SwapTrade:w1~trade.9569:17422</v>
      </c>
      <c r="G9571" s="3">
        <f>_xll.QS.EVALUATE(C9571,F9571)</f>
        <v>43922.844599694021</v>
      </c>
      <c r="H9571" s="5" t="s">
        <v>9611</v>
      </c>
      <c r="I9571" s="7">
        <v>1956900</v>
      </c>
      <c r="J9571" s="8">
        <v>3.6900000000000002E-2</v>
      </c>
    </row>
    <row r="9572" spans="1:10" x14ac:dyDescent="0.25">
      <c r="A9572" s="5" t="s">
        <v>9605</v>
      </c>
      <c r="B9572" s="5" t="s">
        <v>11439</v>
      </c>
      <c r="C9572" s="6" t="str">
        <f>_xll.QS.CONTEXT.CREATE("market.9570",A9572,"USD","SOFR")</f>
        <v>QSObject:PricingContext:w1~market.9570:21832</v>
      </c>
      <c r="D9572" s="6" t="str">
        <f>_xll.QS.CONTEXT.ADD.CURVE(C9572,"SOFR",$K$2:$K$7,$L$2:$L$7,,,"Actual360","LogLinear",TRUE)</f>
        <v>QSObject:ContextInput:w1~input.qs_context_add_curve.2359132437744.9571.3.0:31390</v>
      </c>
      <c r="E9572" s="6" t="str">
        <f>_xll.QS.INSTRUMENT.SWAP("swap.9570",H9572,B9572,"USD","SOFR",I9572,J9572,0,"Actual360","Simple","Annual","Annual","Annual")</f>
        <v>QSObject:Swap:w1~swap.9570:9872</v>
      </c>
      <c r="F9572" s="6" t="str">
        <f>_xll.QS.TRADE.CREATE("trade.9570",E9572,A9572,"Receive")</f>
        <v>QSObject:SwapTrade:w1~trade.9570:22138</v>
      </c>
      <c r="G9572" s="3">
        <f>_xll.QS.EVALUATE(C9572,F9572)</f>
        <v>44880.964648241505</v>
      </c>
      <c r="H9572" s="5" t="s">
        <v>9612</v>
      </c>
      <c r="I9572" s="7">
        <v>1957000</v>
      </c>
      <c r="J9572" s="8">
        <v>3.7000000000000012E-2</v>
      </c>
    </row>
    <row r="9573" spans="1:10" x14ac:dyDescent="0.25">
      <c r="A9573" s="5" t="s">
        <v>9606</v>
      </c>
      <c r="B9573" s="5" t="s">
        <v>11440</v>
      </c>
      <c r="C9573" s="6" t="str">
        <f>_xll.QS.CONTEXT.CREATE("market.9571",A9573,"USD","SOFR")</f>
        <v>QSObject:PricingContext:w1~market.9571:11529</v>
      </c>
      <c r="D9573" s="6" t="str">
        <f>_xll.QS.CONTEXT.ADD.CURVE(C9573,"SOFR",$K$2:$K$7,$L$2:$L$7,,,"Actual360","LogLinear",TRUE)</f>
        <v>QSObject:ContextInput:w1~input.qs_context_add_curve.2359132437744.9572.3.0:31389</v>
      </c>
      <c r="E9573" s="6" t="str">
        <f>_xll.QS.INSTRUMENT.SWAP("swap.9571",H9573,B9573,"USD","SOFR",I9573,J9573,0,"Actual360","Simple","Annual","Annual","Annual")</f>
        <v>QSObject:Swap:w1~swap.9571:6660</v>
      </c>
      <c r="F9573" s="6" t="str">
        <f>_xll.QS.TRADE.CREATE("trade.9571",E9573,A9573,"Receive")</f>
        <v>QSObject:SwapTrade:w1~trade.9571:13061</v>
      </c>
      <c r="G9573" s="3">
        <f>_xll.QS.EVALUATE(C9573,F9573)</f>
        <v>45928.656581474323</v>
      </c>
      <c r="H9573" s="5" t="s">
        <v>9613</v>
      </c>
      <c r="I9573" s="7">
        <v>1957100</v>
      </c>
      <c r="J9573" s="8">
        <v>3.7100000000000001E-2</v>
      </c>
    </row>
    <row r="9574" spans="1:10" x14ac:dyDescent="0.25">
      <c r="A9574" s="5" t="s">
        <v>9607</v>
      </c>
      <c r="B9574" s="5" t="s">
        <v>11441</v>
      </c>
      <c r="C9574" s="6" t="str">
        <f>_xll.QS.CONTEXT.CREATE("market.9572",A9574,"USD","SOFR")</f>
        <v>QSObject:PricingContext:w1~market.9572:18381</v>
      </c>
      <c r="D9574" s="6" t="str">
        <f>_xll.QS.CONTEXT.ADD.CURVE(C9574,"SOFR",$K$2:$K$7,$L$2:$L$7,,,"Actual360","LogLinear",TRUE)</f>
        <v>QSObject:ContextInput:w1~input.qs_context_add_curve.2359132437744.9573.3.0:20079</v>
      </c>
      <c r="E9574" s="6" t="str">
        <f>_xll.QS.INSTRUMENT.SWAP("swap.9572",H9574,B9574,"USD","SOFR",I9574,J9574,0,"Actual360","Simple","Annual","Annual","Annual")</f>
        <v>QSObject:Swap:w1~swap.9572:14713</v>
      </c>
      <c r="F9574" s="6" t="str">
        <f>_xll.QS.TRADE.CREATE("trade.9572",E9574,A9574,"Receive")</f>
        <v>QSObject:SwapTrade:w1~trade.9572:22137</v>
      </c>
      <c r="G9574" s="3">
        <f>_xll.QS.EVALUATE(C9574,F9574)</f>
        <v>46919.029016119566</v>
      </c>
      <c r="H9574" s="5" t="s">
        <v>9614</v>
      </c>
      <c r="I9574" s="7">
        <v>1957200</v>
      </c>
      <c r="J9574" s="8">
        <v>3.7199999999999997E-2</v>
      </c>
    </row>
    <row r="9575" spans="1:10" x14ac:dyDescent="0.25">
      <c r="A9575" s="5" t="s">
        <v>9608</v>
      </c>
      <c r="B9575" s="5" t="s">
        <v>11442</v>
      </c>
      <c r="C9575" s="6" t="str">
        <f>_xll.QS.CONTEXT.CREATE("market.9573",A9575,"USD","SOFR")</f>
        <v>QSObject:PricingContext:w1~market.9573:431</v>
      </c>
      <c r="D9575" s="6" t="str">
        <f>_xll.QS.CONTEXT.ADD.CURVE(C9575,"SOFR",$K$2:$K$7,$L$2:$L$7,,,"Actual360","LogLinear",TRUE)</f>
        <v>QSObject:ContextInput:w1~input.qs_context_add_curve.2359132437744.9574.3.0:16388</v>
      </c>
      <c r="E9575" s="6" t="str">
        <f>_xll.QS.INSTRUMENT.SWAP("swap.9573",H9575,B9575,"USD","SOFR",I9575,J9575,0,"Actual360","Simple","Annual","Annual","Annual")</f>
        <v>QSObject:Swap:w1~swap.9573:8257</v>
      </c>
      <c r="F9575" s="6" t="str">
        <f>_xll.QS.TRADE.CREATE("trade.9573",E9575,A9575,"Receive")</f>
        <v>QSObject:SwapTrade:w1~trade.9573:21831</v>
      </c>
      <c r="G9575" s="3">
        <f>_xll.QS.EVALUATE(C9575,F9575)</f>
        <v>47656.708927109641</v>
      </c>
      <c r="H9575" s="5" t="s">
        <v>9615</v>
      </c>
      <c r="I9575" s="7">
        <v>1957300</v>
      </c>
      <c r="J9575" s="8">
        <v>3.73E-2</v>
      </c>
    </row>
    <row r="9576" spans="1:10" x14ac:dyDescent="0.25">
      <c r="A9576" s="5" t="s">
        <v>9609</v>
      </c>
      <c r="B9576" s="5" t="s">
        <v>11443</v>
      </c>
      <c r="C9576" s="6" t="str">
        <f>_xll.QS.CONTEXT.CREATE("market.9574",A9576,"USD","SOFR")</f>
        <v>QSObject:PricingContext:w1~market.9574:13060</v>
      </c>
      <c r="D9576" s="6" t="str">
        <f>_xll.QS.CONTEXT.ADD.CURVE(C9576,"SOFR",$K$2:$K$7,$L$2:$L$7,,,"Actual360","LogLinear",TRUE)</f>
        <v>QSObject:ContextInput:w1~input.qs_context_add_curve.2359132437744.9575.3.0:31388</v>
      </c>
      <c r="E9576" s="6" t="str">
        <f>_xll.QS.INSTRUMENT.SWAP("swap.9574",H9576,B9576,"USD","SOFR",I9576,J9576,0,"Actual360","Simple","Annual","Annual","Annual")</f>
        <v>QSObject:Swap:w1~swap.9574:11528</v>
      </c>
      <c r="F9576" s="6" t="str">
        <f>_xll.QS.TRADE.CREATE("trade.9574",E9576,A9576,"Receive")</f>
        <v>QSObject:SwapTrade:w1~trade.9574:22136</v>
      </c>
      <c r="G9576" s="3">
        <f>_xll.QS.EVALUATE(C9576,F9576)</f>
        <v>48513.895930863982</v>
      </c>
      <c r="H9576" s="5" t="s">
        <v>9616</v>
      </c>
      <c r="I9576" s="7">
        <v>1957400</v>
      </c>
      <c r="J9576" s="8">
        <v>3.7400000000000003E-2</v>
      </c>
    </row>
    <row r="9577" spans="1:10" x14ac:dyDescent="0.25">
      <c r="A9577" s="5" t="s">
        <v>9610</v>
      </c>
      <c r="B9577" s="5" t="s">
        <v>11444</v>
      </c>
      <c r="C9577" s="6" t="str">
        <f>_xll.QS.CONTEXT.CREATE("market.9575",A9577,"USD","SOFR")</f>
        <v>QSObject:PricingContext:w1~market.9575:5053</v>
      </c>
      <c r="D9577" s="6" t="str">
        <f>_xll.QS.CONTEXT.ADD.CURVE(C9577,"SOFR",$K$2:$K$7,$L$2:$L$7,,,"Actual360","LogLinear",TRUE)</f>
        <v>QSObject:ContextInput:w1~input.qs_context_add_curve.2359132437744.9576.3.0:20078</v>
      </c>
      <c r="E9577" s="6" t="str">
        <f>_xll.QS.INSTRUMENT.SWAP("swap.9575",H9577,B9577,"USD","SOFR",I9577,J9577,0,"Actual360","Simple","Annual","Annual","Annual")</f>
        <v>QSObject:Swap:w1~swap.9575:9871</v>
      </c>
      <c r="F9577" s="6" t="str">
        <f>_xll.QS.TRADE.CREATE("trade.9575",E9577,A9577,"Receive")</f>
        <v>QSObject:SwapTrade:w1~trade.9575:22135</v>
      </c>
      <c r="G9577" s="3">
        <f>_xll.QS.EVALUATE(C9577,F9577)</f>
        <v>49272.461831895074</v>
      </c>
      <c r="H9577" s="5" t="s">
        <v>9617</v>
      </c>
      <c r="I9577" s="7">
        <v>1957500</v>
      </c>
      <c r="J9577" s="8">
        <v>3.7500000000000012E-2</v>
      </c>
    </row>
    <row r="9578" spans="1:10" x14ac:dyDescent="0.25">
      <c r="A9578" s="5" t="s">
        <v>9611</v>
      </c>
      <c r="B9578" s="5" t="s">
        <v>11445</v>
      </c>
      <c r="C9578" s="6" t="str">
        <f>_xll.QS.CONTEXT.CREATE("market.9576",A9578,"USD","SOFR")</f>
        <v>QSObject:PricingContext:w1~market.9576:1934</v>
      </c>
      <c r="D9578" s="6" t="str">
        <f>_xll.QS.CONTEXT.ADD.CURVE(C9578,"SOFR",$K$2:$K$7,$L$2:$L$7,,,"Actual360","LogLinear",TRUE)</f>
        <v>QSObject:ContextInput:w1~input.qs_context_add_curve.2359132437744.9577.3.0:18380</v>
      </c>
      <c r="E9578" s="6" t="str">
        <f>_xll.QS.INSTRUMENT.SWAP("swap.9576",H9578,B9578,"USD","SOFR",I9578,J9578,0,"Actual360","Simple","Annual","Annual","Annual")</f>
        <v>QSObject:Swap:w1~swap.9576:14712</v>
      </c>
      <c r="F9578" s="6" t="str">
        <f>_xll.QS.TRADE.CREATE("trade.9576",E9578,A9578,"Receive")</f>
        <v>QSObject:SwapTrade:w1~trade.9576:22134</v>
      </c>
      <c r="G9578" s="3">
        <f>_xll.QS.EVALUATE(C9578,F9578)</f>
        <v>50260.606288900577</v>
      </c>
      <c r="H9578" s="5" t="s">
        <v>9618</v>
      </c>
      <c r="I9578" s="7">
        <v>1957600</v>
      </c>
      <c r="J9578" s="8">
        <v>3.7600000000000001E-2</v>
      </c>
    </row>
    <row r="9579" spans="1:10" x14ac:dyDescent="0.25">
      <c r="A9579" s="5" t="s">
        <v>9612</v>
      </c>
      <c r="B9579" s="5" t="s">
        <v>11446</v>
      </c>
      <c r="C9579" s="6" t="str">
        <f>_xll.QS.CONTEXT.CREATE("market.9577",A9579,"USD","SOFR")</f>
        <v>QSObject:PricingContext:w1~market.9577:21830</v>
      </c>
      <c r="D9579" s="6" t="str">
        <f>_xll.QS.CONTEXT.ADD.CURVE(C9579,"SOFR",$K$2:$K$7,$L$2:$L$7,,,"Actual360","LogLinear",TRUE)</f>
        <v>QSObject:ContextInput:w1~input.qs_context_add_curve.2359132437744.9578.3.0:31387</v>
      </c>
      <c r="E9579" s="6" t="str">
        <f>_xll.QS.INSTRUMENT.SWAP("swap.9577",H9579,B9579,"USD","SOFR",I9579,J9579,0,"Actual360","Simple","Annual","Annual","Annual")</f>
        <v>QSObject:Swap:w1~swap.9577:17421</v>
      </c>
      <c r="F9579" s="6" t="str">
        <f>_xll.QS.TRADE.CREATE("trade.9577",E9579,A9579,"Receive")</f>
        <v>QSObject:SwapTrade:w1~trade.9577:22133</v>
      </c>
      <c r="G9579" s="3">
        <f>_xll.QS.EVALUATE(C9579,F9579)</f>
        <v>51216.325619229247</v>
      </c>
      <c r="H9579" s="5" t="s">
        <v>9619</v>
      </c>
      <c r="I9579" s="7">
        <v>1957700</v>
      </c>
      <c r="J9579" s="8">
        <v>3.7699999999999997E-2</v>
      </c>
    </row>
    <row r="9580" spans="1:10" x14ac:dyDescent="0.25">
      <c r="A9580" s="5" t="s">
        <v>9613</v>
      </c>
      <c r="B9580" s="5" t="s">
        <v>11447</v>
      </c>
      <c r="C9580" s="6" t="str">
        <f>_xll.QS.CONTEXT.CREATE("market.9578",A9580,"USD","SOFR")</f>
        <v>QSObject:PricingContext:w1~market.9578:3486</v>
      </c>
      <c r="D9580" s="6" t="str">
        <f>_xll.QS.CONTEXT.ADD.CURVE(C9580,"SOFR",$K$2:$K$7,$L$2:$L$7,,,"Actual360","LogLinear",TRUE)</f>
        <v>QSObject:ContextInput:w1~input.qs_context_add_curve.2359132437744.9579.3.0:6659</v>
      </c>
      <c r="E9580" s="6" t="str">
        <f>_xll.QS.INSTRUMENT.SWAP("swap.9578",H9580,B9580,"USD","SOFR",I9580,J9580,0,"Actual360","Simple","Annual","Annual","Annual")</f>
        <v>QSObject:Swap:w1~swap.9578:11527</v>
      </c>
      <c r="F9580" s="6" t="str">
        <f>_xll.QS.TRADE.CREATE("trade.9578",E9580,A9580,"Receive")</f>
        <v>QSObject:SwapTrade:w1~trade.9578:22132</v>
      </c>
      <c r="G9580" s="3">
        <f>_xll.QS.EVALUATE(C9580,F9580)</f>
        <v>52356.055221667681</v>
      </c>
      <c r="H9580" s="5" t="s">
        <v>9620</v>
      </c>
      <c r="I9580" s="7">
        <v>1957800</v>
      </c>
      <c r="J9580" s="8">
        <v>3.78E-2</v>
      </c>
    </row>
    <row r="9581" spans="1:10" x14ac:dyDescent="0.25">
      <c r="A9581" s="5" t="s">
        <v>9614</v>
      </c>
      <c r="B9581" s="5" t="s">
        <v>11448</v>
      </c>
      <c r="C9581" s="6" t="str">
        <f>_xll.QS.CONTEXT.CREATE("market.9579",A9581,"USD","SOFR")</f>
        <v>QSObject:PricingContext:w1~market.9579:430</v>
      </c>
      <c r="D9581" s="6" t="str">
        <f>_xll.QS.CONTEXT.ADD.CURVE(C9581,"SOFR",$K$2:$K$7,$L$2:$L$7,,,"Actual360","LogLinear",TRUE)</f>
        <v>QSObject:ContextInput:w1~input.qs_context_add_curve.2359132437744.9580.3.0:5052</v>
      </c>
      <c r="E9581" s="6" t="str">
        <f>_xll.QS.INSTRUMENT.SWAP("swap.9579",H9581,B9581,"USD","SOFR",I9581,J9581,0,"Actual360","Simple","Annual","Annual","Annual")</f>
        <v>QSObject:Swap:w1~swap.9579:20077</v>
      </c>
      <c r="F9581" s="6" t="str">
        <f>_xll.QS.TRADE.CREATE("trade.9579",E9581,A9581,"Receive")</f>
        <v>QSObject:SwapTrade:w1~trade.9579:22131</v>
      </c>
      <c r="G9581" s="3">
        <f>_xll.QS.EVALUATE(C9581,F9581)</f>
        <v>53259.434034509701</v>
      </c>
      <c r="H9581" s="5" t="s">
        <v>9621</v>
      </c>
      <c r="I9581" s="7">
        <v>1957900</v>
      </c>
      <c r="J9581" s="8">
        <v>3.7900000000000003E-2</v>
      </c>
    </row>
    <row r="9582" spans="1:10" x14ac:dyDescent="0.25">
      <c r="A9582" s="5" t="s">
        <v>9615</v>
      </c>
      <c r="B9582" s="5" t="s">
        <v>11449</v>
      </c>
      <c r="C9582" s="6" t="str">
        <f>_xll.QS.CONTEXT.CREATE("market.9580",A9582,"USD","SOFR")</f>
        <v>QSObject:PricingContext:w1~market.9580:14711</v>
      </c>
      <c r="D9582" s="6" t="str">
        <f>_xll.QS.CONTEXT.ADD.CURVE(C9582,"SOFR",$K$2:$K$7,$L$2:$L$7,,,"Actual360","LogLinear",TRUE)</f>
        <v>QSObject:ContextInput:w1~input.qs_context_add_curve.2359132437744.9581.3.0:31386</v>
      </c>
      <c r="E9582" s="6" t="str">
        <f>_xll.QS.INSTRUMENT.SWAP("swap.9580",H9582,B9582,"USD","SOFR",I9582,J9582,0,"Actual360","Simple","Annual","Annual","Annual")</f>
        <v>QSObject:Swap:w1~swap.9580:1933</v>
      </c>
      <c r="F9582" s="6" t="str">
        <f>_xll.QS.TRADE.CREATE("trade.9580",E9582,A9582,"Receive")</f>
        <v>QSObject:SwapTrade:w1~trade.9580:17420</v>
      </c>
      <c r="G9582" s="3">
        <f>_xll.QS.EVALUATE(C9582,F9582)</f>
        <v>54085.864284563046</v>
      </c>
      <c r="H9582" s="5" t="s">
        <v>9622</v>
      </c>
      <c r="I9582" s="7">
        <v>1958000</v>
      </c>
      <c r="J9582" s="8">
        <v>3.8000000000000013E-2</v>
      </c>
    </row>
    <row r="9583" spans="1:10" x14ac:dyDescent="0.25">
      <c r="A9583" s="5" t="s">
        <v>9616</v>
      </c>
      <c r="B9583" s="5" t="s">
        <v>11450</v>
      </c>
      <c r="C9583" s="6" t="str">
        <f>_xll.QS.CONTEXT.CREATE("market.9581",A9583,"USD","SOFR")</f>
        <v>QSObject:PricingContext:w1~market.9581:13059</v>
      </c>
      <c r="D9583" s="6" t="str">
        <f>_xll.QS.CONTEXT.ADD.CURVE(C9583,"SOFR",$K$2:$K$7,$L$2:$L$7,,,"Actual360","LogLinear",TRUE)</f>
        <v>QSObject:ContextInput:w1~input.qs_context_add_curve.2359132437744.9582.3.0:16387</v>
      </c>
      <c r="E9583" s="6" t="str">
        <f>_xll.QS.INSTRUMENT.SWAP("swap.9581",H9583,B9583,"USD","SOFR",I9583,J9583,0,"Actual360","Simple","Annual","Annual","Annual")</f>
        <v>QSObject:Swap:w1~swap.9581:21829</v>
      </c>
      <c r="F9583" s="6" t="str">
        <f>_xll.QS.TRADE.CREATE("trade.9581",E9583,A9583,"Receive")</f>
        <v>QSObject:SwapTrade:w1~trade.9581:22130</v>
      </c>
      <c r="G9583" s="3">
        <f>_xll.QS.EVALUATE(C9583,F9583)</f>
        <v>54702.688087128292</v>
      </c>
      <c r="H9583" s="5" t="s">
        <v>9623</v>
      </c>
      <c r="I9583" s="7">
        <v>1958100</v>
      </c>
      <c r="J9583" s="8">
        <v>3.8100000000000002E-2</v>
      </c>
    </row>
    <row r="9584" spans="1:10" x14ac:dyDescent="0.25">
      <c r="A9584" s="5" t="s">
        <v>9617</v>
      </c>
      <c r="B9584" s="5" t="s">
        <v>11451</v>
      </c>
      <c r="C9584" s="6" t="str">
        <f>_xll.QS.CONTEXT.CREATE("market.9582",A9584,"USD","SOFR")</f>
        <v>QSObject:PricingContext:w1~market.9582:11526</v>
      </c>
      <c r="D9584" s="6" t="str">
        <f>_xll.QS.CONTEXT.ADD.CURVE(C9584,"SOFR",$K$2:$K$7,$L$2:$L$7,,,"Actual360","LogLinear",TRUE)</f>
        <v>QSObject:ContextInput:w1~input.qs_context_add_curve.2359132437744.9583.3.0:22129</v>
      </c>
      <c r="E9584" s="6" t="str">
        <f>_xll.QS.INSTRUMENT.SWAP("swap.9582",H9584,B9584,"USD","SOFR",I9584,J9584,0,"Actual360","Simple","Annual","Annual","Annual")</f>
        <v>QSObject:Swap:w1~swap.9582:3485</v>
      </c>
      <c r="F9584" s="6" t="str">
        <f>_xll.QS.TRADE.CREATE("trade.9582",E9584,A9584,"Receive")</f>
        <v>QSObject:SwapTrade:w1~trade.9582:18379</v>
      </c>
      <c r="G9584" s="3">
        <f>_xll.QS.EVALUATE(C9584,F9584)</f>
        <v>55613.057797311107</v>
      </c>
      <c r="H9584" s="5" t="s">
        <v>9624</v>
      </c>
      <c r="I9584" s="7">
        <v>1958200</v>
      </c>
      <c r="J9584" s="8">
        <v>3.8199999999999998E-2</v>
      </c>
    </row>
    <row r="9585" spans="1:10" x14ac:dyDescent="0.25">
      <c r="A9585" s="5" t="s">
        <v>9618</v>
      </c>
      <c r="B9585" s="5" t="s">
        <v>11452</v>
      </c>
      <c r="C9585" s="6" t="str">
        <f>_xll.QS.CONTEXT.CREATE("market.9583",A9585,"USD","SOFR")</f>
        <v>QSObject:PricingContext:w1~market.9583:5051</v>
      </c>
      <c r="D9585" s="6" t="str">
        <f>_xll.QS.CONTEXT.ADD.CURVE(C9585,"SOFR",$K$2:$K$7,$L$2:$L$7,,,"Actual360","LogLinear",TRUE)</f>
        <v>QSObject:ContextInput:w1~input.qs_context_add_curve.2359132437744.9584.3.0:31385</v>
      </c>
      <c r="E9585" s="6" t="str">
        <f>_xll.QS.INSTRUMENT.SWAP("swap.9583",H9585,B9585,"USD","SOFR",I9585,J9585,0,"Actual360","Simple","Annual","Annual","Annual")</f>
        <v>QSObject:Swap:w1~swap.9583:20076</v>
      </c>
      <c r="F9585" s="6" t="str">
        <f>_xll.QS.TRADE.CREATE("trade.9583",E9585,A9585,"Receive")</f>
        <v>QSObject:SwapTrade:w1~trade.9583:22128</v>
      </c>
      <c r="G9585" s="3">
        <f>_xll.QS.EVALUATE(C9585,F9585)</f>
        <v>56602.126973966973</v>
      </c>
      <c r="H9585" s="5" t="s">
        <v>9625</v>
      </c>
      <c r="I9585" s="7">
        <v>1958300</v>
      </c>
      <c r="J9585" s="8">
        <v>3.8300000000000001E-2</v>
      </c>
    </row>
    <row r="9586" spans="1:10" x14ac:dyDescent="0.25">
      <c r="A9586" s="5" t="s">
        <v>9619</v>
      </c>
      <c r="B9586" s="5" t="s">
        <v>11453</v>
      </c>
      <c r="C9586" s="6" t="str">
        <f>_xll.QS.CONTEXT.CREATE("market.9584",A9586,"USD","SOFR")</f>
        <v>QSObject:PricingContext:w1~market.9584:9870</v>
      </c>
      <c r="D9586" s="6" t="str">
        <f>_xll.QS.CONTEXT.ADD.CURVE(C9586,"SOFR",$K$2:$K$7,$L$2:$L$7,,,"Actual360","LogLinear",TRUE)</f>
        <v>QSObject:ContextInput:w1~input.qs_context_add_curve.2359132437744.9585.3.0:31384</v>
      </c>
      <c r="E9586" s="6" t="str">
        <f>_xll.QS.INSTRUMENT.SWAP("swap.9584",H9586,B9586,"USD","SOFR",I9586,J9586,0,"Actual360","Simple","Annual","Annual","Annual")</f>
        <v>QSObject:Swap:w1~swap.9584:17419</v>
      </c>
      <c r="F9586" s="6" t="str">
        <f>_xll.QS.TRADE.CREATE("trade.9584",E9586,A9586,"Receive")</f>
        <v>QSObject:SwapTrade:w1~trade.9584:22127</v>
      </c>
      <c r="G9586" s="3">
        <f>_xll.QS.EVALUATE(C9586,F9586)</f>
        <v>57771.092218672944</v>
      </c>
      <c r="H9586" s="5" t="s">
        <v>9626</v>
      </c>
      <c r="I9586" s="7">
        <v>1958400</v>
      </c>
      <c r="J9586" s="8">
        <v>3.8399999999999997E-2</v>
      </c>
    </row>
    <row r="9587" spans="1:10" x14ac:dyDescent="0.25">
      <c r="A9587" s="5" t="s">
        <v>9620</v>
      </c>
      <c r="B9587" s="5" t="s">
        <v>11454</v>
      </c>
      <c r="C9587" s="6" t="str">
        <f>_xll.QS.CONTEXT.CREATE("market.9585",A9587,"USD","SOFR")</f>
        <v>QSObject:PricingContext:w1~market.9585:3484</v>
      </c>
      <c r="D9587" s="6" t="str">
        <f>_xll.QS.CONTEXT.ADD.CURVE(C9587,"SOFR",$K$2:$K$7,$L$2:$L$7,,,"Actual360","LogLinear",TRUE)</f>
        <v>QSObject:ContextInput:w1~input.qs_context_add_curve.2359132437744.9586.3.0:11525</v>
      </c>
      <c r="E9587" s="6" t="str">
        <f>_xll.QS.INSTRUMENT.SWAP("swap.9585",H9587,B9587,"USD","SOFR",I9587,J9587,0,"Actual360","Simple","Annual","Annual","Annual")</f>
        <v>QSObject:Swap:w1~swap.9585:13058</v>
      </c>
      <c r="F9587" s="6" t="str">
        <f>_xll.QS.TRADE.CREATE("trade.9585",E9587,A9587,"Receive")</f>
        <v>QSObject:SwapTrade:w1~trade.9585:16386</v>
      </c>
      <c r="G9587" s="3">
        <f>_xll.QS.EVALUATE(C9587,F9587)</f>
        <v>58677.802611055944</v>
      </c>
      <c r="H9587" s="5" t="s">
        <v>9627</v>
      </c>
      <c r="I9587" s="7">
        <v>1958500</v>
      </c>
      <c r="J9587" s="8">
        <v>3.8500000000000013E-2</v>
      </c>
    </row>
    <row r="9588" spans="1:10" x14ac:dyDescent="0.25">
      <c r="A9588" s="5" t="s">
        <v>9621</v>
      </c>
      <c r="B9588" s="5" t="s">
        <v>11455</v>
      </c>
      <c r="C9588" s="6" t="str">
        <f>_xll.QS.CONTEXT.CREATE("market.9586",A9588,"USD","SOFR")</f>
        <v>QSObject:PricingContext:w1~market.9586:21828</v>
      </c>
      <c r="D9588" s="6" t="str">
        <f>_xll.QS.CONTEXT.ADD.CURVE(C9588,"SOFR",$K$2:$K$7,$L$2:$L$7,,,"Actual360","LogLinear",TRUE)</f>
        <v>QSObject:ContextInput:w1~input.qs_context_add_curve.2359132437744.9587.3.0:31383</v>
      </c>
      <c r="E9588" s="6" t="str">
        <f>_xll.QS.INSTRUMENT.SWAP("swap.9586",H9588,B9588,"USD","SOFR",I9588,J9588,0,"Actual360","Simple","Annual","Annual","Annual")</f>
        <v>QSObject:Swap:w1~swap.9586:6658</v>
      </c>
      <c r="F9588" s="6" t="str">
        <f>_xll.QS.TRADE.CREATE("trade.9586",E9588,A9588,"Receive")</f>
        <v>QSObject:SwapTrade:w1~trade.9586:22126</v>
      </c>
      <c r="G9588" s="3">
        <f>_xll.QS.EVALUATE(C9588,F9588)</f>
        <v>59597.348585428947</v>
      </c>
      <c r="H9588" s="5" t="s">
        <v>9628</v>
      </c>
      <c r="I9588" s="7">
        <v>1958600</v>
      </c>
      <c r="J9588" s="8">
        <v>3.8600000000000002E-2</v>
      </c>
    </row>
    <row r="9589" spans="1:10" x14ac:dyDescent="0.25">
      <c r="A9589" s="5" t="s">
        <v>9622</v>
      </c>
      <c r="B9589" s="5" t="s">
        <v>11456</v>
      </c>
      <c r="C9589" s="6" t="str">
        <f>_xll.QS.CONTEXT.CREATE("market.9587",A9589,"USD","SOFR")</f>
        <v>QSObject:PricingContext:w1~market.9587:14710</v>
      </c>
      <c r="D9589" s="6" t="str">
        <f>_xll.QS.CONTEXT.ADD.CURVE(C9589,"SOFR",$K$2:$K$7,$L$2:$L$7,,,"Actual360","LogLinear",TRUE)</f>
        <v>QSObject:ContextInput:w1~input.qs_context_add_curve.2359132437744.9588.3.0:22125</v>
      </c>
      <c r="E9589" s="6" t="str">
        <f>_xll.QS.INSTRUMENT.SWAP("swap.9587",H9589,B9589,"USD","SOFR",I9589,J9589,0,"Actual360","Simple","Annual","Annual","Annual")</f>
        <v>QSObject:Swap:w1~swap.9587:20075</v>
      </c>
      <c r="F9589" s="6" t="str">
        <f>_xll.QS.TRADE.CREATE("trade.9587",E9589,A9589,"Receive")</f>
        <v>QSObject:SwapTrade:w1~trade.9587:22124</v>
      </c>
      <c r="G9589" s="3">
        <f>_xll.QS.EVALUATE(C9589,F9589)</f>
        <v>60428.027162446357</v>
      </c>
      <c r="H9589" s="5" t="s">
        <v>9629</v>
      </c>
      <c r="I9589" s="7">
        <v>1958700</v>
      </c>
      <c r="J9589" s="8">
        <v>3.8700000000000012E-2</v>
      </c>
    </row>
    <row r="9590" spans="1:10" x14ac:dyDescent="0.25">
      <c r="A9590" s="5" t="s">
        <v>9623</v>
      </c>
      <c r="B9590" s="5" t="s">
        <v>11457</v>
      </c>
      <c r="C9590" s="6" t="str">
        <f>_xll.QS.CONTEXT.CREATE("market.9588",A9590,"USD","SOFR")</f>
        <v>QSObject:PricingContext:w1~market.9588:9869</v>
      </c>
      <c r="D9590" s="6" t="str">
        <f>_xll.QS.CONTEXT.ADD.CURVE(C9590,"SOFR",$K$2:$K$7,$L$2:$L$7,,,"Actual360","LogLinear",TRUE)</f>
        <v>QSObject:ContextInput:w1~input.qs_context_add_curve.2359132437744.9589.3.0:22123</v>
      </c>
      <c r="E9590" s="6" t="str">
        <f>_xll.QS.INSTRUMENT.SWAP("swap.9588",H9590,B9590,"USD","SOFR",I9590,J9590,0,"Actual360","Simple","Annual","Annual","Annual")</f>
        <v>QSObject:Swap:w1~swap.9588:17418</v>
      </c>
      <c r="F9590" s="6" t="str">
        <f>_xll.QS.TRADE.CREATE("trade.9588",E9590,A9590,"Receive")</f>
        <v>QSObject:SwapTrade:w1~trade.9588:22122</v>
      </c>
      <c r="G9590" s="3">
        <f>_xll.QS.EVALUATE(C9590,F9590)</f>
        <v>61179.608844925606</v>
      </c>
      <c r="H9590" s="5" t="s">
        <v>9630</v>
      </c>
      <c r="I9590" s="7">
        <v>1958800</v>
      </c>
      <c r="J9590" s="8">
        <v>3.8800000000000001E-2</v>
      </c>
    </row>
    <row r="9591" spans="1:10" x14ac:dyDescent="0.25">
      <c r="A9591" s="5" t="s">
        <v>9624</v>
      </c>
      <c r="B9591" s="5" t="s">
        <v>11458</v>
      </c>
      <c r="C9591" s="6" t="str">
        <f>_xll.QS.CONTEXT.CREATE("market.9589",A9591,"USD","SOFR")</f>
        <v>QSObject:PricingContext:w1~market.9589:21827</v>
      </c>
      <c r="D9591" s="6" t="str">
        <f>_xll.QS.CONTEXT.ADD.CURVE(C9591,"SOFR",$K$2:$K$7,$L$2:$L$7,,,"Actual360","LogLinear",TRUE)</f>
        <v>QSObject:ContextInput:w1~input.qs_context_add_curve.2359132437744.9590.3.0:31382</v>
      </c>
      <c r="E9591" s="6" t="str">
        <f>_xll.QS.INSTRUMENT.SWAP("swap.9589",H9591,B9591,"USD","SOFR",I9591,J9591,0,"Actual360","Simple","Annual","Annual","Annual")</f>
        <v>QSObject:Swap:w1~swap.9589:11524</v>
      </c>
      <c r="F9591" s="6" t="str">
        <f>_xll.QS.TRADE.CREATE("trade.9589",E9591,A9591,"Receive")</f>
        <v>QSObject:SwapTrade:w1~trade.9589:22121</v>
      </c>
      <c r="G9591" s="3">
        <f>_xll.QS.EVALUATE(C9591,F9591)</f>
        <v>61958.689472588529</v>
      </c>
      <c r="H9591" s="5" t="s">
        <v>9631</v>
      </c>
      <c r="I9591" s="7">
        <v>1958900</v>
      </c>
      <c r="J9591" s="8">
        <v>3.8899999999999997E-2</v>
      </c>
    </row>
    <row r="9592" spans="1:10" x14ac:dyDescent="0.25">
      <c r="A9592" s="5" t="s">
        <v>9625</v>
      </c>
      <c r="B9592" s="5" t="s">
        <v>11459</v>
      </c>
      <c r="C9592" s="6" t="str">
        <f>_xll.QS.CONTEXT.CREATE("market.9590",A9592,"USD","SOFR")</f>
        <v>QSObject:PricingContext:w1~market.9590:13057</v>
      </c>
      <c r="D9592" s="6" t="str">
        <f>_xll.QS.CONTEXT.ADD.CURVE(C9592,"SOFR",$K$2:$K$7,$L$2:$L$7,,,"Actual360","LogLinear",TRUE)</f>
        <v>QSObject:ContextInput:w1~input.qs_context_add_curve.2359132437744.9591.3.0:31381</v>
      </c>
      <c r="E9592" s="6" t="str">
        <f>_xll.QS.INSTRUMENT.SWAP("swap.9590",H9592,B9592,"USD","SOFR",I9592,J9592,0,"Actual360","Simple","Annual","Annual","Annual")</f>
        <v>QSObject:Swap:w1~swap.9590:6657</v>
      </c>
      <c r="F9592" s="6" t="str">
        <f>_xll.QS.TRADE.CREATE("trade.9590",E9592,A9592,"Receive")</f>
        <v>QSObject:SwapTrade:w1~trade.9590:14709</v>
      </c>
      <c r="G9592" s="3">
        <f>_xll.QS.EVALUATE(C9592,F9592)</f>
        <v>62949.689145004399</v>
      </c>
      <c r="H9592" s="5" t="s">
        <v>9632</v>
      </c>
      <c r="I9592" s="7">
        <v>1959000</v>
      </c>
      <c r="J9592" s="8">
        <v>3.9000000000000007E-2</v>
      </c>
    </row>
    <row r="9593" spans="1:10" x14ac:dyDescent="0.25">
      <c r="A9593" s="5" t="s">
        <v>9626</v>
      </c>
      <c r="B9593" s="5" t="s">
        <v>11460</v>
      </c>
      <c r="C9593" s="6" t="str">
        <f>_xll.QS.CONTEXT.CREATE("market.9591",A9593,"USD","SOFR")</f>
        <v>QSObject:PricingContext:w1~market.9591:21826</v>
      </c>
      <c r="D9593" s="6" t="str">
        <f>_xll.QS.CONTEXT.ADD.CURVE(C9593,"SOFR",$K$2:$K$7,$L$2:$L$7,,,"Actual360","LogLinear",TRUE)</f>
        <v>QSObject:ContextInput:w1~input.qs_context_add_curve.2359132437744.9592.3.0:31380</v>
      </c>
      <c r="E9593" s="6" t="str">
        <f>_xll.QS.INSTRUMENT.SWAP("swap.9591",H9593,B9593,"USD","SOFR",I9593,J9593,0,"Actual360","Simple","Annual","Annual","Annual")</f>
        <v>QSObject:Swap:w1~swap.9591:17417</v>
      </c>
      <c r="F9593" s="6" t="str">
        <f>_xll.QS.TRADE.CREATE("trade.9591",E9593,A9593,"Receive")</f>
        <v>QSObject:SwapTrade:w1~trade.9591:22120</v>
      </c>
      <c r="G9593" s="3">
        <f>_xll.QS.EVALUATE(C9593,F9593)</f>
        <v>63900.612581479523</v>
      </c>
      <c r="H9593" s="5" t="s">
        <v>9633</v>
      </c>
      <c r="I9593" s="7">
        <v>1959100</v>
      </c>
      <c r="J9593" s="8">
        <v>3.9100000000000003E-2</v>
      </c>
    </row>
    <row r="9594" spans="1:10" x14ac:dyDescent="0.25">
      <c r="A9594" s="5" t="s">
        <v>9627</v>
      </c>
      <c r="B9594" s="5" t="s">
        <v>11461</v>
      </c>
      <c r="C9594" s="6" t="str">
        <f>_xll.QS.CONTEXT.CREATE("market.9592",A9594,"USD","SOFR")</f>
        <v>QSObject:PricingContext:w1~market.9592:13056</v>
      </c>
      <c r="D9594" s="6" t="str">
        <f>_xll.QS.CONTEXT.ADD.CURVE(C9594,"SOFR",$K$2:$K$7,$L$2:$L$7,,,"Actual360","LogLinear",TRUE)</f>
        <v>QSObject:ContextInput:w1~input.qs_context_add_curve.2359132437744.9593.3.0:31379</v>
      </c>
      <c r="E9594" s="6" t="str">
        <f>_xll.QS.INSTRUMENT.SWAP("swap.9592",H9594,B9594,"USD","SOFR",I9594,J9594,0,"Actual360","Simple","Annual","Annual","Annual")</f>
        <v>QSObject:Swap:w1~swap.9592:3483</v>
      </c>
      <c r="F9594" s="6" t="str">
        <f>_xll.QS.TRADE.CREATE("trade.9592",E9594,A9594,"Receive")</f>
        <v>QSObject:SwapTrade:w1~trade.9592:6656</v>
      </c>
      <c r="G9594" s="3">
        <f>_xll.QS.EVALUATE(C9594,F9594)</f>
        <v>64950.670729203819</v>
      </c>
      <c r="H9594" s="5" t="s">
        <v>9634</v>
      </c>
      <c r="I9594" s="7">
        <v>1959200</v>
      </c>
      <c r="J9594" s="8">
        <v>3.9200000000000013E-2</v>
      </c>
    </row>
    <row r="9595" spans="1:10" x14ac:dyDescent="0.25">
      <c r="A9595" s="5" t="s">
        <v>9628</v>
      </c>
      <c r="B9595" s="5" t="s">
        <v>11462</v>
      </c>
      <c r="C9595" s="6" t="str">
        <f>_xll.QS.CONTEXT.CREATE("market.9593",A9595,"USD","SOFR")</f>
        <v>QSObject:PricingContext:w1~market.9593:20074</v>
      </c>
      <c r="D9595" s="6" t="str">
        <f>_xll.QS.CONTEXT.ADD.CURVE(C9595,"SOFR",$K$2:$K$7,$L$2:$L$7,,,"Actual360","LogLinear",TRUE)</f>
        <v>QSObject:ContextInput:w1~input.qs_context_add_curve.2359132437744.9594.3.0:31378</v>
      </c>
      <c r="E9595" s="6" t="str">
        <f>_xll.QS.INSTRUMENT.SWAP("swap.9593",H9595,B9595,"USD","SOFR",I9595,J9595,0,"Actual360","Simple","Annual","Annual","Annual")</f>
        <v>QSObject:Swap:w1~swap.9593:5050</v>
      </c>
      <c r="F9595" s="6" t="str">
        <f>_xll.QS.TRADE.CREATE("trade.9593",E9595,A9595,"Receive")</f>
        <v>QSObject:SwapTrade:w1~trade.9593:18378</v>
      </c>
      <c r="G9595" s="3">
        <f>_xll.QS.EVALUATE(C9595,F9595)</f>
        <v>65942.891186787485</v>
      </c>
      <c r="H9595" s="5" t="s">
        <v>9635</v>
      </c>
      <c r="I9595" s="7">
        <v>1959300</v>
      </c>
      <c r="J9595" s="8">
        <v>3.9300000000000002E-2</v>
      </c>
    </row>
    <row r="9596" spans="1:10" x14ac:dyDescent="0.25">
      <c r="A9596" s="5" t="s">
        <v>9629</v>
      </c>
      <c r="B9596" s="5" t="s">
        <v>11463</v>
      </c>
      <c r="C9596" s="6" t="str">
        <f>_xll.QS.CONTEXT.CREATE("market.9594",A9596,"USD","SOFR")</f>
        <v>QSObject:PricingContext:w1~market.9594:13055</v>
      </c>
      <c r="D9596" s="6" t="str">
        <f>_xll.QS.CONTEXT.ADD.CURVE(C9596,"SOFR",$K$2:$K$7,$L$2:$L$7,,,"Actual360","LogLinear",TRUE)</f>
        <v>QSObject:ContextInput:w1~input.qs_context_add_curve.2359132437744.9595.3.0:31377</v>
      </c>
      <c r="E9596" s="6" t="str">
        <f>_xll.QS.INSTRUMENT.SWAP("swap.9594",H9596,B9596,"USD","SOFR",I9596,J9596,0,"Actual360","Simple","Annual","Annual","Annual")</f>
        <v>QSObject:Swap:w1~swap.9594:21825</v>
      </c>
      <c r="F9596" s="6" t="str">
        <f>_xll.QS.TRADE.CREATE("trade.9594",E9596,A9596,"Receive")</f>
        <v>QSObject:SwapTrade:w1~trade.9594:22119</v>
      </c>
      <c r="G9596" s="3">
        <f>_xll.QS.EVALUATE(C9596,F9596)</f>
        <v>66776.267841048524</v>
      </c>
      <c r="H9596" s="5" t="s">
        <v>9636</v>
      </c>
      <c r="I9596" s="7">
        <v>1959400</v>
      </c>
      <c r="J9596" s="8">
        <v>3.9399999999999998E-2</v>
      </c>
    </row>
    <row r="9597" spans="1:10" x14ac:dyDescent="0.25">
      <c r="A9597" s="5" t="s">
        <v>9630</v>
      </c>
      <c r="B9597" s="5" t="s">
        <v>11464</v>
      </c>
      <c r="C9597" s="6" t="str">
        <f>_xll.QS.CONTEXT.CREATE("market.9595",A9597,"USD","SOFR")</f>
        <v>QSObject:PricingContext:w1~market.9595:11523</v>
      </c>
      <c r="D9597" s="6" t="str">
        <f>_xll.QS.CONTEXT.ADD.CURVE(C9597,"SOFR",$K$2:$K$7,$L$2:$L$7,,,"Actual360","LogLinear",TRUE)</f>
        <v>QSObject:ContextInput:w1~input.qs_context_add_curve.2359132437744.9596.3.0:17416</v>
      </c>
      <c r="E9597" s="6" t="str">
        <f>_xll.QS.INSTRUMENT.SWAP("swap.9595",H9597,B9597,"USD","SOFR",I9597,J9597,0,"Actual360","Simple","Annual","Annual","Annual")</f>
        <v>QSObject:Swap:w1~swap.9595:8256</v>
      </c>
      <c r="F9597" s="6" t="str">
        <f>_xll.QS.TRADE.CREATE("trade.9595",E9597,A9597,"Receive")</f>
        <v>QSObject:SwapTrade:w1~trade.9595:20073</v>
      </c>
      <c r="G9597" s="3">
        <f>_xll.QS.EVALUATE(C9597,F9597)</f>
        <v>67520.989899353037</v>
      </c>
      <c r="H9597" s="5" t="s">
        <v>9637</v>
      </c>
      <c r="I9597" s="7">
        <v>1959500</v>
      </c>
      <c r="J9597" s="8">
        <v>3.9500000000000007E-2</v>
      </c>
    </row>
    <row r="9598" spans="1:10" x14ac:dyDescent="0.25">
      <c r="A9598" s="5" t="s">
        <v>9631</v>
      </c>
      <c r="B9598" s="5" t="s">
        <v>11465</v>
      </c>
      <c r="C9598" s="6" t="str">
        <f>_xll.QS.CONTEXT.CREATE("market.9596",A9598,"USD","SOFR")</f>
        <v>QSObject:PricingContext:w1~market.9596:9868</v>
      </c>
      <c r="D9598" s="6" t="str">
        <f>_xll.QS.CONTEXT.ADD.CURVE(C9598,"SOFR",$K$2:$K$7,$L$2:$L$7,,,"Actual360","LogLinear",TRUE)</f>
        <v>QSObject:ContextInput:w1~input.qs_context_add_curve.2359132437744.9597.3.0:31376</v>
      </c>
      <c r="E9598" s="6" t="str">
        <f>_xll.QS.INSTRUMENT.SWAP("swap.9596",H9598,B9598,"USD","SOFR",I9598,J9598,0,"Actual360","Simple","Annual","Annual","Annual")</f>
        <v>QSObject:Swap:w1~swap.9596:3482</v>
      </c>
      <c r="F9598" s="6" t="str">
        <f>_xll.QS.TRADE.CREATE("trade.9596",E9598,A9598,"Receive")</f>
        <v>QSObject:SwapTrade:w1~trade.9596:21824</v>
      </c>
      <c r="G9598" s="3">
        <f>_xll.QS.EVALUATE(C9598,F9598)</f>
        <v>68310.764261044373</v>
      </c>
      <c r="H9598" s="5" t="s">
        <v>9638</v>
      </c>
      <c r="I9598" s="7">
        <v>1959600</v>
      </c>
      <c r="J9598" s="8">
        <v>3.9600000000000003E-2</v>
      </c>
    </row>
    <row r="9599" spans="1:10" x14ac:dyDescent="0.25">
      <c r="A9599" s="5" t="s">
        <v>9632</v>
      </c>
      <c r="B9599" s="5" t="s">
        <v>11466</v>
      </c>
      <c r="C9599" s="6" t="str">
        <f>_xll.QS.CONTEXT.CREATE("market.9597",A9599,"USD","SOFR")</f>
        <v>QSObject:PricingContext:w1~market.9597:14708</v>
      </c>
      <c r="D9599" s="6" t="str">
        <f>_xll.QS.CONTEXT.ADD.CURVE(C9599,"SOFR",$K$2:$K$7,$L$2:$L$7,,,"Actual360","LogLinear",TRUE)</f>
        <v>QSObject:ContextInput:w1~input.qs_context_add_curve.2359132437744.9598.3.0:22118</v>
      </c>
      <c r="E9599" s="6" t="str">
        <f>_xll.QS.INSTRUMENT.SWAP("swap.9597",H9599,B9599,"USD","SOFR",I9599,J9599,0,"Actual360","Simple","Annual","Annual","Annual")</f>
        <v>QSObject:Swap:w1~swap.9597:6655</v>
      </c>
      <c r="F9599" s="6" t="str">
        <f>_xll.QS.TRADE.CREATE("trade.9597",E9599,A9599,"Receive")</f>
        <v>QSObject:SwapTrade:w1~trade.9597:13054</v>
      </c>
      <c r="G9599" s="3">
        <f>_xll.QS.EVALUATE(C9599,F9599)</f>
        <v>69301.593926241971</v>
      </c>
      <c r="H9599" s="5" t="s">
        <v>9639</v>
      </c>
      <c r="I9599" s="7">
        <v>1959700</v>
      </c>
      <c r="J9599" s="8">
        <v>3.9700000000000013E-2</v>
      </c>
    </row>
    <row r="9600" spans="1:10" x14ac:dyDescent="0.25">
      <c r="A9600" s="5" t="s">
        <v>9633</v>
      </c>
      <c r="B9600" s="5" t="s">
        <v>11467</v>
      </c>
      <c r="C9600" s="6" t="str">
        <f>_xll.QS.CONTEXT.CREATE("market.9598",A9600,"USD","SOFR")</f>
        <v>QSObject:PricingContext:w1~market.9598:17415</v>
      </c>
      <c r="D9600" s="6" t="str">
        <f>_xll.QS.CONTEXT.ADD.CURVE(C9600,"SOFR",$K$2:$K$7,$L$2:$L$7,,,"Actual360","LogLinear",TRUE)</f>
        <v>QSObject:ContextInput:w1~input.qs_context_add_curve.2359132437744.9599.3.0:31375</v>
      </c>
      <c r="E9600" s="6" t="str">
        <f>_xll.QS.INSTRUMENT.SWAP("swap.9598",H9600,B9600,"USD","SOFR",I9600,J9600,0,"Actual360","Simple","Annual","Annual","Annual")</f>
        <v>QSObject:Swap:w1~swap.9598:9867</v>
      </c>
      <c r="F9600" s="6" t="str">
        <f>_xll.QS.TRADE.CREATE("trade.9598",E9600,A9600,"Receive")</f>
        <v>QSObject:SwapTrade:w1~trade.9598:11522</v>
      </c>
      <c r="G9600" s="3">
        <f>_xll.QS.EVALUATE(C9600,F9600)</f>
        <v>70248.476215381103</v>
      </c>
      <c r="H9600" s="5" t="s">
        <v>9640</v>
      </c>
      <c r="I9600" s="7">
        <v>1959800</v>
      </c>
      <c r="J9600" s="8">
        <v>3.9800000000000002E-2</v>
      </c>
    </row>
    <row r="9601" spans="1:10" x14ac:dyDescent="0.25">
      <c r="A9601" s="5" t="s">
        <v>9634</v>
      </c>
      <c r="B9601" s="5" t="s">
        <v>11468</v>
      </c>
      <c r="C9601" s="6" t="str">
        <f>_xll.QS.CONTEXT.CREATE("market.9599",A9601,"USD","SOFR")</f>
        <v>QSObject:PricingContext:w1~market.9599:21823</v>
      </c>
      <c r="D9601" s="6" t="str">
        <f>_xll.QS.CONTEXT.ADD.CURVE(C9601,"SOFR",$K$2:$K$7,$L$2:$L$7,,,"Actual360","LogLinear",TRUE)</f>
        <v>QSObject:ContextInput:w1~input.qs_context_add_curve.2359132437744.9600.3.0:31374</v>
      </c>
      <c r="E9601" s="6" t="str">
        <f>_xll.QS.INSTRUMENT.SWAP("swap.9599",H9601,B9601,"USD","SOFR",I9601,J9601,0,"Actual360","Simple","Annual","Annual","Annual")</f>
        <v>QSObject:Swap:w1~swap.9599:16385</v>
      </c>
      <c r="F9601" s="6" t="str">
        <f>_xll.QS.TRADE.CREATE("trade.9599",E9601,A9601,"Receive")</f>
        <v>QSObject:SwapTrade:w1~trade.9599:22117</v>
      </c>
      <c r="G9601" s="3">
        <f>_xll.QS.EVALUATE(C9601,F9601)</f>
        <v>71300.379996497126</v>
      </c>
      <c r="H9601" s="5" t="s">
        <v>9641</v>
      </c>
      <c r="I9601" s="7">
        <v>1959900</v>
      </c>
      <c r="J9601" s="8">
        <v>3.9899999999999998E-2</v>
      </c>
    </row>
    <row r="9602" spans="1:10" x14ac:dyDescent="0.25">
      <c r="A9602" s="5" t="s">
        <v>9635</v>
      </c>
      <c r="B9602" s="5" t="s">
        <v>11469</v>
      </c>
      <c r="C9602" s="6" t="str">
        <f>_xll.QS.CONTEXT.CREATE("market.9600",A9602,"USD","SOFR")</f>
        <v>QSObject:PricingContext:w1~market.9600:3481</v>
      </c>
      <c r="D9602" s="6" t="str">
        <f>_xll.QS.CONTEXT.ADD.CURVE(C9602,"SOFR",$K$2:$K$7,$L$2:$L$7,,,"Actual360","LogLinear",TRUE)</f>
        <v>QSObject:ContextInput:w1~input.qs_context_add_curve.2359132437744.9601.3.0:20072</v>
      </c>
      <c r="E9602" s="6" t="str">
        <f>_xll.QS.INSTRUMENT.SWAP("swap.9600",H9602,B9602,"USD","SOFR",I9602,J9602,0,"Actual360","Simple","Annual","Annual","Annual")</f>
        <v>QSObject:Swap:w1~swap.9600:14707</v>
      </c>
      <c r="F9602" s="6" t="str">
        <f>_xll.QS.TRADE.CREATE("trade.9600",E9602,A9602,"Receive")</f>
        <v>QSObject:SwapTrade:w1~trade.9600:22116</v>
      </c>
      <c r="G9602" s="3">
        <f>_xll.QS.EVALUATE(C9602,F9602)</f>
        <v>27101.614353173922</v>
      </c>
      <c r="H9602" s="5" t="s">
        <v>9642</v>
      </c>
      <c r="I9602" s="7">
        <v>1960000</v>
      </c>
      <c r="J9602" s="8">
        <v>3.5000000000000003E-2</v>
      </c>
    </row>
    <row r="9603" spans="1:10" x14ac:dyDescent="0.25">
      <c r="A9603" s="5" t="s">
        <v>9636</v>
      </c>
      <c r="B9603" s="5" t="s">
        <v>11470</v>
      </c>
      <c r="C9603" s="6" t="str">
        <f>_xll.QS.CONTEXT.CREATE("market.9601",A9603,"USD","SOFR")</f>
        <v>QSObject:PricingContext:w1~market.9601:6654</v>
      </c>
      <c r="D9603" s="6" t="str">
        <f>_xll.QS.CONTEXT.ADD.CURVE(C9603,"SOFR",$K$2:$K$7,$L$2:$L$7,,,"Actual360","LogLinear",TRUE)</f>
        <v>QSObject:ContextInput:w1~input.qs_context_add_curve.2359132437744.9602.3.0:17414</v>
      </c>
      <c r="E9603" s="6" t="str">
        <f>_xll.QS.INSTRUMENT.SWAP("swap.9601",H9603,B9603,"USD","SOFR",I9603,J9603,0,"Actual360","Simple","Annual","Annual","Annual")</f>
        <v>QSObject:Swap:w1~swap.9601:5049</v>
      </c>
      <c r="F9603" s="6" t="str">
        <f>_xll.QS.TRADE.CREATE("trade.9601",E9603,A9603,"Receive")</f>
        <v>QSObject:SwapTrade:w1~trade.9601:22115</v>
      </c>
      <c r="G9603" s="3">
        <f>_xll.QS.EVALUATE(C9603,F9603)</f>
        <v>27931.864293797793</v>
      </c>
      <c r="H9603" s="5" t="s">
        <v>9643</v>
      </c>
      <c r="I9603" s="7">
        <v>1960100</v>
      </c>
      <c r="J9603" s="8">
        <v>3.5100000000000013E-2</v>
      </c>
    </row>
    <row r="9604" spans="1:10" x14ac:dyDescent="0.25">
      <c r="A9604" s="5" t="s">
        <v>9637</v>
      </c>
      <c r="B9604" s="5" t="s">
        <v>11471</v>
      </c>
      <c r="C9604" s="6" t="str">
        <f>_xll.QS.CONTEXT.CREATE("market.9602",A9604,"USD","SOFR")</f>
        <v>QSObject:PricingContext:w1~market.9602:18377</v>
      </c>
      <c r="D9604" s="6" t="str">
        <f>_xll.QS.CONTEXT.ADD.CURVE(C9604,"SOFR",$K$2:$K$7,$L$2:$L$7,,,"Actual360","LogLinear",TRUE)</f>
        <v>QSObject:ContextInput:w1~input.qs_context_add_curve.2359132437744.9603.3.0:31373</v>
      </c>
      <c r="E9604" s="6" t="str">
        <f>_xll.QS.INSTRUMENT.SWAP("swap.9602",H9604,B9604,"USD","SOFR",I9604,J9604,0,"Actual360","Simple","Annual","Annual","Annual")</f>
        <v>QSObject:Swap:w1~swap.9602:20071</v>
      </c>
      <c r="F9604" s="6" t="str">
        <f>_xll.QS.TRADE.CREATE("trade.9602",E9604,A9604,"Receive")</f>
        <v>QSObject:SwapTrade:w1~trade.9602:22114</v>
      </c>
      <c r="G9604" s="3">
        <f>_xll.QS.EVALUATE(C9604,F9604)</f>
        <v>28720.643704227463</v>
      </c>
      <c r="H9604" s="5" t="s">
        <v>9644</v>
      </c>
      <c r="I9604" s="7">
        <v>1960200</v>
      </c>
      <c r="J9604" s="8">
        <v>3.5200000000000002E-2</v>
      </c>
    </row>
    <row r="9605" spans="1:10" x14ac:dyDescent="0.25">
      <c r="A9605" s="5" t="s">
        <v>9638</v>
      </c>
      <c r="B9605" s="5" t="s">
        <v>11472</v>
      </c>
      <c r="C9605" s="6" t="str">
        <f>_xll.QS.CONTEXT.CREATE("market.9603",A9605,"USD","SOFR")</f>
        <v>QSObject:PricingContext:w1~market.9603:13053</v>
      </c>
      <c r="D9605" s="6" t="str">
        <f>_xll.QS.CONTEXT.ADD.CURVE(C9605,"SOFR",$K$2:$K$7,$L$2:$L$7,,,"Actual360","LogLinear",TRUE)</f>
        <v>QSObject:ContextInput:w1~input.qs_context_add_curve.2359132437744.9604.3.0:14706</v>
      </c>
      <c r="E9605" s="6" t="str">
        <f>_xll.QS.INSTRUMENT.SWAP("swap.9603",H9605,B9605,"USD","SOFR",I9605,J9605,0,"Actual360","Simple","Annual","Annual","Annual")</f>
        <v>QSObject:Swap:w1~swap.9603:9866</v>
      </c>
      <c r="F9605" s="6" t="str">
        <f>_xll.QS.TRADE.CREATE("trade.9603",E9605,A9605,"Receive")</f>
        <v>QSObject:SwapTrade:w1~trade.9603:17413</v>
      </c>
      <c r="G9605" s="3">
        <f>_xll.QS.EVALUATE(C9605,F9605)</f>
        <v>29448.441817270774</v>
      </c>
      <c r="H9605" s="5" t="s">
        <v>9645</v>
      </c>
      <c r="I9605" s="7">
        <v>1960300</v>
      </c>
      <c r="J9605" s="8">
        <v>3.5299999999999998E-2</v>
      </c>
    </row>
    <row r="9606" spans="1:10" x14ac:dyDescent="0.25">
      <c r="A9606" s="5" t="s">
        <v>9639</v>
      </c>
      <c r="B9606" s="5" t="s">
        <v>11473</v>
      </c>
      <c r="C9606" s="6" t="str">
        <f>_xll.QS.CONTEXT.CREATE("market.9604",A9606,"USD","SOFR")</f>
        <v>QSObject:PricingContext:w1~market.9604:3480</v>
      </c>
      <c r="D9606" s="6" t="str">
        <f>_xll.QS.CONTEXT.ADD.CURVE(C9606,"SOFR",$K$2:$K$7,$L$2:$L$7,,,"Actual360","LogLinear",TRUE)</f>
        <v>QSObject:ContextInput:w1~input.qs_context_add_curve.2359132437744.9605.3.0:21822</v>
      </c>
      <c r="E9606" s="6" t="str">
        <f>_xll.QS.INSTRUMENT.SWAP("swap.9604",H9606,B9606,"USD","SOFR",I9606,J9606,0,"Actual360","Simple","Annual","Annual","Annual")</f>
        <v>QSObject:Swap:w1~swap.9604:6653</v>
      </c>
      <c r="F9606" s="6" t="str">
        <f>_xll.QS.TRADE.CREATE("trade.9604",E9606,A9606,"Receive")</f>
        <v>QSObject:SwapTrade:w1~trade.9604:22113</v>
      </c>
      <c r="G9606" s="3">
        <f>_xll.QS.EVALUATE(C9606,F9606)</f>
        <v>30434.77532535365</v>
      </c>
      <c r="H9606" s="5" t="s">
        <v>9646</v>
      </c>
      <c r="I9606" s="7">
        <v>1960400</v>
      </c>
      <c r="J9606" s="8">
        <v>3.5400000000000001E-2</v>
      </c>
    </row>
    <row r="9607" spans="1:10" x14ac:dyDescent="0.25">
      <c r="A9607" s="5" t="s">
        <v>9640</v>
      </c>
      <c r="B9607" s="5" t="s">
        <v>11474</v>
      </c>
      <c r="C9607" s="6" t="str">
        <f>_xll.QS.CONTEXT.CREATE("market.9605",A9607,"USD","SOFR")</f>
        <v>QSObject:PricingContext:w1~market.9605:14705</v>
      </c>
      <c r="D9607" s="6" t="str">
        <f>_xll.QS.CONTEXT.ADD.CURVE(C9607,"SOFR",$K$2:$K$7,$L$2:$L$7,,,"Actual360","LogLinear",TRUE)</f>
        <v>QSObject:ContextInput:w1~input.qs_context_add_curve.2359132437744.9606.3.0:31372</v>
      </c>
      <c r="E9607" s="6" t="str">
        <f>_xll.QS.INSTRUMENT.SWAP("swap.9605",H9607,B9607,"USD","SOFR",I9607,J9607,0,"Actual360","Simple","Annual","Annual","Annual")</f>
        <v>QSObject:Swap:w1~swap.9605:11521</v>
      </c>
      <c r="F9607" s="6" t="str">
        <f>_xll.QS.TRADE.CREATE("trade.9605",E9607,A9607,"Receive")</f>
        <v>QSObject:SwapTrade:w1~trade.9605:22112</v>
      </c>
      <c r="G9607" s="3">
        <f>_xll.QS.EVALUATE(C9607,F9607)</f>
        <v>31400.491361579472</v>
      </c>
      <c r="H9607" s="5" t="s">
        <v>9647</v>
      </c>
      <c r="I9607" s="7">
        <v>1960500</v>
      </c>
      <c r="J9607" s="8">
        <v>3.5499999999999997E-2</v>
      </c>
    </row>
    <row r="9608" spans="1:10" x14ac:dyDescent="0.25">
      <c r="A9608" s="5" t="s">
        <v>9641</v>
      </c>
      <c r="B9608" s="5" t="s">
        <v>11475</v>
      </c>
      <c r="C9608" s="6" t="str">
        <f>_xll.QS.CONTEXT.CREATE("market.9606",A9608,"USD","SOFR")</f>
        <v>QSObject:PricingContext:w1~market.9606:9865</v>
      </c>
      <c r="D9608" s="6" t="str">
        <f>_xll.QS.CONTEXT.ADD.CURVE(C9608,"SOFR",$K$2:$K$7,$L$2:$L$7,,,"Actual360","LogLinear",TRUE)</f>
        <v>QSObject:ContextInput:w1~input.qs_context_add_curve.2359132437744.9607.3.0:31371</v>
      </c>
      <c r="E9608" s="6" t="str">
        <f>_xll.QS.INSTRUMENT.SWAP("swap.9606",H9608,B9608,"USD","SOFR",I9608,J9608,0,"Actual360","Simple","Annual","Annual","Annual")</f>
        <v>QSObject:Swap:w1~swap.9606:16384</v>
      </c>
      <c r="F9608" s="6" t="str">
        <f>_xll.QS.TRADE.CREATE("trade.9606",E9608,A9608,"Receive")</f>
        <v>QSObject:SwapTrade:w1~trade.9606:21821</v>
      </c>
      <c r="G9608" s="3">
        <f>_xll.QS.EVALUATE(C9608,F9608)</f>
        <v>32449.15992060148</v>
      </c>
      <c r="H9608" s="5" t="s">
        <v>9648</v>
      </c>
      <c r="I9608" s="7">
        <v>1960600</v>
      </c>
      <c r="J9608" s="8">
        <v>3.5600000000000007E-2</v>
      </c>
    </row>
    <row r="9609" spans="1:10" x14ac:dyDescent="0.25">
      <c r="A9609" s="5" t="s">
        <v>9642</v>
      </c>
      <c r="B9609" s="5" t="s">
        <v>11476</v>
      </c>
      <c r="C9609" s="6" t="str">
        <f>_xll.QS.CONTEXT.CREATE("market.9607",A9609,"USD","SOFR")</f>
        <v>QSObject:PricingContext:w1~market.9607:429</v>
      </c>
      <c r="D9609" s="6" t="str">
        <f>_xll.QS.CONTEXT.ADD.CURVE(C9609,"SOFR",$K$2:$K$7,$L$2:$L$7,,,"Actual360","LogLinear",TRUE)</f>
        <v>QSObject:ContextInput:w1~input.qs_context_add_curve.2359132437744.9608.3.0:13052</v>
      </c>
      <c r="E9609" s="6" t="str">
        <f>_xll.QS.INSTRUMENT.SWAP("swap.9607",H9609,B9609,"USD","SOFR",I9609,J9609,0,"Actual360","Simple","Annual","Annual","Annual")</f>
        <v>QSObject:Swap:w1~swap.9607:14704</v>
      </c>
      <c r="F9609" s="6" t="str">
        <f>_xll.QS.TRADE.CREATE("trade.9607",E9609,A9609,"Receive")</f>
        <v>QSObject:SwapTrade:w1~trade.9607:22111</v>
      </c>
      <c r="G9609" s="3">
        <f>_xll.QS.EVALUATE(C9609,F9609)</f>
        <v>33440.451782890865</v>
      </c>
      <c r="H9609" s="5" t="s">
        <v>9649</v>
      </c>
      <c r="I9609" s="7">
        <v>1960700</v>
      </c>
      <c r="J9609" s="8">
        <v>3.5700000000000003E-2</v>
      </c>
    </row>
    <row r="9610" spans="1:10" x14ac:dyDescent="0.25">
      <c r="A9610" s="5" t="s">
        <v>9643</v>
      </c>
      <c r="B9610" s="5" t="s">
        <v>11477</v>
      </c>
      <c r="C9610" s="6" t="str">
        <f>_xll.QS.CONTEXT.CREATE("market.9608",A9610,"USD","SOFR")</f>
        <v>QSObject:PricingContext:w1~market.9608:18376</v>
      </c>
      <c r="D9610" s="6" t="str">
        <f>_xll.QS.CONTEXT.ADD.CURVE(C9610,"SOFR",$K$2:$K$7,$L$2:$L$7,,,"Actual360","LogLinear",TRUE)</f>
        <v>QSObject:ContextInput:w1~input.qs_context_add_curve.2359132437744.9609.3.0:31370</v>
      </c>
      <c r="E9610" s="6" t="str">
        <f>_xll.QS.INSTRUMENT.SWAP("swap.9608",H9610,B9610,"USD","SOFR",I9610,J9610,0,"Actual360","Simple","Annual","Annual","Annual")</f>
        <v>QSObject:Swap:w1~swap.9608:20070</v>
      </c>
      <c r="F9610" s="6" t="str">
        <f>_xll.QS.TRADE.CREATE("trade.9608",E9610,A9610,"Receive")</f>
        <v>QSObject:SwapTrade:w1~trade.9608:22110</v>
      </c>
      <c r="G9610" s="3">
        <f>_xll.QS.EVALUATE(C9610,F9610)</f>
        <v>34271.272271024623</v>
      </c>
      <c r="H9610" s="5" t="s">
        <v>9650</v>
      </c>
      <c r="I9610" s="7">
        <v>1960800</v>
      </c>
      <c r="J9610" s="8">
        <v>3.5800000000000012E-2</v>
      </c>
    </row>
    <row r="9611" spans="1:10" x14ac:dyDescent="0.25">
      <c r="A9611" s="5" t="s">
        <v>9644</v>
      </c>
      <c r="B9611" s="5" t="s">
        <v>11478</v>
      </c>
      <c r="C9611" s="6" t="str">
        <f>_xll.QS.CONTEXT.CREATE("market.9609",A9611,"USD","SOFR")</f>
        <v>QSObject:PricingContext:w1~market.9609:3479</v>
      </c>
      <c r="D9611" s="6" t="str">
        <f>_xll.QS.CONTEXT.ADD.CURVE(C9611,"SOFR",$K$2:$K$7,$L$2:$L$7,,,"Actual360","LogLinear",TRUE)</f>
        <v>QSObject:ContextInput:w1~input.qs_context_add_curve.2359132437744.9610.3.0:5048</v>
      </c>
      <c r="E9611" s="6" t="str">
        <f>_xll.QS.INSTRUMENT.SWAP("swap.9609",H9611,B9611,"USD","SOFR",I9611,J9611,0,"Actual360","Simple","Annual","Annual","Annual")</f>
        <v>QSObject:Swap:w1~swap.9609:16383</v>
      </c>
      <c r="F9611" s="6" t="str">
        <f>_xll.QS.TRADE.CREATE("trade.9609",E9611,A9611,"Receive")</f>
        <v>QSObject:SwapTrade:w1~trade.9609:22109</v>
      </c>
      <c r="G9611" s="3">
        <f>_xll.QS.EVALUATE(C9611,F9611)</f>
        <v>35123.11742616992</v>
      </c>
      <c r="H9611" s="5" t="s">
        <v>9651</v>
      </c>
      <c r="I9611" s="7">
        <v>1960900</v>
      </c>
      <c r="J9611" s="8">
        <v>3.5900000000000001E-2</v>
      </c>
    </row>
    <row r="9612" spans="1:10" x14ac:dyDescent="0.25">
      <c r="A9612" s="5" t="s">
        <v>9645</v>
      </c>
      <c r="B9612" s="5" t="s">
        <v>11479</v>
      </c>
      <c r="C9612" s="6" t="str">
        <f>_xll.QS.CONTEXT.CREATE("market.9610",A9612,"USD","SOFR")</f>
        <v>QSObject:PricingContext:w1~market.9610:428</v>
      </c>
      <c r="D9612" s="6" t="str">
        <f>_xll.QS.CONTEXT.ADD.CURVE(C9612,"SOFR",$K$2:$K$7,$L$2:$L$7,,,"Actual360","LogLinear",TRUE)</f>
        <v>QSObject:ContextInput:w1~input.qs_context_add_curve.2359132437744.9611.3.0:13051</v>
      </c>
      <c r="E9612" s="6" t="str">
        <f>_xll.QS.INSTRUMENT.SWAP("swap.9610",H9612,B9612,"USD","SOFR",I9612,J9612,0,"Actual360","Simple","Annual","Annual","Annual")</f>
        <v>QSObject:Swap:w1~swap.9610:6652</v>
      </c>
      <c r="F9612" s="6" t="str">
        <f>_xll.QS.TRADE.CREATE("trade.9610",E9612,A9612,"Receive")</f>
        <v>QSObject:SwapTrade:w1~trade.9610:18375</v>
      </c>
      <c r="G9612" s="3">
        <f>_xll.QS.EVALUATE(C9612,F9612)</f>
        <v>35791.095349442941</v>
      </c>
      <c r="H9612" s="5" t="s">
        <v>9652</v>
      </c>
      <c r="I9612" s="7">
        <v>1961000</v>
      </c>
      <c r="J9612" s="8">
        <v>3.5999999999999997E-2</v>
      </c>
    </row>
    <row r="9613" spans="1:10" x14ac:dyDescent="0.25">
      <c r="A9613" s="5" t="s">
        <v>9646</v>
      </c>
      <c r="B9613" s="5" t="s">
        <v>11480</v>
      </c>
      <c r="C9613" s="6" t="str">
        <f>_xll.QS.CONTEXT.CREATE("market.9611",A9613,"USD","SOFR")</f>
        <v>QSObject:PricingContext:w1~market.9611:1932</v>
      </c>
      <c r="D9613" s="6" t="str">
        <f>_xll.QS.CONTEXT.ADD.CURVE(C9613,"SOFR",$K$2:$K$7,$L$2:$L$7,,,"Actual360","LogLinear",TRUE)</f>
        <v>QSObject:ContextInput:w1~input.qs_context_add_curve.2359132437744.9612.3.0:20069</v>
      </c>
      <c r="E9613" s="6" t="str">
        <f>_xll.QS.INSTRUMENT.SWAP("swap.9611",H9613,B9613,"USD","SOFR",I9613,J9613,0,"Actual360","Simple","Annual","Annual","Annual")</f>
        <v>QSObject:Swap:w1~swap.9611:14703</v>
      </c>
      <c r="F9613" s="6" t="str">
        <f>_xll.QS.TRADE.CREATE("trade.9611",E9613,A9613,"Receive")</f>
        <v>QSObject:SwapTrade:w1~trade.9611:22108</v>
      </c>
      <c r="G9613" s="3">
        <f>_xll.QS.EVALUATE(C9613,F9613)</f>
        <v>36778.995995055542</v>
      </c>
      <c r="H9613" s="5" t="s">
        <v>9653</v>
      </c>
      <c r="I9613" s="7">
        <v>1961100</v>
      </c>
      <c r="J9613" s="8">
        <v>3.61E-2</v>
      </c>
    </row>
    <row r="9614" spans="1:10" x14ac:dyDescent="0.25">
      <c r="A9614" s="5" t="s">
        <v>9647</v>
      </c>
      <c r="B9614" s="5" t="s">
        <v>11481</v>
      </c>
      <c r="C9614" s="6" t="str">
        <f>_xll.QS.CONTEXT.CREATE("market.9612",A9614,"USD","SOFR")</f>
        <v>QSObject:PricingContext:w1~market.9612:3478</v>
      </c>
      <c r="D9614" s="6" t="str">
        <f>_xll.QS.CONTEXT.ADD.CURVE(C9614,"SOFR",$K$2:$K$7,$L$2:$L$7,,,"Actual360","LogLinear",TRUE)</f>
        <v>QSObject:ContextInput:w1~input.qs_context_add_curve.2359132437744.9613.3.0:13050</v>
      </c>
      <c r="E9614" s="6" t="str">
        <f>_xll.QS.INSTRUMENT.SWAP("swap.9612",H9614,B9614,"USD","SOFR",I9614,J9614,0,"Actual360","Simple","Annual","Annual","Annual")</f>
        <v>QSObject:Swap:w1~swap.9612:17412</v>
      </c>
      <c r="F9614" s="6" t="str">
        <f>_xll.QS.TRADE.CREATE("trade.9612",E9614,A9614,"Receive")</f>
        <v>QSObject:SwapTrade:w1~trade.9612:22107</v>
      </c>
      <c r="G9614" s="3">
        <f>_xll.QS.EVALUATE(C9614,F9614)</f>
        <v>37742.308181250301</v>
      </c>
      <c r="H9614" s="5" t="s">
        <v>9654</v>
      </c>
      <c r="I9614" s="7">
        <v>1961200</v>
      </c>
      <c r="J9614" s="8">
        <v>3.6200000000000003E-2</v>
      </c>
    </row>
    <row r="9615" spans="1:10" x14ac:dyDescent="0.25">
      <c r="A9615" s="5" t="s">
        <v>9648</v>
      </c>
      <c r="B9615" s="5" t="s">
        <v>11482</v>
      </c>
      <c r="C9615" s="6" t="str">
        <f>_xll.QS.CONTEXT.CREATE("market.9613",A9615,"USD","SOFR")</f>
        <v>QSObject:PricingContext:w1~market.9613:9864</v>
      </c>
      <c r="D9615" s="6" t="str">
        <f>_xll.QS.CONTEXT.ADD.CURVE(C9615,"SOFR",$K$2:$K$7,$L$2:$L$7,,,"Actual360","LogLinear",TRUE)</f>
        <v>QSObject:ContextInput:w1~input.qs_context_add_curve.2359132437744.9614.3.0:14702</v>
      </c>
      <c r="E9615" s="6" t="str">
        <f>_xll.QS.INSTRUMENT.SWAP("swap.9613",H9615,B9615,"USD","SOFR",I9615,J9615,0,"Actual360","Simple","Annual","Annual","Annual")</f>
        <v>QSObject:Swap:w1~swap.9613:427</v>
      </c>
      <c r="F9615" s="6" t="str">
        <f>_xll.QS.TRADE.CREATE("trade.9613",E9615,A9615,"Receive")</f>
        <v>QSObject:SwapTrade:w1~trade.9613:3477</v>
      </c>
      <c r="G9615" s="3">
        <f>_xll.QS.EVALUATE(C9615,F9615)</f>
        <v>38867.373608136935</v>
      </c>
      <c r="H9615" s="5" t="s">
        <v>9655</v>
      </c>
      <c r="I9615" s="7">
        <v>1961300</v>
      </c>
      <c r="J9615" s="8">
        <v>3.6300000000000013E-2</v>
      </c>
    </row>
    <row r="9616" spans="1:10" x14ac:dyDescent="0.25">
      <c r="A9616" s="5" t="s">
        <v>9649</v>
      </c>
      <c r="B9616" s="5" t="s">
        <v>11483</v>
      </c>
      <c r="C9616" s="6" t="str">
        <f>_xll.QS.CONTEXT.CREATE("market.9614",A9616,"USD","SOFR")</f>
        <v>QSObject:PricingContext:w1~market.9614:16382</v>
      </c>
      <c r="D9616" s="6" t="str">
        <f>_xll.QS.CONTEXT.ADD.CURVE(C9616,"SOFR",$K$2:$K$7,$L$2:$L$7,,,"Actual360","LogLinear",TRUE)</f>
        <v>QSObject:ContextInput:w1~input.qs_context_add_curve.2359132437744.9615.3.0:31369</v>
      </c>
      <c r="E9616" s="6" t="str">
        <f>_xll.QS.INSTRUMENT.SWAP("swap.9614",H9616,B9616,"USD","SOFR",I9616,J9616,0,"Actual360","Simple","Annual","Annual","Annual")</f>
        <v>QSObject:Swap:w1~swap.9614:20068</v>
      </c>
      <c r="F9616" s="6" t="str">
        <f>_xll.QS.TRADE.CREATE("trade.9614",E9616,A9616,"Receive")</f>
        <v>QSObject:SwapTrade:w1~trade.9614:22106</v>
      </c>
      <c r="G9616" s="3">
        <f>_xll.QS.EVALUATE(C9616,F9616)</f>
        <v>39783.807979636251</v>
      </c>
      <c r="H9616" s="5" t="s">
        <v>9656</v>
      </c>
      <c r="I9616" s="7">
        <v>1961400</v>
      </c>
      <c r="J9616" s="8">
        <v>3.6400000000000002E-2</v>
      </c>
    </row>
    <row r="9617" spans="1:10" x14ac:dyDescent="0.25">
      <c r="A9617" s="5" t="s">
        <v>9650</v>
      </c>
      <c r="B9617" s="5" t="s">
        <v>11484</v>
      </c>
      <c r="C9617" s="6" t="str">
        <f>_xll.QS.CONTEXT.CREATE("market.9615",A9617,"USD","SOFR")</f>
        <v>QSObject:PricingContext:w1~market.9615:21820</v>
      </c>
      <c r="D9617" s="6" t="str">
        <f>_xll.QS.CONTEXT.ADD.CURVE(C9617,"SOFR",$K$2:$K$7,$L$2:$L$7,,,"Actual360","LogLinear",TRUE)</f>
        <v>QSObject:ContextInput:w1~input.qs_context_add_curve.2359132437744.9616.3.0:31368</v>
      </c>
      <c r="E9617" s="6" t="str">
        <f>_xll.QS.INSTRUMENT.SWAP("swap.9615",H9617,B9617,"USD","SOFR",I9617,J9617,0,"Actual360","Simple","Annual","Annual","Annual")</f>
        <v>QSObject:Swap:w1~swap.9615:11520</v>
      </c>
      <c r="F9617" s="6" t="str">
        <f>_xll.QS.TRADE.CREATE("trade.9615",E9617,A9617,"Receive")</f>
        <v>QSObject:SwapTrade:w1~trade.9615:22105</v>
      </c>
      <c r="G9617" s="3">
        <f>_xll.QS.EVALUATE(C9617,F9617)</f>
        <v>40614.873489272599</v>
      </c>
      <c r="H9617" s="5" t="s">
        <v>9657</v>
      </c>
      <c r="I9617" s="7">
        <v>1961500</v>
      </c>
      <c r="J9617" s="8">
        <v>3.6499999999999998E-2</v>
      </c>
    </row>
    <row r="9618" spans="1:10" x14ac:dyDescent="0.25">
      <c r="A9618" s="5" t="s">
        <v>9651</v>
      </c>
      <c r="B9618" s="5" t="s">
        <v>11485</v>
      </c>
      <c r="C9618" s="6" t="str">
        <f>_xll.QS.CONTEXT.CREATE("market.9616",A9618,"USD","SOFR")</f>
        <v>QSObject:PricingContext:w1~market.9616:3476</v>
      </c>
      <c r="D9618" s="6" t="str">
        <f>_xll.QS.CONTEXT.ADD.CURVE(C9618,"SOFR",$K$2:$K$7,$L$2:$L$7,,,"Actual360","LogLinear",TRUE)</f>
        <v>QSObject:ContextInput:w1~input.qs_context_add_curve.2359132437744.9617.3.0:14701</v>
      </c>
      <c r="E9618" s="6" t="str">
        <f>_xll.QS.INSTRUMENT.SWAP("swap.9616",H9618,B9618,"USD","SOFR",I9618,J9618,0,"Actual360","Simple","Annual","Annual","Annual")</f>
        <v>QSObject:Swap:w1~swap.9616:18374</v>
      </c>
      <c r="F9618" s="6" t="str">
        <f>_xll.QS.TRADE.CREATE("trade.9616",E9618,A9618,"Receive")</f>
        <v>QSObject:SwapTrade:w1~trade.9616:22104</v>
      </c>
      <c r="G9618" s="3">
        <f>_xll.QS.EVALUATE(C9618,F9618)</f>
        <v>41389.948916443434</v>
      </c>
      <c r="H9618" s="5" t="s">
        <v>9658</v>
      </c>
      <c r="I9618" s="7">
        <v>1961600</v>
      </c>
      <c r="J9618" s="8">
        <v>3.6600000000000001E-2</v>
      </c>
    </row>
    <row r="9619" spans="1:10" x14ac:dyDescent="0.25">
      <c r="A9619" s="5" t="s">
        <v>9652</v>
      </c>
      <c r="B9619" s="5" t="s">
        <v>11486</v>
      </c>
      <c r="C9619" s="6" t="str">
        <f>_xll.QS.CONTEXT.CREATE("market.9617",A9619,"USD","SOFR")</f>
        <v>QSObject:PricingContext:w1~market.9617:9863</v>
      </c>
      <c r="D9619" s="6" t="str">
        <f>_xll.QS.CONTEXT.ADD.CURVE(C9619,"SOFR",$K$2:$K$7,$L$2:$L$7,,,"Actual360","LogLinear",TRUE)</f>
        <v>QSObject:ContextInput:w1~input.qs_context_add_curve.2359132437744.9618.3.0:31367</v>
      </c>
      <c r="E9619" s="6" t="str">
        <f>_xll.QS.INSTRUMENT.SWAP("swap.9617",H9619,B9619,"USD","SOFR",I9619,J9619,0,"Actual360","Simple","Annual","Annual","Annual")</f>
        <v>QSObject:Swap:w1~swap.9617:426</v>
      </c>
      <c r="F9619" s="6" t="str">
        <f>_xll.QS.TRADE.CREATE("trade.9617",E9619,A9619,"Receive")</f>
        <v>QSObject:SwapTrade:w1~trade.9617:17411</v>
      </c>
      <c r="G9619" s="3">
        <f>_xll.QS.EVALUATE(C9619,F9619)</f>
        <v>42138.548972573772</v>
      </c>
      <c r="H9619" s="5" t="s">
        <v>9659</v>
      </c>
      <c r="I9619" s="7">
        <v>1961700</v>
      </c>
      <c r="J9619" s="8">
        <v>3.6700000000000003E-2</v>
      </c>
    </row>
    <row r="9620" spans="1:10" x14ac:dyDescent="0.25">
      <c r="A9620" s="5" t="s">
        <v>9653</v>
      </c>
      <c r="B9620" s="5" t="s">
        <v>11487</v>
      </c>
      <c r="C9620" s="6" t="str">
        <f>_xll.QS.CONTEXT.CREATE("market.9618",A9620,"USD","SOFR")</f>
        <v>QSObject:PricingContext:w1~market.9618:5047</v>
      </c>
      <c r="D9620" s="6" t="str">
        <f>_xll.QS.CONTEXT.ADD.CURVE(C9620,"SOFR",$K$2:$K$7,$L$2:$L$7,,,"Actual360","LogLinear",TRUE)</f>
        <v>QSObject:ContextInput:w1~input.qs_context_add_curve.2359132437744.9619.3.0:20067</v>
      </c>
      <c r="E9620" s="6" t="str">
        <f>_xll.QS.INSTRUMENT.SWAP("swap.9618",H9620,B9620,"USD","SOFR",I9620,J9620,0,"Actual360","Simple","Annual","Annual","Annual")</f>
        <v>QSObject:Swap:w1~swap.9618:6651</v>
      </c>
      <c r="F9620" s="6" t="str">
        <f>_xll.QS.TRADE.CREATE("trade.9618",E9620,A9620,"Receive")</f>
        <v>QSObject:SwapTrade:w1~trade.9618:22103</v>
      </c>
      <c r="G9620" s="3">
        <f>_xll.QS.EVALUATE(C9620,F9620)</f>
        <v>43127.737951104566</v>
      </c>
      <c r="H9620" s="5" t="s">
        <v>9660</v>
      </c>
      <c r="I9620" s="7">
        <v>1961800</v>
      </c>
      <c r="J9620" s="8">
        <v>3.6800000000000013E-2</v>
      </c>
    </row>
    <row r="9621" spans="1:10" x14ac:dyDescent="0.25">
      <c r="A9621" s="5" t="s">
        <v>9654</v>
      </c>
      <c r="B9621" s="5" t="s">
        <v>11488</v>
      </c>
      <c r="C9621" s="6" t="str">
        <f>_xll.QS.CONTEXT.CREATE("market.9619",A9621,"USD","SOFR")</f>
        <v>QSObject:PricingContext:w1~market.9619:14700</v>
      </c>
      <c r="D9621" s="6" t="str">
        <f>_xll.QS.CONTEXT.ADD.CURVE(C9621,"SOFR",$K$2:$K$7,$L$2:$L$7,,,"Actual360","LogLinear",TRUE)</f>
        <v>QSObject:ContextInput:w1~input.qs_context_add_curve.2359132437744.9620.3.0:22102</v>
      </c>
      <c r="E9621" s="6" t="str">
        <f>_xll.QS.INSTRUMENT.SWAP("swap.9619",H9621,B9621,"USD","SOFR",I9621,J9621,0,"Actual360","Simple","Annual","Annual","Annual")</f>
        <v>QSObject:Swap:w1~swap.9619:16381</v>
      </c>
      <c r="F9621" s="6" t="str">
        <f>_xll.QS.TRADE.CREATE("trade.9619",E9621,A9621,"Receive")</f>
        <v>QSObject:SwapTrade:w1~trade.9619:22101</v>
      </c>
      <c r="G9621" s="3">
        <f>_xll.QS.EVALUATE(C9621,F9621)</f>
        <v>44088.644094999225</v>
      </c>
      <c r="H9621" s="5" t="s">
        <v>9661</v>
      </c>
      <c r="I9621" s="7">
        <v>1961900</v>
      </c>
      <c r="J9621" s="8">
        <v>3.6900000000000002E-2</v>
      </c>
    </row>
    <row r="9622" spans="1:10" x14ac:dyDescent="0.25">
      <c r="A9622" s="5" t="s">
        <v>9655</v>
      </c>
      <c r="B9622" s="5" t="s">
        <v>11489</v>
      </c>
      <c r="C9622" s="6" t="str">
        <f>_xll.QS.CONTEXT.CREATE("market.9620",A9622,"USD","SOFR")</f>
        <v>QSObject:PricingContext:w1~market.9620:21819</v>
      </c>
      <c r="D9622" s="6" t="str">
        <f>_xll.QS.CONTEXT.ADD.CURVE(C9622,"SOFR",$K$2:$K$7,$L$2:$L$7,,,"Actual360","LogLinear",TRUE)</f>
        <v>QSObject:ContextInput:w1~input.qs_context_add_curve.2359132437744.9621.3.0:31366</v>
      </c>
      <c r="E9622" s="6" t="str">
        <f>_xll.QS.INSTRUMENT.SWAP("swap.9620",H9622,B9622,"USD","SOFR",I9622,J9622,0,"Actual360","Simple","Annual","Annual","Annual")</f>
        <v>QSObject:Swap:w1~swap.9620:9862</v>
      </c>
      <c r="F9622" s="6" t="str">
        <f>_xll.QS.TRADE.CREATE("trade.9620",E9622,A9622,"Receive")</f>
        <v>QSObject:SwapTrade:w1~trade.9620:22100</v>
      </c>
      <c r="G9622" s="3">
        <f>_xll.QS.EVALUATE(C9622,F9622)</f>
        <v>45138.893859498246</v>
      </c>
      <c r="H9622" s="5" t="s">
        <v>9662</v>
      </c>
      <c r="I9622" s="7">
        <v>1962000</v>
      </c>
      <c r="J9622" s="8">
        <v>3.7000000000000012E-2</v>
      </c>
    </row>
    <row r="9623" spans="1:10" x14ac:dyDescent="0.25">
      <c r="A9623" s="5" t="s">
        <v>9656</v>
      </c>
      <c r="B9623" s="5" t="s">
        <v>11490</v>
      </c>
      <c r="C9623" s="6" t="str">
        <f>_xll.QS.CONTEXT.CREATE("market.9621",A9623,"USD","SOFR")</f>
        <v>QSObject:PricingContext:w1~market.9621:6650</v>
      </c>
      <c r="D9623" s="6" t="str">
        <f>_xll.QS.CONTEXT.ADD.CURVE(C9623,"SOFR",$K$2:$K$7,$L$2:$L$7,,,"Actual360","LogLinear",TRUE)</f>
        <v>QSObject:ContextInput:w1~input.qs_context_add_curve.2359132437744.9622.3.0:22099</v>
      </c>
      <c r="E9623" s="6" t="str">
        <f>_xll.QS.INSTRUMENT.SWAP("swap.9621",H9623,B9623,"USD","SOFR",I9623,J9623,0,"Actual360","Simple","Annual","Annual","Annual")</f>
        <v>QSObject:Swap:w1~swap.9621:13049</v>
      </c>
      <c r="F9623" s="6" t="str">
        <f>_xll.QS.TRADE.CREATE("trade.9621",E9623,A9623,"Receive")</f>
        <v>QSObject:SwapTrade:w1~trade.9621:18373</v>
      </c>
      <c r="G9623" s="3">
        <f>_xll.QS.EVALUATE(C9623,F9623)</f>
        <v>46131.683389402657</v>
      </c>
      <c r="H9623" s="5" t="s">
        <v>9663</v>
      </c>
      <c r="I9623" s="7">
        <v>1962100</v>
      </c>
      <c r="J9623" s="8">
        <v>3.7100000000000001E-2</v>
      </c>
    </row>
    <row r="9624" spans="1:10" x14ac:dyDescent="0.25">
      <c r="A9624" s="5" t="s">
        <v>9657</v>
      </c>
      <c r="B9624" s="5" t="s">
        <v>11491</v>
      </c>
      <c r="C9624" s="6" t="str">
        <f>_xll.QS.CONTEXT.CREATE("market.9622",A9624,"USD","SOFR")</f>
        <v>QSObject:PricingContext:w1~market.9622:20066</v>
      </c>
      <c r="D9624" s="6" t="str">
        <f>_xll.QS.CONTEXT.ADD.CURVE(C9624,"SOFR",$K$2:$K$7,$L$2:$L$7,,,"Actual360","LogLinear",TRUE)</f>
        <v>QSObject:ContextInput:w1~input.qs_context_add_curve.2359132437744.9623.3.0:31365</v>
      </c>
      <c r="E9624" s="6" t="str">
        <f>_xll.QS.INSTRUMENT.SWAP("swap.9622",H9624,B9624,"USD","SOFR",I9624,J9624,0,"Actual360","Simple","Annual","Annual","Annual")</f>
        <v>QSObject:Swap:w1~swap.9622:16380</v>
      </c>
      <c r="F9624" s="6" t="str">
        <f>_xll.QS.TRADE.CREATE("trade.9622",E9624,A9624,"Receive")</f>
        <v>QSObject:SwapTrade:w1~trade.9622:22098</v>
      </c>
      <c r="G9624" s="3">
        <f>_xll.QS.EVALUATE(C9624,F9624)</f>
        <v>46963.299111638749</v>
      </c>
      <c r="H9624" s="5" t="s">
        <v>9664</v>
      </c>
      <c r="I9624" s="7">
        <v>1962200</v>
      </c>
      <c r="J9624" s="8">
        <v>3.7199999999999997E-2</v>
      </c>
    </row>
    <row r="9625" spans="1:10" x14ac:dyDescent="0.25">
      <c r="A9625" s="5" t="s">
        <v>9658</v>
      </c>
      <c r="B9625" s="5" t="s">
        <v>11492</v>
      </c>
      <c r="C9625" s="6" t="str">
        <f>_xll.QS.CONTEXT.CREATE("market.9623",A9625,"USD","SOFR")</f>
        <v>QSObject:PricingContext:w1~market.9623:5046</v>
      </c>
      <c r="D9625" s="6" t="str">
        <f>_xll.QS.CONTEXT.ADD.CURVE(C9625,"SOFR",$K$2:$K$7,$L$2:$L$7,,,"Actual360","LogLinear",TRUE)</f>
        <v>QSObject:ContextInput:w1~input.qs_context_add_curve.2359132437744.9624.3.0:21818</v>
      </c>
      <c r="E9625" s="6" t="str">
        <f>_xll.QS.INSTRUMENT.SWAP("swap.9623",H9625,B9625,"USD","SOFR",I9625,J9625,0,"Actual360","Simple","Annual","Annual","Annual")</f>
        <v>QSObject:Swap:w1~swap.9623:8255</v>
      </c>
      <c r="F9625" s="6" t="str">
        <f>_xll.QS.TRADE.CREATE("trade.9623",E9625,A9625,"Receive")</f>
        <v>QSObject:SwapTrade:w1~trade.9623:17410</v>
      </c>
      <c r="G9625" s="3">
        <f>_xll.QS.EVALUATE(C9625,F9625)</f>
        <v>47731.513923760154</v>
      </c>
      <c r="H9625" s="5" t="s">
        <v>9665</v>
      </c>
      <c r="I9625" s="7">
        <v>1962300</v>
      </c>
      <c r="J9625" s="8">
        <v>3.73E-2</v>
      </c>
    </row>
    <row r="9626" spans="1:10" x14ac:dyDescent="0.25">
      <c r="A9626" s="5" t="s">
        <v>9659</v>
      </c>
      <c r="B9626" s="5" t="s">
        <v>11493</v>
      </c>
      <c r="C9626" s="6" t="str">
        <f>_xll.QS.CONTEXT.CREATE("market.9624",A9626,"USD","SOFR")</f>
        <v>QSObject:PricingContext:w1~market.9624:14699</v>
      </c>
      <c r="D9626" s="6" t="str">
        <f>_xll.QS.CONTEXT.ADD.CURVE(C9626,"SOFR",$K$2:$K$7,$L$2:$L$7,,,"Actual360","LogLinear",TRUE)</f>
        <v>QSObject:ContextInput:w1~input.qs_context_add_curve.2359132437744.9625.3.0:22097</v>
      </c>
      <c r="E9626" s="6" t="str">
        <f>_xll.QS.INSTRUMENT.SWAP("swap.9624",H9626,B9626,"USD","SOFR",I9626,J9626,0,"Actual360","Simple","Annual","Annual","Annual")</f>
        <v>QSObject:Swap:w1~swap.9624:16379</v>
      </c>
      <c r="F9626" s="6" t="str">
        <f>_xll.QS.TRADE.CREATE("trade.9624",E9626,A9626,"Receive")</f>
        <v>QSObject:SwapTrade:w1~trade.9624:20065</v>
      </c>
      <c r="G9626" s="3">
        <f>_xll.QS.EVALUATE(C9626,F9626)</f>
        <v>48490.523444279686</v>
      </c>
      <c r="H9626" s="5" t="s">
        <v>9666</v>
      </c>
      <c r="I9626" s="7">
        <v>1962400</v>
      </c>
      <c r="J9626" s="8">
        <v>3.7400000000000003E-2</v>
      </c>
    </row>
    <row r="9627" spans="1:10" x14ac:dyDescent="0.25">
      <c r="A9627" s="5" t="s">
        <v>9660</v>
      </c>
      <c r="B9627" s="5" t="s">
        <v>11494</v>
      </c>
      <c r="C9627" s="6" t="str">
        <f>_xll.QS.CONTEXT.CREATE("market.9625",A9627,"USD","SOFR")</f>
        <v>QSObject:PricingContext:w1~market.9625:1931</v>
      </c>
      <c r="D9627" s="6" t="str">
        <f>_xll.QS.CONTEXT.ADD.CURVE(C9627,"SOFR",$K$2:$K$7,$L$2:$L$7,,,"Actual360","LogLinear",TRUE)</f>
        <v>QSObject:ContextInput:w1~input.qs_context_add_curve.2359132437744.9626.3.0:18372</v>
      </c>
      <c r="E9627" s="6" t="str">
        <f>_xll.QS.INSTRUMENT.SWAP("swap.9625",H9627,B9627,"USD","SOFR",I9627,J9627,0,"Actual360","Simple","Annual","Annual","Annual")</f>
        <v>QSObject:Swap:w1~swap.9625:425</v>
      </c>
      <c r="F9627" s="6" t="str">
        <f>_xll.QS.TRADE.CREATE("trade.9625",E9627,A9627,"Receive")</f>
        <v>QSObject:SwapTrade:w1~trade.9625:3475</v>
      </c>
      <c r="G9627" s="3">
        <f>_xll.QS.EVALUATE(C9627,F9627)</f>
        <v>49481.001193500306</v>
      </c>
      <c r="H9627" s="5" t="s">
        <v>9667</v>
      </c>
      <c r="I9627" s="7">
        <v>1962500</v>
      </c>
      <c r="J9627" s="8">
        <v>3.7500000000000012E-2</v>
      </c>
    </row>
    <row r="9628" spans="1:10" x14ac:dyDescent="0.25">
      <c r="A9628" s="5" t="s">
        <v>9661</v>
      </c>
      <c r="B9628" s="5" t="s">
        <v>11495</v>
      </c>
      <c r="C9628" s="6" t="str">
        <f>_xll.QS.CONTEXT.CREATE("market.9626",A9628,"USD","SOFR")</f>
        <v>QSObject:PricingContext:w1~market.9626:9861</v>
      </c>
      <c r="D9628" s="6" t="str">
        <f>_xll.QS.CONTEXT.ADD.CURVE(C9628,"SOFR",$K$2:$K$7,$L$2:$L$7,,,"Actual360","LogLinear",TRUE)</f>
        <v>QSObject:ContextInput:w1~input.qs_context_add_curve.2359132437744.9627.3.0:17409</v>
      </c>
      <c r="E9628" s="6" t="str">
        <f>_xll.QS.INSTRUMENT.SWAP("swap.9626",H9628,B9628,"USD","SOFR",I9628,J9628,0,"Actual360","Simple","Annual","Annual","Annual")</f>
        <v>QSObject:Swap:w1~swap.9626:14698</v>
      </c>
      <c r="F9628" s="6" t="str">
        <f>_xll.QS.TRADE.CREATE("trade.9626",E9628,A9628,"Receive")</f>
        <v>QSObject:SwapTrade:w1~trade.9626:22096</v>
      </c>
      <c r="G9628" s="3">
        <f>_xll.QS.EVALUATE(C9628,F9628)</f>
        <v>50439.499102826252</v>
      </c>
      <c r="H9628" s="5" t="s">
        <v>9668</v>
      </c>
      <c r="I9628" s="7">
        <v>1962600</v>
      </c>
      <c r="J9628" s="8">
        <v>3.7600000000000001E-2</v>
      </c>
    </row>
    <row r="9629" spans="1:10" x14ac:dyDescent="0.25">
      <c r="A9629" s="5" t="s">
        <v>9662</v>
      </c>
      <c r="B9629" s="5" t="s">
        <v>11496</v>
      </c>
      <c r="C9629" s="6" t="str">
        <f>_xll.QS.CONTEXT.CREATE("market.9627",A9629,"USD","SOFR")</f>
        <v>QSObject:PricingContext:w1~market.9627:13048</v>
      </c>
      <c r="D9629" s="6" t="str">
        <f>_xll.QS.CONTEXT.ADD.CURVE(C9629,"SOFR",$K$2:$K$7,$L$2:$L$7,,,"Actual360","LogLinear",TRUE)</f>
        <v>QSObject:ContextInput:w1~input.qs_context_add_curve.2359132437744.9628.3.0:16378</v>
      </c>
      <c r="E9629" s="6" t="str">
        <f>_xll.QS.INSTRUMENT.SWAP("swap.9627",H9629,B9629,"USD","SOFR",I9629,J9629,0,"Actual360","Simple","Annual","Annual","Annual")</f>
        <v>QSObject:Swap:w1~swap.9627:11519</v>
      </c>
      <c r="F9629" s="6" t="str">
        <f>_xll.QS.TRADE.CREATE("trade.9627",E9629,A9629,"Receive")</f>
        <v>QSObject:SwapTrade:w1~trade.9627:20064</v>
      </c>
      <c r="G9629" s="3">
        <f>_xll.QS.EVALUATE(C9629,F9629)</f>
        <v>51490.539570645691</v>
      </c>
      <c r="H9629" s="5" t="s">
        <v>9669</v>
      </c>
      <c r="I9629" s="7">
        <v>1962700</v>
      </c>
      <c r="J9629" s="8">
        <v>3.7699999999999997E-2</v>
      </c>
    </row>
    <row r="9630" spans="1:10" x14ac:dyDescent="0.25">
      <c r="A9630" s="5" t="s">
        <v>9663</v>
      </c>
      <c r="B9630" s="5" t="s">
        <v>11497</v>
      </c>
      <c r="C9630" s="6" t="str">
        <f>_xll.QS.CONTEXT.CREATE("market.9628",A9630,"USD","SOFR")</f>
        <v>QSObject:PricingContext:w1~market.9628:5045</v>
      </c>
      <c r="D9630" s="6" t="str">
        <f>_xll.QS.CONTEXT.ADD.CURVE(C9630,"SOFR",$K$2:$K$7,$L$2:$L$7,,,"Actual360","LogLinear",TRUE)</f>
        <v>QSObject:ContextInput:w1~input.qs_context_add_curve.2359132437744.9629.3.0:22095</v>
      </c>
      <c r="E9630" s="6" t="str">
        <f>_xll.QS.INSTRUMENT.SWAP("swap.9628",H9630,B9630,"USD","SOFR",I9630,J9630,0,"Actual360","Simple","Annual","Annual","Annual")</f>
        <v>QSObject:Swap:w1~swap.9628:21817</v>
      </c>
      <c r="F9630" s="6" t="str">
        <f>_xll.QS.TRADE.CREATE("trade.9628",E9630,A9630,"Receive")</f>
        <v>QSObject:SwapTrade:w1~trade.9628:22094</v>
      </c>
      <c r="G9630" s="3">
        <f>_xll.QS.EVALUATE(C9630,F9630)</f>
        <v>52484.078012189639</v>
      </c>
      <c r="H9630" s="5" t="s">
        <v>9670</v>
      </c>
      <c r="I9630" s="7">
        <v>1962800</v>
      </c>
      <c r="J9630" s="8">
        <v>3.78E-2</v>
      </c>
    </row>
    <row r="9631" spans="1:10" x14ac:dyDescent="0.25">
      <c r="A9631" s="5" t="s">
        <v>9664</v>
      </c>
      <c r="B9631" s="5" t="s">
        <v>11498</v>
      </c>
      <c r="C9631" s="6" t="str">
        <f>_xll.QS.CONTEXT.CREATE("market.9629",A9631,"USD","SOFR")</f>
        <v>QSObject:PricingContext:w1~market.9629:9860</v>
      </c>
      <c r="D9631" s="6" t="str">
        <f>_xll.QS.CONTEXT.ADD.CURVE(C9631,"SOFR",$K$2:$K$7,$L$2:$L$7,,,"Actual360","LogLinear",TRUE)</f>
        <v>QSObject:ContextInput:w1~input.qs_context_add_curve.2359132437744.9630.3.0:18371</v>
      </c>
      <c r="E9631" s="6" t="str">
        <f>_xll.QS.INSTRUMENT.SWAP("swap.9629",H9631,B9631,"USD","SOFR",I9631,J9631,0,"Actual360","Simple","Annual","Annual","Annual")</f>
        <v>QSObject:Swap:w1~swap.9629:14697</v>
      </c>
      <c r="F9631" s="6" t="str">
        <f>_xll.QS.TRADE.CREATE("trade.9629",E9631,A9631,"Receive")</f>
        <v>QSObject:SwapTrade:w1~trade.9629:22093</v>
      </c>
      <c r="G9631" s="3">
        <f>_xll.QS.EVALUATE(C9631,F9631)</f>
        <v>53316.24389819026</v>
      </c>
      <c r="H9631" s="5" t="s">
        <v>9671</v>
      </c>
      <c r="I9631" s="7">
        <v>1962900</v>
      </c>
      <c r="J9631" s="8">
        <v>3.7900000000000003E-2</v>
      </c>
    </row>
    <row r="9632" spans="1:10" x14ac:dyDescent="0.25">
      <c r="A9632" s="5" t="s">
        <v>9665</v>
      </c>
      <c r="B9632" s="5" t="s">
        <v>11499</v>
      </c>
      <c r="C9632" s="6" t="str">
        <f>_xll.QS.CONTEXT.CREATE("market.9630",A9632,"USD","SOFR")</f>
        <v>QSObject:PricingContext:w1~market.9630:16377</v>
      </c>
      <c r="D9632" s="6" t="str">
        <f>_xll.QS.CONTEXT.ADD.CURVE(C9632,"SOFR",$K$2:$K$7,$L$2:$L$7,,,"Actual360","LogLinear",TRUE)</f>
        <v>QSObject:ContextInput:w1~input.qs_context_add_curve.2359132437744.9631.3.0:20063</v>
      </c>
      <c r="E9632" s="6" t="str">
        <f>_xll.QS.INSTRUMENT.SWAP("swap.9630",H9632,B9632,"USD","SOFR",I9632,J9632,0,"Actual360","Simple","Annual","Annual","Annual")</f>
        <v>QSObject:Swap:w1~swap.9630:11518</v>
      </c>
      <c r="F9632" s="6" t="str">
        <f>_xll.QS.TRADE.CREATE("trade.9630",E9632,A9632,"Receive")</f>
        <v>QSObject:SwapTrade:w1~trade.9630:22092</v>
      </c>
      <c r="G9632" s="3">
        <f>_xll.QS.EVALUATE(C9632,F9632)</f>
        <v>54077.592773463897</v>
      </c>
      <c r="H9632" s="5" t="s">
        <v>9672</v>
      </c>
      <c r="I9632" s="7">
        <v>1963000</v>
      </c>
      <c r="J9632" s="8">
        <v>3.8000000000000013E-2</v>
      </c>
    </row>
    <row r="9633" spans="1:10" x14ac:dyDescent="0.25">
      <c r="A9633" s="5" t="s">
        <v>9666</v>
      </c>
      <c r="B9633" s="5" t="s">
        <v>11500</v>
      </c>
      <c r="C9633" s="6" t="str">
        <f>_xll.QS.CONTEXT.CREATE("market.9631",A9633,"USD","SOFR")</f>
        <v>QSObject:PricingContext:w1~market.9631:3474</v>
      </c>
      <c r="D9633" s="6" t="str">
        <f>_xll.QS.CONTEXT.ADD.CURVE(C9633,"SOFR",$K$2:$K$7,$L$2:$L$7,,,"Actual360","LogLinear",TRUE)</f>
        <v>QSObject:ContextInput:w1~input.qs_context_add_curve.2359132437744.9632.3.0:17408</v>
      </c>
      <c r="E9633" s="6" t="str">
        <f>_xll.QS.INSTRUMENT.SWAP("swap.9631",H9633,B9633,"USD","SOFR",I9633,J9633,0,"Actual360","Simple","Annual","Annual","Annual")</f>
        <v>QSObject:Swap:w1~swap.9631:21816</v>
      </c>
      <c r="F9633" s="6" t="str">
        <f>_xll.QS.TRADE.CREATE("trade.9631",E9633,A9633,"Receive")</f>
        <v>QSObject:SwapTrade:w1~trade.9631:22091</v>
      </c>
      <c r="G9633" s="3">
        <f>_xll.QS.EVALUATE(C9633,F9633)</f>
        <v>54847.018764561319</v>
      </c>
      <c r="H9633" s="5" t="s">
        <v>9673</v>
      </c>
      <c r="I9633" s="7">
        <v>1963100</v>
      </c>
      <c r="J9633" s="8">
        <v>3.8100000000000002E-2</v>
      </c>
    </row>
    <row r="9634" spans="1:10" x14ac:dyDescent="0.25">
      <c r="A9634" s="5" t="s">
        <v>9667</v>
      </c>
      <c r="B9634" s="5" t="s">
        <v>11501</v>
      </c>
      <c r="C9634" s="6" t="str">
        <f>_xll.QS.CONTEXT.CREATE("market.9632",A9634,"USD","SOFR")</f>
        <v>QSObject:PricingContext:w1~market.9632:16376</v>
      </c>
      <c r="D9634" s="6" t="str">
        <f>_xll.QS.CONTEXT.ADD.CURVE(C9634,"SOFR",$K$2:$K$7,$L$2:$L$7,,,"Actual360","LogLinear",TRUE)</f>
        <v>QSObject:ContextInput:w1~input.qs_context_add_curve.2359132437744.9633.3.0:31364</v>
      </c>
      <c r="E9634" s="6" t="str">
        <f>_xll.QS.INSTRUMENT.SWAP("swap.9632",H9634,B9634,"USD","SOFR",I9634,J9634,0,"Actual360","Simple","Annual","Annual","Annual")</f>
        <v>QSObject:Swap:w1~swap.9632:6649</v>
      </c>
      <c r="F9634" s="6" t="str">
        <f>_xll.QS.TRADE.CREATE("trade.9632",E9634,A9634,"Receive")</f>
        <v>QSObject:SwapTrade:w1~trade.9632:22090</v>
      </c>
      <c r="G9634" s="3">
        <f>_xll.QS.EVALUATE(C9634,F9634)</f>
        <v>55838.643595802605</v>
      </c>
      <c r="H9634" s="5" t="s">
        <v>9674</v>
      </c>
      <c r="I9634" s="7">
        <v>1963200</v>
      </c>
      <c r="J9634" s="8">
        <v>3.8199999999999998E-2</v>
      </c>
    </row>
    <row r="9635" spans="1:10" x14ac:dyDescent="0.25">
      <c r="A9635" s="5" t="s">
        <v>9668</v>
      </c>
      <c r="B9635" s="5" t="s">
        <v>11502</v>
      </c>
      <c r="C9635" s="6" t="str">
        <f>_xll.QS.CONTEXT.CREATE("market.9633",A9635,"USD","SOFR")</f>
        <v>QSObject:PricingContext:w1~market.9633:3473</v>
      </c>
      <c r="D9635" s="6" t="str">
        <f>_xll.QS.CONTEXT.ADD.CURVE(C9635,"SOFR",$K$2:$K$7,$L$2:$L$7,,,"Actual360","LogLinear",TRUE)</f>
        <v>QSObject:ContextInput:w1~input.qs_context_add_curve.2359132437744.9634.3.0:14696</v>
      </c>
      <c r="E9635" s="6" t="str">
        <f>_xll.QS.INSTRUMENT.SWAP("swap.9633",H9635,B9635,"USD","SOFR",I9635,J9635,0,"Actual360","Simple","Annual","Annual","Annual")</f>
        <v>QSObject:Swap:w1~swap.9633:11517</v>
      </c>
      <c r="F9635" s="6" t="str">
        <f>_xll.QS.TRADE.CREATE("trade.9633",E9635,A9635,"Receive")</f>
        <v>QSObject:SwapTrade:w1~trade.9633:13047</v>
      </c>
      <c r="G9635" s="3">
        <f>_xll.QS.EVALUATE(C9635,F9635)</f>
        <v>56794.739310311496</v>
      </c>
      <c r="H9635" s="5" t="s">
        <v>9675</v>
      </c>
      <c r="I9635" s="7">
        <v>1963300</v>
      </c>
      <c r="J9635" s="8">
        <v>3.8300000000000001E-2</v>
      </c>
    </row>
    <row r="9636" spans="1:10" x14ac:dyDescent="0.25">
      <c r="A9636" s="5" t="s">
        <v>9669</v>
      </c>
      <c r="B9636" s="5" t="s">
        <v>11503</v>
      </c>
      <c r="C9636" s="6" t="str">
        <f>_xll.QS.CONTEXT.CREATE("market.9634",A9636,"USD","SOFR")</f>
        <v>QSObject:PricingContext:w1~market.9634:9859</v>
      </c>
      <c r="D9636" s="6" t="str">
        <f>_xll.QS.CONTEXT.ADD.CURVE(C9636,"SOFR",$K$2:$K$7,$L$2:$L$7,,,"Actual360","LogLinear",TRUE)</f>
        <v>QSObject:ContextInput:w1~input.qs_context_add_curve.2359132437744.9635.3.0:22089</v>
      </c>
      <c r="E9636" s="6" t="str">
        <f>_xll.QS.INSTRUMENT.SWAP("swap.9634",H9636,B9636,"USD","SOFR",I9636,J9636,0,"Actual360","Simple","Annual","Annual","Annual")</f>
        <v>QSObject:Swap:w1~swap.9634:18370</v>
      </c>
      <c r="F9636" s="6" t="str">
        <f>_xll.QS.TRADE.CREATE("trade.9634",E9636,A9636,"Receive")</f>
        <v>QSObject:SwapTrade:w1~trade.9634:22088</v>
      </c>
      <c r="G9636" s="3">
        <f>_xll.QS.EVALUATE(C9636,F9636)</f>
        <v>57846.473741773632</v>
      </c>
      <c r="H9636" s="5" t="s">
        <v>9676</v>
      </c>
      <c r="I9636" s="7">
        <v>1963400</v>
      </c>
      <c r="J9636" s="8">
        <v>3.8399999999999997E-2</v>
      </c>
    </row>
    <row r="9637" spans="1:10" x14ac:dyDescent="0.25">
      <c r="A9637" s="5" t="s">
        <v>9670</v>
      </c>
      <c r="B9637" s="5" t="s">
        <v>11504</v>
      </c>
      <c r="C9637" s="6" t="str">
        <f>_xll.QS.CONTEXT.CREATE("market.9635",A9637,"USD","SOFR")</f>
        <v>QSObject:PricingContext:w1~market.9635:3472</v>
      </c>
      <c r="D9637" s="6" t="str">
        <f>_xll.QS.CONTEXT.ADD.CURVE(C9637,"SOFR",$K$2:$K$7,$L$2:$L$7,,,"Actual360","LogLinear",TRUE)</f>
        <v>QSObject:ContextInput:w1~input.qs_context_add_curve.2359132437744.9636.3.0:16375</v>
      </c>
      <c r="E9637" s="6" t="str">
        <f>_xll.QS.INSTRUMENT.SWAP("swap.9635",H9637,B9637,"USD","SOFR",I9637,J9637,0,"Actual360","Simple","Annual","Annual","Annual")</f>
        <v>QSObject:Swap:w1~swap.9635:1930</v>
      </c>
      <c r="F9637" s="6" t="str">
        <f>_xll.QS.TRADE.CREATE("trade.9635",E9637,A9637,"Receive")</f>
        <v>QSObject:SwapTrade:w1~trade.9635:21815</v>
      </c>
      <c r="G9637" s="3">
        <f>_xll.QS.EVALUATE(C9637,F9637)</f>
        <v>58840.890879558225</v>
      </c>
      <c r="H9637" s="5" t="s">
        <v>9677</v>
      </c>
      <c r="I9637" s="7">
        <v>1963500</v>
      </c>
      <c r="J9637" s="8">
        <v>3.8500000000000013E-2</v>
      </c>
    </row>
    <row r="9638" spans="1:10" x14ac:dyDescent="0.25">
      <c r="A9638" s="5" t="s">
        <v>9671</v>
      </c>
      <c r="B9638" s="5" t="s">
        <v>11505</v>
      </c>
      <c r="C9638" s="6" t="str">
        <f>_xll.QS.CONTEXT.CREATE("market.9636",A9638,"USD","SOFR")</f>
        <v>QSObject:PricingContext:w1~market.9636:8254</v>
      </c>
      <c r="D9638" s="6" t="str">
        <f>_xll.QS.CONTEXT.ADD.CURVE(C9638,"SOFR",$K$2:$K$7,$L$2:$L$7,,,"Actual360","LogLinear",TRUE)</f>
        <v>QSObject:ContextInput:w1~input.qs_context_add_curve.2359132437744.9637.3.0:18369</v>
      </c>
      <c r="E9638" s="6" t="str">
        <f>_xll.QS.INSTRUMENT.SWAP("swap.9636",H9638,B9638,"USD","SOFR",I9638,J9638,0,"Actual360","Simple","Annual","Annual","Annual")</f>
        <v>QSObject:Swap:w1~swap.9636:13046</v>
      </c>
      <c r="F9638" s="6" t="str">
        <f>_xll.QS.TRADE.CREATE("trade.9636",E9638,A9638,"Receive")</f>
        <v>QSObject:SwapTrade:w1~trade.9636:22087</v>
      </c>
      <c r="G9638" s="3">
        <f>_xll.QS.EVALUATE(C9638,F9638)</f>
        <v>59673.114750164474</v>
      </c>
      <c r="H9638" s="5" t="s">
        <v>9678</v>
      </c>
      <c r="I9638" s="7">
        <v>1963600</v>
      </c>
      <c r="J9638" s="8">
        <v>3.8600000000000002E-2</v>
      </c>
    </row>
    <row r="9639" spans="1:10" x14ac:dyDescent="0.25">
      <c r="A9639" s="5" t="s">
        <v>9672</v>
      </c>
      <c r="B9639" s="5" t="s">
        <v>11506</v>
      </c>
      <c r="C9639" s="6" t="str">
        <f>_xll.QS.CONTEXT.CREATE("market.9637",A9639,"USD","SOFR")</f>
        <v>QSObject:PricingContext:w1~market.9637:11516</v>
      </c>
      <c r="D9639" s="6" t="str">
        <f>_xll.QS.CONTEXT.ADD.CURVE(C9639,"SOFR",$K$2:$K$7,$L$2:$L$7,,,"Actual360","LogLinear",TRUE)</f>
        <v>QSObject:ContextInput:w1~input.qs_context_add_curve.2359132437744.9638.3.0:20062</v>
      </c>
      <c r="E9639" s="6" t="str">
        <f>_xll.QS.INSTRUMENT.SWAP("swap.9637",H9639,B9639,"USD","SOFR",I9639,J9639,0,"Actual360","Simple","Annual","Annual","Annual")</f>
        <v>QSObject:Swap:w1~swap.9637:14695</v>
      </c>
      <c r="F9639" s="6" t="str">
        <f>_xll.QS.TRADE.CREATE("trade.9637",E9639,A9639,"Receive")</f>
        <v>QSObject:SwapTrade:w1~trade.9637:16374</v>
      </c>
      <c r="G9639" s="3">
        <f>_xll.QS.EVALUATE(C9639,F9639)</f>
        <v>60389.603332801715</v>
      </c>
      <c r="H9639" s="5" t="s">
        <v>9679</v>
      </c>
      <c r="I9639" s="7">
        <v>1963700</v>
      </c>
      <c r="J9639" s="8">
        <v>3.8700000000000012E-2</v>
      </c>
    </row>
    <row r="9640" spans="1:10" x14ac:dyDescent="0.25">
      <c r="A9640" s="5" t="s">
        <v>9673</v>
      </c>
      <c r="B9640" s="5" t="s">
        <v>11507</v>
      </c>
      <c r="C9640" s="6" t="str">
        <f>_xll.QS.CONTEXT.CREATE("market.9638",A9640,"USD","SOFR")</f>
        <v>QSObject:PricingContext:w1~market.9638:1929</v>
      </c>
      <c r="D9640" s="6" t="str">
        <f>_xll.QS.CONTEXT.ADD.CURVE(C9640,"SOFR",$K$2:$K$7,$L$2:$L$7,,,"Actual360","LogLinear",TRUE)</f>
        <v>QSObject:ContextInput:w1~input.qs_context_add_curve.2359132437744.9639.3.0:13045</v>
      </c>
      <c r="E9640" s="6" t="str">
        <f>_xll.QS.INSTRUMENT.SWAP("swap.9638",H9640,B9640,"USD","SOFR",I9640,J9640,0,"Actual360","Simple","Annual","Annual","Annual")</f>
        <v>QSObject:Swap:w1~swap.9638:3471</v>
      </c>
      <c r="F9640" s="6" t="str">
        <f>_xll.QS.TRADE.CREATE("trade.9638",E9640,A9640,"Receive")</f>
        <v>QSObject:SwapTrade:w1~trade.9638:5044</v>
      </c>
      <c r="G9640" s="3">
        <f>_xll.QS.EVALUATE(C9640,F9640)</f>
        <v>61301.689410230298</v>
      </c>
      <c r="H9640" s="5" t="s">
        <v>9680</v>
      </c>
      <c r="I9640" s="7">
        <v>1963800</v>
      </c>
      <c r="J9640" s="8">
        <v>3.8800000000000001E-2</v>
      </c>
    </row>
    <row r="9641" spans="1:10" x14ac:dyDescent="0.25">
      <c r="A9641" s="5" t="s">
        <v>9674</v>
      </c>
      <c r="B9641" s="5" t="s">
        <v>11508</v>
      </c>
      <c r="C9641" s="6" t="str">
        <f>_xll.QS.CONTEXT.CREATE("market.9639",A9641,"USD","SOFR")</f>
        <v>QSObject:PricingContext:w1~market.9639:6648</v>
      </c>
      <c r="D9641" s="6" t="str">
        <f>_xll.QS.CONTEXT.ADD.CURVE(C9641,"SOFR",$K$2:$K$7,$L$2:$L$7,,,"Actual360","LogLinear",TRUE)</f>
        <v>QSObject:ContextInput:w1~input.qs_context_add_curve.2359132437744.9640.3.0:18368</v>
      </c>
      <c r="E9641" s="6" t="str">
        <f>_xll.QS.INSTRUMENT.SWAP("swap.9639",H9641,B9641,"USD","SOFR",I9641,J9641,0,"Actual360","Simple","Annual","Annual","Annual")</f>
        <v>QSObject:Swap:w1~swap.9639:21814</v>
      </c>
      <c r="F9641" s="6" t="str">
        <f>_xll.QS.TRADE.CREATE("trade.9639",E9641,A9641,"Receive")</f>
        <v>QSObject:SwapTrade:w1~trade.9639:22086</v>
      </c>
      <c r="G9641" s="3">
        <f>_xll.QS.EVALUATE(C9641,F9641)</f>
        <v>62293.942291344145</v>
      </c>
      <c r="H9641" s="5" t="s">
        <v>9681</v>
      </c>
      <c r="I9641" s="7">
        <v>1963900</v>
      </c>
      <c r="J9641" s="8">
        <v>3.8899999999999997E-2</v>
      </c>
    </row>
    <row r="9642" spans="1:10" x14ac:dyDescent="0.25">
      <c r="A9642" s="5" t="s">
        <v>9675</v>
      </c>
      <c r="B9642" s="5" t="s">
        <v>11509</v>
      </c>
      <c r="C9642" s="6" t="str">
        <f>_xll.QS.CONTEXT.CREATE("market.9640",A9642,"USD","SOFR")</f>
        <v>QSObject:PricingContext:w1~market.9640:3470</v>
      </c>
      <c r="D9642" s="6" t="str">
        <f>_xll.QS.CONTEXT.ADD.CURVE(C9642,"SOFR",$K$2:$K$7,$L$2:$L$7,,,"Actual360","LogLinear",TRUE)</f>
        <v>QSObject:ContextInput:w1~input.qs_context_add_curve.2359132437744.9641.3.0:13044</v>
      </c>
      <c r="E9642" s="6" t="str">
        <f>_xll.QS.INSTRUMENT.SWAP("swap.9640",H9642,B9642,"USD","SOFR",I9642,J9642,0,"Actual360","Simple","Annual","Annual","Annual")</f>
        <v>QSObject:Swap:w1~swap.9640:17407</v>
      </c>
      <c r="F9642" s="6" t="str">
        <f>_xll.QS.TRADE.CREATE("trade.9640",E9642,A9642,"Receive")</f>
        <v>QSObject:SwapTrade:w1~trade.9640:22085</v>
      </c>
      <c r="G9642" s="3">
        <f>_xll.QS.EVALUATE(C9642,F9642)</f>
        <v>63285.939846513567</v>
      </c>
      <c r="H9642" s="5" t="s">
        <v>9682</v>
      </c>
      <c r="I9642" s="7">
        <v>1964000</v>
      </c>
      <c r="J9642" s="8">
        <v>3.9000000000000007E-2</v>
      </c>
    </row>
    <row r="9643" spans="1:10" x14ac:dyDescent="0.25">
      <c r="A9643" s="5" t="s">
        <v>9676</v>
      </c>
      <c r="B9643" s="5" t="s">
        <v>11510</v>
      </c>
      <c r="C9643" s="6" t="str">
        <f>_xll.QS.CONTEXT.CREATE("market.9641",A9643,"USD","SOFR")</f>
        <v>QSObject:PricingContext:w1~market.9641:424</v>
      </c>
      <c r="D9643" s="6" t="str">
        <f>_xll.QS.CONTEXT.ADD.CURVE(C9643,"SOFR",$K$2:$K$7,$L$2:$L$7,,,"Actual360","LogLinear",TRUE)</f>
        <v>QSObject:ContextInput:w1~input.qs_context_add_curve.2359132437744.9642.3.0:16373</v>
      </c>
      <c r="E9643" s="6" t="str">
        <f>_xll.QS.INSTRUMENT.SWAP("swap.9641",H9643,B9643,"USD","SOFR",I9643,J9643,0,"Actual360","Simple","Annual","Annual","Annual")</f>
        <v>QSObject:Swap:w1~swap.9641:11515</v>
      </c>
      <c r="F9643" s="6" t="str">
        <f>_xll.QS.TRADE.CREATE("trade.9641",E9643,A9643,"Receive")</f>
        <v>QSObject:SwapTrade:w1~trade.9641:18367</v>
      </c>
      <c r="G9643" s="3">
        <f>_xll.QS.EVALUATE(C9643,F9643)</f>
        <v>64280.319325331635</v>
      </c>
      <c r="H9643" s="5" t="s">
        <v>9683</v>
      </c>
      <c r="I9643" s="7">
        <v>1964100</v>
      </c>
      <c r="J9643" s="8">
        <v>3.9100000000000003E-2</v>
      </c>
    </row>
    <row r="9644" spans="1:10" x14ac:dyDescent="0.25">
      <c r="A9644" s="5" t="s">
        <v>9677</v>
      </c>
      <c r="B9644" s="5" t="s">
        <v>11511</v>
      </c>
      <c r="C9644" s="6" t="str">
        <f>_xll.QS.CONTEXT.CREATE("market.9642",A9644,"USD","SOFR")</f>
        <v>QSObject:PricingContext:w1~market.9642:6647</v>
      </c>
      <c r="D9644" s="6" t="str">
        <f>_xll.QS.CONTEXT.ADD.CURVE(C9644,"SOFR",$K$2:$K$7,$L$2:$L$7,,,"Actual360","LogLinear",TRUE)</f>
        <v>QSObject:ContextInput:w1~input.qs_context_add_curve.2359132437744.9643.3.0:20061</v>
      </c>
      <c r="E9644" s="6" t="str">
        <f>_xll.QS.INSTRUMENT.SWAP("swap.9642",H9644,B9644,"USD","SOFR",I9644,J9644,0,"Actual360","Simple","Annual","Annual","Annual")</f>
        <v>QSObject:Swap:w1~swap.9642:14694</v>
      </c>
      <c r="F9644" s="6" t="str">
        <f>_xll.QS.TRADE.CREATE("trade.9642",E9644,A9644,"Receive")</f>
        <v>QSObject:SwapTrade:w1~trade.9642:22084</v>
      </c>
      <c r="G9644" s="3">
        <f>_xll.QS.EVALUATE(C9644,F9644)</f>
        <v>65197.251254074457</v>
      </c>
      <c r="H9644" s="5" t="s">
        <v>9684</v>
      </c>
      <c r="I9644" s="7">
        <v>1964200</v>
      </c>
      <c r="J9644" s="8">
        <v>3.9200000000000013E-2</v>
      </c>
    </row>
    <row r="9645" spans="1:10" x14ac:dyDescent="0.25">
      <c r="A9645" s="5" t="s">
        <v>9678</v>
      </c>
      <c r="B9645" s="5" t="s">
        <v>11512</v>
      </c>
      <c r="C9645" s="6" t="str">
        <f>_xll.QS.CONTEXT.CREATE("market.9643",A9645,"USD","SOFR")</f>
        <v>QSObject:PricingContext:w1~market.9643:1928</v>
      </c>
      <c r="D9645" s="6" t="str">
        <f>_xll.QS.CONTEXT.ADD.CURVE(C9645,"SOFR",$K$2:$K$7,$L$2:$L$7,,,"Actual360","LogLinear",TRUE)</f>
        <v>QSObject:ContextInput:w1~input.qs_context_add_curve.2359132437744.9644.3.0:17406</v>
      </c>
      <c r="E9645" s="6" t="str">
        <f>_xll.QS.INSTRUMENT.SWAP("swap.9643",H9645,B9645,"USD","SOFR",I9645,J9645,0,"Actual360","Simple","Annual","Annual","Annual")</f>
        <v>QSObject:Swap:w1~swap.9643:5043</v>
      </c>
      <c r="F9645" s="6" t="str">
        <f>_xll.QS.TRADE.CREATE("trade.9643",E9645,A9645,"Receive")</f>
        <v>QSObject:SwapTrade:w1~trade.9643:9858</v>
      </c>
      <c r="G9645" s="3">
        <f>_xll.QS.EVALUATE(C9645,F9645)</f>
        <v>66115.301572230674</v>
      </c>
      <c r="H9645" s="5" t="s">
        <v>9685</v>
      </c>
      <c r="I9645" s="7">
        <v>1964300</v>
      </c>
      <c r="J9645" s="8">
        <v>3.9300000000000002E-2</v>
      </c>
    </row>
    <row r="9646" spans="1:10" x14ac:dyDescent="0.25">
      <c r="A9646" s="5" t="s">
        <v>9679</v>
      </c>
      <c r="B9646" s="5" t="s">
        <v>11513</v>
      </c>
      <c r="C9646" s="6" t="str">
        <f>_xll.QS.CONTEXT.CREATE("market.9644",A9646,"USD","SOFR")</f>
        <v>QSObject:PricingContext:w1~market.9644:3469</v>
      </c>
      <c r="D9646" s="6" t="str">
        <f>_xll.QS.CONTEXT.ADD.CURVE(C9646,"SOFR",$K$2:$K$7,$L$2:$L$7,,,"Actual360","LogLinear",TRUE)</f>
        <v>QSObject:ContextInput:w1~input.qs_context_add_curve.2359132437744.9645.3.0:11514</v>
      </c>
      <c r="E9646" s="6" t="str">
        <f>_xll.QS.INSTRUMENT.SWAP("swap.9644",H9646,B9646,"USD","SOFR",I9646,J9646,0,"Actual360","Simple","Annual","Annual","Annual")</f>
        <v>QSObject:Swap:w1~swap.9644:16372</v>
      </c>
      <c r="F9646" s="6" t="str">
        <f>_xll.QS.TRADE.CREATE("trade.9644",E9646,A9646,"Receive")</f>
        <v>QSObject:SwapTrade:w1~trade.9644:21813</v>
      </c>
      <c r="G9646" s="3">
        <f>_xll.QS.EVALUATE(C9646,F9646)</f>
        <v>66862.884600620513</v>
      </c>
      <c r="H9646" s="5" t="s">
        <v>9686</v>
      </c>
      <c r="I9646" s="7">
        <v>1964400</v>
      </c>
      <c r="J9646" s="8">
        <v>3.9399999999999998E-2</v>
      </c>
    </row>
    <row r="9647" spans="1:10" x14ac:dyDescent="0.25">
      <c r="A9647" s="5" t="s">
        <v>9680</v>
      </c>
      <c r="B9647" s="5" t="s">
        <v>11514</v>
      </c>
      <c r="C9647" s="6" t="str">
        <f>_xll.QS.CONTEXT.CREATE("market.9645",A9647,"USD","SOFR")</f>
        <v>QSObject:PricingContext:w1~market.9645:8253</v>
      </c>
      <c r="D9647" s="6" t="str">
        <f>_xll.QS.CONTEXT.ADD.CURVE(C9647,"SOFR",$K$2:$K$7,$L$2:$L$7,,,"Actual360","LogLinear",TRUE)</f>
        <v>QSObject:ContextInput:w1~input.qs_context_add_curve.2359132437744.9646.3.0:20060</v>
      </c>
      <c r="E9647" s="6" t="str">
        <f>_xll.QS.INSTRUMENT.SWAP("swap.9645",H9647,B9647,"USD","SOFR",I9647,J9647,0,"Actual360","Simple","Annual","Annual","Annual")</f>
        <v>QSObject:Swap:w1~swap.9645:423</v>
      </c>
      <c r="F9647" s="6" t="str">
        <f>_xll.QS.TRADE.CREATE("trade.9645",E9647,A9647,"Receive")</f>
        <v>QSObject:SwapTrade:w1~trade.9645:18366</v>
      </c>
      <c r="G9647" s="3">
        <f>_xll.QS.EVALUATE(C9647,F9647)</f>
        <v>67652.899713220002</v>
      </c>
      <c r="H9647" s="5" t="s">
        <v>9687</v>
      </c>
      <c r="I9647" s="7">
        <v>1964500</v>
      </c>
      <c r="J9647" s="8">
        <v>3.9500000000000007E-2</v>
      </c>
    </row>
    <row r="9648" spans="1:10" x14ac:dyDescent="0.25">
      <c r="A9648" s="5" t="s">
        <v>9681</v>
      </c>
      <c r="B9648" s="5" t="s">
        <v>11515</v>
      </c>
      <c r="C9648" s="6" t="str">
        <f>_xll.QS.CONTEXT.CREATE("market.9646",A9648,"USD","SOFR")</f>
        <v>QSObject:PricingContext:w1~market.9646:17405</v>
      </c>
      <c r="D9648" s="6" t="str">
        <f>_xll.QS.CONTEXT.ADD.CURVE(C9648,"SOFR",$K$2:$K$7,$L$2:$L$7,,,"Actual360","LogLinear",TRUE)</f>
        <v>QSObject:ContextInput:w1~input.qs_context_add_curve.2359132437744.9647.3.0:31363</v>
      </c>
      <c r="E9648" s="6" t="str">
        <f>_xll.QS.INSTRUMENT.SWAP("swap.9646",H9648,B9648,"USD","SOFR",I9648,J9648,0,"Actual360","Simple","Annual","Annual","Annual")</f>
        <v>QSObject:Swap:w1~swap.9646:13043</v>
      </c>
      <c r="F9648" s="6" t="str">
        <f>_xll.QS.TRADE.CREATE("trade.9646",E9648,A9648,"Receive")</f>
        <v>QSObject:SwapTrade:w1~trade.9646:14693</v>
      </c>
      <c r="G9648" s="3">
        <f>_xll.QS.EVALUATE(C9648,F9648)</f>
        <v>68567.918638768839</v>
      </c>
      <c r="H9648" s="5" t="s">
        <v>9688</v>
      </c>
      <c r="I9648" s="7">
        <v>1964600</v>
      </c>
      <c r="J9648" s="8">
        <v>3.9600000000000003E-2</v>
      </c>
    </row>
    <row r="9649" spans="1:10" x14ac:dyDescent="0.25">
      <c r="A9649" s="5" t="s">
        <v>9682</v>
      </c>
      <c r="B9649" s="5" t="s">
        <v>11516</v>
      </c>
      <c r="C9649" s="6" t="str">
        <f>_xll.QS.CONTEXT.CREATE("market.9647",A9649,"USD","SOFR")</f>
        <v>QSObject:PricingContext:w1~market.9647:16371</v>
      </c>
      <c r="D9649" s="6" t="str">
        <f>_xll.QS.CONTEXT.ADD.CURVE(C9649,"SOFR",$K$2:$K$7,$L$2:$L$7,,,"Actual360","LogLinear",TRUE)</f>
        <v>QSObject:ContextInput:w1~input.qs_context_add_curve.2359132437744.9648.3.0:31362</v>
      </c>
      <c r="E9649" s="6" t="str">
        <f>_xll.QS.INSTRUMENT.SWAP("swap.9647",H9649,B9649,"USD","SOFR",I9649,J9649,0,"Actual360","Simple","Annual","Annual","Annual")</f>
        <v>QSObject:Swap:w1~swap.9647:9857</v>
      </c>
      <c r="F9649" s="6" t="str">
        <f>_xll.QS.TRADE.CREATE("trade.9647",E9649,A9649,"Receive")</f>
        <v>QSObject:SwapTrade:w1~trade.9647:22083</v>
      </c>
      <c r="G9649" s="3">
        <f>_xll.QS.EVALUATE(C9649,F9649)</f>
        <v>69519.178690776229</v>
      </c>
      <c r="H9649" s="5" t="s">
        <v>9689</v>
      </c>
      <c r="I9649" s="7">
        <v>1964700</v>
      </c>
      <c r="J9649" s="8">
        <v>3.9700000000000013E-2</v>
      </c>
    </row>
    <row r="9650" spans="1:10" x14ac:dyDescent="0.25">
      <c r="A9650" s="5" t="s">
        <v>9683</v>
      </c>
      <c r="B9650" s="5" t="s">
        <v>11517</v>
      </c>
      <c r="C9650" s="6" t="str">
        <f>_xll.QS.CONTEXT.CREATE("market.9648",A9650,"USD","SOFR")</f>
        <v>QSObject:PricingContext:w1~market.9648:21812</v>
      </c>
      <c r="D9650" s="6" t="str">
        <f>_xll.QS.CONTEXT.ADD.CURVE(C9650,"SOFR",$K$2:$K$7,$L$2:$L$7,,,"Actual360","LogLinear",TRUE)</f>
        <v>QSObject:ContextInput:w1~input.qs_context_add_curve.2359132437744.9649.3.0:31361</v>
      </c>
      <c r="E9650" s="6" t="str">
        <f>_xll.QS.INSTRUMENT.SWAP("swap.9648",H9650,B9650,"USD","SOFR",I9650,J9650,0,"Actual360","Simple","Annual","Annual","Annual")</f>
        <v>QSObject:Swap:w1~swap.9648:422</v>
      </c>
      <c r="F9650" s="6" t="str">
        <f>_xll.QS.TRADE.CREATE("trade.9648",E9650,A9650,"Receive")</f>
        <v>QSObject:SwapTrade:w1~trade.9648:6646</v>
      </c>
      <c r="G9650" s="3">
        <f>_xll.QS.EVALUATE(C9650,F9650)</f>
        <v>70572.591670884503</v>
      </c>
      <c r="H9650" s="5" t="s">
        <v>9690</v>
      </c>
      <c r="I9650" s="7">
        <v>1964800</v>
      </c>
      <c r="J9650" s="8">
        <v>3.9800000000000002E-2</v>
      </c>
    </row>
    <row r="9651" spans="1:10" x14ac:dyDescent="0.25">
      <c r="A9651" s="5" t="s">
        <v>9684</v>
      </c>
      <c r="B9651" s="5" t="s">
        <v>11518</v>
      </c>
      <c r="C9651" s="6" t="str">
        <f>_xll.QS.CONTEXT.CREATE("market.9649",A9651,"USD","SOFR")</f>
        <v>QSObject:PricingContext:w1~market.9649:5042</v>
      </c>
      <c r="D9651" s="6" t="str">
        <f>_xll.QS.CONTEXT.ADD.CURVE(C9651,"SOFR",$K$2:$K$7,$L$2:$L$7,,,"Actual360","LogLinear",TRUE)</f>
        <v>QSObject:ContextInput:w1~input.qs_context_add_curve.2359132437744.9650.3.0:14692</v>
      </c>
      <c r="E9651" s="6" t="str">
        <f>_xll.QS.INSTRUMENT.SWAP("swap.9649",H9651,B9651,"USD","SOFR",I9651,J9651,0,"Actual360","Simple","Annual","Annual","Annual")</f>
        <v>QSObject:Swap:w1~swap.9649:13042</v>
      </c>
      <c r="F9651" s="6" t="str">
        <f>_xll.QS.TRADE.CREATE("trade.9649",E9651,A9651,"Receive")</f>
        <v>QSObject:SwapTrade:w1~trade.9649:22082</v>
      </c>
      <c r="G9651" s="3">
        <f>_xll.QS.EVALUATE(C9651,F9651)</f>
        <v>71568.377158675081</v>
      </c>
      <c r="H9651" s="5" t="s">
        <v>9691</v>
      </c>
      <c r="I9651" s="7">
        <v>1964900</v>
      </c>
      <c r="J9651" s="8">
        <v>3.9899999999999998E-2</v>
      </c>
    </row>
    <row r="9652" spans="1:10" x14ac:dyDescent="0.25">
      <c r="A9652" s="5" t="s">
        <v>9685</v>
      </c>
      <c r="B9652" s="5" t="s">
        <v>11519</v>
      </c>
      <c r="C9652" s="6" t="str">
        <f>_xll.QS.CONTEXT.CREATE("market.9650",A9652,"USD","SOFR")</f>
        <v>QSObject:PricingContext:w1~market.9650:16370</v>
      </c>
      <c r="D9652" s="6" t="str">
        <f>_xll.QS.CONTEXT.ADD.CURVE(C9652,"SOFR",$K$2:$K$7,$L$2:$L$7,,,"Actual360","LogLinear",TRUE)</f>
        <v>QSObject:ContextInput:w1~input.qs_context_add_curve.2359132437744.9651.3.0:31360</v>
      </c>
      <c r="E9652" s="6" t="str">
        <f>_xll.QS.INSTRUMENT.SWAP("swap.9650",H9652,B9652,"USD","SOFR",I9652,J9652,0,"Actual360","Simple","Annual","Annual","Annual")</f>
        <v>QSObject:Swap:w1~swap.9650:9856</v>
      </c>
      <c r="F9652" s="6" t="str">
        <f>_xll.QS.TRADE.CREATE("trade.9650",E9652,A9652,"Receive")</f>
        <v>QSObject:SwapTrade:w1~trade.9650:22081</v>
      </c>
      <c r="G9652" s="3">
        <f>_xll.QS.EVALUATE(C9652,F9652)</f>
        <v>27095.266590876992</v>
      </c>
      <c r="H9652" s="5" t="s">
        <v>9692</v>
      </c>
      <c r="I9652" s="7">
        <v>1965000</v>
      </c>
      <c r="J9652" s="8">
        <v>3.5000000000000003E-2</v>
      </c>
    </row>
    <row r="9653" spans="1:10" x14ac:dyDescent="0.25">
      <c r="A9653" s="5" t="s">
        <v>9686</v>
      </c>
      <c r="B9653" s="5" t="s">
        <v>11520</v>
      </c>
      <c r="C9653" s="6" t="str">
        <f>_xll.QS.CONTEXT.CREATE("market.9651",A9653,"USD","SOFR")</f>
        <v>QSObject:PricingContext:w1~market.9651:5041</v>
      </c>
      <c r="D9653" s="6" t="str">
        <f>_xll.QS.CONTEXT.ADD.CURVE(C9653,"SOFR",$K$2:$K$7,$L$2:$L$7,,,"Actual360","LogLinear",TRUE)</f>
        <v>QSObject:ContextInput:w1~input.qs_context_add_curve.2359132437744.9652.3.0:6645</v>
      </c>
      <c r="E9653" s="6" t="str">
        <f>_xll.QS.INSTRUMENT.SWAP("swap.9651",H9653,B9653,"USD","SOFR",I9653,J9653,0,"Actual360","Simple","Annual","Annual","Annual")</f>
        <v>QSObject:Swap:w1~swap.9651:11513</v>
      </c>
      <c r="F9653" s="6" t="str">
        <f>_xll.QS.TRADE.CREATE("trade.9651",E9653,A9653,"Receive")</f>
        <v>QSObject:SwapTrade:w1~trade.9651:22080</v>
      </c>
      <c r="G9653" s="3">
        <f>_xll.QS.EVALUATE(C9653,F9653)</f>
        <v>27887.036486357552</v>
      </c>
      <c r="H9653" s="5" t="s">
        <v>9693</v>
      </c>
      <c r="I9653" s="7">
        <v>1965100</v>
      </c>
      <c r="J9653" s="8">
        <v>3.5100000000000013E-2</v>
      </c>
    </row>
    <row r="9654" spans="1:10" x14ac:dyDescent="0.25">
      <c r="A9654" s="5" t="s">
        <v>9687</v>
      </c>
      <c r="B9654" s="5" t="s">
        <v>11521</v>
      </c>
      <c r="C9654" s="6" t="str">
        <f>_xll.QS.CONTEXT.CREATE("market.9652",A9654,"USD","SOFR")</f>
        <v>QSObject:PricingContext:w1~market.9652:18365</v>
      </c>
      <c r="D9654" s="6" t="str">
        <f>_xll.QS.CONTEXT.ADD.CURVE(C9654,"SOFR",$K$2:$K$7,$L$2:$L$7,,,"Actual360","LogLinear",TRUE)</f>
        <v>QSObject:ContextInput:w1~input.qs_context_add_curve.2359132437744.9653.3.0:20059</v>
      </c>
      <c r="E9654" s="6" t="str">
        <f>_xll.QS.INSTRUMENT.SWAP("swap.9652",H9654,B9654,"USD","SOFR",I9654,J9654,0,"Actual360","Simple","Annual","Annual","Annual")</f>
        <v>QSObject:Swap:w1~swap.9652:17404</v>
      </c>
      <c r="F9654" s="6" t="str">
        <f>_xll.QS.TRADE.CREATE("trade.9652",E9654,A9654,"Receive")</f>
        <v>QSObject:SwapTrade:w1~trade.9652:22079</v>
      </c>
      <c r="G9654" s="3">
        <f>_xll.QS.EVALUATE(C9654,F9654)</f>
        <v>28615.203181921352</v>
      </c>
      <c r="H9654" s="5" t="s">
        <v>9694</v>
      </c>
      <c r="I9654" s="7">
        <v>1965200</v>
      </c>
      <c r="J9654" s="8">
        <v>3.5200000000000002E-2</v>
      </c>
    </row>
    <row r="9655" spans="1:10" x14ac:dyDescent="0.25">
      <c r="A9655" s="5" t="s">
        <v>9688</v>
      </c>
      <c r="B9655" s="5" t="s">
        <v>11522</v>
      </c>
      <c r="C9655" s="6" t="str">
        <f>_xll.QS.CONTEXT.CREATE("market.9653",A9655,"USD","SOFR")</f>
        <v>QSObject:PricingContext:w1~market.9653:21811</v>
      </c>
      <c r="D9655" s="6" t="str">
        <f>_xll.QS.CONTEXT.ADD.CURVE(C9655,"SOFR",$K$2:$K$7,$L$2:$L$7,,,"Actual360","LogLinear",TRUE)</f>
        <v>QSObject:ContextInput:w1~input.qs_context_add_curve.2359132437744.9654.3.0:31359</v>
      </c>
      <c r="E9655" s="6" t="str">
        <f>_xll.QS.INSTRUMENT.SWAP("swap.9653",H9655,B9655,"USD","SOFR",I9655,J9655,0,"Actual360","Simple","Annual","Annual","Annual")</f>
        <v>QSObject:Swap:w1~swap.9653:9855</v>
      </c>
      <c r="F9655" s="6" t="str">
        <f>_xll.QS.TRADE.CREATE("trade.9653",E9655,A9655,"Receive")</f>
        <v>QSObject:SwapTrade:w1~trade.9653:13041</v>
      </c>
      <c r="G9655" s="3">
        <f>_xll.QS.EVALUATE(C9655,F9655)</f>
        <v>29604.144284038506</v>
      </c>
      <c r="H9655" s="5" t="s">
        <v>9695</v>
      </c>
      <c r="I9655" s="7">
        <v>1965300</v>
      </c>
      <c r="J9655" s="8">
        <v>3.5299999999999998E-2</v>
      </c>
    </row>
    <row r="9656" spans="1:10" x14ac:dyDescent="0.25">
      <c r="A9656" s="5" t="s">
        <v>9689</v>
      </c>
      <c r="B9656" s="5" t="s">
        <v>11523</v>
      </c>
      <c r="C9656" s="6" t="str">
        <f>_xll.QS.CONTEXT.CREATE("market.9654",A9656,"USD","SOFR")</f>
        <v>QSObject:PricingContext:w1~market.9654:6644</v>
      </c>
      <c r="D9656" s="6" t="str">
        <f>_xll.QS.CONTEXT.ADD.CURVE(C9656,"SOFR",$K$2:$K$7,$L$2:$L$7,,,"Actual360","LogLinear",TRUE)</f>
        <v>QSObject:ContextInput:w1~input.qs_context_add_curve.2359132437744.9655.3.0:22078</v>
      </c>
      <c r="E9656" s="6" t="str">
        <f>_xll.QS.INSTRUMENT.SWAP("swap.9654",H9656,B9656,"USD","SOFR",I9656,J9656,0,"Actual360","Simple","Annual","Annual","Annual")</f>
        <v>QSObject:Swap:w1~swap.9654:11512</v>
      </c>
      <c r="F9656" s="6" t="str">
        <f>_xll.QS.TRADE.CREATE("trade.9654",E9656,A9656,"Receive")</f>
        <v>QSObject:SwapTrade:w1~trade.9654:18364</v>
      </c>
      <c r="G9656" s="3">
        <f>_xll.QS.EVALUATE(C9656,F9656)</f>
        <v>30572.663640580417</v>
      </c>
      <c r="H9656" s="5" t="s">
        <v>9696</v>
      </c>
      <c r="I9656" s="7">
        <v>1965400</v>
      </c>
      <c r="J9656" s="8">
        <v>3.5400000000000001E-2</v>
      </c>
    </row>
    <row r="9657" spans="1:10" x14ac:dyDescent="0.25">
      <c r="A9657" s="5" t="s">
        <v>9690</v>
      </c>
      <c r="B9657" s="5" t="s">
        <v>11524</v>
      </c>
      <c r="C9657" s="6" t="str">
        <f>_xll.QS.CONTEXT.CREATE("market.9655",A9657,"USD","SOFR")</f>
        <v>QSObject:PricingContext:w1~market.9655:1927</v>
      </c>
      <c r="D9657" s="6" t="str">
        <f>_xll.QS.CONTEXT.ADD.CURVE(C9657,"SOFR",$K$2:$K$7,$L$2:$L$7,,,"Actual360","LogLinear",TRUE)</f>
        <v>QSObject:ContextInput:w1~input.qs_context_add_curve.2359132437744.9656.3.0:17403</v>
      </c>
      <c r="E9657" s="6" t="str">
        <f>_xll.QS.INSTRUMENT.SWAP("swap.9655",H9657,B9657,"USD","SOFR",I9657,J9657,0,"Actual360","Simple","Annual","Annual","Annual")</f>
        <v>QSObject:Swap:w1~swap.9655:5040</v>
      </c>
      <c r="F9657" s="6" t="str">
        <f>_xll.QS.TRADE.CREATE("trade.9655",E9657,A9657,"Receive")</f>
        <v>QSObject:SwapTrade:w1~trade.9655:20058</v>
      </c>
      <c r="G9657" s="3">
        <f>_xll.QS.EVALUATE(C9657,F9657)</f>
        <v>31623.889504011044</v>
      </c>
      <c r="H9657" s="5" t="s">
        <v>9697</v>
      </c>
      <c r="I9657" s="7">
        <v>1965500</v>
      </c>
      <c r="J9657" s="8">
        <v>3.5499999999999997E-2</v>
      </c>
    </row>
    <row r="9658" spans="1:10" x14ac:dyDescent="0.25">
      <c r="A9658" s="5" t="s">
        <v>9691</v>
      </c>
      <c r="B9658" s="5" t="s">
        <v>11525</v>
      </c>
      <c r="C9658" s="6" t="str">
        <f>_xll.QS.CONTEXT.CREATE("market.9656",A9658,"USD","SOFR")</f>
        <v>QSObject:PricingContext:w1~market.9656:14691</v>
      </c>
      <c r="D9658" s="6" t="str">
        <f>_xll.QS.CONTEXT.ADD.CURVE(C9658,"SOFR",$K$2:$K$7,$L$2:$L$7,,,"Actual360","LogLinear",TRUE)</f>
        <v>QSObject:ContextInput:w1~input.qs_context_add_curve.2359132437744.9657.3.0:31358</v>
      </c>
      <c r="E9658" s="6" t="str">
        <f>_xll.QS.INSTRUMENT.SWAP("swap.9656",H9658,B9658,"USD","SOFR",I9658,J9658,0,"Actual360","Simple","Annual","Annual","Annual")</f>
        <v>QSObject:Swap:w1~swap.9656:6643</v>
      </c>
      <c r="F9658" s="6" t="str">
        <f>_xll.QS.TRADE.CREATE("trade.9656",E9658,A9658,"Receive")</f>
        <v>QSObject:SwapTrade:w1~trade.9656:8252</v>
      </c>
      <c r="G9658" s="3">
        <f>_xll.QS.EVALUATE(C9658,F9658)</f>
        <v>32617.598053867951</v>
      </c>
      <c r="H9658" s="5" t="s">
        <v>9698</v>
      </c>
      <c r="I9658" s="7">
        <v>1965600</v>
      </c>
      <c r="J9658" s="8">
        <v>3.5600000000000007E-2</v>
      </c>
    </row>
    <row r="9659" spans="1:10" x14ac:dyDescent="0.25">
      <c r="A9659" s="5" t="s">
        <v>9692</v>
      </c>
      <c r="B9659" s="5" t="s">
        <v>11526</v>
      </c>
      <c r="C9659" s="6" t="str">
        <f>_xll.QS.CONTEXT.CREATE("market.9657",A9659,"USD","SOFR")</f>
        <v>QSObject:PricingContext:w1~market.9657:9854</v>
      </c>
      <c r="D9659" s="6" t="str">
        <f>_xll.QS.CONTEXT.ADD.CURVE(C9659,"SOFR",$K$2:$K$7,$L$2:$L$7,,,"Actual360","LogLinear",TRUE)</f>
        <v>QSObject:ContextInput:w1~input.qs_context_add_curve.2359132437744.9658.3.0:16369</v>
      </c>
      <c r="E9659" s="6" t="str">
        <f>_xll.QS.INSTRUMENT.SWAP("swap.9657",H9659,B9659,"USD","SOFR",I9659,J9659,0,"Actual360","Simple","Annual","Annual","Annual")</f>
        <v>QSObject:Swap:w1~swap.9657:11511</v>
      </c>
      <c r="F9659" s="6" t="str">
        <f>_xll.QS.TRADE.CREATE("trade.9657",E9659,A9659,"Receive")</f>
        <v>QSObject:SwapTrade:w1~trade.9657:17402</v>
      </c>
      <c r="G9659" s="3">
        <f>_xll.QS.EVALUATE(C9659,F9659)</f>
        <v>33450.148162079196</v>
      </c>
      <c r="H9659" s="5" t="s">
        <v>9699</v>
      </c>
      <c r="I9659" s="7">
        <v>1965700</v>
      </c>
      <c r="J9659" s="8">
        <v>3.5700000000000003E-2</v>
      </c>
    </row>
    <row r="9660" spans="1:10" x14ac:dyDescent="0.25">
      <c r="A9660" s="5" t="s">
        <v>9693</v>
      </c>
      <c r="B9660" s="5" t="s">
        <v>11527</v>
      </c>
      <c r="C9660" s="6" t="str">
        <f>_xll.QS.CONTEXT.CREATE("market.9658",A9660,"USD","SOFR")</f>
        <v>QSObject:PricingContext:w1~market.9658:21810</v>
      </c>
      <c r="D9660" s="6" t="str">
        <f>_xll.QS.CONTEXT.ADD.CURVE(C9660,"SOFR",$K$2:$K$7,$L$2:$L$7,,,"Actual360","LogLinear",TRUE)</f>
        <v>QSObject:ContextInput:w1~input.qs_context_add_curve.2359132437744.9659.3.0:31357</v>
      </c>
      <c r="E9660" s="6" t="str">
        <f>_xll.QS.INSTRUMENT.SWAP("swap.9658",H9660,B9660,"USD","SOFR",I9660,J9660,0,"Actual360","Simple","Annual","Annual","Annual")</f>
        <v>QSObject:Swap:w1~swap.9658:421</v>
      </c>
      <c r="F9660" s="6" t="str">
        <f>_xll.QS.TRADE.CREATE("trade.9658",E9660,A9660,"Receive")</f>
        <v>QSObject:SwapTrade:w1~trade.9658:5039</v>
      </c>
      <c r="G9660" s="3">
        <f>_xll.QS.EVALUATE(C9660,F9660)</f>
        <v>34235.049839941181</v>
      </c>
      <c r="H9660" s="5" t="s">
        <v>9700</v>
      </c>
      <c r="I9660" s="7">
        <v>1965800</v>
      </c>
      <c r="J9660" s="8">
        <v>3.5800000000000012E-2</v>
      </c>
    </row>
    <row r="9661" spans="1:10" x14ac:dyDescent="0.25">
      <c r="A9661" s="5" t="s">
        <v>9694</v>
      </c>
      <c r="B9661" s="5" t="s">
        <v>11528</v>
      </c>
      <c r="C9661" s="6" t="str">
        <f>_xll.QS.CONTEXT.CREATE("market.9659",A9661,"USD","SOFR")</f>
        <v>QSObject:PricingContext:w1~market.9659:13040</v>
      </c>
      <c r="D9661" s="6" t="str">
        <f>_xll.QS.CONTEXT.ADD.CURVE(C9661,"SOFR",$K$2:$K$7,$L$2:$L$7,,,"Actual360","LogLinear",TRUE)</f>
        <v>QSObject:ContextInput:w1~input.qs_context_add_curve.2359132437744.9660.3.0:22077</v>
      </c>
      <c r="E9661" s="6" t="str">
        <f>_xll.QS.INSTRUMENT.SWAP("swap.9659",H9661,B9661,"USD","SOFR",I9661,J9661,0,"Actual360","Simple","Annual","Annual","Annual")</f>
        <v>QSObject:Swap:w1~swap.9659:14690</v>
      </c>
      <c r="F9661" s="6" t="str">
        <f>_xll.QS.TRADE.CREATE("trade.9659",E9661,A9661,"Receive")</f>
        <v>QSObject:SwapTrade:w1~trade.9659:16368</v>
      </c>
      <c r="G9661" s="3">
        <f>_xll.QS.EVALUATE(C9661,F9661)</f>
        <v>34973.636008735055</v>
      </c>
      <c r="H9661" s="5" t="s">
        <v>9701</v>
      </c>
      <c r="I9661" s="7">
        <v>1965900</v>
      </c>
      <c r="J9661" s="8">
        <v>3.5900000000000001E-2</v>
      </c>
    </row>
    <row r="9662" spans="1:10" x14ac:dyDescent="0.25">
      <c r="A9662" s="5" t="s">
        <v>9695</v>
      </c>
      <c r="B9662" s="5" t="s">
        <v>11529</v>
      </c>
      <c r="C9662" s="6" t="str">
        <f>_xll.QS.CONTEXT.CREATE("market.9660",A9662,"USD","SOFR")</f>
        <v>QSObject:PricingContext:w1~market.9660:17401</v>
      </c>
      <c r="D9662" s="6" t="str">
        <f>_xll.QS.CONTEXT.ADD.CURVE(C9662,"SOFR",$K$2:$K$7,$L$2:$L$7,,,"Actual360","LogLinear",TRUE)</f>
        <v>QSObject:ContextInput:w1~input.qs_context_add_curve.2359132437744.9661.3.0:20057</v>
      </c>
      <c r="E9662" s="6" t="str">
        <f>_xll.QS.INSTRUMENT.SWAP("swap.9660",H9662,B9662,"USD","SOFR",I9662,J9662,0,"Actual360","Simple","Annual","Annual","Annual")</f>
        <v>QSObject:Swap:w1~swap.9660:11510</v>
      </c>
      <c r="F9662" s="6" t="str">
        <f>_xll.QS.TRADE.CREATE("trade.9660",E9662,A9662,"Receive")</f>
        <v>QSObject:SwapTrade:w1~trade.9660:22076</v>
      </c>
      <c r="G9662" s="3">
        <f>_xll.QS.EVALUATE(C9662,F9662)</f>
        <v>35963.857901794654</v>
      </c>
      <c r="H9662" s="5" t="s">
        <v>9702</v>
      </c>
      <c r="I9662" s="7">
        <v>1966000</v>
      </c>
      <c r="J9662" s="8">
        <v>3.5999999999999997E-2</v>
      </c>
    </row>
    <row r="9663" spans="1:10" x14ac:dyDescent="0.25">
      <c r="A9663" s="5" t="s">
        <v>9696</v>
      </c>
      <c r="B9663" s="5" t="s">
        <v>11530</v>
      </c>
      <c r="C9663" s="6" t="str">
        <f>_xll.QS.CONTEXT.CREATE("market.9661",A9663,"USD","SOFR")</f>
        <v>QSObject:PricingContext:w1~market.9661:6642</v>
      </c>
      <c r="D9663" s="6" t="str">
        <f>_xll.QS.CONTEXT.ADD.CURVE(C9663,"SOFR",$K$2:$K$7,$L$2:$L$7,,,"Actual360","LogLinear",TRUE)</f>
        <v>QSObject:ContextInput:w1~input.qs_context_add_curve.2359132437744.9662.3.0:8251</v>
      </c>
      <c r="E9663" s="6" t="str">
        <f>_xll.QS.INSTRUMENT.SWAP("swap.9661",H9663,B9663,"USD","SOFR",I9663,J9663,0,"Actual360","Simple","Annual","Annual","Annual")</f>
        <v>QSObject:Swap:w1~swap.9661:18363</v>
      </c>
      <c r="F9663" s="6" t="str">
        <f>_xll.QS.TRADE.CREATE("trade.9661",E9663,A9663,"Receive")</f>
        <v>QSObject:SwapTrade:w1~trade.9661:22075</v>
      </c>
      <c r="G9663" s="3">
        <f>_xll.QS.EVALUATE(C9663,F9663)</f>
        <v>36929.964635152253</v>
      </c>
      <c r="H9663" s="5" t="s">
        <v>9703</v>
      </c>
      <c r="I9663" s="7">
        <v>1966100</v>
      </c>
      <c r="J9663" s="8">
        <v>3.61E-2</v>
      </c>
    </row>
    <row r="9664" spans="1:10" x14ac:dyDescent="0.25">
      <c r="A9664" s="5" t="s">
        <v>9697</v>
      </c>
      <c r="B9664" s="5" t="s">
        <v>11531</v>
      </c>
      <c r="C9664" s="6" t="str">
        <f>_xll.QS.CONTEXT.CREATE("market.9662",A9664,"USD","SOFR")</f>
        <v>QSObject:PricingContext:w1~market.9662:17400</v>
      </c>
      <c r="D9664" s="6" t="str">
        <f>_xll.QS.CONTEXT.ADD.CURVE(C9664,"SOFR",$K$2:$K$7,$L$2:$L$7,,,"Actual360","LogLinear",TRUE)</f>
        <v>QSObject:ContextInput:w1~input.qs_context_add_curve.2359132437744.9663.3.0:31356</v>
      </c>
      <c r="E9664" s="6" t="str">
        <f>_xll.QS.INSTRUMENT.SWAP("swap.9662",H9664,B9664,"USD","SOFR",I9664,J9664,0,"Actual360","Simple","Annual","Annual","Annual")</f>
        <v>QSObject:Swap:w1~swap.9662:16367</v>
      </c>
      <c r="F9664" s="6" t="str">
        <f>_xll.QS.TRADE.CREATE("trade.9662",E9664,A9664,"Receive")</f>
        <v>QSObject:SwapTrade:w1~trade.9662:21809</v>
      </c>
      <c r="G9664" s="3">
        <f>_xll.QS.EVALUATE(C9664,F9664)</f>
        <v>37981.985283997055</v>
      </c>
      <c r="H9664" s="5" t="s">
        <v>9704</v>
      </c>
      <c r="I9664" s="7">
        <v>1966200</v>
      </c>
      <c r="J9664" s="8">
        <v>3.6200000000000003E-2</v>
      </c>
    </row>
    <row r="9665" spans="1:10" x14ac:dyDescent="0.25">
      <c r="A9665" s="5" t="s">
        <v>9698</v>
      </c>
      <c r="B9665" s="5" t="s">
        <v>11532</v>
      </c>
      <c r="C9665" s="6" t="str">
        <f>_xll.QS.CONTEXT.CREATE("market.9663",A9665,"USD","SOFR")</f>
        <v>QSObject:PricingContext:w1~market.9663:20056</v>
      </c>
      <c r="D9665" s="6" t="str">
        <f>_xll.QS.CONTEXT.ADD.CURVE(C9665,"SOFR",$K$2:$K$7,$L$2:$L$7,,,"Actual360","LogLinear",TRUE)</f>
        <v>QSObject:ContextInput:w1~input.qs_context_add_curve.2359132437744.9664.3.0:31355</v>
      </c>
      <c r="E9665" s="6" t="str">
        <f>_xll.QS.INSTRUMENT.SWAP("swap.9663",H9665,B9665,"USD","SOFR",I9665,J9665,0,"Actual360","Simple","Annual","Annual","Annual")</f>
        <v>QSObject:Swap:w1~swap.9663:9853</v>
      </c>
      <c r="F9665" s="6" t="str">
        <f>_xll.QS.TRADE.CREATE("trade.9663",E9665,A9665,"Receive")</f>
        <v>QSObject:SwapTrade:w1~trade.9663:22074</v>
      </c>
      <c r="G9665" s="3">
        <f>_xll.QS.EVALUATE(C9665,F9665)</f>
        <v>38976.448695256076</v>
      </c>
      <c r="H9665" s="5" t="s">
        <v>9705</v>
      </c>
      <c r="I9665" s="7">
        <v>1966300</v>
      </c>
      <c r="J9665" s="8">
        <v>3.6300000000000013E-2</v>
      </c>
    </row>
    <row r="9666" spans="1:10" x14ac:dyDescent="0.25">
      <c r="A9666" s="5" t="s">
        <v>9699</v>
      </c>
      <c r="B9666" s="5" t="s">
        <v>11533</v>
      </c>
      <c r="C9666" s="6" t="str">
        <f>_xll.QS.CONTEXT.CREATE("market.9664",A9666,"USD","SOFR")</f>
        <v>QSObject:PricingContext:w1~market.9664:13039</v>
      </c>
      <c r="D9666" s="6" t="str">
        <f>_xll.QS.CONTEXT.ADD.CURVE(C9666,"SOFR",$K$2:$K$7,$L$2:$L$7,,,"Actual360","LogLinear",TRUE)</f>
        <v>QSObject:ContextInput:w1~input.qs_context_add_curve.2359132437744.9665.3.0:18362</v>
      </c>
      <c r="E9666" s="6" t="str">
        <f>_xll.QS.INSTRUMENT.SWAP("swap.9664",H9666,B9666,"USD","SOFR",I9666,J9666,0,"Actual360","Simple","Annual","Annual","Annual")</f>
        <v>QSObject:Swap:w1~swap.9664:8250</v>
      </c>
      <c r="F9666" s="6" t="str">
        <f>_xll.QS.TRADE.CREATE("trade.9664",E9666,A9666,"Receive")</f>
        <v>QSObject:SwapTrade:w1~trade.9664:22073</v>
      </c>
      <c r="G9666" s="3">
        <f>_xll.QS.EVALUATE(C9666,F9666)</f>
        <v>39809.548897466411</v>
      </c>
      <c r="H9666" s="5" t="s">
        <v>9706</v>
      </c>
      <c r="I9666" s="7">
        <v>1966400</v>
      </c>
      <c r="J9666" s="8">
        <v>3.6400000000000002E-2</v>
      </c>
    </row>
    <row r="9667" spans="1:10" x14ac:dyDescent="0.25">
      <c r="A9667" s="5" t="s">
        <v>9700</v>
      </c>
      <c r="B9667" s="5" t="s">
        <v>11534</v>
      </c>
      <c r="C9667" s="6" t="str">
        <f>_xll.QS.CONTEXT.CREATE("market.9665",A9667,"USD","SOFR")</f>
        <v>QSObject:PricingContext:w1~market.9665:17399</v>
      </c>
      <c r="D9667" s="6" t="str">
        <f>_xll.QS.CONTEXT.ADD.CURVE(C9667,"SOFR",$K$2:$K$7,$L$2:$L$7,,,"Actual360","LogLinear",TRUE)</f>
        <v>QSObject:ContextInput:w1~input.qs_context_add_curve.2359132437744.9666.3.0:31354</v>
      </c>
      <c r="E9667" s="6" t="str">
        <f>_xll.QS.INSTRUMENT.SWAP("swap.9665",H9667,B9667,"USD","SOFR",I9667,J9667,0,"Actual360","Simple","Annual","Annual","Annual")</f>
        <v>QSObject:Swap:w1~swap.9665:14689</v>
      </c>
      <c r="F9667" s="6" t="str">
        <f>_xll.QS.TRADE.CREATE("trade.9665",E9667,A9667,"Receive")</f>
        <v>QSObject:SwapTrade:w1~trade.9665:22072</v>
      </c>
      <c r="G9667" s="3">
        <f>_xll.QS.EVALUATE(C9667,F9667)</f>
        <v>40587.577035911767</v>
      </c>
      <c r="H9667" s="5" t="s">
        <v>9707</v>
      </c>
      <c r="I9667" s="7">
        <v>1966500</v>
      </c>
      <c r="J9667" s="8">
        <v>3.6499999999999998E-2</v>
      </c>
    </row>
    <row r="9668" spans="1:10" x14ac:dyDescent="0.25">
      <c r="A9668" s="5" t="s">
        <v>9701</v>
      </c>
      <c r="B9668" s="5" t="s">
        <v>11535</v>
      </c>
      <c r="C9668" s="6" t="str">
        <f>_xll.QS.CONTEXT.CREATE("market.9666",A9668,"USD","SOFR")</f>
        <v>QSObject:PricingContext:w1~market.9666:420</v>
      </c>
      <c r="D9668" s="6" t="str">
        <f>_xll.QS.CONTEXT.ADD.CURVE(C9668,"SOFR",$K$2:$K$7,$L$2:$L$7,,,"Actual360","LogLinear",TRUE)</f>
        <v>QSObject:ContextInput:w1~input.qs_context_add_curve.2359132437744.9667.3.0:6641</v>
      </c>
      <c r="E9668" s="6" t="str">
        <f>_xll.QS.INSTRUMENT.SWAP("swap.9666",H9668,B9668,"USD","SOFR",I9668,J9668,0,"Actual360","Simple","Annual","Annual","Annual")</f>
        <v>QSObject:Swap:w1~swap.9666:21808</v>
      </c>
      <c r="F9668" s="6" t="str">
        <f>_xll.QS.TRADE.CREATE("trade.9666",E9668,A9668,"Receive")</f>
        <v>QSObject:SwapTrade:w1~trade.9666:22071</v>
      </c>
      <c r="G9668" s="3">
        <f>_xll.QS.EVALUATE(C9668,F9668)</f>
        <v>41336.589684124308</v>
      </c>
      <c r="H9668" s="5" t="s">
        <v>9708</v>
      </c>
      <c r="I9668" s="7">
        <v>1966600</v>
      </c>
      <c r="J9668" s="8">
        <v>3.6600000000000001E-2</v>
      </c>
    </row>
    <row r="9669" spans="1:10" x14ac:dyDescent="0.25">
      <c r="A9669" s="5" t="s">
        <v>9702</v>
      </c>
      <c r="B9669" s="5" t="s">
        <v>11536</v>
      </c>
      <c r="C9669" s="6" t="str">
        <f>_xll.QS.CONTEXT.CREATE("market.9667",A9669,"USD","SOFR")</f>
        <v>QSObject:PricingContext:w1~market.9667:20055</v>
      </c>
      <c r="D9669" s="6" t="str">
        <f>_xll.QS.CONTEXT.ADD.CURVE(C9669,"SOFR",$K$2:$K$7,$L$2:$L$7,,,"Actual360","LogLinear",TRUE)</f>
        <v>QSObject:ContextInput:w1~input.qs_context_add_curve.2359132437744.9668.3.0:31353</v>
      </c>
      <c r="E9669" s="6" t="str">
        <f>_xll.QS.INSTRUMENT.SWAP("swap.9667",H9669,B9669,"USD","SOFR",I9669,J9669,0,"Actual360","Simple","Annual","Annual","Annual")</f>
        <v>QSObject:Swap:w1~swap.9667:8249</v>
      </c>
      <c r="F9669" s="6" t="str">
        <f>_xll.QS.TRADE.CREATE("trade.9667",E9669,A9669,"Receive")</f>
        <v>QSObject:SwapTrade:w1~trade.9667:22070</v>
      </c>
      <c r="G9669" s="3">
        <f>_xll.QS.EVALUATE(C9669,F9669)</f>
        <v>42328.110016167942</v>
      </c>
      <c r="H9669" s="5" t="s">
        <v>9709</v>
      </c>
      <c r="I9669" s="7">
        <v>1966700</v>
      </c>
      <c r="J9669" s="8">
        <v>3.6700000000000003E-2</v>
      </c>
    </row>
    <row r="9670" spans="1:10" x14ac:dyDescent="0.25">
      <c r="A9670" s="5" t="s">
        <v>9703</v>
      </c>
      <c r="B9670" s="5" t="s">
        <v>11537</v>
      </c>
      <c r="C9670" s="6" t="str">
        <f>_xll.QS.CONTEXT.CREATE("market.9668",A9670,"USD","SOFR")</f>
        <v>QSObject:PricingContext:w1~market.9668:18361</v>
      </c>
      <c r="D9670" s="6" t="str">
        <f>_xll.QS.CONTEXT.ADD.CURVE(C9670,"SOFR",$K$2:$K$7,$L$2:$L$7,,,"Actual360","LogLinear",TRUE)</f>
        <v>QSObject:ContextInput:w1~input.qs_context_add_curve.2359132437744.9669.3.0:31352</v>
      </c>
      <c r="E9670" s="6" t="str">
        <f>_xll.QS.INSTRUMENT.SWAP("swap.9668",H9670,B9670,"USD","SOFR",I9670,J9670,0,"Actual360","Simple","Annual","Annual","Annual")</f>
        <v>QSObject:Swap:w1~swap.9668:14688</v>
      </c>
      <c r="F9670" s="6" t="str">
        <f>_xll.QS.TRADE.CREATE("trade.9668",E9670,A9670,"Receive")</f>
        <v>QSObject:SwapTrade:w1~trade.9668:21807</v>
      </c>
      <c r="G9670" s="3">
        <f>_xll.QS.EVALUATE(C9670,F9670)</f>
        <v>43291.804447678864</v>
      </c>
      <c r="H9670" s="5" t="s">
        <v>9710</v>
      </c>
      <c r="I9670" s="7">
        <v>1966800</v>
      </c>
      <c r="J9670" s="8">
        <v>3.6800000000000013E-2</v>
      </c>
    </row>
    <row r="9671" spans="1:10" x14ac:dyDescent="0.25">
      <c r="A9671" s="5" t="s">
        <v>9704</v>
      </c>
      <c r="B9671" s="5" t="s">
        <v>11538</v>
      </c>
      <c r="C9671" s="6" t="str">
        <f>_xll.QS.CONTEXT.CREATE("market.9669",A9671,"USD","SOFR")</f>
        <v>QSObject:PricingContext:w1~market.9669:11509</v>
      </c>
      <c r="D9671" s="6" t="str">
        <f>_xll.QS.CONTEXT.ADD.CURVE(C9671,"SOFR",$K$2:$K$7,$L$2:$L$7,,,"Actual360","LogLinear",TRUE)</f>
        <v>QSObject:ContextInput:w1~input.qs_context_add_curve.2359132437744.9670.3.0:16366</v>
      </c>
      <c r="E9671" s="6" t="str">
        <f>_xll.QS.INSTRUMENT.SWAP("swap.9669",H9671,B9671,"USD","SOFR",I9671,J9671,0,"Actual360","Simple","Annual","Annual","Annual")</f>
        <v>QSObject:Swap:w1~swap.9669:419</v>
      </c>
      <c r="F9671" s="6" t="str">
        <f>_xll.QS.TRADE.CREATE("trade.9669",E9671,A9671,"Receive")</f>
        <v>QSObject:SwapTrade:w1~trade.9669:20054</v>
      </c>
      <c r="G9671" s="3">
        <f>_xll.QS.EVALUATE(C9671,F9671)</f>
        <v>44344.889685256901</v>
      </c>
      <c r="H9671" s="5" t="s">
        <v>9711</v>
      </c>
      <c r="I9671" s="7">
        <v>1966900</v>
      </c>
      <c r="J9671" s="8">
        <v>3.6900000000000002E-2</v>
      </c>
    </row>
    <row r="9672" spans="1:10" x14ac:dyDescent="0.25">
      <c r="A9672" s="5" t="s">
        <v>9705</v>
      </c>
      <c r="B9672" s="5" t="s">
        <v>11539</v>
      </c>
      <c r="C9672" s="6" t="str">
        <f>_xll.QS.CONTEXT.CREATE("market.9670",A9672,"USD","SOFR")</f>
        <v>QSObject:PricingContext:w1~market.9670:17398</v>
      </c>
      <c r="D9672" s="6" t="str">
        <f>_xll.QS.CONTEXT.ADD.CURVE(C9672,"SOFR",$K$2:$K$7,$L$2:$L$7,,,"Actual360","LogLinear",TRUE)</f>
        <v>QSObject:ContextInput:w1~input.qs_context_add_curve.2359132437744.9671.3.0:31351</v>
      </c>
      <c r="E9672" s="6" t="str">
        <f>_xll.QS.INSTRUMENT.SWAP("swap.9670",H9672,B9672,"USD","SOFR",I9672,J9672,0,"Actual360","Simple","Annual","Annual","Annual")</f>
        <v>QSObject:Swap:w1~swap.9670:8248</v>
      </c>
      <c r="F9672" s="6" t="str">
        <f>_xll.QS.TRADE.CREATE("trade.9670",E9672,A9672,"Receive")</f>
        <v>QSObject:SwapTrade:w1~trade.9670:21806</v>
      </c>
      <c r="G9672" s="3">
        <f>_xll.QS.EVALUATE(C9672,F9672)</f>
        <v>45340.337871953998</v>
      </c>
      <c r="H9672" s="5" t="s">
        <v>9712</v>
      </c>
      <c r="I9672" s="7">
        <v>1967000</v>
      </c>
      <c r="J9672" s="8">
        <v>3.7000000000000012E-2</v>
      </c>
    </row>
    <row r="9673" spans="1:10" x14ac:dyDescent="0.25">
      <c r="A9673" s="5" t="s">
        <v>9706</v>
      </c>
      <c r="B9673" s="5" t="s">
        <v>11540</v>
      </c>
      <c r="C9673" s="6" t="str">
        <f>_xll.QS.CONTEXT.CREATE("market.9671",A9673,"USD","SOFR")</f>
        <v>QSObject:PricingContext:w1~market.9671:16365</v>
      </c>
      <c r="D9673" s="6" t="str">
        <f>_xll.QS.CONTEXT.ADD.CURVE(C9673,"SOFR",$K$2:$K$7,$L$2:$L$7,,,"Actual360","LogLinear",TRUE)</f>
        <v>QSObject:ContextInput:w1~input.qs_context_add_curve.2359132437744.9672.3.0:18360</v>
      </c>
      <c r="E9673" s="6" t="str">
        <f>_xll.QS.INSTRUMENT.SWAP("swap.9671",H9673,B9673,"USD","SOFR",I9673,J9673,0,"Actual360","Simple","Annual","Annual","Annual")</f>
        <v>QSObject:Swap:w1~swap.9671:11508</v>
      </c>
      <c r="F9673" s="6" t="str">
        <f>_xll.QS.TRADE.CREATE("trade.9671",E9673,A9673,"Receive")</f>
        <v>QSObject:SwapTrade:w1~trade.9671:22069</v>
      </c>
      <c r="G9673" s="3">
        <f>_xll.QS.EVALUATE(C9673,F9673)</f>
        <v>46173.46879703892</v>
      </c>
      <c r="H9673" s="5" t="s">
        <v>9713</v>
      </c>
      <c r="I9673" s="7">
        <v>1967100</v>
      </c>
      <c r="J9673" s="8">
        <v>3.7100000000000001E-2</v>
      </c>
    </row>
    <row r="9674" spans="1:10" x14ac:dyDescent="0.25">
      <c r="A9674" s="5" t="s">
        <v>9707</v>
      </c>
      <c r="B9674" s="5" t="s">
        <v>11541</v>
      </c>
      <c r="C9674" s="6" t="str">
        <f>_xll.QS.CONTEXT.CREATE("market.9672",A9674,"USD","SOFR")</f>
        <v>QSObject:PricingContext:w1~market.9672:14687</v>
      </c>
      <c r="D9674" s="6" t="str">
        <f>_xll.QS.CONTEXT.ADD.CURVE(C9674,"SOFR",$K$2:$K$7,$L$2:$L$7,,,"Actual360","LogLinear",TRUE)</f>
        <v>QSObject:ContextInput:w1~input.qs_context_add_curve.2359132437744.9673.3.0:31350</v>
      </c>
      <c r="E9674" s="6" t="str">
        <f>_xll.QS.INSTRUMENT.SWAP("swap.9672",H9674,B9674,"USD","SOFR",I9674,J9674,0,"Actual360","Simple","Annual","Annual","Annual")</f>
        <v>QSObject:Swap:w1~swap.9672:6640</v>
      </c>
      <c r="F9674" s="6" t="str">
        <f>_xll.QS.TRADE.CREATE("trade.9672",E9674,A9674,"Receive")</f>
        <v>QSObject:SwapTrade:w1~trade.9672:22068</v>
      </c>
      <c r="G9674" s="3">
        <f>_xll.QS.EVALUATE(C9674,F9674)</f>
        <v>46914.327902137149</v>
      </c>
      <c r="H9674" s="5" t="s">
        <v>9714</v>
      </c>
      <c r="I9674" s="7">
        <v>1967200</v>
      </c>
      <c r="J9674" s="8">
        <v>3.7199999999999997E-2</v>
      </c>
    </row>
    <row r="9675" spans="1:10" x14ac:dyDescent="0.25">
      <c r="A9675" s="5" t="s">
        <v>9708</v>
      </c>
      <c r="B9675" s="5" t="s">
        <v>11542</v>
      </c>
      <c r="C9675" s="6" t="str">
        <f>_xll.QS.CONTEXT.CREATE("market.9673",A9675,"USD","SOFR")</f>
        <v>QSObject:PricingContext:w1~market.9673:17397</v>
      </c>
      <c r="D9675" s="6" t="str">
        <f>_xll.QS.CONTEXT.ADD.CURVE(C9675,"SOFR",$K$2:$K$7,$L$2:$L$7,,,"Actual360","LogLinear",TRUE)</f>
        <v>QSObject:ContextInput:w1~input.qs_context_add_curve.2359132437744.9674.3.0:31349</v>
      </c>
      <c r="E9675" s="6" t="str">
        <f>_xll.QS.INSTRUMENT.SWAP("swap.9673",H9675,B9675,"USD","SOFR",I9675,J9675,0,"Actual360","Simple","Annual","Annual","Annual")</f>
        <v>QSObject:Swap:w1~swap.9673:21805</v>
      </c>
      <c r="F9675" s="6" t="str">
        <f>_xll.QS.TRADE.CREATE("trade.9673",E9675,A9675,"Receive")</f>
        <v>QSObject:SwapTrade:w1~trade.9673:22067</v>
      </c>
      <c r="G9675" s="3">
        <f>_xll.QS.EVALUATE(C9675,F9675)</f>
        <v>47622.064015388081</v>
      </c>
      <c r="H9675" s="5" t="s">
        <v>9715</v>
      </c>
      <c r="I9675" s="7">
        <v>1967300</v>
      </c>
      <c r="J9675" s="8">
        <v>3.73E-2</v>
      </c>
    </row>
    <row r="9676" spans="1:10" x14ac:dyDescent="0.25">
      <c r="A9676" s="5" t="s">
        <v>9709</v>
      </c>
      <c r="B9676" s="5" t="s">
        <v>11543</v>
      </c>
      <c r="C9676" s="6" t="str">
        <f>_xll.QS.CONTEXT.CREATE("market.9674",A9676,"USD","SOFR")</f>
        <v>QSObject:PricingContext:w1~market.9674:9852</v>
      </c>
      <c r="D9676" s="6" t="str">
        <f>_xll.QS.CONTEXT.ADD.CURVE(C9676,"SOFR",$K$2:$K$7,$L$2:$L$7,,,"Actual360","LogLinear",TRUE)</f>
        <v>QSObject:ContextInput:w1~input.qs_context_add_curve.2359132437744.9675.3.0:18359</v>
      </c>
      <c r="E9676" s="6" t="str">
        <f>_xll.QS.INSTRUMENT.SWAP("swap.9674",H9676,B9676,"USD","SOFR",I9676,J9676,0,"Actual360","Simple","Annual","Annual","Annual")</f>
        <v>QSObject:Swap:w1~swap.9674:418</v>
      </c>
      <c r="F9676" s="6" t="str">
        <f>_xll.QS.TRADE.CREATE("trade.9674",E9676,A9676,"Receive")</f>
        <v>QSObject:SwapTrade:w1~trade.9674:20053</v>
      </c>
      <c r="G9676" s="3">
        <f>_xll.QS.EVALUATE(C9676,F9676)</f>
        <v>48614.525062413522</v>
      </c>
      <c r="H9676" s="5" t="s">
        <v>9716</v>
      </c>
      <c r="I9676" s="7">
        <v>1967400</v>
      </c>
      <c r="J9676" s="8">
        <v>3.7400000000000003E-2</v>
      </c>
    </row>
    <row r="9677" spans="1:10" x14ac:dyDescent="0.25">
      <c r="A9677" s="5" t="s">
        <v>9710</v>
      </c>
      <c r="B9677" s="5" t="s">
        <v>11544</v>
      </c>
      <c r="C9677" s="6" t="str">
        <f>_xll.QS.CONTEXT.CREATE("market.9675",A9677,"USD","SOFR")</f>
        <v>QSObject:PricingContext:w1~market.9675:8247</v>
      </c>
      <c r="D9677" s="6" t="str">
        <f>_xll.QS.CONTEXT.ADD.CURVE(C9677,"SOFR",$K$2:$K$7,$L$2:$L$7,,,"Actual360","LogLinear",TRUE)</f>
        <v>QSObject:ContextInput:w1~input.qs_context_add_curve.2359132437744.9676.3.0:22066</v>
      </c>
      <c r="E9677" s="6" t="str">
        <f>_xll.QS.INSTRUMENT.SWAP("swap.9675",H9677,B9677,"USD","SOFR",I9677,J9677,0,"Actual360","Simple","Annual","Annual","Annual")</f>
        <v>QSObject:Swap:w1~swap.9675:14686</v>
      </c>
      <c r="F9677" s="6" t="str">
        <f>_xll.QS.TRADE.CREATE("trade.9675",E9677,A9677,"Receive")</f>
        <v>QSObject:SwapTrade:w1~trade.9675:22065</v>
      </c>
      <c r="G9677" s="3">
        <f>_xll.QS.EVALUATE(C9677,F9677)</f>
        <v>49607.328231356769</v>
      </c>
      <c r="H9677" s="5" t="s">
        <v>9717</v>
      </c>
      <c r="I9677" s="7">
        <v>1967500</v>
      </c>
      <c r="J9677" s="8">
        <v>3.7500000000000012E-2</v>
      </c>
    </row>
    <row r="9678" spans="1:10" x14ac:dyDescent="0.25">
      <c r="A9678" s="5" t="s">
        <v>9711</v>
      </c>
      <c r="B9678" s="5" t="s">
        <v>11545</v>
      </c>
      <c r="C9678" s="6" t="str">
        <f>_xll.QS.CONTEXT.CREATE("market.9676",A9678,"USD","SOFR")</f>
        <v>QSObject:PricingContext:w1~market.9676:5038</v>
      </c>
      <c r="D9678" s="6" t="str">
        <f>_xll.QS.CONTEXT.ADD.CURVE(C9678,"SOFR",$K$2:$K$7,$L$2:$L$7,,,"Actual360","LogLinear",TRUE)</f>
        <v>QSObject:ContextInput:w1~input.qs_context_add_curve.2359132437744.9677.3.0:17396</v>
      </c>
      <c r="E9678" s="6" t="str">
        <f>_xll.QS.INSTRUMENT.SWAP("swap.9676",H9678,B9678,"USD","SOFR",I9678,J9678,0,"Actual360","Simple","Annual","Annual","Annual")</f>
        <v>QSObject:Swap:w1~swap.9676:13038</v>
      </c>
      <c r="F9678" s="6" t="str">
        <f>_xll.QS.TRADE.CREATE("trade.9676",E9678,A9678,"Receive")</f>
        <v>QSObject:SwapTrade:w1~trade.9676:21804</v>
      </c>
      <c r="G9678" s="3">
        <f>_xll.QS.EVALUATE(C9678,F9678)</f>
        <v>50784.535695609418</v>
      </c>
      <c r="H9678" s="5" t="s">
        <v>9718</v>
      </c>
      <c r="I9678" s="7">
        <v>1967600</v>
      </c>
      <c r="J9678" s="8">
        <v>3.7600000000000001E-2</v>
      </c>
    </row>
    <row r="9679" spans="1:10" x14ac:dyDescent="0.25">
      <c r="A9679" s="5" t="s">
        <v>9712</v>
      </c>
      <c r="B9679" s="5" t="s">
        <v>11546</v>
      </c>
      <c r="C9679" s="6" t="str">
        <f>_xll.QS.CONTEXT.CREATE("market.9677",A9679,"USD","SOFR")</f>
        <v>QSObject:PricingContext:w1~market.9677:9851</v>
      </c>
      <c r="D9679" s="6" t="str">
        <f>_xll.QS.CONTEXT.ADD.CURVE(C9679,"SOFR",$K$2:$K$7,$L$2:$L$7,,,"Actual360","LogLinear",TRUE)</f>
        <v>QSObject:ContextInput:w1~input.qs_context_add_curve.2359132437744.9678.3.0:16364</v>
      </c>
      <c r="E9679" s="6" t="str">
        <f>_xll.QS.INSTRUMENT.SWAP("swap.9677",H9679,B9679,"USD","SOFR",I9679,J9679,0,"Actual360","Simple","Annual","Annual","Annual")</f>
        <v>QSObject:Swap:w1~swap.9677:18358</v>
      </c>
      <c r="F9679" s="6" t="str">
        <f>_xll.QS.TRADE.CREATE("trade.9677",E9679,A9679,"Receive")</f>
        <v>QSObject:SwapTrade:w1~trade.9677:22064</v>
      </c>
      <c r="G9679" s="3">
        <f>_xll.QS.EVALUATE(C9679,F9679)</f>
        <v>51712.41102418644</v>
      </c>
      <c r="H9679" s="5" t="s">
        <v>9719</v>
      </c>
      <c r="I9679" s="7">
        <v>1967700</v>
      </c>
      <c r="J9679" s="8">
        <v>3.7699999999999997E-2</v>
      </c>
    </row>
    <row r="9680" spans="1:10" x14ac:dyDescent="0.25">
      <c r="A9680" s="5" t="s">
        <v>9713</v>
      </c>
      <c r="B9680" s="5" t="s">
        <v>11547</v>
      </c>
      <c r="C9680" s="6" t="str">
        <f>_xll.QS.CONTEXT.CREATE("market.9678",A9680,"USD","SOFR")</f>
        <v>QSObject:PricingContext:w1~market.9678:14685</v>
      </c>
      <c r="D9680" s="6" t="str">
        <f>_xll.QS.CONTEXT.ADD.CURVE(C9680,"SOFR",$K$2:$K$7,$L$2:$L$7,,,"Actual360","LogLinear",TRUE)</f>
        <v>QSObject:ContextInput:w1~input.qs_context_add_curve.2359132437744.9679.3.0:22063</v>
      </c>
      <c r="E9680" s="6" t="str">
        <f>_xll.QS.INSTRUMENT.SWAP("swap.9678",H9680,B9680,"USD","SOFR",I9680,J9680,0,"Actual360","Simple","Annual","Annual","Annual")</f>
        <v>QSObject:Swap:w1~swap.9678:8246</v>
      </c>
      <c r="F9680" s="6" t="str">
        <f>_xll.QS.TRADE.CREATE("trade.9678",E9680,A9680,"Receive")</f>
        <v>QSObject:SwapTrade:w1~trade.9678:20052</v>
      </c>
      <c r="G9680" s="3">
        <f>_xll.QS.EVALUATE(C9680,F9680)</f>
        <v>52621.467888964558</v>
      </c>
      <c r="H9680" s="5" t="s">
        <v>9720</v>
      </c>
      <c r="I9680" s="7">
        <v>1967800</v>
      </c>
      <c r="J9680" s="8">
        <v>3.78E-2</v>
      </c>
    </row>
    <row r="9681" spans="1:10" x14ac:dyDescent="0.25">
      <c r="A9681" s="5" t="s">
        <v>9714</v>
      </c>
      <c r="B9681" s="5" t="s">
        <v>11548</v>
      </c>
      <c r="C9681" s="6" t="str">
        <f>_xll.QS.CONTEXT.CREATE("market.9679",A9681,"USD","SOFR")</f>
        <v>QSObject:PricingContext:w1~market.9679:17395</v>
      </c>
      <c r="D9681" s="6" t="str">
        <f>_xll.QS.CONTEXT.ADD.CURVE(C9681,"SOFR",$K$2:$K$7,$L$2:$L$7,,,"Actual360","LogLinear",TRUE)</f>
        <v>QSObject:ContextInput:w1~input.qs_context_add_curve.2359132437744.9680.3.0:22062</v>
      </c>
      <c r="E9681" s="6" t="str">
        <f>_xll.QS.INSTRUMENT.SWAP("swap.9679",H9681,B9681,"USD","SOFR",I9681,J9681,0,"Actual360","Simple","Annual","Annual","Annual")</f>
        <v>QSObject:Swap:w1~swap.9679:6639</v>
      </c>
      <c r="F9681" s="6" t="str">
        <f>_xll.QS.TRADE.CREATE("trade.9679",E9681,A9681,"Receive")</f>
        <v>QSObject:SwapTrade:w1~trade.9679:13037</v>
      </c>
      <c r="G9681" s="3">
        <f>_xll.QS.EVALUATE(C9681,F9681)</f>
        <v>53385.715329697843</v>
      </c>
      <c r="H9681" s="5" t="s">
        <v>9721</v>
      </c>
      <c r="I9681" s="7">
        <v>1967900</v>
      </c>
      <c r="J9681" s="8">
        <v>3.7900000000000003E-2</v>
      </c>
    </row>
    <row r="9682" spans="1:10" x14ac:dyDescent="0.25">
      <c r="A9682" s="5" t="s">
        <v>9715</v>
      </c>
      <c r="B9682" s="5" t="s">
        <v>11549</v>
      </c>
      <c r="C9682" s="6" t="str">
        <f>_xll.QS.CONTEXT.CREATE("market.9680",A9682,"USD","SOFR")</f>
        <v>QSObject:PricingContext:w1~market.9680:9850</v>
      </c>
      <c r="D9682" s="6" t="str">
        <f>_xll.QS.CONTEXT.ADD.CURVE(C9682,"SOFR",$K$2:$K$7,$L$2:$L$7,,,"Actual360","LogLinear",TRUE)</f>
        <v>QSObject:ContextInput:w1~input.qs_context_add_curve.2359132437744.9681.3.0:31348</v>
      </c>
      <c r="E9682" s="6" t="str">
        <f>_xll.QS.INSTRUMENT.SWAP("swap.9680",H9682,B9682,"USD","SOFR",I9682,J9682,0,"Actual360","Simple","Annual","Annual","Annual")</f>
        <v>QSObject:Swap:w1~swap.9680:417</v>
      </c>
      <c r="F9682" s="6" t="str">
        <f>_xll.QS.TRADE.CREATE("trade.9680",E9682,A9682,"Receive")</f>
        <v>QSObject:SwapTrade:w1~trade.9680:20051</v>
      </c>
      <c r="G9682" s="3">
        <f>_xll.QS.EVALUATE(C9682,F9682)</f>
        <v>54155.344091341241</v>
      </c>
      <c r="H9682" s="5" t="s">
        <v>9722</v>
      </c>
      <c r="I9682" s="7">
        <v>1968000</v>
      </c>
      <c r="J9682" s="8">
        <v>3.8000000000000013E-2</v>
      </c>
    </row>
    <row r="9683" spans="1:10" x14ac:dyDescent="0.25">
      <c r="A9683" s="5" t="s">
        <v>9716</v>
      </c>
      <c r="B9683" s="5" t="s">
        <v>11550</v>
      </c>
      <c r="C9683" s="6" t="str">
        <f>_xll.QS.CONTEXT.CREATE("market.9681",A9683,"USD","SOFR")</f>
        <v>QSObject:PricingContext:w1~market.9681:17394</v>
      </c>
      <c r="D9683" s="6" t="str">
        <f>_xll.QS.CONTEXT.ADD.CURVE(C9683,"SOFR",$K$2:$K$7,$L$2:$L$7,,,"Actual360","LogLinear",TRUE)</f>
        <v>QSObject:ContextInput:w1~input.qs_context_add_curve.2359132437744.9682.3.0:31347</v>
      </c>
      <c r="E9683" s="6" t="str">
        <f>_xll.QS.INSTRUMENT.SWAP("swap.9681",H9683,B9683,"USD","SOFR",I9683,J9683,0,"Actual360","Simple","Annual","Annual","Annual")</f>
        <v>QSObject:Swap:w1~swap.9681:3468</v>
      </c>
      <c r="F9683" s="6" t="str">
        <f>_xll.QS.TRADE.CREATE("trade.9681",E9683,A9683,"Receive")</f>
        <v>QSObject:SwapTrade:w1~trade.9681:14684</v>
      </c>
      <c r="G9683" s="3">
        <f>_xll.QS.EVALUATE(C9683,F9683)</f>
        <v>55070.160893684879</v>
      </c>
      <c r="H9683" s="5" t="s">
        <v>9723</v>
      </c>
      <c r="I9683" s="7">
        <v>1968100</v>
      </c>
      <c r="J9683" s="8">
        <v>3.8100000000000002E-2</v>
      </c>
    </row>
    <row r="9684" spans="1:10" x14ac:dyDescent="0.25">
      <c r="A9684" s="5" t="s">
        <v>9717</v>
      </c>
      <c r="B9684" s="5" t="s">
        <v>11551</v>
      </c>
      <c r="C9684" s="6" t="str">
        <f>_xll.QS.CONTEXT.CREATE("market.9682",A9684,"USD","SOFR")</f>
        <v>QSObject:PricingContext:w1~market.9682:11507</v>
      </c>
      <c r="D9684" s="6" t="str">
        <f>_xll.QS.CONTEXT.ADD.CURVE(C9684,"SOFR",$K$2:$K$7,$L$2:$L$7,,,"Actual360","LogLinear",TRUE)</f>
        <v>QSObject:ContextInput:w1~input.qs_context_add_curve.2359132437744.9683.3.0:16363</v>
      </c>
      <c r="E9684" s="6" t="str">
        <f>_xll.QS.INSTRUMENT.SWAP("swap.9682",H9684,B9684,"USD","SOFR",I9684,J9684,0,"Actual360","Simple","Annual","Annual","Annual")</f>
        <v>QSObject:Swap:w1~swap.9682:6638</v>
      </c>
      <c r="F9684" s="6" t="str">
        <f>_xll.QS.TRADE.CREATE("trade.9682",E9684,A9684,"Receive")</f>
        <v>QSObject:SwapTrade:w1~trade.9682:13036</v>
      </c>
      <c r="G9684" s="3">
        <f>_xll.QS.EVALUATE(C9684,F9684)</f>
        <v>56029.02163108949</v>
      </c>
      <c r="H9684" s="5" t="s">
        <v>9724</v>
      </c>
      <c r="I9684" s="7">
        <v>1968200</v>
      </c>
      <c r="J9684" s="8">
        <v>3.8199999999999998E-2</v>
      </c>
    </row>
    <row r="9685" spans="1:10" x14ac:dyDescent="0.25">
      <c r="A9685" s="5" t="s">
        <v>9718</v>
      </c>
      <c r="B9685" s="5" t="s">
        <v>11552</v>
      </c>
      <c r="C9685" s="6" t="str">
        <f>_xll.QS.CONTEXT.CREATE("market.9683",A9685,"USD","SOFR")</f>
        <v>QSObject:PricingContext:w1~market.9683:9849</v>
      </c>
      <c r="D9685" s="6" t="str">
        <f>_xll.QS.CONTEXT.ADD.CURVE(C9685,"SOFR",$K$2:$K$7,$L$2:$L$7,,,"Actual360","LogLinear",TRUE)</f>
        <v>QSObject:ContextInput:w1~input.qs_context_add_curve.2359132437744.9684.3.0:22061</v>
      </c>
      <c r="E9685" s="6" t="str">
        <f>_xll.QS.INSTRUMENT.SWAP("swap.9683",H9685,B9685,"USD","SOFR",I9685,J9685,0,"Actual360","Simple","Annual","Annual","Annual")</f>
        <v>QSObject:Swap:w1~swap.9683:18357</v>
      </c>
      <c r="F9685" s="6" t="str">
        <f>_xll.QS.TRADE.CREATE("trade.9683",E9685,A9685,"Receive")</f>
        <v>QSObject:SwapTrade:w1~trade.9683:22060</v>
      </c>
      <c r="G9685" s="3">
        <f>_xll.QS.EVALUATE(C9685,F9685)</f>
        <v>57083.411093298768</v>
      </c>
      <c r="H9685" s="5" t="s">
        <v>9725</v>
      </c>
      <c r="I9685" s="7">
        <v>1968300</v>
      </c>
      <c r="J9685" s="8">
        <v>3.8300000000000001E-2</v>
      </c>
    </row>
    <row r="9686" spans="1:10" x14ac:dyDescent="0.25">
      <c r="A9686" s="5" t="s">
        <v>9719</v>
      </c>
      <c r="B9686" s="5" t="s">
        <v>11553</v>
      </c>
      <c r="C9686" s="6" t="str">
        <f>_xll.QS.CONTEXT.CREATE("market.9684",A9686,"USD","SOFR")</f>
        <v>QSObject:PricingContext:w1~market.9684:13035</v>
      </c>
      <c r="D9686" s="6" t="str">
        <f>_xll.QS.CONTEXT.ADD.CURVE(C9686,"SOFR",$K$2:$K$7,$L$2:$L$7,,,"Actual360","LogLinear",TRUE)</f>
        <v>QSObject:ContextInput:w1~input.qs_context_add_curve.2359132437744.9685.3.0:22059</v>
      </c>
      <c r="E9686" s="6" t="str">
        <f>_xll.QS.INSTRUMENT.SWAP("swap.9684",H9686,B9686,"USD","SOFR",I9686,J9686,0,"Actual360","Simple","Annual","Annual","Annual")</f>
        <v>QSObject:Swap:w1~swap.9684:17393</v>
      </c>
      <c r="F9686" s="6" t="str">
        <f>_xll.QS.TRADE.CREATE("trade.9684",E9686,A9686,"Receive")</f>
        <v>QSObject:SwapTrade:w1~trade.9684:22058</v>
      </c>
      <c r="G9686" s="3">
        <f>_xll.QS.EVALUATE(C9686,F9686)</f>
        <v>58080.115897544783</v>
      </c>
      <c r="H9686" s="5" t="s">
        <v>9726</v>
      </c>
      <c r="I9686" s="7">
        <v>1968400</v>
      </c>
      <c r="J9686" s="8">
        <v>3.8399999999999997E-2</v>
      </c>
    </row>
    <row r="9687" spans="1:10" x14ac:dyDescent="0.25">
      <c r="A9687" s="5" t="s">
        <v>9720</v>
      </c>
      <c r="B9687" s="5" t="s">
        <v>11554</v>
      </c>
      <c r="C9687" s="6" t="str">
        <f>_xll.QS.CONTEXT.CREATE("market.9685",A9687,"USD","SOFR")</f>
        <v>QSObject:PricingContext:w1~market.9685:5037</v>
      </c>
      <c r="D9687" s="6" t="str">
        <f>_xll.QS.CONTEXT.ADD.CURVE(C9687,"SOFR",$K$2:$K$7,$L$2:$L$7,,,"Actual360","LogLinear",TRUE)</f>
        <v>QSObject:ContextInput:w1~input.qs_context_add_curve.2359132437744.9686.3.0:22057</v>
      </c>
      <c r="E9687" s="6" t="str">
        <f>_xll.QS.INSTRUMENT.SWAP("swap.9685",H9687,B9687,"USD","SOFR",I9687,J9687,0,"Actual360","Simple","Annual","Annual","Annual")</f>
        <v>QSObject:Swap:w1~swap.9685:11506</v>
      </c>
      <c r="F9687" s="6" t="str">
        <f>_xll.QS.TRADE.CREATE("trade.9685",E9687,A9687,"Receive")</f>
        <v>QSObject:SwapTrade:w1~trade.9685:22056</v>
      </c>
      <c r="G9687" s="3">
        <f>_xll.QS.EVALUATE(C9687,F9687)</f>
        <v>58914.866088739385</v>
      </c>
      <c r="H9687" s="5" t="s">
        <v>9727</v>
      </c>
      <c r="I9687" s="7">
        <v>1968500</v>
      </c>
      <c r="J9687" s="8">
        <v>3.8500000000000013E-2</v>
      </c>
    </row>
    <row r="9688" spans="1:10" x14ac:dyDescent="0.25">
      <c r="A9688" s="5" t="s">
        <v>9721</v>
      </c>
      <c r="B9688" s="5" t="s">
        <v>11555</v>
      </c>
      <c r="C9688" s="6" t="str">
        <f>_xll.QS.CONTEXT.CREATE("market.9686",A9688,"USD","SOFR")</f>
        <v>QSObject:PricingContext:w1~market.9686:14683</v>
      </c>
      <c r="D9688" s="6" t="str">
        <f>_xll.QS.CONTEXT.ADD.CURVE(C9688,"SOFR",$K$2:$K$7,$L$2:$L$7,,,"Actual360","LogLinear",TRUE)</f>
        <v>QSObject:ContextInput:w1~input.qs_context_add_curve.2359132437744.9687.3.0:16362</v>
      </c>
      <c r="E9688" s="6" t="str">
        <f>_xll.QS.INSTRUMENT.SWAP("swap.9686",H9688,B9688,"USD","SOFR",I9688,J9688,0,"Actual360","Simple","Annual","Annual","Annual")</f>
        <v>QSObject:Swap:w1~swap.9686:9848</v>
      </c>
      <c r="F9688" s="6" t="str">
        <f>_xll.QS.TRADE.CREATE("trade.9686",E9688,A9688,"Receive")</f>
        <v>QSObject:SwapTrade:w1~trade.9686:13034</v>
      </c>
      <c r="G9688" s="3">
        <f>_xll.QS.EVALUATE(C9688,F9688)</f>
        <v>59672.241678145125</v>
      </c>
      <c r="H9688" s="5" t="s">
        <v>9728</v>
      </c>
      <c r="I9688" s="7">
        <v>1968600</v>
      </c>
      <c r="J9688" s="8">
        <v>3.8600000000000002E-2</v>
      </c>
    </row>
    <row r="9689" spans="1:10" x14ac:dyDescent="0.25">
      <c r="A9689" s="5" t="s">
        <v>9722</v>
      </c>
      <c r="B9689" s="5" t="s">
        <v>11556</v>
      </c>
      <c r="C9689" s="6" t="str">
        <f>_xll.QS.CONTEXT.CREATE("market.9687",A9689,"USD","SOFR")</f>
        <v>QSObject:PricingContext:w1~market.9687:20050</v>
      </c>
      <c r="D9689" s="6" t="str">
        <f>_xll.QS.CONTEXT.ADD.CURVE(C9689,"SOFR",$K$2:$K$7,$L$2:$L$7,,,"Actual360","LogLinear",TRUE)</f>
        <v>QSObject:ContextInput:w1~input.qs_context_add_curve.2359132437744.9688.3.0:31346</v>
      </c>
      <c r="E9689" s="6" t="str">
        <f>_xll.QS.INSTRUMENT.SWAP("swap.9687",H9689,B9689,"USD","SOFR",I9689,J9689,0,"Actual360","Simple","Annual","Annual","Annual")</f>
        <v>QSObject:Swap:w1~swap.9687:8245</v>
      </c>
      <c r="F9689" s="6" t="str">
        <f>_xll.QS.TRADE.CREATE("trade.9687",E9689,A9689,"Receive")</f>
        <v>QSObject:SwapTrade:w1~trade.9687:16361</v>
      </c>
      <c r="G9689" s="3">
        <f>_xll.QS.EVALUATE(C9689,F9689)</f>
        <v>60452.57580174481</v>
      </c>
      <c r="H9689" s="5" t="s">
        <v>9729</v>
      </c>
      <c r="I9689" s="7">
        <v>1968700</v>
      </c>
      <c r="J9689" s="8">
        <v>3.8700000000000012E-2</v>
      </c>
    </row>
    <row r="9690" spans="1:10" x14ac:dyDescent="0.25">
      <c r="A9690" s="5" t="s">
        <v>9723</v>
      </c>
      <c r="B9690" s="5" t="s">
        <v>11557</v>
      </c>
      <c r="C9690" s="6" t="str">
        <f>_xll.QS.CONTEXT.CREATE("market.9688",A9690,"USD","SOFR")</f>
        <v>QSObject:PricingContext:w1~market.9688:6637</v>
      </c>
      <c r="D9690" s="6" t="str">
        <f>_xll.QS.CONTEXT.ADD.CURVE(C9690,"SOFR",$K$2:$K$7,$L$2:$L$7,,,"Actual360","LogLinear",TRUE)</f>
        <v>QSObject:ContextInput:w1~input.qs_context_add_curve.2359132437744.9689.3.0:21803</v>
      </c>
      <c r="E9690" s="6" t="str">
        <f>_xll.QS.INSTRUMENT.SWAP("swap.9688",H9690,B9690,"USD","SOFR",I9690,J9690,0,"Actual360","Simple","Annual","Annual","Annual")</f>
        <v>QSObject:Swap:w1~swap.9688:5036</v>
      </c>
      <c r="F9690" s="6" t="str">
        <f>_xll.QS.TRADE.CREATE("trade.9688",E9690,A9690,"Receive")</f>
        <v>QSObject:SwapTrade:w1~trade.9688:14682</v>
      </c>
      <c r="G9690" s="3">
        <f>_xll.QS.EVALUATE(C9690,F9690)</f>
        <v>61447.968261963819</v>
      </c>
      <c r="H9690" s="5" t="s">
        <v>9730</v>
      </c>
      <c r="I9690" s="7">
        <v>1968800</v>
      </c>
      <c r="J9690" s="8">
        <v>3.8800000000000001E-2</v>
      </c>
    </row>
    <row r="9691" spans="1:10" x14ac:dyDescent="0.25">
      <c r="A9691" s="5" t="s">
        <v>9724</v>
      </c>
      <c r="B9691" s="5" t="s">
        <v>11558</v>
      </c>
      <c r="C9691" s="6" t="str">
        <f>_xll.QS.CONTEXT.CREATE("market.9689",A9691,"USD","SOFR")</f>
        <v>QSObject:PricingContext:w1~market.9689:13033</v>
      </c>
      <c r="D9691" s="6" t="str">
        <f>_xll.QS.CONTEXT.ADD.CURVE(C9691,"SOFR",$K$2:$K$7,$L$2:$L$7,,,"Actual360","LogLinear",TRUE)</f>
        <v>QSObject:ContextInput:w1~input.qs_context_add_curve.2359132437744.9690.3.0:20049</v>
      </c>
      <c r="E9691" s="6" t="str">
        <f>_xll.QS.INSTRUMENT.SWAP("swap.9689",H9691,B9691,"USD","SOFR",I9691,J9691,0,"Actual360","Simple","Annual","Annual","Annual")</f>
        <v>QSObject:Swap:w1~swap.9689:17392</v>
      </c>
      <c r="F9691" s="6" t="str">
        <f>_xll.QS.TRADE.CREATE("trade.9689",E9691,A9691,"Receive")</f>
        <v>QSObject:SwapTrade:w1~trade.9689:22055</v>
      </c>
      <c r="G9691" s="3">
        <f>_xll.QS.EVALUATE(C9691,F9691)</f>
        <v>62404.408863911834</v>
      </c>
      <c r="H9691" s="5" t="s">
        <v>9731</v>
      </c>
      <c r="I9691" s="7">
        <v>1968900</v>
      </c>
      <c r="J9691" s="8">
        <v>3.8899999999999997E-2</v>
      </c>
    </row>
    <row r="9692" spans="1:10" x14ac:dyDescent="0.25">
      <c r="A9692" s="5" t="s">
        <v>9725</v>
      </c>
      <c r="B9692" s="5" t="s">
        <v>11559</v>
      </c>
      <c r="C9692" s="6" t="str">
        <f>_xll.QS.CONTEXT.CREATE("market.9690",A9692,"USD","SOFR")</f>
        <v>QSObject:PricingContext:w1~market.9690:416</v>
      </c>
      <c r="D9692" s="6" t="str">
        <f>_xll.QS.CONTEXT.ADD.CURVE(C9692,"SOFR",$K$2:$K$7,$L$2:$L$7,,,"Actual360","LogLinear",TRUE)</f>
        <v>QSObject:ContextInput:w1~input.qs_context_add_curve.2359132437744.9691.3.0:5035</v>
      </c>
      <c r="E9692" s="6" t="str">
        <f>_xll.QS.INSTRUMENT.SWAP("swap.9690",H9692,B9692,"USD","SOFR",I9692,J9692,0,"Actual360","Simple","Annual","Annual","Annual")</f>
        <v>QSObject:Swap:w1~swap.9690:9847</v>
      </c>
      <c r="F9692" s="6" t="str">
        <f>_xll.QS.TRADE.CREATE("trade.9690",E9692,A9692,"Receive")</f>
        <v>QSObject:SwapTrade:w1~trade.9690:22054</v>
      </c>
      <c r="G9692" s="3">
        <f>_xll.QS.EVALUATE(C9692,F9692)</f>
        <v>63459.589393452719</v>
      </c>
      <c r="H9692" s="5" t="s">
        <v>9732</v>
      </c>
      <c r="I9692" s="7">
        <v>1969000</v>
      </c>
      <c r="J9692" s="8">
        <v>3.9000000000000007E-2</v>
      </c>
    </row>
    <row r="9693" spans="1:10" x14ac:dyDescent="0.25">
      <c r="A9693" s="5" t="s">
        <v>9726</v>
      </c>
      <c r="B9693" s="5" t="s">
        <v>11560</v>
      </c>
      <c r="C9693" s="6" t="str">
        <f>_xll.QS.CONTEXT.CREATE("market.9691",A9693,"USD","SOFR")</f>
        <v>QSObject:PricingContext:w1~market.9691:8244</v>
      </c>
      <c r="D9693" s="6" t="str">
        <f>_xll.QS.CONTEXT.ADD.CURVE(C9693,"SOFR",$K$2:$K$7,$L$2:$L$7,,,"Actual360","LogLinear",TRUE)</f>
        <v>QSObject:ContextInput:w1~input.qs_context_add_curve.2359132437744.9692.3.0:31345</v>
      </c>
      <c r="E9693" s="6" t="str">
        <f>_xll.QS.INSTRUMENT.SWAP("swap.9691",H9693,B9693,"USD","SOFR",I9693,J9693,0,"Actual360","Simple","Annual","Annual","Annual")</f>
        <v>QSObject:Swap:w1~swap.9691:16360</v>
      </c>
      <c r="F9693" s="6" t="str">
        <f>_xll.QS.TRADE.CREATE("trade.9691",E9693,A9693,"Receive")</f>
        <v>QSObject:SwapTrade:w1~trade.9691:21802</v>
      </c>
      <c r="G9693" s="3">
        <f>_xll.QS.EVALUATE(C9693,F9693)</f>
        <v>64457.043391016014</v>
      </c>
      <c r="H9693" s="5" t="s">
        <v>9733</v>
      </c>
      <c r="I9693" s="7">
        <v>1969100</v>
      </c>
      <c r="J9693" s="8">
        <v>3.9100000000000003E-2</v>
      </c>
    </row>
    <row r="9694" spans="1:10" x14ac:dyDescent="0.25">
      <c r="A9694" s="5" t="s">
        <v>9727</v>
      </c>
      <c r="B9694" s="5" t="s">
        <v>11561</v>
      </c>
      <c r="C9694" s="6" t="str">
        <f>_xll.QS.CONTEXT.CREATE("market.9692",A9694,"USD","SOFR")</f>
        <v>QSObject:PricingContext:w1~market.9692:14681</v>
      </c>
      <c r="D9694" s="6" t="str">
        <f>_xll.QS.CONTEXT.ADD.CURVE(C9694,"SOFR",$K$2:$K$7,$L$2:$L$7,,,"Actual360","LogLinear",TRUE)</f>
        <v>QSObject:ContextInput:w1~input.qs_context_add_curve.2359132437744.9693.3.0:22053</v>
      </c>
      <c r="E9694" s="6" t="str">
        <f>_xll.QS.INSTRUMENT.SWAP("swap.9692",H9694,B9694,"USD","SOFR",I9694,J9694,0,"Actual360","Simple","Annual","Annual","Annual")</f>
        <v>QSObject:Swap:w1~swap.9692:20048</v>
      </c>
      <c r="F9694" s="6" t="str">
        <f>_xll.QS.TRADE.CREATE("trade.9692",E9694,A9694,"Receive")</f>
        <v>QSObject:SwapTrade:w1~trade.9692:22052</v>
      </c>
      <c r="G9694" s="3">
        <f>_xll.QS.EVALUATE(C9694,F9694)</f>
        <v>65292.343480867254</v>
      </c>
      <c r="H9694" s="5" t="s">
        <v>9734</v>
      </c>
      <c r="I9694" s="7">
        <v>1969200</v>
      </c>
      <c r="J9694" s="8">
        <v>3.9200000000000013E-2</v>
      </c>
    </row>
    <row r="9695" spans="1:10" x14ac:dyDescent="0.25">
      <c r="A9695" s="5" t="s">
        <v>9728</v>
      </c>
      <c r="B9695" s="5" t="s">
        <v>11562</v>
      </c>
      <c r="C9695" s="6" t="str">
        <f>_xll.QS.CONTEXT.CREATE("market.9693",A9695,"USD","SOFR")</f>
        <v>QSObject:PricingContext:w1~market.9693:3467</v>
      </c>
      <c r="D9695" s="6" t="str">
        <f>_xll.QS.CONTEXT.ADD.CURVE(C9695,"SOFR",$K$2:$K$7,$L$2:$L$7,,,"Actual360","LogLinear",TRUE)</f>
        <v>QSObject:ContextInput:w1~input.qs_context_add_curve.2359132437744.9694.3.0:6636</v>
      </c>
      <c r="E9695" s="6" t="str">
        <f>_xll.QS.INSTRUMENT.SWAP("swap.9693",H9695,B9695,"USD","SOFR",I9695,J9695,0,"Actual360","Simple","Annual","Annual","Annual")</f>
        <v>QSObject:Swap:w1~swap.9693:5034</v>
      </c>
      <c r="F9695" s="6" t="str">
        <f>_xll.QS.TRADE.CREATE("trade.9693",E9695,A9695,"Receive")</f>
        <v>QSObject:SwapTrade:w1~trade.9693:16359</v>
      </c>
      <c r="G9695" s="3">
        <f>_xll.QS.EVALUATE(C9695,F9695)</f>
        <v>66042.82424366349</v>
      </c>
      <c r="H9695" s="5" t="s">
        <v>9735</v>
      </c>
      <c r="I9695" s="7">
        <v>1969300</v>
      </c>
      <c r="J9695" s="8">
        <v>3.9300000000000002E-2</v>
      </c>
    </row>
    <row r="9696" spans="1:10" x14ac:dyDescent="0.25">
      <c r="A9696" s="5" t="s">
        <v>9729</v>
      </c>
      <c r="B9696" s="5" t="s">
        <v>11563</v>
      </c>
      <c r="C9696" s="6" t="str">
        <f>_xll.QS.CONTEXT.CREATE("market.9694",A9696,"USD","SOFR")</f>
        <v>QSObject:PricingContext:w1~market.9694:1926</v>
      </c>
      <c r="D9696" s="6" t="str">
        <f>_xll.QS.CONTEXT.ADD.CURVE(C9696,"SOFR",$K$2:$K$7,$L$2:$L$7,,,"Actual360","LogLinear",TRUE)</f>
        <v>QSObject:ContextInput:w1~input.qs_context_add_curve.2359132437744.9695.3.0:21801</v>
      </c>
      <c r="E9696" s="6" t="str">
        <f>_xll.QS.INSTRUMENT.SWAP("swap.9694",H9696,B9696,"USD","SOFR",I9696,J9696,0,"Actual360","Simple","Annual","Annual","Annual")</f>
        <v>QSObject:Swap:w1~swap.9694:415</v>
      </c>
      <c r="F9696" s="6" t="str">
        <f>_xll.QS.TRADE.CREATE("trade.9694",E9696,A9696,"Receive")</f>
        <v>QSObject:SwapTrade:w1~trade.9694:14680</v>
      </c>
      <c r="G9696" s="3">
        <f>_xll.QS.EVALUATE(C9696,F9696)</f>
        <v>66833.61287143582</v>
      </c>
      <c r="H9696" s="5" t="s">
        <v>9736</v>
      </c>
      <c r="I9696" s="7">
        <v>1969400</v>
      </c>
      <c r="J9696" s="8">
        <v>3.9399999999999998E-2</v>
      </c>
    </row>
    <row r="9697" spans="1:10" x14ac:dyDescent="0.25">
      <c r="A9697" s="5" t="s">
        <v>9730</v>
      </c>
      <c r="B9697" s="5" t="s">
        <v>11564</v>
      </c>
      <c r="C9697" s="6" t="str">
        <f>_xll.QS.CONTEXT.CREATE("market.9695",A9697,"USD","SOFR")</f>
        <v>QSObject:PricingContext:w1~market.9695:17391</v>
      </c>
      <c r="D9697" s="6" t="str">
        <f>_xll.QS.CONTEXT.ADD.CURVE(C9697,"SOFR",$K$2:$K$7,$L$2:$L$7,,,"Actual360","LogLinear",TRUE)</f>
        <v>QSObject:ContextInput:w1~input.qs_context_add_curve.2359132437744.9696.3.0:31344</v>
      </c>
      <c r="E9697" s="6" t="str">
        <f>_xll.QS.INSTRUMENT.SWAP("swap.9695",H9697,B9697,"USD","SOFR",I9697,J9697,0,"Actual360","Simple","Annual","Annual","Annual")</f>
        <v>QSObject:Swap:w1~swap.9695:8243</v>
      </c>
      <c r="F9697" s="6" t="str">
        <f>_xll.QS.TRADE.CREATE("trade.9695",E9697,A9697,"Receive")</f>
        <v>QSObject:SwapTrade:w1~trade.9695:13032</v>
      </c>
      <c r="G9697" s="3">
        <f>_xll.QS.EVALUATE(C9697,F9697)</f>
        <v>67830.296916589694</v>
      </c>
      <c r="H9697" s="5" t="s">
        <v>9737</v>
      </c>
      <c r="I9697" s="7">
        <v>1969500</v>
      </c>
      <c r="J9697" s="8">
        <v>3.9500000000000007E-2</v>
      </c>
    </row>
    <row r="9698" spans="1:10" x14ac:dyDescent="0.25">
      <c r="A9698" s="5" t="s">
        <v>9731</v>
      </c>
      <c r="B9698" s="5" t="s">
        <v>11565</v>
      </c>
      <c r="C9698" s="6" t="str">
        <f>_xll.QS.CONTEXT.CREATE("market.9696",A9698,"USD","SOFR")</f>
        <v>QSObject:PricingContext:w1~market.9696:9846</v>
      </c>
      <c r="D9698" s="6" t="str">
        <f>_xll.QS.CONTEXT.ADD.CURVE(C9698,"SOFR",$K$2:$K$7,$L$2:$L$7,,,"Actual360","LogLinear",TRUE)</f>
        <v>QSObject:ContextInput:w1~input.qs_context_add_curve.2359132437744.9697.3.0:16358</v>
      </c>
      <c r="E9698" s="6" t="str">
        <f>_xll.QS.INSTRUMENT.SWAP("swap.9696",H9698,B9698,"USD","SOFR",I9698,J9698,0,"Actual360","Simple","Annual","Annual","Annual")</f>
        <v>QSObject:Swap:w1~swap.9696:6635</v>
      </c>
      <c r="F9698" s="6" t="str">
        <f>_xll.QS.TRADE.CREATE("trade.9696",E9698,A9698,"Receive")</f>
        <v>QSObject:SwapTrade:w1~trade.9696:22051</v>
      </c>
      <c r="G9698" s="3">
        <f>_xll.QS.EVALUATE(C9698,F9698)</f>
        <v>68784.315190812515</v>
      </c>
      <c r="H9698" s="5" t="s">
        <v>9738</v>
      </c>
      <c r="I9698" s="7">
        <v>1969600</v>
      </c>
      <c r="J9698" s="8">
        <v>3.9600000000000003E-2</v>
      </c>
    </row>
    <row r="9699" spans="1:10" x14ac:dyDescent="0.25">
      <c r="A9699" s="5" t="s">
        <v>9732</v>
      </c>
      <c r="B9699" s="5" t="s">
        <v>11566</v>
      </c>
      <c r="C9699" s="6" t="str">
        <f>_xll.QS.CONTEXT.CREATE("market.9697",A9699,"USD","SOFR")</f>
        <v>QSObject:PricingContext:w1~market.9697:17390</v>
      </c>
      <c r="D9699" s="6" t="str">
        <f>_xll.QS.CONTEXT.ADD.CURVE(C9699,"SOFR",$K$2:$K$7,$L$2:$L$7,,,"Actual360","LogLinear",TRUE)</f>
        <v>QSObject:ContextInput:w1~input.qs_context_add_curve.2359132437744.9698.3.0:31343</v>
      </c>
      <c r="E9699" s="6" t="str">
        <f>_xll.QS.INSTRUMENT.SWAP("swap.9697",H9699,B9699,"USD","SOFR",I9699,J9699,0,"Actual360","Simple","Annual","Annual","Annual")</f>
        <v>QSObject:Swap:w1~swap.9697:5033</v>
      </c>
      <c r="F9699" s="6" t="str">
        <f>_xll.QS.TRADE.CREATE("trade.9697",E9699,A9699,"Receive")</f>
        <v>QSObject:SwapTrade:w1~trade.9697:22050</v>
      </c>
      <c r="G9699" s="3">
        <f>_xll.QS.EVALUATE(C9699,F9699)</f>
        <v>69840.286854739272</v>
      </c>
      <c r="H9699" s="5" t="s">
        <v>9739</v>
      </c>
      <c r="I9699" s="7">
        <v>1969700</v>
      </c>
      <c r="J9699" s="8">
        <v>3.9700000000000013E-2</v>
      </c>
    </row>
    <row r="9700" spans="1:10" x14ac:dyDescent="0.25">
      <c r="A9700" s="5" t="s">
        <v>9733</v>
      </c>
      <c r="B9700" s="5" t="s">
        <v>11567</v>
      </c>
      <c r="C9700" s="6" t="str">
        <f>_xll.QS.CONTEXT.CREATE("market.9698",A9700,"USD","SOFR")</f>
        <v>QSObject:PricingContext:w1~market.9698:21800</v>
      </c>
      <c r="D9700" s="6" t="str">
        <f>_xll.QS.CONTEXT.ADD.CURVE(C9700,"SOFR",$K$2:$K$7,$L$2:$L$7,,,"Actual360","LogLinear",TRUE)</f>
        <v>QSObject:ContextInput:w1~input.qs_context_add_curve.2359132437744.9699.3.0:31342</v>
      </c>
      <c r="E9700" s="6" t="str">
        <f>_xll.QS.INSTRUMENT.SWAP("swap.9698",H9700,B9700,"USD","SOFR",I9700,J9700,0,"Actual360","Simple","Annual","Annual","Annual")</f>
        <v>QSObject:Swap:w1~swap.9698:1925</v>
      </c>
      <c r="F9700" s="6" t="str">
        <f>_xll.QS.TRADE.CREATE("trade.9698",E9700,A9700,"Receive")</f>
        <v>QSObject:SwapTrade:w1~trade.9698:20047</v>
      </c>
      <c r="G9700" s="3">
        <f>_xll.QS.EVALUATE(C9700,F9700)</f>
        <v>70838.490097507878</v>
      </c>
      <c r="H9700" s="5" t="s">
        <v>9740</v>
      </c>
      <c r="I9700" s="7">
        <v>1969800</v>
      </c>
      <c r="J9700" s="8">
        <v>3.9800000000000002E-2</v>
      </c>
    </row>
    <row r="9701" spans="1:10" x14ac:dyDescent="0.25">
      <c r="A9701" s="5" t="s">
        <v>9734</v>
      </c>
      <c r="B9701" s="5" t="s">
        <v>11568</v>
      </c>
      <c r="C9701" s="6" t="str">
        <f>_xll.QS.CONTEXT.CREATE("market.9699",A9701,"USD","SOFR")</f>
        <v>QSObject:PricingContext:w1~market.9699:11505</v>
      </c>
      <c r="D9701" s="6" t="str">
        <f>_xll.QS.CONTEXT.ADD.CURVE(C9701,"SOFR",$K$2:$K$7,$L$2:$L$7,,,"Actual360","LogLinear",TRUE)</f>
        <v>QSObject:ContextInput:w1~input.qs_context_add_curve.2359132437744.9700.3.0:31341</v>
      </c>
      <c r="E9701" s="6" t="str">
        <f>_xll.QS.INSTRUMENT.SWAP("swap.9699",H9701,B9701,"USD","SOFR",I9701,J9701,0,"Actual360","Simple","Annual","Annual","Annual")</f>
        <v>QSObject:Swap:w1~swap.9699:16357</v>
      </c>
      <c r="F9701" s="6" t="str">
        <f>_xll.QS.TRADE.CREATE("trade.9699",E9701,A9701,"Receive")</f>
        <v>QSObject:SwapTrade:w1~trade.9699:22049</v>
      </c>
      <c r="G9701" s="3">
        <f>_xll.QS.EVALUATE(C9701,F9701)</f>
        <v>71674.340037180125</v>
      </c>
      <c r="H9701" s="5" t="s">
        <v>9741</v>
      </c>
      <c r="I9701" s="7">
        <v>1969900</v>
      </c>
      <c r="J9701" s="8">
        <v>3.9899999999999998E-2</v>
      </c>
    </row>
    <row r="9702" spans="1:10" x14ac:dyDescent="0.25">
      <c r="A9702" s="5" t="s">
        <v>9735</v>
      </c>
      <c r="B9702" s="5" t="s">
        <v>11569</v>
      </c>
      <c r="C9702" s="6" t="str">
        <f>_xll.QS.CONTEXT.CREATE("market.9700",A9702,"USD","SOFR")</f>
        <v>QSObject:PricingContext:w1~market.9700:3466</v>
      </c>
      <c r="D9702" s="6" t="str">
        <f>_xll.QS.CONTEXT.ADD.CURVE(C9702,"SOFR",$K$2:$K$7,$L$2:$L$7,,,"Actual360","LogLinear",TRUE)</f>
        <v>QSObject:ContextInput:w1~input.qs_context_add_curve.2359132437744.9701.3.0:13031</v>
      </c>
      <c r="E9702" s="6" t="str">
        <f>_xll.QS.INSTRUMENT.SWAP("swap.9700",H9702,B9702,"USD","SOFR",I9702,J9702,0,"Actual360","Simple","Annual","Annual","Annual")</f>
        <v>QSObject:Swap:w1~swap.9700:18356</v>
      </c>
      <c r="F9702" s="6" t="str">
        <f>_xll.QS.TRADE.CREATE("trade.9700",E9702,A9702,"Receive")</f>
        <v>QSObject:SwapTrade:w1~trade.9700:22048</v>
      </c>
      <c r="G9702" s="3">
        <f>_xll.QS.EVALUATE(C9702,F9702)</f>
        <v>27105.121875082281</v>
      </c>
      <c r="H9702" s="5" t="s">
        <v>9742</v>
      </c>
      <c r="I9702" s="7">
        <v>1970000</v>
      </c>
      <c r="J9702" s="8">
        <v>3.5000000000000003E-2</v>
      </c>
    </row>
    <row r="9703" spans="1:10" x14ac:dyDescent="0.25">
      <c r="A9703" s="5" t="s">
        <v>9736</v>
      </c>
      <c r="B9703" s="5" t="s">
        <v>11570</v>
      </c>
      <c r="C9703" s="6" t="str">
        <f>_xll.QS.CONTEXT.CREATE("market.9701",A9703,"USD","SOFR")</f>
        <v>QSObject:PricingContext:w1~market.9701:14679</v>
      </c>
      <c r="D9703" s="6" t="str">
        <f>_xll.QS.CONTEXT.ADD.CURVE(C9703,"SOFR",$K$2:$K$7,$L$2:$L$7,,,"Actual360","LogLinear",TRUE)</f>
        <v>QSObject:ContextInput:w1~input.qs_context_add_curve.2359132437744.9702.3.0:31340</v>
      </c>
      <c r="E9703" s="6" t="str">
        <f>_xll.QS.INSTRUMENT.SWAP("swap.9701",H9703,B9703,"USD","SOFR",I9703,J9703,0,"Actual360","Simple","Annual","Annual","Annual")</f>
        <v>QSObject:Swap:w1~swap.9701:21799</v>
      </c>
      <c r="F9703" s="6" t="str">
        <f>_xll.QS.TRADE.CREATE("trade.9701",E9703,A9703,"Receive")</f>
        <v>QSObject:SwapTrade:w1~trade.9701:22047</v>
      </c>
      <c r="G9703" s="3">
        <f>_xll.QS.EVALUATE(C9703,F9703)</f>
        <v>28017.63471087721</v>
      </c>
      <c r="H9703" s="5" t="s">
        <v>9743</v>
      </c>
      <c r="I9703" s="7">
        <v>1970100</v>
      </c>
      <c r="J9703" s="8">
        <v>3.5100000000000013E-2</v>
      </c>
    </row>
    <row r="9704" spans="1:10" x14ac:dyDescent="0.25">
      <c r="A9704" s="5" t="s">
        <v>9737</v>
      </c>
      <c r="B9704" s="5" t="s">
        <v>11571</v>
      </c>
      <c r="C9704" s="6" t="str">
        <f>_xll.QS.CONTEXT.CREATE("market.9702",A9704,"USD","SOFR")</f>
        <v>QSObject:PricingContext:w1~market.9702:20046</v>
      </c>
      <c r="D9704" s="6" t="str">
        <f>_xll.QS.CONTEXT.ADD.CURVE(C9704,"SOFR",$K$2:$K$7,$L$2:$L$7,,,"Actual360","LogLinear",TRUE)</f>
        <v>QSObject:ContextInput:w1~input.qs_context_add_curve.2359132437744.9703.3.0:31339</v>
      </c>
      <c r="E9704" s="6" t="str">
        <f>_xll.QS.INSTRUMENT.SWAP("swap.9702",H9704,B9704,"USD","SOFR",I9704,J9704,0,"Actual360","Simple","Annual","Annual","Annual")</f>
        <v>QSObject:Swap:w1~swap.9702:16356</v>
      </c>
      <c r="F9704" s="6" t="str">
        <f>_xll.QS.TRADE.CREATE("trade.9702",E9704,A9704,"Receive")</f>
        <v>QSObject:SwapTrade:w1~trade.9702:18355</v>
      </c>
      <c r="G9704" s="3">
        <f>_xll.QS.EVALUATE(C9704,F9704)</f>
        <v>28768.991956376463</v>
      </c>
      <c r="H9704" s="5" t="s">
        <v>9744</v>
      </c>
      <c r="I9704" s="7">
        <v>1970200</v>
      </c>
      <c r="J9704" s="8">
        <v>3.5200000000000002E-2</v>
      </c>
    </row>
    <row r="9705" spans="1:10" x14ac:dyDescent="0.25">
      <c r="A9705" s="5" t="s">
        <v>9738</v>
      </c>
      <c r="B9705" s="5" t="s">
        <v>11572</v>
      </c>
      <c r="C9705" s="6" t="str">
        <f>_xll.QS.CONTEXT.CREATE("market.9703",A9705,"USD","SOFR")</f>
        <v>QSObject:PricingContext:w1~market.9703:14678</v>
      </c>
      <c r="D9705" s="6" t="str">
        <f>_xll.QS.CONTEXT.ADD.CURVE(C9705,"SOFR",$K$2:$K$7,$L$2:$L$7,,,"Actual360","LogLinear",TRUE)</f>
        <v>QSObject:ContextInput:w1~input.qs_context_add_curve.2359132437744.9704.3.0:31338</v>
      </c>
      <c r="E9705" s="6" t="str">
        <f>_xll.QS.INSTRUMENT.SWAP("swap.9703",H9705,B9705,"USD","SOFR",I9705,J9705,0,"Actual360","Simple","Annual","Annual","Annual")</f>
        <v>QSObject:Swap:w1~swap.9703:17389</v>
      </c>
      <c r="F9705" s="6" t="str">
        <f>_xll.QS.TRADE.CREATE("trade.9703",E9705,A9705,"Receive")</f>
        <v>QSObject:SwapTrade:w1~trade.9703:22046</v>
      </c>
      <c r="G9705" s="3">
        <f>_xll.QS.EVALUATE(C9705,F9705)</f>
        <v>29740.316825503236</v>
      </c>
      <c r="H9705" s="5" t="s">
        <v>9745</v>
      </c>
      <c r="I9705" s="7">
        <v>1970300</v>
      </c>
      <c r="J9705" s="8">
        <v>3.5299999999999998E-2</v>
      </c>
    </row>
    <row r="9706" spans="1:10" x14ac:dyDescent="0.25">
      <c r="A9706" s="5" t="s">
        <v>9739</v>
      </c>
      <c r="B9706" s="5" t="s">
        <v>11573</v>
      </c>
      <c r="C9706" s="6" t="str">
        <f>_xll.QS.CONTEXT.CREATE("market.9704",A9706,"USD","SOFR")</f>
        <v>QSObject:PricingContext:w1~market.9704:5032</v>
      </c>
      <c r="D9706" s="6" t="str">
        <f>_xll.QS.CONTEXT.ADD.CURVE(C9706,"SOFR",$K$2:$K$7,$L$2:$L$7,,,"Actual360","LogLinear",TRUE)</f>
        <v>QSObject:ContextInput:w1~input.qs_context_add_curve.2359132437744.9705.3.0:31337</v>
      </c>
      <c r="E9706" s="6" t="str">
        <f>_xll.QS.INSTRUMENT.SWAP("swap.9704",H9706,B9706,"USD","SOFR",I9706,J9706,0,"Actual360","Simple","Annual","Annual","Annual")</f>
        <v>QSObject:Swap:w1~swap.9704:9845</v>
      </c>
      <c r="F9706" s="6" t="str">
        <f>_xll.QS.TRADE.CREATE("trade.9704",E9706,A9706,"Receive")</f>
        <v>QSObject:SwapTrade:w1~trade.9704:22045</v>
      </c>
      <c r="G9706" s="3">
        <f>_xll.QS.EVALUATE(C9706,F9706)</f>
        <v>30869.456608836663</v>
      </c>
      <c r="H9706" s="5" t="s">
        <v>9746</v>
      </c>
      <c r="I9706" s="7">
        <v>1970400</v>
      </c>
      <c r="J9706" s="8">
        <v>3.5400000000000001E-2</v>
      </c>
    </row>
    <row r="9707" spans="1:10" x14ac:dyDescent="0.25">
      <c r="A9707" s="5" t="s">
        <v>9740</v>
      </c>
      <c r="B9707" s="5" t="s">
        <v>11574</v>
      </c>
      <c r="C9707" s="6" t="str">
        <f>_xll.QS.CONTEXT.CREATE("market.9705",A9707,"USD","SOFR")</f>
        <v>QSObject:PricingContext:w1~market.9705:1924</v>
      </c>
      <c r="D9707" s="6" t="str">
        <f>_xll.QS.CONTEXT.ADD.CURVE(C9707,"SOFR",$K$2:$K$7,$L$2:$L$7,,,"Actual360","LogLinear",TRUE)</f>
        <v>QSObject:ContextInput:w1~input.qs_context_add_curve.2359132437744.9706.3.0:16355</v>
      </c>
      <c r="E9707" s="6" t="str">
        <f>_xll.QS.INSTRUMENT.SWAP("swap.9705",H9707,B9707,"USD","SOFR",I9707,J9707,0,"Actual360","Simple","Annual","Annual","Annual")</f>
        <v>QSObject:Swap:w1~swap.9705:11504</v>
      </c>
      <c r="F9707" s="6" t="str">
        <f>_xll.QS.TRADE.CREATE("trade.9705",E9707,A9707,"Receive")</f>
        <v>QSObject:SwapTrade:w1~trade.9705:21798</v>
      </c>
      <c r="G9707" s="3">
        <f>_xll.QS.EVALUATE(C9707,F9707)</f>
        <v>31790.225111824315</v>
      </c>
      <c r="H9707" s="5" t="s">
        <v>9747</v>
      </c>
      <c r="I9707" s="7">
        <v>1970500</v>
      </c>
      <c r="J9707" s="8">
        <v>3.5499999999999997E-2</v>
      </c>
    </row>
    <row r="9708" spans="1:10" x14ac:dyDescent="0.25">
      <c r="A9708" s="5" t="s">
        <v>9741</v>
      </c>
      <c r="B9708" s="5" t="s">
        <v>11575</v>
      </c>
      <c r="C9708" s="6" t="str">
        <f>_xll.QS.CONTEXT.CREATE("market.9706",A9708,"USD","SOFR")</f>
        <v>QSObject:PricingContext:w1~market.9706:13030</v>
      </c>
      <c r="D9708" s="6" t="str">
        <f>_xll.QS.CONTEXT.ADD.CURVE(C9708,"SOFR",$K$2:$K$7,$L$2:$L$7,,,"Actual360","LogLinear",TRUE)</f>
        <v>QSObject:ContextInput:w1~input.qs_context_add_curve.2359132437744.9707.3.0:31336</v>
      </c>
      <c r="E9708" s="6" t="str">
        <f>_xll.QS.INSTRUMENT.SWAP("swap.9706",H9708,B9708,"USD","SOFR",I9708,J9708,0,"Actual360","Simple","Annual","Annual","Annual")</f>
        <v>QSObject:Swap:w1~swap.9706:14677</v>
      </c>
      <c r="F9708" s="6" t="str">
        <f>_xll.QS.TRADE.CREATE("trade.9706",E9708,A9708,"Receive")</f>
        <v>QSObject:SwapTrade:w1~trade.9706:18354</v>
      </c>
      <c r="G9708" s="3">
        <f>_xll.QS.EVALUATE(C9708,F9708)</f>
        <v>32624.810128881712</v>
      </c>
      <c r="H9708" s="5" t="s">
        <v>9748</v>
      </c>
      <c r="I9708" s="7">
        <v>1970600</v>
      </c>
      <c r="J9708" s="8">
        <v>3.5600000000000007E-2</v>
      </c>
    </row>
    <row r="9709" spans="1:10" x14ac:dyDescent="0.25">
      <c r="A9709" s="5" t="s">
        <v>9742</v>
      </c>
      <c r="B9709" s="5" t="s">
        <v>11576</v>
      </c>
      <c r="C9709" s="6" t="str">
        <f>_xll.QS.CONTEXT.CREATE("market.9707",A9709,"USD","SOFR")</f>
        <v>QSObject:PricingContext:w1~market.9707:20045</v>
      </c>
      <c r="D9709" s="6" t="str">
        <f>_xll.QS.CONTEXT.ADD.CURVE(C9709,"SOFR",$K$2:$K$7,$L$2:$L$7,,,"Actual360","LogLinear",TRUE)</f>
        <v>QSObject:ContextInput:w1~input.qs_context_add_curve.2359132437744.9708.3.0:31335</v>
      </c>
      <c r="E9709" s="6" t="str">
        <f>_xll.QS.INSTRUMENT.SWAP("swap.9707",H9709,B9709,"USD","SOFR",I9709,J9709,0,"Actual360","Simple","Annual","Annual","Annual")</f>
        <v>QSObject:Swap:w1~swap.9707:5031</v>
      </c>
      <c r="F9709" s="6" t="str">
        <f>_xll.QS.TRADE.CREATE("trade.9707",E9709,A9709,"Receive")</f>
        <v>QSObject:SwapTrade:w1~trade.9707:8242</v>
      </c>
      <c r="G9709" s="3">
        <f>_xll.QS.EVALUATE(C9709,F9709)</f>
        <v>33412.688085981797</v>
      </c>
      <c r="H9709" s="5" t="s">
        <v>9749</v>
      </c>
      <c r="I9709" s="7">
        <v>1970700</v>
      </c>
      <c r="J9709" s="8">
        <v>3.5700000000000003E-2</v>
      </c>
    </row>
    <row r="9710" spans="1:10" x14ac:dyDescent="0.25">
      <c r="A9710" s="5" t="s">
        <v>9743</v>
      </c>
      <c r="B9710" s="5" t="s">
        <v>11577</v>
      </c>
      <c r="C9710" s="6" t="str">
        <f>_xll.QS.CONTEXT.CREATE("market.9708",A9710,"USD","SOFR")</f>
        <v>QSObject:PricingContext:w1~market.9708:414</v>
      </c>
      <c r="D9710" s="6" t="str">
        <f>_xll.QS.CONTEXT.ADD.CURVE(C9710,"SOFR",$K$2:$K$7,$L$2:$L$7,,,"Actual360","LogLinear",TRUE)</f>
        <v>QSObject:ContextInput:w1~input.qs_context_add_curve.2359132437744.9709.3.0:9844</v>
      </c>
      <c r="E9710" s="6" t="str">
        <f>_xll.QS.INSTRUMENT.SWAP("swap.9708",H9710,B9710,"USD","SOFR",I9710,J9710,0,"Actual360","Simple","Annual","Annual","Annual")</f>
        <v>QSObject:Swap:w1~swap.9708:16354</v>
      </c>
      <c r="F9710" s="6" t="str">
        <f>_xll.QS.TRADE.CREATE("trade.9708",E9710,A9710,"Receive")</f>
        <v>QSObject:SwapTrade:w1~trade.9708:21797</v>
      </c>
      <c r="G9710" s="3">
        <f>_xll.QS.EVALUATE(C9710,F9710)</f>
        <v>34151.655819451917</v>
      </c>
      <c r="H9710" s="5" t="s">
        <v>9750</v>
      </c>
      <c r="I9710" s="7">
        <v>1970800</v>
      </c>
      <c r="J9710" s="8">
        <v>3.5800000000000012E-2</v>
      </c>
    </row>
    <row r="9711" spans="1:10" x14ac:dyDescent="0.25">
      <c r="A9711" s="5" t="s">
        <v>9744</v>
      </c>
      <c r="B9711" s="5" t="s">
        <v>11578</v>
      </c>
      <c r="C9711" s="6" t="str">
        <f>_xll.QS.CONTEXT.CREATE("market.9709",A9711,"USD","SOFR")</f>
        <v>QSObject:PricingContext:w1~market.9709:6634</v>
      </c>
      <c r="D9711" s="6" t="str">
        <f>_xll.QS.CONTEXT.ADD.CURVE(C9711,"SOFR",$K$2:$K$7,$L$2:$L$7,,,"Actual360","LogLinear",TRUE)</f>
        <v>QSObject:ContextInput:w1~input.qs_context_add_curve.2359132437744.9710.3.0:11503</v>
      </c>
      <c r="E9711" s="6" t="str">
        <f>_xll.QS.INSTRUMENT.SWAP("swap.9709",H9711,B9711,"USD","SOFR",I9711,J9711,0,"Actual360","Simple","Annual","Annual","Annual")</f>
        <v>QSObject:Swap:w1~swap.9709:1923</v>
      </c>
      <c r="F9711" s="6" t="str">
        <f>_xll.QS.TRADE.CREATE("trade.9709",E9711,A9711,"Receive")</f>
        <v>QSObject:SwapTrade:w1~trade.9709:5030</v>
      </c>
      <c r="G9711" s="3">
        <f>_xll.QS.EVALUATE(C9711,F9711)</f>
        <v>35144.215732457043</v>
      </c>
      <c r="H9711" s="5" t="s">
        <v>9751</v>
      </c>
      <c r="I9711" s="7">
        <v>1970900</v>
      </c>
      <c r="J9711" s="8">
        <v>3.5900000000000001E-2</v>
      </c>
    </row>
    <row r="9712" spans="1:10" x14ac:dyDescent="0.25">
      <c r="A9712" s="5" t="s">
        <v>9745</v>
      </c>
      <c r="B9712" s="5" t="s">
        <v>11579</v>
      </c>
      <c r="C9712" s="6" t="str">
        <f>_xll.QS.CONTEXT.CREATE("market.9710",A9712,"USD","SOFR")</f>
        <v>QSObject:PricingContext:w1~market.9710:18353</v>
      </c>
      <c r="D9712" s="6" t="str">
        <f>_xll.QS.CONTEXT.ADD.CURVE(C9712,"SOFR",$K$2:$K$7,$L$2:$L$7,,,"Actual360","LogLinear",TRUE)</f>
        <v>QSObject:ContextInput:w1~input.qs_context_add_curve.2359132437744.9711.3.0:31334</v>
      </c>
      <c r="E9712" s="6" t="str">
        <f>_xll.QS.INSTRUMENT.SWAP("swap.9710",H9712,B9712,"USD","SOFR",I9712,J9712,0,"Actual360","Simple","Annual","Annual","Annual")</f>
        <v>QSObject:Swap:w1~swap.9710:3465</v>
      </c>
      <c r="F9712" s="6" t="str">
        <f>_xll.QS.TRADE.CREATE("trade.9710",E9712,A9712,"Receive")</f>
        <v>QSObject:SwapTrade:w1~trade.9710:22044</v>
      </c>
      <c r="G9712" s="3">
        <f>_xll.QS.EVALUATE(C9712,F9712)</f>
        <v>36113.121718852737</v>
      </c>
      <c r="H9712" s="5" t="s">
        <v>9752</v>
      </c>
      <c r="I9712" s="7">
        <v>1971000</v>
      </c>
      <c r="J9712" s="8">
        <v>3.5999999999999997E-2</v>
      </c>
    </row>
    <row r="9713" spans="1:10" x14ac:dyDescent="0.25">
      <c r="A9713" s="5" t="s">
        <v>9746</v>
      </c>
      <c r="B9713" s="5" t="s">
        <v>11580</v>
      </c>
      <c r="C9713" s="6" t="str">
        <f>_xll.QS.CONTEXT.CREATE("market.9711",A9713,"USD","SOFR")</f>
        <v>QSObject:PricingContext:w1~market.9711:21796</v>
      </c>
      <c r="D9713" s="6" t="str">
        <f>_xll.QS.CONTEXT.ADD.CURVE(C9713,"SOFR",$K$2:$K$7,$L$2:$L$7,,,"Actual360","LogLinear",TRUE)</f>
        <v>QSObject:ContextInput:w1~input.qs_context_add_curve.2359132437744.9712.3.0:31333</v>
      </c>
      <c r="E9713" s="6" t="str">
        <f>_xll.QS.INSTRUMENT.SWAP("swap.9711",H9713,B9713,"USD","SOFR",I9713,J9713,0,"Actual360","Simple","Annual","Annual","Annual")</f>
        <v>QSObject:Swap:w1~swap.9711:413</v>
      </c>
      <c r="F9713" s="6" t="str">
        <f>_xll.QS.TRADE.CREATE("trade.9711",E9713,A9713,"Receive")</f>
        <v>QSObject:SwapTrade:w1~trade.9711:21795</v>
      </c>
      <c r="G9713" s="3">
        <f>_xll.QS.EVALUATE(C9713,F9713)</f>
        <v>37167.695848651427</v>
      </c>
      <c r="H9713" s="5" t="s">
        <v>9753</v>
      </c>
      <c r="I9713" s="7">
        <v>1971100</v>
      </c>
      <c r="J9713" s="8">
        <v>3.61E-2</v>
      </c>
    </row>
    <row r="9714" spans="1:10" x14ac:dyDescent="0.25">
      <c r="A9714" s="5" t="s">
        <v>9747</v>
      </c>
      <c r="B9714" s="5" t="s">
        <v>11581</v>
      </c>
      <c r="C9714" s="6" t="str">
        <f>_xll.QS.CONTEXT.CREATE("market.9712",A9714,"USD","SOFR")</f>
        <v>QSObject:PricingContext:w1~market.9712:412</v>
      </c>
      <c r="D9714" s="6" t="str">
        <f>_xll.QS.CONTEXT.ADD.CURVE(C9714,"SOFR",$K$2:$K$7,$L$2:$L$7,,,"Actual360","LogLinear",TRUE)</f>
        <v>QSObject:ContextInput:w1~input.qs_context_add_curve.2359132437744.9713.3.0:21794</v>
      </c>
      <c r="E9714" s="6" t="str">
        <f>_xll.QS.INSTRUMENT.SWAP("swap.9712",H9714,B9714,"USD","SOFR",I9714,J9714,0,"Actual360","Simple","Annual","Annual","Annual")</f>
        <v>QSObject:Swap:w1~swap.9712:411</v>
      </c>
      <c r="F9714" s="6" t="str">
        <f>_xll.QS.TRADE.CREATE("trade.9712",E9714,A9714,"Receive")</f>
        <v>QSObject:SwapTrade:w1~trade.9712:21793</v>
      </c>
      <c r="G9714" s="3">
        <f>_xll.QS.EVALUATE(C9714,F9714)</f>
        <v>38164.57019785478</v>
      </c>
      <c r="H9714" s="5" t="s">
        <v>9754</v>
      </c>
      <c r="I9714" s="7">
        <v>1971200</v>
      </c>
      <c r="J9714" s="8">
        <v>3.6200000000000003E-2</v>
      </c>
    </row>
    <row r="9715" spans="1:10" x14ac:dyDescent="0.25">
      <c r="A9715" s="5" t="s">
        <v>9748</v>
      </c>
      <c r="B9715" s="5" t="s">
        <v>11582</v>
      </c>
      <c r="C9715" s="6" t="str">
        <f>_xll.QS.CONTEXT.CREATE("market.9713",A9715,"USD","SOFR")</f>
        <v>QSObject:PricingContext:w1~market.9713:410</v>
      </c>
      <c r="D9715" s="6" t="str">
        <f>_xll.QS.CONTEXT.ADD.CURVE(C9715,"SOFR",$K$2:$K$7,$L$2:$L$7,,,"Actual360","LogLinear",TRUE)</f>
        <v>QSObject:ContextInput:w1~input.qs_context_add_curve.2359132437744.9714.3.0:21792</v>
      </c>
      <c r="E9715" s="6" t="str">
        <f>_xll.QS.INSTRUMENT.SWAP("swap.9713",H9715,B9715,"USD","SOFR",I9715,J9715,0,"Actual360","Simple","Annual","Annual","Annual")</f>
        <v>QSObject:Swap:w1~swap.9713:409</v>
      </c>
      <c r="F9715" s="6" t="str">
        <f>_xll.QS.TRADE.CREATE("trade.9713",E9715,A9715,"Receive")</f>
        <v>QSObject:SwapTrade:w1~trade.9713:21791</v>
      </c>
      <c r="G9715" s="3">
        <f>_xll.QS.EVALUATE(C9715,F9715)</f>
        <v>38999.705141475191</v>
      </c>
      <c r="H9715" s="5" t="s">
        <v>9755</v>
      </c>
      <c r="I9715" s="7">
        <v>1971300</v>
      </c>
      <c r="J9715" s="8">
        <v>3.6300000000000013E-2</v>
      </c>
    </row>
    <row r="9716" spans="1:10" x14ac:dyDescent="0.25">
      <c r="A9716" s="5" t="s">
        <v>9749</v>
      </c>
      <c r="B9716" s="5" t="s">
        <v>11583</v>
      </c>
      <c r="C9716" s="6" t="str">
        <f>_xll.QS.CONTEXT.CREATE("market.9714",A9716,"USD","SOFR")</f>
        <v>QSObject:PricingContext:w1~market.9714:408</v>
      </c>
      <c r="D9716" s="6" t="str">
        <f>_xll.QS.CONTEXT.ADD.CURVE(C9716,"SOFR",$K$2:$K$7,$L$2:$L$7,,,"Actual360","LogLinear",TRUE)</f>
        <v>QSObject:ContextInput:w1~input.qs_context_add_curve.2359132437744.9715.3.0:21790</v>
      </c>
      <c r="E9716" s="6" t="str">
        <f>_xll.QS.INSTRUMENT.SWAP("swap.9714",H9716,B9716,"USD","SOFR",I9716,J9716,0,"Actual360","Simple","Annual","Annual","Annual")</f>
        <v>QSObject:Swap:w1~swap.9714:407</v>
      </c>
      <c r="F9716" s="6" t="str">
        <f>_xll.QS.TRADE.CREATE("trade.9714",E9716,A9716,"Receive")</f>
        <v>QSObject:SwapTrade:w1~trade.9714:21789</v>
      </c>
      <c r="G9716" s="3">
        <f>_xll.QS.EVALUATE(C9716,F9716)</f>
        <v>39780.691312993404</v>
      </c>
      <c r="H9716" s="5" t="s">
        <v>9756</v>
      </c>
      <c r="I9716" s="7">
        <v>1971400</v>
      </c>
      <c r="J9716" s="8">
        <v>3.6400000000000002E-2</v>
      </c>
    </row>
    <row r="9717" spans="1:10" x14ac:dyDescent="0.25">
      <c r="A9717" s="5" t="s">
        <v>9750</v>
      </c>
      <c r="B9717" s="5" t="s">
        <v>11584</v>
      </c>
      <c r="C9717" s="6" t="str">
        <f>_xll.QS.CONTEXT.CREATE("market.9715",A9717,"USD","SOFR")</f>
        <v>QSObject:PricingContext:w1~market.9715:406</v>
      </c>
      <c r="D9717" s="6" t="str">
        <f>_xll.QS.CONTEXT.ADD.CURVE(C9717,"SOFR",$K$2:$K$7,$L$2:$L$7,,,"Actual360","LogLinear",TRUE)</f>
        <v>QSObject:ContextInput:w1~input.qs_context_add_curve.2359132437744.9716.3.0:21788</v>
      </c>
      <c r="E9717" s="6" t="str">
        <f>_xll.QS.INSTRUMENT.SWAP("swap.9715",H9717,B9717,"USD","SOFR",I9717,J9717,0,"Actual360","Simple","Annual","Annual","Annual")</f>
        <v>QSObject:Swap:w1~swap.9715:405</v>
      </c>
      <c r="F9717" s="6" t="str">
        <f>_xll.QS.TRADE.CREATE("trade.9715",E9717,A9717,"Receive")</f>
        <v>QSObject:SwapTrade:w1~trade.9715:21787</v>
      </c>
      <c r="G9717" s="3">
        <f>_xll.QS.EVALUATE(C9717,F9717)</f>
        <v>40530.109547099499</v>
      </c>
      <c r="H9717" s="5" t="s">
        <v>9757</v>
      </c>
      <c r="I9717" s="7">
        <v>1971500</v>
      </c>
      <c r="J9717" s="8">
        <v>3.6499999999999998E-2</v>
      </c>
    </row>
    <row r="9718" spans="1:10" x14ac:dyDescent="0.25">
      <c r="A9718" s="5" t="s">
        <v>9751</v>
      </c>
      <c r="B9718" s="5" t="s">
        <v>11585</v>
      </c>
      <c r="C9718" s="6" t="str">
        <f>_xll.QS.CONTEXT.CREATE("market.9716",A9718,"USD","SOFR")</f>
        <v>QSObject:PricingContext:w1~market.9716:404</v>
      </c>
      <c r="D9718" s="6" t="str">
        <f>_xll.QS.CONTEXT.ADD.CURVE(C9718,"SOFR",$K$2:$K$7,$L$2:$L$7,,,"Actual360","LogLinear",TRUE)</f>
        <v>QSObject:ContextInput:w1~input.qs_context_add_curve.2359132437744.9717.3.0:31332</v>
      </c>
      <c r="E9718" s="6" t="str">
        <f>_xll.QS.INSTRUMENT.SWAP("swap.9716",H9718,B9718,"USD","SOFR",I9718,J9718,0,"Actual360","Simple","Annual","Annual","Annual")</f>
        <v>QSObject:Swap:w1~swap.9716:21786</v>
      </c>
      <c r="F9718" s="6" t="str">
        <f>_xll.QS.TRADE.CREATE("trade.9716",E9718,A9718,"Receive")</f>
        <v>QSObject:SwapTrade:w1~trade.9716:22043</v>
      </c>
      <c r="G9718" s="3">
        <f>_xll.QS.EVALUATE(C9718,F9718)</f>
        <v>41523.960794884551</v>
      </c>
      <c r="H9718" s="5" t="s">
        <v>9758</v>
      </c>
      <c r="I9718" s="7">
        <v>1971600</v>
      </c>
      <c r="J9718" s="8">
        <v>3.6600000000000001E-2</v>
      </c>
    </row>
    <row r="9719" spans="1:10" x14ac:dyDescent="0.25">
      <c r="A9719" s="5" t="s">
        <v>9752</v>
      </c>
      <c r="B9719" s="5" t="s">
        <v>11586</v>
      </c>
      <c r="C9719" s="6" t="str">
        <f>_xll.QS.CONTEXT.CREATE("market.9717",A9719,"USD","SOFR")</f>
        <v>QSObject:PricingContext:w1~market.9717:21785</v>
      </c>
      <c r="D9719" s="6" t="str">
        <f>_xll.QS.CONTEXT.ADD.CURVE(C9719,"SOFR",$K$2:$K$7,$L$2:$L$7,,,"Actual360","LogLinear",TRUE)</f>
        <v>QSObject:ContextInput:w1~input.qs_context_add_curve.2359132437744.9718.3.0:31331</v>
      </c>
      <c r="E9719" s="6" t="str">
        <f>_xll.QS.INSTRUMENT.SWAP("swap.9717",H9719,B9719,"USD","SOFR",I9719,J9719,0,"Actual360","Simple","Annual","Annual","Annual")</f>
        <v>QSObject:Swap:w1~swap.9717:403</v>
      </c>
      <c r="F9719" s="6" t="str">
        <f>_xll.QS.TRADE.CREATE("trade.9717",E9719,A9719,"Receive")</f>
        <v>QSObject:SwapTrade:w1~trade.9717:21784</v>
      </c>
      <c r="G9719" s="3">
        <f>_xll.QS.EVALUATE(C9719,F9719)</f>
        <v>42490.445706280108</v>
      </c>
      <c r="H9719" s="5" t="s">
        <v>9759</v>
      </c>
      <c r="I9719" s="7">
        <v>1971700</v>
      </c>
      <c r="J9719" s="8">
        <v>3.6700000000000003E-2</v>
      </c>
    </row>
    <row r="9720" spans="1:10" x14ac:dyDescent="0.25">
      <c r="A9720" s="5" t="s">
        <v>9753</v>
      </c>
      <c r="B9720" s="5" t="s">
        <v>11587</v>
      </c>
      <c r="C9720" s="6" t="str">
        <f>_xll.QS.CONTEXT.CREATE("market.9718",A9720,"USD","SOFR")</f>
        <v>QSObject:PricingContext:w1~market.9718:402</v>
      </c>
      <c r="D9720" s="6" t="str">
        <f>_xll.QS.CONTEXT.ADD.CURVE(C9720,"SOFR",$K$2:$K$7,$L$2:$L$7,,,"Actual360","LogLinear",TRUE)</f>
        <v>QSObject:ContextInput:w1~input.qs_context_add_curve.2359132437744.9719.3.0:21783</v>
      </c>
      <c r="E9720" s="6" t="str">
        <f>_xll.QS.INSTRUMENT.SWAP("swap.9718",H9720,B9720,"USD","SOFR",I9720,J9720,0,"Actual360","Simple","Annual","Annual","Annual")</f>
        <v>QSObject:Swap:w1~swap.9718:401</v>
      </c>
      <c r="F9720" s="6" t="str">
        <f>_xll.QS.TRADE.CREATE("trade.9718",E9720,A9720,"Receive")</f>
        <v>QSObject:SwapTrade:w1~trade.9718:21782</v>
      </c>
      <c r="G9720" s="3">
        <f>_xll.QS.EVALUATE(C9720,F9720)</f>
        <v>43545.810932147928</v>
      </c>
      <c r="H9720" s="5" t="s">
        <v>9760</v>
      </c>
      <c r="I9720" s="7">
        <v>1971800</v>
      </c>
      <c r="J9720" s="8">
        <v>3.6800000000000013E-2</v>
      </c>
    </row>
    <row r="9721" spans="1:10" x14ac:dyDescent="0.25">
      <c r="A9721" s="5" t="s">
        <v>9754</v>
      </c>
      <c r="B9721" s="5" t="s">
        <v>11588</v>
      </c>
      <c r="C9721" s="6" t="str">
        <f>_xll.QS.CONTEXT.CREATE("market.9719",A9721,"USD","SOFR")</f>
        <v>QSObject:PricingContext:w1~market.9719:400</v>
      </c>
      <c r="D9721" s="6" t="str">
        <f>_xll.QS.CONTEXT.ADD.CURVE(C9721,"SOFR",$K$2:$K$7,$L$2:$L$7,,,"Actual360","LogLinear",TRUE)</f>
        <v>QSObject:ContextInput:w1~input.qs_context_add_curve.2359132437744.9720.3.0:21781</v>
      </c>
      <c r="E9721" s="6" t="str">
        <f>_xll.QS.INSTRUMENT.SWAP("swap.9719",H9721,B9721,"USD","SOFR",I9721,J9721,0,"Actual360","Simple","Annual","Annual","Annual")</f>
        <v>QSObject:Swap:w1~swap.9719:399</v>
      </c>
      <c r="F9721" s="6" t="str">
        <f>_xll.QS.TRADE.CREATE("trade.9719",E9721,A9721,"Receive")</f>
        <v>QSObject:SwapTrade:w1~trade.9719:21780</v>
      </c>
      <c r="G9721" s="3">
        <f>_xll.QS.EVALUATE(C9721,F9721)</f>
        <v>44543.434496906317</v>
      </c>
      <c r="H9721" s="5" t="s">
        <v>9761</v>
      </c>
      <c r="I9721" s="7">
        <v>1971900</v>
      </c>
      <c r="J9721" s="8">
        <v>3.6900000000000002E-2</v>
      </c>
    </row>
    <row r="9722" spans="1:10" x14ac:dyDescent="0.25">
      <c r="A9722" s="5" t="s">
        <v>9755</v>
      </c>
      <c r="B9722" s="5" t="s">
        <v>11589</v>
      </c>
      <c r="C9722" s="6" t="str">
        <f>_xll.QS.CONTEXT.CREATE("market.9720",A9722,"USD","SOFR")</f>
        <v>QSObject:PricingContext:w1~market.9720:398</v>
      </c>
      <c r="D9722" s="6" t="str">
        <f>_xll.QS.CONTEXT.ADD.CURVE(C9722,"SOFR",$K$2:$K$7,$L$2:$L$7,,,"Actual360","LogLinear",TRUE)</f>
        <v>QSObject:ContextInput:w1~input.qs_context_add_curve.2359132437744.9721.3.0:21779</v>
      </c>
      <c r="E9722" s="6" t="str">
        <f>_xll.QS.INSTRUMENT.SWAP("swap.9720",H9722,B9722,"USD","SOFR",I9722,J9722,0,"Actual360","Simple","Annual","Annual","Annual")</f>
        <v>QSObject:Swap:w1~swap.9720:397</v>
      </c>
      <c r="F9722" s="6" t="str">
        <f>_xll.QS.TRADE.CREATE("trade.9720",E9722,A9722,"Receive")</f>
        <v>QSObject:SwapTrade:w1~trade.9720:21778</v>
      </c>
      <c r="G9722" s="3">
        <f>_xll.QS.EVALUATE(C9722,F9722)</f>
        <v>45379.119318253935</v>
      </c>
      <c r="H9722" s="5" t="s">
        <v>9762</v>
      </c>
      <c r="I9722" s="7">
        <v>1972000</v>
      </c>
      <c r="J9722" s="8">
        <v>3.7000000000000012E-2</v>
      </c>
    </row>
    <row r="9723" spans="1:10" x14ac:dyDescent="0.25">
      <c r="A9723" s="5" t="s">
        <v>9756</v>
      </c>
      <c r="B9723" s="5" t="s">
        <v>11590</v>
      </c>
      <c r="C9723" s="6" t="str">
        <f>_xll.QS.CONTEXT.CREATE("market.9721",A9723,"USD","SOFR")</f>
        <v>QSObject:PricingContext:w1~market.9721:396</v>
      </c>
      <c r="D9723" s="6" t="str">
        <f>_xll.QS.CONTEXT.ADD.CURVE(C9723,"SOFR",$K$2:$K$7,$L$2:$L$7,,,"Actual360","LogLinear",TRUE)</f>
        <v>QSObject:ContextInput:w1~input.qs_context_add_curve.2359132437744.9722.3.0:21777</v>
      </c>
      <c r="E9723" s="6" t="str">
        <f>_xll.QS.INSTRUMENT.SWAP("swap.9721",H9723,B9723,"USD","SOFR",I9723,J9723,0,"Actual360","Simple","Annual","Annual","Annual")</f>
        <v>QSObject:Swap:w1~swap.9721:395</v>
      </c>
      <c r="F9723" s="6" t="str">
        <f>_xll.QS.TRADE.CREATE("trade.9721",E9723,A9723,"Receive")</f>
        <v>QSObject:SwapTrade:w1~trade.9721:21776</v>
      </c>
      <c r="G9723" s="3">
        <f>_xll.QS.EVALUATE(C9723,F9723)</f>
        <v>46153.208382391786</v>
      </c>
      <c r="H9723" s="5" t="s">
        <v>9763</v>
      </c>
      <c r="I9723" s="7">
        <v>1972100</v>
      </c>
      <c r="J9723" s="8">
        <v>3.7100000000000001E-2</v>
      </c>
    </row>
    <row r="9724" spans="1:10" x14ac:dyDescent="0.25">
      <c r="A9724" s="5" t="s">
        <v>9757</v>
      </c>
      <c r="B9724" s="5" t="s">
        <v>11591</v>
      </c>
      <c r="C9724" s="6" t="str">
        <f>_xll.QS.CONTEXT.CREATE("market.9722",A9724,"USD","SOFR")</f>
        <v>QSObject:PricingContext:w1~market.9722:394</v>
      </c>
      <c r="D9724" s="6" t="str">
        <f>_xll.QS.CONTEXT.ADD.CURVE(C9724,"SOFR",$K$2:$K$7,$L$2:$L$7,,,"Actual360","LogLinear",TRUE)</f>
        <v>QSObject:ContextInput:w1~input.qs_context_add_curve.2359132437744.9723.3.0:31330</v>
      </c>
      <c r="E9724" s="6" t="str">
        <f>_xll.QS.INSTRUMENT.SWAP("swap.9722",H9724,B9724,"USD","SOFR",I9724,J9724,0,"Actual360","Simple","Annual","Annual","Annual")</f>
        <v>QSObject:Swap:w1~swap.9722:21775</v>
      </c>
      <c r="F9724" s="6" t="str">
        <f>_xll.QS.TRADE.CREATE("trade.9722",E9724,A9724,"Receive")</f>
        <v>QSObject:SwapTrade:w1~trade.9722:22042</v>
      </c>
      <c r="G9724" s="3">
        <f>_xll.QS.EVALUATE(C9724,F9724)</f>
        <v>46913.084123322813</v>
      </c>
      <c r="H9724" s="5" t="s">
        <v>9764</v>
      </c>
      <c r="I9724" s="7">
        <v>1972200</v>
      </c>
      <c r="J9724" s="8">
        <v>3.7199999999999997E-2</v>
      </c>
    </row>
    <row r="9725" spans="1:10" x14ac:dyDescent="0.25">
      <c r="A9725" s="5" t="s">
        <v>9758</v>
      </c>
      <c r="B9725" s="5" t="s">
        <v>11592</v>
      </c>
      <c r="C9725" s="6" t="str">
        <f>_xll.QS.CONTEXT.CREATE("market.9723",A9725,"USD","SOFR")</f>
        <v>QSObject:PricingContext:w1~market.9723:21774</v>
      </c>
      <c r="D9725" s="6" t="str">
        <f>_xll.QS.CONTEXT.ADD.CURVE(C9725,"SOFR",$K$2:$K$7,$L$2:$L$7,,,"Actual360","LogLinear",TRUE)</f>
        <v>QSObject:ContextInput:w1~input.qs_context_add_curve.2359132437744.9724.3.0:31329</v>
      </c>
      <c r="E9725" s="6" t="str">
        <f>_xll.QS.INSTRUMENT.SWAP("swap.9723",H9725,B9725,"USD","SOFR",I9725,J9725,0,"Actual360","Simple","Annual","Annual","Annual")</f>
        <v>QSObject:Swap:w1~swap.9723:21773</v>
      </c>
      <c r="F9725" s="6" t="str">
        <f>_xll.QS.TRADE.CREATE("trade.9723",E9725,A9725,"Receive")</f>
        <v>QSObject:SwapTrade:w1~trade.9723:22041</v>
      </c>
      <c r="G9725" s="3">
        <f>_xll.QS.EVALUATE(C9725,F9725)</f>
        <v>47908.227143658827</v>
      </c>
      <c r="H9725" s="5" t="s">
        <v>9765</v>
      </c>
      <c r="I9725" s="7">
        <v>1972300</v>
      </c>
      <c r="J9725" s="8">
        <v>3.73E-2</v>
      </c>
    </row>
    <row r="9726" spans="1:10" x14ac:dyDescent="0.25">
      <c r="A9726" s="5" t="s">
        <v>9759</v>
      </c>
      <c r="B9726" s="5" t="s">
        <v>11593</v>
      </c>
      <c r="C9726" s="6" t="str">
        <f>_xll.QS.CONTEXT.CREATE("market.9724",A9726,"USD","SOFR")</f>
        <v>QSObject:PricingContext:w1~market.9724:393</v>
      </c>
      <c r="D9726" s="6" t="str">
        <f>_xll.QS.CONTEXT.ADD.CURVE(C9726,"SOFR",$K$2:$K$7,$L$2:$L$7,,,"Actual360","LogLinear",TRUE)</f>
        <v>QSObject:ContextInput:w1~input.qs_context_add_curve.2359132437744.9725.3.0:21772</v>
      </c>
      <c r="E9726" s="6" t="str">
        <f>_xll.QS.INSTRUMENT.SWAP("swap.9724",H9726,B9726,"USD","SOFR",I9726,J9726,0,"Actual360","Simple","Annual","Annual","Annual")</f>
        <v>QSObject:Swap:w1~swap.9724:392</v>
      </c>
      <c r="F9726" s="6" t="str">
        <f>_xll.QS.TRADE.CREATE("trade.9724",E9726,A9726,"Receive")</f>
        <v>QSObject:SwapTrade:w1~trade.9724:21771</v>
      </c>
      <c r="G9726" s="3">
        <f>_xll.QS.EVALUATE(C9726,F9726)</f>
        <v>48872.288787785626</v>
      </c>
      <c r="H9726" s="5" t="s">
        <v>9766</v>
      </c>
      <c r="I9726" s="7">
        <v>1972400</v>
      </c>
      <c r="J9726" s="8">
        <v>3.7400000000000003E-2</v>
      </c>
    </row>
    <row r="9727" spans="1:10" x14ac:dyDescent="0.25">
      <c r="A9727" s="5" t="s">
        <v>9760</v>
      </c>
      <c r="B9727" s="5" t="s">
        <v>11594</v>
      </c>
      <c r="C9727" s="6" t="str">
        <f>_xll.QS.CONTEXT.CREATE("market.9725",A9727,"USD","SOFR")</f>
        <v>QSObject:PricingContext:w1~market.9725:391</v>
      </c>
      <c r="D9727" s="6" t="str">
        <f>_xll.QS.CONTEXT.ADD.CURVE(C9727,"SOFR",$K$2:$K$7,$L$2:$L$7,,,"Actual360","LogLinear",TRUE)</f>
        <v>QSObject:ContextInput:w1~input.qs_context_add_curve.2359132437744.9726.3.0:21770</v>
      </c>
      <c r="E9727" s="6" t="str">
        <f>_xll.QS.INSTRUMENT.SWAP("swap.9725",H9727,B9727,"USD","SOFR",I9727,J9727,0,"Actual360","Simple","Annual","Annual","Annual")</f>
        <v>QSObject:Swap:w1~swap.9725:390</v>
      </c>
      <c r="F9727" s="6" t="str">
        <f>_xll.QS.TRADE.CREATE("trade.9725",E9727,A9727,"Receive")</f>
        <v>QSObject:SwapTrade:w1~trade.9725:21769</v>
      </c>
      <c r="G9727" s="3">
        <f>_xll.QS.EVALUATE(C9727,F9727)</f>
        <v>49928.445176777088</v>
      </c>
      <c r="H9727" s="5" t="s">
        <v>9767</v>
      </c>
      <c r="I9727" s="7">
        <v>1972500</v>
      </c>
      <c r="J9727" s="8">
        <v>3.7500000000000012E-2</v>
      </c>
    </row>
    <row r="9728" spans="1:10" x14ac:dyDescent="0.25">
      <c r="A9728" s="5" t="s">
        <v>9761</v>
      </c>
      <c r="B9728" s="5" t="s">
        <v>11595</v>
      </c>
      <c r="C9728" s="6" t="str">
        <f>_xll.QS.CONTEXT.CREATE("market.9726",A9728,"USD","SOFR")</f>
        <v>QSObject:PricingContext:w1~market.9726:389</v>
      </c>
      <c r="D9728" s="6" t="str">
        <f>_xll.QS.CONTEXT.ADD.CURVE(C9728,"SOFR",$K$2:$K$7,$L$2:$L$7,,,"Actual360","LogLinear",TRUE)</f>
        <v>QSObject:ContextInput:w1~input.qs_context_add_curve.2359132437744.9727.3.0:21768</v>
      </c>
      <c r="E9728" s="6" t="str">
        <f>_xll.QS.INSTRUMENT.SWAP("swap.9726",H9728,B9728,"USD","SOFR",I9728,J9728,0,"Actual360","Simple","Annual","Annual","Annual")</f>
        <v>QSObject:Swap:w1~swap.9726:388</v>
      </c>
      <c r="F9728" s="6" t="str">
        <f>_xll.QS.TRADE.CREATE("trade.9726",E9728,A9728,"Receive")</f>
        <v>QSObject:SwapTrade:w1~trade.9726:21767</v>
      </c>
      <c r="G9728" s="3">
        <f>_xll.QS.EVALUATE(C9728,F9728)</f>
        <v>50926.818008978662</v>
      </c>
      <c r="H9728" s="5" t="s">
        <v>9768</v>
      </c>
      <c r="I9728" s="7">
        <v>1972600</v>
      </c>
      <c r="J9728" s="8">
        <v>3.7600000000000001E-2</v>
      </c>
    </row>
    <row r="9729" spans="1:10" x14ac:dyDescent="0.25">
      <c r="A9729" s="5" t="s">
        <v>9762</v>
      </c>
      <c r="B9729" s="5" t="s">
        <v>11596</v>
      </c>
      <c r="C9729" s="6" t="str">
        <f>_xll.QS.CONTEXT.CREATE("market.9727",A9729,"USD","SOFR")</f>
        <v>QSObject:PricingContext:w1~market.9727:387</v>
      </c>
      <c r="D9729" s="6" t="str">
        <f>_xll.QS.CONTEXT.ADD.CURVE(C9729,"SOFR",$K$2:$K$7,$L$2:$L$7,,,"Actual360","LogLinear",TRUE)</f>
        <v>QSObject:ContextInput:w1~input.qs_context_add_curve.2359132437744.9728.3.0:21766</v>
      </c>
      <c r="E9729" s="6" t="str">
        <f>_xll.QS.INSTRUMENT.SWAP("swap.9727",H9729,B9729,"USD","SOFR",I9729,J9729,0,"Actual360","Simple","Annual","Annual","Annual")</f>
        <v>QSObject:Swap:w1~swap.9727:386</v>
      </c>
      <c r="F9729" s="6" t="str">
        <f>_xll.QS.TRADE.CREATE("trade.9727",E9729,A9729,"Receive")</f>
        <v>QSObject:SwapTrade:w1~trade.9727:21765</v>
      </c>
      <c r="G9729" s="3">
        <f>_xll.QS.EVALUATE(C9729,F9729)</f>
        <v>51763.052659217494</v>
      </c>
      <c r="H9729" s="5" t="s">
        <v>9769</v>
      </c>
      <c r="I9729" s="7">
        <v>1972700</v>
      </c>
      <c r="J9729" s="8">
        <v>3.7699999999999997E-2</v>
      </c>
    </row>
    <row r="9730" spans="1:10" x14ac:dyDescent="0.25">
      <c r="A9730" s="5" t="s">
        <v>9763</v>
      </c>
      <c r="B9730" s="5" t="s">
        <v>11597</v>
      </c>
      <c r="C9730" s="6" t="str">
        <f>_xll.QS.CONTEXT.CREATE("market.9728",A9730,"USD","SOFR")</f>
        <v>QSObject:PricingContext:w1~market.9728:385</v>
      </c>
      <c r="D9730" s="6" t="str">
        <f>_xll.QS.CONTEXT.ADD.CURVE(C9730,"SOFR",$K$2:$K$7,$L$2:$L$7,,,"Actual360","LogLinear",TRUE)</f>
        <v>QSObject:ContextInput:w1~input.qs_context_add_curve.2359132437744.9729.3.0:21764</v>
      </c>
      <c r="E9730" s="6" t="str">
        <f>_xll.QS.INSTRUMENT.SWAP("swap.9728",H9730,B9730,"USD","SOFR",I9730,J9730,0,"Actual360","Simple","Annual","Annual","Annual")</f>
        <v>QSObject:Swap:w1~swap.9728:384</v>
      </c>
      <c r="F9730" s="6" t="str">
        <f>_xll.QS.TRADE.CREATE("trade.9728",E9730,A9730,"Receive")</f>
        <v>QSObject:SwapTrade:w1~trade.9728:21763</v>
      </c>
      <c r="G9730" s="3">
        <f>_xll.QS.EVALUATE(C9730,F9730)</f>
        <v>52530.239294177081</v>
      </c>
      <c r="H9730" s="5" t="s">
        <v>9770</v>
      </c>
      <c r="I9730" s="7">
        <v>1972800</v>
      </c>
      <c r="J9730" s="8">
        <v>3.78E-2</v>
      </c>
    </row>
    <row r="9731" spans="1:10" x14ac:dyDescent="0.25">
      <c r="A9731" s="5" t="s">
        <v>9764</v>
      </c>
      <c r="B9731" s="5" t="s">
        <v>11598</v>
      </c>
      <c r="C9731" s="6" t="str">
        <f>_xll.QS.CONTEXT.CREATE("market.9729",A9731,"USD","SOFR")</f>
        <v>QSObject:PricingContext:w1~market.9729:383</v>
      </c>
      <c r="D9731" s="6" t="str">
        <f>_xll.QS.CONTEXT.ADD.CURVE(C9731,"SOFR",$K$2:$K$7,$L$2:$L$7,,,"Actual360","LogLinear",TRUE)</f>
        <v>QSObject:ContextInput:w1~input.qs_context_add_curve.2359132437744.9730.3.0:21762</v>
      </c>
      <c r="E9731" s="6" t="str">
        <f>_xll.QS.INSTRUMENT.SWAP("swap.9729",H9731,B9731,"USD","SOFR",I9731,J9731,0,"Actual360","Simple","Annual","Annual","Annual")</f>
        <v>QSObject:Swap:w1~swap.9729:382</v>
      </c>
      <c r="F9731" s="6" t="str">
        <f>_xll.QS.TRADE.CREATE("trade.9729",E9731,A9731,"Receive")</f>
        <v>QSObject:SwapTrade:w1~trade.9729:21761</v>
      </c>
      <c r="G9731" s="3">
        <f>_xll.QS.EVALUATE(C9731,F9731)</f>
        <v>53300.579548121699</v>
      </c>
      <c r="H9731" s="5" t="s">
        <v>9771</v>
      </c>
      <c r="I9731" s="7">
        <v>1972900</v>
      </c>
      <c r="J9731" s="8">
        <v>3.7900000000000003E-2</v>
      </c>
    </row>
    <row r="9732" spans="1:10" x14ac:dyDescent="0.25">
      <c r="A9732" s="5" t="s">
        <v>9765</v>
      </c>
      <c r="B9732" s="5" t="s">
        <v>11599</v>
      </c>
      <c r="C9732" s="6" t="str">
        <f>_xll.QS.CONTEXT.CREATE("market.9730",A9732,"USD","SOFR")</f>
        <v>QSObject:PricingContext:w1~market.9730:381</v>
      </c>
      <c r="D9732" s="6" t="str">
        <f>_xll.QS.CONTEXT.ADD.CURVE(C9732,"SOFR",$K$2:$K$7,$L$2:$L$7,,,"Actual360","LogLinear",TRUE)</f>
        <v>QSObject:ContextInput:w1~input.qs_context_add_curve.2359132437744.9731.3.0:21760</v>
      </c>
      <c r="E9732" s="6" t="str">
        <f>_xll.QS.INSTRUMENT.SWAP("swap.9730",H9732,B9732,"USD","SOFR",I9732,J9732,0,"Actual360","Simple","Annual","Annual","Annual")</f>
        <v>QSObject:Swap:w1~swap.9730:380</v>
      </c>
      <c r="F9732" s="6" t="str">
        <f>_xll.QS.TRADE.CREATE("trade.9730",E9732,A9732,"Receive")</f>
        <v>QSObject:SwapTrade:w1~trade.9730:21759</v>
      </c>
      <c r="G9732" s="3">
        <f>_xll.QS.EVALUATE(C9732,F9732)</f>
        <v>54297.014778780256</v>
      </c>
      <c r="H9732" s="5" t="s">
        <v>9772</v>
      </c>
      <c r="I9732" s="7">
        <v>1973000</v>
      </c>
      <c r="J9732" s="8">
        <v>3.8000000000000013E-2</v>
      </c>
    </row>
    <row r="9733" spans="1:10" x14ac:dyDescent="0.25">
      <c r="A9733" s="5" t="s">
        <v>9766</v>
      </c>
      <c r="B9733" s="5" t="s">
        <v>11600</v>
      </c>
      <c r="C9733" s="6" t="str">
        <f>_xll.QS.CONTEXT.CREATE("market.9731",A9733,"USD","SOFR")</f>
        <v>QSObject:PricingContext:w1~market.9731:379</v>
      </c>
      <c r="D9733" s="6" t="str">
        <f>_xll.QS.CONTEXT.ADD.CURVE(C9733,"SOFR",$K$2:$K$7,$L$2:$L$7,,,"Actual360","LogLinear",TRUE)</f>
        <v>QSObject:ContextInput:w1~input.qs_context_add_curve.2359132437744.9732.3.0:21758</v>
      </c>
      <c r="E9733" s="6" t="str">
        <f>_xll.QS.INSTRUMENT.SWAP("swap.9731",H9733,B9733,"USD","SOFR",I9733,J9733,0,"Actual360","Simple","Annual","Annual","Annual")</f>
        <v>QSObject:Swap:w1~swap.9731:378</v>
      </c>
      <c r="F9733" s="6" t="str">
        <f>_xll.QS.TRADE.CREATE("trade.9731",E9733,A9733,"Receive")</f>
        <v>QSObject:SwapTrade:w1~trade.9731:21757</v>
      </c>
      <c r="G9733" s="3">
        <f>_xll.QS.EVALUATE(C9733,F9733)</f>
        <v>55258.650963369189</v>
      </c>
      <c r="H9733" s="5" t="s">
        <v>9773</v>
      </c>
      <c r="I9733" s="7">
        <v>1973100</v>
      </c>
      <c r="J9733" s="8">
        <v>3.8100000000000002E-2</v>
      </c>
    </row>
    <row r="9734" spans="1:10" x14ac:dyDescent="0.25">
      <c r="A9734" s="5" t="s">
        <v>9767</v>
      </c>
      <c r="B9734" s="5" t="s">
        <v>11601</v>
      </c>
      <c r="C9734" s="6" t="str">
        <f>_xll.QS.CONTEXT.CREATE("market.9732",A9734,"USD","SOFR")</f>
        <v>QSObject:PricingContext:w1~market.9732:377</v>
      </c>
      <c r="D9734" s="6" t="str">
        <f>_xll.QS.CONTEXT.ADD.CURVE(C9734,"SOFR",$K$2:$K$7,$L$2:$L$7,,,"Actual360","LogLinear",TRUE)</f>
        <v>QSObject:ContextInput:w1~input.qs_context_add_curve.2359132437744.9733.3.0:21756</v>
      </c>
      <c r="E9734" s="6" t="str">
        <f>_xll.QS.INSTRUMENT.SWAP("swap.9732",H9734,B9734,"USD","SOFR",I9734,J9734,0,"Actual360","Simple","Annual","Annual","Annual")</f>
        <v>QSObject:Swap:w1~swap.9732:376</v>
      </c>
      <c r="F9734" s="6" t="str">
        <f>_xll.QS.TRADE.CREATE("trade.9732",E9734,A9734,"Receive")</f>
        <v>QSObject:SwapTrade:w1~trade.9732:21755</v>
      </c>
      <c r="G9734" s="3">
        <f>_xll.QS.EVALUATE(C9734,F9734)</f>
        <v>56315.886996029389</v>
      </c>
      <c r="H9734" s="5" t="s">
        <v>9774</v>
      </c>
      <c r="I9734" s="7">
        <v>1973200</v>
      </c>
      <c r="J9734" s="8">
        <v>3.8199999999999998E-2</v>
      </c>
    </row>
    <row r="9735" spans="1:10" x14ac:dyDescent="0.25">
      <c r="A9735" s="5" t="s">
        <v>9768</v>
      </c>
      <c r="B9735" s="5" t="s">
        <v>11602</v>
      </c>
      <c r="C9735" s="6" t="str">
        <f>_xll.QS.CONTEXT.CREATE("market.9733",A9735,"USD","SOFR")</f>
        <v>QSObject:PricingContext:w1~market.9733:375</v>
      </c>
      <c r="D9735" s="6" t="str">
        <f>_xll.QS.CONTEXT.ADD.CURVE(C9735,"SOFR",$K$2:$K$7,$L$2:$L$7,,,"Actual360","LogLinear",TRUE)</f>
        <v>QSObject:ContextInput:w1~input.qs_context_add_curve.2359132437744.9734.3.0:21754</v>
      </c>
      <c r="E9735" s="6" t="str">
        <f>_xll.QS.INSTRUMENT.SWAP("swap.9733",H9735,B9735,"USD","SOFR",I9735,J9735,0,"Actual360","Simple","Annual","Annual","Annual")</f>
        <v>QSObject:Swap:w1~swap.9733:374</v>
      </c>
      <c r="F9735" s="6" t="str">
        <f>_xll.QS.TRADE.CREATE("trade.9733",E9735,A9735,"Receive")</f>
        <v>QSObject:SwapTrade:w1~trade.9733:21753</v>
      </c>
      <c r="G9735" s="3">
        <f>_xll.QS.EVALUATE(C9735,F9735)</f>
        <v>57314.473827270522</v>
      </c>
      <c r="H9735" s="5" t="s">
        <v>9775</v>
      </c>
      <c r="I9735" s="7">
        <v>1973300</v>
      </c>
      <c r="J9735" s="8">
        <v>3.8300000000000001E-2</v>
      </c>
    </row>
    <row r="9736" spans="1:10" x14ac:dyDescent="0.25">
      <c r="A9736" s="5" t="s">
        <v>9769</v>
      </c>
      <c r="B9736" s="5" t="s">
        <v>11603</v>
      </c>
      <c r="C9736" s="6" t="str">
        <f>_xll.QS.CONTEXT.CREATE("market.9734",A9736,"USD","SOFR")</f>
        <v>QSObject:PricingContext:w1~market.9734:373</v>
      </c>
      <c r="D9736" s="6" t="str">
        <f>_xll.QS.CONTEXT.ADD.CURVE(C9736,"SOFR",$K$2:$K$7,$L$2:$L$7,,,"Actual360","LogLinear",TRUE)</f>
        <v>QSObject:ContextInput:w1~input.qs_context_add_curve.2359132437744.9735.3.0:21752</v>
      </c>
      <c r="E9736" s="6" t="str">
        <f>_xll.QS.INSTRUMENT.SWAP("swap.9734",H9736,B9736,"USD","SOFR",I9736,J9736,0,"Actual360","Simple","Annual","Annual","Annual")</f>
        <v>QSObject:Swap:w1~swap.9734:372</v>
      </c>
      <c r="F9736" s="6" t="str">
        <f>_xll.QS.TRADE.CREATE("trade.9734",E9736,A9736,"Receive")</f>
        <v>QSObject:SwapTrade:w1~trade.9734:21751</v>
      </c>
      <c r="G9736" s="3">
        <f>_xll.QS.EVALUATE(C9736,F9736)</f>
        <v>58150.75452107696</v>
      </c>
      <c r="H9736" s="5" t="s">
        <v>9776</v>
      </c>
      <c r="I9736" s="7">
        <v>1973400</v>
      </c>
      <c r="J9736" s="8">
        <v>3.8399999999999997E-2</v>
      </c>
    </row>
    <row r="9737" spans="1:10" x14ac:dyDescent="0.25">
      <c r="A9737" s="5" t="s">
        <v>9770</v>
      </c>
      <c r="B9737" s="5" t="s">
        <v>11604</v>
      </c>
      <c r="C9737" s="6" t="str">
        <f>_xll.QS.CONTEXT.CREATE("market.9735",A9737,"USD","SOFR")</f>
        <v>QSObject:PricingContext:w1~market.9735:371</v>
      </c>
      <c r="D9737" s="6" t="str">
        <f>_xll.QS.CONTEXT.ADD.CURVE(C9737,"SOFR",$K$2:$K$7,$L$2:$L$7,,,"Actual360","LogLinear",TRUE)</f>
        <v>QSObject:ContextInput:w1~input.qs_context_add_curve.2359132437744.9736.3.0:31328</v>
      </c>
      <c r="E9737" s="6" t="str">
        <f>_xll.QS.INSTRUMENT.SWAP("swap.9735",H9737,B9737,"USD","SOFR",I9737,J9737,0,"Actual360","Simple","Annual","Annual","Annual")</f>
        <v>QSObject:Swap:w1~swap.9735:21750</v>
      </c>
      <c r="F9737" s="6" t="str">
        <f>_xll.QS.TRADE.CREATE("trade.9735",E9737,A9737,"Receive")</f>
        <v>QSObject:SwapTrade:w1~trade.9735:22040</v>
      </c>
      <c r="G9737" s="3">
        <f>_xll.QS.EVALUATE(C9737,F9737)</f>
        <v>58873.890707054081</v>
      </c>
      <c r="H9737" s="5" t="s">
        <v>9777</v>
      </c>
      <c r="I9737" s="7">
        <v>1973500</v>
      </c>
      <c r="J9737" s="8">
        <v>3.8500000000000013E-2</v>
      </c>
    </row>
    <row r="9738" spans="1:10" x14ac:dyDescent="0.25">
      <c r="A9738" s="5" t="s">
        <v>9771</v>
      </c>
      <c r="B9738" s="5" t="s">
        <v>11605</v>
      </c>
      <c r="C9738" s="6" t="str">
        <f>_xll.QS.CONTEXT.CREATE("market.9736",A9738,"USD","SOFR")</f>
        <v>QSObject:PricingContext:w1~market.9736:21749</v>
      </c>
      <c r="D9738" s="6" t="str">
        <f>_xll.QS.CONTEXT.ADD.CURVE(C9738,"SOFR",$K$2:$K$7,$L$2:$L$7,,,"Actual360","LogLinear",TRUE)</f>
        <v>QSObject:ContextInput:w1~input.qs_context_add_curve.2359132437744.9737.3.0:31327</v>
      </c>
      <c r="E9738" s="6" t="str">
        <f>_xll.QS.INSTRUMENT.SWAP("swap.9736",H9738,B9738,"USD","SOFR",I9738,J9738,0,"Actual360","Simple","Annual","Annual","Annual")</f>
        <v>QSObject:Swap:w1~swap.9736:21748</v>
      </c>
      <c r="F9738" s="6" t="str">
        <f>_xll.QS.TRADE.CREATE("trade.9736",E9738,A9738,"Receive")</f>
        <v>QSObject:SwapTrade:w1~trade.9736:22039</v>
      </c>
      <c r="G9738" s="3">
        <f>_xll.QS.EVALUATE(C9738,F9738)</f>
        <v>59608.883541183081</v>
      </c>
      <c r="H9738" s="5" t="s">
        <v>9778</v>
      </c>
      <c r="I9738" s="7">
        <v>1973600</v>
      </c>
      <c r="J9738" s="8">
        <v>3.8600000000000002E-2</v>
      </c>
    </row>
    <row r="9739" spans="1:10" x14ac:dyDescent="0.25">
      <c r="A9739" s="5" t="s">
        <v>9772</v>
      </c>
      <c r="B9739" s="5" t="s">
        <v>11606</v>
      </c>
      <c r="C9739" s="6" t="str">
        <f>_xll.QS.CONTEXT.CREATE("market.9737",A9739,"USD","SOFR")</f>
        <v>QSObject:PricingContext:w1~market.9737:21747</v>
      </c>
      <c r="D9739" s="6" t="str">
        <f>_xll.QS.CONTEXT.ADD.CURVE(C9739,"SOFR",$K$2:$K$7,$L$2:$L$7,,,"Actual360","LogLinear",TRUE)</f>
        <v>QSObject:ContextInput:w1~input.qs_context_add_curve.2359132437744.9738.3.0:31326</v>
      </c>
      <c r="E9739" s="6" t="str">
        <f>_xll.QS.INSTRUMENT.SWAP("swap.9737",H9739,B9739,"USD","SOFR",I9739,J9739,0,"Actual360","Simple","Annual","Annual","Annual")</f>
        <v>QSObject:Swap:w1~swap.9737:21746</v>
      </c>
      <c r="F9739" s="6" t="str">
        <f>_xll.QS.TRADE.CREATE("trade.9737",E9739,A9739,"Receive")</f>
        <v>QSObject:SwapTrade:w1~trade.9737:22038</v>
      </c>
      <c r="G9739" s="3">
        <f>_xll.QS.EVALUATE(C9739,F9739)</f>
        <v>60606.866190377819</v>
      </c>
      <c r="H9739" s="5" t="s">
        <v>9779</v>
      </c>
      <c r="I9739" s="7">
        <v>1973700</v>
      </c>
      <c r="J9739" s="8">
        <v>3.8700000000000012E-2</v>
      </c>
    </row>
    <row r="9740" spans="1:10" x14ac:dyDescent="0.25">
      <c r="A9740" s="5" t="s">
        <v>9773</v>
      </c>
      <c r="B9740" s="5" t="s">
        <v>11607</v>
      </c>
      <c r="C9740" s="6" t="str">
        <f>_xll.QS.CONTEXT.CREATE("market.9738",A9740,"USD","SOFR")</f>
        <v>QSObject:PricingContext:w1~market.9738:21745</v>
      </c>
      <c r="D9740" s="6" t="str">
        <f>_xll.QS.CONTEXT.ADD.CURVE(C9740,"SOFR",$K$2:$K$7,$L$2:$L$7,,,"Actual360","LogLinear",TRUE)</f>
        <v>QSObject:ContextInput:w1~input.qs_context_add_curve.2359132437744.9739.3.0:31325</v>
      </c>
      <c r="E9740" s="6" t="str">
        <f>_xll.QS.INSTRUMENT.SWAP("swap.9738",H9740,B9740,"USD","SOFR",I9740,J9740,0,"Actual360","Simple","Annual","Annual","Annual")</f>
        <v>QSObject:Swap:w1~swap.9738:21744</v>
      </c>
      <c r="F9740" s="6" t="str">
        <f>_xll.QS.TRADE.CREATE("trade.9738",E9740,A9740,"Receive")</f>
        <v>QSObject:SwapTrade:w1~trade.9738:22037</v>
      </c>
      <c r="G9740" s="3">
        <f>_xll.QS.EVALUATE(C9740,F9740)</f>
        <v>61605.779859437556</v>
      </c>
      <c r="H9740" s="5" t="s">
        <v>9780</v>
      </c>
      <c r="I9740" s="7">
        <v>1973800</v>
      </c>
      <c r="J9740" s="8">
        <v>3.8800000000000001E-2</v>
      </c>
    </row>
    <row r="9741" spans="1:10" x14ac:dyDescent="0.25">
      <c r="A9741" s="5" t="s">
        <v>9774</v>
      </c>
      <c r="B9741" s="5" t="s">
        <v>11608</v>
      </c>
      <c r="C9741" s="6" t="str">
        <f>_xll.QS.CONTEXT.CREATE("market.9739",A9741,"USD","SOFR")</f>
        <v>QSObject:PricingContext:w1~market.9739:21743</v>
      </c>
      <c r="D9741" s="6" t="str">
        <f>_xll.QS.CONTEXT.ADD.CURVE(C9741,"SOFR",$K$2:$K$7,$L$2:$L$7,,,"Actual360","LogLinear",TRUE)</f>
        <v>QSObject:ContextInput:w1~input.qs_context_add_curve.2359132437744.9740.3.0:31324</v>
      </c>
      <c r="E9741" s="6" t="str">
        <f>_xll.QS.INSTRUMENT.SWAP("swap.9739",H9741,B9741,"USD","SOFR",I9741,J9741,0,"Actual360","Simple","Annual","Annual","Annual")</f>
        <v>QSObject:Swap:w1~swap.9739:21742</v>
      </c>
      <c r="F9741" s="6" t="str">
        <f>_xll.QS.TRADE.CREATE("trade.9739",E9741,A9741,"Receive")</f>
        <v>QSObject:SwapTrade:w1~trade.9739:22036</v>
      </c>
      <c r="G9741" s="3">
        <f>_xll.QS.EVALUATE(C9741,F9741)</f>
        <v>62780.453893489015</v>
      </c>
      <c r="H9741" s="5" t="s">
        <v>9781</v>
      </c>
      <c r="I9741" s="7">
        <v>1973900</v>
      </c>
      <c r="J9741" s="8">
        <v>3.8899999999999997E-2</v>
      </c>
    </row>
    <row r="9742" spans="1:10" x14ac:dyDescent="0.25">
      <c r="A9742" s="5" t="s">
        <v>9775</v>
      </c>
      <c r="B9742" s="5" t="s">
        <v>11609</v>
      </c>
      <c r="C9742" s="6" t="str">
        <f>_xll.QS.CONTEXT.CREATE("market.9740",A9742,"USD","SOFR")</f>
        <v>QSObject:PricingContext:w1~market.9740:21741</v>
      </c>
      <c r="D9742" s="6" t="str">
        <f>_xll.QS.CONTEXT.ADD.CURVE(C9742,"SOFR",$K$2:$K$7,$L$2:$L$7,,,"Actual360","LogLinear",TRUE)</f>
        <v>QSObject:ContextInput:w1~input.qs_context_add_curve.2359132437744.9741.3.0:31323</v>
      </c>
      <c r="E9742" s="6" t="str">
        <f>_xll.QS.INSTRUMENT.SWAP("swap.9740",H9742,B9742,"USD","SOFR",I9742,J9742,0,"Actual360","Simple","Annual","Annual","Annual")</f>
        <v>QSObject:Swap:w1~swap.9740:21740</v>
      </c>
      <c r="F9742" s="6" t="str">
        <f>_xll.QS.TRADE.CREATE("trade.9740",E9742,A9742,"Receive")</f>
        <v>QSObject:SwapTrade:w1~trade.9740:22035</v>
      </c>
      <c r="G9742" s="3">
        <f>_xll.QS.EVALUATE(C9742,F9742)</f>
        <v>63711.991650754448</v>
      </c>
      <c r="H9742" s="5" t="s">
        <v>9782</v>
      </c>
      <c r="I9742" s="7">
        <v>1974000</v>
      </c>
      <c r="J9742" s="8">
        <v>3.9000000000000007E-2</v>
      </c>
    </row>
    <row r="9743" spans="1:10" x14ac:dyDescent="0.25">
      <c r="A9743" s="5" t="s">
        <v>9776</v>
      </c>
      <c r="B9743" s="5" t="s">
        <v>11610</v>
      </c>
      <c r="C9743" s="6" t="str">
        <f>_xll.QS.CONTEXT.CREATE("market.9741",A9743,"USD","SOFR")</f>
        <v>QSObject:PricingContext:w1~market.9741:370</v>
      </c>
      <c r="D9743" s="6" t="str">
        <f>_xll.QS.CONTEXT.ADD.CURVE(C9743,"SOFR",$K$2:$K$7,$L$2:$L$7,,,"Actual360","LogLinear",TRUE)</f>
        <v>QSObject:ContextInput:w1~input.qs_context_add_curve.2359132437744.9742.3.0:21739</v>
      </c>
      <c r="E9743" s="6" t="str">
        <f>_xll.QS.INSTRUMENT.SWAP("swap.9741",H9743,B9743,"USD","SOFR",I9743,J9743,0,"Actual360","Simple","Annual","Annual","Annual")</f>
        <v>QSObject:Swap:w1~swap.9741:369</v>
      </c>
      <c r="F9743" s="6" t="str">
        <f>_xll.QS.TRADE.CREATE("trade.9741",E9743,A9743,"Receive")</f>
        <v>QSObject:SwapTrade:w1~trade.9741:21738</v>
      </c>
      <c r="G9743" s="3">
        <f>_xll.QS.EVALUATE(C9743,F9743)</f>
        <v>64624.537698385313</v>
      </c>
      <c r="H9743" s="5" t="s">
        <v>9783</v>
      </c>
      <c r="I9743" s="7">
        <v>1974100</v>
      </c>
      <c r="J9743" s="8">
        <v>3.9100000000000003E-2</v>
      </c>
    </row>
    <row r="9744" spans="1:10" x14ac:dyDescent="0.25">
      <c r="A9744" s="5" t="s">
        <v>9777</v>
      </c>
      <c r="B9744" s="5" t="s">
        <v>11611</v>
      </c>
      <c r="C9744" s="6" t="str">
        <f>_xll.QS.CONTEXT.CREATE("market.9742",A9744,"USD","SOFR")</f>
        <v>QSObject:PricingContext:w1~market.9742:368</v>
      </c>
      <c r="D9744" s="6" t="str">
        <f>_xll.QS.CONTEXT.ADD.CURVE(C9744,"SOFR",$K$2:$K$7,$L$2:$L$7,,,"Actual360","LogLinear",TRUE)</f>
        <v>QSObject:ContextInput:w1~input.qs_context_add_curve.2359132437744.9743.3.0:21737</v>
      </c>
      <c r="E9744" s="6" t="str">
        <f>_xll.QS.INSTRUMENT.SWAP("swap.9742",H9744,B9744,"USD","SOFR",I9744,J9744,0,"Actual360","Simple","Annual","Annual","Annual")</f>
        <v>QSObject:Swap:w1~swap.9742:367</v>
      </c>
      <c r="F9744" s="6" t="str">
        <f>_xll.QS.TRADE.CREATE("trade.9742",E9744,A9744,"Receive")</f>
        <v>QSObject:SwapTrade:w1~trade.9742:21736</v>
      </c>
      <c r="G9744" s="3">
        <f>_xll.QS.EVALUATE(C9744,F9744)</f>
        <v>65377.907519277273</v>
      </c>
      <c r="H9744" s="5" t="s">
        <v>9784</v>
      </c>
      <c r="I9744" s="7">
        <v>1974200</v>
      </c>
      <c r="J9744" s="8">
        <v>3.9200000000000013E-2</v>
      </c>
    </row>
    <row r="9745" spans="1:10" x14ac:dyDescent="0.25">
      <c r="A9745" s="5" t="s">
        <v>9778</v>
      </c>
      <c r="B9745" s="5" t="s">
        <v>11612</v>
      </c>
      <c r="C9745" s="6" t="str">
        <f>_xll.QS.CONTEXT.CREATE("market.9743",A9745,"USD","SOFR")</f>
        <v>QSObject:PricingContext:w1~market.9743:366</v>
      </c>
      <c r="D9745" s="6" t="str">
        <f>_xll.QS.CONTEXT.ADD.CURVE(C9745,"SOFR",$K$2:$K$7,$L$2:$L$7,,,"Actual360","LogLinear",TRUE)</f>
        <v>QSObject:ContextInput:w1~input.qs_context_add_curve.2359132437744.9744.3.0:21735</v>
      </c>
      <c r="E9745" s="6" t="str">
        <f>_xll.QS.INSTRUMENT.SWAP("swap.9743",H9745,B9745,"USD","SOFR",I9745,J9745,0,"Actual360","Simple","Annual","Annual","Annual")</f>
        <v>QSObject:Swap:w1~swap.9743:365</v>
      </c>
      <c r="F9745" s="6" t="str">
        <f>_xll.QS.TRADE.CREATE("trade.9743",E9745,A9745,"Receive")</f>
        <v>QSObject:SwapTrade:w1~trade.9743:21734</v>
      </c>
      <c r="G9745" s="3">
        <f>_xll.QS.EVALUATE(C9745,F9745)</f>
        <v>66168.998810086807</v>
      </c>
      <c r="H9745" s="5" t="s">
        <v>9785</v>
      </c>
      <c r="I9745" s="7">
        <v>1974300</v>
      </c>
      <c r="J9745" s="8">
        <v>3.9300000000000002E-2</v>
      </c>
    </row>
    <row r="9746" spans="1:10" x14ac:dyDescent="0.25">
      <c r="A9746" s="5" t="s">
        <v>9779</v>
      </c>
      <c r="B9746" s="5" t="s">
        <v>11613</v>
      </c>
      <c r="C9746" s="6" t="str">
        <f>_xll.QS.CONTEXT.CREATE("market.9744",A9746,"USD","SOFR")</f>
        <v>QSObject:PricingContext:w1~market.9744:364</v>
      </c>
      <c r="D9746" s="6" t="str">
        <f>_xll.QS.CONTEXT.ADD.CURVE(C9746,"SOFR",$K$2:$K$7,$L$2:$L$7,,,"Actual360","LogLinear",TRUE)</f>
        <v>QSObject:ContextInput:w1~input.qs_context_add_curve.2359132437744.9745.3.0:21733</v>
      </c>
      <c r="E9746" s="6" t="str">
        <f>_xll.QS.INSTRUMENT.SWAP("swap.9744",H9746,B9746,"USD","SOFR",I9746,J9746,0,"Actual360","Simple","Annual","Annual","Annual")</f>
        <v>QSObject:Swap:w1~swap.9744:363</v>
      </c>
      <c r="F9746" s="6" t="str">
        <f>_xll.QS.TRADE.CREATE("trade.9744",E9746,A9746,"Receive")</f>
        <v>QSObject:SwapTrade:w1~trade.9744:21732</v>
      </c>
      <c r="G9746" s="3">
        <f>_xll.QS.EVALUATE(C9746,F9746)</f>
        <v>67088.320991197485</v>
      </c>
      <c r="H9746" s="5" t="s">
        <v>9786</v>
      </c>
      <c r="I9746" s="7">
        <v>1974400</v>
      </c>
      <c r="J9746" s="8">
        <v>3.9399999999999998E-2</v>
      </c>
    </row>
    <row r="9747" spans="1:10" x14ac:dyDescent="0.25">
      <c r="A9747" s="5" t="s">
        <v>9780</v>
      </c>
      <c r="B9747" s="5" t="s">
        <v>11614</v>
      </c>
      <c r="C9747" s="6" t="str">
        <f>_xll.QS.CONTEXT.CREATE("market.9745",A9747,"USD","SOFR")</f>
        <v>QSObject:PricingContext:w1~market.9745:21731</v>
      </c>
      <c r="D9747" s="6" t="str">
        <f>_xll.QS.CONTEXT.ADD.CURVE(C9747,"SOFR",$K$2:$K$7,$L$2:$L$7,,,"Actual360","LogLinear",TRUE)</f>
        <v>QSObject:ContextInput:w1~input.qs_context_add_curve.2359132437744.9746.3.0:31322</v>
      </c>
      <c r="E9747" s="6" t="str">
        <f>_xll.QS.INSTRUMENT.SWAP("swap.9745",H9747,B9747,"USD","SOFR",I9747,J9747,0,"Actual360","Simple","Annual","Annual","Annual")</f>
        <v>QSObject:Swap:w1~swap.9745:21730</v>
      </c>
      <c r="F9747" s="6" t="str">
        <f>_xll.QS.TRADE.CREATE("trade.9745",E9747,A9747,"Receive")</f>
        <v>QSObject:SwapTrade:w1~trade.9745:22034</v>
      </c>
      <c r="G9747" s="3">
        <f>_xll.QS.EVALUATE(C9747,F9747)</f>
        <v>68044.932596771192</v>
      </c>
      <c r="H9747" s="5" t="s">
        <v>9787</v>
      </c>
      <c r="I9747" s="7">
        <v>1974500</v>
      </c>
      <c r="J9747" s="8">
        <v>3.9500000000000007E-2</v>
      </c>
    </row>
    <row r="9748" spans="1:10" x14ac:dyDescent="0.25">
      <c r="A9748" s="5" t="s">
        <v>9781</v>
      </c>
      <c r="B9748" s="5" t="s">
        <v>11615</v>
      </c>
      <c r="C9748" s="6" t="str">
        <f>_xll.QS.CONTEXT.CREATE("market.9746",A9748,"USD","SOFR")</f>
        <v>QSObject:PricingContext:w1~market.9746:21729</v>
      </c>
      <c r="D9748" s="6" t="str">
        <f>_xll.QS.CONTEXT.ADD.CURVE(C9748,"SOFR",$K$2:$K$7,$L$2:$L$7,,,"Actual360","LogLinear",TRUE)</f>
        <v>QSObject:ContextInput:w1~input.qs_context_add_curve.2359132437744.9747.3.0:31321</v>
      </c>
      <c r="E9748" s="6" t="str">
        <f>_xll.QS.INSTRUMENT.SWAP("swap.9746",H9748,B9748,"USD","SOFR",I9748,J9748,0,"Actual360","Simple","Annual","Annual","Annual")</f>
        <v>QSObject:Swap:w1~swap.9746:21728</v>
      </c>
      <c r="F9748" s="6" t="str">
        <f>_xll.QS.TRADE.CREATE("trade.9746",E9748,A9748,"Receive")</f>
        <v>QSObject:SwapTrade:w1~trade.9746:22033</v>
      </c>
      <c r="G9748" s="3">
        <f>_xll.QS.EVALUATE(C9748,F9748)</f>
        <v>69103.462877461076</v>
      </c>
      <c r="H9748" s="5" t="s">
        <v>9788</v>
      </c>
      <c r="I9748" s="7">
        <v>1974600</v>
      </c>
      <c r="J9748" s="8">
        <v>3.9600000000000003E-2</v>
      </c>
    </row>
    <row r="9749" spans="1:10" x14ac:dyDescent="0.25">
      <c r="A9749" s="5" t="s">
        <v>9782</v>
      </c>
      <c r="B9749" s="5" t="s">
        <v>11616</v>
      </c>
      <c r="C9749" s="6" t="str">
        <f>_xll.QS.CONTEXT.CREATE("market.9747",A9749,"USD","SOFR")</f>
        <v>QSObject:PricingContext:w1~market.9747:21727</v>
      </c>
      <c r="D9749" s="6" t="str">
        <f>_xll.QS.CONTEXT.ADD.CURVE(C9749,"SOFR",$K$2:$K$7,$L$2:$L$7,,,"Actual360","LogLinear",TRUE)</f>
        <v>QSObject:ContextInput:w1~input.qs_context_add_curve.2359132437744.9748.3.0:31320</v>
      </c>
      <c r="E9749" s="6" t="str">
        <f>_xll.QS.INSTRUMENT.SWAP("swap.9747",H9749,B9749,"USD","SOFR",I9749,J9749,0,"Actual360","Simple","Annual","Annual","Annual")</f>
        <v>QSObject:Swap:w1~swap.9747:21726</v>
      </c>
      <c r="F9749" s="6" t="str">
        <f>_xll.QS.TRADE.CREATE("trade.9747",E9749,A9749,"Receive")</f>
        <v>QSObject:SwapTrade:w1~trade.9747:22032</v>
      </c>
      <c r="G9749" s="3">
        <f>_xll.QS.EVALUATE(C9749,F9749)</f>
        <v>70104.083823320048</v>
      </c>
      <c r="H9749" s="5" t="s">
        <v>9789</v>
      </c>
      <c r="I9749" s="7">
        <v>1974700</v>
      </c>
      <c r="J9749" s="8">
        <v>3.9700000000000013E-2</v>
      </c>
    </row>
    <row r="9750" spans="1:10" x14ac:dyDescent="0.25">
      <c r="A9750" s="5" t="s">
        <v>9783</v>
      </c>
      <c r="B9750" s="5" t="s">
        <v>11617</v>
      </c>
      <c r="C9750" s="6" t="str">
        <f>_xll.QS.CONTEXT.CREATE("market.9748",A9750,"USD","SOFR")</f>
        <v>QSObject:PricingContext:w1~market.9748:21725</v>
      </c>
      <c r="D9750" s="6" t="str">
        <f>_xll.QS.CONTEXT.ADD.CURVE(C9750,"SOFR",$K$2:$K$7,$L$2:$L$7,,,"Actual360","LogLinear",TRUE)</f>
        <v>QSObject:ContextInput:w1~input.qs_context_add_curve.2359132437744.9749.3.0:31319</v>
      </c>
      <c r="E9750" s="6" t="str">
        <f>_xll.QS.INSTRUMENT.SWAP("swap.9748",H9750,B9750,"USD","SOFR",I9750,J9750,0,"Actual360","Simple","Annual","Annual","Annual")</f>
        <v>QSObject:Swap:w1~swap.9748:362</v>
      </c>
      <c r="F9750" s="6" t="str">
        <f>_xll.QS.TRADE.CREATE("trade.9748",E9750,A9750,"Receive")</f>
        <v>QSObject:SwapTrade:w1~trade.9748:21724</v>
      </c>
      <c r="G9750" s="3">
        <f>_xll.QS.EVALUATE(C9750,F9750)</f>
        <v>70941.967667219898</v>
      </c>
      <c r="H9750" s="5" t="s">
        <v>9790</v>
      </c>
      <c r="I9750" s="7">
        <v>1974800</v>
      </c>
      <c r="J9750" s="8">
        <v>3.9800000000000002E-2</v>
      </c>
    </row>
    <row r="9751" spans="1:10" x14ac:dyDescent="0.25">
      <c r="A9751" s="5" t="s">
        <v>9784</v>
      </c>
      <c r="B9751" s="5" t="s">
        <v>11618</v>
      </c>
      <c r="C9751" s="6" t="str">
        <f>_xll.QS.CONTEXT.CREATE("market.9749",A9751,"USD","SOFR")</f>
        <v>QSObject:PricingContext:w1~market.9749:361</v>
      </c>
      <c r="D9751" s="6" t="str">
        <f>_xll.QS.CONTEXT.ADD.CURVE(C9751,"SOFR",$K$2:$K$7,$L$2:$L$7,,,"Actual360","LogLinear",TRUE)</f>
        <v>QSObject:ContextInput:w1~input.qs_context_add_curve.2359132437744.9750.3.0:21723</v>
      </c>
      <c r="E9751" s="6" t="str">
        <f>_xll.QS.INSTRUMENT.SWAP("swap.9749",H9751,B9751,"USD","SOFR",I9751,J9751,0,"Actual360","Simple","Annual","Annual","Annual")</f>
        <v>QSObject:Swap:w1~swap.9749:360</v>
      </c>
      <c r="F9751" s="6" t="str">
        <f>_xll.QS.TRADE.CREATE("trade.9749",E9751,A9751,"Receive")</f>
        <v>QSObject:SwapTrade:w1~trade.9749:21722</v>
      </c>
      <c r="G9751" s="3">
        <f>_xll.QS.EVALUATE(C9751,F9751)</f>
        <v>71688.415083854648</v>
      </c>
      <c r="H9751" s="5" t="s">
        <v>9791</v>
      </c>
      <c r="I9751" s="7">
        <v>1974900</v>
      </c>
      <c r="J9751" s="8">
        <v>3.9899999999999998E-2</v>
      </c>
    </row>
    <row r="9752" spans="1:10" x14ac:dyDescent="0.25">
      <c r="A9752" s="5" t="s">
        <v>9785</v>
      </c>
      <c r="B9752" s="5" t="s">
        <v>11619</v>
      </c>
      <c r="C9752" s="6" t="str">
        <f>_xll.QS.CONTEXT.CREATE("market.9750",A9752,"USD","SOFR")</f>
        <v>QSObject:PricingContext:w1~market.9750:359</v>
      </c>
      <c r="D9752" s="6" t="str">
        <f>_xll.QS.CONTEXT.ADD.CURVE(C9752,"SOFR",$K$2:$K$7,$L$2:$L$7,,,"Actual360","LogLinear",TRUE)</f>
        <v>QSObject:ContextInput:w1~input.qs_context_add_curve.2359132437744.9751.3.0:21721</v>
      </c>
      <c r="E9752" s="6" t="str">
        <f>_xll.QS.INSTRUMENT.SWAP("swap.9750",H9752,B9752,"USD","SOFR",I9752,J9752,0,"Actual360","Simple","Annual","Annual","Annual")</f>
        <v>QSObject:Swap:w1~swap.9750:358</v>
      </c>
      <c r="F9752" s="6" t="str">
        <f>_xll.QS.TRADE.CREATE("trade.9750",E9752,A9752,"Receive")</f>
        <v>QSObject:SwapTrade:w1~trade.9750:21720</v>
      </c>
      <c r="G9752" s="3">
        <f>_xll.QS.EVALUATE(C9752,F9752)</f>
        <v>26935.721850261885</v>
      </c>
      <c r="H9752" s="5" t="s">
        <v>9792</v>
      </c>
      <c r="I9752" s="7">
        <v>1975000</v>
      </c>
      <c r="J9752" s="8">
        <v>3.5000000000000003E-2</v>
      </c>
    </row>
    <row r="9753" spans="1:10" x14ac:dyDescent="0.25">
      <c r="A9753" s="5" t="s">
        <v>9786</v>
      </c>
      <c r="B9753" s="5" t="s">
        <v>11620</v>
      </c>
      <c r="C9753" s="6" t="str">
        <f>_xll.QS.CONTEXT.CREATE("market.9751",A9753,"USD","SOFR")</f>
        <v>QSObject:PricingContext:w1~market.9751:357</v>
      </c>
      <c r="D9753" s="6" t="str">
        <f>_xll.QS.CONTEXT.ADD.CURVE(C9753,"SOFR",$K$2:$K$7,$L$2:$L$7,,,"Actual360","LogLinear",TRUE)</f>
        <v>QSObject:ContextInput:w1~input.qs_context_add_curve.2359132437744.9752.3.0:21719</v>
      </c>
      <c r="E9753" s="6" t="str">
        <f>_xll.QS.INSTRUMENT.SWAP("swap.9751",H9753,B9753,"USD","SOFR",I9753,J9753,0,"Actual360","Simple","Annual","Annual","Annual")</f>
        <v>QSObject:Swap:w1~swap.9751:356</v>
      </c>
      <c r="F9753" s="6" t="str">
        <f>_xll.QS.TRADE.CREATE("trade.9751",E9753,A9753,"Receive")</f>
        <v>QSObject:SwapTrade:w1~trade.9751:21718</v>
      </c>
      <c r="G9753" s="3">
        <f>_xll.QS.EVALUATE(C9753,F9753)</f>
        <v>27929.318342367675</v>
      </c>
      <c r="H9753" s="5" t="s">
        <v>9793</v>
      </c>
      <c r="I9753" s="7">
        <v>1975100</v>
      </c>
      <c r="J9753" s="8">
        <v>3.5100000000000013E-2</v>
      </c>
    </row>
    <row r="9754" spans="1:10" x14ac:dyDescent="0.25">
      <c r="A9754" s="5" t="s">
        <v>9787</v>
      </c>
      <c r="B9754" s="5" t="s">
        <v>11621</v>
      </c>
      <c r="C9754" s="6" t="str">
        <f>_xll.QS.CONTEXT.CREATE("market.9752",A9754,"USD","SOFR")</f>
        <v>QSObject:PricingContext:w1~market.9752:355</v>
      </c>
      <c r="D9754" s="6" t="str">
        <f>_xll.QS.CONTEXT.ADD.CURVE(C9754,"SOFR",$K$2:$K$7,$L$2:$L$7,,,"Actual360","LogLinear",TRUE)</f>
        <v>QSObject:ContextInput:w1~input.qs_context_add_curve.2359132437744.9753.3.0:21717</v>
      </c>
      <c r="E9754" s="6" t="str">
        <f>_xll.QS.INSTRUMENT.SWAP("swap.9752",H9754,B9754,"USD","SOFR",I9754,J9754,0,"Actual360","Simple","Annual","Annual","Annual")</f>
        <v>QSObject:Swap:w1~swap.9752:354</v>
      </c>
      <c r="F9754" s="6" t="str">
        <f>_xll.QS.TRADE.CREATE("trade.9752",E9754,A9754,"Receive")</f>
        <v>QSObject:SwapTrade:w1~trade.9752:21716</v>
      </c>
      <c r="G9754" s="3">
        <f>_xll.QS.EVALUATE(C9754,F9754)</f>
        <v>28903.450916348142</v>
      </c>
      <c r="H9754" s="5" t="s">
        <v>9794</v>
      </c>
      <c r="I9754" s="7">
        <v>1975200</v>
      </c>
      <c r="J9754" s="8">
        <v>3.5200000000000002E-2</v>
      </c>
    </row>
    <row r="9755" spans="1:10" x14ac:dyDescent="0.25">
      <c r="A9755" s="5" t="s">
        <v>9788</v>
      </c>
      <c r="B9755" s="5" t="s">
        <v>11622</v>
      </c>
      <c r="C9755" s="6" t="str">
        <f>_xll.QS.CONTEXT.CREATE("market.9753",A9755,"USD","SOFR")</f>
        <v>QSObject:PricingContext:w1~market.9753:353</v>
      </c>
      <c r="D9755" s="6" t="str">
        <f>_xll.QS.CONTEXT.ADD.CURVE(C9755,"SOFR",$K$2:$K$7,$L$2:$L$7,,,"Actual360","LogLinear",TRUE)</f>
        <v>QSObject:ContextInput:w1~input.qs_context_add_curve.2359132437744.9754.3.0:21715</v>
      </c>
      <c r="E9755" s="6" t="str">
        <f>_xll.QS.INSTRUMENT.SWAP("swap.9753",H9755,B9755,"USD","SOFR",I9755,J9755,0,"Actual360","Simple","Annual","Annual","Annual")</f>
        <v>QSObject:Swap:w1~swap.9753:352</v>
      </c>
      <c r="F9755" s="6" t="str">
        <f>_xll.QS.TRADE.CREATE("trade.9753",E9755,A9755,"Receive")</f>
        <v>QSObject:SwapTrade:w1~trade.9753:21714</v>
      </c>
      <c r="G9755" s="3">
        <f>_xll.QS.EVALUATE(C9755,F9755)</f>
        <v>29959.791187431554</v>
      </c>
      <c r="H9755" s="5" t="s">
        <v>9795</v>
      </c>
      <c r="I9755" s="7">
        <v>1975300</v>
      </c>
      <c r="J9755" s="8">
        <v>3.5299999999999998E-2</v>
      </c>
    </row>
    <row r="9756" spans="1:10" x14ac:dyDescent="0.25">
      <c r="A9756" s="5" t="s">
        <v>9789</v>
      </c>
      <c r="B9756" s="5" t="s">
        <v>11623</v>
      </c>
      <c r="C9756" s="6" t="str">
        <f>_xll.QS.CONTEXT.CREATE("market.9754",A9756,"USD","SOFR")</f>
        <v>QSObject:PricingContext:w1~market.9754:351</v>
      </c>
      <c r="D9756" s="6" t="str">
        <f>_xll.QS.CONTEXT.ADD.CURVE(C9756,"SOFR",$K$2:$K$7,$L$2:$L$7,,,"Actual360","LogLinear",TRUE)</f>
        <v>QSObject:ContextInput:w1~input.qs_context_add_curve.2359132437744.9755.3.0:21713</v>
      </c>
      <c r="E9756" s="6" t="str">
        <f>_xll.QS.INSTRUMENT.SWAP("swap.9754",H9756,B9756,"USD","SOFR",I9756,J9756,0,"Actual360","Simple","Annual","Annual","Annual")</f>
        <v>QSObject:Swap:w1~swap.9754:350</v>
      </c>
      <c r="F9756" s="6" t="str">
        <f>_xll.QS.TRADE.CREATE("trade.9754",E9756,A9756,"Receive")</f>
        <v>QSObject:SwapTrade:w1~trade.9754:21712</v>
      </c>
      <c r="G9756" s="3">
        <f>_xll.QS.EVALUATE(C9756,F9756)</f>
        <v>30958.332956759623</v>
      </c>
      <c r="H9756" s="5" t="s">
        <v>9796</v>
      </c>
      <c r="I9756" s="7">
        <v>1975400</v>
      </c>
      <c r="J9756" s="8">
        <v>3.5400000000000001E-2</v>
      </c>
    </row>
    <row r="9757" spans="1:10" x14ac:dyDescent="0.25">
      <c r="A9757" s="5" t="s">
        <v>9790</v>
      </c>
      <c r="B9757" s="5" t="s">
        <v>11624</v>
      </c>
      <c r="C9757" s="6" t="str">
        <f>_xll.QS.CONTEXT.CREATE("market.9755",A9757,"USD","SOFR")</f>
        <v>QSObject:PricingContext:w1~market.9755:349</v>
      </c>
      <c r="D9757" s="6" t="str">
        <f>_xll.QS.CONTEXT.ADD.CURVE(C9757,"SOFR",$K$2:$K$7,$L$2:$L$7,,,"Actual360","LogLinear",TRUE)</f>
        <v>QSObject:ContextInput:w1~input.qs_context_add_curve.2359132437744.9756.3.0:21711</v>
      </c>
      <c r="E9757" s="6" t="str">
        <f>_xll.QS.INSTRUMENT.SWAP("swap.9755",H9757,B9757,"USD","SOFR",I9757,J9757,0,"Actual360","Simple","Annual","Annual","Annual")</f>
        <v>QSObject:Swap:w1~swap.9755:348</v>
      </c>
      <c r="F9757" s="6" t="str">
        <f>_xll.QS.TRADE.CREATE("trade.9755",E9757,A9757,"Receive")</f>
        <v>QSObject:SwapTrade:w1~trade.9755:21710</v>
      </c>
      <c r="G9757" s="3">
        <f>_xll.QS.EVALUATE(C9757,F9757)</f>
        <v>31794.952931498978</v>
      </c>
      <c r="H9757" s="5" t="s">
        <v>9797</v>
      </c>
      <c r="I9757" s="7">
        <v>1975500</v>
      </c>
      <c r="J9757" s="8">
        <v>3.5499999999999997E-2</v>
      </c>
    </row>
    <row r="9758" spans="1:10" x14ac:dyDescent="0.25">
      <c r="A9758" s="5" t="s">
        <v>9791</v>
      </c>
      <c r="B9758" s="5" t="s">
        <v>11625</v>
      </c>
      <c r="C9758" s="6" t="str">
        <f>_xll.QS.CONTEXT.CREATE("market.9756",A9758,"USD","SOFR")</f>
        <v>QSObject:PricingContext:w1~market.9756:347</v>
      </c>
      <c r="D9758" s="6" t="str">
        <f>_xll.QS.CONTEXT.ADD.CURVE(C9758,"SOFR",$K$2:$K$7,$L$2:$L$7,,,"Actual360","LogLinear",TRUE)</f>
        <v>QSObject:ContextInput:w1~input.qs_context_add_curve.2359132437744.9757.3.0:21709</v>
      </c>
      <c r="E9758" s="6" t="str">
        <f>_xll.QS.INSTRUMENT.SWAP("swap.9756",H9758,B9758,"USD","SOFR",I9758,J9758,0,"Actual360","Simple","Annual","Annual","Annual")</f>
        <v>QSObject:Swap:w1~swap.9756:346</v>
      </c>
      <c r="F9758" s="6" t="str">
        <f>_xll.QS.TRADE.CREATE("trade.9756",E9758,A9758,"Receive")</f>
        <v>QSObject:SwapTrade:w1~trade.9756:21708</v>
      </c>
      <c r="G9758" s="3">
        <f>_xll.QS.EVALUATE(C9758,F9758)</f>
        <v>32585.812489635544</v>
      </c>
      <c r="H9758" s="5" t="s">
        <v>9798</v>
      </c>
      <c r="I9758" s="7">
        <v>1975600</v>
      </c>
      <c r="J9758" s="8">
        <v>3.5600000000000007E-2</v>
      </c>
    </row>
    <row r="9759" spans="1:10" x14ac:dyDescent="0.25">
      <c r="A9759" s="5" t="s">
        <v>9792</v>
      </c>
      <c r="B9759" s="5" t="s">
        <v>11626</v>
      </c>
      <c r="C9759" s="6" t="str">
        <f>_xll.QS.CONTEXT.CREATE("market.9757",A9759,"USD","SOFR")</f>
        <v>QSObject:PricingContext:w1~market.9757:345</v>
      </c>
      <c r="D9759" s="6" t="str">
        <f>_xll.QS.CONTEXT.ADD.CURVE(C9759,"SOFR",$K$2:$K$7,$L$2:$L$7,,,"Actual360","LogLinear",TRUE)</f>
        <v>QSObject:ContextInput:w1~input.qs_context_add_curve.2359132437744.9758.3.0:21707</v>
      </c>
      <c r="E9759" s="6" t="str">
        <f>_xll.QS.INSTRUMENT.SWAP("swap.9757",H9759,B9759,"USD","SOFR",I9759,J9759,0,"Actual360","Simple","Annual","Annual","Annual")</f>
        <v>QSObject:Swap:w1~swap.9757:344</v>
      </c>
      <c r="F9759" s="6" t="str">
        <f>_xll.QS.TRADE.CREATE("trade.9757",E9759,A9759,"Receive")</f>
        <v>QSObject:SwapTrade:w1~trade.9757:21706</v>
      </c>
      <c r="G9759" s="3">
        <f>_xll.QS.EVALUATE(C9759,F9759)</f>
        <v>33325.154781593039</v>
      </c>
      <c r="H9759" s="5" t="s">
        <v>9799</v>
      </c>
      <c r="I9759" s="7">
        <v>1975700</v>
      </c>
      <c r="J9759" s="8">
        <v>3.5700000000000003E-2</v>
      </c>
    </row>
    <row r="9760" spans="1:10" x14ac:dyDescent="0.25">
      <c r="A9760" s="5" t="s">
        <v>9793</v>
      </c>
      <c r="B9760" s="5" t="s">
        <v>11627</v>
      </c>
      <c r="C9760" s="6" t="str">
        <f>_xll.QS.CONTEXT.CREATE("market.9758",A9760,"USD","SOFR")</f>
        <v>QSObject:PricingContext:w1~market.9758:343</v>
      </c>
      <c r="D9760" s="6" t="str">
        <f>_xll.QS.CONTEXT.ADD.CURVE(C9760,"SOFR",$K$2:$K$7,$L$2:$L$7,,,"Actual360","LogLinear",TRUE)</f>
        <v>QSObject:ContextInput:w1~input.qs_context_add_curve.2359132437744.9759.3.0:22031</v>
      </c>
      <c r="E9760" s="6" t="str">
        <f>_xll.QS.INSTRUMENT.SWAP("swap.9758",H9760,B9760,"USD","SOFR",I9760,J9760,0,"Actual360","Simple","Annual","Annual","Annual")</f>
        <v>QSObject:Swap:w1~swap.9758:21705</v>
      </c>
      <c r="F9760" s="6" t="str">
        <f>_xll.QS.TRADE.CREATE("trade.9758",E9760,A9760,"Receive")</f>
        <v>QSObject:SwapTrade:w1~trade.9758:22030</v>
      </c>
      <c r="G9760" s="3">
        <f>_xll.QS.EVALUATE(C9760,F9760)</f>
        <v>34320.043671637497</v>
      </c>
      <c r="H9760" s="5" t="s">
        <v>9800</v>
      </c>
      <c r="I9760" s="7">
        <v>1975800</v>
      </c>
      <c r="J9760" s="8">
        <v>3.5800000000000012E-2</v>
      </c>
    </row>
    <row r="9761" spans="1:10" x14ac:dyDescent="0.25">
      <c r="A9761" s="5" t="s">
        <v>9794</v>
      </c>
      <c r="B9761" s="5" t="s">
        <v>11628</v>
      </c>
      <c r="C9761" s="6" t="str">
        <f>_xll.QS.CONTEXT.CREATE("market.9759",A9761,"USD","SOFR")</f>
        <v>QSObject:PricingContext:w1~market.9759:342</v>
      </c>
      <c r="D9761" s="6" t="str">
        <f>_xll.QS.CONTEXT.ADD.CURVE(C9761,"SOFR",$K$2:$K$7,$L$2:$L$7,,,"Actual360","LogLinear",TRUE)</f>
        <v>QSObject:ContextInput:w1~input.qs_context_add_curve.2359132437744.9760.3.0:21704</v>
      </c>
      <c r="E9761" s="6" t="str">
        <f>_xll.QS.INSTRUMENT.SWAP("swap.9759",H9761,B9761,"USD","SOFR",I9761,J9761,0,"Actual360","Simple","Annual","Annual","Annual")</f>
        <v>QSObject:Swap:w1~swap.9759:341</v>
      </c>
      <c r="F9761" s="6" t="str">
        <f>_xll.QS.TRADE.CREATE("trade.9759",E9761,A9761,"Receive")</f>
        <v>QSObject:SwapTrade:w1~trade.9759:21703</v>
      </c>
      <c r="G9761" s="3">
        <f>_xll.QS.EVALUATE(C9761,F9761)</f>
        <v>35291.74984653679</v>
      </c>
      <c r="H9761" s="5" t="s">
        <v>9801</v>
      </c>
      <c r="I9761" s="7">
        <v>1975900</v>
      </c>
      <c r="J9761" s="8">
        <v>3.5900000000000001E-2</v>
      </c>
    </row>
    <row r="9762" spans="1:10" x14ac:dyDescent="0.25">
      <c r="A9762" s="5" t="s">
        <v>9795</v>
      </c>
      <c r="B9762" s="5" t="s">
        <v>11629</v>
      </c>
      <c r="C9762" s="6" t="str">
        <f>_xll.QS.CONTEXT.CREATE("market.9760",A9762,"USD","SOFR")</f>
        <v>QSObject:PricingContext:w1~market.9760:340</v>
      </c>
      <c r="D9762" s="6" t="str">
        <f>_xll.QS.CONTEXT.ADD.CURVE(C9762,"SOFR",$K$2:$K$7,$L$2:$L$7,,,"Actual360","LogLinear",TRUE)</f>
        <v>QSObject:ContextInput:w1~input.qs_context_add_curve.2359132437744.9761.3.0:21702</v>
      </c>
      <c r="E9762" s="6" t="str">
        <f>_xll.QS.INSTRUMENT.SWAP("swap.9760",H9762,B9762,"USD","SOFR",I9762,J9762,0,"Actual360","Simple","Annual","Annual","Annual")</f>
        <v>QSObject:Swap:w1~swap.9760:339</v>
      </c>
      <c r="F9762" s="6" t="str">
        <f>_xll.QS.TRADE.CREATE("trade.9760",E9762,A9762,"Receive")</f>
        <v>QSObject:SwapTrade:w1~trade.9760:21701</v>
      </c>
      <c r="G9762" s="3">
        <f>_xll.QS.EVALUATE(C9762,F9762)</f>
        <v>36348.881376536199</v>
      </c>
      <c r="H9762" s="5" t="s">
        <v>9802</v>
      </c>
      <c r="I9762" s="7">
        <v>1976000</v>
      </c>
      <c r="J9762" s="8">
        <v>3.5999999999999997E-2</v>
      </c>
    </row>
    <row r="9763" spans="1:10" x14ac:dyDescent="0.25">
      <c r="A9763" s="5" t="s">
        <v>9796</v>
      </c>
      <c r="B9763" s="5" t="s">
        <v>11630</v>
      </c>
      <c r="C9763" s="6" t="str">
        <f>_xll.QS.CONTEXT.CREATE("market.9761",A9763,"USD","SOFR")</f>
        <v>QSObject:PricingContext:w1~market.9761:338</v>
      </c>
      <c r="D9763" s="6" t="str">
        <f>_xll.QS.CONTEXT.ADD.CURVE(C9763,"SOFR",$K$2:$K$7,$L$2:$L$7,,,"Actual360","LogLinear",TRUE)</f>
        <v>QSObject:ContextInput:w1~input.qs_context_add_curve.2359132437744.9762.3.0:21700</v>
      </c>
      <c r="E9763" s="6" t="str">
        <f>_xll.QS.INSTRUMENT.SWAP("swap.9761",H9763,B9763,"USD","SOFR",I9763,J9763,0,"Actual360","Simple","Annual","Annual","Annual")</f>
        <v>QSObject:Swap:w1~swap.9761:337</v>
      </c>
      <c r="F9763" s="6" t="str">
        <f>_xll.QS.TRADE.CREATE("trade.9761",E9763,A9763,"Receive")</f>
        <v>QSObject:SwapTrade:w1~trade.9761:21699</v>
      </c>
      <c r="G9763" s="3">
        <f>_xll.QS.EVALUATE(C9763,F9763)</f>
        <v>37348.454286522625</v>
      </c>
      <c r="H9763" s="5" t="s">
        <v>9803</v>
      </c>
      <c r="I9763" s="7">
        <v>1976100</v>
      </c>
      <c r="J9763" s="8">
        <v>3.61E-2</v>
      </c>
    </row>
    <row r="9764" spans="1:10" x14ac:dyDescent="0.25">
      <c r="A9764" s="5" t="s">
        <v>9797</v>
      </c>
      <c r="B9764" s="5" t="s">
        <v>11631</v>
      </c>
      <c r="C9764" s="6" t="str">
        <f>_xll.QS.CONTEXT.CREATE("market.9762",A9764,"USD","SOFR")</f>
        <v>QSObject:PricingContext:w1~market.9762:336</v>
      </c>
      <c r="D9764" s="6" t="str">
        <f>_xll.QS.CONTEXT.ADD.CURVE(C9764,"SOFR",$K$2:$K$7,$L$2:$L$7,,,"Actual360","LogLinear",TRUE)</f>
        <v>QSObject:ContextInput:w1~input.qs_context_add_curve.2359132437744.9763.3.0:21698</v>
      </c>
      <c r="E9764" s="6" t="str">
        <f>_xll.QS.INSTRUMENT.SWAP("swap.9762",H9764,B9764,"USD","SOFR",I9764,J9764,0,"Actual360","Simple","Annual","Annual","Annual")</f>
        <v>QSObject:Swap:w1~swap.9762:335</v>
      </c>
      <c r="F9764" s="6" t="str">
        <f>_xll.QS.TRADE.CREATE("trade.9762",E9764,A9764,"Receive")</f>
        <v>QSObject:SwapTrade:w1~trade.9762:21697</v>
      </c>
      <c r="G9764" s="3">
        <f>_xll.QS.EVALUATE(C9764,F9764)</f>
        <v>38186.510071960642</v>
      </c>
      <c r="H9764" s="5" t="s">
        <v>9804</v>
      </c>
      <c r="I9764" s="7">
        <v>1976200</v>
      </c>
      <c r="J9764" s="8">
        <v>3.6200000000000003E-2</v>
      </c>
    </row>
    <row r="9765" spans="1:10" x14ac:dyDescent="0.25">
      <c r="A9765" s="5" t="s">
        <v>9798</v>
      </c>
      <c r="B9765" s="5" t="s">
        <v>11632</v>
      </c>
      <c r="C9765" s="6" t="str">
        <f>_xll.QS.CONTEXT.CREATE("market.9763",A9765,"USD","SOFR")</f>
        <v>QSObject:PricingContext:w1~market.9763:334</v>
      </c>
      <c r="D9765" s="6" t="str">
        <f>_xll.QS.CONTEXT.ADD.CURVE(C9765,"SOFR",$K$2:$K$7,$L$2:$L$7,,,"Actual360","LogLinear",TRUE)</f>
        <v>QSObject:ContextInput:w1~input.qs_context_add_curve.2359132437744.9764.3.0:21696</v>
      </c>
      <c r="E9765" s="6" t="str">
        <f>_xll.QS.INSTRUMENT.SWAP("swap.9763",H9765,B9765,"USD","SOFR",I9765,J9765,0,"Actual360","Simple","Annual","Annual","Annual")</f>
        <v>QSObject:Swap:w1~swap.9763:333</v>
      </c>
      <c r="F9765" s="6" t="str">
        <f>_xll.QS.TRADE.CREATE("trade.9763",E9765,A9765,"Receive")</f>
        <v>QSObject:SwapTrade:w1~trade.9763:21695</v>
      </c>
      <c r="G9765" s="3">
        <f>_xll.QS.EVALUATE(C9765,F9765)</f>
        <v>38969.29174768785</v>
      </c>
      <c r="H9765" s="5" t="s">
        <v>9805</v>
      </c>
      <c r="I9765" s="7">
        <v>1976300</v>
      </c>
      <c r="J9765" s="8">
        <v>3.6300000000000013E-2</v>
      </c>
    </row>
    <row r="9766" spans="1:10" x14ac:dyDescent="0.25">
      <c r="A9766" s="5" t="s">
        <v>9799</v>
      </c>
      <c r="B9766" s="5" t="s">
        <v>11633</v>
      </c>
      <c r="C9766" s="6" t="str">
        <f>_xll.QS.CONTEXT.CREATE("market.9764",A9766,"USD","SOFR")</f>
        <v>QSObject:PricingContext:w1~market.9764:332</v>
      </c>
      <c r="D9766" s="6" t="str">
        <f>_xll.QS.CONTEXT.ADD.CURVE(C9766,"SOFR",$K$2:$K$7,$L$2:$L$7,,,"Actual360","LogLinear",TRUE)</f>
        <v>QSObject:ContextInput:w1~input.qs_context_add_curve.2359132437744.9765.3.0:21694</v>
      </c>
      <c r="E9766" s="6" t="str">
        <f>_xll.QS.INSTRUMENT.SWAP("swap.9764",H9766,B9766,"USD","SOFR",I9766,J9766,0,"Actual360","Simple","Annual","Annual","Annual")</f>
        <v>QSObject:Swap:w1~swap.9764:331</v>
      </c>
      <c r="F9766" s="6" t="str">
        <f>_xll.QS.TRADE.CREATE("trade.9764",E9766,A9766,"Receive")</f>
        <v>QSObject:SwapTrade:w1~trade.9764:21693</v>
      </c>
      <c r="G9766" s="3">
        <f>_xll.QS.EVALUATE(C9766,F9766)</f>
        <v>39719.108561499408</v>
      </c>
      <c r="H9766" s="5" t="s">
        <v>9806</v>
      </c>
      <c r="I9766" s="7">
        <v>1976400</v>
      </c>
      <c r="J9766" s="8">
        <v>3.6400000000000002E-2</v>
      </c>
    </row>
    <row r="9767" spans="1:10" x14ac:dyDescent="0.25">
      <c r="A9767" s="5" t="s">
        <v>9800</v>
      </c>
      <c r="B9767" s="5" t="s">
        <v>11634</v>
      </c>
      <c r="C9767" s="6" t="str">
        <f>_xll.QS.CONTEXT.CREATE("market.9765",A9767,"USD","SOFR")</f>
        <v>QSObject:PricingContext:w1~market.9765:330</v>
      </c>
      <c r="D9767" s="6" t="str">
        <f>_xll.QS.CONTEXT.ADD.CURVE(C9767,"SOFR",$K$2:$K$7,$L$2:$L$7,,,"Actual360","LogLinear",TRUE)</f>
        <v>QSObject:ContextInput:w1~input.qs_context_add_curve.2359132437744.9766.3.0:21692</v>
      </c>
      <c r="E9767" s="6" t="str">
        <f>_xll.QS.INSTRUMENT.SWAP("swap.9765",H9767,B9767,"USD","SOFR",I9767,J9767,0,"Actual360","Simple","Annual","Annual","Annual")</f>
        <v>QSObject:Swap:w1~swap.9765:329</v>
      </c>
      <c r="F9767" s="6" t="str">
        <f>_xll.QS.TRADE.CREATE("trade.9765",E9767,A9767,"Receive")</f>
        <v>QSObject:SwapTrade:w1~trade.9765:21691</v>
      </c>
      <c r="G9767" s="3">
        <f>_xll.QS.EVALUATE(C9767,F9767)</f>
        <v>40715.290287254247</v>
      </c>
      <c r="H9767" s="5" t="s">
        <v>9807</v>
      </c>
      <c r="I9767" s="7">
        <v>1976500</v>
      </c>
      <c r="J9767" s="8">
        <v>3.6499999999999998E-2</v>
      </c>
    </row>
    <row r="9768" spans="1:10" x14ac:dyDescent="0.25">
      <c r="A9768" s="5" t="s">
        <v>9801</v>
      </c>
      <c r="B9768" s="5" t="s">
        <v>11635</v>
      </c>
      <c r="C9768" s="6" t="str">
        <f>_xll.QS.CONTEXT.CREATE("market.9766",A9768,"USD","SOFR")</f>
        <v>QSObject:PricingContext:w1~market.9766:328</v>
      </c>
      <c r="D9768" s="6" t="str">
        <f>_xll.QS.CONTEXT.ADD.CURVE(C9768,"SOFR",$K$2:$K$7,$L$2:$L$7,,,"Actual360","LogLinear",TRUE)</f>
        <v>QSObject:ContextInput:w1~input.qs_context_add_curve.2359132437744.9767.3.0:21690</v>
      </c>
      <c r="E9768" s="6" t="str">
        <f>_xll.QS.INSTRUMENT.SWAP("swap.9766",H9768,B9768,"USD","SOFR",I9768,J9768,0,"Actual360","Simple","Annual","Annual","Annual")</f>
        <v>QSObject:Swap:w1~swap.9766:327</v>
      </c>
      <c r="F9768" s="6" t="str">
        <f>_xll.QS.TRADE.CREATE("trade.9766",E9768,A9768,"Receive")</f>
        <v>QSObject:SwapTrade:w1~trade.9766:21689</v>
      </c>
      <c r="G9768" s="3">
        <f>_xll.QS.EVALUATE(C9768,F9768)</f>
        <v>41683.495667264491</v>
      </c>
      <c r="H9768" s="5" t="s">
        <v>9808</v>
      </c>
      <c r="I9768" s="7">
        <v>1976600</v>
      </c>
      <c r="J9768" s="8">
        <v>3.6600000000000001E-2</v>
      </c>
    </row>
    <row r="9769" spans="1:10" x14ac:dyDescent="0.25">
      <c r="A9769" s="5" t="s">
        <v>9802</v>
      </c>
      <c r="B9769" s="5" t="s">
        <v>11636</v>
      </c>
      <c r="C9769" s="6" t="str">
        <f>_xll.QS.CONTEXT.CREATE("market.9767",A9769,"USD","SOFR")</f>
        <v>QSObject:PricingContext:w1~market.9767:326</v>
      </c>
      <c r="D9769" s="6" t="str">
        <f>_xll.QS.CONTEXT.ADD.CURVE(C9769,"SOFR",$K$2:$K$7,$L$2:$L$7,,,"Actual360","LogLinear",TRUE)</f>
        <v>QSObject:ContextInput:w1~input.qs_context_add_curve.2359132437744.9768.3.0:21688</v>
      </c>
      <c r="E9769" s="6" t="str">
        <f>_xll.QS.INSTRUMENT.SWAP("swap.9767",H9769,B9769,"USD","SOFR",I9769,J9769,0,"Actual360","Simple","Annual","Annual","Annual")</f>
        <v>QSObject:Swap:w1~swap.9767:325</v>
      </c>
      <c r="F9769" s="6" t="str">
        <f>_xll.QS.TRADE.CREATE("trade.9767",E9769,A9769,"Receive")</f>
        <v>QSObject:SwapTrade:w1~trade.9767:21687</v>
      </c>
      <c r="G9769" s="3">
        <f>_xll.QS.EVALUATE(C9769,F9769)</f>
        <v>42742.225156354725</v>
      </c>
      <c r="H9769" s="5" t="s">
        <v>9809</v>
      </c>
      <c r="I9769" s="7">
        <v>1976700</v>
      </c>
      <c r="J9769" s="8">
        <v>3.6700000000000003E-2</v>
      </c>
    </row>
    <row r="9770" spans="1:10" x14ac:dyDescent="0.25">
      <c r="A9770" s="5" t="s">
        <v>9803</v>
      </c>
      <c r="B9770" s="5" t="s">
        <v>11637</v>
      </c>
      <c r="C9770" s="6" t="str">
        <f>_xll.QS.CONTEXT.CREATE("market.9768",A9770,"USD","SOFR")</f>
        <v>QSObject:PricingContext:w1~market.9768:324</v>
      </c>
      <c r="D9770" s="6" t="str">
        <f>_xll.QS.CONTEXT.ADD.CURVE(C9770,"SOFR",$K$2:$K$7,$L$2:$L$7,,,"Actual360","LogLinear",TRUE)</f>
        <v>QSObject:ContextInput:w1~input.qs_context_add_curve.2359132437744.9769.3.0:31318</v>
      </c>
      <c r="E9770" s="6" t="str">
        <f>_xll.QS.INSTRUMENT.SWAP("swap.9768",H9770,B9770,"USD","SOFR",I9770,J9770,0,"Actual360","Simple","Annual","Annual","Annual")</f>
        <v>QSObject:Swap:w1~swap.9768:21686</v>
      </c>
      <c r="F9770" s="6" t="str">
        <f>_xll.QS.TRADE.CREATE("trade.9768",E9770,A9770,"Receive")</f>
        <v>QSObject:SwapTrade:w1~trade.9768:22029</v>
      </c>
      <c r="G9770" s="3">
        <f>_xll.QS.EVALUATE(C9770,F9770)</f>
        <v>43742.370227597297</v>
      </c>
      <c r="H9770" s="5" t="s">
        <v>9810</v>
      </c>
      <c r="I9770" s="7">
        <v>1976800</v>
      </c>
      <c r="J9770" s="8">
        <v>3.6800000000000013E-2</v>
      </c>
    </row>
    <row r="9771" spans="1:10" x14ac:dyDescent="0.25">
      <c r="A9771" s="5" t="s">
        <v>9804</v>
      </c>
      <c r="B9771" s="5" t="s">
        <v>11638</v>
      </c>
      <c r="C9771" s="6" t="str">
        <f>_xll.QS.CONTEXT.CREATE("market.9769",A9771,"USD","SOFR")</f>
        <v>QSObject:PricingContext:w1~market.9769:21685</v>
      </c>
      <c r="D9771" s="6" t="str">
        <f>_xll.QS.CONTEXT.ADD.CURVE(C9771,"SOFR",$K$2:$K$7,$L$2:$L$7,,,"Actual360","LogLinear",TRUE)</f>
        <v>QSObject:ContextInput:w1~input.qs_context_add_curve.2359132437744.9770.3.0:31317</v>
      </c>
      <c r="E9771" s="6" t="str">
        <f>_xll.QS.INSTRUMENT.SWAP("swap.9769",H9771,B9771,"USD","SOFR",I9771,J9771,0,"Actual360","Simple","Annual","Annual","Annual")</f>
        <v>QSObject:Swap:w1~swap.9769:21684</v>
      </c>
      <c r="F9771" s="6" t="str">
        <f>_xll.QS.TRADE.CREATE("trade.9769",E9771,A9771,"Receive")</f>
        <v>QSObject:SwapTrade:w1~trade.9769:22028</v>
      </c>
      <c r="G9771" s="3">
        <f>_xll.QS.EVALUATE(C9771,F9771)</f>
        <v>44579.594144579474</v>
      </c>
      <c r="H9771" s="5" t="s">
        <v>9811</v>
      </c>
      <c r="I9771" s="7">
        <v>1976900</v>
      </c>
      <c r="J9771" s="8">
        <v>3.6900000000000002E-2</v>
      </c>
    </row>
    <row r="9772" spans="1:10" x14ac:dyDescent="0.25">
      <c r="A9772" s="5" t="s">
        <v>9805</v>
      </c>
      <c r="B9772" s="5" t="s">
        <v>11639</v>
      </c>
      <c r="C9772" s="6" t="str">
        <f>_xll.QS.CONTEXT.CREATE("market.9770",A9772,"USD","SOFR")</f>
        <v>QSObject:PricingContext:w1~market.9770:21683</v>
      </c>
      <c r="D9772" s="6" t="str">
        <f>_xll.QS.CONTEXT.ADD.CURVE(C9772,"SOFR",$K$2:$K$7,$L$2:$L$7,,,"Actual360","LogLinear",TRUE)</f>
        <v>QSObject:ContextInput:w1~input.qs_context_add_curve.2359132437744.9771.3.0:31316</v>
      </c>
      <c r="E9772" s="6" t="str">
        <f>_xll.QS.INSTRUMENT.SWAP("swap.9770",H9772,B9772,"USD","SOFR",I9772,J9772,0,"Actual360","Simple","Annual","Annual","Annual")</f>
        <v>QSObject:Swap:w1~swap.9770:21682</v>
      </c>
      <c r="F9772" s="6" t="str">
        <f>_xll.QS.TRADE.CREATE("trade.9770",E9772,A9772,"Receive")</f>
        <v>QSObject:SwapTrade:w1~trade.9770:22027</v>
      </c>
      <c r="G9772" s="3">
        <f>_xll.QS.EVALUATE(C9772,F9772)</f>
        <v>45327.337504511168</v>
      </c>
      <c r="H9772" s="5" t="s">
        <v>9812</v>
      </c>
      <c r="I9772" s="7">
        <v>1977000</v>
      </c>
      <c r="J9772" s="8">
        <v>3.7000000000000012E-2</v>
      </c>
    </row>
    <row r="9773" spans="1:10" x14ac:dyDescent="0.25">
      <c r="A9773" s="5" t="s">
        <v>9806</v>
      </c>
      <c r="B9773" s="5" t="s">
        <v>11640</v>
      </c>
      <c r="C9773" s="6" t="str">
        <f>_xll.QS.CONTEXT.CREATE("market.9771",A9773,"USD","SOFR")</f>
        <v>QSObject:PricingContext:w1~market.9771:21681</v>
      </c>
      <c r="D9773" s="6" t="str">
        <f>_xll.QS.CONTEXT.ADD.CURVE(C9773,"SOFR",$K$2:$K$7,$L$2:$L$7,,,"Actual360","LogLinear",TRUE)</f>
        <v>QSObject:ContextInput:w1~input.qs_context_add_curve.2359132437744.9772.3.0:31315</v>
      </c>
      <c r="E9773" s="6" t="str">
        <f>_xll.QS.INSTRUMENT.SWAP("swap.9771",H9773,B9773,"USD","SOFR",I9773,J9773,0,"Actual360","Simple","Annual","Annual","Annual")</f>
        <v>QSObject:Swap:w1~swap.9771:21680</v>
      </c>
      <c r="F9773" s="6" t="str">
        <f>_xll.QS.TRADE.CREATE("trade.9771",E9773,A9773,"Receive")</f>
        <v>QSObject:SwapTrade:w1~trade.9771:22026</v>
      </c>
      <c r="G9773" s="3">
        <f>_xll.QS.EVALUATE(C9773,F9773)</f>
        <v>46035.066235836144</v>
      </c>
      <c r="H9773" s="5" t="s">
        <v>9813</v>
      </c>
      <c r="I9773" s="7">
        <v>1977100</v>
      </c>
      <c r="J9773" s="8">
        <v>3.7100000000000001E-2</v>
      </c>
    </row>
    <row r="9774" spans="1:10" x14ac:dyDescent="0.25">
      <c r="A9774" s="5" t="s">
        <v>9807</v>
      </c>
      <c r="B9774" s="5" t="s">
        <v>11641</v>
      </c>
      <c r="C9774" s="6" t="str">
        <f>_xll.QS.CONTEXT.CREATE("market.9772",A9774,"USD","SOFR")</f>
        <v>QSObject:PricingContext:w1~market.9772:21679</v>
      </c>
      <c r="D9774" s="6" t="str">
        <f>_xll.QS.CONTEXT.ADD.CURVE(C9774,"SOFR",$K$2:$K$7,$L$2:$L$7,,,"Actual360","LogLinear",TRUE)</f>
        <v>QSObject:ContextInput:w1~input.qs_context_add_curve.2359132437744.9773.3.0:31314</v>
      </c>
      <c r="E9774" s="6" t="str">
        <f>_xll.QS.INSTRUMENT.SWAP("swap.9772",H9774,B9774,"USD","SOFR",I9774,J9774,0,"Actual360","Simple","Annual","Annual","Annual")</f>
        <v>QSObject:Swap:w1~swap.9772:21678</v>
      </c>
      <c r="F9774" s="6" t="str">
        <f>_xll.QS.TRADE.CREATE("trade.9772",E9774,A9774,"Receive")</f>
        <v>QSObject:SwapTrade:w1~trade.9772:22025</v>
      </c>
      <c r="G9774" s="3">
        <f>_xll.QS.EVALUATE(C9774,F9774)</f>
        <v>47033.027595606407</v>
      </c>
      <c r="H9774" s="5" t="s">
        <v>9814</v>
      </c>
      <c r="I9774" s="7">
        <v>1977200</v>
      </c>
      <c r="J9774" s="8">
        <v>3.7199999999999997E-2</v>
      </c>
    </row>
    <row r="9775" spans="1:10" x14ac:dyDescent="0.25">
      <c r="A9775" s="5" t="s">
        <v>9808</v>
      </c>
      <c r="B9775" s="5" t="s">
        <v>11642</v>
      </c>
      <c r="C9775" s="6" t="str">
        <f>_xll.QS.CONTEXT.CREATE("market.9773",A9775,"USD","SOFR")</f>
        <v>QSObject:PricingContext:w1~market.9773:21677</v>
      </c>
      <c r="D9775" s="6" t="str">
        <f>_xll.QS.CONTEXT.ADD.CURVE(C9775,"SOFR",$K$2:$K$7,$L$2:$L$7,,,"Actual360","LogLinear",TRUE)</f>
        <v>QSObject:ContextInput:w1~input.qs_context_add_curve.2359132437744.9774.3.0:31313</v>
      </c>
      <c r="E9775" s="6" t="str">
        <f>_xll.QS.INSTRUMENT.SWAP("swap.9773",H9775,B9775,"USD","SOFR",I9775,J9775,0,"Actual360","Simple","Annual","Annual","Annual")</f>
        <v>QSObject:Swap:w1~swap.9773:21676</v>
      </c>
      <c r="F9775" s="6" t="str">
        <f>_xll.QS.TRADE.CREATE("trade.9773",E9775,A9775,"Receive")</f>
        <v>QSObject:SwapTrade:w1~trade.9773:22024</v>
      </c>
      <c r="G9775" s="3">
        <f>_xll.QS.EVALUATE(C9775,F9775)</f>
        <v>48031.30012387516</v>
      </c>
      <c r="H9775" s="5" t="s">
        <v>9815</v>
      </c>
      <c r="I9775" s="7">
        <v>1977300</v>
      </c>
      <c r="J9775" s="8">
        <v>3.73E-2</v>
      </c>
    </row>
    <row r="9776" spans="1:10" x14ac:dyDescent="0.25">
      <c r="A9776" s="5" t="s">
        <v>9809</v>
      </c>
      <c r="B9776" s="5" t="s">
        <v>11643</v>
      </c>
      <c r="C9776" s="6" t="str">
        <f>_xll.QS.CONTEXT.CREATE("market.9774",A9776,"USD","SOFR")</f>
        <v>QSObject:PricingContext:w1~market.9774:21675</v>
      </c>
      <c r="D9776" s="6" t="str">
        <f>_xll.QS.CONTEXT.ADD.CURVE(C9776,"SOFR",$K$2:$K$7,$L$2:$L$7,,,"Actual360","LogLinear",TRUE)</f>
        <v>QSObject:ContextInput:w1~input.qs_context_add_curve.2359132437744.9775.3.0:31312</v>
      </c>
      <c r="E9776" s="6" t="str">
        <f>_xll.QS.INSTRUMENT.SWAP("swap.9774",H9776,B9776,"USD","SOFR",I9776,J9776,0,"Actual360","Simple","Annual","Annual","Annual")</f>
        <v>QSObject:Swap:w1~swap.9774:21674</v>
      </c>
      <c r="F9776" s="6" t="str">
        <f>_xll.QS.TRADE.CREATE("trade.9774",E9776,A9776,"Receive")</f>
        <v>QSObject:SwapTrade:w1~trade.9774:22023</v>
      </c>
      <c r="G9776" s="3">
        <f>_xll.QS.EVALUATE(C9776,F9776)</f>
        <v>49213.606352186078</v>
      </c>
      <c r="H9776" s="5" t="s">
        <v>9816</v>
      </c>
      <c r="I9776" s="7">
        <v>1977400</v>
      </c>
      <c r="J9776" s="8">
        <v>3.7400000000000003E-2</v>
      </c>
    </row>
    <row r="9777" spans="1:10" x14ac:dyDescent="0.25">
      <c r="A9777" s="5" t="s">
        <v>9810</v>
      </c>
      <c r="B9777" s="5" t="s">
        <v>11644</v>
      </c>
      <c r="C9777" s="6" t="str">
        <f>_xll.QS.CONTEXT.CREATE("market.9775",A9777,"USD","SOFR")</f>
        <v>QSObject:PricingContext:w1~market.9775:21673</v>
      </c>
      <c r="D9777" s="6" t="str">
        <f>_xll.QS.CONTEXT.ADD.CURVE(C9777,"SOFR",$K$2:$K$7,$L$2:$L$7,,,"Actual360","LogLinear",TRUE)</f>
        <v>QSObject:ContextInput:w1~input.qs_context_add_curve.2359132437744.9776.3.0:31311</v>
      </c>
      <c r="E9777" s="6" t="str">
        <f>_xll.QS.INSTRUMENT.SWAP("swap.9775",H9777,B9777,"USD","SOFR",I9777,J9777,0,"Actual360","Simple","Annual","Annual","Annual")</f>
        <v>QSObject:Swap:w1~swap.9775:21672</v>
      </c>
      <c r="F9777" s="6" t="str">
        <f>_xll.QS.TRADE.CREATE("trade.9775",E9777,A9777,"Receive")</f>
        <v>QSObject:SwapTrade:w1~trade.9775:22022</v>
      </c>
      <c r="G9777" s="3">
        <f>_xll.QS.EVALUATE(C9777,F9777)</f>
        <v>50146.158927252254</v>
      </c>
      <c r="H9777" s="5" t="s">
        <v>9817</v>
      </c>
      <c r="I9777" s="7">
        <v>1977500</v>
      </c>
      <c r="J9777" s="8">
        <v>3.7500000000000012E-2</v>
      </c>
    </row>
    <row r="9778" spans="1:10" x14ac:dyDescent="0.25">
      <c r="A9778" s="5" t="s">
        <v>9811</v>
      </c>
      <c r="B9778" s="5" t="s">
        <v>11645</v>
      </c>
      <c r="C9778" s="6" t="str">
        <f>_xll.QS.CONTEXT.CREATE("market.9776",A9778,"USD","SOFR")</f>
        <v>QSObject:PricingContext:w1~market.9776:21671</v>
      </c>
      <c r="D9778" s="6" t="str">
        <f>_xll.QS.CONTEXT.ADD.CURVE(C9778,"SOFR",$K$2:$K$7,$L$2:$L$7,,,"Actual360","LogLinear",TRUE)</f>
        <v>QSObject:ContextInput:w1~input.qs_context_add_curve.2359132437744.9777.3.0:31310</v>
      </c>
      <c r="E9778" s="6" t="str">
        <f>_xll.QS.INSTRUMENT.SWAP("swap.9776",H9778,B9778,"USD","SOFR",I9778,J9778,0,"Actual360","Simple","Annual","Annual","Annual")</f>
        <v>QSObject:Swap:w1~swap.9776:21670</v>
      </c>
      <c r="F9778" s="6" t="str">
        <f>_xll.QS.TRADE.CREATE("trade.9776",E9778,A9778,"Receive")</f>
        <v>QSObject:SwapTrade:w1~trade.9776:22021</v>
      </c>
      <c r="G9778" s="3">
        <f>_xll.QS.EVALUATE(C9778,F9778)</f>
        <v>51059.732749808849</v>
      </c>
      <c r="H9778" s="5" t="s">
        <v>9818</v>
      </c>
      <c r="I9778" s="7">
        <v>1977600</v>
      </c>
      <c r="J9778" s="8">
        <v>3.7600000000000001E-2</v>
      </c>
    </row>
    <row r="9779" spans="1:10" x14ac:dyDescent="0.25">
      <c r="A9779" s="5" t="s">
        <v>9812</v>
      </c>
      <c r="B9779" s="5" t="s">
        <v>11646</v>
      </c>
      <c r="C9779" s="6" t="str">
        <f>_xll.QS.CONTEXT.CREATE("market.9777",A9779,"USD","SOFR")</f>
        <v>QSObject:PricingContext:w1~market.9777:21669</v>
      </c>
      <c r="D9779" s="6" t="str">
        <f>_xll.QS.CONTEXT.ADD.CURVE(C9779,"SOFR",$K$2:$K$7,$L$2:$L$7,,,"Actual360","LogLinear",TRUE)</f>
        <v>QSObject:ContextInput:w1~input.qs_context_add_curve.2359132437744.9778.3.0:31309</v>
      </c>
      <c r="E9779" s="6" t="str">
        <f>_xll.QS.INSTRUMENT.SWAP("swap.9777",H9779,B9779,"USD","SOFR",I9779,J9779,0,"Actual360","Simple","Annual","Annual","Annual")</f>
        <v>QSObject:Swap:w1~swap.9777:323</v>
      </c>
      <c r="F9779" s="6" t="str">
        <f>_xll.QS.TRADE.CREATE("trade.9777",E9779,A9779,"Receive")</f>
        <v>QSObject:SwapTrade:w1~trade.9777:21668</v>
      </c>
      <c r="G9779" s="3">
        <f>_xll.QS.EVALUATE(C9779,F9779)</f>
        <v>51829.929365307748</v>
      </c>
      <c r="H9779" s="5" t="s">
        <v>9819</v>
      </c>
      <c r="I9779" s="7">
        <v>1977700</v>
      </c>
      <c r="J9779" s="8">
        <v>3.7699999999999997E-2</v>
      </c>
    </row>
    <row r="9780" spans="1:10" x14ac:dyDescent="0.25">
      <c r="A9780" s="5" t="s">
        <v>9813</v>
      </c>
      <c r="B9780" s="5" t="s">
        <v>11647</v>
      </c>
      <c r="C9780" s="6" t="str">
        <f>_xll.QS.CONTEXT.CREATE("market.9778",A9780,"USD","SOFR")</f>
        <v>QSObject:PricingContext:w1~market.9778:322</v>
      </c>
      <c r="D9780" s="6" t="str">
        <f>_xll.QS.CONTEXT.ADD.CURVE(C9780,"SOFR",$K$2:$K$7,$L$2:$L$7,,,"Actual360","LogLinear",TRUE)</f>
        <v>QSObject:ContextInput:w1~input.qs_context_add_curve.2359132437744.9779.3.0:22020</v>
      </c>
      <c r="E9780" s="6" t="str">
        <f>_xll.QS.INSTRUMENT.SWAP("swap.9778",H9780,B9780,"USD","SOFR",I9780,J9780,0,"Actual360","Simple","Annual","Annual","Annual")</f>
        <v>QSObject:Swap:w1~swap.9778:21667</v>
      </c>
      <c r="F9780" s="6" t="str">
        <f>_xll.QS.TRADE.CREATE("trade.9778",E9780,A9780,"Receive")</f>
        <v>QSObject:SwapTrade:w1~trade.9778:22019</v>
      </c>
      <c r="G9780" s="3">
        <f>_xll.QS.EVALUATE(C9780,F9780)</f>
        <v>52600.525152573682</v>
      </c>
      <c r="H9780" s="5" t="s">
        <v>9820</v>
      </c>
      <c r="I9780" s="7">
        <v>1977800</v>
      </c>
      <c r="J9780" s="8">
        <v>3.78E-2</v>
      </c>
    </row>
    <row r="9781" spans="1:10" x14ac:dyDescent="0.25">
      <c r="A9781" s="5" t="s">
        <v>9814</v>
      </c>
      <c r="B9781" s="5" t="s">
        <v>11648</v>
      </c>
      <c r="C9781" s="6" t="str">
        <f>_xll.QS.CONTEXT.CREATE("market.9779",A9781,"USD","SOFR")</f>
        <v>QSObject:PricingContext:w1~market.9779:321</v>
      </c>
      <c r="D9781" s="6" t="str">
        <f>_xll.QS.CONTEXT.ADD.CURVE(C9781,"SOFR",$K$2:$K$7,$L$2:$L$7,,,"Actual360","LogLinear",TRUE)</f>
        <v>QSObject:ContextInput:w1~input.qs_context_add_curve.2359132437744.9780.3.0:21666</v>
      </c>
      <c r="E9781" s="6" t="str">
        <f>_xll.QS.INSTRUMENT.SWAP("swap.9779",H9781,B9781,"USD","SOFR",I9781,J9781,0,"Actual360","Simple","Annual","Annual","Annual")</f>
        <v>QSObject:Swap:w1~swap.9779:320</v>
      </c>
      <c r="F9781" s="6" t="str">
        <f>_xll.QS.TRADE.CREATE("trade.9779",E9781,A9781,"Receive")</f>
        <v>QSObject:SwapTrade:w1~trade.9779:21665</v>
      </c>
      <c r="G9781" s="3">
        <f>_xll.QS.EVALUATE(C9781,F9781)</f>
        <v>53519.639336530789</v>
      </c>
      <c r="H9781" s="5" t="s">
        <v>9821</v>
      </c>
      <c r="I9781" s="7">
        <v>1977900</v>
      </c>
      <c r="J9781" s="8">
        <v>3.7900000000000003E-2</v>
      </c>
    </row>
    <row r="9782" spans="1:10" x14ac:dyDescent="0.25">
      <c r="A9782" s="5" t="s">
        <v>9815</v>
      </c>
      <c r="B9782" s="5" t="s">
        <v>11649</v>
      </c>
      <c r="C9782" s="6" t="str">
        <f>_xll.QS.CONTEXT.CREATE("market.9780",A9782,"USD","SOFR")</f>
        <v>QSObject:PricingContext:w1~market.9780:319</v>
      </c>
      <c r="D9782" s="6" t="str">
        <f>_xll.QS.CONTEXT.ADD.CURVE(C9782,"SOFR",$K$2:$K$7,$L$2:$L$7,,,"Actual360","LogLinear",TRUE)</f>
        <v>QSObject:ContextInput:w1~input.qs_context_add_curve.2359132437744.9781.3.0:21664</v>
      </c>
      <c r="E9782" s="6" t="str">
        <f>_xll.QS.INSTRUMENT.SWAP("swap.9780",H9782,B9782,"USD","SOFR",I9782,J9782,0,"Actual360","Simple","Annual","Annual","Annual")</f>
        <v>QSObject:Swap:w1~swap.9780:318</v>
      </c>
      <c r="F9782" s="6" t="str">
        <f>_xll.QS.TRADE.CREATE("trade.9780",E9782,A9782,"Receive")</f>
        <v>QSObject:SwapTrade:w1~trade.9780:21663</v>
      </c>
      <c r="G9782" s="3">
        <f>_xll.QS.EVALUATE(C9782,F9782)</f>
        <v>54483.843396651479</v>
      </c>
      <c r="H9782" s="5" t="s">
        <v>9822</v>
      </c>
      <c r="I9782" s="7">
        <v>1978000</v>
      </c>
      <c r="J9782" s="8">
        <v>3.8000000000000013E-2</v>
      </c>
    </row>
    <row r="9783" spans="1:10" x14ac:dyDescent="0.25">
      <c r="A9783" s="5" t="s">
        <v>9816</v>
      </c>
      <c r="B9783" s="5" t="s">
        <v>11650</v>
      </c>
      <c r="C9783" s="6" t="str">
        <f>_xll.QS.CONTEXT.CREATE("market.9781",A9783,"USD","SOFR")</f>
        <v>QSObject:PricingContext:w1~market.9781:317</v>
      </c>
      <c r="D9783" s="6" t="str">
        <f>_xll.QS.CONTEXT.ADD.CURVE(C9783,"SOFR",$K$2:$K$7,$L$2:$L$7,,,"Actual360","LogLinear",TRUE)</f>
        <v>QSObject:ContextInput:w1~input.qs_context_add_curve.2359132437744.9782.3.0:21662</v>
      </c>
      <c r="E9783" s="6" t="str">
        <f>_xll.QS.INSTRUMENT.SWAP("swap.9781",H9783,B9783,"USD","SOFR",I9783,J9783,0,"Actual360","Simple","Annual","Annual","Annual")</f>
        <v>QSObject:Swap:w1~swap.9781:316</v>
      </c>
      <c r="F9783" s="6" t="str">
        <f>_xll.QS.TRADE.CREATE("trade.9781",E9783,A9783,"Receive")</f>
        <v>QSObject:SwapTrade:w1~trade.9781:21661</v>
      </c>
      <c r="G9783" s="3">
        <f>_xll.QS.EVALUATE(C9783,F9783)</f>
        <v>55543.33486170409</v>
      </c>
      <c r="H9783" s="5" t="s">
        <v>9823</v>
      </c>
      <c r="I9783" s="7">
        <v>1978100</v>
      </c>
      <c r="J9783" s="8">
        <v>3.8100000000000002E-2</v>
      </c>
    </row>
    <row r="9784" spans="1:10" x14ac:dyDescent="0.25">
      <c r="A9784" s="5" t="s">
        <v>9817</v>
      </c>
      <c r="B9784" s="5" t="s">
        <v>11651</v>
      </c>
      <c r="C9784" s="6" t="str">
        <f>_xll.QS.CONTEXT.CREATE("market.9782",A9784,"USD","SOFR")</f>
        <v>QSObject:PricingContext:w1~market.9782:315</v>
      </c>
      <c r="D9784" s="6" t="str">
        <f>_xll.QS.CONTEXT.ADD.CURVE(C9784,"SOFR",$K$2:$K$7,$L$2:$L$7,,,"Actual360","LogLinear",TRUE)</f>
        <v>QSObject:ContextInput:w1~input.qs_context_add_curve.2359132437744.9783.3.0:21660</v>
      </c>
      <c r="E9784" s="6" t="str">
        <f>_xll.QS.INSTRUMENT.SWAP("swap.9782",H9784,B9784,"USD","SOFR",I9784,J9784,0,"Actual360","Simple","Annual","Annual","Annual")</f>
        <v>QSObject:Swap:w1~swap.9782:314</v>
      </c>
      <c r="F9784" s="6" t="str">
        <f>_xll.QS.TRADE.CREATE("trade.9782",E9784,A9784,"Receive")</f>
        <v>QSObject:SwapTrade:w1~trade.9782:21659</v>
      </c>
      <c r="G9784" s="3">
        <f>_xll.QS.EVALUATE(C9784,F9784)</f>
        <v>56544.806357577552</v>
      </c>
      <c r="H9784" s="5" t="s">
        <v>9824</v>
      </c>
      <c r="I9784" s="7">
        <v>1978200</v>
      </c>
      <c r="J9784" s="8">
        <v>3.8199999999999998E-2</v>
      </c>
    </row>
    <row r="9785" spans="1:10" x14ac:dyDescent="0.25">
      <c r="A9785" s="5" t="s">
        <v>9818</v>
      </c>
      <c r="B9785" s="5" t="s">
        <v>11652</v>
      </c>
      <c r="C9785" s="6" t="str">
        <f>_xll.QS.CONTEXT.CREATE("market.9783",A9785,"USD","SOFR")</f>
        <v>QSObject:PricingContext:w1~market.9783:313</v>
      </c>
      <c r="D9785" s="6" t="str">
        <f>_xll.QS.CONTEXT.ADD.CURVE(C9785,"SOFR",$K$2:$K$7,$L$2:$L$7,,,"Actual360","LogLinear",TRUE)</f>
        <v>QSObject:ContextInput:w1~input.qs_context_add_curve.2359132437744.9784.3.0:21658</v>
      </c>
      <c r="E9785" s="6" t="str">
        <f>_xll.QS.INSTRUMENT.SWAP("swap.9783",H9785,B9785,"USD","SOFR",I9785,J9785,0,"Actual360","Simple","Annual","Annual","Annual")</f>
        <v>QSObject:Swap:w1~swap.9783:312</v>
      </c>
      <c r="F9785" s="6" t="str">
        <f>_xll.QS.TRADE.CREATE("trade.9783",E9785,A9785,"Receive")</f>
        <v>QSObject:SwapTrade:w1~trade.9783:21657</v>
      </c>
      <c r="G9785" s="3">
        <f>_xll.QS.EVALUATE(C9785,F9785)</f>
        <v>57383.625075808792</v>
      </c>
      <c r="H9785" s="5" t="s">
        <v>9825</v>
      </c>
      <c r="I9785" s="7">
        <v>1978300</v>
      </c>
      <c r="J9785" s="8">
        <v>3.8300000000000001E-2</v>
      </c>
    </row>
    <row r="9786" spans="1:10" x14ac:dyDescent="0.25">
      <c r="A9786" s="5" t="s">
        <v>9819</v>
      </c>
      <c r="B9786" s="5" t="s">
        <v>11653</v>
      </c>
      <c r="C9786" s="6" t="str">
        <f>_xll.QS.CONTEXT.CREATE("market.9784",A9786,"USD","SOFR")</f>
        <v>QSObject:PricingContext:w1~market.9784:311</v>
      </c>
      <c r="D9786" s="6" t="str">
        <f>_xll.QS.CONTEXT.ADD.CURVE(C9786,"SOFR",$K$2:$K$7,$L$2:$L$7,,,"Actual360","LogLinear",TRUE)</f>
        <v>QSObject:ContextInput:w1~input.qs_context_add_curve.2359132437744.9785.3.0:21656</v>
      </c>
      <c r="E9786" s="6" t="str">
        <f>_xll.QS.INSTRUMENT.SWAP("swap.9784",H9786,B9786,"USD","SOFR",I9786,J9786,0,"Actual360","Simple","Annual","Annual","Annual")</f>
        <v>QSObject:Swap:w1~swap.9784:310</v>
      </c>
      <c r="F9786" s="6" t="str">
        <f>_xll.QS.TRADE.CREATE("trade.9784",E9786,A9786,"Receive")</f>
        <v>QSObject:SwapTrade:w1~trade.9784:21655</v>
      </c>
      <c r="G9786" s="3">
        <f>_xll.QS.EVALUATE(C9786,F9786)</f>
        <v>58146.812576166543</v>
      </c>
      <c r="H9786" s="5" t="s">
        <v>9826</v>
      </c>
      <c r="I9786" s="7">
        <v>1978400</v>
      </c>
      <c r="J9786" s="8">
        <v>3.8399999999999997E-2</v>
      </c>
    </row>
    <row r="9787" spans="1:10" x14ac:dyDescent="0.25">
      <c r="A9787" s="5" t="s">
        <v>9820</v>
      </c>
      <c r="B9787" s="5" t="s">
        <v>11654</v>
      </c>
      <c r="C9787" s="6" t="str">
        <f>_xll.QS.CONTEXT.CREATE("market.9785",A9787,"USD","SOFR")</f>
        <v>QSObject:PricingContext:w1~market.9785:309</v>
      </c>
      <c r="D9787" s="6" t="str">
        <f>_xll.QS.CONTEXT.ADD.CURVE(C9787,"SOFR",$K$2:$K$7,$L$2:$L$7,,,"Actual360","LogLinear",TRUE)</f>
        <v>QSObject:ContextInput:w1~input.qs_context_add_curve.2359132437744.9786.3.0:21654</v>
      </c>
      <c r="E9787" s="6" t="str">
        <f>_xll.QS.INSTRUMENT.SWAP("swap.9785",H9787,B9787,"USD","SOFR",I9787,J9787,0,"Actual360","Simple","Annual","Annual","Annual")</f>
        <v>QSObject:Swap:w1~swap.9785:308</v>
      </c>
      <c r="F9787" s="6" t="str">
        <f>_xll.QS.TRADE.CREATE("trade.9785",E9787,A9787,"Receive")</f>
        <v>QSObject:SwapTrade:w1~trade.9785:21653</v>
      </c>
      <c r="G9787" s="3">
        <f>_xll.QS.EVALUATE(C9787,F9787)</f>
        <v>58928.094992671773</v>
      </c>
      <c r="H9787" s="5" t="s">
        <v>9827</v>
      </c>
      <c r="I9787" s="7">
        <v>1978500</v>
      </c>
      <c r="J9787" s="8">
        <v>3.8500000000000013E-2</v>
      </c>
    </row>
    <row r="9788" spans="1:10" x14ac:dyDescent="0.25">
      <c r="A9788" s="5" t="s">
        <v>9821</v>
      </c>
      <c r="B9788" s="5" t="s">
        <v>11655</v>
      </c>
      <c r="C9788" s="6" t="str">
        <f>_xll.QS.CONTEXT.CREATE("market.9786",A9788,"USD","SOFR")</f>
        <v>QSObject:PricingContext:w1~market.9786:307</v>
      </c>
      <c r="D9788" s="6" t="str">
        <f>_xll.QS.CONTEXT.ADD.CURVE(C9788,"SOFR",$K$2:$K$7,$L$2:$L$7,,,"Actual360","LogLinear",TRUE)</f>
        <v>QSObject:ContextInput:w1~input.qs_context_add_curve.2359132437744.9787.3.0:21652</v>
      </c>
      <c r="E9788" s="6" t="str">
        <f>_xll.QS.INSTRUMENT.SWAP("swap.9786",H9788,B9788,"USD","SOFR",I9788,J9788,0,"Actual360","Simple","Annual","Annual","Annual")</f>
        <v>QSObject:Swap:w1~swap.9786:306</v>
      </c>
      <c r="F9788" s="6" t="str">
        <f>_xll.QS.TRADE.CREATE("trade.9786",E9788,A9788,"Receive")</f>
        <v>QSObject:SwapTrade:w1~trade.9786:21651</v>
      </c>
      <c r="G9788" s="3">
        <f>_xll.QS.EVALUATE(C9788,F9788)</f>
        <v>59928.15785218605</v>
      </c>
      <c r="H9788" s="5" t="s">
        <v>9828</v>
      </c>
      <c r="I9788" s="7">
        <v>1978600</v>
      </c>
      <c r="J9788" s="8">
        <v>3.8600000000000002E-2</v>
      </c>
    </row>
    <row r="9789" spans="1:10" x14ac:dyDescent="0.25">
      <c r="A9789" s="5" t="s">
        <v>9822</v>
      </c>
      <c r="B9789" s="5" t="s">
        <v>11656</v>
      </c>
      <c r="C9789" s="6" t="str">
        <f>_xll.QS.CONTEXT.CREATE("market.9787",A9789,"USD","SOFR")</f>
        <v>QSObject:PricingContext:w1~market.9787:305</v>
      </c>
      <c r="D9789" s="6" t="str">
        <f>_xll.QS.CONTEXT.ADD.CURVE(C9789,"SOFR",$K$2:$K$7,$L$2:$L$7,,,"Actual360","LogLinear",TRUE)</f>
        <v>QSObject:ContextInput:w1~input.qs_context_add_curve.2359132437744.9788.3.0:31308</v>
      </c>
      <c r="E9789" s="6" t="str">
        <f>_xll.QS.INSTRUMENT.SWAP("swap.9787",H9789,B9789,"USD","SOFR",I9789,J9789,0,"Actual360","Simple","Annual","Annual","Annual")</f>
        <v>QSObject:Swap:w1~swap.9787:21650</v>
      </c>
      <c r="F9789" s="6" t="str">
        <f>_xll.QS.TRADE.CREATE("trade.9787",E9789,A9789,"Receive")</f>
        <v>QSObject:SwapTrade:w1~trade.9787:22018</v>
      </c>
      <c r="G9789" s="3">
        <f>_xll.QS.EVALUATE(C9789,F9789)</f>
        <v>60890.136508072348</v>
      </c>
      <c r="H9789" s="5" t="s">
        <v>9829</v>
      </c>
      <c r="I9789" s="7">
        <v>1978700</v>
      </c>
      <c r="J9789" s="8">
        <v>3.8700000000000012E-2</v>
      </c>
    </row>
    <row r="9790" spans="1:10" x14ac:dyDescent="0.25">
      <c r="A9790" s="5" t="s">
        <v>9823</v>
      </c>
      <c r="B9790" s="5" t="s">
        <v>11657</v>
      </c>
      <c r="C9790" s="6" t="str">
        <f>_xll.QS.CONTEXT.CREATE("market.9788",A9790,"USD","SOFR")</f>
        <v>QSObject:PricingContext:w1~market.9788:21649</v>
      </c>
      <c r="D9790" s="6" t="str">
        <f>_xll.QS.CONTEXT.ADD.CURVE(C9790,"SOFR",$K$2:$K$7,$L$2:$L$7,,,"Actual360","LogLinear",TRUE)</f>
        <v>QSObject:ContextInput:w1~input.qs_context_add_curve.2359132437744.9789.3.0:31307</v>
      </c>
      <c r="E9790" s="6" t="str">
        <f>_xll.QS.INSTRUMENT.SWAP("swap.9788",H9790,B9790,"USD","SOFR",I9790,J9790,0,"Actual360","Simple","Annual","Annual","Annual")</f>
        <v>QSObject:Swap:w1~swap.9788:21648</v>
      </c>
      <c r="F9790" s="6" t="str">
        <f>_xll.QS.TRADE.CREATE("trade.9788",E9790,A9790,"Receive")</f>
        <v>QSObject:SwapTrade:w1~trade.9788:22017</v>
      </c>
      <c r="G9790" s="3">
        <f>_xll.QS.EVALUATE(C9790,F9790)</f>
        <v>61950.433744281843</v>
      </c>
      <c r="H9790" s="5" t="s">
        <v>9830</v>
      </c>
      <c r="I9790" s="7">
        <v>1978800</v>
      </c>
      <c r="J9790" s="8">
        <v>3.8800000000000001E-2</v>
      </c>
    </row>
    <row r="9791" spans="1:10" x14ac:dyDescent="0.25">
      <c r="A9791" s="5" t="s">
        <v>9824</v>
      </c>
      <c r="B9791" s="5" t="s">
        <v>11658</v>
      </c>
      <c r="C9791" s="6" t="str">
        <f>_xll.QS.CONTEXT.CREATE("market.9789",A9791,"USD","SOFR")</f>
        <v>QSObject:PricingContext:w1~market.9789:21647</v>
      </c>
      <c r="D9791" s="6" t="str">
        <f>_xll.QS.CONTEXT.ADD.CURVE(C9791,"SOFR",$K$2:$K$7,$L$2:$L$7,,,"Actual360","LogLinear",TRUE)</f>
        <v>QSObject:ContextInput:w1~input.qs_context_add_curve.2359132437744.9790.3.0:31306</v>
      </c>
      <c r="E9791" s="6" t="str">
        <f>_xll.QS.INSTRUMENT.SWAP("swap.9789",H9791,B9791,"USD","SOFR",I9791,J9791,0,"Actual360","Simple","Annual","Annual","Annual")</f>
        <v>QSObject:Swap:w1~swap.9789:21646</v>
      </c>
      <c r="F9791" s="6" t="str">
        <f>_xll.QS.TRADE.CREATE("trade.9789",E9791,A9791,"Receive")</f>
        <v>QSObject:SwapTrade:w1~trade.9789:22016</v>
      </c>
      <c r="G9791" s="3">
        <f>_xll.QS.EVALUATE(C9791,F9791)</f>
        <v>62952.722740333978</v>
      </c>
      <c r="H9791" s="5" t="s">
        <v>9831</v>
      </c>
      <c r="I9791" s="7">
        <v>1978900</v>
      </c>
      <c r="J9791" s="8">
        <v>3.8899999999999997E-2</v>
      </c>
    </row>
    <row r="9792" spans="1:10" x14ac:dyDescent="0.25">
      <c r="A9792" s="5" t="s">
        <v>9825</v>
      </c>
      <c r="B9792" s="5" t="s">
        <v>11659</v>
      </c>
      <c r="C9792" s="6" t="str">
        <f>_xll.QS.CONTEXT.CREATE("market.9790",A9792,"USD","SOFR")</f>
        <v>QSObject:PricingContext:w1~market.9790:21645</v>
      </c>
      <c r="D9792" s="6" t="str">
        <f>_xll.QS.CONTEXT.ADD.CURVE(C9792,"SOFR",$K$2:$K$7,$L$2:$L$7,,,"Actual360","LogLinear",TRUE)</f>
        <v>QSObject:ContextInput:w1~input.qs_context_add_curve.2359132437744.9791.3.0:31305</v>
      </c>
      <c r="E9792" s="6" t="str">
        <f>_xll.QS.INSTRUMENT.SWAP("swap.9790",H9792,B9792,"USD","SOFR",I9792,J9792,0,"Actual360","Simple","Annual","Annual","Annual")</f>
        <v>QSObject:Swap:w1~swap.9790:21644</v>
      </c>
      <c r="F9792" s="6" t="str">
        <f>_xll.QS.TRADE.CREATE("trade.9790",E9792,A9792,"Receive")</f>
        <v>QSObject:SwapTrade:w1~trade.9790:22015</v>
      </c>
      <c r="G9792" s="3">
        <f>_xll.QS.EVALUATE(C9792,F9792)</f>
        <v>63792.091022349123</v>
      </c>
      <c r="H9792" s="5" t="s">
        <v>9832</v>
      </c>
      <c r="I9792" s="7">
        <v>1979000</v>
      </c>
      <c r="J9792" s="8">
        <v>3.9000000000000007E-2</v>
      </c>
    </row>
    <row r="9793" spans="1:10" x14ac:dyDescent="0.25">
      <c r="A9793" s="5" t="s">
        <v>9826</v>
      </c>
      <c r="B9793" s="5" t="s">
        <v>11660</v>
      </c>
      <c r="C9793" s="6" t="str">
        <f>_xll.QS.CONTEXT.CREATE("market.9791",A9793,"USD","SOFR")</f>
        <v>QSObject:PricingContext:w1~market.9791:21643</v>
      </c>
      <c r="D9793" s="6" t="str">
        <f>_xll.QS.CONTEXT.ADD.CURVE(C9793,"SOFR",$K$2:$K$7,$L$2:$L$7,,,"Actual360","LogLinear",TRUE)</f>
        <v>QSObject:ContextInput:w1~input.qs_context_add_curve.2359132437744.9792.3.0:31304</v>
      </c>
      <c r="E9793" s="6" t="str">
        <f>_xll.QS.INSTRUMENT.SWAP("swap.9791",H9793,B9793,"USD","SOFR",I9793,J9793,0,"Actual360","Simple","Annual","Annual","Annual")</f>
        <v>QSObject:Swap:w1~swap.9791:304</v>
      </c>
      <c r="F9793" s="6" t="str">
        <f>_xll.QS.TRADE.CREATE("trade.9791",E9793,A9793,"Receive")</f>
        <v>QSObject:SwapTrade:w1~trade.9791:21642</v>
      </c>
      <c r="G9793" s="3">
        <f>_xll.QS.EVALUATE(C9793,F9793)</f>
        <v>64548.347203766702</v>
      </c>
      <c r="H9793" s="5" t="s">
        <v>9833</v>
      </c>
      <c r="I9793" s="7">
        <v>1979100</v>
      </c>
      <c r="J9793" s="8">
        <v>3.9100000000000003E-2</v>
      </c>
    </row>
    <row r="9794" spans="1:10" x14ac:dyDescent="0.25">
      <c r="A9794" s="5" t="s">
        <v>9827</v>
      </c>
      <c r="B9794" s="5" t="s">
        <v>11661</v>
      </c>
      <c r="C9794" s="6" t="str">
        <f>_xll.QS.CONTEXT.CREATE("market.9792",A9794,"USD","SOFR")</f>
        <v>QSObject:PricingContext:w1~market.9792:303</v>
      </c>
      <c r="D9794" s="6" t="str">
        <f>_xll.QS.CONTEXT.ADD.CURVE(C9794,"SOFR",$K$2:$K$7,$L$2:$L$7,,,"Actual360","LogLinear",TRUE)</f>
        <v>QSObject:ContextInput:w1~input.qs_context_add_curve.2359132437744.9793.3.0:21641</v>
      </c>
      <c r="E9794" s="6" t="str">
        <f>_xll.QS.INSTRUMENT.SWAP("swap.9792",H9794,B9794,"USD","SOFR",I9794,J9794,0,"Actual360","Simple","Annual","Annual","Annual")</f>
        <v>QSObject:Swap:w1~swap.9792:302</v>
      </c>
      <c r="F9794" s="6" t="str">
        <f>_xll.QS.TRADE.CREATE("trade.9792",E9794,A9794,"Receive")</f>
        <v>QSObject:SwapTrade:w1~trade.9792:21640</v>
      </c>
      <c r="G9794" s="3">
        <f>_xll.QS.EVALUATE(C9794,F9794)</f>
        <v>65468.491172645983</v>
      </c>
      <c r="H9794" s="5" t="s">
        <v>9834</v>
      </c>
      <c r="I9794" s="7">
        <v>1979200</v>
      </c>
      <c r="J9794" s="8">
        <v>3.9200000000000013E-2</v>
      </c>
    </row>
    <row r="9795" spans="1:10" x14ac:dyDescent="0.25">
      <c r="A9795" s="5" t="s">
        <v>9828</v>
      </c>
      <c r="B9795" s="5" t="s">
        <v>11662</v>
      </c>
      <c r="C9795" s="6" t="str">
        <f>_xll.QS.CONTEXT.CREATE("market.9793",A9795,"USD","SOFR")</f>
        <v>QSObject:PricingContext:w1~market.9793:301</v>
      </c>
      <c r="D9795" s="6" t="str">
        <f>_xll.QS.CONTEXT.ADD.CURVE(C9795,"SOFR",$K$2:$K$7,$L$2:$L$7,,,"Actual360","LogLinear",TRUE)</f>
        <v>QSObject:ContextInput:w1~input.qs_context_add_curve.2359132437744.9794.3.0:21639</v>
      </c>
      <c r="E9795" s="6" t="str">
        <f>_xll.QS.INSTRUMENT.SWAP("swap.9793",H9795,B9795,"USD","SOFR",I9795,J9795,0,"Actual360","Simple","Annual","Annual","Annual")</f>
        <v>QSObject:Swap:w1~swap.9793:300</v>
      </c>
      <c r="F9795" s="6" t="str">
        <f>_xll.QS.TRADE.CREATE("trade.9793",E9795,A9795,"Receive")</f>
        <v>QSObject:SwapTrade:w1~trade.9793:21638</v>
      </c>
      <c r="G9795" s="3">
        <f>_xll.QS.EVALUATE(C9795,F9795)</f>
        <v>66468.845068139199</v>
      </c>
      <c r="H9795" s="5" t="s">
        <v>9835</v>
      </c>
      <c r="I9795" s="7">
        <v>1979300</v>
      </c>
      <c r="J9795" s="8">
        <v>3.9300000000000002E-2</v>
      </c>
    </row>
    <row r="9796" spans="1:10" x14ac:dyDescent="0.25">
      <c r="A9796" s="5" t="s">
        <v>9829</v>
      </c>
      <c r="B9796" s="5" t="s">
        <v>11663</v>
      </c>
      <c r="C9796" s="6" t="str">
        <f>_xll.QS.CONTEXT.CREATE("market.9794",A9796,"USD","SOFR")</f>
        <v>QSObject:PricingContext:w1~market.9794:299</v>
      </c>
      <c r="D9796" s="6" t="str">
        <f>_xll.QS.CONTEXT.ADD.CURVE(C9796,"SOFR",$K$2:$K$7,$L$2:$L$7,,,"Actual360","LogLinear",TRUE)</f>
        <v>QSObject:ContextInput:w1~input.qs_context_add_curve.2359132437744.9795.3.0:21637</v>
      </c>
      <c r="E9796" s="6" t="str">
        <f>_xll.QS.INSTRUMENT.SWAP("swap.9794",H9796,B9796,"USD","SOFR",I9796,J9796,0,"Actual360","Simple","Annual","Annual","Annual")</f>
        <v>QSObject:Swap:w1~swap.9794:298</v>
      </c>
      <c r="F9796" s="6" t="str">
        <f>_xll.QS.TRADE.CREATE("trade.9794",E9796,A9796,"Receive")</f>
        <v>QSObject:SwapTrade:w1~trade.9794:21636</v>
      </c>
      <c r="G9796" s="3">
        <f>_xll.QS.EVALUATE(C9796,F9796)</f>
        <v>67301.030908651286</v>
      </c>
      <c r="H9796" s="5" t="s">
        <v>9836</v>
      </c>
      <c r="I9796" s="7">
        <v>1979400</v>
      </c>
      <c r="J9796" s="8">
        <v>3.9399999999999998E-2</v>
      </c>
    </row>
    <row r="9797" spans="1:10" x14ac:dyDescent="0.25">
      <c r="A9797" s="5" t="s">
        <v>9830</v>
      </c>
      <c r="B9797" s="5" t="s">
        <v>11664</v>
      </c>
      <c r="C9797" s="6" t="str">
        <f>_xll.QS.CONTEXT.CREATE("market.9795",A9797,"USD","SOFR")</f>
        <v>QSObject:PricingContext:w1~market.9795:297</v>
      </c>
      <c r="D9797" s="6" t="str">
        <f>_xll.QS.CONTEXT.ADD.CURVE(C9797,"SOFR",$K$2:$K$7,$L$2:$L$7,,,"Actual360","LogLinear",TRUE)</f>
        <v>QSObject:ContextInput:w1~input.qs_context_add_curve.2359132437744.9796.3.0:21635</v>
      </c>
      <c r="E9797" s="6" t="str">
        <f>_xll.QS.INSTRUMENT.SWAP("swap.9795",H9797,B9797,"USD","SOFR",I9797,J9797,0,"Actual360","Simple","Annual","Annual","Annual")</f>
        <v>QSObject:Swap:w1~swap.9795:296</v>
      </c>
      <c r="F9797" s="6" t="str">
        <f>_xll.QS.TRADE.CREATE("trade.9795",E9797,A9797,"Receive")</f>
        <v>QSObject:SwapTrade:w1~trade.9795:21634</v>
      </c>
      <c r="G9797" s="3">
        <f>_xll.QS.EVALUATE(C9797,F9797)</f>
        <v>68362.119739050322</v>
      </c>
      <c r="H9797" s="5" t="s">
        <v>9837</v>
      </c>
      <c r="I9797" s="7">
        <v>1979500</v>
      </c>
      <c r="J9797" s="8">
        <v>3.9500000000000007E-2</v>
      </c>
    </row>
    <row r="9798" spans="1:10" x14ac:dyDescent="0.25">
      <c r="A9798" s="5" t="s">
        <v>9831</v>
      </c>
      <c r="B9798" s="5" t="s">
        <v>11665</v>
      </c>
      <c r="C9798" s="6" t="str">
        <f>_xll.QS.CONTEXT.CREATE("market.9796",A9798,"USD","SOFR")</f>
        <v>QSObject:PricingContext:w1~market.9796:295</v>
      </c>
      <c r="D9798" s="6" t="str">
        <f>_xll.QS.CONTEXT.ADD.CURVE(C9798,"SOFR",$K$2:$K$7,$L$2:$L$7,,,"Actual360","LogLinear",TRUE)</f>
        <v>QSObject:ContextInput:w1~input.qs_context_add_curve.2359132437744.9797.3.0:21633</v>
      </c>
      <c r="E9798" s="6" t="str">
        <f>_xll.QS.INSTRUMENT.SWAP("swap.9796",H9798,B9798,"USD","SOFR",I9798,J9798,0,"Actual360","Simple","Annual","Annual","Annual")</f>
        <v>QSObject:Swap:w1~swap.9796:294</v>
      </c>
      <c r="F9798" s="6" t="str">
        <f>_xll.QS.TRADE.CREATE("trade.9796",E9798,A9798,"Receive")</f>
        <v>QSObject:SwapTrade:w1~trade.9796:21632</v>
      </c>
      <c r="G9798" s="3">
        <f>_xll.QS.EVALUATE(C9798,F9798)</f>
        <v>69284.432720926226</v>
      </c>
      <c r="H9798" s="5" t="s">
        <v>9838</v>
      </c>
      <c r="I9798" s="7">
        <v>1979600</v>
      </c>
      <c r="J9798" s="8">
        <v>3.9600000000000003E-2</v>
      </c>
    </row>
    <row r="9799" spans="1:10" x14ac:dyDescent="0.25">
      <c r="A9799" s="5" t="s">
        <v>9832</v>
      </c>
      <c r="B9799" s="5" t="s">
        <v>11666</v>
      </c>
      <c r="C9799" s="6" t="str">
        <f>_xll.QS.CONTEXT.CREATE("market.9797",A9799,"USD","SOFR")</f>
        <v>QSObject:PricingContext:w1~market.9797:293</v>
      </c>
      <c r="D9799" s="6" t="str">
        <f>_xll.QS.CONTEXT.ADD.CURVE(C9799,"SOFR",$K$2:$K$7,$L$2:$L$7,,,"Actual360","LogLinear",TRUE)</f>
        <v>QSObject:ContextInput:w1~input.qs_context_add_curve.2359132437744.9798.3.0:21631</v>
      </c>
      <c r="E9799" s="6" t="str">
        <f>_xll.QS.INSTRUMENT.SWAP("swap.9797",H9799,B9799,"USD","SOFR",I9799,J9799,0,"Actual360","Simple","Annual","Annual","Annual")</f>
        <v>QSObject:Swap:w1~swap.9797:292</v>
      </c>
      <c r="F9799" s="6" t="str">
        <f>_xll.QS.TRADE.CREATE("trade.9797",E9799,A9799,"Receive")</f>
        <v>QSObject:SwapTrade:w1~trade.9797:21630</v>
      </c>
      <c r="G9799" s="3">
        <f>_xll.QS.EVALUATE(C9799,F9799)</f>
        <v>70205.07613307453</v>
      </c>
      <c r="H9799" s="5" t="s">
        <v>9839</v>
      </c>
      <c r="I9799" s="7">
        <v>1979700</v>
      </c>
      <c r="J9799" s="8">
        <v>3.9700000000000013E-2</v>
      </c>
    </row>
    <row r="9800" spans="1:10" x14ac:dyDescent="0.25">
      <c r="A9800" s="5" t="s">
        <v>9833</v>
      </c>
      <c r="B9800" s="5" t="s">
        <v>11667</v>
      </c>
      <c r="C9800" s="6" t="str">
        <f>_xll.QS.CONTEXT.CREATE("market.9798",A9800,"USD","SOFR")</f>
        <v>QSObject:PricingContext:w1~market.9798:291</v>
      </c>
      <c r="D9800" s="6" t="str">
        <f>_xll.QS.CONTEXT.ADD.CURVE(C9800,"SOFR",$K$2:$K$7,$L$2:$L$7,,,"Actual360","LogLinear",TRUE)</f>
        <v>QSObject:ContextInput:w1~input.qs_context_add_curve.2359132437744.9799.3.0:21629</v>
      </c>
      <c r="E9800" s="6" t="str">
        <f>_xll.QS.INSTRUMENT.SWAP("swap.9798",H9800,B9800,"USD","SOFR",I9800,J9800,0,"Actual360","Simple","Annual","Annual","Annual")</f>
        <v>QSObject:Swap:w1~swap.9798:290</v>
      </c>
      <c r="F9800" s="6" t="str">
        <f>_xll.QS.TRADE.CREATE("trade.9798",E9800,A9800,"Receive")</f>
        <v>QSObject:SwapTrade:w1~trade.9798:21628</v>
      </c>
      <c r="G9800" s="3">
        <f>_xll.QS.EVALUATE(C9800,F9800)</f>
        <v>70954.395673753723</v>
      </c>
      <c r="H9800" s="5" t="s">
        <v>9840</v>
      </c>
      <c r="I9800" s="7">
        <v>1979800</v>
      </c>
      <c r="J9800" s="8">
        <v>3.9800000000000002E-2</v>
      </c>
    </row>
    <row r="9801" spans="1:10" x14ac:dyDescent="0.25">
      <c r="A9801" s="5" t="s">
        <v>9834</v>
      </c>
      <c r="B9801" s="5" t="s">
        <v>11668</v>
      </c>
      <c r="C9801" s="6" t="str">
        <f>_xll.QS.CONTEXT.CREATE("market.9799",A9801,"USD","SOFR")</f>
        <v>QSObject:PricingContext:w1~market.9799:289</v>
      </c>
      <c r="D9801" s="6" t="str">
        <f>_xll.QS.CONTEXT.ADD.CURVE(C9801,"SOFR",$K$2:$K$7,$L$2:$L$7,,,"Actual360","LogLinear",TRUE)</f>
        <v>QSObject:ContextInput:w1~input.qs_context_add_curve.2359132437744.9800.3.0:21627</v>
      </c>
      <c r="E9801" s="6" t="str">
        <f>_xll.QS.INSTRUMENT.SWAP("swap.9799",H9801,B9801,"USD","SOFR",I9801,J9801,0,"Actual360","Simple","Annual","Annual","Annual")</f>
        <v>QSObject:Swap:w1~swap.9799:288</v>
      </c>
      <c r="F9801" s="6" t="str">
        <f>_xll.QS.TRADE.CREATE("trade.9799",E9801,A9801,"Receive")</f>
        <v>QSObject:SwapTrade:w1~trade.9799:21626</v>
      </c>
      <c r="G9801" s="3">
        <f>_xll.QS.EVALUATE(C9801,F9801)</f>
        <v>71756.690189663845</v>
      </c>
      <c r="H9801" s="5" t="s">
        <v>9841</v>
      </c>
      <c r="I9801" s="7">
        <v>1979900</v>
      </c>
      <c r="J9801" s="8">
        <v>3.9899999999999998E-2</v>
      </c>
    </row>
    <row r="9802" spans="1:10" x14ac:dyDescent="0.25">
      <c r="A9802" s="5" t="s">
        <v>9835</v>
      </c>
      <c r="B9802" s="5" t="s">
        <v>11669</v>
      </c>
      <c r="C9802" s="6" t="str">
        <f>_xll.QS.CONTEXT.CREATE("market.9800",A9802,"USD","SOFR")</f>
        <v>QSObject:PricingContext:w1~market.9800:287</v>
      </c>
      <c r="D9802" s="6" t="str">
        <f>_xll.QS.CONTEXT.ADD.CURVE(C9802,"SOFR",$K$2:$K$7,$L$2:$L$7,,,"Actual360","LogLinear",TRUE)</f>
        <v>QSObject:ContextInput:w1~input.qs_context_add_curve.2359132437744.9801.3.0:21625</v>
      </c>
      <c r="E9802" s="6" t="str">
        <f>_xll.QS.INSTRUMENT.SWAP("swap.9800",H9802,B9802,"USD","SOFR",I9802,J9802,0,"Actual360","Simple","Annual","Annual","Annual")</f>
        <v>QSObject:Swap:w1~swap.9800:286</v>
      </c>
      <c r="F9802" s="6" t="str">
        <f>_xll.QS.TRADE.CREATE("trade.9800",E9802,A9802,"Receive")</f>
        <v>QSObject:SwapTrade:w1~trade.9800:21624</v>
      </c>
      <c r="G9802" s="3">
        <f>_xll.QS.EVALUATE(C9802,F9802)</f>
        <v>27085.123442011667</v>
      </c>
      <c r="H9802" s="5" t="s">
        <v>9842</v>
      </c>
      <c r="I9802" s="7">
        <v>1980000</v>
      </c>
      <c r="J9802" s="8">
        <v>3.5000000000000003E-2</v>
      </c>
    </row>
    <row r="9803" spans="1:10" x14ac:dyDescent="0.25">
      <c r="A9803" s="5" t="s">
        <v>9836</v>
      </c>
      <c r="B9803" s="5" t="s">
        <v>11670</v>
      </c>
      <c r="C9803" s="6" t="str">
        <f>_xll.QS.CONTEXT.CREATE("market.9801",A9803,"USD","SOFR")</f>
        <v>QSObject:PricingContext:w1~market.9801:285</v>
      </c>
      <c r="D9803" s="6" t="str">
        <f>_xll.QS.CONTEXT.ADD.CURVE(C9803,"SOFR",$K$2:$K$7,$L$2:$L$7,,,"Actual360","LogLinear",TRUE)</f>
        <v>QSObject:ContextInput:w1~input.qs_context_add_curve.2359132437744.9802.3.0:21623</v>
      </c>
      <c r="E9803" s="6" t="str">
        <f>_xll.QS.INSTRUMENT.SWAP("swap.9801",H9803,B9803,"USD","SOFR",I9803,J9803,0,"Actual360","Simple","Annual","Annual","Annual")</f>
        <v>QSObject:Swap:w1~swap.9801:284</v>
      </c>
      <c r="F9803" s="6" t="str">
        <f>_xll.QS.TRADE.CREATE("trade.9801",E9803,A9803,"Receive")</f>
        <v>QSObject:SwapTrade:w1~trade.9801:21622</v>
      </c>
      <c r="G9803" s="3">
        <f>_xll.QS.EVALUATE(C9803,F9803)</f>
        <v>28062.065913114777</v>
      </c>
      <c r="H9803" s="5" t="s">
        <v>9843</v>
      </c>
      <c r="I9803" s="7">
        <v>1980100</v>
      </c>
      <c r="J9803" s="8">
        <v>3.5100000000000013E-2</v>
      </c>
    </row>
    <row r="9804" spans="1:10" x14ac:dyDescent="0.25">
      <c r="A9804" s="5" t="s">
        <v>9837</v>
      </c>
      <c r="B9804" s="5" t="s">
        <v>11671</v>
      </c>
      <c r="C9804" s="6" t="str">
        <f>_xll.QS.CONTEXT.CREATE("market.9802",A9804,"USD","SOFR")</f>
        <v>QSObject:PricingContext:w1~market.9802:21621</v>
      </c>
      <c r="D9804" s="6" t="str">
        <f>_xll.QS.CONTEXT.ADD.CURVE(C9804,"SOFR",$K$2:$K$7,$L$2:$L$7,,,"Actual360","LogLinear",TRUE)</f>
        <v>QSObject:ContextInput:w1~input.qs_context_add_curve.2359132437744.9803.3.0:31303</v>
      </c>
      <c r="E9804" s="6" t="str">
        <f>_xll.QS.INSTRUMENT.SWAP("swap.9802",H9804,B9804,"USD","SOFR",I9804,J9804,0,"Actual360","Simple","Annual","Annual","Annual")</f>
        <v>QSObject:Swap:w1~swap.9802:21620</v>
      </c>
      <c r="F9804" s="6" t="str">
        <f>_xll.QS.TRADE.CREATE("trade.9802",E9804,A9804,"Receive")</f>
        <v>QSObject:SwapTrade:w1~trade.9802:22014</v>
      </c>
      <c r="G9804" s="3">
        <f>_xll.QS.EVALUATE(C9804,F9804)</f>
        <v>29120.813860467904</v>
      </c>
      <c r="H9804" s="5" t="s">
        <v>9844</v>
      </c>
      <c r="I9804" s="7">
        <v>1980200</v>
      </c>
      <c r="J9804" s="8">
        <v>3.5200000000000002E-2</v>
      </c>
    </row>
    <row r="9805" spans="1:10" x14ac:dyDescent="0.25">
      <c r="A9805" s="5" t="s">
        <v>9838</v>
      </c>
      <c r="B9805" s="5" t="s">
        <v>11672</v>
      </c>
      <c r="C9805" s="6" t="str">
        <f>_xll.QS.CONTEXT.CREATE("market.9803",A9805,"USD","SOFR")</f>
        <v>QSObject:PricingContext:w1~market.9803:21619</v>
      </c>
      <c r="D9805" s="6" t="str">
        <f>_xll.QS.CONTEXT.ADD.CURVE(C9805,"SOFR",$K$2:$K$7,$L$2:$L$7,,,"Actual360","LogLinear",TRUE)</f>
        <v>QSObject:ContextInput:w1~input.qs_context_add_curve.2359132437744.9804.3.0:31302</v>
      </c>
      <c r="E9805" s="6" t="str">
        <f>_xll.QS.INSTRUMENT.SWAP("swap.9803",H9805,B9805,"USD","SOFR",I9805,J9805,0,"Actual360","Simple","Annual","Annual","Annual")</f>
        <v>QSObject:Swap:w1~swap.9803:21618</v>
      </c>
      <c r="F9805" s="6" t="str">
        <f>_xll.QS.TRADE.CREATE("trade.9803",E9805,A9805,"Receive")</f>
        <v>QSObject:SwapTrade:w1~trade.9803:22013</v>
      </c>
      <c r="G9805" s="3">
        <f>_xll.QS.EVALUATE(C9805,F9805)</f>
        <v>30121.692979541112</v>
      </c>
      <c r="H9805" s="5" t="s">
        <v>9845</v>
      </c>
      <c r="I9805" s="7">
        <v>1980300</v>
      </c>
      <c r="J9805" s="8">
        <v>3.5299999999999998E-2</v>
      </c>
    </row>
    <row r="9806" spans="1:10" x14ac:dyDescent="0.25">
      <c r="A9806" s="5" t="s">
        <v>9839</v>
      </c>
      <c r="B9806" s="5" t="s">
        <v>11673</v>
      </c>
      <c r="C9806" s="6" t="str">
        <f>_xll.QS.CONTEXT.CREATE("market.9804",A9806,"USD","SOFR")</f>
        <v>QSObject:PricingContext:w1~market.9804:21617</v>
      </c>
      <c r="D9806" s="6" t="str">
        <f>_xll.QS.CONTEXT.ADD.CURVE(C9806,"SOFR",$K$2:$K$7,$L$2:$L$7,,,"Actual360","LogLinear",TRUE)</f>
        <v>QSObject:ContextInput:w1~input.qs_context_add_curve.2359132437744.9805.3.0:31301</v>
      </c>
      <c r="E9806" s="6" t="str">
        <f>_xll.QS.INSTRUMENT.SWAP("swap.9804",H9806,B9806,"USD","SOFR",I9806,J9806,0,"Actual360","Simple","Annual","Annual","Annual")</f>
        <v>QSObject:Swap:w1~swap.9804:21616</v>
      </c>
      <c r="F9806" s="6" t="str">
        <f>_xll.QS.TRADE.CREATE("trade.9804",E9806,A9806,"Receive")</f>
        <v>QSObject:SwapTrade:w1~trade.9804:22012</v>
      </c>
      <c r="G9806" s="3">
        <f>_xll.QS.EVALUATE(C9806,F9806)</f>
        <v>30837.573850620211</v>
      </c>
      <c r="H9806" s="5" t="s">
        <v>9846</v>
      </c>
      <c r="I9806" s="7">
        <v>1980400</v>
      </c>
      <c r="J9806" s="8">
        <v>3.5400000000000001E-2</v>
      </c>
    </row>
    <row r="9807" spans="1:10" x14ac:dyDescent="0.25">
      <c r="A9807" s="5" t="s">
        <v>9840</v>
      </c>
      <c r="B9807" s="5" t="s">
        <v>11674</v>
      </c>
      <c r="C9807" s="6" t="str">
        <f>_xll.QS.CONTEXT.CREATE("market.9805",A9807,"USD","SOFR")</f>
        <v>QSObject:PricingContext:w1~market.9805:21615</v>
      </c>
      <c r="D9807" s="6" t="str">
        <f>_xll.QS.CONTEXT.ADD.CURVE(C9807,"SOFR",$K$2:$K$7,$L$2:$L$7,,,"Actual360","LogLinear",TRUE)</f>
        <v>QSObject:ContextInput:w1~input.qs_context_add_curve.2359132437744.9806.3.0:31300</v>
      </c>
      <c r="E9807" s="6" t="str">
        <f>_xll.QS.INSTRUMENT.SWAP("swap.9805",H9807,B9807,"USD","SOFR",I9807,J9807,0,"Actual360","Simple","Annual","Annual","Annual")</f>
        <v>QSObject:Swap:w1~swap.9805:21614</v>
      </c>
      <c r="F9807" s="6" t="str">
        <f>_xll.QS.TRADE.CREATE("trade.9805",E9807,A9807,"Receive")</f>
        <v>QSObject:SwapTrade:w1~trade.9805:22011</v>
      </c>
      <c r="G9807" s="3">
        <f>_xll.QS.EVALUATE(C9807,F9807)</f>
        <v>31753.955179768876</v>
      </c>
      <c r="H9807" s="5" t="s">
        <v>9847</v>
      </c>
      <c r="I9807" s="7">
        <v>1980500</v>
      </c>
      <c r="J9807" s="8">
        <v>3.5499999999999997E-2</v>
      </c>
    </row>
    <row r="9808" spans="1:10" x14ac:dyDescent="0.25">
      <c r="A9808" s="5" t="s">
        <v>9841</v>
      </c>
      <c r="B9808" s="5" t="s">
        <v>11675</v>
      </c>
      <c r="C9808" s="6" t="str">
        <f>_xll.QS.CONTEXT.CREATE("market.9806",A9808,"USD","SOFR")</f>
        <v>QSObject:PricingContext:w1~market.9806:21613</v>
      </c>
      <c r="D9808" s="6" t="str">
        <f>_xll.QS.CONTEXT.ADD.CURVE(C9808,"SOFR",$K$2:$K$7,$L$2:$L$7,,,"Actual360","LogLinear",TRUE)</f>
        <v>QSObject:ContextInput:w1~input.qs_context_add_curve.2359132437744.9807.3.0:31299</v>
      </c>
      <c r="E9808" s="6" t="str">
        <f>_xll.QS.INSTRUMENT.SWAP("swap.9806",H9808,B9808,"USD","SOFR",I9808,J9808,0,"Actual360","Simple","Annual","Annual","Annual")</f>
        <v>QSObject:Swap:w1~swap.9806:21612</v>
      </c>
      <c r="F9808" s="6" t="str">
        <f>_xll.QS.TRADE.CREATE("trade.9806",E9808,A9808,"Receive")</f>
        <v>QSObject:SwapTrade:w1~trade.9806:22010</v>
      </c>
      <c r="G9808" s="3">
        <f>_xll.QS.EVALUATE(C9808,F9808)</f>
        <v>32493.753471206874</v>
      </c>
      <c r="H9808" s="5" t="s">
        <v>9848</v>
      </c>
      <c r="I9808" s="7">
        <v>1980600</v>
      </c>
      <c r="J9808" s="8">
        <v>3.5600000000000007E-2</v>
      </c>
    </row>
    <row r="9809" spans="1:10" x14ac:dyDescent="0.25">
      <c r="A9809" s="5" t="s">
        <v>9842</v>
      </c>
      <c r="B9809" s="5" t="s">
        <v>11676</v>
      </c>
      <c r="C9809" s="6" t="str">
        <f>_xll.QS.CONTEXT.CREATE("market.9807",A9809,"USD","SOFR")</f>
        <v>QSObject:PricingContext:w1~market.9807:283</v>
      </c>
      <c r="D9809" s="6" t="str">
        <f>_xll.QS.CONTEXT.ADD.CURVE(C9809,"SOFR",$K$2:$K$7,$L$2:$L$7,,,"Actual360","LogLinear",TRUE)</f>
        <v>QSObject:ContextInput:w1~input.qs_context_add_curve.2359132437744.9808.3.0:21611</v>
      </c>
      <c r="E9809" s="6" t="str">
        <f>_xll.QS.INSTRUMENT.SWAP("swap.9807",H9809,B9809,"USD","SOFR",I9809,J9809,0,"Actual360","Simple","Annual","Annual","Annual")</f>
        <v>QSObject:Swap:w1~swap.9807:282</v>
      </c>
      <c r="F9809" s="6" t="str">
        <f>_xll.QS.TRADE.CREATE("trade.9807",E9809,A9809,"Receive")</f>
        <v>QSObject:SwapTrade:w1~trade.9807:21610</v>
      </c>
      <c r="G9809" s="3">
        <f>_xll.QS.EVALUATE(C9809,F9809)</f>
        <v>33563.823416374893</v>
      </c>
      <c r="H9809" s="5" t="s">
        <v>9849</v>
      </c>
      <c r="I9809" s="7">
        <v>1980700</v>
      </c>
      <c r="J9809" s="8">
        <v>3.5700000000000003E-2</v>
      </c>
    </row>
    <row r="9810" spans="1:10" x14ac:dyDescent="0.25">
      <c r="A9810" s="5" t="s">
        <v>9843</v>
      </c>
      <c r="B9810" s="5" t="s">
        <v>11677</v>
      </c>
      <c r="C9810" s="6" t="str">
        <f>_xll.QS.CONTEXT.CREATE("market.9808",A9810,"USD","SOFR")</f>
        <v>QSObject:PricingContext:w1~market.9808:281</v>
      </c>
      <c r="D9810" s="6" t="str">
        <f>_xll.QS.CONTEXT.ADD.CURVE(C9810,"SOFR",$K$2:$K$7,$L$2:$L$7,,,"Actual360","LogLinear",TRUE)</f>
        <v>QSObject:ContextInput:w1~input.qs_context_add_curve.2359132437744.9809.3.0:21609</v>
      </c>
      <c r="E9810" s="6" t="str">
        <f>_xll.QS.INSTRUMENT.SWAP("swap.9808",H9810,B9810,"USD","SOFR",I9810,J9810,0,"Actual360","Simple","Annual","Annual","Annual")</f>
        <v>QSObject:Swap:w1~swap.9808:280</v>
      </c>
      <c r="F9810" s="6" t="str">
        <f>_xll.QS.TRADE.CREATE("trade.9808",E9810,A9810,"Receive")</f>
        <v>QSObject:SwapTrade:w1~trade.9808:21608</v>
      </c>
      <c r="G9810" s="3">
        <f>_xll.QS.EVALUATE(C9810,F9810)</f>
        <v>34684.649246588313</v>
      </c>
      <c r="H9810" s="5" t="s">
        <v>9850</v>
      </c>
      <c r="I9810" s="7">
        <v>1980800</v>
      </c>
      <c r="J9810" s="8">
        <v>3.5800000000000012E-2</v>
      </c>
    </row>
    <row r="9811" spans="1:10" x14ac:dyDescent="0.25">
      <c r="A9811" s="5" t="s">
        <v>9844</v>
      </c>
      <c r="B9811" s="5" t="s">
        <v>11678</v>
      </c>
      <c r="C9811" s="6" t="str">
        <f>_xll.QS.CONTEXT.CREATE("market.9809",A9811,"USD","SOFR")</f>
        <v>QSObject:PricingContext:w1~market.9809:279</v>
      </c>
      <c r="D9811" s="6" t="str">
        <f>_xll.QS.CONTEXT.ADD.CURVE(C9811,"SOFR",$K$2:$K$7,$L$2:$L$7,,,"Actual360","LogLinear",TRUE)</f>
        <v>QSObject:ContextInput:w1~input.qs_context_add_curve.2359132437744.9810.3.0:21607</v>
      </c>
      <c r="E9811" s="6" t="str">
        <f>_xll.QS.INSTRUMENT.SWAP("swap.9809",H9811,B9811,"USD","SOFR",I9811,J9811,0,"Actual360","Simple","Annual","Annual","Annual")</f>
        <v>QSObject:Swap:w1~swap.9809:278</v>
      </c>
      <c r="F9811" s="6" t="str">
        <f>_xll.QS.TRADE.CREATE("trade.9809",E9811,A9811,"Receive")</f>
        <v>QSObject:SwapTrade:w1~trade.9809:21606</v>
      </c>
      <c r="G9811" s="3">
        <f>_xll.QS.EVALUATE(C9811,F9811)</f>
        <v>35617.634575070682</v>
      </c>
      <c r="H9811" s="5" t="s">
        <v>9851</v>
      </c>
      <c r="I9811" s="7">
        <v>1980900</v>
      </c>
      <c r="J9811" s="8">
        <v>3.5900000000000001E-2</v>
      </c>
    </row>
    <row r="9812" spans="1:10" x14ac:dyDescent="0.25">
      <c r="A9812" s="5" t="s">
        <v>9845</v>
      </c>
      <c r="B9812" s="5" t="s">
        <v>11679</v>
      </c>
      <c r="C9812" s="6" t="str">
        <f>_xll.QS.CONTEXT.CREATE("market.9810",A9812,"USD","SOFR")</f>
        <v>QSObject:PricingContext:w1~market.9810:277</v>
      </c>
      <c r="D9812" s="6" t="str">
        <f>_xll.QS.CONTEXT.ADD.CURVE(C9812,"SOFR",$K$2:$K$7,$L$2:$L$7,,,"Actual360","LogLinear",TRUE)</f>
        <v>QSObject:ContextInput:w1~input.qs_context_add_curve.2359132437744.9811.3.0:21605</v>
      </c>
      <c r="E9812" s="6" t="str">
        <f>_xll.QS.INSTRUMENT.SWAP("swap.9810",H9812,B9812,"USD","SOFR",I9812,J9812,0,"Actual360","Simple","Annual","Annual","Annual")</f>
        <v>QSObject:Swap:w1~swap.9810:276</v>
      </c>
      <c r="F9812" s="6" t="str">
        <f>_xll.QS.TRADE.CREATE("trade.9810",E9812,A9812,"Receive")</f>
        <v>QSObject:SwapTrade:w1~trade.9810:21604</v>
      </c>
      <c r="G9812" s="3">
        <f>_xll.QS.EVALUATE(C9812,F9812)</f>
        <v>36529.575868905667</v>
      </c>
      <c r="H9812" s="5" t="s">
        <v>9852</v>
      </c>
      <c r="I9812" s="7">
        <v>1981000</v>
      </c>
      <c r="J9812" s="8">
        <v>3.5999999999999997E-2</v>
      </c>
    </row>
    <row r="9813" spans="1:10" x14ac:dyDescent="0.25">
      <c r="A9813" s="5" t="s">
        <v>9846</v>
      </c>
      <c r="B9813" s="5" t="s">
        <v>11680</v>
      </c>
      <c r="C9813" s="6" t="str">
        <f>_xll.QS.CONTEXT.CREATE("market.9811",A9813,"USD","SOFR")</f>
        <v>QSObject:PricingContext:w1~market.9811:275</v>
      </c>
      <c r="D9813" s="6" t="str">
        <f>_xll.QS.CONTEXT.ADD.CURVE(C9813,"SOFR",$K$2:$K$7,$L$2:$L$7,,,"Actual360","LogLinear",TRUE)</f>
        <v>QSObject:ContextInput:w1~input.qs_context_add_curve.2359132437744.9812.3.0:21603</v>
      </c>
      <c r="E9813" s="6" t="str">
        <f>_xll.QS.INSTRUMENT.SWAP("swap.9811",H9813,B9813,"USD","SOFR",I9813,J9813,0,"Actual360","Simple","Annual","Annual","Annual")</f>
        <v>QSObject:Swap:w1~swap.9811:274</v>
      </c>
      <c r="F9813" s="6" t="str">
        <f>_xll.QS.TRADE.CREATE("trade.9811",E9813,A9813,"Receive")</f>
        <v>QSObject:SwapTrade:w1~trade.9811:21602</v>
      </c>
      <c r="G9813" s="3">
        <f>_xll.QS.EVALUATE(C9813,F9813)</f>
        <v>37366.460136937167</v>
      </c>
      <c r="H9813" s="5" t="s">
        <v>9853</v>
      </c>
      <c r="I9813" s="7">
        <v>1981100</v>
      </c>
      <c r="J9813" s="8">
        <v>3.61E-2</v>
      </c>
    </row>
    <row r="9814" spans="1:10" x14ac:dyDescent="0.25">
      <c r="A9814" s="5" t="s">
        <v>9847</v>
      </c>
      <c r="B9814" s="5" t="s">
        <v>11681</v>
      </c>
      <c r="C9814" s="6" t="str">
        <f>_xll.QS.CONTEXT.CREATE("market.9812",A9814,"USD","SOFR")</f>
        <v>QSObject:PricingContext:w1~market.9812:273</v>
      </c>
      <c r="D9814" s="6" t="str">
        <f>_xll.QS.CONTEXT.ADD.CURVE(C9814,"SOFR",$K$2:$K$7,$L$2:$L$7,,,"Actual360","LogLinear",TRUE)</f>
        <v>QSObject:ContextInput:w1~input.qs_context_add_curve.2359132437744.9813.3.0:21601</v>
      </c>
      <c r="E9814" s="6" t="str">
        <f>_xll.QS.INSTRUMENT.SWAP("swap.9812",H9814,B9814,"USD","SOFR",I9814,J9814,0,"Actual360","Simple","Annual","Annual","Annual")</f>
        <v>QSObject:Swap:w1~swap.9812:272</v>
      </c>
      <c r="F9814" s="6" t="str">
        <f>_xll.QS.TRADE.CREATE("trade.9812",E9814,A9814,"Receive")</f>
        <v>QSObject:SwapTrade:w1~trade.9812:21600</v>
      </c>
      <c r="G9814" s="3">
        <f>_xll.QS.EVALUATE(C9814,F9814)</f>
        <v>38153.378339995434</v>
      </c>
      <c r="H9814" s="5" t="s">
        <v>9854</v>
      </c>
      <c r="I9814" s="7">
        <v>1981200</v>
      </c>
      <c r="J9814" s="8">
        <v>3.6200000000000003E-2</v>
      </c>
    </row>
    <row r="9815" spans="1:10" x14ac:dyDescent="0.25">
      <c r="A9815" s="5" t="s">
        <v>9848</v>
      </c>
      <c r="B9815" s="5" t="s">
        <v>11682</v>
      </c>
      <c r="C9815" s="6" t="str">
        <f>_xll.QS.CONTEXT.CREATE("market.9813",A9815,"USD","SOFR")</f>
        <v>QSObject:PricingContext:w1~market.9813:271</v>
      </c>
      <c r="D9815" s="6" t="str">
        <f>_xll.QS.CONTEXT.ADD.CURVE(C9815,"SOFR",$K$2:$K$7,$L$2:$L$7,,,"Actual360","LogLinear",TRUE)</f>
        <v>QSObject:ContextInput:w1~input.qs_context_add_curve.2359132437744.9814.3.0:21599</v>
      </c>
      <c r="E9815" s="6" t="str">
        <f>_xll.QS.INSTRUMENT.SWAP("swap.9813",H9815,B9815,"USD","SOFR",I9815,J9815,0,"Actual360","Simple","Annual","Annual","Annual")</f>
        <v>QSObject:Swap:w1~swap.9813:270</v>
      </c>
      <c r="F9815" s="6" t="str">
        <f>_xll.QS.TRADE.CREATE("trade.9813",E9815,A9815,"Receive")</f>
        <v>QSObject:SwapTrade:w1~trade.9813:21598</v>
      </c>
      <c r="G9815" s="3">
        <f>_xll.QS.EVALUATE(C9815,F9815)</f>
        <v>38903.586727323833</v>
      </c>
      <c r="H9815" s="5" t="s">
        <v>9855</v>
      </c>
      <c r="I9815" s="7">
        <v>1981300</v>
      </c>
      <c r="J9815" s="8">
        <v>3.6300000000000013E-2</v>
      </c>
    </row>
    <row r="9816" spans="1:10" x14ac:dyDescent="0.25">
      <c r="A9816" s="5" t="s">
        <v>9849</v>
      </c>
      <c r="B9816" s="5" t="s">
        <v>11683</v>
      </c>
      <c r="C9816" s="6" t="str">
        <f>_xll.QS.CONTEXT.CREATE("market.9814",A9816,"USD","SOFR")</f>
        <v>QSObject:PricingContext:w1~market.9814:269</v>
      </c>
      <c r="D9816" s="6" t="str">
        <f>_xll.QS.CONTEXT.ADD.CURVE(C9816,"SOFR",$K$2:$K$7,$L$2:$L$7,,,"Actual360","LogLinear",TRUE)</f>
        <v>QSObject:ContextInput:w1~input.qs_context_add_curve.2359132437744.9815.3.0:21597</v>
      </c>
      <c r="E9816" s="6" t="str">
        <f>_xll.QS.INSTRUMENT.SWAP("swap.9814",H9816,B9816,"USD","SOFR",I9816,J9816,0,"Actual360","Simple","Annual","Annual","Annual")</f>
        <v>QSObject:Swap:w1~swap.9814:268</v>
      </c>
      <c r="F9816" s="6" t="str">
        <f>_xll.QS.TRADE.CREATE("trade.9814",E9816,A9816,"Receive")</f>
        <v>QSObject:SwapTrade:w1~trade.9814:21596</v>
      </c>
      <c r="G9816" s="3">
        <f>_xll.QS.EVALUATE(C9816,F9816)</f>
        <v>39902.098493277284</v>
      </c>
      <c r="H9816" s="5" t="s">
        <v>9856</v>
      </c>
      <c r="I9816" s="7">
        <v>1981400</v>
      </c>
      <c r="J9816" s="8">
        <v>3.6400000000000002E-2</v>
      </c>
    </row>
    <row r="9817" spans="1:10" x14ac:dyDescent="0.25">
      <c r="A9817" s="5" t="s">
        <v>9850</v>
      </c>
      <c r="B9817" s="5" t="s">
        <v>11684</v>
      </c>
      <c r="C9817" s="6" t="str">
        <f>_xll.QS.CONTEXT.CREATE("market.9815",A9817,"USD","SOFR")</f>
        <v>QSObject:PricingContext:w1~market.9815:267</v>
      </c>
      <c r="D9817" s="6" t="str">
        <f>_xll.QS.CONTEXT.ADD.CURVE(C9817,"SOFR",$K$2:$K$7,$L$2:$L$7,,,"Actual360","LogLinear",TRUE)</f>
        <v>QSObject:ContextInput:w1~input.qs_context_add_curve.2359132437744.9816.3.0:31298</v>
      </c>
      <c r="E9817" s="6" t="str">
        <f>_xll.QS.INSTRUMENT.SWAP("swap.9815",H9817,B9817,"USD","SOFR",I9817,J9817,0,"Actual360","Simple","Annual","Annual","Annual")</f>
        <v>QSObject:Swap:w1~swap.9815:21595</v>
      </c>
      <c r="F9817" s="6" t="str">
        <f>_xll.QS.TRADE.CREATE("trade.9815",E9817,A9817,"Receive")</f>
        <v>QSObject:SwapTrade:w1~trade.9815:22009</v>
      </c>
      <c r="G9817" s="3">
        <f>_xll.QS.EVALUATE(C9817,F9817)</f>
        <v>40874.059740861863</v>
      </c>
      <c r="H9817" s="5" t="s">
        <v>9857</v>
      </c>
      <c r="I9817" s="7">
        <v>1981500</v>
      </c>
      <c r="J9817" s="8">
        <v>3.6499999999999998E-2</v>
      </c>
    </row>
    <row r="9818" spans="1:10" x14ac:dyDescent="0.25">
      <c r="A9818" s="5" t="s">
        <v>9851</v>
      </c>
      <c r="B9818" s="5" t="s">
        <v>11685</v>
      </c>
      <c r="C9818" s="6" t="str">
        <f>_xll.QS.CONTEXT.CREATE("market.9816",A9818,"USD","SOFR")</f>
        <v>QSObject:PricingContext:w1~market.9816:21594</v>
      </c>
      <c r="D9818" s="6" t="str">
        <f>_xll.QS.CONTEXT.ADD.CURVE(C9818,"SOFR",$K$2:$K$7,$L$2:$L$7,,,"Actual360","LogLinear",TRUE)</f>
        <v>QSObject:ContextInput:w1~input.qs_context_add_curve.2359132437744.9817.3.0:31297</v>
      </c>
      <c r="E9818" s="6" t="str">
        <f>_xll.QS.INSTRUMENT.SWAP("swap.9816",H9818,B9818,"USD","SOFR",I9818,J9818,0,"Actual360","Simple","Annual","Annual","Annual")</f>
        <v>QSObject:Swap:w1~swap.9816:21593</v>
      </c>
      <c r="F9818" s="6" t="str">
        <f>_xll.QS.TRADE.CREATE("trade.9816",E9818,A9818,"Receive")</f>
        <v>QSObject:SwapTrade:w1~trade.9816:22008</v>
      </c>
      <c r="G9818" s="3">
        <f>_xll.QS.EVALUATE(C9818,F9818)</f>
        <v>41934.528042501523</v>
      </c>
      <c r="H9818" s="5" t="s">
        <v>9858</v>
      </c>
      <c r="I9818" s="7">
        <v>1981600</v>
      </c>
      <c r="J9818" s="8">
        <v>3.6600000000000001E-2</v>
      </c>
    </row>
    <row r="9819" spans="1:10" x14ac:dyDescent="0.25">
      <c r="A9819" s="5" t="s">
        <v>9852</v>
      </c>
      <c r="B9819" s="5" t="s">
        <v>11686</v>
      </c>
      <c r="C9819" s="6" t="str">
        <f>_xll.QS.CONTEXT.CREATE("market.9817",A9819,"USD","SOFR")</f>
        <v>QSObject:PricingContext:w1~market.9817:21592</v>
      </c>
      <c r="D9819" s="6" t="str">
        <f>_xll.QS.CONTEXT.ADD.CURVE(C9819,"SOFR",$K$2:$K$7,$L$2:$L$7,,,"Actual360","LogLinear",TRUE)</f>
        <v>QSObject:ContextInput:w1~input.qs_context_add_curve.2359132437744.9818.3.0:31296</v>
      </c>
      <c r="E9819" s="6" t="str">
        <f>_xll.QS.INSTRUMENT.SWAP("swap.9817",H9819,B9819,"USD","SOFR",I9819,J9819,0,"Actual360","Simple","Annual","Annual","Annual")</f>
        <v>QSObject:Swap:w1~swap.9817:21591</v>
      </c>
      <c r="F9819" s="6" t="str">
        <f>_xll.QS.TRADE.CREATE("trade.9817",E9819,A9819,"Receive")</f>
        <v>QSObject:SwapTrade:w1~trade.9817:22007</v>
      </c>
      <c r="G9819" s="3">
        <f>_xll.QS.EVALUATE(C9819,F9819)</f>
        <v>42908.665258844405</v>
      </c>
      <c r="H9819" s="5" t="s">
        <v>9859</v>
      </c>
      <c r="I9819" s="7">
        <v>1981700</v>
      </c>
      <c r="J9819" s="8">
        <v>3.6700000000000003E-2</v>
      </c>
    </row>
    <row r="9820" spans="1:10" x14ac:dyDescent="0.25">
      <c r="A9820" s="5" t="s">
        <v>9853</v>
      </c>
      <c r="B9820" s="5" t="s">
        <v>11687</v>
      </c>
      <c r="C9820" s="6" t="str">
        <f>_xll.QS.CONTEXT.CREATE("market.9818",A9820,"USD","SOFR")</f>
        <v>QSObject:PricingContext:w1~market.9818:21590</v>
      </c>
      <c r="D9820" s="6" t="str">
        <f>_xll.QS.CONTEXT.ADD.CURVE(C9820,"SOFR",$K$2:$K$7,$L$2:$L$7,,,"Actual360","LogLinear",TRUE)</f>
        <v>QSObject:ContextInput:w1~input.qs_context_add_curve.2359132437744.9819.3.0:31295</v>
      </c>
      <c r="E9820" s="6" t="str">
        <f>_xll.QS.INSTRUMENT.SWAP("swap.9818",H9820,B9820,"USD","SOFR",I9820,J9820,0,"Actual360","Simple","Annual","Annual","Annual")</f>
        <v>QSObject:Swap:w1~swap.9818:21589</v>
      </c>
      <c r="F9820" s="6" t="str">
        <f>_xll.QS.TRADE.CREATE("trade.9818",E9820,A9820,"Receive")</f>
        <v>QSObject:SwapTrade:w1~trade.9818:22006</v>
      </c>
      <c r="G9820" s="3">
        <f>_xll.QS.EVALUATE(C9820,F9820)</f>
        <v>43725.284226979755</v>
      </c>
      <c r="H9820" s="5" t="s">
        <v>9860</v>
      </c>
      <c r="I9820" s="7">
        <v>1981800</v>
      </c>
      <c r="J9820" s="8">
        <v>3.6800000000000013E-2</v>
      </c>
    </row>
    <row r="9821" spans="1:10" x14ac:dyDescent="0.25">
      <c r="A9821" s="5" t="s">
        <v>9854</v>
      </c>
      <c r="B9821" s="5" t="s">
        <v>11688</v>
      </c>
      <c r="C9821" s="6" t="str">
        <f>_xll.QS.CONTEXT.CREATE("market.9819",A9821,"USD","SOFR")</f>
        <v>QSObject:PricingContext:w1~market.9819:21588</v>
      </c>
      <c r="D9821" s="6" t="str">
        <f>_xll.QS.CONTEXT.ADD.CURVE(C9821,"SOFR",$K$2:$K$7,$L$2:$L$7,,,"Actual360","LogLinear",TRUE)</f>
        <v>QSObject:ContextInput:w1~input.qs_context_add_curve.2359132437744.9820.3.0:31294</v>
      </c>
      <c r="E9821" s="6" t="str">
        <f>_xll.QS.INSTRUMENT.SWAP("swap.9819",H9821,B9821,"USD","SOFR",I9821,J9821,0,"Actual360","Simple","Annual","Annual","Annual")</f>
        <v>QSObject:Swap:w1~swap.9819:21587</v>
      </c>
      <c r="F9821" s="6" t="str">
        <f>_xll.QS.TRADE.CREATE("trade.9819",E9821,A9821,"Receive")</f>
        <v>QSObject:SwapTrade:w1~trade.9819:22005</v>
      </c>
      <c r="G9821" s="3">
        <f>_xll.QS.EVALUATE(C9821,F9821)</f>
        <v>44558.725507710471</v>
      </c>
      <c r="H9821" s="5" t="s">
        <v>9861</v>
      </c>
      <c r="I9821" s="7">
        <v>1981900</v>
      </c>
      <c r="J9821" s="8">
        <v>3.6900000000000002E-2</v>
      </c>
    </row>
    <row r="9822" spans="1:10" x14ac:dyDescent="0.25">
      <c r="A9822" s="5" t="s">
        <v>9855</v>
      </c>
      <c r="B9822" s="5" t="s">
        <v>11689</v>
      </c>
      <c r="C9822" s="6" t="str">
        <f>_xll.QS.CONTEXT.CREATE("market.9820",A9822,"USD","SOFR")</f>
        <v>QSObject:PricingContext:w1~market.9820:266</v>
      </c>
      <c r="D9822" s="6" t="str">
        <f>_xll.QS.CONTEXT.ADD.CURVE(C9822,"SOFR",$K$2:$K$7,$L$2:$L$7,,,"Actual360","LogLinear",TRUE)</f>
        <v>QSObject:ContextInput:w1~input.qs_context_add_curve.2359132437744.9821.3.0:21586</v>
      </c>
      <c r="E9822" s="6" t="str">
        <f>_xll.QS.INSTRUMENT.SWAP("swap.9820",H9822,B9822,"USD","SOFR",I9822,J9822,0,"Actual360","Simple","Annual","Annual","Annual")</f>
        <v>QSObject:Swap:w1~swap.9820:265</v>
      </c>
      <c r="F9822" s="6" t="str">
        <f>_xll.QS.TRADE.CREATE("trade.9820",E9822,A9822,"Receive")</f>
        <v>QSObject:SwapTrade:w1~trade.9820:21585</v>
      </c>
      <c r="G9822" s="3">
        <f>_xll.QS.EVALUATE(C9822,F9822)</f>
        <v>45319.345536033601</v>
      </c>
      <c r="H9822" s="5" t="s">
        <v>9862</v>
      </c>
      <c r="I9822" s="7">
        <v>1982000</v>
      </c>
      <c r="J9822" s="8">
        <v>3.7000000000000012E-2</v>
      </c>
    </row>
    <row r="9823" spans="1:10" x14ac:dyDescent="0.25">
      <c r="A9823" s="5" t="s">
        <v>9856</v>
      </c>
      <c r="B9823" s="5" t="s">
        <v>11690</v>
      </c>
      <c r="C9823" s="6" t="str">
        <f>_xll.QS.CONTEXT.CREATE("market.9821",A9823,"USD","SOFR")</f>
        <v>QSObject:PricingContext:w1~market.9821:264</v>
      </c>
      <c r="D9823" s="6" t="str">
        <f>_xll.QS.CONTEXT.ADD.CURVE(C9823,"SOFR",$K$2:$K$7,$L$2:$L$7,,,"Actual360","LogLinear",TRUE)</f>
        <v>QSObject:ContextInput:w1~input.qs_context_add_curve.2359132437744.9822.3.0:21584</v>
      </c>
      <c r="E9823" s="6" t="str">
        <f>_xll.QS.INSTRUMENT.SWAP("swap.9821",H9823,B9823,"USD","SOFR",I9823,J9823,0,"Actual360","Simple","Annual","Annual","Annual")</f>
        <v>QSObject:Swap:w1~swap.9821:263</v>
      </c>
      <c r="F9823" s="6" t="str">
        <f>_xll.QS.TRADE.CREATE("trade.9821",E9823,A9823,"Receive")</f>
        <v>QSObject:SwapTrade:w1~trade.9821:21583</v>
      </c>
      <c r="G9823" s="3">
        <f>_xll.QS.EVALUATE(C9823,F9823)</f>
        <v>46390.295133260457</v>
      </c>
      <c r="H9823" s="5" t="s">
        <v>9863</v>
      </c>
      <c r="I9823" s="7">
        <v>1982100</v>
      </c>
      <c r="J9823" s="8">
        <v>3.7100000000000001E-2</v>
      </c>
    </row>
    <row r="9824" spans="1:10" x14ac:dyDescent="0.25">
      <c r="A9824" s="5" t="s">
        <v>9857</v>
      </c>
      <c r="B9824" s="5" t="s">
        <v>11691</v>
      </c>
      <c r="C9824" s="6" t="str">
        <f>_xll.QS.CONTEXT.CREATE("market.9822",A9824,"USD","SOFR")</f>
        <v>QSObject:PricingContext:w1~market.9822:262</v>
      </c>
      <c r="D9824" s="6" t="str">
        <f>_xll.QS.CONTEXT.ADD.CURVE(C9824,"SOFR",$K$2:$K$7,$L$2:$L$7,,,"Actual360","LogLinear",TRUE)</f>
        <v>QSObject:ContextInput:w1~input.qs_context_add_curve.2359132437744.9823.3.0:21582</v>
      </c>
      <c r="E9824" s="6" t="str">
        <f>_xll.QS.INSTRUMENT.SWAP("swap.9822",H9824,B9824,"USD","SOFR",I9824,J9824,0,"Actual360","Simple","Annual","Annual","Annual")</f>
        <v>QSObject:Swap:w1~swap.9822:261</v>
      </c>
      <c r="F9824" s="6" t="str">
        <f>_xll.QS.TRADE.CREATE("trade.9822",E9824,A9824,"Receive")</f>
        <v>QSObject:SwapTrade:w1~trade.9822:21581</v>
      </c>
      <c r="G9824" s="3">
        <f>_xll.QS.EVALUATE(C9824,F9824)</f>
        <v>47513.077327830433</v>
      </c>
      <c r="H9824" s="5" t="s">
        <v>9864</v>
      </c>
      <c r="I9824" s="7">
        <v>1982200</v>
      </c>
      <c r="J9824" s="8">
        <v>3.7199999999999997E-2</v>
      </c>
    </row>
    <row r="9825" spans="1:10" x14ac:dyDescent="0.25">
      <c r="A9825" s="5" t="s">
        <v>9858</v>
      </c>
      <c r="B9825" s="5" t="s">
        <v>11692</v>
      </c>
      <c r="C9825" s="6" t="str">
        <f>_xll.QS.CONTEXT.CREATE("market.9823",A9825,"USD","SOFR")</f>
        <v>QSObject:PricingContext:w1~market.9823:260</v>
      </c>
      <c r="D9825" s="6" t="str">
        <f>_xll.QS.CONTEXT.ADD.CURVE(C9825,"SOFR",$K$2:$K$7,$L$2:$L$7,,,"Actual360","LogLinear",TRUE)</f>
        <v>QSObject:ContextInput:w1~input.qs_context_add_curve.2359132437744.9824.3.0:21580</v>
      </c>
      <c r="E9825" s="6" t="str">
        <f>_xll.QS.INSTRUMENT.SWAP("swap.9823",H9825,B9825,"USD","SOFR",I9825,J9825,0,"Actual360","Simple","Annual","Annual","Annual")</f>
        <v>QSObject:Swap:w1~swap.9823:259</v>
      </c>
      <c r="F9825" s="6" t="str">
        <f>_xll.QS.TRADE.CREATE("trade.9823",E9825,A9825,"Receive")</f>
        <v>QSObject:SwapTrade:w1~trade.9823:21579</v>
      </c>
      <c r="G9825" s="3">
        <f>_xll.QS.EVALUATE(C9825,F9825)</f>
        <v>48440.955686815149</v>
      </c>
      <c r="H9825" s="5" t="s">
        <v>9865</v>
      </c>
      <c r="I9825" s="7">
        <v>1982300</v>
      </c>
      <c r="J9825" s="8">
        <v>3.73E-2</v>
      </c>
    </row>
    <row r="9826" spans="1:10" x14ac:dyDescent="0.25">
      <c r="A9826" s="5" t="s">
        <v>9859</v>
      </c>
      <c r="B9826" s="5" t="s">
        <v>11693</v>
      </c>
      <c r="C9826" s="6" t="str">
        <f>_xll.QS.CONTEXT.CREATE("market.9824",A9826,"USD","SOFR")</f>
        <v>QSObject:PricingContext:w1~market.9824:258</v>
      </c>
      <c r="D9826" s="6" t="str">
        <f>_xll.QS.CONTEXT.ADD.CURVE(C9826,"SOFR",$K$2:$K$7,$L$2:$L$7,,,"Actual360","LogLinear",TRUE)</f>
        <v>QSObject:ContextInput:w1~input.qs_context_add_curve.2359132437744.9825.3.0:31293</v>
      </c>
      <c r="E9826" s="6" t="str">
        <f>_xll.QS.INSTRUMENT.SWAP("swap.9824",H9826,B9826,"USD","SOFR",I9826,J9826,0,"Actual360","Simple","Annual","Annual","Annual")</f>
        <v>QSObject:Swap:w1~swap.9824:21578</v>
      </c>
      <c r="F9826" s="6" t="str">
        <f>_xll.QS.TRADE.CREATE("trade.9824",E9826,A9826,"Receive")</f>
        <v>QSObject:SwapTrade:w1~trade.9824:22004</v>
      </c>
      <c r="G9826" s="3">
        <f>_xll.QS.EVALUATE(C9826,F9826)</f>
        <v>49351.535174481221</v>
      </c>
      <c r="H9826" s="5" t="s">
        <v>9866</v>
      </c>
      <c r="I9826" s="7">
        <v>1982400</v>
      </c>
      <c r="J9826" s="8">
        <v>3.7400000000000003E-2</v>
      </c>
    </row>
    <row r="9827" spans="1:10" x14ac:dyDescent="0.25">
      <c r="A9827" s="5" t="s">
        <v>9860</v>
      </c>
      <c r="B9827" s="5" t="s">
        <v>11694</v>
      </c>
      <c r="C9827" s="6" t="str">
        <f>_xll.QS.CONTEXT.CREATE("market.9825",A9827,"USD","SOFR")</f>
        <v>QSObject:PricingContext:w1~market.9825:21577</v>
      </c>
      <c r="D9827" s="6" t="str">
        <f>_xll.QS.CONTEXT.ADD.CURVE(C9827,"SOFR",$K$2:$K$7,$L$2:$L$7,,,"Actual360","LogLinear",TRUE)</f>
        <v>QSObject:ContextInput:w1~input.qs_context_add_curve.2359132437744.9826.3.0:31292</v>
      </c>
      <c r="E9827" s="6" t="str">
        <f>_xll.QS.INSTRUMENT.SWAP("swap.9825",H9827,B9827,"USD","SOFR",I9827,J9827,0,"Actual360","Simple","Annual","Annual","Annual")</f>
        <v>QSObject:Swap:w1~swap.9825:21576</v>
      </c>
      <c r="F9827" s="6" t="str">
        <f>_xll.QS.TRADE.CREATE("trade.9825",E9827,A9827,"Receive")</f>
        <v>QSObject:SwapTrade:w1~trade.9825:22003</v>
      </c>
      <c r="G9827" s="3">
        <f>_xll.QS.EVALUATE(C9827,F9827)</f>
        <v>50191.782437833099</v>
      </c>
      <c r="H9827" s="5" t="s">
        <v>9867</v>
      </c>
      <c r="I9827" s="7">
        <v>1982500</v>
      </c>
      <c r="J9827" s="8">
        <v>3.7500000000000012E-2</v>
      </c>
    </row>
    <row r="9828" spans="1:10" x14ac:dyDescent="0.25">
      <c r="A9828" s="5" t="s">
        <v>9861</v>
      </c>
      <c r="B9828" s="5" t="s">
        <v>11695</v>
      </c>
      <c r="C9828" s="6" t="str">
        <f>_xll.QS.CONTEXT.CREATE("market.9826",A9828,"USD","SOFR")</f>
        <v>QSObject:PricingContext:w1~market.9826:21575</v>
      </c>
      <c r="D9828" s="6" t="str">
        <f>_xll.QS.CONTEXT.ADD.CURVE(C9828,"SOFR",$K$2:$K$7,$L$2:$L$7,,,"Actual360","LogLinear",TRUE)</f>
        <v>QSObject:ContextInput:w1~input.qs_context_add_curve.2359132437744.9827.3.0:31291</v>
      </c>
      <c r="E9828" s="6" t="str">
        <f>_xll.QS.INSTRUMENT.SWAP("swap.9826",H9828,B9828,"USD","SOFR",I9828,J9828,0,"Actual360","Simple","Annual","Annual","Annual")</f>
        <v>QSObject:Swap:w1~swap.9826:21574</v>
      </c>
      <c r="F9828" s="6" t="str">
        <f>_xll.QS.TRADE.CREATE("trade.9826",E9828,A9828,"Receive")</f>
        <v>QSObject:SwapTrade:w1~trade.9826:22002</v>
      </c>
      <c r="G9828" s="3">
        <f>_xll.QS.EVALUATE(C9828,F9828)</f>
        <v>50964.825793517397</v>
      </c>
      <c r="H9828" s="5" t="s">
        <v>9868</v>
      </c>
      <c r="I9828" s="7">
        <v>1982600</v>
      </c>
      <c r="J9828" s="8">
        <v>3.7600000000000001E-2</v>
      </c>
    </row>
    <row r="9829" spans="1:10" x14ac:dyDescent="0.25">
      <c r="A9829" s="5" t="s">
        <v>9862</v>
      </c>
      <c r="B9829" s="5" t="s">
        <v>11696</v>
      </c>
      <c r="C9829" s="6" t="str">
        <f>_xll.QS.CONTEXT.CREATE("market.9827",A9829,"USD","SOFR")</f>
        <v>QSObject:PricingContext:w1~market.9827:21573</v>
      </c>
      <c r="D9829" s="6" t="str">
        <f>_xll.QS.CONTEXT.ADD.CURVE(C9829,"SOFR",$K$2:$K$7,$L$2:$L$7,,,"Actual360","LogLinear",TRUE)</f>
        <v>QSObject:ContextInput:w1~input.qs_context_add_curve.2359132437744.9828.3.0:31290</v>
      </c>
      <c r="E9829" s="6" t="str">
        <f>_xll.QS.INSTRUMENT.SWAP("swap.9827",H9829,B9829,"USD","SOFR",I9829,J9829,0,"Actual360","Simple","Annual","Annual","Annual")</f>
        <v>QSObject:Swap:w1~swap.9827:21572</v>
      </c>
      <c r="F9829" s="6" t="str">
        <f>_xll.QS.TRADE.CREATE("trade.9827",E9829,A9829,"Receive")</f>
        <v>QSObject:SwapTrade:w1~trade.9827:22001</v>
      </c>
      <c r="G9829" s="3">
        <f>_xll.QS.EVALUATE(C9829,F9829)</f>
        <v>51736.045307267334</v>
      </c>
      <c r="H9829" s="5" t="s">
        <v>9869</v>
      </c>
      <c r="I9829" s="7">
        <v>1982700</v>
      </c>
      <c r="J9829" s="8">
        <v>3.7699999999999997E-2</v>
      </c>
    </row>
    <row r="9830" spans="1:10" x14ac:dyDescent="0.25">
      <c r="A9830" s="5" t="s">
        <v>9863</v>
      </c>
      <c r="B9830" s="5" t="s">
        <v>11697</v>
      </c>
      <c r="C9830" s="6" t="str">
        <f>_xll.QS.CONTEXT.CREATE("market.9828",A9830,"USD","SOFR")</f>
        <v>QSObject:PricingContext:w1~market.9828:21571</v>
      </c>
      <c r="D9830" s="6" t="str">
        <f>_xll.QS.CONTEXT.ADD.CURVE(C9830,"SOFR",$K$2:$K$7,$L$2:$L$7,,,"Actual360","LogLinear",TRUE)</f>
        <v>QSObject:ContextInput:w1~input.qs_context_add_curve.2359132437744.9829.3.0:31289</v>
      </c>
      <c r="E9830" s="6" t="str">
        <f>_xll.QS.INSTRUMENT.SWAP("swap.9828",H9830,B9830,"USD","SOFR",I9830,J9830,0,"Actual360","Simple","Annual","Annual","Annual")</f>
        <v>QSObject:Swap:w1~swap.9828:257</v>
      </c>
      <c r="F9830" s="6" t="str">
        <f>_xll.QS.TRADE.CREATE("trade.9828",E9830,A9830,"Receive")</f>
        <v>QSObject:SwapTrade:w1~trade.9828:21570</v>
      </c>
      <c r="G9830" s="3">
        <f>_xll.QS.EVALUATE(C9830,F9830)</f>
        <v>52736.781934152714</v>
      </c>
      <c r="H9830" s="5" t="s">
        <v>9870</v>
      </c>
      <c r="I9830" s="7">
        <v>1982800</v>
      </c>
      <c r="J9830" s="8">
        <v>3.78E-2</v>
      </c>
    </row>
    <row r="9831" spans="1:10" x14ac:dyDescent="0.25">
      <c r="A9831" s="5" t="s">
        <v>9864</v>
      </c>
      <c r="B9831" s="5" t="s">
        <v>11698</v>
      </c>
      <c r="C9831" s="6" t="str">
        <f>_xll.QS.CONTEXT.CREATE("market.9829",A9831,"USD","SOFR")</f>
        <v>QSObject:PricingContext:w1~market.9829:256</v>
      </c>
      <c r="D9831" s="6" t="str">
        <f>_xll.QS.CONTEXT.ADD.CURVE(C9831,"SOFR",$K$2:$K$7,$L$2:$L$7,,,"Actual360","LogLinear",TRUE)</f>
        <v>QSObject:ContextInput:w1~input.qs_context_add_curve.2359132437744.9830.3.0:31288</v>
      </c>
      <c r="E9831" s="6" t="str">
        <f>_xll.QS.INSTRUMENT.SWAP("swap.9829",H9831,B9831,"USD","SOFR",I9831,J9831,0,"Actual360","Simple","Annual","Annual","Annual")</f>
        <v>QSObject:Swap:w1~swap.9829:21569</v>
      </c>
      <c r="F9831" s="6" t="str">
        <f>_xll.QS.TRADE.CREATE("trade.9829",E9831,A9831,"Receive")</f>
        <v>QSObject:SwapTrade:w1~trade.9829:22000</v>
      </c>
      <c r="G9831" s="3">
        <f>_xll.QS.EVALUATE(C9831,F9831)</f>
        <v>53703.955638460196</v>
      </c>
      <c r="H9831" s="5" t="s">
        <v>9871</v>
      </c>
      <c r="I9831" s="7">
        <v>1982900</v>
      </c>
      <c r="J9831" s="8">
        <v>3.7900000000000003E-2</v>
      </c>
    </row>
    <row r="9832" spans="1:10" x14ac:dyDescent="0.25">
      <c r="A9832" s="5" t="s">
        <v>9865</v>
      </c>
      <c r="B9832" s="5" t="s">
        <v>11699</v>
      </c>
      <c r="C9832" s="6" t="str">
        <f>_xll.QS.CONTEXT.CREATE("market.9830",A9832,"USD","SOFR")</f>
        <v>QSObject:PricingContext:w1~market.9830:21568</v>
      </c>
      <c r="D9832" s="6" t="str">
        <f>_xll.QS.CONTEXT.ADD.CURVE(C9832,"SOFR",$K$2:$K$7,$L$2:$L$7,,,"Actual360","LogLinear",TRUE)</f>
        <v>QSObject:ContextInput:w1~input.qs_context_add_curve.2359132437744.9831.3.0:31287</v>
      </c>
      <c r="E9832" s="6" t="str">
        <f>_xll.QS.INSTRUMENT.SWAP("swap.9830",H9832,B9832,"USD","SOFR",I9832,J9832,0,"Actual360","Simple","Annual","Annual","Annual")</f>
        <v>QSObject:Swap:w1~swap.9830:255</v>
      </c>
      <c r="F9832" s="6" t="str">
        <f>_xll.QS.TRADE.CREATE("trade.9830",E9832,A9832,"Receive")</f>
        <v>QSObject:SwapTrade:w1~trade.9830:21567</v>
      </c>
      <c r="G9832" s="3">
        <f>_xll.QS.EVALUATE(C9832,F9832)</f>
        <v>54766.024208539682</v>
      </c>
      <c r="H9832" s="5" t="s">
        <v>9872</v>
      </c>
      <c r="I9832" s="7">
        <v>1983000</v>
      </c>
      <c r="J9832" s="8">
        <v>3.8000000000000013E-2</v>
      </c>
    </row>
    <row r="9833" spans="1:10" x14ac:dyDescent="0.25">
      <c r="A9833" s="5" t="s">
        <v>9866</v>
      </c>
      <c r="B9833" s="5" t="s">
        <v>11700</v>
      </c>
      <c r="C9833" s="6" t="str">
        <f>_xll.QS.CONTEXT.CREATE("market.9831",A9833,"USD","SOFR")</f>
        <v>QSObject:PricingContext:w1~market.9831:254</v>
      </c>
      <c r="D9833" s="6" t="str">
        <f>_xll.QS.CONTEXT.ADD.CURVE(C9833,"SOFR",$K$2:$K$7,$L$2:$L$7,,,"Actual360","LogLinear",TRUE)</f>
        <v>QSObject:ContextInput:w1~input.qs_context_add_curve.2359132437744.9832.3.0:21566</v>
      </c>
      <c r="E9833" s="6" t="str">
        <f>_xll.QS.INSTRUMENT.SWAP("swap.9831",H9833,B9833,"USD","SOFR",I9833,J9833,0,"Actual360","Simple","Annual","Annual","Annual")</f>
        <v>QSObject:Swap:w1~swap.9831:253</v>
      </c>
      <c r="F9833" s="6" t="str">
        <f>_xll.QS.TRADE.CREATE("trade.9831",E9833,A9833,"Receive")</f>
        <v>QSObject:SwapTrade:w1~trade.9831:21565</v>
      </c>
      <c r="G9833" s="3">
        <f>_xll.QS.EVALUATE(C9833,F9833)</f>
        <v>55769.694616536297</v>
      </c>
      <c r="H9833" s="5" t="s">
        <v>9873</v>
      </c>
      <c r="I9833" s="7">
        <v>1983100</v>
      </c>
      <c r="J9833" s="8">
        <v>3.8100000000000002E-2</v>
      </c>
    </row>
    <row r="9834" spans="1:10" x14ac:dyDescent="0.25">
      <c r="A9834" s="5" t="s">
        <v>9867</v>
      </c>
      <c r="B9834" s="5" t="s">
        <v>11701</v>
      </c>
      <c r="C9834" s="6" t="str">
        <f>_xll.QS.CONTEXT.CREATE("market.9832",A9834,"USD","SOFR")</f>
        <v>QSObject:PricingContext:w1~market.9832:252</v>
      </c>
      <c r="D9834" s="6" t="str">
        <f>_xll.QS.CONTEXT.ADD.CURVE(C9834,"SOFR",$K$2:$K$7,$L$2:$L$7,,,"Actual360","LogLinear",TRUE)</f>
        <v>QSObject:ContextInput:w1~input.qs_context_add_curve.2359132437744.9833.3.0:21564</v>
      </c>
      <c r="E9834" s="6" t="str">
        <f>_xll.QS.INSTRUMENT.SWAP("swap.9832",H9834,B9834,"USD","SOFR",I9834,J9834,0,"Actual360","Simple","Annual","Annual","Annual")</f>
        <v>QSObject:Swap:w1~swap.9832:251</v>
      </c>
      <c r="F9834" s="6" t="str">
        <f>_xll.QS.TRADE.CREATE("trade.9832",E9834,A9834,"Receive")</f>
        <v>QSObject:SwapTrade:w1~trade.9832:21563</v>
      </c>
      <c r="G9834" s="3">
        <f>_xll.QS.EVALUATE(C9834,F9834)</f>
        <v>56611.225823065754</v>
      </c>
      <c r="H9834" s="5" t="s">
        <v>9874</v>
      </c>
      <c r="I9834" s="7">
        <v>1983200</v>
      </c>
      <c r="J9834" s="8">
        <v>3.8199999999999998E-2</v>
      </c>
    </row>
    <row r="9835" spans="1:10" x14ac:dyDescent="0.25">
      <c r="A9835" s="5" t="s">
        <v>9868</v>
      </c>
      <c r="B9835" s="5" t="s">
        <v>11702</v>
      </c>
      <c r="C9835" s="6" t="str">
        <f>_xll.QS.CONTEXT.CREATE("market.9833",A9835,"USD","SOFR")</f>
        <v>QSObject:PricingContext:w1~market.9833:250</v>
      </c>
      <c r="D9835" s="6" t="str">
        <f>_xll.QS.CONTEXT.ADD.CURVE(C9835,"SOFR",$K$2:$K$7,$L$2:$L$7,,,"Actual360","LogLinear",TRUE)</f>
        <v>QSObject:ContextInput:w1~input.qs_context_add_curve.2359132437744.9834.3.0:31286</v>
      </c>
      <c r="E9835" s="6" t="str">
        <f>_xll.QS.INSTRUMENT.SWAP("swap.9833",H9835,B9835,"USD","SOFR",I9835,J9835,0,"Actual360","Simple","Annual","Annual","Annual")</f>
        <v>QSObject:Swap:w1~swap.9833:21562</v>
      </c>
      <c r="F9835" s="6" t="str">
        <f>_xll.QS.TRADE.CREATE("trade.9833",E9835,A9835,"Receive")</f>
        <v>QSObject:SwapTrade:w1~trade.9833:21999</v>
      </c>
      <c r="G9835" s="3">
        <f>_xll.QS.EVALUATE(C9835,F9835)</f>
        <v>57377.327261596911</v>
      </c>
      <c r="H9835" s="5" t="s">
        <v>9875</v>
      </c>
      <c r="I9835" s="7">
        <v>1983300</v>
      </c>
      <c r="J9835" s="8">
        <v>3.8300000000000001E-2</v>
      </c>
    </row>
    <row r="9836" spans="1:10" x14ac:dyDescent="0.25">
      <c r="A9836" s="5" t="s">
        <v>9869</v>
      </c>
      <c r="B9836" s="5" t="s">
        <v>11703</v>
      </c>
      <c r="C9836" s="6" t="str">
        <f>_xll.QS.CONTEXT.CREATE("market.9834",A9836,"USD","SOFR")</f>
        <v>QSObject:PricingContext:w1~market.9834:21561</v>
      </c>
      <c r="D9836" s="6" t="str">
        <f>_xll.QS.CONTEXT.ADD.CURVE(C9836,"SOFR",$K$2:$K$7,$L$2:$L$7,,,"Actual360","LogLinear",TRUE)</f>
        <v>QSObject:ContextInput:w1~input.qs_context_add_curve.2359132437744.9835.3.0:31285</v>
      </c>
      <c r="E9836" s="6" t="str">
        <f>_xll.QS.INSTRUMENT.SWAP("swap.9834",H9836,B9836,"USD","SOFR",I9836,J9836,0,"Actual360","Simple","Annual","Annual","Annual")</f>
        <v>QSObject:Swap:w1~swap.9834:21560</v>
      </c>
      <c r="F9836" s="6" t="str">
        <f>_xll.QS.TRADE.CREATE("trade.9834",E9836,A9836,"Receive")</f>
        <v>QSObject:SwapTrade:w1~trade.9834:21998</v>
      </c>
      <c r="G9836" s="3">
        <f>_xll.QS.EVALUATE(C9836,F9836)</f>
        <v>58159.073315272035</v>
      </c>
      <c r="H9836" s="5" t="s">
        <v>9876</v>
      </c>
      <c r="I9836" s="7">
        <v>1983400</v>
      </c>
      <c r="J9836" s="8">
        <v>3.8399999999999997E-2</v>
      </c>
    </row>
    <row r="9837" spans="1:10" x14ac:dyDescent="0.25">
      <c r="A9837" s="5" t="s">
        <v>9870</v>
      </c>
      <c r="B9837" s="5" t="s">
        <v>11704</v>
      </c>
      <c r="C9837" s="6" t="str">
        <f>_xll.QS.CONTEXT.CREATE("market.9835",A9837,"USD","SOFR")</f>
        <v>QSObject:PricingContext:w1~market.9835:21559</v>
      </c>
      <c r="D9837" s="6" t="str">
        <f>_xll.QS.CONTEXT.ADD.CURVE(C9837,"SOFR",$K$2:$K$7,$L$2:$L$7,,,"Actual360","LogLinear",TRUE)</f>
        <v>QSObject:ContextInput:w1~input.qs_context_add_curve.2359132437744.9836.3.0:31284</v>
      </c>
      <c r="E9837" s="6" t="str">
        <f>_xll.QS.INSTRUMENT.SWAP("swap.9835",H9837,B9837,"USD","SOFR",I9837,J9837,0,"Actual360","Simple","Annual","Annual","Annual")</f>
        <v>QSObject:Swap:w1~swap.9835:249</v>
      </c>
      <c r="F9837" s="6" t="str">
        <f>_xll.QS.TRADE.CREATE("trade.9835",E9837,A9837,"Receive")</f>
        <v>QSObject:SwapTrade:w1~trade.9835:21558</v>
      </c>
      <c r="G9837" s="3">
        <f>_xll.QS.EVALUATE(C9837,F9837)</f>
        <v>59161.470717776945</v>
      </c>
      <c r="H9837" s="5" t="s">
        <v>9877</v>
      </c>
      <c r="I9837" s="7">
        <v>1983500</v>
      </c>
      <c r="J9837" s="8">
        <v>3.8500000000000013E-2</v>
      </c>
    </row>
    <row r="9838" spans="1:10" x14ac:dyDescent="0.25">
      <c r="A9838" s="5" t="s">
        <v>9871</v>
      </c>
      <c r="B9838" s="5" t="s">
        <v>11705</v>
      </c>
      <c r="C9838" s="6" t="str">
        <f>_xll.QS.CONTEXT.CREATE("market.9836",A9838,"USD","SOFR")</f>
        <v>QSObject:PricingContext:w1~market.9836:248</v>
      </c>
      <c r="D9838" s="6" t="str">
        <f>_xll.QS.CONTEXT.ADD.CURVE(C9838,"SOFR",$K$2:$K$7,$L$2:$L$7,,,"Actual360","LogLinear",TRUE)</f>
        <v>QSObject:ContextInput:w1~input.qs_context_add_curve.2359132437744.9837.3.0:31283</v>
      </c>
      <c r="E9838" s="6" t="str">
        <f>_xll.QS.INSTRUMENT.SWAP("swap.9836",H9838,B9838,"USD","SOFR",I9838,J9838,0,"Actual360","Simple","Annual","Annual","Annual")</f>
        <v>QSObject:Swap:w1~swap.9836:21557</v>
      </c>
      <c r="F9838" s="6" t="str">
        <f>_xll.QS.TRADE.CREATE("trade.9836",E9838,A9838,"Receive")</f>
        <v>QSObject:SwapTrade:w1~trade.9836:21997</v>
      </c>
      <c r="G9838" s="3">
        <f>_xll.QS.EVALUATE(C9838,F9838)</f>
        <v>60126.221689035185</v>
      </c>
      <c r="H9838" s="5" t="s">
        <v>9878</v>
      </c>
      <c r="I9838" s="7">
        <v>1983600</v>
      </c>
      <c r="J9838" s="8">
        <v>3.8600000000000002E-2</v>
      </c>
    </row>
    <row r="9839" spans="1:10" x14ac:dyDescent="0.25">
      <c r="A9839" s="5" t="s">
        <v>9872</v>
      </c>
      <c r="B9839" s="5" t="s">
        <v>11706</v>
      </c>
      <c r="C9839" s="6" t="str">
        <f>_xll.QS.CONTEXT.CREATE("market.9837",A9839,"USD","SOFR")</f>
        <v>QSObject:PricingContext:w1~market.9837:21556</v>
      </c>
      <c r="D9839" s="6" t="str">
        <f>_xll.QS.CONTEXT.ADD.CURVE(C9839,"SOFR",$K$2:$K$7,$L$2:$L$7,,,"Actual360","LogLinear",TRUE)</f>
        <v>QSObject:ContextInput:w1~input.qs_context_add_curve.2359132437744.9838.3.0:31282</v>
      </c>
      <c r="E9839" s="6" t="str">
        <f>_xll.QS.INSTRUMENT.SWAP("swap.9837",H9839,B9839,"USD","SOFR",I9839,J9839,0,"Actual360","Simple","Annual","Annual","Annual")</f>
        <v>QSObject:Swap:w1~swap.9837:21555</v>
      </c>
      <c r="F9839" s="6" t="str">
        <f>_xll.QS.TRADE.CREATE("trade.9837",E9839,A9839,"Receive")</f>
        <v>QSObject:SwapTrade:w1~trade.9837:21996</v>
      </c>
      <c r="G9839" s="3">
        <f>_xll.QS.EVALUATE(C9839,F9839)</f>
        <v>61189.077177997489</v>
      </c>
      <c r="H9839" s="5" t="s">
        <v>9879</v>
      </c>
      <c r="I9839" s="7">
        <v>1983700</v>
      </c>
      <c r="J9839" s="8">
        <v>3.8700000000000012E-2</v>
      </c>
    </row>
    <row r="9840" spans="1:10" x14ac:dyDescent="0.25">
      <c r="A9840" s="5" t="s">
        <v>9873</v>
      </c>
      <c r="B9840" s="5" t="s">
        <v>11707</v>
      </c>
      <c r="C9840" s="6" t="str">
        <f>_xll.QS.CONTEXT.CREATE("market.9838",A9840,"USD","SOFR")</f>
        <v>QSObject:PricingContext:w1~market.9838:21554</v>
      </c>
      <c r="D9840" s="6" t="str">
        <f>_xll.QS.CONTEXT.ADD.CURVE(C9840,"SOFR",$K$2:$K$7,$L$2:$L$7,,,"Actual360","LogLinear",TRUE)</f>
        <v>QSObject:ContextInput:w1~input.qs_context_add_curve.2359132437744.9839.3.0:31281</v>
      </c>
      <c r="E9840" s="6" t="str">
        <f>_xll.QS.INSTRUMENT.SWAP("swap.9838",H9840,B9840,"USD","SOFR",I9840,J9840,0,"Actual360","Simple","Annual","Annual","Annual")</f>
        <v>QSObject:Swap:w1~swap.9838:21553</v>
      </c>
      <c r="F9840" s="6" t="str">
        <f>_xll.QS.TRADE.CREATE("trade.9838",E9840,A9840,"Receive")</f>
        <v>QSObject:SwapTrade:w1~trade.9838:21995</v>
      </c>
      <c r="G9840" s="3">
        <f>_xll.QS.EVALUATE(C9840,F9840)</f>
        <v>62193.783595461886</v>
      </c>
      <c r="H9840" s="5" t="s">
        <v>9880</v>
      </c>
      <c r="I9840" s="7">
        <v>1983800</v>
      </c>
      <c r="J9840" s="8">
        <v>3.8800000000000001E-2</v>
      </c>
    </row>
    <row r="9841" spans="1:10" x14ac:dyDescent="0.25">
      <c r="A9841" s="5" t="s">
        <v>9874</v>
      </c>
      <c r="B9841" s="5" t="s">
        <v>11708</v>
      </c>
      <c r="C9841" s="6" t="str">
        <f>_xll.QS.CONTEXT.CREATE("market.9839",A9841,"USD","SOFR")</f>
        <v>QSObject:PricingContext:w1~market.9839:21552</v>
      </c>
      <c r="D9841" s="6" t="str">
        <f>_xll.QS.CONTEXT.ADD.CURVE(C9841,"SOFR",$K$2:$K$7,$L$2:$L$7,,,"Actual360","LogLinear",TRUE)</f>
        <v>QSObject:ContextInput:w1~input.qs_context_add_curve.2359132437744.9840.3.0:31280</v>
      </c>
      <c r="E9841" s="6" t="str">
        <f>_xll.QS.INSTRUMENT.SWAP("swap.9839",H9841,B9841,"USD","SOFR",I9841,J9841,0,"Actual360","Simple","Annual","Annual","Annual")</f>
        <v>QSObject:Swap:w1~swap.9839:21551</v>
      </c>
      <c r="F9841" s="6" t="str">
        <f>_xll.QS.TRADE.CREATE("trade.9839",E9841,A9841,"Receive")</f>
        <v>QSObject:SwapTrade:w1~trade.9839:21994</v>
      </c>
      <c r="G9841" s="3">
        <f>_xll.QS.EVALUATE(C9841,F9841)</f>
        <v>63035.186046812356</v>
      </c>
      <c r="H9841" s="5" t="s">
        <v>9881</v>
      </c>
      <c r="I9841" s="7">
        <v>1983900</v>
      </c>
      <c r="J9841" s="8">
        <v>3.8899999999999997E-2</v>
      </c>
    </row>
    <row r="9842" spans="1:10" x14ac:dyDescent="0.25">
      <c r="A9842" s="5" t="s">
        <v>9875</v>
      </c>
      <c r="B9842" s="5" t="s">
        <v>11709</v>
      </c>
      <c r="C9842" s="6" t="str">
        <f>_xll.QS.CONTEXT.CREATE("market.9840",A9842,"USD","SOFR")</f>
        <v>QSObject:PricingContext:w1~market.9840:21550</v>
      </c>
      <c r="D9842" s="6" t="str">
        <f>_xll.QS.CONTEXT.ADD.CURVE(C9842,"SOFR",$K$2:$K$7,$L$2:$L$7,,,"Actual360","LogLinear",TRUE)</f>
        <v>QSObject:ContextInput:w1~input.qs_context_add_curve.2359132437744.9841.3.0:31279</v>
      </c>
      <c r="E9842" s="6" t="str">
        <f>_xll.QS.INSTRUMENT.SWAP("swap.9840",H9842,B9842,"USD","SOFR",I9842,J9842,0,"Actual360","Simple","Annual","Annual","Annual")</f>
        <v>QSObject:Swap:w1~swap.9840:21549</v>
      </c>
      <c r="F9842" s="6" t="str">
        <f>_xll.QS.TRADE.CREATE("trade.9840",E9842,A9842,"Receive")</f>
        <v>QSObject:SwapTrade:w1~trade.9840:21993</v>
      </c>
      <c r="G9842" s="3">
        <f>_xll.QS.EVALUATE(C9842,F9842)</f>
        <v>63794.337920237878</v>
      </c>
      <c r="H9842" s="5" t="s">
        <v>9882</v>
      </c>
      <c r="I9842" s="7">
        <v>1984000</v>
      </c>
      <c r="J9842" s="8">
        <v>3.9000000000000007E-2</v>
      </c>
    </row>
    <row r="9843" spans="1:10" x14ac:dyDescent="0.25">
      <c r="A9843" s="5" t="s">
        <v>9876</v>
      </c>
      <c r="B9843" s="5" t="s">
        <v>11710</v>
      </c>
      <c r="C9843" s="6" t="str">
        <f>_xll.QS.CONTEXT.CREATE("market.9841",A9843,"USD","SOFR")</f>
        <v>QSObject:PricingContext:w1~market.9841:21548</v>
      </c>
      <c r="D9843" s="6" t="str">
        <f>_xll.QS.CONTEXT.ADD.CURVE(C9843,"SOFR",$K$2:$K$7,$L$2:$L$7,,,"Actual360","LogLinear",TRUE)</f>
        <v>QSObject:ContextInput:w1~input.qs_context_add_curve.2359132437744.9842.3.0:31278</v>
      </c>
      <c r="E9843" s="6" t="str">
        <f>_xll.QS.INSTRUMENT.SWAP("swap.9841",H9843,B9843,"USD","SOFR",I9843,J9843,0,"Actual360","Simple","Annual","Annual","Annual")</f>
        <v>QSObject:Swap:w1~swap.9841:21547</v>
      </c>
      <c r="F9843" s="6" t="str">
        <f>_xll.QS.TRADE.CREATE("trade.9841",E9843,A9843,"Receive")</f>
        <v>QSObject:SwapTrade:w1~trade.9841:21992</v>
      </c>
      <c r="G9843" s="3">
        <f>_xll.QS.EVALUATE(C9843,F9843)</f>
        <v>64586.610541738919</v>
      </c>
      <c r="H9843" s="5" t="s">
        <v>9883</v>
      </c>
      <c r="I9843" s="7">
        <v>1984100</v>
      </c>
      <c r="J9843" s="8">
        <v>3.9100000000000003E-2</v>
      </c>
    </row>
    <row r="9844" spans="1:10" x14ac:dyDescent="0.25">
      <c r="A9844" s="5" t="s">
        <v>9877</v>
      </c>
      <c r="B9844" s="5" t="s">
        <v>11711</v>
      </c>
      <c r="C9844" s="6" t="str">
        <f>_xll.QS.CONTEXT.CREATE("market.9842",A9844,"USD","SOFR")</f>
        <v>QSObject:PricingContext:w1~market.9842:21546</v>
      </c>
      <c r="D9844" s="6" t="str">
        <f>_xll.QS.CONTEXT.ADD.CURVE(C9844,"SOFR",$K$2:$K$7,$L$2:$L$7,,,"Actual360","LogLinear",TRUE)</f>
        <v>QSObject:ContextInput:w1~input.qs_context_add_curve.2359132437744.9843.3.0:31277</v>
      </c>
      <c r="E9844" s="6" t="str">
        <f>_xll.QS.INSTRUMENT.SWAP("swap.9842",H9844,B9844,"USD","SOFR",I9844,J9844,0,"Actual360","Simple","Annual","Annual","Annual")</f>
        <v>QSObject:Swap:w1~swap.9842:21545</v>
      </c>
      <c r="F9844" s="6" t="str">
        <f>_xll.QS.TRADE.CREATE("trade.9842",E9844,A9844,"Receive")</f>
        <v>QSObject:SwapTrade:w1~trade.9842:21991</v>
      </c>
      <c r="G9844" s="3">
        <f>_xll.QS.EVALUATE(C9844,F9844)</f>
        <v>65590.304031970561</v>
      </c>
      <c r="H9844" s="5" t="s">
        <v>9884</v>
      </c>
      <c r="I9844" s="7">
        <v>1984200</v>
      </c>
      <c r="J9844" s="8">
        <v>3.9200000000000013E-2</v>
      </c>
    </row>
    <row r="9845" spans="1:10" x14ac:dyDescent="0.25">
      <c r="A9845" s="5" t="s">
        <v>9878</v>
      </c>
      <c r="B9845" s="5" t="s">
        <v>11712</v>
      </c>
      <c r="C9845" s="6" t="str">
        <f>_xll.QS.CONTEXT.CREATE("market.9843",A9845,"USD","SOFR")</f>
        <v>QSObject:PricingContext:w1~market.9843:21544</v>
      </c>
      <c r="D9845" s="6" t="str">
        <f>_xll.QS.CONTEXT.ADD.CURVE(C9845,"SOFR",$K$2:$K$7,$L$2:$L$7,,,"Actual360","LogLinear",TRUE)</f>
        <v>QSObject:ContextInput:w1~input.qs_context_add_curve.2359132437744.9844.3.0:31276</v>
      </c>
      <c r="E9845" s="6" t="str">
        <f>_xll.QS.INSTRUMENT.SWAP("swap.9843",H9845,B9845,"USD","SOFR",I9845,J9845,0,"Actual360","Simple","Annual","Annual","Annual")</f>
        <v>QSObject:Swap:w1~swap.9843:21543</v>
      </c>
      <c r="F9845" s="6" t="str">
        <f>_xll.QS.TRADE.CREATE("trade.9843",E9845,A9845,"Receive")</f>
        <v>QSObject:SwapTrade:w1~trade.9843:21990</v>
      </c>
      <c r="G9845" s="3">
        <f>_xll.QS.EVALUATE(C9845,F9845)</f>
        <v>66552.610126453466</v>
      </c>
      <c r="H9845" s="5" t="s">
        <v>9885</v>
      </c>
      <c r="I9845" s="7">
        <v>1984300</v>
      </c>
      <c r="J9845" s="8">
        <v>3.9300000000000002E-2</v>
      </c>
    </row>
    <row r="9846" spans="1:10" x14ac:dyDescent="0.25">
      <c r="A9846" s="5" t="s">
        <v>9879</v>
      </c>
      <c r="B9846" s="5" t="s">
        <v>11713</v>
      </c>
      <c r="C9846" s="6" t="str">
        <f>_xll.QS.CONTEXT.CREATE("market.9844",A9846,"USD","SOFR")</f>
        <v>QSObject:PricingContext:w1~market.9844:21542</v>
      </c>
      <c r="D9846" s="6" t="str">
        <f>_xll.QS.CONTEXT.ADD.CURVE(C9846,"SOFR",$K$2:$K$7,$L$2:$L$7,,,"Actual360","LogLinear",TRUE)</f>
        <v>QSObject:ContextInput:w1~input.qs_context_add_curve.2359132437744.9845.3.0:31275</v>
      </c>
      <c r="E9846" s="6" t="str">
        <f>_xll.QS.INSTRUMENT.SWAP("swap.9844",H9846,B9846,"USD","SOFR",I9846,J9846,0,"Actual360","Simple","Annual","Annual","Annual")</f>
        <v>QSObject:Swap:w1~swap.9844:21541</v>
      </c>
      <c r="F9846" s="6" t="str">
        <f>_xll.QS.TRADE.CREATE("trade.9844",E9846,A9846,"Receive")</f>
        <v>QSObject:SwapTrade:w1~trade.9844:21989</v>
      </c>
      <c r="G9846" s="3">
        <f>_xll.QS.EVALUATE(C9846,F9846)</f>
        <v>67616.257439506502</v>
      </c>
      <c r="H9846" s="5" t="s">
        <v>9886</v>
      </c>
      <c r="I9846" s="7">
        <v>1984400</v>
      </c>
      <c r="J9846" s="8">
        <v>3.9399999999999998E-2</v>
      </c>
    </row>
    <row r="9847" spans="1:10" x14ac:dyDescent="0.25">
      <c r="A9847" s="5" t="s">
        <v>9880</v>
      </c>
      <c r="B9847" s="5" t="s">
        <v>11714</v>
      </c>
      <c r="C9847" s="6" t="str">
        <f>_xll.QS.CONTEXT.CREATE("market.9845",A9847,"USD","SOFR")</f>
        <v>QSObject:PricingContext:w1~market.9845:21540</v>
      </c>
      <c r="D9847" s="6" t="str">
        <f>_xll.QS.CONTEXT.ADD.CURVE(C9847,"SOFR",$K$2:$K$7,$L$2:$L$7,,,"Actual360","LogLinear",TRUE)</f>
        <v>QSObject:ContextInput:w1~input.qs_context_add_curve.2359132437744.9846.3.0:31274</v>
      </c>
      <c r="E9847" s="6" t="str">
        <f>_xll.QS.INSTRUMENT.SWAP("swap.9845",H9847,B9847,"USD","SOFR",I9847,J9847,0,"Actual360","Simple","Annual","Annual","Annual")</f>
        <v>QSObject:Swap:w1~swap.9845:247</v>
      </c>
      <c r="F9847" s="6" t="str">
        <f>_xll.QS.TRADE.CREATE("trade.9845",E9847,A9847,"Receive")</f>
        <v>QSObject:SwapTrade:w1~trade.9845:21539</v>
      </c>
      <c r="G9847" s="3">
        <f>_xll.QS.EVALUATE(C9847,F9847)</f>
        <v>68621.713635881722</v>
      </c>
      <c r="H9847" s="5" t="s">
        <v>9887</v>
      </c>
      <c r="I9847" s="7">
        <v>1984500</v>
      </c>
      <c r="J9847" s="8">
        <v>3.9500000000000007E-2</v>
      </c>
    </row>
    <row r="9848" spans="1:10" x14ac:dyDescent="0.25">
      <c r="A9848" s="5" t="s">
        <v>9881</v>
      </c>
      <c r="B9848" s="5" t="s">
        <v>11715</v>
      </c>
      <c r="C9848" s="6" t="str">
        <f>_xll.QS.CONTEXT.CREATE("market.9846",A9848,"USD","SOFR")</f>
        <v>QSObject:PricingContext:w1~market.9846:246</v>
      </c>
      <c r="D9848" s="6" t="str">
        <f>_xll.QS.CONTEXT.ADD.CURVE(C9848,"SOFR",$K$2:$K$7,$L$2:$L$7,,,"Actual360","LogLinear",TRUE)</f>
        <v>QSObject:ContextInput:w1~input.qs_context_add_curve.2359132437744.9847.3.0:21538</v>
      </c>
      <c r="E9848" s="6" t="str">
        <f>_xll.QS.INSTRUMENT.SWAP("swap.9846",H9848,B9848,"USD","SOFR",I9848,J9848,0,"Actual360","Simple","Annual","Annual","Annual")</f>
        <v>QSObject:Swap:w1~swap.9846:245</v>
      </c>
      <c r="F9848" s="6" t="str">
        <f>_xll.QS.TRADE.CREATE("trade.9846",E9848,A9848,"Receive")</f>
        <v>QSObject:SwapTrade:w1~trade.9846:21537</v>
      </c>
      <c r="G9848" s="3">
        <f>_xll.QS.EVALUATE(C9848,F9848)</f>
        <v>69463.476401789478</v>
      </c>
      <c r="H9848" s="5" t="s">
        <v>9888</v>
      </c>
      <c r="I9848" s="7">
        <v>1984600</v>
      </c>
      <c r="J9848" s="8">
        <v>3.9600000000000003E-2</v>
      </c>
    </row>
    <row r="9849" spans="1:10" x14ac:dyDescent="0.25">
      <c r="A9849" s="5" t="s">
        <v>9882</v>
      </c>
      <c r="B9849" s="5" t="s">
        <v>11716</v>
      </c>
      <c r="C9849" s="6" t="str">
        <f>_xll.QS.CONTEXT.CREATE("market.9847",A9849,"USD","SOFR")</f>
        <v>QSObject:PricingContext:w1~market.9847:244</v>
      </c>
      <c r="D9849" s="6" t="str">
        <f>_xll.QS.CONTEXT.ADD.CURVE(C9849,"SOFR",$K$2:$K$7,$L$2:$L$7,,,"Actual360","LogLinear",TRUE)</f>
        <v>QSObject:ContextInput:w1~input.qs_context_add_curve.2359132437744.9848.3.0:21536</v>
      </c>
      <c r="E9849" s="6" t="str">
        <f>_xll.QS.INSTRUMENT.SWAP("swap.9847",H9849,B9849,"USD","SOFR",I9849,J9849,0,"Actual360","Simple","Annual","Annual","Annual")</f>
        <v>QSObject:Swap:w1~swap.9847:243</v>
      </c>
      <c r="F9849" s="6" t="str">
        <f>_xll.QS.TRADE.CREATE("trade.9847",E9849,A9849,"Receive")</f>
        <v>QSObject:SwapTrade:w1~trade.9847:21535</v>
      </c>
      <c r="G9849" s="3">
        <f>_xll.QS.EVALUATE(C9849,F9849)</f>
        <v>70049.769419974065</v>
      </c>
      <c r="H9849" s="5" t="s">
        <v>9889</v>
      </c>
      <c r="I9849" s="7">
        <v>1984700</v>
      </c>
      <c r="J9849" s="8">
        <v>3.9700000000000013E-2</v>
      </c>
    </row>
    <row r="9850" spans="1:10" x14ac:dyDescent="0.25">
      <c r="A9850" s="5" t="s">
        <v>9883</v>
      </c>
      <c r="B9850" s="5" t="s">
        <v>11717</v>
      </c>
      <c r="C9850" s="6" t="str">
        <f>_xll.QS.CONTEXT.CREATE("market.9848",A9850,"USD","SOFR")</f>
        <v>QSObject:PricingContext:w1~market.9848:242</v>
      </c>
      <c r="D9850" s="6" t="str">
        <f>_xll.QS.CONTEXT.ADD.CURVE(C9850,"SOFR",$K$2:$K$7,$L$2:$L$7,,,"Actual360","LogLinear",TRUE)</f>
        <v>QSObject:ContextInput:w1~input.qs_context_add_curve.2359132437744.9849.3.0:21534</v>
      </c>
      <c r="E9850" s="6" t="str">
        <f>_xll.QS.INSTRUMENT.SWAP("swap.9848",H9850,B9850,"USD","SOFR",I9850,J9850,0,"Actual360","Simple","Annual","Annual","Annual")</f>
        <v>QSObject:Swap:w1~swap.9848:241</v>
      </c>
      <c r="F9850" s="6" t="str">
        <f>_xll.QS.TRADE.CREATE("trade.9848",E9850,A9850,"Receive")</f>
        <v>QSObject:SwapTrade:w1~trade.9848:21533</v>
      </c>
      <c r="G9850" s="3">
        <f>_xll.QS.EVALUATE(C9850,F9850)</f>
        <v>70973.706959021452</v>
      </c>
      <c r="H9850" s="5" t="s">
        <v>9890</v>
      </c>
      <c r="I9850" s="7">
        <v>1984800</v>
      </c>
      <c r="J9850" s="8">
        <v>3.9800000000000002E-2</v>
      </c>
    </row>
    <row r="9851" spans="1:10" x14ac:dyDescent="0.25">
      <c r="A9851" s="5" t="s">
        <v>9884</v>
      </c>
      <c r="B9851" s="5" t="s">
        <v>11718</v>
      </c>
      <c r="C9851" s="6" t="str">
        <f>_xll.QS.CONTEXT.CREATE("market.9849",A9851,"USD","SOFR")</f>
        <v>QSObject:PricingContext:w1~market.9849:240</v>
      </c>
      <c r="D9851" s="6" t="str">
        <f>_xll.QS.CONTEXT.ADD.CURVE(C9851,"SOFR",$K$2:$K$7,$L$2:$L$7,,,"Actual360","LogLinear",TRUE)</f>
        <v>QSObject:ContextInput:w1~input.qs_context_add_curve.2359132437744.9850.3.0:21532</v>
      </c>
      <c r="E9851" s="6" t="str">
        <f>_xll.QS.INSTRUMENT.SWAP("swap.9849",H9851,B9851,"USD","SOFR",I9851,J9851,0,"Actual360","Simple","Annual","Annual","Annual")</f>
        <v>QSObject:Swap:w1~swap.9849:239</v>
      </c>
      <c r="F9851" s="6" t="str">
        <f>_xll.QS.TRADE.CREATE("trade.9849",E9851,A9851,"Receive")</f>
        <v>QSObject:SwapTrade:w1~trade.9849:21531</v>
      </c>
      <c r="G9851" s="3">
        <f>_xll.QS.EVALUATE(C9851,F9851)</f>
        <v>71978.84900585252</v>
      </c>
      <c r="H9851" s="5" t="s">
        <v>9891</v>
      </c>
      <c r="I9851" s="7">
        <v>1984900</v>
      </c>
      <c r="J9851" s="8">
        <v>3.9899999999999998E-2</v>
      </c>
    </row>
    <row r="9852" spans="1:10" x14ac:dyDescent="0.25">
      <c r="A9852" s="5" t="s">
        <v>9885</v>
      </c>
      <c r="B9852" s="5" t="s">
        <v>11719</v>
      </c>
      <c r="C9852" s="6" t="str">
        <f>_xll.QS.CONTEXT.CREATE("market.9850",A9852,"USD","SOFR")</f>
        <v>QSObject:PricingContext:w1~market.9850:238</v>
      </c>
      <c r="D9852" s="6" t="str">
        <f>_xll.QS.CONTEXT.ADD.CURVE(C9852,"SOFR",$K$2:$K$7,$L$2:$L$7,,,"Actual360","LogLinear",TRUE)</f>
        <v>QSObject:ContextInput:w1~input.qs_context_add_curve.2359132437744.9851.3.0:21530</v>
      </c>
      <c r="E9852" s="6" t="str">
        <f>_xll.QS.INSTRUMENT.SWAP("swap.9850",H9852,B9852,"USD","SOFR",I9852,J9852,0,"Actual360","Simple","Annual","Annual","Annual")</f>
        <v>QSObject:Swap:w1~swap.9850:237</v>
      </c>
      <c r="F9852" s="6" t="str">
        <f>_xll.QS.TRADE.CREATE("trade.9850",E9852,A9852,"Receive")</f>
        <v>QSObject:SwapTrade:w1~trade.9850:21529</v>
      </c>
      <c r="G9852" s="3">
        <f>_xll.QS.EVALUATE(C9852,F9852)</f>
        <v>27435.214013484612</v>
      </c>
      <c r="H9852" s="5" t="s">
        <v>9892</v>
      </c>
      <c r="I9852" s="7">
        <v>1985000</v>
      </c>
      <c r="J9852" s="8">
        <v>3.5000000000000003E-2</v>
      </c>
    </row>
    <row r="9853" spans="1:10" x14ac:dyDescent="0.25">
      <c r="A9853" s="5" t="s">
        <v>9886</v>
      </c>
      <c r="B9853" s="5" t="s">
        <v>11720</v>
      </c>
      <c r="C9853" s="6" t="str">
        <f>_xll.QS.CONTEXT.CREATE("market.9851",A9853,"USD","SOFR")</f>
        <v>QSObject:PricingContext:w1~market.9851:236</v>
      </c>
      <c r="D9853" s="6" t="str">
        <f>_xll.QS.CONTEXT.ADD.CURVE(C9853,"SOFR",$K$2:$K$7,$L$2:$L$7,,,"Actual360","LogLinear",TRUE)</f>
        <v>QSObject:ContextInput:w1~input.qs_context_add_curve.2359132437744.9852.3.0:21528</v>
      </c>
      <c r="E9853" s="6" t="str">
        <f>_xll.QS.INSTRUMENT.SWAP("swap.9851",H9853,B9853,"USD","SOFR",I9853,J9853,0,"Actual360","Simple","Annual","Annual","Annual")</f>
        <v>QSObject:Swap:w1~swap.9851:235</v>
      </c>
      <c r="F9853" s="6" t="str">
        <f>_xll.QS.TRADE.CREATE("trade.9851",E9853,A9853,"Receive")</f>
        <v>QSObject:SwapTrade:w1~trade.9851:21527</v>
      </c>
      <c r="G9853" s="3">
        <f>_xll.QS.EVALUATE(C9853,F9853)</f>
        <v>28350.472860546317</v>
      </c>
      <c r="H9853" s="5" t="s">
        <v>9893</v>
      </c>
      <c r="I9853" s="7">
        <v>1985100</v>
      </c>
      <c r="J9853" s="8">
        <v>3.5100000000000013E-2</v>
      </c>
    </row>
    <row r="9854" spans="1:10" x14ac:dyDescent="0.25">
      <c r="A9854" s="5" t="s">
        <v>9887</v>
      </c>
      <c r="B9854" s="5" t="s">
        <v>11721</v>
      </c>
      <c r="C9854" s="6" t="str">
        <f>_xll.QS.CONTEXT.CREATE("market.9852",A9854,"USD","SOFR")</f>
        <v>QSObject:PricingContext:w1~market.9852:234</v>
      </c>
      <c r="D9854" s="6" t="str">
        <f>_xll.QS.CONTEXT.ADD.CURVE(C9854,"SOFR",$K$2:$K$7,$L$2:$L$7,,,"Actual360","LogLinear",TRUE)</f>
        <v>QSObject:ContextInput:w1~input.qs_context_add_curve.2359132437744.9853.3.0:21526</v>
      </c>
      <c r="E9854" s="6" t="str">
        <f>_xll.QS.INSTRUMENT.SWAP("swap.9852",H9854,B9854,"USD","SOFR",I9854,J9854,0,"Actual360","Simple","Annual","Annual","Annual")</f>
        <v>QSObject:Swap:w1~swap.9852:233</v>
      </c>
      <c r="F9854" s="6" t="str">
        <f>_xll.QS.TRADE.CREATE("trade.9852",E9854,A9854,"Receive")</f>
        <v>QSObject:SwapTrade:w1~trade.9852:21525</v>
      </c>
      <c r="G9854" s="3">
        <f>_xll.QS.EVALUATE(C9854,F9854)</f>
        <v>29283.313307950499</v>
      </c>
      <c r="H9854" s="5" t="s">
        <v>9894</v>
      </c>
      <c r="I9854" s="7">
        <v>1985200</v>
      </c>
      <c r="J9854" s="8">
        <v>3.5200000000000002E-2</v>
      </c>
    </row>
    <row r="9855" spans="1:10" x14ac:dyDescent="0.25">
      <c r="A9855" s="5" t="s">
        <v>9888</v>
      </c>
      <c r="B9855" s="5" t="s">
        <v>11722</v>
      </c>
      <c r="C9855" s="6" t="str">
        <f>_xll.QS.CONTEXT.CREATE("market.9853",A9855,"USD","SOFR")</f>
        <v>QSObject:PricingContext:w1~market.9853:232</v>
      </c>
      <c r="D9855" s="6" t="str">
        <f>_xll.QS.CONTEXT.ADD.CURVE(C9855,"SOFR",$K$2:$K$7,$L$2:$L$7,,,"Actual360","LogLinear",TRUE)</f>
        <v>QSObject:ContextInput:w1~input.qs_context_add_curve.2359132437744.9854.3.0:31273</v>
      </c>
      <c r="E9855" s="6" t="str">
        <f>_xll.QS.INSTRUMENT.SWAP("swap.9853",H9855,B9855,"USD","SOFR",I9855,J9855,0,"Actual360","Simple","Annual","Annual","Annual")</f>
        <v>QSObject:Swap:w1~swap.9853:21524</v>
      </c>
      <c r="F9855" s="6" t="str">
        <f>_xll.QS.TRADE.CREATE("trade.9853",E9855,A9855,"Receive")</f>
        <v>QSObject:SwapTrade:w1~trade.9853:21988</v>
      </c>
      <c r="G9855" s="3">
        <f>_xll.QS.EVALUATE(C9855,F9855)</f>
        <v>30200.768646551711</v>
      </c>
      <c r="H9855" s="5" t="s">
        <v>9895</v>
      </c>
      <c r="I9855" s="7">
        <v>1985300</v>
      </c>
      <c r="J9855" s="8">
        <v>3.5299999999999998E-2</v>
      </c>
    </row>
    <row r="9856" spans="1:10" x14ac:dyDescent="0.25">
      <c r="A9856" s="5" t="s">
        <v>9889</v>
      </c>
      <c r="B9856" s="5" t="s">
        <v>11723</v>
      </c>
      <c r="C9856" s="6" t="str">
        <f>_xll.QS.CONTEXT.CREATE("market.9854",A9856,"USD","SOFR")</f>
        <v>QSObject:PricingContext:w1~market.9854:21523</v>
      </c>
      <c r="D9856" s="6" t="str">
        <f>_xll.QS.CONTEXT.ADD.CURVE(C9856,"SOFR",$K$2:$K$7,$L$2:$L$7,,,"Actual360","LogLinear",TRUE)</f>
        <v>QSObject:ContextInput:w1~input.qs_context_add_curve.2359132437744.9855.3.0:31272</v>
      </c>
      <c r="E9856" s="6" t="str">
        <f>_xll.QS.INSTRUMENT.SWAP("swap.9854",H9856,B9856,"USD","SOFR",I9856,J9856,0,"Actual360","Simple","Annual","Annual","Annual")</f>
        <v>QSObject:Swap:w1~swap.9854:231</v>
      </c>
      <c r="F9856" s="6" t="str">
        <f>_xll.QS.TRADE.CREATE("trade.9854",E9856,A9856,"Receive")</f>
        <v>QSObject:SwapTrade:w1~trade.9854:21522</v>
      </c>
      <c r="G9856" s="3">
        <f>_xll.QS.EVALUATE(C9856,F9856)</f>
        <v>31060.368852043386</v>
      </c>
      <c r="H9856" s="5" t="s">
        <v>9896</v>
      </c>
      <c r="I9856" s="7">
        <v>1985400</v>
      </c>
      <c r="J9856" s="8">
        <v>3.5400000000000001E-2</v>
      </c>
    </row>
    <row r="9857" spans="1:10" x14ac:dyDescent="0.25">
      <c r="A9857" s="5" t="s">
        <v>9890</v>
      </c>
      <c r="B9857" s="5" t="s">
        <v>11724</v>
      </c>
      <c r="C9857" s="6" t="str">
        <f>_xll.QS.CONTEXT.CREATE("market.9855",A9857,"USD","SOFR")</f>
        <v>QSObject:PricingContext:w1~market.9855:230</v>
      </c>
      <c r="D9857" s="6" t="str">
        <f>_xll.QS.CONTEXT.ADD.CURVE(C9857,"SOFR",$K$2:$K$7,$L$2:$L$7,,,"Actual360","LogLinear",TRUE)</f>
        <v>QSObject:ContextInput:w1~input.qs_context_add_curve.2359132437744.9856.3.0:21521</v>
      </c>
      <c r="E9857" s="6" t="str">
        <f>_xll.QS.INSTRUMENT.SWAP("swap.9855",H9857,B9857,"USD","SOFR",I9857,J9857,0,"Actual360","Simple","Annual","Annual","Annual")</f>
        <v>QSObject:Swap:w1~swap.9855:229</v>
      </c>
      <c r="F9857" s="6" t="str">
        <f>_xll.QS.TRADE.CREATE("trade.9855",E9857,A9857,"Receive")</f>
        <v>QSObject:SwapTrade:w1~trade.9855:21520</v>
      </c>
      <c r="G9857" s="3">
        <f>_xll.QS.EVALUATE(C9857,F9857)</f>
        <v>31716.469250833652</v>
      </c>
      <c r="H9857" s="5" t="s">
        <v>9897</v>
      </c>
      <c r="I9857" s="7">
        <v>1985500</v>
      </c>
      <c r="J9857" s="8">
        <v>3.5499999999999997E-2</v>
      </c>
    </row>
    <row r="9858" spans="1:10" x14ac:dyDescent="0.25">
      <c r="A9858" s="5" t="s">
        <v>9891</v>
      </c>
      <c r="B9858" s="5" t="s">
        <v>11725</v>
      </c>
      <c r="C9858" s="6" t="str">
        <f>_xll.QS.CONTEXT.CREATE("market.9856",A9858,"USD","SOFR")</f>
        <v>QSObject:PricingContext:w1~market.9856:228</v>
      </c>
      <c r="D9858" s="6" t="str">
        <f>_xll.QS.CONTEXT.ADD.CURVE(C9858,"SOFR",$K$2:$K$7,$L$2:$L$7,,,"Actual360","LogLinear",TRUE)</f>
        <v>QSObject:ContextInput:w1~input.qs_context_add_curve.2359132437744.9857.3.0:21519</v>
      </c>
      <c r="E9858" s="6" t="str">
        <f>_xll.QS.INSTRUMENT.SWAP("swap.9856",H9858,B9858,"USD","SOFR",I9858,J9858,0,"Actual360","Simple","Annual","Annual","Annual")</f>
        <v>QSObject:Swap:w1~swap.9856:227</v>
      </c>
      <c r="F9858" s="6" t="str">
        <f>_xll.QS.TRADE.CREATE("trade.9856",E9858,A9858,"Receive")</f>
        <v>QSObject:SwapTrade:w1~trade.9856:21518</v>
      </c>
      <c r="G9858" s="3">
        <f>_xll.QS.EVALUATE(C9858,F9858)</f>
        <v>32636.289577247277</v>
      </c>
      <c r="H9858" s="5" t="s">
        <v>9898</v>
      </c>
      <c r="I9858" s="7">
        <v>1985600</v>
      </c>
      <c r="J9858" s="8">
        <v>3.5600000000000007E-2</v>
      </c>
    </row>
    <row r="9859" spans="1:10" x14ac:dyDescent="0.25">
      <c r="A9859" s="5" t="s">
        <v>9892</v>
      </c>
      <c r="B9859" s="5" t="s">
        <v>11726</v>
      </c>
      <c r="C9859" s="6" t="str">
        <f>_xll.QS.CONTEXT.CREATE("market.9857",A9859,"USD","SOFR")</f>
        <v>QSObject:PricingContext:w1~market.9857:226</v>
      </c>
      <c r="D9859" s="6" t="str">
        <f>_xll.QS.CONTEXT.ADD.CURVE(C9859,"SOFR",$K$2:$K$7,$L$2:$L$7,,,"Actual360","LogLinear",TRUE)</f>
        <v>QSObject:ContextInput:w1~input.qs_context_add_curve.2359132437744.9858.3.0:21517</v>
      </c>
      <c r="E9859" s="6" t="str">
        <f>_xll.QS.INSTRUMENT.SWAP("swap.9857",H9859,B9859,"USD","SOFR",I9859,J9859,0,"Actual360","Simple","Annual","Annual","Annual")</f>
        <v>QSObject:Swap:w1~swap.9857:225</v>
      </c>
      <c r="F9859" s="6" t="str">
        <f>_xll.QS.TRADE.CREATE("trade.9857",E9859,A9859,"Receive")</f>
        <v>QSObject:SwapTrade:w1~trade.9857:21516</v>
      </c>
      <c r="G9859" s="3">
        <f>_xll.QS.EVALUATE(C9859,F9859)</f>
        <v>33635.61682770383</v>
      </c>
      <c r="H9859" s="5" t="s">
        <v>9899</v>
      </c>
      <c r="I9859" s="7">
        <v>1985700</v>
      </c>
      <c r="J9859" s="8">
        <v>3.5700000000000003E-2</v>
      </c>
    </row>
    <row r="9860" spans="1:10" x14ac:dyDescent="0.25">
      <c r="A9860" s="5" t="s">
        <v>9893</v>
      </c>
      <c r="B9860" s="5" t="s">
        <v>11727</v>
      </c>
      <c r="C9860" s="6" t="str">
        <f>_xll.QS.CONTEXT.CREATE("market.9858",A9860,"USD","SOFR")</f>
        <v>QSObject:PricingContext:w1~market.9858:224</v>
      </c>
      <c r="D9860" s="6" t="str">
        <f>_xll.QS.CONTEXT.ADD.CURVE(C9860,"SOFR",$K$2:$K$7,$L$2:$L$7,,,"Actual360","LogLinear",TRUE)</f>
        <v>QSObject:ContextInput:w1~input.qs_context_add_curve.2359132437744.9859.3.0:21515</v>
      </c>
      <c r="E9860" s="6" t="str">
        <f>_xll.QS.INSTRUMENT.SWAP("swap.9858",H9860,B9860,"USD","SOFR",I9860,J9860,0,"Actual360","Simple","Annual","Annual","Annual")</f>
        <v>QSObject:Swap:w1~swap.9858:223</v>
      </c>
      <c r="F9860" s="6" t="str">
        <f>_xll.QS.TRADE.CREATE("trade.9858",E9860,A9860,"Receive")</f>
        <v>QSObject:SwapTrade:w1~trade.9858:21514</v>
      </c>
      <c r="G9860" s="3">
        <f>_xll.QS.EVALUATE(C9860,F9860)</f>
        <v>34774.394768367529</v>
      </c>
      <c r="H9860" s="5" t="s">
        <v>9900</v>
      </c>
      <c r="I9860" s="7">
        <v>1985800</v>
      </c>
      <c r="J9860" s="8">
        <v>3.5800000000000012E-2</v>
      </c>
    </row>
    <row r="9861" spans="1:10" x14ac:dyDescent="0.25">
      <c r="A9861" s="5" t="s">
        <v>9894</v>
      </c>
      <c r="B9861" s="5" t="s">
        <v>11728</v>
      </c>
      <c r="C9861" s="6" t="str">
        <f>_xll.QS.CONTEXT.CREATE("market.9859",A9861,"USD","SOFR")</f>
        <v>QSObject:PricingContext:w1~market.9859:222</v>
      </c>
      <c r="D9861" s="6" t="str">
        <f>_xll.QS.CONTEXT.ADD.CURVE(C9861,"SOFR",$K$2:$K$7,$L$2:$L$7,,,"Actual360","LogLinear",TRUE)</f>
        <v>QSObject:ContextInput:w1~input.qs_context_add_curve.2359132437744.9860.3.0:21513</v>
      </c>
      <c r="E9861" s="6" t="str">
        <f>_xll.QS.INSTRUMENT.SWAP("swap.9859",H9861,B9861,"USD","SOFR",I9861,J9861,0,"Actual360","Simple","Annual","Annual","Annual")</f>
        <v>QSObject:Swap:w1~swap.9859:221</v>
      </c>
      <c r="F9861" s="6" t="str">
        <f>_xll.QS.TRADE.CREATE("trade.9859",E9861,A9861,"Receive")</f>
        <v>QSObject:SwapTrade:w1~trade.9859:21512</v>
      </c>
      <c r="G9861" s="3">
        <f>_xll.QS.EVALUATE(C9861,F9861)</f>
        <v>35704.145106095188</v>
      </c>
      <c r="H9861" s="5" t="s">
        <v>9901</v>
      </c>
      <c r="I9861" s="7">
        <v>1985900</v>
      </c>
      <c r="J9861" s="8">
        <v>3.5900000000000001E-2</v>
      </c>
    </row>
    <row r="9862" spans="1:10" x14ac:dyDescent="0.25">
      <c r="A9862" s="5" t="s">
        <v>9895</v>
      </c>
      <c r="B9862" s="5" t="s">
        <v>11729</v>
      </c>
      <c r="C9862" s="6" t="str">
        <f>_xll.QS.CONTEXT.CREATE("market.9860",A9862,"USD","SOFR")</f>
        <v>QSObject:PricingContext:w1~market.9860:220</v>
      </c>
      <c r="D9862" s="6" t="str">
        <f>_xll.QS.CONTEXT.ADD.CURVE(C9862,"SOFR",$K$2:$K$7,$L$2:$L$7,,,"Actual360","LogLinear",TRUE)</f>
        <v>QSObject:ContextInput:w1~input.qs_context_add_curve.2359132437744.9861.3.0:21511</v>
      </c>
      <c r="E9862" s="6" t="str">
        <f>_xll.QS.INSTRUMENT.SWAP("swap.9860",H9862,B9862,"USD","SOFR",I9862,J9862,0,"Actual360","Simple","Annual","Annual","Annual")</f>
        <v>QSObject:Swap:w1~swap.9860:219</v>
      </c>
      <c r="F9862" s="6" t="str">
        <f>_xll.QS.TRADE.CREATE("trade.9860",E9862,A9862,"Receive")</f>
        <v>QSObject:SwapTrade:w1~trade.9860:21510</v>
      </c>
      <c r="G9862" s="3">
        <f>_xll.QS.EVALUATE(C9862,F9862)</f>
        <v>36623.121707188337</v>
      </c>
      <c r="H9862" s="5" t="s">
        <v>9902</v>
      </c>
      <c r="I9862" s="7">
        <v>1986000</v>
      </c>
      <c r="J9862" s="8">
        <v>3.5999999999999997E-2</v>
      </c>
    </row>
    <row r="9863" spans="1:10" x14ac:dyDescent="0.25">
      <c r="A9863" s="5" t="s">
        <v>9896</v>
      </c>
      <c r="B9863" s="5" t="s">
        <v>11730</v>
      </c>
      <c r="C9863" s="6" t="str">
        <f>_xll.QS.CONTEXT.CREATE("market.9861",A9863,"USD","SOFR")</f>
        <v>QSObject:PricingContext:w1~market.9861:218</v>
      </c>
      <c r="D9863" s="6" t="str">
        <f>_xll.QS.CONTEXT.ADD.CURVE(C9863,"SOFR",$K$2:$K$7,$L$2:$L$7,,,"Actual360","LogLinear",TRUE)</f>
        <v>QSObject:ContextInput:w1~input.qs_context_add_curve.2359132437744.9862.3.0:21509</v>
      </c>
      <c r="E9863" s="6" t="str">
        <f>_xll.QS.INSTRUMENT.SWAP("swap.9861",H9863,B9863,"USD","SOFR",I9863,J9863,0,"Actual360","Simple","Annual","Annual","Annual")</f>
        <v>QSObject:Swap:w1~swap.9861:217</v>
      </c>
      <c r="F9863" s="6" t="str">
        <f>_xll.QS.TRADE.CREATE("trade.9861",E9863,A9863,"Receive")</f>
        <v>QSObject:SwapTrade:w1~trade.9861:21508</v>
      </c>
      <c r="G9863" s="3">
        <f>_xll.QS.EVALUATE(C9863,F9863)</f>
        <v>37412.996531385572</v>
      </c>
      <c r="H9863" s="5" t="s">
        <v>9903</v>
      </c>
      <c r="I9863" s="7">
        <v>1986100</v>
      </c>
      <c r="J9863" s="8">
        <v>3.61E-2</v>
      </c>
    </row>
    <row r="9864" spans="1:10" x14ac:dyDescent="0.25">
      <c r="A9864" s="5" t="s">
        <v>9897</v>
      </c>
      <c r="B9864" s="5" t="s">
        <v>11731</v>
      </c>
      <c r="C9864" s="6" t="str">
        <f>_xll.QS.CONTEXT.CREATE("market.9862",A9864,"USD","SOFR")</f>
        <v>QSObject:PricingContext:w1~market.9862:216</v>
      </c>
      <c r="D9864" s="6" t="str">
        <f>_xll.QS.CONTEXT.ADD.CURVE(C9864,"SOFR",$K$2:$K$7,$L$2:$L$7,,,"Actual360","LogLinear",TRUE)</f>
        <v>QSObject:ContextInput:w1~input.qs_context_add_curve.2359132437744.9863.3.0:21507</v>
      </c>
      <c r="E9864" s="6" t="str">
        <f>_xll.QS.INSTRUMENT.SWAP("swap.9862",H9864,B9864,"USD","SOFR",I9864,J9864,0,"Actual360","Simple","Annual","Annual","Annual")</f>
        <v>QSObject:Swap:w1~swap.9862:215</v>
      </c>
      <c r="F9864" s="6" t="str">
        <f>_xll.QS.TRADE.CREATE("trade.9862",E9864,A9864,"Receive")</f>
        <v>QSObject:SwapTrade:w1~trade.9862:21506</v>
      </c>
      <c r="G9864" s="3">
        <f>_xll.QS.EVALUATE(C9864,F9864)</f>
        <v>38163.338226764223</v>
      </c>
      <c r="H9864" s="5" t="s">
        <v>9904</v>
      </c>
      <c r="I9864" s="7">
        <v>1986200</v>
      </c>
      <c r="J9864" s="8">
        <v>3.6200000000000003E-2</v>
      </c>
    </row>
    <row r="9865" spans="1:10" x14ac:dyDescent="0.25">
      <c r="A9865" s="5" t="s">
        <v>9898</v>
      </c>
      <c r="B9865" s="5" t="s">
        <v>11732</v>
      </c>
      <c r="C9865" s="6" t="str">
        <f>_xll.QS.CONTEXT.CREATE("market.9863",A9865,"USD","SOFR")</f>
        <v>QSObject:PricingContext:w1~market.9863:214</v>
      </c>
      <c r="D9865" s="6" t="str">
        <f>_xll.QS.CONTEXT.ADD.CURVE(C9865,"SOFR",$K$2:$K$7,$L$2:$L$7,,,"Actual360","LogLinear",TRUE)</f>
        <v>QSObject:ContextInput:w1~input.qs_context_add_curve.2359132437744.9864.3.0:21505</v>
      </c>
      <c r="E9865" s="6" t="str">
        <f>_xll.QS.INSTRUMENT.SWAP("swap.9863",H9865,B9865,"USD","SOFR",I9865,J9865,0,"Actual360","Simple","Annual","Annual","Annual")</f>
        <v>QSObject:Swap:w1~swap.9863:213</v>
      </c>
      <c r="F9865" s="6" t="str">
        <f>_xll.QS.TRADE.CREATE("trade.9863",E9865,A9865,"Receive")</f>
        <v>QSObject:SwapTrade:w1~trade.9863:21504</v>
      </c>
      <c r="G9865" s="3">
        <f>_xll.QS.EVALUATE(C9865,F9865)</f>
        <v>39084.385412952986</v>
      </c>
      <c r="H9865" s="5" t="s">
        <v>9905</v>
      </c>
      <c r="I9865" s="7">
        <v>1986300</v>
      </c>
      <c r="J9865" s="8">
        <v>3.6300000000000013E-2</v>
      </c>
    </row>
    <row r="9866" spans="1:10" x14ac:dyDescent="0.25">
      <c r="A9866" s="5" t="s">
        <v>9899</v>
      </c>
      <c r="B9866" s="5" t="s">
        <v>11733</v>
      </c>
      <c r="C9866" s="6" t="str">
        <f>_xll.QS.CONTEXT.CREATE("market.9864",A9866,"USD","SOFR")</f>
        <v>QSObject:PricingContext:w1~market.9864:212</v>
      </c>
      <c r="D9866" s="6" t="str">
        <f>_xll.QS.CONTEXT.ADD.CURVE(C9866,"SOFR",$K$2:$K$7,$L$2:$L$7,,,"Actual360","LogLinear",TRUE)</f>
        <v>QSObject:ContextInput:w1~input.qs_context_add_curve.2359132437744.9865.3.0:21503</v>
      </c>
      <c r="E9866" s="6" t="str">
        <f>_xll.QS.INSTRUMENT.SWAP("swap.9864",H9866,B9866,"USD","SOFR",I9866,J9866,0,"Actual360","Simple","Annual","Annual","Annual")</f>
        <v>QSObject:Swap:w1~swap.9864:211</v>
      </c>
      <c r="F9866" s="6" t="str">
        <f>_xll.QS.TRADE.CREATE("trade.9864",E9866,A9866,"Receive")</f>
        <v>QSObject:SwapTrade:w1~trade.9864:21502</v>
      </c>
      <c r="G9866" s="3">
        <f>_xll.QS.EVALUATE(C9866,F9866)</f>
        <v>40059.254917615581</v>
      </c>
      <c r="H9866" s="5" t="s">
        <v>9906</v>
      </c>
      <c r="I9866" s="7">
        <v>1986400</v>
      </c>
      <c r="J9866" s="8">
        <v>3.6400000000000002E-2</v>
      </c>
    </row>
    <row r="9867" spans="1:10" x14ac:dyDescent="0.25">
      <c r="A9867" s="5" t="s">
        <v>9900</v>
      </c>
      <c r="B9867" s="5" t="s">
        <v>11734</v>
      </c>
      <c r="C9867" s="6" t="str">
        <f>_xll.QS.CONTEXT.CREATE("market.9865",A9867,"USD","SOFR")</f>
        <v>QSObject:PricingContext:w1~market.9865:210</v>
      </c>
      <c r="D9867" s="6" t="str">
        <f>_xll.QS.CONTEXT.ADD.CURVE(C9867,"SOFR",$K$2:$K$7,$L$2:$L$7,,,"Actual360","LogLinear",TRUE)</f>
        <v>QSObject:ContextInput:w1~input.qs_context_add_curve.2359132437744.9866.3.0:21501</v>
      </c>
      <c r="E9867" s="6" t="str">
        <f>_xll.QS.INSTRUMENT.SWAP("swap.9865",H9867,B9867,"USD","SOFR",I9867,J9867,0,"Actual360","Simple","Annual","Annual","Annual")</f>
        <v>QSObject:Swap:w1~swap.9865:209</v>
      </c>
      <c r="F9867" s="6" t="str">
        <f>_xll.QS.TRADE.CREATE("trade.9865",E9867,A9867,"Receive")</f>
        <v>QSObject:SwapTrade:w1~trade.9865:21500</v>
      </c>
      <c r="G9867" s="3">
        <f>_xll.QS.EVALUATE(C9867,F9867)</f>
        <v>41122.292832626677</v>
      </c>
      <c r="H9867" s="5" t="s">
        <v>9907</v>
      </c>
      <c r="I9867" s="7">
        <v>1986500</v>
      </c>
      <c r="J9867" s="8">
        <v>3.6499999999999998E-2</v>
      </c>
    </row>
    <row r="9868" spans="1:10" x14ac:dyDescent="0.25">
      <c r="A9868" s="5" t="s">
        <v>9901</v>
      </c>
      <c r="B9868" s="5" t="s">
        <v>11735</v>
      </c>
      <c r="C9868" s="6" t="str">
        <f>_xll.QS.CONTEXT.CREATE("market.9866",A9868,"USD","SOFR")</f>
        <v>QSObject:PricingContext:w1~market.9866:21499</v>
      </c>
      <c r="D9868" s="6" t="str">
        <f>_xll.QS.CONTEXT.ADD.CURVE(C9868,"SOFR",$K$2:$K$7,$L$2:$L$7,,,"Actual360","LogLinear",TRUE)</f>
        <v>QSObject:ContextInput:w1~input.qs_context_add_curve.2359132437744.9867.3.0:31271</v>
      </c>
      <c r="E9868" s="6" t="str">
        <f>_xll.QS.INSTRUMENT.SWAP("swap.9866",H9868,B9868,"USD","SOFR",I9868,J9868,0,"Actual360","Simple","Annual","Annual","Annual")</f>
        <v>QSObject:Swap:w1~swap.9866:21498</v>
      </c>
      <c r="F9868" s="6" t="str">
        <f>_xll.QS.TRADE.CREATE("trade.9866",E9868,A9868,"Receive")</f>
        <v>QSObject:SwapTrade:w1~trade.9866:21987</v>
      </c>
      <c r="G9868" s="3">
        <f>_xll.QS.EVALUATE(C9868,F9868)</f>
        <v>42127.167060506326</v>
      </c>
      <c r="H9868" s="5" t="s">
        <v>9908</v>
      </c>
      <c r="I9868" s="7">
        <v>1986600</v>
      </c>
      <c r="J9868" s="8">
        <v>3.6600000000000001E-2</v>
      </c>
    </row>
    <row r="9869" spans="1:10" x14ac:dyDescent="0.25">
      <c r="A9869" s="5" t="s">
        <v>9902</v>
      </c>
      <c r="B9869" s="5" t="s">
        <v>11736</v>
      </c>
      <c r="C9869" s="6" t="str">
        <f>_xll.QS.CONTEXT.CREATE("market.9867",A9869,"USD","SOFR")</f>
        <v>QSObject:PricingContext:w1~market.9867:21497</v>
      </c>
      <c r="D9869" s="6" t="str">
        <f>_xll.QS.CONTEXT.ADD.CURVE(C9869,"SOFR",$K$2:$K$7,$L$2:$L$7,,,"Actual360","LogLinear",TRUE)</f>
        <v>QSObject:ContextInput:w1~input.qs_context_add_curve.2359132437744.9868.3.0:31270</v>
      </c>
      <c r="E9869" s="6" t="str">
        <f>_xll.QS.INSTRUMENT.SWAP("swap.9867",H9869,B9869,"USD","SOFR",I9869,J9869,0,"Actual360","Simple","Annual","Annual","Annual")</f>
        <v>QSObject:Swap:w1~swap.9867:21496</v>
      </c>
      <c r="F9869" s="6" t="str">
        <f>_xll.QS.TRADE.CREATE("trade.9867",E9869,A9869,"Receive")</f>
        <v>QSObject:SwapTrade:w1~trade.9867:21986</v>
      </c>
      <c r="G9869" s="3">
        <f>_xll.QS.EVALUATE(C9869,F9869)</f>
        <v>42968.780521779096</v>
      </c>
      <c r="H9869" s="5" t="s">
        <v>9909</v>
      </c>
      <c r="I9869" s="7">
        <v>1986700</v>
      </c>
      <c r="J9869" s="8">
        <v>3.6700000000000003E-2</v>
      </c>
    </row>
    <row r="9870" spans="1:10" x14ac:dyDescent="0.25">
      <c r="A9870" s="5" t="s">
        <v>9903</v>
      </c>
      <c r="B9870" s="5" t="s">
        <v>11737</v>
      </c>
      <c r="C9870" s="6" t="str">
        <f>_xll.QS.CONTEXT.CREATE("market.9868",A9870,"USD","SOFR")</f>
        <v>QSObject:PricingContext:w1~market.9868:21495</v>
      </c>
      <c r="D9870" s="6" t="str">
        <f>_xll.QS.CONTEXT.ADD.CURVE(C9870,"SOFR",$K$2:$K$7,$L$2:$L$7,,,"Actual360","LogLinear",TRUE)</f>
        <v>QSObject:ContextInput:w1~input.qs_context_add_curve.2359132437744.9869.3.0:31269</v>
      </c>
      <c r="E9870" s="6" t="str">
        <f>_xll.QS.INSTRUMENT.SWAP("swap.9868",H9870,B9870,"USD","SOFR",I9870,J9870,0,"Actual360","Simple","Annual","Annual","Annual")</f>
        <v>QSObject:Swap:w1~swap.9868:21494</v>
      </c>
      <c r="F9870" s="6" t="str">
        <f>_xll.QS.TRADE.CREATE("trade.9868",E9870,A9870,"Receive")</f>
        <v>QSObject:SwapTrade:w1~trade.9868:21985</v>
      </c>
      <c r="G9870" s="3">
        <f>_xll.QS.EVALUATE(C9870,F9870)</f>
        <v>43723.338269274398</v>
      </c>
      <c r="H9870" s="5" t="s">
        <v>9910</v>
      </c>
      <c r="I9870" s="7">
        <v>1986800</v>
      </c>
      <c r="J9870" s="8">
        <v>3.6800000000000013E-2</v>
      </c>
    </row>
    <row r="9871" spans="1:10" x14ac:dyDescent="0.25">
      <c r="A9871" s="5" t="s">
        <v>9904</v>
      </c>
      <c r="B9871" s="5" t="s">
        <v>11738</v>
      </c>
      <c r="C9871" s="6" t="str">
        <f>_xll.QS.CONTEXT.CREATE("market.9869",A9871,"USD","SOFR")</f>
        <v>QSObject:PricingContext:w1~market.9869:21493</v>
      </c>
      <c r="D9871" s="6" t="str">
        <f>_xll.QS.CONTEXT.ADD.CURVE(C9871,"SOFR",$K$2:$K$7,$L$2:$L$7,,,"Actual360","LogLinear",TRUE)</f>
        <v>QSObject:ContextInput:w1~input.qs_context_add_curve.2359132437744.9870.3.0:31268</v>
      </c>
      <c r="E9871" s="6" t="str">
        <f>_xll.QS.INSTRUMENT.SWAP("swap.9869",H9871,B9871,"USD","SOFR",I9871,J9871,0,"Actual360","Simple","Annual","Annual","Annual")</f>
        <v>QSObject:Swap:w1~swap.9869:21492</v>
      </c>
      <c r="F9871" s="6" t="str">
        <f>_xll.QS.TRADE.CREATE("trade.9869",E9871,A9871,"Receive")</f>
        <v>QSObject:SwapTrade:w1~trade.9869:21984</v>
      </c>
      <c r="G9871" s="3">
        <f>_xll.QS.EVALUATE(C9871,F9871)</f>
        <v>44430.653890629575</v>
      </c>
      <c r="H9871" s="5" t="s">
        <v>9911</v>
      </c>
      <c r="I9871" s="7">
        <v>1986900</v>
      </c>
      <c r="J9871" s="8">
        <v>3.6900000000000002E-2</v>
      </c>
    </row>
    <row r="9872" spans="1:10" x14ac:dyDescent="0.25">
      <c r="A9872" s="5" t="s">
        <v>9905</v>
      </c>
      <c r="B9872" s="5" t="s">
        <v>11739</v>
      </c>
      <c r="C9872" s="6" t="str">
        <f>_xll.QS.CONTEXT.CREATE("market.9870",A9872,"USD","SOFR")</f>
        <v>QSObject:PricingContext:w1~market.9870:21491</v>
      </c>
      <c r="D9872" s="6" t="str">
        <f>_xll.QS.CONTEXT.ADD.CURVE(C9872,"SOFR",$K$2:$K$7,$L$2:$L$7,,,"Actual360","LogLinear",TRUE)</f>
        <v>QSObject:ContextInput:w1~input.qs_context_add_curve.2359132437744.9871.3.0:31267</v>
      </c>
      <c r="E9872" s="6" t="str">
        <f>_xll.QS.INSTRUMENT.SWAP("swap.9870",H9872,B9872,"USD","SOFR",I9872,J9872,0,"Actual360","Simple","Annual","Annual","Annual")</f>
        <v>QSObject:Swap:w1~swap.9870:21490</v>
      </c>
      <c r="F9872" s="6" t="str">
        <f>_xll.QS.TRADE.CREATE("trade.9870",E9872,A9872,"Receive")</f>
        <v>QSObject:SwapTrade:w1~trade.9870:21983</v>
      </c>
      <c r="G9872" s="3">
        <f>_xll.QS.EVALUATE(C9872,F9872)</f>
        <v>45433.282965848717</v>
      </c>
      <c r="H9872" s="5" t="s">
        <v>9912</v>
      </c>
      <c r="I9872" s="7">
        <v>1987000</v>
      </c>
      <c r="J9872" s="8">
        <v>3.7000000000000012E-2</v>
      </c>
    </row>
    <row r="9873" spans="1:10" x14ac:dyDescent="0.25">
      <c r="A9873" s="5" t="s">
        <v>9906</v>
      </c>
      <c r="B9873" s="5" t="s">
        <v>11740</v>
      </c>
      <c r="C9873" s="6" t="str">
        <f>_xll.QS.CONTEXT.CREATE("market.9871",A9873,"USD","SOFR")</f>
        <v>QSObject:PricingContext:w1~market.9871:21489</v>
      </c>
      <c r="D9873" s="6" t="str">
        <f>_xll.QS.CONTEXT.ADD.CURVE(C9873,"SOFR",$K$2:$K$7,$L$2:$L$7,,,"Actual360","LogLinear",TRUE)</f>
        <v>QSObject:ContextInput:w1~input.qs_context_add_curve.2359132437744.9872.3.0:31266</v>
      </c>
      <c r="E9873" s="6" t="str">
        <f>_xll.QS.INSTRUMENT.SWAP("swap.9871",H9873,B9873,"USD","SOFR",I9873,J9873,0,"Actual360","Simple","Annual","Annual","Annual")</f>
        <v>QSObject:Swap:w1~swap.9871:21488</v>
      </c>
      <c r="F9873" s="6" t="str">
        <f>_xll.QS.TRADE.CREATE("trade.9871",E9873,A9873,"Receive")</f>
        <v>QSObject:SwapTrade:w1~trade.9871:21982</v>
      </c>
      <c r="G9873" s="3">
        <f>_xll.QS.EVALUATE(C9873,F9873)</f>
        <v>46435.6636509499</v>
      </c>
      <c r="H9873" s="5" t="s">
        <v>9913</v>
      </c>
      <c r="I9873" s="7">
        <v>1987100</v>
      </c>
      <c r="J9873" s="8">
        <v>3.7100000000000001E-2</v>
      </c>
    </row>
    <row r="9874" spans="1:10" x14ac:dyDescent="0.25">
      <c r="A9874" s="5" t="s">
        <v>9907</v>
      </c>
      <c r="B9874" s="5" t="s">
        <v>11741</v>
      </c>
      <c r="C9874" s="6" t="str">
        <f>_xll.QS.CONTEXT.CREATE("market.9872",A9874,"USD","SOFR")</f>
        <v>QSObject:PricingContext:w1~market.9872:21487</v>
      </c>
      <c r="D9874" s="6" t="str">
        <f>_xll.QS.CONTEXT.ADD.CURVE(C9874,"SOFR",$K$2:$K$7,$L$2:$L$7,,,"Actual360","LogLinear",TRUE)</f>
        <v>QSObject:ContextInput:w1~input.qs_context_add_curve.2359132437744.9873.3.0:31265</v>
      </c>
      <c r="E9874" s="6" t="str">
        <f>_xll.QS.INSTRUMENT.SWAP("swap.9872",H9874,B9874,"USD","SOFR",I9874,J9874,0,"Actual360","Simple","Annual","Annual","Annual")</f>
        <v>QSObject:Swap:w1~swap.9872:21486</v>
      </c>
      <c r="F9874" s="6" t="str">
        <f>_xll.QS.TRADE.CREATE("trade.9872",E9874,A9874,"Receive")</f>
        <v>QSObject:SwapTrade:w1~trade.9872:21981</v>
      </c>
      <c r="G9874" s="3">
        <f>_xll.QS.EVALUATE(C9874,F9874)</f>
        <v>47624.645098133238</v>
      </c>
      <c r="H9874" s="5" t="s">
        <v>9914</v>
      </c>
      <c r="I9874" s="7">
        <v>1987200</v>
      </c>
      <c r="J9874" s="8">
        <v>3.7199999999999997E-2</v>
      </c>
    </row>
    <row r="9875" spans="1:10" x14ac:dyDescent="0.25">
      <c r="A9875" s="5" t="s">
        <v>9908</v>
      </c>
      <c r="B9875" s="5" t="s">
        <v>11742</v>
      </c>
      <c r="C9875" s="6" t="str">
        <f>_xll.QS.CONTEXT.CREATE("market.9873",A9875,"USD","SOFR")</f>
        <v>QSObject:PricingContext:w1~market.9873:21485</v>
      </c>
      <c r="D9875" s="6" t="str">
        <f>_xll.QS.CONTEXT.ADD.CURVE(C9875,"SOFR",$K$2:$K$7,$L$2:$L$7,,,"Actual360","LogLinear",TRUE)</f>
        <v>QSObject:ContextInput:w1~input.qs_context_add_curve.2359132437744.9874.3.0:31264</v>
      </c>
      <c r="E9875" s="6" t="str">
        <f>_xll.QS.INSTRUMENT.SWAP("swap.9873",H9875,B9875,"USD","SOFR",I9875,J9875,0,"Actual360","Simple","Annual","Annual","Annual")</f>
        <v>QSObject:Swap:w1~swap.9873:21484</v>
      </c>
      <c r="F9875" s="6" t="str">
        <f>_xll.QS.TRADE.CREATE("trade.9873",E9875,A9875,"Receive")</f>
        <v>QSObject:SwapTrade:w1~trade.9873:21980</v>
      </c>
      <c r="G9875" s="3">
        <f>_xll.QS.EVALUATE(C9875,F9875)</f>
        <v>48561.257832662835</v>
      </c>
      <c r="H9875" s="5" t="s">
        <v>9915</v>
      </c>
      <c r="I9875" s="7">
        <v>1987300</v>
      </c>
      <c r="J9875" s="8">
        <v>3.73E-2</v>
      </c>
    </row>
    <row r="9876" spans="1:10" x14ac:dyDescent="0.25">
      <c r="A9876" s="5" t="s">
        <v>9909</v>
      </c>
      <c r="B9876" s="5" t="s">
        <v>11743</v>
      </c>
      <c r="C9876" s="6" t="str">
        <f>_xll.QS.CONTEXT.CREATE("market.9874",A9876,"USD","SOFR")</f>
        <v>QSObject:PricingContext:w1~market.9874:21483</v>
      </c>
      <c r="D9876" s="6" t="str">
        <f>_xll.QS.CONTEXT.ADD.CURVE(C9876,"SOFR",$K$2:$K$7,$L$2:$L$7,,,"Actual360","LogLinear",TRUE)</f>
        <v>QSObject:ContextInput:w1~input.qs_context_add_curve.2359132437744.9875.3.0:31263</v>
      </c>
      <c r="E9876" s="6" t="str">
        <f>_xll.QS.INSTRUMENT.SWAP("swap.9874",H9876,B9876,"USD","SOFR",I9876,J9876,0,"Actual360","Simple","Annual","Annual","Annual")</f>
        <v>QSObject:Swap:w1~swap.9874:21482</v>
      </c>
      <c r="F9876" s="6" t="str">
        <f>_xll.QS.TRADE.CREATE("trade.9874",E9876,A9876,"Receive")</f>
        <v>QSObject:SwapTrade:w1~trade.9874:21979</v>
      </c>
      <c r="G9876" s="3">
        <f>_xll.QS.EVALUATE(C9876,F9876)</f>
        <v>49479.304034322864</v>
      </c>
      <c r="H9876" s="5" t="s">
        <v>9916</v>
      </c>
      <c r="I9876" s="7">
        <v>1987400</v>
      </c>
      <c r="J9876" s="8">
        <v>3.7400000000000003E-2</v>
      </c>
    </row>
    <row r="9877" spans="1:10" x14ac:dyDescent="0.25">
      <c r="A9877" s="5" t="s">
        <v>9910</v>
      </c>
      <c r="B9877" s="5" t="s">
        <v>11744</v>
      </c>
      <c r="C9877" s="6" t="str">
        <f>_xll.QS.CONTEXT.CREATE("market.9875",A9877,"USD","SOFR")</f>
        <v>QSObject:PricingContext:w1~market.9875:21481</v>
      </c>
      <c r="D9877" s="6" t="str">
        <f>_xll.QS.CONTEXT.ADD.CURVE(C9877,"SOFR",$K$2:$K$7,$L$2:$L$7,,,"Actual360","LogLinear",TRUE)</f>
        <v>QSObject:ContextInput:w1~input.qs_context_add_curve.2359132437744.9876.3.0:31262</v>
      </c>
      <c r="E9877" s="6" t="str">
        <f>_xll.QS.INSTRUMENT.SWAP("swap.9875",H9877,B9877,"USD","SOFR",I9877,J9877,0,"Actual360","Simple","Annual","Annual","Annual")</f>
        <v>QSObject:Swap:w1~swap.9875:21480</v>
      </c>
      <c r="F9877" s="6" t="str">
        <f>_xll.QS.TRADE.CREATE("trade.9875",E9877,A9877,"Receive")</f>
        <v>QSObject:SwapTrade:w1~trade.9875:21978</v>
      </c>
      <c r="G9877" s="3">
        <f>_xll.QS.EVALUATE(C9877,F9877)</f>
        <v>50255.369736719447</v>
      </c>
      <c r="H9877" s="5" t="s">
        <v>9917</v>
      </c>
      <c r="I9877" s="7">
        <v>1987500</v>
      </c>
      <c r="J9877" s="8">
        <v>3.7500000000000012E-2</v>
      </c>
    </row>
    <row r="9878" spans="1:10" x14ac:dyDescent="0.25">
      <c r="A9878" s="5" t="s">
        <v>9911</v>
      </c>
      <c r="B9878" s="5" t="s">
        <v>11745</v>
      </c>
      <c r="C9878" s="6" t="str">
        <f>_xll.QS.CONTEXT.CREATE("market.9876",A9878,"USD","SOFR")</f>
        <v>QSObject:PricingContext:w1~market.9876:21479</v>
      </c>
      <c r="D9878" s="6" t="str">
        <f>_xll.QS.CONTEXT.ADD.CURVE(C9878,"SOFR",$K$2:$K$7,$L$2:$L$7,,,"Actual360","LogLinear",TRUE)</f>
        <v>QSObject:ContextInput:w1~input.qs_context_add_curve.2359132437744.9877.3.0:31261</v>
      </c>
      <c r="E9878" s="6" t="str">
        <f>_xll.QS.INSTRUMENT.SWAP("swap.9876",H9878,B9878,"USD","SOFR",I9878,J9878,0,"Actual360","Simple","Annual","Annual","Annual")</f>
        <v>QSObject:Swap:w1~swap.9876:21478</v>
      </c>
      <c r="F9878" s="6" t="str">
        <f>_xll.QS.TRADE.CREATE("trade.9876",E9878,A9878,"Receive")</f>
        <v>QSObject:SwapTrade:w1~trade.9876:21977</v>
      </c>
      <c r="G9878" s="3">
        <f>_xll.QS.EVALUATE(C9878,F9878)</f>
        <v>51027.138657745229</v>
      </c>
      <c r="H9878" s="5" t="s">
        <v>9918</v>
      </c>
      <c r="I9878" s="7">
        <v>1987600</v>
      </c>
      <c r="J9878" s="8">
        <v>3.7600000000000001E-2</v>
      </c>
    </row>
    <row r="9879" spans="1:10" x14ac:dyDescent="0.25">
      <c r="A9879" s="5" t="s">
        <v>9912</v>
      </c>
      <c r="B9879" s="5" t="s">
        <v>11746</v>
      </c>
      <c r="C9879" s="6" t="str">
        <f>_xll.QS.CONTEXT.CREATE("market.9877",A9879,"USD","SOFR")</f>
        <v>QSObject:PricingContext:w1~market.9877:21477</v>
      </c>
      <c r="D9879" s="6" t="str">
        <f>_xll.QS.CONTEXT.ADD.CURVE(C9879,"SOFR",$K$2:$K$7,$L$2:$L$7,,,"Actual360","LogLinear",TRUE)</f>
        <v>QSObject:ContextInput:w1~input.qs_context_add_curve.2359132437744.9878.3.0:31260</v>
      </c>
      <c r="E9879" s="6" t="str">
        <f>_xll.QS.INSTRUMENT.SWAP("swap.9877",H9879,B9879,"USD","SOFR",I9879,J9879,0,"Actual360","Simple","Annual","Annual","Annual")</f>
        <v>QSObject:Swap:w1~swap.9877:21476</v>
      </c>
      <c r="F9879" s="6" t="str">
        <f>_xll.QS.TRADE.CREATE("trade.9877",E9879,A9879,"Receive")</f>
        <v>QSObject:SwapTrade:w1~trade.9877:21976</v>
      </c>
      <c r="G9879" s="3">
        <f>_xll.QS.EVALUATE(C9879,F9879)</f>
        <v>51950.345290711557</v>
      </c>
      <c r="H9879" s="5" t="s">
        <v>9919</v>
      </c>
      <c r="I9879" s="7">
        <v>1987700</v>
      </c>
      <c r="J9879" s="8">
        <v>3.7699999999999997E-2</v>
      </c>
    </row>
    <row r="9880" spans="1:10" x14ac:dyDescent="0.25">
      <c r="A9880" s="5" t="s">
        <v>9913</v>
      </c>
      <c r="B9880" s="5" t="s">
        <v>11747</v>
      </c>
      <c r="C9880" s="6" t="str">
        <f>_xll.QS.CONTEXT.CREATE("market.9878",A9880,"USD","SOFR")</f>
        <v>QSObject:PricingContext:w1~market.9878:21475</v>
      </c>
      <c r="D9880" s="6" t="str">
        <f>_xll.QS.CONTEXT.ADD.CURVE(C9880,"SOFR",$K$2:$K$7,$L$2:$L$7,,,"Actual360","LogLinear",TRUE)</f>
        <v>QSObject:ContextInput:w1~input.qs_context_add_curve.2359132437744.9879.3.0:31259</v>
      </c>
      <c r="E9880" s="6" t="str">
        <f>_xll.QS.INSTRUMENT.SWAP("swap.9878",H9880,B9880,"USD","SOFR",I9880,J9880,0,"Actual360","Simple","Annual","Annual","Annual")</f>
        <v>QSObject:Swap:w1~swap.9878:21474</v>
      </c>
      <c r="F9880" s="6" t="str">
        <f>_xll.QS.TRADE.CREATE("trade.9878",E9880,A9880,"Receive")</f>
        <v>QSObject:SwapTrade:w1~trade.9878:21975</v>
      </c>
      <c r="G9880" s="3">
        <f>_xll.QS.EVALUATE(C9880,F9880)</f>
        <v>52920.659428538114</v>
      </c>
      <c r="H9880" s="5" t="s">
        <v>9920</v>
      </c>
      <c r="I9880" s="7">
        <v>1987800</v>
      </c>
      <c r="J9880" s="8">
        <v>3.78E-2</v>
      </c>
    </row>
    <row r="9881" spans="1:10" x14ac:dyDescent="0.25">
      <c r="A9881" s="5" t="s">
        <v>9914</v>
      </c>
      <c r="B9881" s="5" t="s">
        <v>11748</v>
      </c>
      <c r="C9881" s="6" t="str">
        <f>_xll.QS.CONTEXT.CREATE("market.9879",A9881,"USD","SOFR")</f>
        <v>QSObject:PricingContext:w1~market.9879:21473</v>
      </c>
      <c r="D9881" s="6" t="str">
        <f>_xll.QS.CONTEXT.ADD.CURVE(C9881,"SOFR",$K$2:$K$7,$L$2:$L$7,,,"Actual360","LogLinear",TRUE)</f>
        <v>QSObject:ContextInput:w1~input.qs_context_add_curve.2359132437744.9880.3.0:31258</v>
      </c>
      <c r="E9881" s="6" t="str">
        <f>_xll.QS.INSTRUMENT.SWAP("swap.9879",H9881,B9881,"USD","SOFR",I9881,J9881,0,"Actual360","Simple","Annual","Annual","Annual")</f>
        <v>QSObject:Swap:w1~swap.9879:21472</v>
      </c>
      <c r="F9881" s="6" t="str">
        <f>_xll.QS.TRADE.CREATE("trade.9879",E9881,A9881,"Receive")</f>
        <v>QSObject:SwapTrade:w1~trade.9879:21974</v>
      </c>
      <c r="G9881" s="3">
        <f>_xll.QS.EVALUATE(C9881,F9881)</f>
        <v>53985.21853374262</v>
      </c>
      <c r="H9881" s="5" t="s">
        <v>9921</v>
      </c>
      <c r="I9881" s="7">
        <v>1987900</v>
      </c>
      <c r="J9881" s="8">
        <v>3.7900000000000003E-2</v>
      </c>
    </row>
    <row r="9882" spans="1:10" x14ac:dyDescent="0.25">
      <c r="A9882" s="5" t="s">
        <v>9915</v>
      </c>
      <c r="B9882" s="5" t="s">
        <v>11749</v>
      </c>
      <c r="C9882" s="6" t="str">
        <f>_xll.QS.CONTEXT.CREATE("market.9880",A9882,"USD","SOFR")</f>
        <v>QSObject:PricingContext:w1~market.9880:21471</v>
      </c>
      <c r="D9882" s="6" t="str">
        <f>_xll.QS.CONTEXT.ADD.CURVE(C9882,"SOFR",$K$2:$K$7,$L$2:$L$7,,,"Actual360","LogLinear",TRUE)</f>
        <v>QSObject:ContextInput:w1~input.qs_context_add_curve.2359132437744.9881.3.0:31257</v>
      </c>
      <c r="E9882" s="6" t="str">
        <f>_xll.QS.INSTRUMENT.SWAP("swap.9880",H9882,B9882,"USD","SOFR",I9882,J9882,0,"Actual360","Simple","Annual","Annual","Annual")</f>
        <v>QSObject:Swap:w1~swap.9880:21470</v>
      </c>
      <c r="F9882" s="6" t="str">
        <f>_xll.QS.TRADE.CREATE("trade.9880",E9882,A9882,"Receive")</f>
        <v>QSObject:SwapTrade:w1~trade.9880:21973</v>
      </c>
      <c r="G9882" s="3">
        <f>_xll.QS.EVALUATE(C9882,F9882)</f>
        <v>54991.419965527421</v>
      </c>
      <c r="H9882" s="5" t="s">
        <v>9922</v>
      </c>
      <c r="I9882" s="7">
        <v>1988000</v>
      </c>
      <c r="J9882" s="8">
        <v>3.8000000000000013E-2</v>
      </c>
    </row>
    <row r="9883" spans="1:10" x14ac:dyDescent="0.25">
      <c r="A9883" s="5" t="s">
        <v>9916</v>
      </c>
      <c r="B9883" s="5" t="s">
        <v>11750</v>
      </c>
      <c r="C9883" s="6" t="str">
        <f>_xll.QS.CONTEXT.CREATE("market.9881",A9883,"USD","SOFR")</f>
        <v>QSObject:PricingContext:w1~market.9881:21469</v>
      </c>
      <c r="D9883" s="6" t="str">
        <f>_xll.QS.CONTEXT.ADD.CURVE(C9883,"SOFR",$K$2:$K$7,$L$2:$L$7,,,"Actual360","LogLinear",TRUE)</f>
        <v>QSObject:ContextInput:w1~input.qs_context_add_curve.2359132437744.9882.3.0:31256</v>
      </c>
      <c r="E9883" s="6" t="str">
        <f>_xll.QS.INSTRUMENT.SWAP("swap.9881",H9883,B9883,"USD","SOFR",I9883,J9883,0,"Actual360","Simple","Annual","Annual","Annual")</f>
        <v>QSObject:Swap:w1~swap.9881:21468</v>
      </c>
      <c r="F9883" s="6" t="str">
        <f>_xll.QS.TRADE.CREATE("trade.9881",E9883,A9883,"Receive")</f>
        <v>QSObject:SwapTrade:w1~trade.9881:21972</v>
      </c>
      <c r="G9883" s="3">
        <f>_xll.QS.EVALUATE(C9883,F9883)</f>
        <v>55834.307406137705</v>
      </c>
      <c r="H9883" s="5" t="s">
        <v>9923</v>
      </c>
      <c r="I9883" s="7">
        <v>1988100</v>
      </c>
      <c r="J9883" s="8">
        <v>3.8100000000000002E-2</v>
      </c>
    </row>
    <row r="9884" spans="1:10" x14ac:dyDescent="0.25">
      <c r="A9884" s="5" t="s">
        <v>9917</v>
      </c>
      <c r="B9884" s="5" t="s">
        <v>11751</v>
      </c>
      <c r="C9884" s="6" t="str">
        <f>_xll.QS.CONTEXT.CREATE("market.9882",A9884,"USD","SOFR")</f>
        <v>QSObject:PricingContext:w1~market.9882:21467</v>
      </c>
      <c r="D9884" s="6" t="str">
        <f>_xll.QS.CONTEXT.ADD.CURVE(C9884,"SOFR",$K$2:$K$7,$L$2:$L$7,,,"Actual360","LogLinear",TRUE)</f>
        <v>QSObject:ContextInput:w1~input.qs_context_add_curve.2359132437744.9883.3.0:31255</v>
      </c>
      <c r="E9884" s="6" t="str">
        <f>_xll.QS.INSTRUMENT.SWAP("swap.9882",H9884,B9884,"USD","SOFR",I9884,J9884,0,"Actual360","Simple","Annual","Annual","Annual")</f>
        <v>QSObject:Swap:w1~swap.9882:21466</v>
      </c>
      <c r="F9884" s="6" t="str">
        <f>_xll.QS.TRADE.CREATE("trade.9882",E9884,A9884,"Receive")</f>
        <v>QSObject:SwapTrade:w1~trade.9882:21971</v>
      </c>
      <c r="G9884" s="3">
        <f>_xll.QS.EVALUATE(C9884,F9884)</f>
        <v>56603.328104640212</v>
      </c>
      <c r="H9884" s="5" t="s">
        <v>9924</v>
      </c>
      <c r="I9884" s="7">
        <v>1988200</v>
      </c>
      <c r="J9884" s="8">
        <v>3.8199999999999998E-2</v>
      </c>
    </row>
    <row r="9885" spans="1:10" x14ac:dyDescent="0.25">
      <c r="A9885" s="5" t="s">
        <v>9918</v>
      </c>
      <c r="B9885" s="5" t="s">
        <v>11752</v>
      </c>
      <c r="C9885" s="6" t="str">
        <f>_xll.QS.CONTEXT.CREATE("market.9883",A9885,"USD","SOFR")</f>
        <v>QSObject:PricingContext:w1~market.9883:21465</v>
      </c>
      <c r="D9885" s="6" t="str">
        <f>_xll.QS.CONTEXT.ADD.CURVE(C9885,"SOFR",$K$2:$K$7,$L$2:$L$7,,,"Actual360","LogLinear",TRUE)</f>
        <v>QSObject:ContextInput:w1~input.qs_context_add_curve.2359132437744.9884.3.0:31254</v>
      </c>
      <c r="E9885" s="6" t="str">
        <f>_xll.QS.INSTRUMENT.SWAP("swap.9883",H9885,B9885,"USD","SOFR",I9885,J9885,0,"Actual360","Simple","Annual","Annual","Annual")</f>
        <v>QSObject:Swap:w1~swap.9883:21464</v>
      </c>
      <c r="F9885" s="6" t="str">
        <f>_xll.QS.TRADE.CREATE("trade.9883",E9885,A9885,"Receive")</f>
        <v>QSObject:SwapTrade:w1~trade.9883:21970</v>
      </c>
      <c r="G9885" s="3">
        <f>_xll.QS.EVALUATE(C9885,F9885)</f>
        <v>57385.530789296776</v>
      </c>
      <c r="H9885" s="5" t="s">
        <v>9925</v>
      </c>
      <c r="I9885" s="7">
        <v>1988300</v>
      </c>
      <c r="J9885" s="8">
        <v>3.8300000000000001E-2</v>
      </c>
    </row>
    <row r="9886" spans="1:10" x14ac:dyDescent="0.25">
      <c r="A9886" s="5" t="s">
        <v>9919</v>
      </c>
      <c r="B9886" s="5" t="s">
        <v>11753</v>
      </c>
      <c r="C9886" s="6" t="str">
        <f>_xll.QS.CONTEXT.CREATE("market.9884",A9886,"USD","SOFR")</f>
        <v>QSObject:PricingContext:w1~market.9884:21463</v>
      </c>
      <c r="D9886" s="6" t="str">
        <f>_xll.QS.CONTEXT.ADD.CURVE(C9886,"SOFR",$K$2:$K$7,$L$2:$L$7,,,"Actual360","LogLinear",TRUE)</f>
        <v>QSObject:ContextInput:w1~input.qs_context_add_curve.2359132437744.9885.3.0:31253</v>
      </c>
      <c r="E9886" s="6" t="str">
        <f>_xll.QS.INSTRUMENT.SWAP("swap.9884",H9886,B9886,"USD","SOFR",I9886,J9886,0,"Actual360","Simple","Annual","Annual","Annual")</f>
        <v>QSObject:Swap:w1~swap.9884:21462</v>
      </c>
      <c r="F9886" s="6" t="str">
        <f>_xll.QS.TRADE.CREATE("trade.9884",E9886,A9886,"Receive")</f>
        <v>QSObject:SwapTrade:w1~trade.9884:21969</v>
      </c>
      <c r="G9886" s="3">
        <f>_xll.QS.EVALUATE(C9886,F9886)</f>
        <v>58390.503799005921</v>
      </c>
      <c r="H9886" s="5" t="s">
        <v>9926</v>
      </c>
      <c r="I9886" s="7">
        <v>1988400</v>
      </c>
      <c r="J9886" s="8">
        <v>3.8399999999999997E-2</v>
      </c>
    </row>
    <row r="9887" spans="1:10" x14ac:dyDescent="0.25">
      <c r="A9887" s="5" t="s">
        <v>9920</v>
      </c>
      <c r="B9887" s="5" t="s">
        <v>11754</v>
      </c>
      <c r="C9887" s="6" t="str">
        <f>_xll.QS.CONTEXT.CREATE("market.9885",A9887,"USD","SOFR")</f>
        <v>QSObject:PricingContext:w1~market.9885:21461</v>
      </c>
      <c r="D9887" s="6" t="str">
        <f>_xll.QS.CONTEXT.ADD.CURVE(C9887,"SOFR",$K$2:$K$7,$L$2:$L$7,,,"Actual360","LogLinear",TRUE)</f>
        <v>QSObject:ContextInput:w1~input.qs_context_add_curve.2359132437744.9886.3.0:31252</v>
      </c>
      <c r="E9887" s="6" t="str">
        <f>_xll.QS.INSTRUMENT.SWAP("swap.9885",H9887,B9887,"USD","SOFR",I9887,J9887,0,"Actual360","Simple","Annual","Annual","Annual")</f>
        <v>QSObject:Swap:w1~swap.9885:208</v>
      </c>
      <c r="F9887" s="6" t="str">
        <f>_xll.QS.TRADE.CREATE("trade.9885",E9887,A9887,"Receive")</f>
        <v>QSObject:SwapTrade:w1~trade.9885:21460</v>
      </c>
      <c r="G9887" s="3">
        <f>_xll.QS.EVALUATE(C9887,F9887)</f>
        <v>59358.003573182061</v>
      </c>
      <c r="H9887" s="5" t="s">
        <v>9927</v>
      </c>
      <c r="I9887" s="7">
        <v>1988500</v>
      </c>
      <c r="J9887" s="8">
        <v>3.8500000000000013E-2</v>
      </c>
    </row>
    <row r="9888" spans="1:10" x14ac:dyDescent="0.25">
      <c r="A9888" s="5" t="s">
        <v>9921</v>
      </c>
      <c r="B9888" s="5" t="s">
        <v>11755</v>
      </c>
      <c r="C9888" s="6" t="str">
        <f>_xll.QS.CONTEXT.CREATE("market.9886",A9888,"USD","SOFR")</f>
        <v>QSObject:PricingContext:w1~market.9886:207</v>
      </c>
      <c r="D9888" s="6" t="str">
        <f>_xll.QS.CONTEXT.ADD.CURVE(C9888,"SOFR",$K$2:$K$7,$L$2:$L$7,,,"Actual360","LogLinear",TRUE)</f>
        <v>QSObject:ContextInput:w1~input.qs_context_add_curve.2359132437744.9887.3.0:21459</v>
      </c>
      <c r="E9888" s="6" t="str">
        <f>_xll.QS.INSTRUMENT.SWAP("swap.9886",H9888,B9888,"USD","SOFR",I9888,J9888,0,"Actual360","Simple","Annual","Annual","Annual")</f>
        <v>QSObject:Swap:w1~swap.9886:206</v>
      </c>
      <c r="F9888" s="6" t="str">
        <f>_xll.QS.TRADE.CREATE("trade.9886",E9888,A9888,"Receive")</f>
        <v>QSObject:SwapTrade:w1~trade.9886:21458</v>
      </c>
      <c r="G9888" s="3">
        <f>_xll.QS.EVALUATE(C9888,F9888)</f>
        <v>60423.201450580214</v>
      </c>
      <c r="H9888" s="5" t="s">
        <v>9928</v>
      </c>
      <c r="I9888" s="7">
        <v>1988600</v>
      </c>
      <c r="J9888" s="8">
        <v>3.8600000000000002E-2</v>
      </c>
    </row>
    <row r="9889" spans="1:10" x14ac:dyDescent="0.25">
      <c r="A9889" s="5" t="s">
        <v>9922</v>
      </c>
      <c r="B9889" s="5" t="s">
        <v>11756</v>
      </c>
      <c r="C9889" s="6" t="str">
        <f>_xll.QS.CONTEXT.CREATE("market.9887",A9889,"USD","SOFR")</f>
        <v>QSObject:PricingContext:w1~market.9887:205</v>
      </c>
      <c r="D9889" s="6" t="str">
        <f>_xll.QS.CONTEXT.ADD.CURVE(C9889,"SOFR",$K$2:$K$7,$L$2:$L$7,,,"Actual360","LogLinear",TRUE)</f>
        <v>QSObject:ContextInput:w1~input.qs_context_add_curve.2359132437744.9888.3.0:21457</v>
      </c>
      <c r="E9889" s="6" t="str">
        <f>_xll.QS.INSTRUMENT.SWAP("swap.9887",H9889,B9889,"USD","SOFR",I9889,J9889,0,"Actual360","Simple","Annual","Annual","Annual")</f>
        <v>QSObject:Swap:w1~swap.9887:204</v>
      </c>
      <c r="F9889" s="6" t="str">
        <f>_xll.QS.TRADE.CREATE("trade.9887",E9889,A9889,"Receive")</f>
        <v>QSObject:SwapTrade:w1~trade.9887:21456</v>
      </c>
      <c r="G9889" s="3">
        <f>_xll.QS.EVALUATE(C9889,F9889)</f>
        <v>61430.045355549504</v>
      </c>
      <c r="H9889" s="5" t="s">
        <v>9929</v>
      </c>
      <c r="I9889" s="7">
        <v>1988700</v>
      </c>
      <c r="J9889" s="8">
        <v>3.8700000000000012E-2</v>
      </c>
    </row>
    <row r="9890" spans="1:10" x14ac:dyDescent="0.25">
      <c r="A9890" s="5" t="s">
        <v>9923</v>
      </c>
      <c r="B9890" s="5" t="s">
        <v>11757</v>
      </c>
      <c r="C9890" s="6" t="str">
        <f>_xll.QS.CONTEXT.CREATE("market.9888",A9890,"USD","SOFR")</f>
        <v>QSObject:PricingContext:w1~market.9888:203</v>
      </c>
      <c r="D9890" s="6" t="str">
        <f>_xll.QS.CONTEXT.ADD.CURVE(C9890,"SOFR",$K$2:$K$7,$L$2:$L$7,,,"Actual360","LogLinear",TRUE)</f>
        <v>QSObject:ContextInput:w1~input.qs_context_add_curve.2359132437744.9889.3.0:21455</v>
      </c>
      <c r="E9890" s="6" t="str">
        <f>_xll.QS.INSTRUMENT.SWAP("swap.9888",H9890,B9890,"USD","SOFR",I9890,J9890,0,"Actual360","Simple","Annual","Annual","Annual")</f>
        <v>QSObject:Swap:w1~swap.9888:202</v>
      </c>
      <c r="F9890" s="6" t="str">
        <f>_xll.QS.TRADE.CREATE("trade.9888",E9890,A9890,"Receive")</f>
        <v>QSObject:SwapTrade:w1~trade.9888:21454</v>
      </c>
      <c r="G9890" s="3">
        <f>_xll.QS.EVALUATE(C9890,F9890)</f>
        <v>62273.454710391619</v>
      </c>
      <c r="H9890" s="5" t="s">
        <v>9930</v>
      </c>
      <c r="I9890" s="7">
        <v>1988800</v>
      </c>
      <c r="J9890" s="8">
        <v>3.8800000000000001E-2</v>
      </c>
    </row>
    <row r="9891" spans="1:10" x14ac:dyDescent="0.25">
      <c r="A9891" s="5" t="s">
        <v>9924</v>
      </c>
      <c r="B9891" s="5" t="s">
        <v>11758</v>
      </c>
      <c r="C9891" s="6" t="str">
        <f>_xll.QS.CONTEXT.CREATE("market.9889",A9891,"USD","SOFR")</f>
        <v>QSObject:PricingContext:w1~market.9889:201</v>
      </c>
      <c r="D9891" s="6" t="str">
        <f>_xll.QS.CONTEXT.ADD.CURVE(C9891,"SOFR",$K$2:$K$7,$L$2:$L$7,,,"Actual360","LogLinear",TRUE)</f>
        <v>QSObject:ContextInput:w1~input.qs_context_add_curve.2359132437744.9890.3.0:21453</v>
      </c>
      <c r="E9891" s="6" t="str">
        <f>_xll.QS.INSTRUMENT.SWAP("swap.9889",H9891,B9891,"USD","SOFR",I9891,J9891,0,"Actual360","Simple","Annual","Annual","Annual")</f>
        <v>QSObject:Swap:w1~swap.9889:200</v>
      </c>
      <c r="F9891" s="6" t="str">
        <f>_xll.QS.TRADE.CREATE("trade.9889",E9891,A9891,"Receive")</f>
        <v>QSObject:SwapTrade:w1~trade.9889:21452</v>
      </c>
      <c r="G9891" s="3">
        <f>_xll.QS.EVALUATE(C9891,F9891)</f>
        <v>63035.437899096731</v>
      </c>
      <c r="H9891" s="5" t="s">
        <v>9931</v>
      </c>
      <c r="I9891" s="7">
        <v>1988900</v>
      </c>
      <c r="J9891" s="8">
        <v>3.8899999999999997E-2</v>
      </c>
    </row>
    <row r="9892" spans="1:10" x14ac:dyDescent="0.25">
      <c r="A9892" s="5" t="s">
        <v>9925</v>
      </c>
      <c r="B9892" s="5" t="s">
        <v>11759</v>
      </c>
      <c r="C9892" s="6" t="str">
        <f>_xll.QS.CONTEXT.CREATE("market.9890",A9892,"USD","SOFR")</f>
        <v>QSObject:PricingContext:w1~market.9890:199</v>
      </c>
      <c r="D9892" s="6" t="str">
        <f>_xll.QS.CONTEXT.ADD.CURVE(C9892,"SOFR",$K$2:$K$7,$L$2:$L$7,,,"Actual360","LogLinear",TRUE)</f>
        <v>QSObject:ContextInput:w1~input.qs_context_add_curve.2359132437744.9891.3.0:21451</v>
      </c>
      <c r="E9892" s="6" t="str">
        <f>_xll.QS.INSTRUMENT.SWAP("swap.9890",H9892,B9892,"USD","SOFR",I9892,J9892,0,"Actual360","Simple","Annual","Annual","Annual")</f>
        <v>QSObject:Swap:w1~swap.9890:198</v>
      </c>
      <c r="F9892" s="6" t="str">
        <f>_xll.QS.TRADE.CREATE("trade.9890",E9892,A9892,"Receive")</f>
        <v>QSObject:SwapTrade:w1~trade.9890:21450</v>
      </c>
      <c r="G9892" s="3">
        <f>_xll.QS.EVALUATE(C9892,F9892)</f>
        <v>63827.982236075368</v>
      </c>
      <c r="H9892" s="5" t="s">
        <v>9932</v>
      </c>
      <c r="I9892" s="7">
        <v>1989000</v>
      </c>
      <c r="J9892" s="8">
        <v>3.9000000000000007E-2</v>
      </c>
    </row>
    <row r="9893" spans="1:10" x14ac:dyDescent="0.25">
      <c r="A9893" s="5" t="s">
        <v>9926</v>
      </c>
      <c r="B9893" s="5" t="s">
        <v>11760</v>
      </c>
      <c r="C9893" s="6" t="str">
        <f>_xll.QS.CONTEXT.CREATE("market.9891",A9893,"USD","SOFR")</f>
        <v>QSObject:PricingContext:w1~market.9891:197</v>
      </c>
      <c r="D9893" s="6" t="str">
        <f>_xll.QS.CONTEXT.ADD.CURVE(C9893,"SOFR",$K$2:$K$7,$L$2:$L$7,,,"Actual360","LogLinear",TRUE)</f>
        <v>QSObject:ContextInput:w1~input.qs_context_add_curve.2359132437744.9892.3.0:21449</v>
      </c>
      <c r="E9893" s="6" t="str">
        <f>_xll.QS.INSTRUMENT.SWAP("swap.9891",H9893,B9893,"USD","SOFR",I9893,J9893,0,"Actual360","Simple","Annual","Annual","Annual")</f>
        <v>QSObject:Swap:w1~swap.9891:196</v>
      </c>
      <c r="F9893" s="6" t="str">
        <f>_xll.QS.TRADE.CREATE("trade.9891",E9893,A9893,"Receive")</f>
        <v>QSObject:SwapTrade:w1~trade.9891:21448</v>
      </c>
      <c r="G9893" s="3">
        <f>_xll.QS.EVALUATE(C9893,F9893)</f>
        <v>64834.597164403734</v>
      </c>
      <c r="H9893" s="5" t="s">
        <v>9933</v>
      </c>
      <c r="I9893" s="7">
        <v>1989100</v>
      </c>
      <c r="J9893" s="8">
        <v>3.9100000000000003E-2</v>
      </c>
    </row>
    <row r="9894" spans="1:10" x14ac:dyDescent="0.25">
      <c r="A9894" s="5" t="s">
        <v>9927</v>
      </c>
      <c r="B9894" s="5" t="s">
        <v>11761</v>
      </c>
      <c r="C9894" s="6" t="str">
        <f>_xll.QS.CONTEXT.CREATE("market.9892",A9894,"USD","SOFR")</f>
        <v>QSObject:PricingContext:w1~market.9892:195</v>
      </c>
      <c r="D9894" s="6" t="str">
        <f>_xll.QS.CONTEXT.ADD.CURVE(C9894,"SOFR",$K$2:$K$7,$L$2:$L$7,,,"Actual360","LogLinear",TRUE)</f>
        <v>QSObject:ContextInput:w1~input.qs_context_add_curve.2359132437744.9893.3.0:21447</v>
      </c>
      <c r="E9894" s="6" t="str">
        <f>_xll.QS.INSTRUMENT.SWAP("swap.9892",H9894,B9894,"USD","SOFR",I9894,J9894,0,"Actual360","Simple","Annual","Annual","Annual")</f>
        <v>QSObject:Swap:w1~swap.9892:194</v>
      </c>
      <c r="F9894" s="6" t="str">
        <f>_xll.QS.TRADE.CREATE("trade.9892",E9894,A9894,"Receive")</f>
        <v>QSObject:SwapTrade:w1~trade.9892:21446</v>
      </c>
      <c r="G9894" s="3">
        <f>_xll.QS.EVALUATE(C9894,F9894)</f>
        <v>65799.670250177805</v>
      </c>
      <c r="H9894" s="5" t="s">
        <v>9934</v>
      </c>
      <c r="I9894" s="7">
        <v>1989200</v>
      </c>
      <c r="J9894" s="8">
        <v>3.9200000000000013E-2</v>
      </c>
    </row>
    <row r="9895" spans="1:10" x14ac:dyDescent="0.25">
      <c r="A9895" s="5" t="s">
        <v>9928</v>
      </c>
      <c r="B9895" s="5" t="s">
        <v>11762</v>
      </c>
      <c r="C9895" s="6" t="str">
        <f>_xll.QS.CONTEXT.CREATE("market.9893",A9895,"USD","SOFR")</f>
        <v>QSObject:PricingContext:w1~market.9893:193</v>
      </c>
      <c r="D9895" s="6" t="str">
        <f>_xll.QS.CONTEXT.ADD.CURVE(C9895,"SOFR",$K$2:$K$7,$L$2:$L$7,,,"Actual360","LogLinear",TRUE)</f>
        <v>QSObject:ContextInput:w1~input.qs_context_add_curve.2359132437744.9894.3.0:21445</v>
      </c>
      <c r="E9895" s="6" t="str">
        <f>_xll.QS.INSTRUMENT.SWAP("swap.9893",H9895,B9895,"USD","SOFR",I9895,J9895,0,"Actual360","Simple","Annual","Annual","Annual")</f>
        <v>QSObject:Swap:w1~swap.9893:192</v>
      </c>
      <c r="F9895" s="6" t="str">
        <f>_xll.QS.TRADE.CREATE("trade.9893",E9895,A9895,"Receive")</f>
        <v>QSObject:SwapTrade:w1~trade.9893:21444</v>
      </c>
      <c r="G9895" s="3">
        <f>_xll.QS.EVALUATE(C9895,F9895)</f>
        <v>66865.875978830241</v>
      </c>
      <c r="H9895" s="5" t="s">
        <v>9935</v>
      </c>
      <c r="I9895" s="7">
        <v>1989300</v>
      </c>
      <c r="J9895" s="8">
        <v>3.9300000000000002E-2</v>
      </c>
    </row>
    <row r="9896" spans="1:10" x14ac:dyDescent="0.25">
      <c r="A9896" s="5" t="s">
        <v>9929</v>
      </c>
      <c r="B9896" s="5" t="s">
        <v>11763</v>
      </c>
      <c r="C9896" s="6" t="str">
        <f>_xll.QS.CONTEXT.CREATE("market.9894",A9896,"USD","SOFR")</f>
        <v>QSObject:PricingContext:w1~market.9894:191</v>
      </c>
      <c r="D9896" s="6" t="str">
        <f>_xll.QS.CONTEXT.ADD.CURVE(C9896,"SOFR",$K$2:$K$7,$L$2:$L$7,,,"Actual360","LogLinear",TRUE)</f>
        <v>QSObject:ContextInput:w1~input.qs_context_add_curve.2359132437744.9895.3.0:21443</v>
      </c>
      <c r="E9896" s="6" t="str">
        <f>_xll.QS.INSTRUMENT.SWAP("swap.9894",H9896,B9896,"USD","SOFR",I9896,J9896,0,"Actual360","Simple","Annual","Annual","Annual")</f>
        <v>QSObject:Swap:w1~swap.9894:190</v>
      </c>
      <c r="F9896" s="6" t="str">
        <f>_xll.QS.TRADE.CREATE("trade.9894",E9896,A9896,"Receive")</f>
        <v>QSObject:SwapTrade:w1~trade.9894:21442</v>
      </c>
      <c r="G9896" s="3">
        <f>_xll.QS.EVALUATE(C9896,F9896)</f>
        <v>67873.749722631517</v>
      </c>
      <c r="H9896" s="5" t="s">
        <v>9936</v>
      </c>
      <c r="I9896" s="7">
        <v>1989400</v>
      </c>
      <c r="J9896" s="8">
        <v>3.9399999999999998E-2</v>
      </c>
    </row>
    <row r="9897" spans="1:10" x14ac:dyDescent="0.25">
      <c r="A9897" s="5" t="s">
        <v>9930</v>
      </c>
      <c r="B9897" s="5" t="s">
        <v>11764</v>
      </c>
      <c r="C9897" s="6" t="str">
        <f>_xll.QS.CONTEXT.CREATE("market.9895",A9897,"USD","SOFR")</f>
        <v>QSObject:PricingContext:w1~market.9895:189</v>
      </c>
      <c r="D9897" s="6" t="str">
        <f>_xll.QS.CONTEXT.ADD.CURVE(C9897,"SOFR",$K$2:$K$7,$L$2:$L$7,,,"Actual360","LogLinear",TRUE)</f>
        <v>QSObject:ContextInput:w1~input.qs_context_add_curve.2359132437744.9896.3.0:21441</v>
      </c>
      <c r="E9897" s="6" t="str">
        <f>_xll.QS.INSTRUMENT.SWAP("swap.9895",H9897,B9897,"USD","SOFR",I9897,J9897,0,"Actual360","Simple","Annual","Annual","Annual")</f>
        <v>QSObject:Swap:w1~swap.9895:188</v>
      </c>
      <c r="F9897" s="6" t="str">
        <f>_xll.QS.TRADE.CREATE("trade.9895",E9897,A9897,"Receive")</f>
        <v>QSObject:SwapTrade:w1~trade.9895:21440</v>
      </c>
      <c r="G9897" s="3">
        <f>_xll.QS.EVALUATE(C9897,F9897)</f>
        <v>68717.735572228208</v>
      </c>
      <c r="H9897" s="5" t="s">
        <v>9937</v>
      </c>
      <c r="I9897" s="7">
        <v>1989500</v>
      </c>
      <c r="J9897" s="8">
        <v>3.9500000000000007E-2</v>
      </c>
    </row>
    <row r="9898" spans="1:10" x14ac:dyDescent="0.25">
      <c r="A9898" s="5" t="s">
        <v>9931</v>
      </c>
      <c r="B9898" s="5" t="s">
        <v>11765</v>
      </c>
      <c r="C9898" s="6" t="str">
        <f>_xll.QS.CONTEXT.CREATE("market.9896",A9898,"USD","SOFR")</f>
        <v>QSObject:PricingContext:w1~market.9896:187</v>
      </c>
      <c r="D9898" s="6" t="str">
        <f>_xll.QS.CONTEXT.ADD.CURVE(C9898,"SOFR",$K$2:$K$7,$L$2:$L$7,,,"Actual360","LogLinear",TRUE)</f>
        <v>QSObject:ContextInput:w1~input.qs_context_add_curve.2359132437744.9897.3.0:21439</v>
      </c>
      <c r="E9898" s="6" t="str">
        <f>_xll.QS.INSTRUMENT.SWAP("swap.9896",H9898,B9898,"USD","SOFR",I9898,J9898,0,"Actual360","Simple","Annual","Annual","Annual")</f>
        <v>QSObject:Swap:w1~swap.9896:186</v>
      </c>
      <c r="F9898" s="6" t="str">
        <f>_xll.QS.TRADE.CREATE("trade.9896",E9898,A9898,"Receive")</f>
        <v>QSObject:SwapTrade:w1~trade.9896:21438</v>
      </c>
      <c r="G9898" s="3">
        <f>_xll.QS.EVALUATE(C9898,F9898)</f>
        <v>69472.815326390919</v>
      </c>
      <c r="H9898" s="5" t="s">
        <v>9938</v>
      </c>
      <c r="I9898" s="7">
        <v>1989600</v>
      </c>
      <c r="J9898" s="8">
        <v>3.9600000000000003E-2</v>
      </c>
    </row>
    <row r="9899" spans="1:10" x14ac:dyDescent="0.25">
      <c r="A9899" s="5" t="s">
        <v>9932</v>
      </c>
      <c r="B9899" s="5" t="s">
        <v>11766</v>
      </c>
      <c r="C9899" s="6" t="str">
        <f>_xll.QS.CONTEXT.CREATE("market.9897",A9899,"USD","SOFR")</f>
        <v>QSObject:PricingContext:w1~market.9897:185</v>
      </c>
      <c r="D9899" s="6" t="str">
        <f>_xll.QS.CONTEXT.ADD.CURVE(C9899,"SOFR",$K$2:$K$7,$L$2:$L$7,,,"Actual360","LogLinear",TRUE)</f>
        <v>QSObject:ContextInput:w1~input.qs_context_add_curve.2359132437744.9898.3.0:31251</v>
      </c>
      <c r="E9899" s="6" t="str">
        <f>_xll.QS.INSTRUMENT.SWAP("swap.9897",H9899,B9899,"USD","SOFR",I9899,J9899,0,"Actual360","Simple","Annual","Annual","Annual")</f>
        <v>QSObject:Swap:w1~swap.9897:21437</v>
      </c>
      <c r="F9899" s="6" t="str">
        <f>_xll.QS.TRADE.CREATE("trade.9897",E9899,A9899,"Receive")</f>
        <v>QSObject:SwapTrade:w1~trade.9897:21968</v>
      </c>
      <c r="G9899" s="3">
        <f>_xll.QS.EVALUATE(C9899,F9899)</f>
        <v>70276.126195323683</v>
      </c>
      <c r="H9899" s="5" t="s">
        <v>9939</v>
      </c>
      <c r="I9899" s="7">
        <v>1989700</v>
      </c>
      <c r="J9899" s="8">
        <v>3.9700000000000013E-2</v>
      </c>
    </row>
    <row r="9900" spans="1:10" x14ac:dyDescent="0.25">
      <c r="A9900" s="5" t="s">
        <v>9933</v>
      </c>
      <c r="B9900" s="5" t="s">
        <v>11767</v>
      </c>
      <c r="C9900" s="6" t="str">
        <f>_xll.QS.CONTEXT.CREATE("market.9898",A9900,"USD","SOFR")</f>
        <v>QSObject:PricingContext:w1~market.9898:21436</v>
      </c>
      <c r="D9900" s="6" t="str">
        <f>_xll.QS.CONTEXT.ADD.CURVE(C9900,"SOFR",$K$2:$K$7,$L$2:$L$7,,,"Actual360","LogLinear",TRUE)</f>
        <v>QSObject:ContextInput:w1~input.qs_context_add_curve.2359132437744.9899.3.0:31250</v>
      </c>
      <c r="E9900" s="6" t="str">
        <f>_xll.QS.INSTRUMENT.SWAP("swap.9898",H9900,B9900,"USD","SOFR",I9900,J9900,0,"Actual360","Simple","Annual","Annual","Annual")</f>
        <v>QSObject:Swap:w1~swap.9898:21435</v>
      </c>
      <c r="F9900" s="6" t="str">
        <f>_xll.QS.TRADE.CREATE("trade.9898",E9900,A9900,"Receive")</f>
        <v>QSObject:SwapTrade:w1~trade.9898:21967</v>
      </c>
      <c r="G9900" s="3">
        <f>_xll.QS.EVALUATE(C9900,F9900)</f>
        <v>71283.303232380335</v>
      </c>
      <c r="H9900" s="5" t="s">
        <v>9940</v>
      </c>
      <c r="I9900" s="7">
        <v>1989800</v>
      </c>
      <c r="J9900" s="8">
        <v>3.9800000000000002E-2</v>
      </c>
    </row>
    <row r="9901" spans="1:10" x14ac:dyDescent="0.25">
      <c r="A9901" s="5" t="s">
        <v>9934</v>
      </c>
      <c r="B9901" s="5" t="s">
        <v>11768</v>
      </c>
      <c r="C9901" s="6" t="str">
        <f>_xll.QS.CONTEXT.CREATE("market.9899",A9901,"USD","SOFR")</f>
        <v>QSObject:PricingContext:w1~market.9899:21434</v>
      </c>
      <c r="D9901" s="6" t="str">
        <f>_xll.QS.CONTEXT.ADD.CURVE(C9901,"SOFR",$K$2:$K$7,$L$2:$L$7,,,"Actual360","LogLinear",TRUE)</f>
        <v>QSObject:ContextInput:w1~input.qs_context_add_curve.2359132437744.9900.3.0:31249</v>
      </c>
      <c r="E9901" s="6" t="str">
        <f>_xll.QS.INSTRUMENT.SWAP("swap.9899",H9901,B9901,"USD","SOFR",I9901,J9901,0,"Actual360","Simple","Annual","Annual","Annual")</f>
        <v>QSObject:Swap:w1~swap.9899:184</v>
      </c>
      <c r="F9901" s="6" t="str">
        <f>_xll.QS.TRADE.CREATE("trade.9899",E9901,A9901,"Receive")</f>
        <v>QSObject:SwapTrade:w1~trade.9899:21433</v>
      </c>
      <c r="G9901" s="3">
        <f>_xll.QS.EVALUATE(C9901,F9901)</f>
        <v>72245.930440724638</v>
      </c>
      <c r="H9901" s="5" t="s">
        <v>9941</v>
      </c>
      <c r="I9901" s="7">
        <v>1989900</v>
      </c>
      <c r="J9901" s="8">
        <v>3.9899999999999998E-2</v>
      </c>
    </row>
    <row r="9902" spans="1:10" x14ac:dyDescent="0.25">
      <c r="A9902" s="5" t="s">
        <v>9935</v>
      </c>
      <c r="B9902" s="5" t="s">
        <v>11769</v>
      </c>
      <c r="C9902" s="6" t="str">
        <f>_xll.QS.CONTEXT.CREATE("market.9900",A9902,"USD","SOFR")</f>
        <v>QSObject:PricingContext:w1~market.9900:183</v>
      </c>
      <c r="D9902" s="6" t="str">
        <f>_xll.QS.CONTEXT.ADD.CURVE(C9902,"SOFR",$K$2:$K$7,$L$2:$L$7,,,"Actual360","LogLinear",TRUE)</f>
        <v>QSObject:ContextInput:w1~input.qs_context_add_curve.2359132437744.9901.3.0:31248</v>
      </c>
      <c r="E9902" s="6" t="str">
        <f>_xll.QS.INSTRUMENT.SWAP("swap.9900",H9902,B9902,"USD","SOFR",I9902,J9902,0,"Actual360","Simple","Annual","Annual","Annual")</f>
        <v>QSObject:Swap:w1~swap.9900:21432</v>
      </c>
      <c r="F9902" s="6" t="str">
        <f>_xll.QS.TRADE.CREATE("trade.9900",E9902,A9902,"Receive")</f>
        <v>QSObject:SwapTrade:w1~trade.9900:21966</v>
      </c>
      <c r="G9902" s="3">
        <f>_xll.QS.EVALUATE(C9902,F9902)</f>
        <v>27429.536880795888</v>
      </c>
      <c r="H9902" s="5" t="s">
        <v>9942</v>
      </c>
      <c r="I9902" s="7">
        <v>1990000</v>
      </c>
      <c r="J9902" s="8">
        <v>3.5000000000000003E-2</v>
      </c>
    </row>
    <row r="9903" spans="1:10" x14ac:dyDescent="0.25">
      <c r="A9903" s="5" t="s">
        <v>9936</v>
      </c>
      <c r="B9903" s="5" t="s">
        <v>11770</v>
      </c>
      <c r="C9903" s="6" t="str">
        <f>_xll.QS.CONTEXT.CREATE("market.9901",A9903,"USD","SOFR")</f>
        <v>QSObject:PricingContext:w1~market.9901:21431</v>
      </c>
      <c r="D9903" s="6" t="str">
        <f>_xll.QS.CONTEXT.ADD.CURVE(C9903,"SOFR",$K$2:$K$7,$L$2:$L$7,,,"Actual360","LogLinear",TRUE)</f>
        <v>QSObject:ContextInput:w1~input.qs_context_add_curve.2359132437744.9902.3.0:31247</v>
      </c>
      <c r="E9903" s="6" t="str">
        <f>_xll.QS.INSTRUMENT.SWAP("swap.9901",H9903,B9903,"USD","SOFR",I9903,J9903,0,"Actual360","Simple","Annual","Annual","Annual")</f>
        <v>QSObject:Swap:w1~swap.9901:21430</v>
      </c>
      <c r="F9903" s="6" t="str">
        <f>_xll.QS.TRADE.CREATE("trade.9901",E9903,A9903,"Receive")</f>
        <v>QSObject:SwapTrade:w1~trade.9901:21965</v>
      </c>
      <c r="G9903" s="3">
        <f>_xll.QS.EVALUATE(C9903,F9903)</f>
        <v>28435.459977734572</v>
      </c>
      <c r="H9903" s="5" t="s">
        <v>9943</v>
      </c>
      <c r="I9903" s="7">
        <v>1990100</v>
      </c>
      <c r="J9903" s="8">
        <v>3.5100000000000013E-2</v>
      </c>
    </row>
    <row r="9904" spans="1:10" x14ac:dyDescent="0.25">
      <c r="A9904" s="5" t="s">
        <v>9937</v>
      </c>
      <c r="B9904" s="5" t="s">
        <v>11771</v>
      </c>
      <c r="C9904" s="6" t="str">
        <f>_xll.QS.CONTEXT.CREATE("market.9902",A9904,"USD","SOFR")</f>
        <v>QSObject:PricingContext:w1~market.9902:21429</v>
      </c>
      <c r="D9904" s="6" t="str">
        <f>_xll.QS.CONTEXT.ADD.CURVE(C9904,"SOFR",$K$2:$K$7,$L$2:$L$7,,,"Actual360","LogLinear",TRUE)</f>
        <v>QSObject:ContextInput:w1~input.qs_context_add_curve.2359132437744.9903.3.0:31246</v>
      </c>
      <c r="E9904" s="6" t="str">
        <f>_xll.QS.INSTRUMENT.SWAP("swap.9902",H9904,B9904,"USD","SOFR",I9904,J9904,0,"Actual360","Simple","Annual","Annual","Annual")</f>
        <v>QSObject:Swap:w1~swap.9902:182</v>
      </c>
      <c r="F9904" s="6" t="str">
        <f>_xll.QS.TRADE.CREATE("trade.9902",E9904,A9904,"Receive")</f>
        <v>QSObject:SwapTrade:w1~trade.9902:21428</v>
      </c>
      <c r="G9904" s="3">
        <f>_xll.QS.EVALUATE(C9904,F9904)</f>
        <v>29277.731592136472</v>
      </c>
      <c r="H9904" s="5" t="s">
        <v>9944</v>
      </c>
      <c r="I9904" s="7">
        <v>1990200</v>
      </c>
      <c r="J9904" s="8">
        <v>3.5200000000000002E-2</v>
      </c>
    </row>
    <row r="9905" spans="1:10" x14ac:dyDescent="0.25">
      <c r="A9905" s="5" t="s">
        <v>9938</v>
      </c>
      <c r="B9905" s="5" t="s">
        <v>11772</v>
      </c>
      <c r="C9905" s="6" t="str">
        <f>_xll.QS.CONTEXT.CREATE("market.9903",A9905,"USD","SOFR")</f>
        <v>QSObject:PricingContext:w1~market.9903:181</v>
      </c>
      <c r="D9905" s="6" t="str">
        <f>_xll.QS.CONTEXT.ADD.CURVE(C9905,"SOFR",$K$2:$K$7,$L$2:$L$7,,,"Actual360","LogLinear",TRUE)</f>
        <v>QSObject:ContextInput:w1~input.qs_context_add_curve.2359132437744.9904.3.0:31245</v>
      </c>
      <c r="E9905" s="6" t="str">
        <f>_xll.QS.INSTRUMENT.SWAP("swap.9903",H9905,B9905,"USD","SOFR",I9905,J9905,0,"Actual360","Simple","Annual","Annual","Annual")</f>
        <v>QSObject:Swap:w1~swap.9903:21427</v>
      </c>
      <c r="F9905" s="6" t="str">
        <f>_xll.QS.TRADE.CREATE("trade.9903",E9905,A9905,"Receive")</f>
        <v>QSObject:SwapTrade:w1~trade.9903:21964</v>
      </c>
      <c r="G9905" s="3">
        <f>_xll.QS.EVALUATE(C9905,F9905)</f>
        <v>30057.262289679129</v>
      </c>
      <c r="H9905" s="5" t="s">
        <v>9945</v>
      </c>
      <c r="I9905" s="7">
        <v>1990300</v>
      </c>
      <c r="J9905" s="8">
        <v>3.5299999999999998E-2</v>
      </c>
    </row>
    <row r="9906" spans="1:10" x14ac:dyDescent="0.25">
      <c r="A9906" s="5" t="s">
        <v>9939</v>
      </c>
      <c r="B9906" s="5" t="s">
        <v>11773</v>
      </c>
      <c r="C9906" s="6" t="str">
        <f>_xll.QS.CONTEXT.CREATE("market.9904",A9906,"USD","SOFR")</f>
        <v>QSObject:PricingContext:w1~market.9904:21426</v>
      </c>
      <c r="D9906" s="6" t="str">
        <f>_xll.QS.CONTEXT.ADD.CURVE(C9906,"SOFR",$K$2:$K$7,$L$2:$L$7,,,"Actual360","LogLinear",TRUE)</f>
        <v>QSObject:ContextInput:w1~input.qs_context_add_curve.2359132437744.9905.3.0:31244</v>
      </c>
      <c r="E9906" s="6" t="str">
        <f>_xll.QS.INSTRUMENT.SWAP("swap.9904",H9906,B9906,"USD","SOFR",I9906,J9906,0,"Actual360","Simple","Annual","Annual","Annual")</f>
        <v>QSObject:Swap:w1~swap.9904:21425</v>
      </c>
      <c r="F9906" s="6" t="str">
        <f>_xll.QS.TRADE.CREATE("trade.9904",E9906,A9906,"Receive")</f>
        <v>QSObject:SwapTrade:w1~trade.9904:21963</v>
      </c>
      <c r="G9906" s="3">
        <f>_xll.QS.EVALUATE(C9906,F9906)</f>
        <v>30737.224460771307</v>
      </c>
      <c r="H9906" s="5" t="s">
        <v>9946</v>
      </c>
      <c r="I9906" s="7">
        <v>1990400</v>
      </c>
      <c r="J9906" s="8">
        <v>3.5400000000000001E-2</v>
      </c>
    </row>
    <row r="9907" spans="1:10" x14ac:dyDescent="0.25">
      <c r="A9907" s="5" t="s">
        <v>9940</v>
      </c>
      <c r="B9907" s="5" t="s">
        <v>11774</v>
      </c>
      <c r="C9907" s="6" t="str">
        <f>_xll.QS.CONTEXT.CREATE("market.9905",A9907,"USD","SOFR")</f>
        <v>QSObject:PricingContext:w1~market.9905:21424</v>
      </c>
      <c r="D9907" s="6" t="str">
        <f>_xll.QS.CONTEXT.ADD.CURVE(C9907,"SOFR",$K$2:$K$7,$L$2:$L$7,,,"Actual360","LogLinear",TRUE)</f>
        <v>QSObject:ContextInput:w1~input.qs_context_add_curve.2359132437744.9906.3.0:31243</v>
      </c>
      <c r="E9907" s="6" t="str">
        <f>_xll.QS.INSTRUMENT.SWAP("swap.9905",H9907,B9907,"USD","SOFR",I9907,J9907,0,"Actual360","Simple","Annual","Annual","Annual")</f>
        <v>QSObject:Swap:w1~swap.9905:180</v>
      </c>
      <c r="F9907" s="6" t="str">
        <f>_xll.QS.TRADE.CREATE("trade.9905",E9907,A9907,"Receive")</f>
        <v>QSObject:SwapTrade:w1~trade.9905:21423</v>
      </c>
      <c r="G9907" s="3">
        <f>_xll.QS.EVALUATE(C9907,F9907)</f>
        <v>31739.729921897997</v>
      </c>
      <c r="H9907" s="5" t="s">
        <v>9947</v>
      </c>
      <c r="I9907" s="7">
        <v>1990500</v>
      </c>
      <c r="J9907" s="8">
        <v>3.5499999999999997E-2</v>
      </c>
    </row>
    <row r="9908" spans="1:10" x14ac:dyDescent="0.25">
      <c r="A9908" s="5" t="s">
        <v>9941</v>
      </c>
      <c r="B9908" s="5" t="s">
        <v>11775</v>
      </c>
      <c r="C9908" s="6" t="str">
        <f>_xll.QS.CONTEXT.CREATE("market.9906",A9908,"USD","SOFR")</f>
        <v>QSObject:PricingContext:w1~market.9906:179</v>
      </c>
      <c r="D9908" s="6" t="str">
        <f>_xll.QS.CONTEXT.ADD.CURVE(C9908,"SOFR",$K$2:$K$7,$L$2:$L$7,,,"Actual360","LogLinear",TRUE)</f>
        <v>QSObject:ContextInput:w1~input.qs_context_add_curve.2359132437744.9907.3.0:31242</v>
      </c>
      <c r="E9908" s="6" t="str">
        <f>_xll.QS.INSTRUMENT.SWAP("swap.9906",H9908,B9908,"USD","SOFR",I9908,J9908,0,"Actual360","Simple","Annual","Annual","Annual")</f>
        <v>QSObject:Swap:w1~swap.9906:21422</v>
      </c>
      <c r="F9908" s="6" t="str">
        <f>_xll.QS.TRADE.CREATE("trade.9906",E9908,A9908,"Receive")</f>
        <v>QSObject:SwapTrade:w1~trade.9906:21962</v>
      </c>
      <c r="G9908" s="3">
        <f>_xll.QS.EVALUATE(C9908,F9908)</f>
        <v>32742.095509640261</v>
      </c>
      <c r="H9908" s="5" t="s">
        <v>9948</v>
      </c>
      <c r="I9908" s="7">
        <v>1990600</v>
      </c>
      <c r="J9908" s="8">
        <v>3.5600000000000007E-2</v>
      </c>
    </row>
    <row r="9909" spans="1:10" x14ac:dyDescent="0.25">
      <c r="A9909" s="5" t="s">
        <v>9942</v>
      </c>
      <c r="B9909" s="5" t="s">
        <v>11776</v>
      </c>
      <c r="C9909" s="6" t="str">
        <f>_xll.QS.CONTEXT.CREATE("market.9907",A9909,"USD","SOFR")</f>
        <v>QSObject:PricingContext:w1~market.9907:21421</v>
      </c>
      <c r="D9909" s="6" t="str">
        <f>_xll.QS.CONTEXT.ADD.CURVE(C9909,"SOFR",$K$2:$K$7,$L$2:$L$7,,,"Actual360","LogLinear",TRUE)</f>
        <v>QSObject:ContextInput:w1~input.qs_context_add_curve.2359132437744.9908.3.0:31241</v>
      </c>
      <c r="E9909" s="6" t="str">
        <f>_xll.QS.INSTRUMENT.SWAP("swap.9907",H9909,B9909,"USD","SOFR",I9909,J9909,0,"Actual360","Simple","Annual","Annual","Annual")</f>
        <v>QSObject:Swap:w1~swap.9907:21420</v>
      </c>
      <c r="F9909" s="6" t="str">
        <f>_xll.QS.TRADE.CREATE("trade.9907",E9909,A9909,"Receive")</f>
        <v>QSObject:SwapTrade:w1~trade.9907:21961</v>
      </c>
      <c r="G9909" s="3">
        <f>_xll.QS.EVALUATE(C9909,F9909)</f>
        <v>33938.938762200742</v>
      </c>
      <c r="H9909" s="5" t="s">
        <v>9949</v>
      </c>
      <c r="I9909" s="7">
        <v>1990700</v>
      </c>
      <c r="J9909" s="8">
        <v>3.5700000000000003E-2</v>
      </c>
    </row>
    <row r="9910" spans="1:10" x14ac:dyDescent="0.25">
      <c r="A9910" s="5" t="s">
        <v>9943</v>
      </c>
      <c r="B9910" s="5" t="s">
        <v>11777</v>
      </c>
      <c r="C9910" s="6" t="str">
        <f>_xll.QS.CONTEXT.CREATE("market.9908",A9910,"USD","SOFR")</f>
        <v>QSObject:PricingContext:w1~market.9908:21419</v>
      </c>
      <c r="D9910" s="6" t="str">
        <f>_xll.QS.CONTEXT.ADD.CURVE(C9910,"SOFR",$K$2:$K$7,$L$2:$L$7,,,"Actual360","LogLinear",TRUE)</f>
        <v>QSObject:ContextInput:w1~input.qs_context_add_curve.2359132437744.9909.3.0:31240</v>
      </c>
      <c r="E9910" s="6" t="str">
        <f>_xll.QS.INSTRUMENT.SWAP("swap.9908",H9910,B9910,"USD","SOFR",I9910,J9910,0,"Actual360","Simple","Annual","Annual","Annual")</f>
        <v>QSObject:Swap:w1~swap.9908:21418</v>
      </c>
      <c r="F9910" s="6" t="str">
        <f>_xll.QS.TRADE.CREATE("trade.9908",E9910,A9910,"Receive")</f>
        <v>QSObject:SwapTrade:w1~trade.9908:21960</v>
      </c>
      <c r="G9910" s="3">
        <f>_xll.QS.EVALUATE(C9910,F9910)</f>
        <v>34876.606906175308</v>
      </c>
      <c r="H9910" s="5" t="s">
        <v>9950</v>
      </c>
      <c r="I9910" s="7">
        <v>1990800</v>
      </c>
      <c r="J9910" s="8">
        <v>3.5800000000000012E-2</v>
      </c>
    </row>
    <row r="9911" spans="1:10" x14ac:dyDescent="0.25">
      <c r="A9911" s="5" t="s">
        <v>9944</v>
      </c>
      <c r="B9911" s="5" t="s">
        <v>11778</v>
      </c>
      <c r="C9911" s="6" t="str">
        <f>_xll.QS.CONTEXT.CREATE("market.9909",A9911,"USD","SOFR")</f>
        <v>QSObject:PricingContext:w1~market.9909:21417</v>
      </c>
      <c r="D9911" s="6" t="str">
        <f>_xll.QS.CONTEXT.ADD.CURVE(C9911,"SOFR",$K$2:$K$7,$L$2:$L$7,,,"Actual360","LogLinear",TRUE)</f>
        <v>QSObject:ContextInput:w1~input.qs_context_add_curve.2359132437744.9910.3.0:31239</v>
      </c>
      <c r="E9911" s="6" t="str">
        <f>_xll.QS.INSTRUMENT.SWAP("swap.9909",H9911,B9911,"USD","SOFR",I9911,J9911,0,"Actual360","Simple","Annual","Annual","Annual")</f>
        <v>QSObject:Swap:w1~swap.9909:178</v>
      </c>
      <c r="F9911" s="6" t="str">
        <f>_xll.QS.TRADE.CREATE("trade.9909",E9911,A9911,"Receive")</f>
        <v>QSObject:SwapTrade:w1~trade.9909:21416</v>
      </c>
      <c r="G9911" s="3">
        <f>_xll.QS.EVALUATE(C9911,F9911)</f>
        <v>35795.385851802072</v>
      </c>
      <c r="H9911" s="5" t="s">
        <v>9951</v>
      </c>
      <c r="I9911" s="7">
        <v>1990900</v>
      </c>
      <c r="J9911" s="8">
        <v>3.5900000000000001E-2</v>
      </c>
    </row>
    <row r="9912" spans="1:10" x14ac:dyDescent="0.25">
      <c r="A9912" s="5" t="s">
        <v>9945</v>
      </c>
      <c r="B9912" s="5" t="s">
        <v>11779</v>
      </c>
      <c r="C9912" s="6" t="str">
        <f>_xll.QS.CONTEXT.CREATE("market.9910",A9912,"USD","SOFR")</f>
        <v>QSObject:PricingContext:w1~market.9910:177</v>
      </c>
      <c r="D9912" s="6" t="str">
        <f>_xll.QS.CONTEXT.ADD.CURVE(C9912,"SOFR",$K$2:$K$7,$L$2:$L$7,,,"Actual360","LogLinear",TRUE)</f>
        <v>QSObject:ContextInput:w1~input.qs_context_add_curve.2359132437744.9911.3.0:21415</v>
      </c>
      <c r="E9912" s="6" t="str">
        <f>_xll.QS.INSTRUMENT.SWAP("swap.9910",H9912,B9912,"USD","SOFR",I9912,J9912,0,"Actual360","Simple","Annual","Annual","Annual")</f>
        <v>QSObject:Swap:w1~swap.9910:176</v>
      </c>
      <c r="F9912" s="6" t="str">
        <f>_xll.QS.TRADE.CREATE("trade.9910",E9912,A9912,"Receive")</f>
        <v>QSObject:SwapTrade:w1~trade.9910:21414</v>
      </c>
      <c r="G9912" s="3">
        <f>_xll.QS.EVALUATE(C9912,F9912)</f>
        <v>36588.239970003095</v>
      </c>
      <c r="H9912" s="5" t="s">
        <v>9952</v>
      </c>
      <c r="I9912" s="7">
        <v>1991000</v>
      </c>
      <c r="J9912" s="8">
        <v>3.5999999999999997E-2</v>
      </c>
    </row>
    <row r="9913" spans="1:10" x14ac:dyDescent="0.25">
      <c r="A9913" s="5" t="s">
        <v>9946</v>
      </c>
      <c r="B9913" s="5" t="s">
        <v>11780</v>
      </c>
      <c r="C9913" s="6" t="str">
        <f>_xll.QS.CONTEXT.CREATE("market.9911",A9913,"USD","SOFR")</f>
        <v>QSObject:PricingContext:w1~market.9911:175</v>
      </c>
      <c r="D9913" s="6" t="str">
        <f>_xll.QS.CONTEXT.ADD.CURVE(C9913,"SOFR",$K$2:$K$7,$L$2:$L$7,,,"Actual360","LogLinear",TRUE)</f>
        <v>QSObject:ContextInput:w1~input.qs_context_add_curve.2359132437744.9912.3.0:21413</v>
      </c>
      <c r="E9913" s="6" t="str">
        <f>_xll.QS.INSTRUMENT.SWAP("swap.9911",H9913,B9913,"USD","SOFR",I9913,J9913,0,"Actual360","Simple","Annual","Annual","Annual")</f>
        <v>QSObject:Swap:w1~swap.9911:174</v>
      </c>
      <c r="F9913" s="6" t="str">
        <f>_xll.QS.TRADE.CREATE("trade.9911",E9913,A9913,"Receive")</f>
        <v>QSObject:SwapTrade:w1~trade.9911:21412</v>
      </c>
      <c r="G9913" s="3">
        <f>_xll.QS.EVALUATE(C9913,F9913)</f>
        <v>37338.95909944352</v>
      </c>
      <c r="H9913" s="5" t="s">
        <v>9953</v>
      </c>
      <c r="I9913" s="7">
        <v>1991100</v>
      </c>
      <c r="J9913" s="8">
        <v>3.61E-2</v>
      </c>
    </row>
    <row r="9914" spans="1:10" x14ac:dyDescent="0.25">
      <c r="A9914" s="5" t="s">
        <v>9947</v>
      </c>
      <c r="B9914" s="5" t="s">
        <v>11781</v>
      </c>
      <c r="C9914" s="6" t="str">
        <f>_xll.QS.CONTEXT.CREATE("market.9912",A9914,"USD","SOFR")</f>
        <v>QSObject:PricingContext:w1~market.9912:173</v>
      </c>
      <c r="D9914" s="6" t="str">
        <f>_xll.QS.CONTEXT.ADD.CURVE(C9914,"SOFR",$K$2:$K$7,$L$2:$L$7,,,"Actual360","LogLinear",TRUE)</f>
        <v>QSObject:ContextInput:w1~input.qs_context_add_curve.2359132437744.9913.3.0:21411</v>
      </c>
      <c r="E9914" s="6" t="str">
        <f>_xll.QS.INSTRUMENT.SWAP("swap.9912",H9914,B9914,"USD","SOFR",I9914,J9914,0,"Actual360","Simple","Annual","Annual","Annual")</f>
        <v>QSObject:Swap:w1~swap.9912:172</v>
      </c>
      <c r="F9914" s="6" t="str">
        <f>_xll.QS.TRADE.CREATE("trade.9912",E9914,A9914,"Receive")</f>
        <v>QSObject:SwapTrade:w1~trade.9912:21410</v>
      </c>
      <c r="G9914" s="3">
        <f>_xll.QS.EVALUATE(C9914,F9914)</f>
        <v>38262.379032807694</v>
      </c>
      <c r="H9914" s="5" t="s">
        <v>9954</v>
      </c>
      <c r="I9914" s="7">
        <v>1991200</v>
      </c>
      <c r="J9914" s="8">
        <v>3.6200000000000003E-2</v>
      </c>
    </row>
    <row r="9915" spans="1:10" x14ac:dyDescent="0.25">
      <c r="A9915" s="5" t="s">
        <v>9948</v>
      </c>
      <c r="B9915" s="5" t="s">
        <v>11782</v>
      </c>
      <c r="C9915" s="6" t="str">
        <f>_xll.QS.CONTEXT.CREATE("market.9913",A9915,"USD","SOFR")</f>
        <v>QSObject:PricingContext:w1~market.9913:171</v>
      </c>
      <c r="D9915" s="6" t="str">
        <f>_xll.QS.CONTEXT.ADD.CURVE(C9915,"SOFR",$K$2:$K$7,$L$2:$L$7,,,"Actual360","LogLinear",TRUE)</f>
        <v>QSObject:ContextInput:w1~input.qs_context_add_curve.2359132437744.9914.3.0:21409</v>
      </c>
      <c r="E9915" s="6" t="str">
        <f>_xll.QS.INSTRUMENT.SWAP("swap.9913",H9915,B9915,"USD","SOFR",I9915,J9915,0,"Actual360","Simple","Annual","Annual","Annual")</f>
        <v>QSObject:Swap:w1~swap.9913:170</v>
      </c>
      <c r="F9915" s="6" t="str">
        <f>_xll.QS.TRADE.CREATE("trade.9913",E9915,A9915,"Receive")</f>
        <v>QSObject:SwapTrade:w1~trade.9913:21408</v>
      </c>
      <c r="G9915" s="3">
        <f>_xll.QS.EVALUATE(C9915,F9915)</f>
        <v>39240.023552394225</v>
      </c>
      <c r="H9915" s="5" t="s">
        <v>9955</v>
      </c>
      <c r="I9915" s="7">
        <v>1991300</v>
      </c>
      <c r="J9915" s="8">
        <v>3.6300000000000013E-2</v>
      </c>
    </row>
    <row r="9916" spans="1:10" x14ac:dyDescent="0.25">
      <c r="A9916" s="5" t="s">
        <v>9949</v>
      </c>
      <c r="B9916" s="5" t="s">
        <v>11783</v>
      </c>
      <c r="C9916" s="6" t="str">
        <f>_xll.QS.CONTEXT.CREATE("market.9914",A9916,"USD","SOFR")</f>
        <v>QSObject:PricingContext:w1~market.9914:169</v>
      </c>
      <c r="D9916" s="6" t="str">
        <f>_xll.QS.CONTEXT.ADD.CURVE(C9916,"SOFR",$K$2:$K$7,$L$2:$L$7,,,"Actual360","LogLinear",TRUE)</f>
        <v>QSObject:ContextInput:w1~input.qs_context_add_curve.2359132437744.9915.3.0:21407</v>
      </c>
      <c r="E9916" s="6" t="str">
        <f>_xll.QS.INSTRUMENT.SWAP("swap.9914",H9916,B9916,"USD","SOFR",I9916,J9916,0,"Actual360","Simple","Annual","Annual","Annual")</f>
        <v>QSObject:Swap:w1~swap.9914:168</v>
      </c>
      <c r="F9916" s="6" t="str">
        <f>_xll.QS.TRADE.CREATE("trade.9914",E9916,A9916,"Receive")</f>
        <v>QSObject:SwapTrade:w1~trade.9914:21406</v>
      </c>
      <c r="G9916" s="3">
        <f>_xll.QS.EVALUATE(C9916,F9916)</f>
        <v>40305.415143854145</v>
      </c>
      <c r="H9916" s="5" t="s">
        <v>9957</v>
      </c>
      <c r="I9916" s="7">
        <v>1991400</v>
      </c>
      <c r="J9916" s="8">
        <v>3.6400000000000002E-2</v>
      </c>
    </row>
    <row r="9917" spans="1:10" x14ac:dyDescent="0.25">
      <c r="A9917" s="5" t="s">
        <v>9950</v>
      </c>
      <c r="B9917" s="5" t="s">
        <v>11784</v>
      </c>
      <c r="C9917" s="6" t="str">
        <f>_xll.QS.CONTEXT.CREATE("market.9915",A9917,"USD","SOFR")</f>
        <v>QSObject:PricingContext:w1~market.9915:167</v>
      </c>
      <c r="D9917" s="6" t="str">
        <f>_xll.QS.CONTEXT.ADD.CURVE(C9917,"SOFR",$K$2:$K$7,$L$2:$L$7,,,"Actual360","LogLinear",TRUE)</f>
        <v>QSObject:ContextInput:w1~input.qs_context_add_curve.2359132437744.9916.3.0:21405</v>
      </c>
      <c r="E9917" s="6" t="str">
        <f>_xll.QS.INSTRUMENT.SWAP("swap.9915",H9917,B9917,"USD","SOFR",I9917,J9917,0,"Actual360","Simple","Annual","Annual","Annual")</f>
        <v>QSObject:Swap:w1~swap.9915:166</v>
      </c>
      <c r="F9917" s="6" t="str">
        <f>_xll.QS.TRADE.CREATE("trade.9915",E9917,A9917,"Receive")</f>
        <v>QSObject:SwapTrade:w1~trade.9915:21404</v>
      </c>
      <c r="G9917" s="3">
        <f>_xll.QS.EVALUATE(C9917,F9917)</f>
        <v>41312.427064474541</v>
      </c>
      <c r="H9917" s="5" t="s">
        <v>9958</v>
      </c>
      <c r="I9917" s="7">
        <v>1991500</v>
      </c>
      <c r="J9917" s="8">
        <v>3.6499999999999998E-2</v>
      </c>
    </row>
    <row r="9918" spans="1:10" x14ac:dyDescent="0.25">
      <c r="A9918" s="5" t="s">
        <v>9951</v>
      </c>
      <c r="B9918" s="5" t="s">
        <v>11785</v>
      </c>
      <c r="C9918" s="6" t="str">
        <f>_xll.QS.CONTEXT.CREATE("market.9916",A9918,"USD","SOFR")</f>
        <v>QSObject:PricingContext:w1~market.9916:165</v>
      </c>
      <c r="D9918" s="6" t="str">
        <f>_xll.QS.CONTEXT.ADD.CURVE(C9918,"SOFR",$K$2:$K$7,$L$2:$L$7,,,"Actual360","LogLinear",TRUE)</f>
        <v>QSObject:ContextInput:w1~input.qs_context_add_curve.2359132437744.9917.3.0:21403</v>
      </c>
      <c r="E9918" s="6" t="str">
        <f>_xll.QS.INSTRUMENT.SWAP("swap.9916",H9918,B9918,"USD","SOFR",I9918,J9918,0,"Actual360","Simple","Annual","Annual","Annual")</f>
        <v>QSObject:Swap:w1~swap.9916:164</v>
      </c>
      <c r="F9918" s="6" t="str">
        <f>_xll.QS.TRADE.CREATE("trade.9916",E9918,A9918,"Receive")</f>
        <v>QSObject:SwapTrade:w1~trade.9916:21402</v>
      </c>
      <c r="G9918" s="3">
        <f>_xll.QS.EVALUATE(C9918,F9918)</f>
        <v>42156.144298102023</v>
      </c>
      <c r="H9918" s="5" t="s">
        <v>9959</v>
      </c>
      <c r="I9918" s="7">
        <v>1991600</v>
      </c>
      <c r="J9918" s="8">
        <v>3.6600000000000001E-2</v>
      </c>
    </row>
    <row r="9919" spans="1:10" x14ac:dyDescent="0.25">
      <c r="A9919" s="5" t="s">
        <v>9952</v>
      </c>
      <c r="B9919" s="5" t="s">
        <v>11786</v>
      </c>
      <c r="C9919" s="6" t="str">
        <f>_xll.QS.CONTEXT.CREATE("market.9917",A9919,"USD","SOFR")</f>
        <v>QSObject:PricingContext:w1~market.9917:163</v>
      </c>
      <c r="D9919" s="6" t="str">
        <f>_xll.QS.CONTEXT.ADD.CURVE(C9919,"SOFR",$K$2:$K$7,$L$2:$L$7,,,"Actual360","LogLinear",TRUE)</f>
        <v>QSObject:ContextInput:w1~input.qs_context_add_curve.2359132437744.9918.3.0:21401</v>
      </c>
      <c r="E9919" s="6" t="str">
        <f>_xll.QS.INSTRUMENT.SWAP("swap.9917",H9919,B9919,"USD","SOFR",I9919,J9919,0,"Actual360","Simple","Annual","Annual","Annual")</f>
        <v>QSObject:Swap:w1~swap.9917:162</v>
      </c>
      <c r="F9919" s="6" t="str">
        <f>_xll.QS.TRADE.CREATE("trade.9917",E9919,A9919,"Receive")</f>
        <v>QSObject:SwapTrade:w1~trade.9917:21400</v>
      </c>
      <c r="G9919" s="3">
        <f>_xll.QS.EVALUATE(C9919,F9919)</f>
        <v>42941.957630821133</v>
      </c>
      <c r="H9919" s="5" t="s">
        <v>9960</v>
      </c>
      <c r="I9919" s="7">
        <v>1991700</v>
      </c>
      <c r="J9919" s="8">
        <v>3.6700000000000003E-2</v>
      </c>
    </row>
    <row r="9920" spans="1:10" x14ac:dyDescent="0.25">
      <c r="A9920" s="5" t="s">
        <v>9953</v>
      </c>
      <c r="B9920" s="5" t="s">
        <v>11787</v>
      </c>
      <c r="C9920" s="6" t="str">
        <f>_xll.QS.CONTEXT.CREATE("market.9918",A9920,"USD","SOFR")</f>
        <v>QSObject:PricingContext:w1~market.9918:161</v>
      </c>
      <c r="D9920" s="6" t="str">
        <f>_xll.QS.CONTEXT.ADD.CURVE(C9920,"SOFR",$K$2:$K$7,$L$2:$L$7,,,"Actual360","LogLinear",TRUE)</f>
        <v>QSObject:ContextInput:w1~input.qs_context_add_curve.2359132437744.9919.3.0:21399</v>
      </c>
      <c r="E9920" s="6" t="str">
        <f>_xll.QS.INSTRUMENT.SWAP("swap.9918",H9920,B9920,"USD","SOFR",I9920,J9920,0,"Actual360","Simple","Annual","Annual","Annual")</f>
        <v>QSObject:Swap:w1~swap.9918:160</v>
      </c>
      <c r="F9920" s="6" t="str">
        <f>_xll.QS.TRADE.CREATE("trade.9918",E9920,A9920,"Receive")</f>
        <v>QSObject:SwapTrade:w1~trade.9918:21398</v>
      </c>
      <c r="G9920" s="3">
        <f>_xll.QS.EVALUATE(C9920,F9920)</f>
        <v>43703.266370702077</v>
      </c>
      <c r="H9920" s="5" t="s">
        <v>9961</v>
      </c>
      <c r="I9920" s="7">
        <v>1991800</v>
      </c>
      <c r="J9920" s="8">
        <v>3.6800000000000013E-2</v>
      </c>
    </row>
    <row r="9921" spans="1:10" x14ac:dyDescent="0.25">
      <c r="A9921" s="5" t="s">
        <v>9954</v>
      </c>
      <c r="B9921" s="5" t="s">
        <v>11788</v>
      </c>
      <c r="C9921" s="6" t="str">
        <f>_xll.QS.CONTEXT.CREATE("market.9919",A9921,"USD","SOFR")</f>
        <v>QSObject:PricingContext:w1~market.9919:159</v>
      </c>
      <c r="D9921" s="6" t="str">
        <f>_xll.QS.CONTEXT.ADD.CURVE(C9921,"SOFR",$K$2:$K$7,$L$2:$L$7,,,"Actual360","LogLinear",TRUE)</f>
        <v>QSObject:ContextInput:w1~input.qs_context_add_curve.2359132437744.9920.3.0:21397</v>
      </c>
      <c r="E9921" s="6" t="str">
        <f>_xll.QS.INSTRUMENT.SWAP("swap.9919",H9921,B9921,"USD","SOFR",I9921,J9921,0,"Actual360","Simple","Annual","Annual","Annual")</f>
        <v>QSObject:Swap:w1~swap.9919:158</v>
      </c>
      <c r="F9921" s="6" t="str">
        <f>_xll.QS.TRADE.CREATE("trade.9919",E9921,A9921,"Receive")</f>
        <v>QSObject:SwapTrade:w1~trade.9919:21396</v>
      </c>
      <c r="G9921" s="3">
        <f>_xll.QS.EVALUATE(C9921,F9921)</f>
        <v>44708.361619856645</v>
      </c>
      <c r="H9921" s="5" t="s">
        <v>9962</v>
      </c>
      <c r="I9921" s="7">
        <v>1991900</v>
      </c>
      <c r="J9921" s="8">
        <v>3.6900000000000002E-2</v>
      </c>
    </row>
    <row r="9922" spans="1:10" x14ac:dyDescent="0.25">
      <c r="A9922" s="5" t="s">
        <v>9955</v>
      </c>
      <c r="B9922" s="5" t="s">
        <v>11789</v>
      </c>
      <c r="C9922" s="6" t="str">
        <f>_xll.QS.CONTEXT.CREATE("market.9920",A9922,"USD","SOFR")</f>
        <v>QSObject:PricingContext:w1~market.9920:157</v>
      </c>
      <c r="D9922" s="6" t="str">
        <f>_xll.QS.CONTEXT.ADD.CURVE(C9922,"SOFR",$K$2:$K$7,$L$2:$L$7,,,"Actual360","LogLinear",TRUE)</f>
        <v>QSObject:ContextInput:w1~input.qs_context_add_curve.2359132437744.9921.3.0:21395</v>
      </c>
      <c r="E9922" s="6" t="str">
        <f>_xll.QS.INSTRUMENT.SWAP("swap.9920",H9922,B9922,"USD","SOFR",I9922,J9922,0,"Actual360","Simple","Annual","Annual","Annual")</f>
        <v>QSObject:Swap:w1~swap.9920:156</v>
      </c>
      <c r="F9922" s="6" t="str">
        <f>_xll.QS.TRADE.CREATE("trade.9920",E9922,A9922,"Receive")</f>
        <v>QSObject:SwapTrade:w1~trade.9920:21394</v>
      </c>
      <c r="G9922" s="3">
        <f>_xll.QS.EVALUATE(C9922,F9922)</f>
        <v>45683.316100642543</v>
      </c>
      <c r="H9922" s="5" t="s">
        <v>9963</v>
      </c>
      <c r="I9922" s="7">
        <v>1992000</v>
      </c>
      <c r="J9922" s="8">
        <v>3.7000000000000012E-2</v>
      </c>
    </row>
    <row r="9923" spans="1:10" x14ac:dyDescent="0.25">
      <c r="A9923" s="5" t="s">
        <v>9957</v>
      </c>
      <c r="B9923" s="5" t="s">
        <v>11790</v>
      </c>
      <c r="C9923" s="6" t="str">
        <f>_xll.QS.CONTEXT.CREATE("market.9921",A9923,"USD","SOFR")</f>
        <v>QSObject:PricingContext:w1~market.9921:155</v>
      </c>
      <c r="D9923" s="6" t="str">
        <f>_xll.QS.CONTEXT.ADD.CURVE(C9923,"SOFR",$K$2:$K$7,$L$2:$L$7,,,"Actual360","LogLinear",TRUE)</f>
        <v>QSObject:ContextInput:w1~input.qs_context_add_curve.2359132437744.9922.3.0:21393</v>
      </c>
      <c r="E9923" s="6" t="str">
        <f>_xll.QS.INSTRUMENT.SWAP("swap.9921",H9923,B9923,"USD","SOFR",I9923,J9923,0,"Actual360","Simple","Annual","Annual","Annual")</f>
        <v>QSObject:Swap:w1~swap.9921:154</v>
      </c>
      <c r="F9923" s="6" t="str">
        <f>_xll.QS.TRADE.CREATE("trade.9921",E9923,A9923,"Receive")</f>
        <v>QSObject:SwapTrade:w1~trade.9921:21392</v>
      </c>
      <c r="G9923" s="3">
        <f>_xll.QS.EVALUATE(C9923,F9923)</f>
        <v>46750.094644223915</v>
      </c>
      <c r="H9923" s="5" t="s">
        <v>9964</v>
      </c>
      <c r="I9923" s="7">
        <v>1992100</v>
      </c>
      <c r="J9923" s="8">
        <v>3.7100000000000001E-2</v>
      </c>
    </row>
    <row r="9924" spans="1:10" x14ac:dyDescent="0.25">
      <c r="A9924" s="5" t="s">
        <v>9958</v>
      </c>
      <c r="B9924" s="5" t="s">
        <v>11791</v>
      </c>
      <c r="C9924" s="6" t="str">
        <f>_xll.QS.CONTEXT.CREATE("market.9922",A9924,"USD","SOFR")</f>
        <v>QSObject:PricingContext:w1~market.9922:153</v>
      </c>
      <c r="D9924" s="6" t="str">
        <f>_xll.QS.CONTEXT.ADD.CURVE(C9924,"SOFR",$K$2:$K$7,$L$2:$L$7,,,"Actual360","LogLinear",TRUE)</f>
        <v>QSObject:ContextInput:w1~input.qs_context_add_curve.2359132437744.9923.3.0:21391</v>
      </c>
      <c r="E9924" s="6" t="str">
        <f>_xll.QS.INSTRUMENT.SWAP("swap.9922",H9924,B9924,"USD","SOFR",I9924,J9924,0,"Actual360","Simple","Annual","Annual","Annual")</f>
        <v>QSObject:Swap:w1~swap.9922:152</v>
      </c>
      <c r="F9924" s="6" t="str">
        <f>_xll.QS.TRADE.CREATE("trade.9922",E9924,A9924,"Receive")</f>
        <v>QSObject:SwapTrade:w1~trade.9922:21390</v>
      </c>
      <c r="G9924" s="3">
        <f>_xll.QS.EVALUATE(C9924,F9924)</f>
        <v>47758.121713239569</v>
      </c>
      <c r="H9924" s="5" t="s">
        <v>9965</v>
      </c>
      <c r="I9924" s="7">
        <v>1992200</v>
      </c>
      <c r="J9924" s="8">
        <v>3.7199999999999997E-2</v>
      </c>
    </row>
    <row r="9925" spans="1:10" x14ac:dyDescent="0.25">
      <c r="A9925" s="5" t="s">
        <v>9959</v>
      </c>
      <c r="B9925" s="5" t="s">
        <v>11792</v>
      </c>
      <c r="C9925" s="6" t="str">
        <f>_xll.QS.CONTEXT.CREATE("market.9923",A9925,"USD","SOFR")</f>
        <v>QSObject:PricingContext:w1~market.9923:151</v>
      </c>
      <c r="D9925" s="6" t="str">
        <f>_xll.QS.CONTEXT.ADD.CURVE(C9925,"SOFR",$K$2:$K$7,$L$2:$L$7,,,"Actual360","LogLinear",TRUE)</f>
        <v>QSObject:ContextInput:w1~input.qs_context_add_curve.2359132437744.9924.3.0:31238</v>
      </c>
      <c r="E9925" s="6" t="str">
        <f>_xll.QS.INSTRUMENT.SWAP("swap.9923",H9925,B9925,"USD","SOFR",I9925,J9925,0,"Actual360","Simple","Annual","Annual","Annual")</f>
        <v>QSObject:Swap:w1~swap.9923:21389</v>
      </c>
      <c r="F9925" s="6" t="str">
        <f>_xll.QS.TRADE.CREATE("trade.9923",E9925,A9925,"Receive")</f>
        <v>QSObject:SwapTrade:w1~trade.9923:21959</v>
      </c>
      <c r="G9925" s="3">
        <f>_xll.QS.EVALUATE(C9925,F9925)</f>
        <v>48602.650195272348</v>
      </c>
      <c r="H9925" s="5" t="s">
        <v>9966</v>
      </c>
      <c r="I9925" s="7">
        <v>1992300</v>
      </c>
      <c r="J9925" s="8">
        <v>3.73E-2</v>
      </c>
    </row>
    <row r="9926" spans="1:10" x14ac:dyDescent="0.25">
      <c r="A9926" s="5" t="s">
        <v>9960</v>
      </c>
      <c r="B9926" s="5" t="s">
        <v>11793</v>
      </c>
      <c r="C9926" s="6" t="str">
        <f>_xll.QS.CONTEXT.CREATE("market.9924",A9926,"USD","SOFR")</f>
        <v>QSObject:PricingContext:w1~market.9924:21388</v>
      </c>
      <c r="D9926" s="6" t="str">
        <f>_xll.QS.CONTEXT.ADD.CURVE(C9926,"SOFR",$K$2:$K$7,$L$2:$L$7,,,"Actual360","LogLinear",TRUE)</f>
        <v>QSObject:ContextInput:w1~input.qs_context_add_curve.2359132437744.9925.3.0:31237</v>
      </c>
      <c r="E9926" s="6" t="str">
        <f>_xll.QS.INSTRUMENT.SWAP("swap.9924",H9926,B9926,"USD","SOFR",I9926,J9926,0,"Actual360","Simple","Annual","Annual","Annual")</f>
        <v>QSObject:Swap:w1~swap.9924:150</v>
      </c>
      <c r="F9926" s="6" t="str">
        <f>_xll.QS.TRADE.CREATE("trade.9924",E9926,A9926,"Receive")</f>
        <v>QSObject:SwapTrade:w1~trade.9924:21387</v>
      </c>
      <c r="G9926" s="3">
        <f>_xll.QS.EVALUATE(C9926,F9926)</f>
        <v>49381.556147908654</v>
      </c>
      <c r="H9926" s="5" t="s">
        <v>9967</v>
      </c>
      <c r="I9926" s="7">
        <v>1992400</v>
      </c>
      <c r="J9926" s="8">
        <v>3.7400000000000003E-2</v>
      </c>
    </row>
    <row r="9927" spans="1:10" x14ac:dyDescent="0.25">
      <c r="A9927" s="5" t="s">
        <v>9961</v>
      </c>
      <c r="B9927" s="5" t="s">
        <v>11794</v>
      </c>
      <c r="C9927" s="6" t="str">
        <f>_xll.QS.CONTEXT.CREATE("market.9925",A9927,"USD","SOFR")</f>
        <v>QSObject:PricingContext:w1~market.9925:149</v>
      </c>
      <c r="D9927" s="6" t="str">
        <f>_xll.QS.CONTEXT.ADD.CURVE(C9927,"SOFR",$K$2:$K$7,$L$2:$L$7,,,"Actual360","LogLinear",TRUE)</f>
        <v>QSObject:ContextInput:w1~input.qs_context_add_curve.2359132437744.9926.3.0:21386</v>
      </c>
      <c r="E9927" s="6" t="str">
        <f>_xll.QS.INSTRUMENT.SWAP("swap.9925",H9927,B9927,"USD","SOFR",I9927,J9927,0,"Actual360","Simple","Annual","Annual","Annual")</f>
        <v>QSObject:Swap:w1~swap.9925:148</v>
      </c>
      <c r="F9927" s="6" t="str">
        <f>_xll.QS.TRADE.CREATE("trade.9925",E9927,A9927,"Receive")</f>
        <v>QSObject:SwapTrade:w1~trade.9925:21385</v>
      </c>
      <c r="G9927" s="3">
        <f>_xll.QS.EVALUATE(C9927,F9927)</f>
        <v>50153.630172814213</v>
      </c>
      <c r="H9927" s="5" t="s">
        <v>9968</v>
      </c>
      <c r="I9927" s="7">
        <v>1992500</v>
      </c>
      <c r="J9927" s="8">
        <v>3.7500000000000012E-2</v>
      </c>
    </row>
    <row r="9928" spans="1:10" x14ac:dyDescent="0.25">
      <c r="A9928" s="5" t="s">
        <v>9962</v>
      </c>
      <c r="B9928" s="5" t="s">
        <v>11795</v>
      </c>
      <c r="C9928" s="6" t="str">
        <f>_xll.QS.CONTEXT.CREATE("market.9926",A9928,"USD","SOFR")</f>
        <v>QSObject:PricingContext:w1~market.9926:147</v>
      </c>
      <c r="D9928" s="6" t="str">
        <f>_xll.QS.CONTEXT.ADD.CURVE(C9928,"SOFR",$K$2:$K$7,$L$2:$L$7,,,"Actual360","LogLinear",TRUE)</f>
        <v>QSObject:ContextInput:w1~input.qs_context_add_curve.2359132437744.9927.3.0:21384</v>
      </c>
      <c r="E9928" s="6" t="str">
        <f>_xll.QS.INSTRUMENT.SWAP("swap.9926",H9928,B9928,"USD","SOFR",I9928,J9928,0,"Actual360","Simple","Annual","Annual","Annual")</f>
        <v>QSObject:Swap:w1~swap.9926:146</v>
      </c>
      <c r="F9928" s="6" t="str">
        <f>_xll.QS.TRADE.CREATE("trade.9926",E9928,A9928,"Receive")</f>
        <v>QSObject:SwapTrade:w1~trade.9926:21383</v>
      </c>
      <c r="G9928" s="3">
        <f>_xll.QS.EVALUATE(C9928,F9928)</f>
        <v>51159.154263446908</v>
      </c>
      <c r="H9928" s="5" t="s">
        <v>9969</v>
      </c>
      <c r="I9928" s="7">
        <v>1992600</v>
      </c>
      <c r="J9928" s="8">
        <v>3.7600000000000001E-2</v>
      </c>
    </row>
    <row r="9929" spans="1:10" x14ac:dyDescent="0.25">
      <c r="A9929" s="5" t="s">
        <v>9963</v>
      </c>
      <c r="B9929" s="5" t="s">
        <v>11796</v>
      </c>
      <c r="C9929" s="6" t="str">
        <f>_xll.QS.CONTEXT.CREATE("market.9927",A9929,"USD","SOFR")</f>
        <v>QSObject:PricingContext:w1~market.9927:145</v>
      </c>
      <c r="D9929" s="6" t="str">
        <f>_xll.QS.CONTEXT.ADD.CURVE(C9929,"SOFR",$K$2:$K$7,$L$2:$L$7,,,"Actual360","LogLinear",TRUE)</f>
        <v>QSObject:ContextInput:w1~input.qs_context_add_curve.2359132437744.9928.3.0:21382</v>
      </c>
      <c r="E9929" s="6" t="str">
        <f>_xll.QS.INSTRUMENT.SWAP("swap.9927",H9929,B9929,"USD","SOFR",I9929,J9929,0,"Actual360","Simple","Annual","Annual","Annual")</f>
        <v>QSObject:Swap:w1~swap.9927:144</v>
      </c>
      <c r="F9929" s="6" t="str">
        <f>_xll.QS.TRADE.CREATE("trade.9927",E9929,A9929,"Receive")</f>
        <v>QSObject:SwapTrade:w1~trade.9927:21958</v>
      </c>
      <c r="G9929" s="3">
        <f>_xll.QS.EVALUATE(C9929,F9929)</f>
        <v>52131.648055263358</v>
      </c>
      <c r="H9929" s="5" t="s">
        <v>9970</v>
      </c>
      <c r="I9929" s="7">
        <v>1992700</v>
      </c>
      <c r="J9929" s="8">
        <v>3.7699999999999997E-2</v>
      </c>
    </row>
    <row r="9930" spans="1:10" x14ac:dyDescent="0.25">
      <c r="A9930" s="5" t="s">
        <v>9964</v>
      </c>
      <c r="B9930" s="5" t="s">
        <v>11797</v>
      </c>
      <c r="C9930" s="6" t="str">
        <f>_xll.QS.CONTEXT.CREATE("market.9928",A9930,"USD","SOFR")</f>
        <v>QSObject:PricingContext:w1~market.9928:21381</v>
      </c>
      <c r="D9930" s="6" t="str">
        <f>_xll.QS.CONTEXT.ADD.CURVE(C9930,"SOFR",$K$2:$K$7,$L$2:$L$7,,,"Actual360","LogLinear",TRUE)</f>
        <v>QSObject:ContextInput:w1~input.qs_context_add_curve.2359132437744.9929.3.0:31236</v>
      </c>
      <c r="E9930" s="6" t="str">
        <f>_xll.QS.INSTRUMENT.SWAP("swap.9928",H9930,B9930,"USD","SOFR",I9930,J9930,0,"Actual360","Simple","Annual","Annual","Annual")</f>
        <v>QSObject:Swap:w1~swap.9928:143</v>
      </c>
      <c r="F9930" s="6" t="str">
        <f>_xll.QS.TRADE.CREATE("trade.9928",E9930,A9930,"Receive")</f>
        <v>QSObject:SwapTrade:w1~trade.9928:21957</v>
      </c>
      <c r="G9930" s="3">
        <f>_xll.QS.EVALUATE(C9930,F9930)</f>
        <v>53199.225233064099</v>
      </c>
      <c r="H9930" s="5" t="s">
        <v>9971</v>
      </c>
      <c r="I9930" s="7">
        <v>1992800</v>
      </c>
      <c r="J9930" s="8">
        <v>3.78E-2</v>
      </c>
    </row>
    <row r="9931" spans="1:10" x14ac:dyDescent="0.25">
      <c r="A9931" s="5" t="s">
        <v>9965</v>
      </c>
      <c r="B9931" s="5" t="s">
        <v>11798</v>
      </c>
      <c r="C9931" s="6" t="str">
        <f>_xll.QS.CONTEXT.CREATE("market.9929",A9931,"USD","SOFR")</f>
        <v>QSObject:PricingContext:w1~market.9929:142</v>
      </c>
      <c r="D9931" s="6" t="str">
        <f>_xll.QS.CONTEXT.ADD.CURVE(C9931,"SOFR",$K$2:$K$7,$L$2:$L$7,,,"Actual360","LogLinear",TRUE)</f>
        <v>QSObject:ContextInput:w1~input.qs_context_add_curve.2359132437744.9930.3.0:31235</v>
      </c>
      <c r="E9931" s="6" t="str">
        <f>_xll.QS.INSTRUMENT.SWAP("swap.9929",H9931,B9931,"USD","SOFR",I9931,J9931,0,"Actual360","Simple","Annual","Annual","Annual")</f>
        <v>QSObject:Swap:w1~swap.9929:141</v>
      </c>
      <c r="F9931" s="6" t="str">
        <f>_xll.QS.TRADE.CREATE("trade.9929",E9931,A9931,"Receive")</f>
        <v>QSObject:SwapTrade:w1~trade.9929:21956</v>
      </c>
      <c r="G9931" s="3">
        <f>_xll.QS.EVALUATE(C9931,F9931)</f>
        <v>54208.002309204559</v>
      </c>
      <c r="H9931" s="5" t="s">
        <v>9972</v>
      </c>
      <c r="I9931" s="7">
        <v>1992900</v>
      </c>
      <c r="J9931" s="8">
        <v>3.7900000000000003E-2</v>
      </c>
    </row>
    <row r="9932" spans="1:10" x14ac:dyDescent="0.25">
      <c r="A9932" s="5" t="s">
        <v>9966</v>
      </c>
      <c r="B9932" s="5" t="s">
        <v>11799</v>
      </c>
      <c r="C9932" s="6" t="str">
        <f>_xll.QS.CONTEXT.CREATE("market.9930",A9932,"USD","SOFR")</f>
        <v>QSObject:PricingContext:w1~market.9930:140</v>
      </c>
      <c r="D9932" s="6" t="str">
        <f>_xll.QS.CONTEXT.ADD.CURVE(C9932,"SOFR",$K$2:$K$7,$L$2:$L$7,,,"Actual360","LogLinear",TRUE)</f>
        <v>QSObject:ContextInput:w1~input.qs_context_add_curve.2359132437744.9931.3.0:31234</v>
      </c>
      <c r="E9932" s="6" t="str">
        <f>_xll.QS.INSTRUMENT.SWAP("swap.9930",H9932,B9932,"USD","SOFR",I9932,J9932,0,"Actual360","Simple","Annual","Annual","Annual")</f>
        <v>QSObject:Swap:w1~swap.9930:139</v>
      </c>
      <c r="F9932" s="6" t="str">
        <f>_xll.QS.TRADE.CREATE("trade.9930",E9932,A9932,"Receive")</f>
        <v>QSObject:SwapTrade:w1~trade.9930:21955</v>
      </c>
      <c r="G9932" s="3">
        <f>_xll.QS.EVALUATE(C9932,F9932)</f>
        <v>55053.078802540316</v>
      </c>
      <c r="H9932" s="5" t="s">
        <v>9973</v>
      </c>
      <c r="I9932" s="7">
        <v>1993000</v>
      </c>
      <c r="J9932" s="8">
        <v>3.8000000000000013E-2</v>
      </c>
    </row>
    <row r="9933" spans="1:10" x14ac:dyDescent="0.25">
      <c r="A9933" s="5" t="s">
        <v>9967</v>
      </c>
      <c r="B9933" s="5" t="s">
        <v>11800</v>
      </c>
      <c r="C9933" s="6" t="str">
        <f>_xll.QS.CONTEXT.CREATE("market.9931",A9933,"USD","SOFR")</f>
        <v>QSObject:PricingContext:w1~market.9931:138</v>
      </c>
      <c r="D9933" s="6" t="str">
        <f>_xll.QS.CONTEXT.ADD.CURVE(C9933,"SOFR",$K$2:$K$7,$L$2:$L$7,,,"Actual360","LogLinear",TRUE)</f>
        <v>QSObject:ContextInput:w1~input.qs_context_add_curve.2359132437744.9932.3.0:31233</v>
      </c>
      <c r="E9933" s="6" t="str">
        <f>_xll.QS.INSTRUMENT.SWAP("swap.9931",H9933,B9933,"USD","SOFR",I9933,J9933,0,"Actual360","Simple","Annual","Annual","Annual")</f>
        <v>QSObject:Swap:w1~swap.9931:137</v>
      </c>
      <c r="F9933" s="6" t="str">
        <f>_xll.QS.TRADE.CREATE("trade.9931",E9933,A9933,"Receive")</f>
        <v>QSObject:SwapTrade:w1~trade.9931:21954</v>
      </c>
      <c r="G9933" s="3">
        <f>_xll.QS.EVALUATE(C9933,F9933)</f>
        <v>55825.003702795271</v>
      </c>
      <c r="H9933" s="5" t="s">
        <v>9974</v>
      </c>
      <c r="I9933" s="7">
        <v>1993100</v>
      </c>
      <c r="J9933" s="8">
        <v>3.8100000000000002E-2</v>
      </c>
    </row>
    <row r="9934" spans="1:10" x14ac:dyDescent="0.25">
      <c r="A9934" s="5" t="s">
        <v>9968</v>
      </c>
      <c r="B9934" s="5" t="s">
        <v>11801</v>
      </c>
      <c r="C9934" s="6" t="str">
        <f>_xll.QS.CONTEXT.CREATE("market.9932",A9934,"USD","SOFR")</f>
        <v>QSObject:PricingContext:w1~market.9932:136</v>
      </c>
      <c r="D9934" s="6" t="str">
        <f>_xll.QS.CONTEXT.ADD.CURVE(C9934,"SOFR",$K$2:$K$7,$L$2:$L$7,,,"Actual360","LogLinear",TRUE)</f>
        <v>QSObject:ContextInput:w1~input.qs_context_add_curve.2359132437744.9933.3.0:31232</v>
      </c>
      <c r="E9934" s="6" t="str">
        <f>_xll.QS.INSTRUMENT.SWAP("swap.9932",H9934,B9934,"USD","SOFR",I9934,J9934,0,"Actual360","Simple","Annual","Annual","Annual")</f>
        <v>QSObject:Swap:w1~swap.9932:135</v>
      </c>
      <c r="F9934" s="6" t="str">
        <f>_xll.QS.TRADE.CREATE("trade.9932",E9934,A9934,"Receive")</f>
        <v>QSObject:SwapTrade:w1~trade.9932:21953</v>
      </c>
      <c r="G9934" s="3">
        <f>_xll.QS.EVALUATE(C9934,F9934)</f>
        <v>56607.645322270968</v>
      </c>
      <c r="H9934" s="5" t="s">
        <v>9975</v>
      </c>
      <c r="I9934" s="7">
        <v>1993200</v>
      </c>
      <c r="J9934" s="8">
        <v>3.8199999999999998E-2</v>
      </c>
    </row>
    <row r="9935" spans="1:10" x14ac:dyDescent="0.25">
      <c r="A9935" s="5" t="s">
        <v>9969</v>
      </c>
      <c r="B9935" s="5" t="s">
        <v>11802</v>
      </c>
      <c r="C9935" s="6" t="str">
        <f>_xll.QS.CONTEXT.CREATE("market.9933",A9935,"USD","SOFR")</f>
        <v>QSObject:PricingContext:w1~market.9933:134</v>
      </c>
      <c r="D9935" s="6" t="str">
        <f>_xll.QS.CONTEXT.ADD.CURVE(C9935,"SOFR",$K$2:$K$7,$L$2:$L$7,,,"Actual360","LogLinear",TRUE)</f>
        <v>QSObject:ContextInput:w1~input.qs_context_add_curve.2359132437744.9934.3.0:31231</v>
      </c>
      <c r="E9935" s="6" t="str">
        <f>_xll.QS.INSTRUMENT.SWAP("swap.9933",H9935,B9935,"USD","SOFR",I9935,J9935,0,"Actual360","Simple","Annual","Annual","Annual")</f>
        <v>QSObject:Swap:w1~swap.9933:133</v>
      </c>
      <c r="F9935" s="6" t="str">
        <f>_xll.QS.TRADE.CREATE("trade.9933",E9935,A9935,"Receive")</f>
        <v>QSObject:SwapTrade:w1~trade.9933:21952</v>
      </c>
      <c r="G9935" s="3">
        <f>_xll.QS.EVALUATE(C9935,F9935)</f>
        <v>57614.468192553315</v>
      </c>
      <c r="H9935" s="5" t="s">
        <v>9976</v>
      </c>
      <c r="I9935" s="7">
        <v>1993300</v>
      </c>
      <c r="J9935" s="8">
        <v>3.8300000000000001E-2</v>
      </c>
    </row>
    <row r="9936" spans="1:10" x14ac:dyDescent="0.25">
      <c r="A9936" s="5" t="s">
        <v>9970</v>
      </c>
      <c r="B9936" s="5" t="s">
        <v>11803</v>
      </c>
      <c r="C9936" s="6" t="str">
        <f>_xll.QS.CONTEXT.CREATE("market.9934",A9936,"USD","SOFR")</f>
        <v>QSObject:PricingContext:w1~market.9934:132</v>
      </c>
      <c r="D9936" s="6" t="str">
        <f>_xll.QS.CONTEXT.ADD.CURVE(C9936,"SOFR",$K$2:$K$7,$L$2:$L$7,,,"Actual360","LogLinear",TRUE)</f>
        <v>QSObject:ContextInput:w1~input.qs_context_add_curve.2359132437744.9935.3.0:31230</v>
      </c>
      <c r="E9936" s="6" t="str">
        <f>_xll.QS.INSTRUMENT.SWAP("swap.9934",H9936,B9936,"USD","SOFR",I9936,J9936,0,"Actual360","Simple","Annual","Annual","Annual")</f>
        <v>QSObject:Swap:w1~swap.9934:131</v>
      </c>
      <c r="F9936" s="6" t="str">
        <f>_xll.QS.TRADE.CREATE("trade.9934",E9936,A9936,"Receive")</f>
        <v>QSObject:SwapTrade:w1~trade.9934:21951</v>
      </c>
      <c r="G9936" s="3">
        <f>_xll.QS.EVALUATE(C9936,F9936)</f>
        <v>58584.499099567918</v>
      </c>
      <c r="H9936" s="5" t="s">
        <v>9977</v>
      </c>
      <c r="I9936" s="7">
        <v>1993400</v>
      </c>
      <c r="J9936" s="8">
        <v>3.8399999999999997E-2</v>
      </c>
    </row>
    <row r="9937" spans="1:10" x14ac:dyDescent="0.25">
      <c r="A9937" s="5" t="s">
        <v>9971</v>
      </c>
      <c r="B9937" s="5" t="s">
        <v>11804</v>
      </c>
      <c r="C9937" s="6" t="str">
        <f>_xll.QS.CONTEXT.CREATE("market.9935",A9937,"USD","SOFR")</f>
        <v>QSObject:PricingContext:w1~market.9935:130</v>
      </c>
      <c r="D9937" s="6" t="str">
        <f>_xll.QS.CONTEXT.ADD.CURVE(C9937,"SOFR",$K$2:$K$7,$L$2:$L$7,,,"Actual360","LogLinear",TRUE)</f>
        <v>QSObject:ContextInput:w1~input.qs_context_add_curve.2359132437744.9936.3.0:31229</v>
      </c>
      <c r="E9937" s="6" t="str">
        <f>_xll.QS.INSTRUMENT.SWAP("swap.9935",H9937,B9937,"USD","SOFR",I9937,J9937,0,"Actual360","Simple","Annual","Annual","Annual")</f>
        <v>QSObject:Swap:w1~swap.9935:129</v>
      </c>
      <c r="F9937" s="6" t="str">
        <f>_xll.QS.TRADE.CREATE("trade.9935",E9937,A9937,"Receive")</f>
        <v>QSObject:SwapTrade:w1~trade.9935:21950</v>
      </c>
      <c r="G9937" s="3">
        <f>_xll.QS.EVALUATE(C9937,F9937)</f>
        <v>59652.874983101916</v>
      </c>
      <c r="H9937" s="5" t="s">
        <v>9978</v>
      </c>
      <c r="I9937" s="7">
        <v>1993500</v>
      </c>
      <c r="J9937" s="8">
        <v>3.8500000000000013E-2</v>
      </c>
    </row>
    <row r="9938" spans="1:10" x14ac:dyDescent="0.25">
      <c r="A9938" s="5" t="s">
        <v>9972</v>
      </c>
      <c r="B9938" s="5" t="s">
        <v>11805</v>
      </c>
      <c r="C9938" s="6" t="str">
        <f>_xll.QS.CONTEXT.CREATE("market.9936",A9938,"USD","SOFR")</f>
        <v>QSObject:PricingContext:w1~market.9936:128</v>
      </c>
      <c r="D9938" s="6" t="str">
        <f>_xll.QS.CONTEXT.ADD.CURVE(C9938,"SOFR",$K$2:$K$7,$L$2:$L$7,,,"Actual360","LogLinear",TRUE)</f>
        <v>QSObject:ContextInput:w1~input.qs_context_add_curve.2359132437744.9937.3.0:31228</v>
      </c>
      <c r="E9938" s="6" t="str">
        <f>_xll.QS.INSTRUMENT.SWAP("swap.9936",H9938,B9938,"USD","SOFR",I9938,J9938,0,"Actual360","Simple","Annual","Annual","Annual")</f>
        <v>QSObject:Swap:w1~swap.9936:127</v>
      </c>
      <c r="F9938" s="6" t="str">
        <f>_xll.QS.TRADE.CREATE("trade.9936",E9938,A9938,"Receive")</f>
        <v>QSObject:SwapTrade:w1~trade.9936:21949</v>
      </c>
      <c r="G9938" s="3">
        <f>_xll.QS.EVALUATE(C9938,F9938)</f>
        <v>60662.40211824132</v>
      </c>
      <c r="H9938" s="5" t="s">
        <v>9979</v>
      </c>
      <c r="I9938" s="7">
        <v>1993600</v>
      </c>
      <c r="J9938" s="8">
        <v>3.8600000000000002E-2</v>
      </c>
    </row>
    <row r="9939" spans="1:10" x14ac:dyDescent="0.25">
      <c r="A9939" s="5" t="s">
        <v>9973</v>
      </c>
      <c r="B9939" s="5" t="s">
        <v>11806</v>
      </c>
      <c r="C9939" s="6" t="str">
        <f>_xll.QS.CONTEXT.CREATE("market.9937",A9939,"USD","SOFR")</f>
        <v>QSObject:PricingContext:w1~market.9937:126</v>
      </c>
      <c r="D9939" s="6" t="str">
        <f>_xll.QS.CONTEXT.ADD.CURVE(C9939,"SOFR",$K$2:$K$7,$L$2:$L$7,,,"Actual360","LogLinear",TRUE)</f>
        <v>QSObject:ContextInput:w1~input.qs_context_add_curve.2359132437744.9938.3.0:31227</v>
      </c>
      <c r="E9939" s="6" t="str">
        <f>_xll.QS.INSTRUMENT.SWAP("swap.9937",H9939,B9939,"USD","SOFR",I9939,J9939,0,"Actual360","Simple","Annual","Annual","Annual")</f>
        <v>QSObject:Swap:w1~swap.9937:125</v>
      </c>
      <c r="F9939" s="6" t="str">
        <f>_xll.QS.TRADE.CREATE("trade.9937",E9939,A9939,"Receive")</f>
        <v>QSObject:SwapTrade:w1~trade.9937:21948</v>
      </c>
      <c r="G9939" s="3">
        <f>_xll.QS.EVALUATE(C9939,F9939)</f>
        <v>61508.026573234485</v>
      </c>
      <c r="H9939" s="5" t="s">
        <v>9980</v>
      </c>
      <c r="I9939" s="7">
        <v>1993700</v>
      </c>
      <c r="J9939" s="8">
        <v>3.8700000000000012E-2</v>
      </c>
    </row>
    <row r="9940" spans="1:10" x14ac:dyDescent="0.25">
      <c r="A9940" s="5" t="s">
        <v>9974</v>
      </c>
      <c r="B9940" s="5" t="s">
        <v>11807</v>
      </c>
      <c r="C9940" s="6" t="str">
        <f>_xll.QS.CONTEXT.CREATE("market.9938",A9940,"USD","SOFR")</f>
        <v>QSObject:PricingContext:w1~market.9938:124</v>
      </c>
      <c r="D9940" s="6" t="str">
        <f>_xll.QS.CONTEXT.ADD.CURVE(C9940,"SOFR",$K$2:$K$7,$L$2:$L$7,,,"Actual360","LogLinear",TRUE)</f>
        <v>QSObject:ContextInput:w1~input.qs_context_add_curve.2359132437744.9939.3.0:31226</v>
      </c>
      <c r="E9940" s="6" t="str">
        <f>_xll.QS.INSTRUMENT.SWAP("swap.9938",H9940,B9940,"USD","SOFR",I9940,J9940,0,"Actual360","Simple","Annual","Annual","Annual")</f>
        <v>QSObject:Swap:w1~swap.9938:123</v>
      </c>
      <c r="F9940" s="6" t="str">
        <f>_xll.QS.TRADE.CREATE("trade.9938",E9940,A9940,"Receive")</f>
        <v>QSObject:SwapTrade:w1~trade.9938:21947</v>
      </c>
      <c r="G9940" s="3">
        <f>_xll.QS.EVALUATE(C9940,F9940)</f>
        <v>62272.965099092311</v>
      </c>
      <c r="H9940" s="5" t="s">
        <v>9981</v>
      </c>
      <c r="I9940" s="7">
        <v>1993800</v>
      </c>
      <c r="J9940" s="8">
        <v>3.8800000000000001E-2</v>
      </c>
    </row>
    <row r="9941" spans="1:10" x14ac:dyDescent="0.25">
      <c r="A9941" s="5" t="s">
        <v>9975</v>
      </c>
      <c r="B9941" s="5" t="s">
        <v>11808</v>
      </c>
      <c r="C9941" s="6" t="str">
        <f>_xll.QS.CONTEXT.CREATE("market.9939",A9941,"USD","SOFR")</f>
        <v>QSObject:PricingContext:w1~market.9939:122</v>
      </c>
      <c r="D9941" s="6" t="str">
        <f>_xll.QS.CONTEXT.ADD.CURVE(C9941,"SOFR",$K$2:$K$7,$L$2:$L$7,,,"Actual360","LogLinear",TRUE)</f>
        <v>QSObject:ContextInput:w1~input.qs_context_add_curve.2359132437744.9940.3.0:31225</v>
      </c>
      <c r="E9941" s="6" t="str">
        <f>_xll.QS.INSTRUMENT.SWAP("swap.9939",H9941,B9941,"USD","SOFR",I9941,J9941,0,"Actual360","Simple","Annual","Annual","Annual")</f>
        <v>QSObject:Swap:w1~swap.9939:121</v>
      </c>
      <c r="F9941" s="6" t="str">
        <f>_xll.QS.TRADE.CREATE("trade.9939",E9941,A9941,"Receive")</f>
        <v>QSObject:SwapTrade:w1~trade.9939:21946</v>
      </c>
      <c r="G9941" s="3">
        <f>_xll.QS.EVALUATE(C9941,F9941)</f>
        <v>63066.181319322728</v>
      </c>
      <c r="H9941" s="5" t="s">
        <v>9982</v>
      </c>
      <c r="I9941" s="7">
        <v>1993900</v>
      </c>
      <c r="J9941" s="8">
        <v>3.8899999999999997E-2</v>
      </c>
    </row>
    <row r="9942" spans="1:10" x14ac:dyDescent="0.25">
      <c r="A9942" s="5" t="s">
        <v>9976</v>
      </c>
      <c r="B9942" s="5" t="s">
        <v>11809</v>
      </c>
      <c r="C9942" s="6" t="str">
        <f>_xll.QS.CONTEXT.CREATE("market.9940",A9942,"USD","SOFR")</f>
        <v>QSObject:PricingContext:w1~market.9940:120</v>
      </c>
      <c r="D9942" s="6" t="str">
        <f>_xll.QS.CONTEXT.ADD.CURVE(C9942,"SOFR",$K$2:$K$7,$L$2:$L$7,,,"Actual360","LogLinear",TRUE)</f>
        <v>QSObject:ContextInput:w1~input.qs_context_add_curve.2359132437744.9941.3.0:31224</v>
      </c>
      <c r="E9942" s="6" t="str">
        <f>_xll.QS.INSTRUMENT.SWAP("swap.9940",H9942,B9942,"USD","SOFR",I9942,J9942,0,"Actual360","Simple","Annual","Annual","Annual")</f>
        <v>QSObject:Swap:w1~swap.9940:119</v>
      </c>
      <c r="F9942" s="6" t="str">
        <f>_xll.QS.TRADE.CREATE("trade.9940",E9942,A9942,"Receive")</f>
        <v>QSObject:SwapTrade:w1~trade.9940:21945</v>
      </c>
      <c r="G9942" s="3">
        <f>_xll.QS.EVALUATE(C9942,F9942)</f>
        <v>64074.303407175903</v>
      </c>
      <c r="H9942" s="5" t="s">
        <v>9983</v>
      </c>
      <c r="I9942" s="7">
        <v>1994000</v>
      </c>
      <c r="J9942" s="8">
        <v>3.9000000000000007E-2</v>
      </c>
    </row>
    <row r="9943" spans="1:10" x14ac:dyDescent="0.25">
      <c r="A9943" s="5" t="s">
        <v>9977</v>
      </c>
      <c r="B9943" s="5" t="s">
        <v>11810</v>
      </c>
      <c r="C9943" s="6" t="str">
        <f>_xll.QS.CONTEXT.CREATE("market.9941",A9943,"USD","SOFR")</f>
        <v>QSObject:PricingContext:w1~market.9941:118</v>
      </c>
      <c r="D9943" s="6" t="str">
        <f>_xll.QS.CONTEXT.ADD.CURVE(C9943,"SOFR",$K$2:$K$7,$L$2:$L$7,,,"Actual360","LogLinear",TRUE)</f>
        <v>QSObject:ContextInput:w1~input.qs_context_add_curve.2359132437744.9942.3.0:31223</v>
      </c>
      <c r="E9943" s="6" t="str">
        <f>_xll.QS.INSTRUMENT.SWAP("swap.9941",H9943,B9943,"USD","SOFR",I9943,J9943,0,"Actual360","Simple","Annual","Annual","Annual")</f>
        <v>QSObject:Swap:w1~swap.9941:117</v>
      </c>
      <c r="F9943" s="6" t="str">
        <f>_xll.QS.TRADE.CREATE("trade.9941",E9943,A9943,"Receive")</f>
        <v>QSObject:SwapTrade:w1~trade.9941:21944</v>
      </c>
      <c r="G9943" s="3">
        <f>_xll.QS.EVALUATE(C9943,F9943)</f>
        <v>65041.869233556266</v>
      </c>
      <c r="H9943" s="5" t="s">
        <v>9984</v>
      </c>
      <c r="I9943" s="7">
        <v>1994100</v>
      </c>
      <c r="J9943" s="8">
        <v>3.9100000000000003E-2</v>
      </c>
    </row>
    <row r="9944" spans="1:10" x14ac:dyDescent="0.25">
      <c r="A9944" s="5" t="s">
        <v>9978</v>
      </c>
      <c r="B9944" s="5" t="s">
        <v>11811</v>
      </c>
      <c r="C9944" s="6" t="str">
        <f>_xll.QS.CONTEXT.CREATE("market.9942",A9944,"USD","SOFR")</f>
        <v>QSObject:PricingContext:w1~market.9942:116</v>
      </c>
      <c r="D9944" s="6" t="str">
        <f>_xll.QS.CONTEXT.ADD.CURVE(C9944,"SOFR",$K$2:$K$7,$L$2:$L$7,,,"Actual360","LogLinear",TRUE)</f>
        <v>QSObject:ContextInput:w1~input.qs_context_add_curve.2359132437744.9943.3.0:31222</v>
      </c>
      <c r="E9944" s="6" t="str">
        <f>_xll.QS.INSTRUMENT.SWAP("swap.9942",H9944,B9944,"USD","SOFR",I9944,J9944,0,"Actual360","Simple","Annual","Annual","Annual")</f>
        <v>QSObject:Swap:w1~swap.9942:115</v>
      </c>
      <c r="F9944" s="6" t="str">
        <f>_xll.QS.TRADE.CREATE("trade.9942",E9944,A9944,"Receive")</f>
        <v>QSObject:SwapTrade:w1~trade.9942:21943</v>
      </c>
      <c r="G9944" s="3">
        <f>_xll.QS.EVALUATE(C9944,F9944)</f>
        <v>66111.040977711615</v>
      </c>
      <c r="H9944" s="5" t="s">
        <v>9985</v>
      </c>
      <c r="I9944" s="7">
        <v>1994200</v>
      </c>
      <c r="J9944" s="8">
        <v>3.9200000000000013E-2</v>
      </c>
    </row>
    <row r="9945" spans="1:10" x14ac:dyDescent="0.25">
      <c r="A9945" s="5" t="s">
        <v>9979</v>
      </c>
      <c r="B9945" s="5" t="s">
        <v>11812</v>
      </c>
      <c r="C9945" s="6" t="str">
        <f>_xll.QS.CONTEXT.CREATE("market.9943",A9945,"USD","SOFR")</f>
        <v>QSObject:PricingContext:w1~market.9943:114</v>
      </c>
      <c r="D9945" s="6" t="str">
        <f>_xll.QS.CONTEXT.ADD.CURVE(C9945,"SOFR",$K$2:$K$7,$L$2:$L$7,,,"Actual360","LogLinear",TRUE)</f>
        <v>QSObject:ContextInput:w1~input.qs_context_add_curve.2359132437744.9944.3.0:31221</v>
      </c>
      <c r="E9945" s="6" t="str">
        <f>_xll.QS.INSTRUMENT.SWAP("swap.9943",H9945,B9945,"USD","SOFR",I9945,J9945,0,"Actual360","Simple","Annual","Annual","Annual")</f>
        <v>QSObject:Swap:w1~swap.9943:113</v>
      </c>
      <c r="F9945" s="6" t="str">
        <f>_xll.QS.TRADE.CREATE("trade.9943",E9945,A9945,"Receive")</f>
        <v>QSObject:SwapTrade:w1~trade.9943:21942</v>
      </c>
      <c r="G9945" s="3">
        <f>_xll.QS.EVALUATE(C9945,F9945)</f>
        <v>67121.743739576748</v>
      </c>
      <c r="H9945" s="5" t="s">
        <v>9986</v>
      </c>
      <c r="I9945" s="7">
        <v>1994300</v>
      </c>
      <c r="J9945" s="8">
        <v>3.9300000000000002E-2</v>
      </c>
    </row>
    <row r="9946" spans="1:10" x14ac:dyDescent="0.25">
      <c r="A9946" s="5" t="s">
        <v>9980</v>
      </c>
      <c r="B9946" s="5" t="s">
        <v>11813</v>
      </c>
      <c r="C9946" s="6" t="str">
        <f>_xll.QS.CONTEXT.CREATE("market.9944",A9946,"USD","SOFR")</f>
        <v>QSObject:PricingContext:w1~market.9944:112</v>
      </c>
      <c r="D9946" s="6" t="str">
        <f>_xll.QS.CONTEXT.ADD.CURVE(C9946,"SOFR",$K$2:$K$7,$L$2:$L$7,,,"Actual360","LogLinear",TRUE)</f>
        <v>QSObject:ContextInput:w1~input.qs_context_add_curve.2359132437744.9945.3.0:31220</v>
      </c>
      <c r="E9946" s="6" t="str">
        <f>_xll.QS.INSTRUMENT.SWAP("swap.9944",H9946,B9946,"USD","SOFR",I9946,J9946,0,"Actual360","Simple","Annual","Annual","Annual")</f>
        <v>QSObject:Swap:w1~swap.9944:111</v>
      </c>
      <c r="F9946" s="6" t="str">
        <f>_xll.QS.TRADE.CREATE("trade.9944",E9946,A9946,"Receive")</f>
        <v>QSObject:SwapTrade:w1~trade.9944:21941</v>
      </c>
      <c r="G9946" s="3">
        <f>_xll.QS.EVALUATE(C9946,F9946)</f>
        <v>67968.904101099179</v>
      </c>
      <c r="H9946" s="5" t="s">
        <v>9987</v>
      </c>
      <c r="I9946" s="7">
        <v>1994400</v>
      </c>
      <c r="J9946" s="8">
        <v>3.9399999999999998E-2</v>
      </c>
    </row>
    <row r="9947" spans="1:10" x14ac:dyDescent="0.25">
      <c r="A9947" s="5" t="s">
        <v>9981</v>
      </c>
      <c r="B9947" s="5" t="s">
        <v>11814</v>
      </c>
      <c r="C9947" s="6" t="str">
        <f>_xll.QS.CONTEXT.CREATE("market.9945",A9947,"USD","SOFR")</f>
        <v>QSObject:PricingContext:w1~market.9945:110</v>
      </c>
      <c r="D9947" s="6" t="str">
        <f>_xll.QS.CONTEXT.ADD.CURVE(C9947,"SOFR",$K$2:$K$7,$L$2:$L$7,,,"Actual360","LogLinear",TRUE)</f>
        <v>QSObject:ContextInput:w1~input.qs_context_add_curve.2359132437744.9946.3.0:31219</v>
      </c>
      <c r="E9947" s="6" t="str">
        <f>_xll.QS.INSTRUMENT.SWAP("swap.9945",H9947,B9947,"USD","SOFR",I9947,J9947,0,"Actual360","Simple","Annual","Annual","Annual")</f>
        <v>QSObject:Swap:w1~swap.9945:109</v>
      </c>
      <c r="F9947" s="6" t="str">
        <f>_xll.QS.TRADE.CREATE("trade.9945",E9947,A9947,"Receive")</f>
        <v>QSObject:SwapTrade:w1~trade.9945:21940</v>
      </c>
      <c r="G9947" s="3">
        <f>_xll.QS.EVALUATE(C9947,F9947)</f>
        <v>68727.213275516027</v>
      </c>
      <c r="H9947" s="5" t="s">
        <v>9988</v>
      </c>
      <c r="I9947" s="7">
        <v>1994500</v>
      </c>
      <c r="J9947" s="8">
        <v>3.9500000000000007E-2</v>
      </c>
    </row>
    <row r="9948" spans="1:10" x14ac:dyDescent="0.25">
      <c r="A9948" s="5" t="s">
        <v>9982</v>
      </c>
      <c r="B9948" s="5" t="s">
        <v>11815</v>
      </c>
      <c r="C9948" s="6" t="str">
        <f>_xll.QS.CONTEXT.CREATE("market.9946",A9948,"USD","SOFR")</f>
        <v>QSObject:PricingContext:w1~market.9946:108</v>
      </c>
      <c r="D9948" s="6" t="str">
        <f>_xll.QS.CONTEXT.ADD.CURVE(C9948,"SOFR",$K$2:$K$7,$L$2:$L$7,,,"Actual360","LogLinear",TRUE)</f>
        <v>QSObject:ContextInput:w1~input.qs_context_add_curve.2359132437744.9947.3.0:31218</v>
      </c>
      <c r="E9948" s="6" t="str">
        <f>_xll.QS.INSTRUMENT.SWAP("swap.9946",H9948,B9948,"USD","SOFR",I9948,J9948,0,"Actual360","Simple","Annual","Annual","Annual")</f>
        <v>QSObject:Swap:w1~swap.9946:107</v>
      </c>
      <c r="F9948" s="6" t="str">
        <f>_xll.QS.TRADE.CREATE("trade.9946",E9948,A9948,"Receive")</f>
        <v>QSObject:SwapTrade:w1~trade.9946:21939</v>
      </c>
      <c r="G9948" s="3">
        <f>_xll.QS.EVALUATE(C9948,F9948)</f>
        <v>69530.791548602429</v>
      </c>
      <c r="H9948" s="5" t="s">
        <v>9989</v>
      </c>
      <c r="I9948" s="7">
        <v>1994600</v>
      </c>
      <c r="J9948" s="8">
        <v>3.9600000000000003E-2</v>
      </c>
    </row>
    <row r="9949" spans="1:10" x14ac:dyDescent="0.25">
      <c r="A9949" s="5" t="s">
        <v>9983</v>
      </c>
      <c r="B9949" s="5" t="s">
        <v>11816</v>
      </c>
      <c r="C9949" s="6" t="str">
        <f>_xll.QS.CONTEXT.CREATE("market.9947",A9949,"USD","SOFR")</f>
        <v>QSObject:PricingContext:w1~market.9947:106</v>
      </c>
      <c r="D9949" s="6" t="str">
        <f>_xll.QS.CONTEXT.ADD.CURVE(C9949,"SOFR",$K$2:$K$7,$L$2:$L$7,,,"Actual360","LogLinear",TRUE)</f>
        <v>QSObject:ContextInput:w1~input.qs_context_add_curve.2359132437744.9948.3.0:31217</v>
      </c>
      <c r="E9949" s="6" t="str">
        <f>_xll.QS.INSTRUMENT.SWAP("swap.9947",H9949,B9949,"USD","SOFR",I9949,J9949,0,"Actual360","Simple","Annual","Annual","Annual")</f>
        <v>QSObject:Swap:w1~swap.9947:105</v>
      </c>
      <c r="F9949" s="6" t="str">
        <f>_xll.QS.TRADE.CREATE("trade.9947",E9949,A9949,"Receive")</f>
        <v>QSObject:SwapTrade:w1~trade.9947:21938</v>
      </c>
      <c r="G9949" s="3">
        <f>_xll.QS.EVALUATE(C9949,F9949)</f>
        <v>70539.254124152678</v>
      </c>
      <c r="H9949" s="5" t="s">
        <v>9990</v>
      </c>
      <c r="I9949" s="7">
        <v>1994700</v>
      </c>
      <c r="J9949" s="8">
        <v>3.9700000000000013E-2</v>
      </c>
    </row>
    <row r="9950" spans="1:10" x14ac:dyDescent="0.25">
      <c r="A9950" s="5" t="s">
        <v>9984</v>
      </c>
      <c r="B9950" s="5" t="s">
        <v>11817</v>
      </c>
      <c r="C9950" s="6" t="str">
        <f>_xll.QS.CONTEXT.CREATE("market.9948",A9950,"USD","SOFR")</f>
        <v>QSObject:PricingContext:w1~market.9948:104</v>
      </c>
      <c r="D9950" s="6" t="str">
        <f>_xll.QS.CONTEXT.ADD.CURVE(C9950,"SOFR",$K$2:$K$7,$L$2:$L$7,,,"Actual360","LogLinear",TRUE)</f>
        <v>QSObject:ContextInput:w1~input.qs_context_add_curve.2359132437744.9949.3.0:31216</v>
      </c>
      <c r="E9950" s="6" t="str">
        <f>_xll.QS.INSTRUMENT.SWAP("swap.9948",H9950,B9950,"USD","SOFR",I9950,J9950,0,"Actual360","Simple","Annual","Annual","Annual")</f>
        <v>QSObject:Swap:w1~swap.9948:103</v>
      </c>
      <c r="F9950" s="6" t="str">
        <f>_xll.QS.TRADE.CREATE("trade.9948",E9950,A9950,"Receive")</f>
        <v>QSObject:SwapTrade:w1~trade.9948:21937</v>
      </c>
      <c r="G9950" s="3">
        <f>_xll.QS.EVALUATE(C9950,F9950)</f>
        <v>71502.996023345593</v>
      </c>
      <c r="H9950" s="5" t="s">
        <v>9991</v>
      </c>
      <c r="I9950" s="7">
        <v>1994800</v>
      </c>
      <c r="J9950" s="8">
        <v>3.9800000000000002E-2</v>
      </c>
    </row>
    <row r="9951" spans="1:10" x14ac:dyDescent="0.25">
      <c r="A9951" s="5" t="s">
        <v>9985</v>
      </c>
      <c r="B9951" s="5" t="s">
        <v>11818</v>
      </c>
      <c r="C9951" s="6" t="str">
        <f>_xll.QS.CONTEXT.CREATE("market.9949",A9951,"USD","SOFR")</f>
        <v>QSObject:PricingContext:w1~market.9949:102</v>
      </c>
      <c r="D9951" s="6" t="str">
        <f>_xll.QS.CONTEXT.ADD.CURVE(C9951,"SOFR",$K$2:$K$7,$L$2:$L$7,,,"Actual360","LogLinear",TRUE)</f>
        <v>QSObject:ContextInput:w1~input.qs_context_add_curve.2359132437744.9950.3.0:31215</v>
      </c>
      <c r="E9951" s="6" t="str">
        <f>_xll.QS.INSTRUMENT.SWAP("swap.9949",H9951,B9951,"USD","SOFR",I9951,J9951,0,"Actual360","Simple","Annual","Annual","Annual")</f>
        <v>QSObject:Swap:w1~swap.9949:101</v>
      </c>
      <c r="F9951" s="6" t="str">
        <f>_xll.QS.TRADE.CREATE("trade.9949",E9951,A9951,"Receive")</f>
        <v>QSObject:SwapTrade:w1~trade.9949:21936</v>
      </c>
      <c r="G9951" s="3">
        <f>_xll.QS.EVALUATE(C9951,F9951)</f>
        <v>72573.811352106597</v>
      </c>
      <c r="H9951" s="5" t="s">
        <v>9992</v>
      </c>
      <c r="I9951" s="7">
        <v>1994900</v>
      </c>
      <c r="J9951" s="8">
        <v>3.9899999999999998E-2</v>
      </c>
    </row>
    <row r="9952" spans="1:10" x14ac:dyDescent="0.25">
      <c r="A9952" s="5" t="s">
        <v>9986</v>
      </c>
      <c r="B9952" s="5" t="s">
        <v>11819</v>
      </c>
      <c r="C9952" s="6" t="str">
        <f>_xll.QS.CONTEXT.CREATE("market.9950",A9952,"USD","SOFR")</f>
        <v>QSObject:PricingContext:w1~market.9950:100</v>
      </c>
      <c r="D9952" s="6" t="str">
        <f>_xll.QS.CONTEXT.ADD.CURVE(C9952,"SOFR",$K$2:$K$7,$L$2:$L$7,,,"Actual360","LogLinear",TRUE)</f>
        <v>QSObject:ContextInput:w1~input.qs_context_add_curve.2359132437744.9951.3.0:31214</v>
      </c>
      <c r="E9952" s="6" t="str">
        <f>_xll.QS.INSTRUMENT.SWAP("swap.9950",H9952,B9952,"USD","SOFR",I9952,J9952,0,"Actual360","Simple","Annual","Annual","Annual")</f>
        <v>QSObject:Swap:w1~swap.9950:99</v>
      </c>
      <c r="F9952" s="6" t="str">
        <f>_xll.QS.TRADE.CREATE("trade.9950",E9952,A9952,"Receive")</f>
        <v>QSObject:SwapTrade:w1~trade.9950:21935</v>
      </c>
      <c r="G9952" s="3">
        <f>_xll.QS.EVALUATE(C9952,F9952)</f>
        <v>27585.62631909272</v>
      </c>
      <c r="H9952" s="5" t="s">
        <v>9993</v>
      </c>
      <c r="I9952" s="7">
        <v>1995000</v>
      </c>
      <c r="J9952" s="8">
        <v>3.5000000000000003E-2</v>
      </c>
    </row>
    <row r="9953" spans="1:10" x14ac:dyDescent="0.25">
      <c r="A9953" s="5" t="s">
        <v>9987</v>
      </c>
      <c r="B9953" s="5" t="s">
        <v>11820</v>
      </c>
      <c r="C9953" s="6" t="str">
        <f>_xll.QS.CONTEXT.CREATE("market.9951",A9953,"USD","SOFR")</f>
        <v>QSObject:PricingContext:w1~market.9951:98</v>
      </c>
      <c r="D9953" s="6" t="str">
        <f>_xll.QS.CONTEXT.ADD.CURVE(C9953,"SOFR",$K$2:$K$7,$L$2:$L$7,,,"Actual360","LogLinear",TRUE)</f>
        <v>QSObject:ContextInput:w1~input.qs_context_add_curve.2359132437744.9952.3.0:31213</v>
      </c>
      <c r="E9953" s="6" t="str">
        <f>_xll.QS.INSTRUMENT.SWAP("swap.9951",H9953,B9953,"USD","SOFR",I9953,J9953,0,"Actual360","Simple","Annual","Annual","Annual")</f>
        <v>QSObject:Swap:w1~swap.9951:97</v>
      </c>
      <c r="F9953" s="6" t="str">
        <f>_xll.QS.TRADE.CREATE("trade.9951",E9953,A9953,"Receive")</f>
        <v>QSObject:SwapTrade:w1~trade.9951:21934</v>
      </c>
      <c r="G9953" s="3">
        <f>_xll.QS.EVALUATE(C9953,F9953)</f>
        <v>28430.546178839111</v>
      </c>
      <c r="H9953" s="5" t="s">
        <v>9994</v>
      </c>
      <c r="I9953" s="7">
        <v>1995100</v>
      </c>
      <c r="J9953" s="8">
        <v>3.5100000000000013E-2</v>
      </c>
    </row>
    <row r="9954" spans="1:10" x14ac:dyDescent="0.25">
      <c r="A9954" s="5" t="s">
        <v>9988</v>
      </c>
      <c r="B9954" s="5" t="s">
        <v>11821</v>
      </c>
      <c r="C9954" s="6" t="str">
        <f>_xll.QS.CONTEXT.CREATE("market.9952",A9954,"USD","SOFR")</f>
        <v>QSObject:PricingContext:w1~market.9952:96</v>
      </c>
      <c r="D9954" s="6" t="str">
        <f>_xll.QS.CONTEXT.ADD.CURVE(C9954,"SOFR",$K$2:$K$7,$L$2:$L$7,,,"Actual360","LogLinear",TRUE)</f>
        <v>QSObject:ContextInput:w1~input.qs_context_add_curve.2359132437744.9953.3.0:31212</v>
      </c>
      <c r="E9954" s="6" t="str">
        <f>_xll.QS.INSTRUMENT.SWAP("swap.9952",H9954,B9954,"USD","SOFR",I9954,J9954,0,"Actual360","Simple","Annual","Annual","Annual")</f>
        <v>QSObject:Swap:w1~swap.9952:95</v>
      </c>
      <c r="F9954" s="6" t="str">
        <f>_xll.QS.TRADE.CREATE("trade.9952",E9954,A9954,"Receive")</f>
        <v>QSObject:SwapTrade:w1~trade.9952:21933</v>
      </c>
      <c r="G9954" s="3">
        <f>_xll.QS.EVALUATE(C9954,F9954)</f>
        <v>29233.366241957374</v>
      </c>
      <c r="H9954" s="5" t="s">
        <v>9995</v>
      </c>
      <c r="I9954" s="7">
        <v>1995200</v>
      </c>
      <c r="J9954" s="8">
        <v>3.5200000000000002E-2</v>
      </c>
    </row>
    <row r="9955" spans="1:10" x14ac:dyDescent="0.25">
      <c r="A9955" s="5" t="s">
        <v>9989</v>
      </c>
      <c r="B9955" s="5" t="s">
        <v>11822</v>
      </c>
      <c r="C9955" s="6" t="str">
        <f>_xll.QS.CONTEXT.CREATE("market.9953",A9955,"USD","SOFR")</f>
        <v>QSObject:PricingContext:w1~market.9953:94</v>
      </c>
      <c r="D9955" s="6" t="str">
        <f>_xll.QS.CONTEXT.ADD.CURVE(C9955,"SOFR",$K$2:$K$7,$L$2:$L$7,,,"Actual360","LogLinear",TRUE)</f>
        <v>QSObject:ContextInput:w1~input.qs_context_add_curve.2359132437744.9954.3.0:31211</v>
      </c>
      <c r="E9955" s="6" t="str">
        <f>_xll.QS.INSTRUMENT.SWAP("swap.9953",H9955,B9955,"USD","SOFR",I9955,J9955,0,"Actual360","Simple","Annual","Annual","Annual")</f>
        <v>QSObject:Swap:w1~swap.9953:93</v>
      </c>
      <c r="F9955" s="6" t="str">
        <f>_xll.QS.TRADE.CREATE("trade.9953",E9955,A9955,"Receive")</f>
        <v>QSObject:SwapTrade:w1~trade.9953:21932</v>
      </c>
      <c r="G9955" s="3">
        <f>_xll.QS.EVALUATE(C9955,F9955)</f>
        <v>29974.126028567669</v>
      </c>
      <c r="H9955" s="5" t="s">
        <v>9996</v>
      </c>
      <c r="I9955" s="7">
        <v>1995300</v>
      </c>
      <c r="J9955" s="8">
        <v>3.5299999999999998E-2</v>
      </c>
    </row>
    <row r="9956" spans="1:10" x14ac:dyDescent="0.25">
      <c r="A9956" s="5" t="s">
        <v>9990</v>
      </c>
      <c r="B9956" s="5" t="s">
        <v>11823</v>
      </c>
      <c r="C9956" s="6" t="str">
        <f>_xll.QS.CONTEXT.CREATE("market.9954",A9956,"USD","SOFR")</f>
        <v>QSObject:PricingContext:w1~market.9954:92</v>
      </c>
      <c r="D9956" s="6" t="str">
        <f>_xll.QS.CONTEXT.ADD.CURVE(C9956,"SOFR",$K$2:$K$7,$L$2:$L$7,,,"Actual360","LogLinear",TRUE)</f>
        <v>QSObject:ContextInput:w1~input.qs_context_add_curve.2359132437744.9955.3.0:31210</v>
      </c>
      <c r="E9956" s="6" t="str">
        <f>_xll.QS.INSTRUMENT.SWAP("swap.9954",H9956,B9956,"USD","SOFR",I9956,J9956,0,"Actual360","Simple","Annual","Annual","Annual")</f>
        <v>QSObject:Swap:w1~swap.9954:91</v>
      </c>
      <c r="F9956" s="6" t="str">
        <f>_xll.QS.TRADE.CREATE("trade.9954",E9956,A9956,"Receive")</f>
        <v>QSObject:SwapTrade:w1~trade.9954:21931</v>
      </c>
      <c r="G9956" s="3">
        <f>_xll.QS.EVALUATE(C9956,F9956)</f>
        <v>30977.705482319929</v>
      </c>
      <c r="H9956" s="5" t="s">
        <v>9997</v>
      </c>
      <c r="I9956" s="7">
        <v>1995400</v>
      </c>
      <c r="J9956" s="8">
        <v>3.5400000000000001E-2</v>
      </c>
    </row>
    <row r="9957" spans="1:10" x14ac:dyDescent="0.25">
      <c r="A9957" s="5" t="s">
        <v>9991</v>
      </c>
      <c r="B9957" s="5" t="s">
        <v>11824</v>
      </c>
      <c r="C9957" s="6" t="str">
        <f>_xll.QS.CONTEXT.CREATE("market.9955",A9957,"USD","SOFR")</f>
        <v>QSObject:PricingContext:w1~market.9955:90</v>
      </c>
      <c r="D9957" s="6" t="str">
        <f>_xll.QS.CONTEXT.ADD.CURVE(C9957,"SOFR",$K$2:$K$7,$L$2:$L$7,,,"Actual360","LogLinear",TRUE)</f>
        <v>QSObject:ContextInput:w1~input.qs_context_add_curve.2359132437744.9956.3.0:31209</v>
      </c>
      <c r="E9957" s="6" t="str">
        <f>_xll.QS.INSTRUMENT.SWAP("swap.9955",H9957,B9957,"USD","SOFR",I9957,J9957,0,"Actual360","Simple","Annual","Annual","Annual")</f>
        <v>QSObject:Swap:w1~swap.9955:89</v>
      </c>
      <c r="F9957" s="6" t="str">
        <f>_xll.QS.TRADE.CREATE("trade.9955",E9957,A9957,"Receive")</f>
        <v>QSObject:SwapTrade:w1~trade.9955:21930</v>
      </c>
      <c r="G9957" s="3">
        <f>_xll.QS.EVALUATE(C9957,F9957)</f>
        <v>31960.757880578894</v>
      </c>
      <c r="H9957" s="5" t="s">
        <v>9998</v>
      </c>
      <c r="I9957" s="7">
        <v>1995500</v>
      </c>
      <c r="J9957" s="8">
        <v>3.5499999999999997E-2</v>
      </c>
    </row>
    <row r="9958" spans="1:10" x14ac:dyDescent="0.25">
      <c r="A9958" s="5" t="s">
        <v>9992</v>
      </c>
      <c r="B9958" s="5" t="s">
        <v>11825</v>
      </c>
      <c r="C9958" s="6" t="str">
        <f>_xll.QS.CONTEXT.CREATE("market.9956",A9958,"USD","SOFR")</f>
        <v>QSObject:PricingContext:w1~market.9956:88</v>
      </c>
      <c r="D9958" s="6" t="str">
        <f>_xll.QS.CONTEXT.ADD.CURVE(C9958,"SOFR",$K$2:$K$7,$L$2:$L$7,,,"Actual360","LogLinear",TRUE)</f>
        <v>QSObject:ContextInput:w1~input.qs_context_add_curve.2359132437744.9957.3.0:31208</v>
      </c>
      <c r="E9958" s="6" t="str">
        <f>_xll.QS.INSTRUMENT.SWAP("swap.9956",H9958,B9958,"USD","SOFR",I9958,J9958,0,"Actual360","Simple","Annual","Annual","Annual")</f>
        <v>QSObject:Swap:w1~swap.9956:87</v>
      </c>
      <c r="F9958" s="6" t="str">
        <f>_xll.QS.TRADE.CREATE("trade.9956",E9958,A9958,"Receive")</f>
        <v>QSObject:SwapTrade:w1~trade.9956:21929</v>
      </c>
      <c r="G9958" s="3">
        <f>_xll.QS.EVALUATE(C9958,F9958)</f>
        <v>33028.502695428557</v>
      </c>
      <c r="H9958" s="5" t="s">
        <v>9999</v>
      </c>
      <c r="I9958" s="7">
        <v>1995600</v>
      </c>
      <c r="J9958" s="8">
        <v>3.5600000000000007E-2</v>
      </c>
    </row>
    <row r="9959" spans="1:10" x14ac:dyDescent="0.25">
      <c r="A9959" s="5" t="s">
        <v>9993</v>
      </c>
      <c r="B9959" s="5" t="s">
        <v>11826</v>
      </c>
      <c r="C9959" s="6" t="str">
        <f>_xll.QS.CONTEXT.CREATE("market.9957",A9959,"USD","SOFR")</f>
        <v>QSObject:PricingContext:w1~market.9957:86</v>
      </c>
      <c r="D9959" s="6" t="str">
        <f>_xll.QS.CONTEXT.ADD.CURVE(C9959,"SOFR",$K$2:$K$7,$L$2:$L$7,,,"Actual360","LogLinear",TRUE)</f>
        <v>QSObject:ContextInput:w1~input.qs_context_add_curve.2359132437744.9958.3.0:31207</v>
      </c>
      <c r="E9959" s="6" t="str">
        <f>_xll.QS.INSTRUMENT.SWAP("swap.9957",H9959,B9959,"USD","SOFR",I9959,J9959,0,"Actual360","Simple","Annual","Annual","Annual")</f>
        <v>QSObject:Swap:w1~swap.9957:85</v>
      </c>
      <c r="F9959" s="6" t="str">
        <f>_xll.QS.TRADE.CREATE("trade.9957",E9959,A9959,"Receive")</f>
        <v>QSObject:SwapTrade:w1~trade.9957:21928</v>
      </c>
      <c r="G9959" s="3">
        <f>_xll.QS.EVALUATE(C9959,F9959)</f>
        <v>34037.776929494234</v>
      </c>
      <c r="H9959" s="5" t="s">
        <v>10000</v>
      </c>
      <c r="I9959" s="7">
        <v>1995700</v>
      </c>
      <c r="J9959" s="8">
        <v>3.5700000000000003E-2</v>
      </c>
    </row>
    <row r="9960" spans="1:10" x14ac:dyDescent="0.25">
      <c r="A9960" s="5" t="s">
        <v>9994</v>
      </c>
      <c r="B9960" s="5" t="s">
        <v>11827</v>
      </c>
      <c r="C9960" s="6" t="str">
        <f>_xll.QS.CONTEXT.CREATE("market.9958",A9960,"USD","SOFR")</f>
        <v>QSObject:PricingContext:w1~market.9958:84</v>
      </c>
      <c r="D9960" s="6" t="str">
        <f>_xll.QS.CONTEXT.ADD.CURVE(C9960,"SOFR",$K$2:$K$7,$L$2:$L$7,,,"Actual360","LogLinear",TRUE)</f>
        <v>QSObject:ContextInput:w1~input.qs_context_add_curve.2359132437744.9959.3.0:31206</v>
      </c>
      <c r="E9960" s="6" t="str">
        <f>_xll.QS.INSTRUMENT.SWAP("swap.9958",H9960,B9960,"USD","SOFR",I9960,J9960,0,"Actual360","Simple","Annual","Annual","Annual")</f>
        <v>QSObject:Swap:w1~swap.9958:83</v>
      </c>
      <c r="F9960" s="6" t="str">
        <f>_xll.QS.TRADE.CREATE("trade.9958",E9960,A9960,"Receive")</f>
        <v>QSObject:SwapTrade:w1~trade.9958:21927</v>
      </c>
      <c r="G9960" s="3">
        <f>_xll.QS.EVALUATE(C9960,F9960)</f>
        <v>34813.370974010286</v>
      </c>
      <c r="H9960" s="5" t="s">
        <v>10001</v>
      </c>
      <c r="I9960" s="7">
        <v>1995800</v>
      </c>
      <c r="J9960" s="8">
        <v>3.5800000000000012E-2</v>
      </c>
    </row>
    <row r="9961" spans="1:10" x14ac:dyDescent="0.25">
      <c r="A9961" s="5" t="s">
        <v>9995</v>
      </c>
      <c r="B9961" s="5" t="s">
        <v>11828</v>
      </c>
      <c r="C9961" s="6" t="str">
        <f>_xll.QS.CONTEXT.CREATE("market.9959",A9961,"USD","SOFR")</f>
        <v>QSObject:PricingContext:w1~market.9959:82</v>
      </c>
      <c r="D9961" s="6" t="str">
        <f>_xll.QS.CONTEXT.ADD.CURVE(C9961,"SOFR",$K$2:$K$7,$L$2:$L$7,,,"Actual360","LogLinear",TRUE)</f>
        <v>QSObject:ContextInput:w1~input.qs_context_add_curve.2359132437744.9960.3.0:31205</v>
      </c>
      <c r="E9961" s="6" t="str">
        <f>_xll.QS.INSTRUMENT.SWAP("swap.9959",H9961,B9961,"USD","SOFR",I9961,J9961,0,"Actual360","Simple","Annual","Annual","Annual")</f>
        <v>QSObject:Swap:w1~swap.9959:81</v>
      </c>
      <c r="F9961" s="6" t="str">
        <f>_xll.QS.TRADE.CREATE("trade.9959",E9961,A9961,"Receive")</f>
        <v>QSObject:SwapTrade:w1~trade.9959:21926</v>
      </c>
      <c r="G9961" s="3">
        <f>_xll.QS.EVALUATE(C9961,F9961)</f>
        <v>35504.705469671295</v>
      </c>
      <c r="H9961" s="5" t="s">
        <v>10002</v>
      </c>
      <c r="I9961" s="7">
        <v>1995900</v>
      </c>
      <c r="J9961" s="8">
        <v>3.5900000000000001E-2</v>
      </c>
    </row>
    <row r="9962" spans="1:10" x14ac:dyDescent="0.25">
      <c r="A9962" s="5" t="s">
        <v>9996</v>
      </c>
      <c r="B9962" s="5" t="s">
        <v>11829</v>
      </c>
      <c r="C9962" s="6" t="str">
        <f>_xll.QS.CONTEXT.CREATE("market.9960",A9962,"USD","SOFR")</f>
        <v>QSObject:PricingContext:w1~market.9960:80</v>
      </c>
      <c r="D9962" s="6" t="str">
        <f>_xll.QS.CONTEXT.ADD.CURVE(C9962,"SOFR",$K$2:$K$7,$L$2:$L$7,,,"Actual360","LogLinear",TRUE)</f>
        <v>QSObject:ContextInput:w1~input.qs_context_add_curve.2359132437744.9961.3.0:31204</v>
      </c>
      <c r="E9962" s="6" t="str">
        <f>_xll.QS.INSTRUMENT.SWAP("swap.9960",H9962,B9962,"USD","SOFR",I9962,J9962,0,"Actual360","Simple","Annual","Annual","Annual")</f>
        <v>QSObject:Swap:w1~swap.9960:79</v>
      </c>
      <c r="F9962" s="6" t="str">
        <f>_xll.QS.TRADE.CREATE("trade.9960",E9962,A9962,"Receive")</f>
        <v>QSObject:SwapTrade:w1~trade.9960:21925</v>
      </c>
      <c r="G9962" s="3">
        <f>_xll.QS.EVALUATE(C9962,F9962)</f>
        <v>36430.078684136686</v>
      </c>
      <c r="H9962" s="5" t="s">
        <v>10003</v>
      </c>
      <c r="I9962" s="7">
        <v>1996000</v>
      </c>
      <c r="J9962" s="8">
        <v>3.5999999999999997E-2</v>
      </c>
    </row>
    <row r="9963" spans="1:10" x14ac:dyDescent="0.25">
      <c r="A9963" s="5" t="s">
        <v>9997</v>
      </c>
      <c r="B9963" s="5" t="s">
        <v>11830</v>
      </c>
      <c r="C9963" s="6" t="str">
        <f>_xll.QS.CONTEXT.CREATE("market.9961",A9963,"USD","SOFR")</f>
        <v>QSObject:PricingContext:w1~market.9961:78</v>
      </c>
      <c r="D9963" s="6" t="str">
        <f>_xll.QS.CONTEXT.ADD.CURVE(C9963,"SOFR",$K$2:$K$7,$L$2:$L$7,,,"Actual360","LogLinear",TRUE)</f>
        <v>QSObject:ContextInput:w1~input.qs_context_add_curve.2359132437744.9962.3.0:31203</v>
      </c>
      <c r="E9963" s="6" t="str">
        <f>_xll.QS.INSTRUMENT.SWAP("swap.9961",H9963,B9963,"USD","SOFR",I9963,J9963,0,"Actual360","Simple","Annual","Annual","Annual")</f>
        <v>QSObject:Swap:w1~swap.9961:77</v>
      </c>
      <c r="F9963" s="6" t="str">
        <f>_xll.QS.TRADE.CREATE("trade.9961",E9963,A9963,"Receive")</f>
        <v>QSObject:SwapTrade:w1~trade.9961:21924</v>
      </c>
      <c r="G9963" s="3">
        <f>_xll.QS.EVALUATE(C9963,F9963)</f>
        <v>37435.334628410346</v>
      </c>
      <c r="H9963" s="5" t="s">
        <v>10004</v>
      </c>
      <c r="I9963" s="7">
        <v>1996100</v>
      </c>
      <c r="J9963" s="8">
        <v>3.61E-2</v>
      </c>
    </row>
    <row r="9964" spans="1:10" x14ac:dyDescent="0.25">
      <c r="A9964" s="5" t="s">
        <v>9998</v>
      </c>
      <c r="B9964" s="5" t="s">
        <v>11831</v>
      </c>
      <c r="C9964" s="6" t="str">
        <f>_xll.QS.CONTEXT.CREATE("market.9962",A9964,"USD","SOFR")</f>
        <v>QSObject:PricingContext:w1~market.9962:76</v>
      </c>
      <c r="D9964" s="6" t="str">
        <f>_xll.QS.CONTEXT.ADD.CURVE(C9964,"SOFR",$K$2:$K$7,$L$2:$L$7,,,"Actual360","LogLinear",TRUE)</f>
        <v>QSObject:ContextInput:w1~input.qs_context_add_curve.2359132437744.9963.3.0:31202</v>
      </c>
      <c r="E9964" s="6" t="str">
        <f>_xll.QS.INSTRUMENT.SWAP("swap.9962",H9964,B9964,"USD","SOFR",I9964,J9964,0,"Actual360","Simple","Annual","Annual","Annual")</f>
        <v>QSObject:Swap:w1~swap.9962:75</v>
      </c>
      <c r="F9964" s="6" t="str">
        <f>_xll.QS.TRADE.CREATE("trade.9962",E9964,A9964,"Receive")</f>
        <v>QSObject:SwapTrade:w1~trade.9962:21923</v>
      </c>
      <c r="G9964" s="3">
        <f>_xll.QS.EVALUATE(C9964,F9964)</f>
        <v>38635.900735176889</v>
      </c>
      <c r="H9964" s="5" t="s">
        <v>10005</v>
      </c>
      <c r="I9964" s="7">
        <v>1996200</v>
      </c>
      <c r="J9964" s="8">
        <v>3.6200000000000003E-2</v>
      </c>
    </row>
    <row r="9965" spans="1:10" x14ac:dyDescent="0.25">
      <c r="A9965" s="5" t="s">
        <v>9999</v>
      </c>
      <c r="B9965" s="5" t="s">
        <v>11832</v>
      </c>
      <c r="C9965" s="6" t="str">
        <f>_xll.QS.CONTEXT.CREATE("market.9963",A9965,"USD","SOFR")</f>
        <v>QSObject:PricingContext:w1~market.9963:74</v>
      </c>
      <c r="D9965" s="6" t="str">
        <f>_xll.QS.CONTEXT.ADD.CURVE(C9965,"SOFR",$K$2:$K$7,$L$2:$L$7,,,"Actual360","LogLinear",TRUE)</f>
        <v>QSObject:ContextInput:w1~input.qs_context_add_curve.2359132437744.9964.3.0:31201</v>
      </c>
      <c r="E9965" s="6" t="str">
        <f>_xll.QS.INSTRUMENT.SWAP("swap.9963",H9965,B9965,"USD","SOFR",I9965,J9965,0,"Actual360","Simple","Annual","Annual","Annual")</f>
        <v>QSObject:Swap:w1~swap.9963:73</v>
      </c>
      <c r="F9965" s="6" t="str">
        <f>_xll.QS.TRADE.CREATE("trade.9963",E9965,A9965,"Receive")</f>
        <v>QSObject:SwapTrade:w1~trade.9963:21922</v>
      </c>
      <c r="G9965" s="3">
        <f>_xll.QS.EVALUATE(C9965,F9965)</f>
        <v>39575.423016399749</v>
      </c>
      <c r="H9965" s="5" t="s">
        <v>10006</v>
      </c>
      <c r="I9965" s="7">
        <v>1996300</v>
      </c>
      <c r="J9965" s="8">
        <v>3.6300000000000013E-2</v>
      </c>
    </row>
    <row r="9966" spans="1:10" x14ac:dyDescent="0.25">
      <c r="A9966" s="5" t="s">
        <v>10000</v>
      </c>
      <c r="B9966" s="5" t="s">
        <v>11833</v>
      </c>
      <c r="C9966" s="6" t="str">
        <f>_xll.QS.CONTEXT.CREATE("market.9964",A9966,"USD","SOFR")</f>
        <v>QSObject:PricingContext:w1~market.9964:72</v>
      </c>
      <c r="D9966" s="6" t="str">
        <f>_xll.QS.CONTEXT.ADD.CURVE(C9966,"SOFR",$K$2:$K$7,$L$2:$L$7,,,"Actual360","LogLinear",TRUE)</f>
        <v>QSObject:ContextInput:w1~input.qs_context_add_curve.2359132437744.9965.3.0:31200</v>
      </c>
      <c r="E9966" s="6" t="str">
        <f>_xll.QS.INSTRUMENT.SWAP("swap.9964",H9966,B9966,"USD","SOFR",I9966,J9966,0,"Actual360","Simple","Annual","Annual","Annual")</f>
        <v>QSObject:Swap:w1~swap.9964:71</v>
      </c>
      <c r="F9966" s="6" t="str">
        <f>_xll.QS.TRADE.CREATE("trade.9964",E9966,A9966,"Receive")</f>
        <v>QSObject:SwapTrade:w1~trade.9964:21921</v>
      </c>
      <c r="G9966" s="3">
        <f>_xll.QS.EVALUATE(C9966,F9966)</f>
        <v>40496.167151658366</v>
      </c>
      <c r="H9966" s="5" t="s">
        <v>10007</v>
      </c>
      <c r="I9966" s="7">
        <v>1996400</v>
      </c>
      <c r="J9966" s="8">
        <v>3.6400000000000002E-2</v>
      </c>
    </row>
    <row r="9967" spans="1:10" x14ac:dyDescent="0.25">
      <c r="A9967" s="5" t="s">
        <v>10001</v>
      </c>
      <c r="B9967" s="5" t="s">
        <v>11834</v>
      </c>
      <c r="C9967" s="6" t="str">
        <f>_xll.QS.CONTEXT.CREATE("market.9965",A9967,"USD","SOFR")</f>
        <v>QSObject:PricingContext:w1~market.9965:70</v>
      </c>
      <c r="D9967" s="6" t="str">
        <f>_xll.QS.CONTEXT.ADD.CURVE(C9967,"SOFR",$K$2:$K$7,$L$2:$L$7,,,"Actual360","LogLinear",TRUE)</f>
        <v>QSObject:ContextInput:w1~input.qs_context_add_curve.2359132437744.9966.3.0:31199</v>
      </c>
      <c r="E9967" s="6" t="str">
        <f>_xll.QS.INSTRUMENT.SWAP("swap.9965",H9967,B9967,"USD","SOFR",I9967,J9967,0,"Actual360","Simple","Annual","Annual","Annual")</f>
        <v>QSObject:Swap:w1~swap.9965:69</v>
      </c>
      <c r="F9967" s="6" t="str">
        <f>_xll.QS.TRADE.CREATE("trade.9965",E9967,A9967,"Receive")</f>
        <v>QSObject:SwapTrade:w1~trade.9965:21920</v>
      </c>
      <c r="G9967" s="3">
        <f>_xll.QS.EVALUATE(C9967,F9967)</f>
        <v>41339.608213732317</v>
      </c>
      <c r="H9967" s="5" t="s">
        <v>10008</v>
      </c>
      <c r="I9967" s="7">
        <v>1996500</v>
      </c>
      <c r="J9967" s="8">
        <v>3.6499999999999998E-2</v>
      </c>
    </row>
    <row r="9968" spans="1:10" x14ac:dyDescent="0.25">
      <c r="A9968" s="5" t="s">
        <v>10002</v>
      </c>
      <c r="B9968" s="5" t="s">
        <v>11835</v>
      </c>
      <c r="C9968" s="6" t="str">
        <f>_xll.QS.CONTEXT.CREATE("market.9966",A9968,"USD","SOFR")</f>
        <v>QSObject:PricingContext:w1~market.9966:68</v>
      </c>
      <c r="D9968" s="6" t="str">
        <f>_xll.QS.CONTEXT.ADD.CURVE(C9968,"SOFR",$K$2:$K$7,$L$2:$L$7,,,"Actual360","LogLinear",TRUE)</f>
        <v>QSObject:ContextInput:w1~input.qs_context_add_curve.2359132437744.9967.3.0:31198</v>
      </c>
      <c r="E9968" s="6" t="str">
        <f>_xll.QS.INSTRUMENT.SWAP("swap.9966",H9968,B9968,"USD","SOFR",I9968,J9968,0,"Actual360","Simple","Annual","Annual","Annual")</f>
        <v>QSObject:Swap:w1~swap.9966:67</v>
      </c>
      <c r="F9968" s="6" t="str">
        <f>_xll.QS.TRADE.CREATE("trade.9966",E9968,A9968,"Receive")</f>
        <v>QSObject:SwapTrade:w1~trade.9966:21919</v>
      </c>
      <c r="G9968" s="3">
        <f>_xll.QS.EVALUATE(C9968,F9968)</f>
        <v>42128.459012866377</v>
      </c>
      <c r="H9968" s="5" t="s">
        <v>10009</v>
      </c>
      <c r="I9968" s="7">
        <v>1996600</v>
      </c>
      <c r="J9968" s="8">
        <v>3.6600000000000001E-2</v>
      </c>
    </row>
    <row r="9969" spans="1:10" x14ac:dyDescent="0.25">
      <c r="A9969" s="5" t="s">
        <v>10003</v>
      </c>
      <c r="B9969" s="5" t="s">
        <v>11836</v>
      </c>
      <c r="C9969" s="6" t="str">
        <f>_xll.QS.CONTEXT.CREATE("market.9967",A9969,"USD","SOFR")</f>
        <v>QSObject:PricingContext:w1~market.9967:66</v>
      </c>
      <c r="D9969" s="6" t="str">
        <f>_xll.QS.CONTEXT.ADD.CURVE(C9969,"SOFR",$K$2:$K$7,$L$2:$L$7,,,"Actual360","LogLinear",TRUE)</f>
        <v>QSObject:ContextInput:w1~input.qs_context_add_curve.2359132437744.9968.3.0:31197</v>
      </c>
      <c r="E9969" s="6" t="str">
        <f>_xll.QS.INSTRUMENT.SWAP("swap.9967",H9969,B9969,"USD","SOFR",I9969,J9969,0,"Actual360","Simple","Annual","Annual","Annual")</f>
        <v>QSObject:Swap:w1~swap.9967:65</v>
      </c>
      <c r="F9969" s="6" t="str">
        <f>_xll.QS.TRADE.CREATE("trade.9967",E9969,A9969,"Receive")</f>
        <v>QSObject:SwapTrade:w1~trade.9967:21918</v>
      </c>
      <c r="G9969" s="3">
        <f>_xll.QS.EVALUATE(C9969,F9969)</f>
        <v>42890.180051928917</v>
      </c>
      <c r="H9969" s="5" t="s">
        <v>10010</v>
      </c>
      <c r="I9969" s="7">
        <v>1996700</v>
      </c>
      <c r="J9969" s="8">
        <v>3.6700000000000003E-2</v>
      </c>
    </row>
    <row r="9970" spans="1:10" x14ac:dyDescent="0.25">
      <c r="A9970" s="5" t="s">
        <v>10004</v>
      </c>
      <c r="B9970" s="5" t="s">
        <v>11837</v>
      </c>
      <c r="C9970" s="6" t="str">
        <f>_xll.QS.CONTEXT.CREATE("market.9968",A9970,"USD","SOFR")</f>
        <v>QSObject:PricingContext:w1~market.9968:64</v>
      </c>
      <c r="D9970" s="6" t="str">
        <f>_xll.QS.CONTEXT.ADD.CURVE(C9970,"SOFR",$K$2:$K$7,$L$2:$L$7,,,"Actual360","LogLinear",TRUE)</f>
        <v>QSObject:ContextInput:w1~input.qs_context_add_curve.2359132437744.9969.3.0:31196</v>
      </c>
      <c r="E9970" s="6" t="str">
        <f>_xll.QS.INSTRUMENT.SWAP("swap.9968",H9970,B9970,"USD","SOFR",I9970,J9970,0,"Actual360","Simple","Annual","Annual","Annual")</f>
        <v>QSObject:Swap:w1~swap.9968:63</v>
      </c>
      <c r="F9970" s="6" t="str">
        <f>_xll.QS.TRADE.CREATE("trade.9968",E9970,A9970,"Receive")</f>
        <v>QSObject:SwapTrade:w1~trade.9968:21917</v>
      </c>
      <c r="G9970" s="3">
        <f>_xll.QS.EVALUATE(C9970,F9970)</f>
        <v>43898.240057452153</v>
      </c>
      <c r="H9970" s="5" t="s">
        <v>10011</v>
      </c>
      <c r="I9970" s="7">
        <v>1996800</v>
      </c>
      <c r="J9970" s="8">
        <v>3.6800000000000013E-2</v>
      </c>
    </row>
    <row r="9971" spans="1:10" x14ac:dyDescent="0.25">
      <c r="A9971" s="5" t="s">
        <v>10005</v>
      </c>
      <c r="B9971" s="5" t="s">
        <v>11838</v>
      </c>
      <c r="C9971" s="6" t="str">
        <f>_xll.QS.CONTEXT.CREATE("market.9969",A9971,"USD","SOFR")</f>
        <v>QSObject:PricingContext:w1~market.9969:62</v>
      </c>
      <c r="D9971" s="6" t="str">
        <f>_xll.QS.CONTEXT.ADD.CURVE(C9971,"SOFR",$K$2:$K$7,$L$2:$L$7,,,"Actual360","LogLinear",TRUE)</f>
        <v>QSObject:ContextInput:w1~input.qs_context_add_curve.2359132437744.9970.3.0:31195</v>
      </c>
      <c r="E9971" s="6" t="str">
        <f>_xll.QS.INSTRUMENT.SWAP("swap.9969",H9971,B9971,"USD","SOFR",I9971,J9971,0,"Actual360","Simple","Annual","Annual","Annual")</f>
        <v>QSObject:Swap:w1~swap.9969:61</v>
      </c>
      <c r="F9971" s="6" t="str">
        <f>_xll.QS.TRADE.CREATE("trade.9969",E9971,A9971,"Receive")</f>
        <v>QSObject:SwapTrade:w1~trade.9969:21916</v>
      </c>
      <c r="G9971" s="3">
        <f>_xll.QS.EVALUATE(C9971,F9971)</f>
        <v>44874.856026773348</v>
      </c>
      <c r="H9971" s="5" t="s">
        <v>10012</v>
      </c>
      <c r="I9971" s="7">
        <v>1996900</v>
      </c>
      <c r="J9971" s="8">
        <v>3.6900000000000002E-2</v>
      </c>
    </row>
    <row r="9972" spans="1:10" x14ac:dyDescent="0.25">
      <c r="A9972" s="5" t="s">
        <v>10006</v>
      </c>
      <c r="B9972" s="5" t="s">
        <v>11839</v>
      </c>
      <c r="C9972" s="6" t="str">
        <f>_xll.QS.CONTEXT.CREATE("market.9970",A9972,"USD","SOFR")</f>
        <v>QSObject:PricingContext:w1~market.9970:60</v>
      </c>
      <c r="D9972" s="6" t="str">
        <f>_xll.QS.CONTEXT.ADD.CURVE(C9972,"SOFR",$K$2:$K$7,$L$2:$L$7,,,"Actual360","LogLinear",TRUE)</f>
        <v>QSObject:ContextInput:w1~input.qs_context_add_curve.2359132437744.9971.3.0:31194</v>
      </c>
      <c r="E9972" s="6" t="str">
        <f>_xll.QS.INSTRUMENT.SWAP("swap.9970",H9972,B9972,"USD","SOFR",I9972,J9972,0,"Actual360","Simple","Annual","Annual","Annual")</f>
        <v>QSObject:Swap:w1~swap.9970:59</v>
      </c>
      <c r="F9972" s="6" t="str">
        <f>_xll.QS.TRADE.CREATE("trade.9970",E9972,A9972,"Receive")</f>
        <v>QSObject:SwapTrade:w1~trade.9970:21915</v>
      </c>
      <c r="G9972" s="3">
        <f>_xll.QS.EVALUATE(C9972,F9972)</f>
        <v>45944.192215591815</v>
      </c>
      <c r="H9972" s="5" t="s">
        <v>10013</v>
      </c>
      <c r="I9972" s="7">
        <v>1997000</v>
      </c>
      <c r="J9972" s="8">
        <v>3.7000000000000012E-2</v>
      </c>
    </row>
    <row r="9973" spans="1:10" x14ac:dyDescent="0.25">
      <c r="A9973" s="5" t="s">
        <v>10007</v>
      </c>
      <c r="B9973" s="5" t="s">
        <v>11840</v>
      </c>
      <c r="C9973" s="6" t="str">
        <f>_xll.QS.CONTEXT.CREATE("market.9971",A9973,"USD","SOFR")</f>
        <v>QSObject:PricingContext:w1~market.9971:58</v>
      </c>
      <c r="D9973" s="6" t="str">
        <f>_xll.QS.CONTEXT.ADD.CURVE(C9973,"SOFR",$K$2:$K$7,$L$2:$L$7,,,"Actual360","LogLinear",TRUE)</f>
        <v>QSObject:ContextInput:w1~input.qs_context_add_curve.2359132437744.9972.3.0:31193</v>
      </c>
      <c r="E9973" s="6" t="str">
        <f>_xll.QS.INSTRUMENT.SWAP("swap.9971",H9973,B9973,"USD","SOFR",I9973,J9973,0,"Actual360","Simple","Annual","Annual","Annual")</f>
        <v>QSObject:Swap:w1~swap.9971:57</v>
      </c>
      <c r="F9973" s="6" t="str">
        <f>_xll.QS.TRADE.CREATE("trade.9971",E9973,A9973,"Receive")</f>
        <v>QSObject:SwapTrade:w1~trade.9971:21914</v>
      </c>
      <c r="G9973" s="3">
        <f>_xll.QS.EVALUATE(C9973,F9973)</f>
        <v>46954.636163010669</v>
      </c>
      <c r="H9973" s="5" t="s">
        <v>10014</v>
      </c>
      <c r="I9973" s="7">
        <v>1997100</v>
      </c>
      <c r="J9973" s="8">
        <v>3.7100000000000001E-2</v>
      </c>
    </row>
    <row r="9974" spans="1:10" x14ac:dyDescent="0.25">
      <c r="A9974" s="5" t="s">
        <v>10008</v>
      </c>
      <c r="B9974" s="5" t="s">
        <v>11841</v>
      </c>
      <c r="C9974" s="6" t="str">
        <f>_xll.QS.CONTEXT.CREATE("market.9972",A9974,"USD","SOFR")</f>
        <v>QSObject:PricingContext:w1~market.9972:56</v>
      </c>
      <c r="D9974" s="6" t="str">
        <f>_xll.QS.CONTEXT.ADD.CURVE(C9974,"SOFR",$K$2:$K$7,$L$2:$L$7,,,"Actual360","LogLinear",TRUE)</f>
        <v>QSObject:ContextInput:w1~input.qs_context_add_curve.2359132437744.9973.3.0:31192</v>
      </c>
      <c r="E9974" s="6" t="str">
        <f>_xll.QS.INSTRUMENT.SWAP("swap.9972",H9974,B9974,"USD","SOFR",I9974,J9974,0,"Actual360","Simple","Annual","Annual","Annual")</f>
        <v>QSObject:Swap:w1~swap.9972:55</v>
      </c>
      <c r="F9974" s="6" t="str">
        <f>_xll.QS.TRADE.CREATE("trade.9972",E9974,A9974,"Receive")</f>
        <v>QSObject:SwapTrade:w1~trade.9972:21913</v>
      </c>
      <c r="G9974" s="3">
        <f>_xll.QS.EVALUATE(C9974,F9974)</f>
        <v>47801.199843897557</v>
      </c>
      <c r="H9974" s="5" t="s">
        <v>10015</v>
      </c>
      <c r="I9974" s="7">
        <v>1997200</v>
      </c>
      <c r="J9974" s="8">
        <v>3.7199999999999997E-2</v>
      </c>
    </row>
    <row r="9975" spans="1:10" x14ac:dyDescent="0.25">
      <c r="A9975" s="5" t="s">
        <v>10009</v>
      </c>
      <c r="B9975" s="5" t="s">
        <v>11842</v>
      </c>
      <c r="C9975" s="6" t="str">
        <f>_xll.QS.CONTEXT.CREATE("market.9973",A9975,"USD","SOFR")</f>
        <v>QSObject:PricingContext:w1~market.9973:54</v>
      </c>
      <c r="D9975" s="6" t="str">
        <f>_xll.QS.CONTEXT.ADD.CURVE(C9975,"SOFR",$K$2:$K$7,$L$2:$L$7,,,"Actual360","LogLinear",TRUE)</f>
        <v>QSObject:ContextInput:w1~input.qs_context_add_curve.2359132437744.9974.3.0:31191</v>
      </c>
      <c r="E9975" s="6" t="str">
        <f>_xll.QS.INSTRUMENT.SWAP("swap.9973",H9975,B9975,"USD","SOFR",I9975,J9975,0,"Actual360","Simple","Annual","Annual","Annual")</f>
        <v>QSObject:Swap:w1~swap.9973:53</v>
      </c>
      <c r="F9975" s="6" t="str">
        <f>_xll.QS.TRADE.CREATE("trade.9973",E9975,A9975,"Receive")</f>
        <v>QSObject:SwapTrade:w1~trade.9973:21912</v>
      </c>
      <c r="G9975" s="3">
        <f>_xll.QS.EVALUATE(C9975,F9975)</f>
        <v>48676.841352318734</v>
      </c>
      <c r="H9975" s="5" t="s">
        <v>10016</v>
      </c>
      <c r="I9975" s="7">
        <v>1997300</v>
      </c>
      <c r="J9975" s="8">
        <v>3.73E-2</v>
      </c>
    </row>
    <row r="9976" spans="1:10" x14ac:dyDescent="0.25">
      <c r="A9976" s="5" t="s">
        <v>10010</v>
      </c>
      <c r="B9976" s="5" t="s">
        <v>11843</v>
      </c>
      <c r="C9976" s="6" t="str">
        <f>_xll.QS.CONTEXT.CREATE("market.9974",A9976,"USD","SOFR")</f>
        <v>QSObject:PricingContext:w1~market.9974:52</v>
      </c>
      <c r="D9976" s="6" t="str">
        <f>_xll.QS.CONTEXT.ADD.CURVE(C9976,"SOFR",$K$2:$K$7,$L$2:$L$7,,,"Actual360","LogLinear",TRUE)</f>
        <v>QSObject:ContextInput:w1~input.qs_context_add_curve.2359132437744.9975.3.0:31190</v>
      </c>
      <c r="E9976" s="6" t="str">
        <f>_xll.QS.INSTRUMENT.SWAP("swap.9974",H9976,B9976,"USD","SOFR",I9976,J9976,0,"Actual360","Simple","Annual","Annual","Annual")</f>
        <v>QSObject:Swap:w1~swap.9974:51</v>
      </c>
      <c r="F9976" s="6" t="str">
        <f>_xll.QS.TRADE.CREATE("trade.9974",E9976,A9976,"Receive")</f>
        <v>QSObject:SwapTrade:w1~trade.9974:21911</v>
      </c>
      <c r="G9976" s="3">
        <f>_xll.QS.EVALUATE(C9976,F9976)</f>
        <v>49604.821719483756</v>
      </c>
      <c r="H9976" s="5" t="s">
        <v>10017</v>
      </c>
      <c r="I9976" s="7">
        <v>1997400</v>
      </c>
      <c r="J9976" s="8">
        <v>3.7400000000000003E-2</v>
      </c>
    </row>
    <row r="9977" spans="1:10" x14ac:dyDescent="0.25">
      <c r="A9977" s="5" t="s">
        <v>10011</v>
      </c>
      <c r="B9977" s="5" t="s">
        <v>11844</v>
      </c>
      <c r="C9977" s="6" t="str">
        <f>_xll.QS.CONTEXT.CREATE("market.9975",A9977,"USD","SOFR")</f>
        <v>QSObject:PricingContext:w1~market.9975:50</v>
      </c>
      <c r="D9977" s="6" t="str">
        <f>_xll.QS.CONTEXT.ADD.CURVE(C9977,"SOFR",$K$2:$K$7,$L$2:$L$7,,,"Actual360","LogLinear",TRUE)</f>
        <v>QSObject:ContextInput:w1~input.qs_context_add_curve.2359132437744.9976.3.0:31189</v>
      </c>
      <c r="E9977" s="6" t="str">
        <f>_xll.QS.INSTRUMENT.SWAP("swap.9975",H9977,B9977,"USD","SOFR",I9977,J9977,0,"Actual360","Simple","Annual","Annual","Annual")</f>
        <v>QSObject:Swap:w1~swap.9975:49</v>
      </c>
      <c r="F9977" s="6" t="str">
        <f>_xll.QS.TRADE.CREATE("trade.9975",E9977,A9977,"Receive")</f>
        <v>QSObject:SwapTrade:w1~trade.9975:21910</v>
      </c>
      <c r="G9977" s="3">
        <f>_xll.QS.EVALUATE(C9977,F9977)</f>
        <v>50363.401730756588</v>
      </c>
      <c r="H9977" s="5" t="s">
        <v>10018</v>
      </c>
      <c r="I9977" s="7">
        <v>1997500</v>
      </c>
      <c r="J9977" s="8">
        <v>3.7500000000000012E-2</v>
      </c>
    </row>
    <row r="9978" spans="1:10" x14ac:dyDescent="0.25">
      <c r="A9978" s="5" t="s">
        <v>10012</v>
      </c>
      <c r="B9978" s="5" t="s">
        <v>11845</v>
      </c>
      <c r="C9978" s="6" t="str">
        <f>_xll.QS.CONTEXT.CREATE("market.9976",A9978,"USD","SOFR")</f>
        <v>QSObject:PricingContext:w1~market.9976:48</v>
      </c>
      <c r="D9978" s="6" t="str">
        <f>_xll.QS.CONTEXT.ADD.CURVE(C9978,"SOFR",$K$2:$K$7,$L$2:$L$7,,,"Actual360","LogLinear",TRUE)</f>
        <v>QSObject:ContextInput:w1~input.qs_context_add_curve.2359132437744.9977.3.0:31188</v>
      </c>
      <c r="E9978" s="6" t="str">
        <f>_xll.QS.INSTRUMENT.SWAP("swap.9976",H9978,B9978,"USD","SOFR",I9978,J9978,0,"Actual360","Simple","Annual","Annual","Annual")</f>
        <v>QSObject:Swap:w1~swap.9976:47</v>
      </c>
      <c r="F9978" s="6" t="str">
        <f>_xll.QS.TRADE.CREATE("trade.9976",E9978,A9978,"Receive")</f>
        <v>QSObject:SwapTrade:w1~trade.9976:21909</v>
      </c>
      <c r="G9978" s="3">
        <f>_xll.QS.EVALUATE(C9978,F9978)</f>
        <v>51338.68200316689</v>
      </c>
      <c r="H9978" s="5" t="s">
        <v>10019</v>
      </c>
      <c r="I9978" s="7">
        <v>1997600</v>
      </c>
      <c r="J9978" s="8">
        <v>3.7600000000000001E-2</v>
      </c>
    </row>
    <row r="9979" spans="1:10" x14ac:dyDescent="0.25">
      <c r="A9979" s="5" t="s">
        <v>10013</v>
      </c>
      <c r="B9979" s="5" t="s">
        <v>11846</v>
      </c>
      <c r="C9979" s="6" t="str">
        <f>_xll.QS.CONTEXT.CREATE("market.9977",A9979,"USD","SOFR")</f>
        <v>QSObject:PricingContext:w1~market.9977:46</v>
      </c>
      <c r="D9979" s="6" t="str">
        <f>_xll.QS.CONTEXT.ADD.CURVE(C9979,"SOFR",$K$2:$K$7,$L$2:$L$7,,,"Actual360","LogLinear",TRUE)</f>
        <v>QSObject:ContextInput:w1~input.qs_context_add_curve.2359132437744.9978.3.0:31187</v>
      </c>
      <c r="E9979" s="6" t="str">
        <f>_xll.QS.INSTRUMENT.SWAP("swap.9977",H9979,B9979,"USD","SOFR",I9979,J9979,0,"Actual360","Simple","Annual","Annual","Annual")</f>
        <v>QSObject:Swap:w1~swap.9977:45</v>
      </c>
      <c r="F9979" s="6" t="str">
        <f>_xll.QS.TRADE.CREATE("trade.9977",E9979,A9979,"Receive")</f>
        <v>QSObject:SwapTrade:w1~trade.9977:21908</v>
      </c>
      <c r="G9979" s="3">
        <f>_xll.QS.EVALUATE(C9979,F9979)</f>
        <v>52485.42030775264</v>
      </c>
      <c r="H9979" s="5" t="s">
        <v>10020</v>
      </c>
      <c r="I9979" s="7">
        <v>1997700</v>
      </c>
      <c r="J9979" s="8">
        <v>3.7699999999999997E-2</v>
      </c>
    </row>
    <row r="9980" spans="1:10" x14ac:dyDescent="0.25">
      <c r="A9980" s="5" t="s">
        <v>10014</v>
      </c>
      <c r="B9980" s="5" t="s">
        <v>11847</v>
      </c>
      <c r="C9980" s="6" t="str">
        <f>_xll.QS.CONTEXT.CREATE("market.9978",A9980,"USD","SOFR")</f>
        <v>QSObject:PricingContext:w1~market.9978:44</v>
      </c>
      <c r="D9980" s="6" t="str">
        <f>_xll.QS.CONTEXT.ADD.CURVE(C9980,"SOFR",$K$2:$K$7,$L$2:$L$7,,,"Actual360","LogLinear",TRUE)</f>
        <v>QSObject:ContextInput:w1~input.qs_context_add_curve.2359132437744.9979.3.0:31186</v>
      </c>
      <c r="E9980" s="6" t="str">
        <f>_xll.QS.INSTRUMENT.SWAP("swap.9978",H9980,B9980,"USD","SOFR",I9980,J9980,0,"Actual360","Simple","Annual","Annual","Annual")</f>
        <v>QSObject:Swap:w1~swap.9978:43</v>
      </c>
      <c r="F9980" s="6" t="str">
        <f>_xll.QS.TRADE.CREATE("trade.9978",E9980,A9980,"Receive")</f>
        <v>QSObject:SwapTrade:w1~trade.9978:21907</v>
      </c>
      <c r="G9980" s="3">
        <f>_xll.QS.EVALUATE(C9980,F9980)</f>
        <v>53420.01120379442</v>
      </c>
      <c r="H9980" s="5" t="s">
        <v>10021</v>
      </c>
      <c r="I9980" s="7">
        <v>1997800</v>
      </c>
      <c r="J9980" s="8">
        <v>3.78E-2</v>
      </c>
    </row>
    <row r="9981" spans="1:10" x14ac:dyDescent="0.25">
      <c r="A9981" s="5" t="s">
        <v>10015</v>
      </c>
      <c r="B9981" s="5" t="s">
        <v>11848</v>
      </c>
      <c r="C9981" s="6" t="str">
        <f>_xll.QS.CONTEXT.CREATE("market.9979",A9981,"USD","SOFR")</f>
        <v>QSObject:PricingContext:w1~market.9979:42</v>
      </c>
      <c r="D9981" s="6" t="str">
        <f>_xll.QS.CONTEXT.ADD.CURVE(C9981,"SOFR",$K$2:$K$7,$L$2:$L$7,,,"Actual360","LogLinear",TRUE)</f>
        <v>QSObject:ContextInput:w1~input.qs_context_add_curve.2359132437744.9980.3.0:31185</v>
      </c>
      <c r="E9981" s="6" t="str">
        <f>_xll.QS.INSTRUMENT.SWAP("swap.9979",H9981,B9981,"USD","SOFR",I9981,J9981,0,"Actual360","Simple","Annual","Annual","Annual")</f>
        <v>QSObject:Swap:w1~swap.9979:41</v>
      </c>
      <c r="F9981" s="6" t="str">
        <f>_xll.QS.TRADE.CREATE("trade.9979",E9981,A9981,"Receive")</f>
        <v>QSObject:SwapTrade:w1~trade.9979:21906</v>
      </c>
      <c r="G9981" s="3">
        <f>_xll.QS.EVALUATE(C9981,F9981)</f>
        <v>54267.122725769434</v>
      </c>
      <c r="H9981" s="5" t="s">
        <v>10022</v>
      </c>
      <c r="I9981" s="7">
        <v>1997900</v>
      </c>
      <c r="J9981" s="8">
        <v>3.7900000000000003E-2</v>
      </c>
    </row>
    <row r="9982" spans="1:10" x14ac:dyDescent="0.25">
      <c r="A9982" s="5" t="s">
        <v>10016</v>
      </c>
      <c r="B9982" s="5" t="s">
        <v>11849</v>
      </c>
      <c r="C9982" s="6" t="str">
        <f>_xll.QS.CONTEXT.CREATE("market.9980",A9982,"USD","SOFR")</f>
        <v>QSObject:PricingContext:w1~market.9980:40</v>
      </c>
      <c r="D9982" s="6" t="str">
        <f>_xll.QS.CONTEXT.ADD.CURVE(C9982,"SOFR",$K$2:$K$7,$L$2:$L$7,,,"Actual360","LogLinear",TRUE)</f>
        <v>QSObject:ContextInput:w1~input.qs_context_add_curve.2359132437744.9981.3.0:31184</v>
      </c>
      <c r="E9982" s="6" t="str">
        <f>_xll.QS.INSTRUMENT.SWAP("swap.9980",H9982,B9982,"USD","SOFR",I9982,J9982,0,"Actual360","Simple","Annual","Annual","Annual")</f>
        <v>QSObject:Swap:w1~swap.9980:39</v>
      </c>
      <c r="F9982" s="6" t="str">
        <f>_xll.QS.TRADE.CREATE("trade.9980",E9982,A9982,"Receive")</f>
        <v>QSObject:SwapTrade:w1~trade.9980:21905</v>
      </c>
      <c r="G9982" s="3">
        <f>_xll.QS.EVALUATE(C9982,F9982)</f>
        <v>55041.977523813046</v>
      </c>
      <c r="H9982" s="5" t="s">
        <v>10023</v>
      </c>
      <c r="I9982" s="7">
        <v>1998000</v>
      </c>
      <c r="J9982" s="8">
        <v>3.8000000000000013E-2</v>
      </c>
    </row>
    <row r="9983" spans="1:10" x14ac:dyDescent="0.25">
      <c r="A9983" s="5" t="s">
        <v>10017</v>
      </c>
      <c r="B9983" s="5" t="s">
        <v>11850</v>
      </c>
      <c r="C9983" s="6" t="str">
        <f>_xll.QS.CONTEXT.CREATE("market.9981",A9983,"USD","SOFR")</f>
        <v>QSObject:PricingContext:w1~market.9981:38</v>
      </c>
      <c r="D9983" s="6" t="str">
        <f>_xll.QS.CONTEXT.ADD.CURVE(C9983,"SOFR",$K$2:$K$7,$L$2:$L$7,,,"Actual360","LogLinear",TRUE)</f>
        <v>QSObject:ContextInput:w1~input.qs_context_add_curve.2359132437744.9982.3.0:31183</v>
      </c>
      <c r="E9983" s="6" t="str">
        <f>_xll.QS.INSTRUMENT.SWAP("swap.9981",H9983,B9983,"USD","SOFR",I9983,J9983,0,"Actual360","Simple","Annual","Annual","Annual")</f>
        <v>QSObject:Swap:w1~swap.9981:37</v>
      </c>
      <c r="F9983" s="6" t="str">
        <f>_xll.QS.TRADE.CREATE("trade.9981",E9983,A9983,"Receive")</f>
        <v>QSObject:SwapTrade:w1~trade.9981:21904</v>
      </c>
      <c r="G9983" s="3">
        <f>_xll.QS.EVALUATE(C9983,F9983)</f>
        <v>55825.061736413089</v>
      </c>
      <c r="H9983" s="5" t="s">
        <v>10024</v>
      </c>
      <c r="I9983" s="7">
        <v>1998100</v>
      </c>
      <c r="J9983" s="8">
        <v>3.8100000000000002E-2</v>
      </c>
    </row>
    <row r="9984" spans="1:10" x14ac:dyDescent="0.25">
      <c r="A9984" s="5" t="s">
        <v>10018</v>
      </c>
      <c r="B9984" s="5" t="s">
        <v>11851</v>
      </c>
      <c r="C9984" s="6" t="str">
        <f>_xll.QS.CONTEXT.CREATE("market.9982",A9984,"USD","SOFR")</f>
        <v>QSObject:PricingContext:w1~market.9982:36</v>
      </c>
      <c r="D9984" s="6" t="str">
        <f>_xll.QS.CONTEXT.ADD.CURVE(C9984,"SOFR",$K$2:$K$7,$L$2:$L$7,,,"Actual360","LogLinear",TRUE)</f>
        <v>QSObject:ContextInput:w1~input.qs_context_add_curve.2359132437744.9983.3.0:31182</v>
      </c>
      <c r="E9984" s="6" t="str">
        <f>_xll.QS.INSTRUMENT.SWAP("swap.9982",H9984,B9984,"USD","SOFR",I9984,J9984,0,"Actual360","Simple","Annual","Annual","Annual")</f>
        <v>QSObject:Swap:w1~swap.9982:35</v>
      </c>
      <c r="F9984" s="6" t="str">
        <f>_xll.QS.TRADE.CREATE("trade.9982",E9984,A9984,"Receive")</f>
        <v>QSObject:SwapTrade:w1~trade.9982:21903</v>
      </c>
      <c r="G9984" s="3">
        <f>_xll.QS.EVALUATE(C9984,F9984)</f>
        <v>56834.217210203577</v>
      </c>
      <c r="H9984" s="5" t="s">
        <v>10025</v>
      </c>
      <c r="I9984" s="7">
        <v>1998200</v>
      </c>
      <c r="J9984" s="8">
        <v>3.8199999999999998E-2</v>
      </c>
    </row>
    <row r="9985" spans="1:10" x14ac:dyDescent="0.25">
      <c r="A9985" s="5" t="s">
        <v>10019</v>
      </c>
      <c r="B9985" s="5" t="s">
        <v>11852</v>
      </c>
      <c r="C9985" s="6" t="str">
        <f>_xll.QS.CONTEXT.CREATE("market.9983",A9985,"USD","SOFR")</f>
        <v>QSObject:PricingContext:w1~market.9983:34</v>
      </c>
      <c r="D9985" s="6" t="str">
        <f>_xll.QS.CONTEXT.ADD.CURVE(C9985,"SOFR",$K$2:$K$7,$L$2:$L$7,,,"Actual360","LogLinear",TRUE)</f>
        <v>QSObject:ContextInput:w1~input.qs_context_add_curve.2359132437744.9984.3.0:31181</v>
      </c>
      <c r="E9985" s="6" t="str">
        <f>_xll.QS.INSTRUMENT.SWAP("swap.9983",H9985,B9985,"USD","SOFR",I9985,J9985,0,"Actual360","Simple","Annual","Annual","Annual")</f>
        <v>QSObject:Swap:w1~swap.9983:33</v>
      </c>
      <c r="F9985" s="6" t="str">
        <f>_xll.QS.TRADE.CREATE("trade.9983",E9985,A9985,"Receive")</f>
        <v>QSObject:SwapTrade:w1~trade.9983:21902</v>
      </c>
      <c r="G9985" s="3">
        <f>_xll.QS.EVALUATE(C9985,F9985)</f>
        <v>57807.027069244206</v>
      </c>
      <c r="H9985" s="5" t="s">
        <v>10026</v>
      </c>
      <c r="I9985" s="7">
        <v>1998300</v>
      </c>
      <c r="J9985" s="8">
        <v>3.8300000000000001E-2</v>
      </c>
    </row>
    <row r="9986" spans="1:10" x14ac:dyDescent="0.25">
      <c r="A9986" s="5" t="s">
        <v>10020</v>
      </c>
      <c r="B9986" s="5" t="s">
        <v>11853</v>
      </c>
      <c r="C9986" s="6" t="str">
        <f>_xll.QS.CONTEXT.CREATE("market.9984",A9986,"USD","SOFR")</f>
        <v>QSObject:PricingContext:w1~market.9984:32</v>
      </c>
      <c r="D9986" s="6" t="str">
        <f>_xll.QS.CONTEXT.ADD.CURVE(C9986,"SOFR",$K$2:$K$7,$L$2:$L$7,,,"Actual360","LogLinear",TRUE)</f>
        <v>QSObject:ContextInput:w1~input.qs_context_add_curve.2359132437744.9985.3.0:31180</v>
      </c>
      <c r="E9986" s="6" t="str">
        <f>_xll.QS.INSTRUMENT.SWAP("swap.9984",H9986,B9986,"USD","SOFR",I9986,J9986,0,"Actual360","Simple","Annual","Annual","Annual")</f>
        <v>QSObject:Swap:w1~swap.9984:31</v>
      </c>
      <c r="F9986" s="6" t="str">
        <f>_xll.QS.TRADE.CREATE("trade.9984",E9986,A9986,"Receive")</f>
        <v>QSObject:SwapTrade:w1~trade.9984:21901</v>
      </c>
      <c r="G9986" s="3">
        <f>_xll.QS.EVALUATE(C9986,F9986)</f>
        <v>58877.961088395539</v>
      </c>
      <c r="H9986" s="5" t="s">
        <v>10027</v>
      </c>
      <c r="I9986" s="7">
        <v>1998400</v>
      </c>
      <c r="J9986" s="8">
        <v>3.8399999999999997E-2</v>
      </c>
    </row>
    <row r="9987" spans="1:10" x14ac:dyDescent="0.25">
      <c r="A9987" s="5" t="s">
        <v>10021</v>
      </c>
      <c r="B9987" s="5" t="s">
        <v>11854</v>
      </c>
      <c r="C9987" s="6" t="str">
        <f>_xll.QS.CONTEXT.CREATE("market.9985",A9987,"USD","SOFR")</f>
        <v>QSObject:PricingContext:w1~market.9985:30</v>
      </c>
      <c r="D9987" s="6" t="str">
        <f>_xll.QS.CONTEXT.ADD.CURVE(C9987,"SOFR",$K$2:$K$7,$L$2:$L$7,,,"Actual360","LogLinear",TRUE)</f>
        <v>QSObject:ContextInput:w1~input.qs_context_add_curve.2359132437744.9986.3.0:31179</v>
      </c>
      <c r="E9987" s="6" t="str">
        <f>_xll.QS.INSTRUMENT.SWAP("swap.9985",H9987,B9987,"USD","SOFR",I9987,J9987,0,"Actual360","Simple","Annual","Annual","Annual")</f>
        <v>QSObject:Swap:w1~swap.9985:29</v>
      </c>
      <c r="F9987" s="6" t="str">
        <f>_xll.QS.TRADE.CREATE("trade.9985",E9987,A9987,"Receive")</f>
        <v>QSObject:SwapTrade:w1~trade.9985:21900</v>
      </c>
      <c r="G9987" s="3">
        <f>_xll.QS.EVALUATE(C9987,F9987)</f>
        <v>59889.905457650377</v>
      </c>
      <c r="H9987" s="5" t="s">
        <v>10028</v>
      </c>
      <c r="I9987" s="7">
        <v>1998500</v>
      </c>
      <c r="J9987" s="8">
        <v>3.8500000000000013E-2</v>
      </c>
    </row>
    <row r="9988" spans="1:10" x14ac:dyDescent="0.25">
      <c r="A9988" s="5" t="s">
        <v>10022</v>
      </c>
      <c r="B9988" s="5" t="s">
        <v>11855</v>
      </c>
      <c r="C9988" s="6" t="str">
        <f>_xll.QS.CONTEXT.CREATE("market.9986",A9988,"USD","SOFR")</f>
        <v>QSObject:PricingContext:w1~market.9986:28</v>
      </c>
      <c r="D9988" s="6" t="str">
        <f>_xll.QS.CONTEXT.ADD.CURVE(C9988,"SOFR",$K$2:$K$7,$L$2:$L$7,,,"Actual360","LogLinear",TRUE)</f>
        <v>QSObject:ContextInput:w1~input.qs_context_add_curve.2359132437744.9987.3.0:31178</v>
      </c>
      <c r="E9988" s="6" t="str">
        <f>_xll.QS.INSTRUMENT.SWAP("swap.9986",H9988,B9988,"USD","SOFR",I9988,J9988,0,"Actual360","Simple","Annual","Annual","Annual")</f>
        <v>QSObject:Swap:w1~swap.9986:27</v>
      </c>
      <c r="F9988" s="6" t="str">
        <f>_xll.QS.TRADE.CREATE("trade.9986",E9988,A9988,"Receive")</f>
        <v>QSObject:SwapTrade:w1~trade.9986:21899</v>
      </c>
      <c r="G9988" s="3">
        <f>_xll.QS.EVALUATE(C9988,F9988)</f>
        <v>60737.564771067562</v>
      </c>
      <c r="H9988" s="5" t="s">
        <v>10029</v>
      </c>
      <c r="I9988" s="7">
        <v>1998600</v>
      </c>
      <c r="J9988" s="8">
        <v>3.8600000000000002E-2</v>
      </c>
    </row>
    <row r="9989" spans="1:10" x14ac:dyDescent="0.25">
      <c r="A9989" s="5" t="s">
        <v>10023</v>
      </c>
      <c r="B9989" s="5" t="s">
        <v>11856</v>
      </c>
      <c r="C9989" s="6" t="str">
        <f>_xll.QS.CONTEXT.CREATE("market.9987",A9989,"USD","SOFR")</f>
        <v>QSObject:PricingContext:w1~market.9987:26</v>
      </c>
      <c r="D9989" s="6" t="str">
        <f>_xll.QS.CONTEXT.ADD.CURVE(C9989,"SOFR",$K$2:$K$7,$L$2:$L$7,,,"Actual360","LogLinear",TRUE)</f>
        <v>QSObject:ContextInput:w1~input.qs_context_add_curve.2359132437744.9988.3.0:31177</v>
      </c>
      <c r="E9989" s="6" t="str">
        <f>_xll.QS.INSTRUMENT.SWAP("swap.9987",H9989,B9989,"USD","SOFR",I9989,J9989,0,"Actual360","Simple","Annual","Annual","Annual")</f>
        <v>QSObject:Swap:w1~swap.9987:25</v>
      </c>
      <c r="F9989" s="6" t="str">
        <f>_xll.QS.TRADE.CREATE("trade.9987",E9989,A9989,"Receive")</f>
        <v>QSObject:SwapTrade:w1~trade.9987:21898</v>
      </c>
      <c r="G9989" s="3">
        <f>_xll.QS.EVALUATE(C9989,F9989)</f>
        <v>61505.414947803067</v>
      </c>
      <c r="H9989" s="5" t="s">
        <v>10030</v>
      </c>
      <c r="I9989" s="7">
        <v>1998700</v>
      </c>
      <c r="J9989" s="8">
        <v>3.8700000000000012E-2</v>
      </c>
    </row>
    <row r="9990" spans="1:10" x14ac:dyDescent="0.25">
      <c r="A9990" s="5" t="s">
        <v>10024</v>
      </c>
      <c r="B9990" s="5" t="s">
        <v>11857</v>
      </c>
      <c r="C9990" s="6" t="str">
        <f>_xll.QS.CONTEXT.CREATE("market.9988",A9990,"USD","SOFR")</f>
        <v>QSObject:PricingContext:w1~market.9988:24</v>
      </c>
      <c r="D9990" s="6" t="str">
        <f>_xll.QS.CONTEXT.ADD.CURVE(C9990,"SOFR",$K$2:$K$7,$L$2:$L$7,,,"Actual360","LogLinear",TRUE)</f>
        <v>QSObject:ContextInput:w1~input.qs_context_add_curve.2359132437744.9989.3.0:31176</v>
      </c>
      <c r="E9990" s="6" t="str">
        <f>_xll.QS.INSTRUMENT.SWAP("swap.9988",H9990,B9990,"USD","SOFR",I9990,J9990,0,"Actual360","Simple","Annual","Annual","Annual")</f>
        <v>QSObject:Swap:w1~swap.9988:23</v>
      </c>
      <c r="F9990" s="6" t="str">
        <f>_xll.QS.TRADE.CREATE("trade.9988",E9990,A9990,"Receive")</f>
        <v>QSObject:SwapTrade:w1~trade.9988:21897</v>
      </c>
      <c r="G9990" s="3">
        <f>_xll.QS.EVALUATE(C9990,F9990)</f>
        <v>62299.097782361881</v>
      </c>
      <c r="H9990" s="5" t="s">
        <v>10031</v>
      </c>
      <c r="I9990" s="7">
        <v>1998800</v>
      </c>
      <c r="J9990" s="8">
        <v>3.8800000000000001E-2</v>
      </c>
    </row>
    <row r="9991" spans="1:10" x14ac:dyDescent="0.25">
      <c r="A9991" s="5" t="s">
        <v>10025</v>
      </c>
      <c r="B9991" s="5" t="s">
        <v>11858</v>
      </c>
      <c r="C9991" s="6" t="str">
        <f>_xll.QS.CONTEXT.CREATE("market.9989",A9991,"USD","SOFR")</f>
        <v>QSObject:PricingContext:w1~market.9989:22</v>
      </c>
      <c r="D9991" s="6" t="str">
        <f>_xll.QS.CONTEXT.ADD.CURVE(C9991,"SOFR",$K$2:$K$7,$L$2:$L$7,,,"Actual360","LogLinear",TRUE)</f>
        <v>QSObject:ContextInput:w1~input.qs_context_add_curve.2359132437744.9990.3.0:31175</v>
      </c>
      <c r="E9991" s="6" t="str">
        <f>_xll.QS.INSTRUMENT.SWAP("swap.9989",H9991,B9991,"USD","SOFR",I9991,J9991,0,"Actual360","Simple","Annual","Annual","Annual")</f>
        <v>QSObject:Swap:w1~swap.9989:21</v>
      </c>
      <c r="F9991" s="6" t="str">
        <f>_xll.QS.TRADE.CREATE("trade.9989",E9991,A9991,"Receive")</f>
        <v>QSObject:SwapTrade:w1~trade.9989:21896</v>
      </c>
      <c r="G9991" s="3">
        <f>_xll.QS.EVALUATE(C9991,F9991)</f>
        <v>63309.553975166753</v>
      </c>
      <c r="H9991" s="5" t="s">
        <v>10032</v>
      </c>
      <c r="I9991" s="7">
        <v>1998900</v>
      </c>
      <c r="J9991" s="8">
        <v>3.8899999999999997E-2</v>
      </c>
    </row>
    <row r="9992" spans="1:10" x14ac:dyDescent="0.25">
      <c r="A9992" s="5" t="s">
        <v>10026</v>
      </c>
      <c r="B9992" s="5" t="s">
        <v>11859</v>
      </c>
      <c r="C9992" s="6" t="str">
        <f>_xll.QS.CONTEXT.CREATE("market.9990",A9992,"USD","SOFR")</f>
        <v>QSObject:PricingContext:w1~market.9990:20</v>
      </c>
      <c r="D9992" s="6" t="str">
        <f>_xll.QS.CONTEXT.ADD.CURVE(C9992,"SOFR",$K$2:$K$7,$L$2:$L$7,,,"Actual360","LogLinear",TRUE)</f>
        <v>QSObject:ContextInput:w1~input.qs_context_add_curve.2359132437744.9991.3.0:31174</v>
      </c>
      <c r="E9992" s="6" t="str">
        <f>_xll.QS.INSTRUMENT.SWAP("swap.9990",H9992,B9992,"USD","SOFR",I9992,J9992,0,"Actual360","Simple","Annual","Annual","Annual")</f>
        <v>QSObject:Swap:w1~swap.9990:19</v>
      </c>
      <c r="F9992" s="6" t="str">
        <f>_xll.QS.TRADE.CREATE("trade.9990",E9992,A9992,"Receive")</f>
        <v>QSObject:SwapTrade:w1~trade.9990:21895</v>
      </c>
      <c r="G9992" s="3">
        <f>_xll.QS.EVALUATE(C9992,F9992)</f>
        <v>64279.891225005063</v>
      </c>
      <c r="H9992" s="5" t="s">
        <v>10033</v>
      </c>
      <c r="I9992" s="7">
        <v>1999000</v>
      </c>
      <c r="J9992" s="8">
        <v>3.9000000000000007E-2</v>
      </c>
    </row>
    <row r="9993" spans="1:10" x14ac:dyDescent="0.25">
      <c r="A9993" s="5" t="s">
        <v>10027</v>
      </c>
      <c r="B9993" s="5" t="s">
        <v>11860</v>
      </c>
      <c r="C9993" s="6" t="str">
        <f>_xll.QS.CONTEXT.CREATE("market.9991",A9993,"USD","SOFR")</f>
        <v>QSObject:PricingContext:w1~market.9991:18</v>
      </c>
      <c r="D9993" s="6" t="str">
        <f>_xll.QS.CONTEXT.ADD.CURVE(C9993,"SOFR",$K$2:$K$7,$L$2:$L$7,,,"Actual360","LogLinear",TRUE)</f>
        <v>QSObject:ContextInput:w1~input.qs_context_add_curve.2359132437744.9992.3.0:31173</v>
      </c>
      <c r="E9993" s="6" t="str">
        <f>_xll.QS.INSTRUMENT.SWAP("swap.9991",H9993,B9993,"USD","SOFR",I9993,J9993,0,"Actual360","Simple","Annual","Annual","Annual")</f>
        <v>QSObject:Swap:w1~swap.9991:17</v>
      </c>
      <c r="F9993" s="6" t="str">
        <f>_xll.QS.TRADE.CREATE("trade.9991",E9993,A9993,"Receive")</f>
        <v>QSObject:SwapTrade:w1~trade.9991:21894</v>
      </c>
      <c r="G9993" s="3">
        <f>_xll.QS.EVALUATE(C9993,F9993)</f>
        <v>65351.624266593535</v>
      </c>
      <c r="H9993" s="5" t="s">
        <v>10034</v>
      </c>
      <c r="I9993" s="7">
        <v>1999100</v>
      </c>
      <c r="J9993" s="8">
        <v>3.9100000000000003E-2</v>
      </c>
    </row>
    <row r="9994" spans="1:10" x14ac:dyDescent="0.25">
      <c r="A9994" s="5" t="s">
        <v>10028</v>
      </c>
      <c r="B9994" s="5" t="s">
        <v>11861</v>
      </c>
      <c r="C9994" s="6" t="str">
        <f>_xll.QS.CONTEXT.CREATE("market.9992",A9994,"USD","SOFR")</f>
        <v>QSObject:PricingContext:w1~market.9992:16</v>
      </c>
      <c r="D9994" s="6" t="str">
        <f>_xll.QS.CONTEXT.ADD.CURVE(C9994,"SOFR",$K$2:$K$7,$L$2:$L$7,,,"Actual360","LogLinear",TRUE)</f>
        <v>QSObject:ContextInput:w1~input.qs_context_add_curve.2359132437744.9993.3.0:31172</v>
      </c>
      <c r="E9994" s="6" t="str">
        <f>_xll.QS.INSTRUMENT.SWAP("swap.9992",H9994,B9994,"USD","SOFR",I9994,J9994,0,"Actual360","Simple","Annual","Annual","Annual")</f>
        <v>QSObject:Swap:w1~swap.9992:15</v>
      </c>
      <c r="F9994" s="6" t="str">
        <f>_xll.QS.TRADE.CREATE("trade.9992",E9994,A9994,"Receive")</f>
        <v>QSObject:SwapTrade:w1~trade.9992:21893</v>
      </c>
      <c r="G9994" s="3">
        <f>_xll.QS.EVALUATE(C9994,F9994)</f>
        <v>66364.318924578532</v>
      </c>
      <c r="H9994" s="5" t="s">
        <v>10035</v>
      </c>
      <c r="I9994" s="7">
        <v>1999200</v>
      </c>
      <c r="J9994" s="8">
        <v>3.9200000000000013E-2</v>
      </c>
    </row>
    <row r="9995" spans="1:10" x14ac:dyDescent="0.25">
      <c r="A9995" s="5" t="s">
        <v>10029</v>
      </c>
      <c r="B9995" s="5" t="s">
        <v>11862</v>
      </c>
      <c r="C9995" s="6" t="str">
        <f>_xll.QS.CONTEXT.CREATE("market.9993",A9995,"USD","SOFR")</f>
        <v>QSObject:PricingContext:w1~market.9993:14</v>
      </c>
      <c r="D9995" s="6" t="str">
        <f>_xll.QS.CONTEXT.ADD.CURVE(C9995,"SOFR",$K$2:$K$7,$L$2:$L$7,,,"Actual360","LogLinear",TRUE)</f>
        <v>QSObject:ContextInput:w1~input.qs_context_add_curve.2359132437744.9994.3.0:31171</v>
      </c>
      <c r="E9995" s="6" t="str">
        <f>_xll.QS.INSTRUMENT.SWAP("swap.9993",H9995,B9995,"USD","SOFR",I9995,J9995,0,"Actual360","Simple","Annual","Annual","Annual")</f>
        <v>QSObject:Swap:w1~swap.9993:13</v>
      </c>
      <c r="F9995" s="6" t="str">
        <f>_xll.QS.TRADE.CREATE("trade.9993",E9995,A9995,"Receive")</f>
        <v>QSObject:SwapTrade:w1~trade.9993:21892</v>
      </c>
      <c r="G9995" s="3">
        <f>_xll.QS.EVALUATE(C9995,F9995)</f>
        <v>67212.525979791695</v>
      </c>
      <c r="H9995" s="5" t="s">
        <v>10036</v>
      </c>
      <c r="I9995" s="7">
        <v>1999300</v>
      </c>
      <c r="J9995" s="8">
        <v>3.9300000000000002E-2</v>
      </c>
    </row>
    <row r="9996" spans="1:10" x14ac:dyDescent="0.25">
      <c r="A9996" s="5" t="s">
        <v>10030</v>
      </c>
      <c r="B9996" s="5" t="s">
        <v>11863</v>
      </c>
      <c r="C9996" s="6" t="str">
        <f>_xll.QS.CONTEXT.CREATE("market.9994",A9996,"USD","SOFR")</f>
        <v>QSObject:PricingContext:w1~market.9994:12</v>
      </c>
      <c r="D9996" s="6" t="str">
        <f>_xll.QS.CONTEXT.ADD.CURVE(C9996,"SOFR",$K$2:$K$7,$L$2:$L$7,,,"Actual360","LogLinear",TRUE)</f>
        <v>QSObject:ContextInput:w1~input.qs_context_add_curve.2359132437744.9995.3.0:31170</v>
      </c>
      <c r="E9996" s="6" t="str">
        <f>_xll.QS.INSTRUMENT.SWAP("swap.9994",H9996,B9996,"USD","SOFR",I9996,J9996,0,"Actual360","Simple","Annual","Annual","Annual")</f>
        <v>QSObject:Swap:w1~swap.9994:11</v>
      </c>
      <c r="F9996" s="6" t="str">
        <f>_xll.QS.TRADE.CREATE("trade.9994",E9996,A9996,"Receive")</f>
        <v>QSObject:SwapTrade:w1~trade.9994:21891</v>
      </c>
      <c r="G9996" s="3">
        <f>_xll.QS.EVALUATE(C9996,F9996)</f>
        <v>67973.366213203088</v>
      </c>
      <c r="H9996" s="5" t="s">
        <v>10037</v>
      </c>
      <c r="I9996" s="7">
        <v>1999400</v>
      </c>
      <c r="J9996" s="8">
        <v>3.9399999999999998E-2</v>
      </c>
    </row>
    <row r="9997" spans="1:10" x14ac:dyDescent="0.25">
      <c r="A9997" s="5" t="s">
        <v>10031</v>
      </c>
      <c r="B9997" s="5" t="s">
        <v>11864</v>
      </c>
      <c r="C9997" s="6" t="str">
        <f>_xll.QS.CONTEXT.CREATE("market.9995",A9997,"USD","SOFR")</f>
        <v>QSObject:PricingContext:w1~market.9995:10</v>
      </c>
      <c r="D9997" s="6" t="str">
        <f>_xll.QS.CONTEXT.ADD.CURVE(C9997,"SOFR",$K$2:$K$7,$L$2:$L$7,,,"Actual360","LogLinear",TRUE)</f>
        <v>QSObject:ContextInput:w1~input.qs_context_add_curve.2359132437744.9996.3.0:31169</v>
      </c>
      <c r="E9997" s="6" t="str">
        <f>_xll.QS.INSTRUMENT.SWAP("swap.9995",H9997,B9997,"USD","SOFR",I9997,J9997,0,"Actual360","Simple","Annual","Annual","Annual")</f>
        <v>QSObject:Swap:w1~swap.9995:9</v>
      </c>
      <c r="F9997" s="6" t="str">
        <f>_xll.QS.TRADE.CREATE("trade.9995",E9997,A9997,"Receive")</f>
        <v>QSObject:SwapTrade:w1~trade.9995:21890</v>
      </c>
      <c r="G9997" s="3">
        <f>_xll.QS.EVALUATE(C9997,F9997)</f>
        <v>68777.654675905433</v>
      </c>
      <c r="H9997" s="5" t="s">
        <v>10038</v>
      </c>
      <c r="I9997" s="7">
        <v>1999500</v>
      </c>
      <c r="J9997" s="8">
        <v>3.9500000000000007E-2</v>
      </c>
    </row>
    <row r="9998" spans="1:10" x14ac:dyDescent="0.25">
      <c r="A9998" s="5" t="s">
        <v>10032</v>
      </c>
      <c r="B9998" s="5" t="s">
        <v>11865</v>
      </c>
      <c r="C9998" s="6" t="str">
        <f>_xll.QS.CONTEXT.CREATE("market.9996",A9998,"USD","SOFR")</f>
        <v>QSObject:PricingContext:w1~market.9996:8</v>
      </c>
      <c r="D9998" s="6" t="str">
        <f>_xll.QS.CONTEXT.ADD.CURVE(C9998,"SOFR",$K$2:$K$7,$L$2:$L$7,,,"Actual360","LogLinear",TRUE)</f>
        <v>QSObject:ContextInput:w1~input.qs_context_add_curve.2359132437744.9997.3.0:31168</v>
      </c>
      <c r="E9998" s="6" t="str">
        <f>_xll.QS.INSTRUMENT.SWAP("swap.9996",H9998,B9998,"USD","SOFR",I9998,J9998,0,"Actual360","Simple","Annual","Annual","Annual")</f>
        <v>QSObject:Swap:w1~swap.9996:7</v>
      </c>
      <c r="F9998" s="6" t="str">
        <f>_xll.QS.TRADE.CREATE("trade.9996",E9998,A9998,"Receive")</f>
        <v>QSObject:SwapTrade:w1~trade.9996:21889</v>
      </c>
      <c r="G9998" s="3">
        <f>_xll.QS.EVALUATE(C9998,F9998)</f>
        <v>69789.412025646132</v>
      </c>
      <c r="H9998" s="5" t="s">
        <v>10039</v>
      </c>
      <c r="I9998" s="7">
        <v>1999600</v>
      </c>
      <c r="J9998" s="8">
        <v>3.9600000000000003E-2</v>
      </c>
    </row>
    <row r="9999" spans="1:10" x14ac:dyDescent="0.25">
      <c r="A9999" s="5" t="s">
        <v>10033</v>
      </c>
      <c r="B9999" s="5" t="s">
        <v>11866</v>
      </c>
      <c r="C9999" s="6" t="str">
        <f>_xll.QS.CONTEXT.CREATE("market.9997",A9999,"USD","SOFR")</f>
        <v>QSObject:PricingContext:w1~market.9997:6</v>
      </c>
      <c r="D9999" s="6" t="str">
        <f>_xll.QS.CONTEXT.ADD.CURVE(C9999,"SOFR",$K$2:$K$7,$L$2:$L$7,,,"Actual360","LogLinear",TRUE)</f>
        <v>QSObject:ContextInput:w1~input.qs_context_add_curve.2359132437744.9998.3.0:31167</v>
      </c>
      <c r="E9999" s="6" t="str">
        <f>_xll.QS.INSTRUMENT.SWAP("swap.9997",H9999,B9999,"USD","SOFR",I9999,J9999,0,"Actual360","Simple","Annual","Annual","Annual")</f>
        <v>QSObject:Swap:w1~swap.9997:5</v>
      </c>
      <c r="F9999" s="6" t="str">
        <f>_xll.QS.TRADE.CREATE("trade.9997",E9999,A9999,"Receive")</f>
        <v>QSObject:SwapTrade:w1~trade.9997:21888</v>
      </c>
      <c r="G9999" s="3">
        <f>_xll.QS.EVALUATE(C9999,F9999)</f>
        <v>70757.086780362675</v>
      </c>
      <c r="H9999" s="5" t="s">
        <v>10040</v>
      </c>
      <c r="I9999" s="7">
        <v>1999700</v>
      </c>
      <c r="J9999" s="8">
        <v>3.9700000000000013E-2</v>
      </c>
    </row>
    <row r="10000" spans="1:10" x14ac:dyDescent="0.25">
      <c r="A10000" s="5" t="s">
        <v>10034</v>
      </c>
      <c r="B10000" s="5" t="s">
        <v>11867</v>
      </c>
      <c r="C10000" s="6" t="str">
        <f>_xll.QS.CONTEXT.CREATE("market.9998",A10000,"USD","SOFR")</f>
        <v>QSObject:PricingContext:w1~market.9998:4</v>
      </c>
      <c r="D10000" s="6" t="str">
        <f>_xll.QS.CONTEXT.ADD.CURVE(C10000,"SOFR",$K$2:$K$7,$L$2:$L$7,,,"Actual360","LogLinear",TRUE)</f>
        <v>QSObject:ContextInput:w1~input.qs_context_add_curve.2359132437744.9999.3.0:31166</v>
      </c>
      <c r="E10000" s="6" t="str">
        <f>_xll.QS.INSTRUMENT.SWAP("swap.9998",H10000,B10000,"USD","SOFR",I10000,J10000,0,"Actual360","Simple","Annual","Annual","Annual")</f>
        <v>QSObject:Swap:w1~swap.9998:3</v>
      </c>
      <c r="F10000" s="6" t="str">
        <f>_xll.QS.TRADE.CREATE("trade.9998",E10000,A10000,"Receive")</f>
        <v>QSObject:SwapTrade:w1~trade.9998:21887</v>
      </c>
      <c r="G10000" s="3">
        <f>_xll.QS.EVALUATE(C10000,F10000)</f>
        <v>71829.635979419516</v>
      </c>
      <c r="H10000" s="5" t="s">
        <v>10041</v>
      </c>
      <c r="I10000" s="7">
        <v>1999800</v>
      </c>
      <c r="J10000" s="8">
        <v>3.9800000000000002E-2</v>
      </c>
    </row>
    <row r="10001" spans="1:10" x14ac:dyDescent="0.25">
      <c r="A10001" s="5" t="s">
        <v>10035</v>
      </c>
      <c r="B10001" s="5" t="s">
        <v>11868</v>
      </c>
      <c r="C10001" s="6" t="str">
        <f>_xll.QS.CONTEXT.CREATE("market.9999",A10001,"USD","SOFR")</f>
        <v>QSObject:PricingContext:w1~market.9999:2</v>
      </c>
      <c r="D10001" s="6" t="str">
        <f>_xll.QS.CONTEXT.ADD.CURVE(C10001,"SOFR",$K$2:$K$7,$L$2:$L$7,,,"Actual360","LogLinear",TRUE)</f>
        <v>QSObject:ContextInput:w1~input.qs_context_add_curve.2359132437744.10000.3.0:31165</v>
      </c>
      <c r="E10001" s="6" t="str">
        <f>_xll.QS.INSTRUMENT.SWAP("swap.9999",H10001,B10001,"USD","SOFR",I10001,J10001,0,"Actual360","Simple","Annual","Annual","Annual")</f>
        <v>QSObject:Swap:w1~swap.9999:1</v>
      </c>
      <c r="F10001" s="6" t="str">
        <f>_xll.QS.TRADE.CREATE("trade.9999",E10001,A10001,"Receive")</f>
        <v>QSObject:SwapTrade:w1~trade.9999:21886</v>
      </c>
      <c r="G10001" s="3">
        <f>_xll.QS.EVALUATE(C10001,F10001)</f>
        <v>72842.990705476172</v>
      </c>
      <c r="H10001" s="5" t="s">
        <v>10042</v>
      </c>
      <c r="I10001" s="7">
        <v>1999900</v>
      </c>
      <c r="J10001" s="8">
        <v>3.9899999999999998E-2</v>
      </c>
    </row>
  </sheetData>
  <autoFilter ref="A1:J1000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Start Here</vt:lpstr>
      <vt:lpstr>Origination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10,000 valuations at origination</dc:title>
  <dc:creator>QuantSupport</dc:creator>
  <cp:lastModifiedBy>Jose Pedro Melo</cp:lastModifiedBy>
  <dcterms:created xsi:type="dcterms:W3CDTF">2026-10-24T10:32:51Z</dcterms:created>
  <dcterms:modified xsi:type="dcterms:W3CDTF">2026-10-24T12:18:28Z</dcterms:modified>
</cp:coreProperties>
</file>